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5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elley.Humphries\Desktop\"/>
    </mc:Choice>
  </mc:AlternateContent>
  <xr:revisionPtr revIDLastSave="0" documentId="11_4FC643F4F3470355E16581B6639705649363AABF" xr6:coauthVersionLast="45" xr6:coauthVersionMax="45" xr10:uidLastSave="{00000000-0000-0000-0000-000000000000}"/>
  <bookViews>
    <workbookView xWindow="0" yWindow="456" windowWidth="15480" windowHeight="8664" tabRatio="731" xr2:uid="{00000000-000D-0000-FFFF-FFFF00000000}"/>
  </bookViews>
  <sheets>
    <sheet name="Setup" sheetId="9" r:id="rId1"/>
    <sheet name="Weigh-in" sheetId="6" r:id="rId2"/>
    <sheet name="Lifting" sheetId="2" r:id="rId3"/>
    <sheet name="DATA" sheetId="14584" state="hidden" r:id="rId4"/>
    <sheet name="PrintSheet" sheetId="14607" r:id="rId5"/>
    <sheet name="Awards" sheetId="14600" state="hidden" r:id="rId6"/>
    <sheet name="Please read" sheetId="14585" state="hidden" r:id="rId7"/>
    <sheet name="Black &amp; White load sheet" sheetId="14606" r:id="rId8"/>
    <sheet name="Results Template" sheetId="14610" state="hidden" r:id="rId9"/>
    <sheet name="DV-IDENTITY-0" sheetId="14609" state="veryHidden" r:id="rId10"/>
  </sheets>
  <definedNames>
    <definedName name="_xlnm.Print_Area" localSheetId="4">PrintSheet!$A$1:$AI$8</definedName>
    <definedName name="_xlnm.Print_Area">#REF!</definedName>
    <definedName name="_xlnm.Print_Titles" localSheetId="7">'Black &amp; White load sheet'!$1:$2</definedName>
    <definedName name="_xlnm.Print_Titles" localSheetId="4">PrintSheet!$1:$2</definedName>
  </definedNames>
  <calcPr calcId="191028" calcCompleted="0"/>
  <customWorkbookViews>
    <customWorkbookView name="  - Personal View" guid="{07CDF5D6-CF56-477A-AAD4-2986DB622B49}" mergeInterval="0" personalView="1" maximized="1" windowWidth="1436" windowHeight="723" activeSheetId="1"/>
    <customWorkbookView name="Tony Marksteiner - Personal View" guid="{2277625D-7ADF-41CA-830E-413FDD10097D}" mergeInterval="0" personalView="1" maximized="1" windowWidth="1596" windowHeight="105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8" i="6" l="1"/>
  <c r="N18" i="6"/>
  <c r="M17" i="6"/>
  <c r="N17" i="6"/>
  <c r="M16" i="6"/>
  <c r="N16" i="6"/>
  <c r="M15" i="6"/>
  <c r="N15" i="6"/>
  <c r="M3" i="6"/>
  <c r="N3" i="6"/>
  <c r="A397" i="14609"/>
  <c r="B397" i="14609"/>
  <c r="C397" i="14609"/>
  <c r="D397" i="14609"/>
  <c r="E397" i="14609"/>
  <c r="F397" i="14609"/>
  <c r="G397" i="14609"/>
  <c r="H397" i="14609"/>
  <c r="I397" i="14609"/>
  <c r="J397" i="14609"/>
  <c r="K397" i="14609"/>
  <c r="L397" i="14609"/>
  <c r="M397" i="14609"/>
  <c r="N397" i="14609"/>
  <c r="O397" i="14609"/>
  <c r="P397" i="14609"/>
  <c r="Q397" i="14609"/>
  <c r="R397" i="14609"/>
  <c r="S397" i="14609"/>
  <c r="T397" i="14609"/>
  <c r="U397" i="14609"/>
  <c r="V397" i="14609"/>
  <c r="W397" i="14609"/>
  <c r="X397" i="14609"/>
  <c r="Y397" i="14609"/>
  <c r="Z397" i="14609"/>
  <c r="AA397" i="14609"/>
  <c r="AB397" i="14609"/>
  <c r="AC397" i="14609"/>
  <c r="AD397" i="14609"/>
  <c r="AE397" i="14609"/>
  <c r="AF397" i="14609"/>
  <c r="AG397" i="14609"/>
  <c r="AH397" i="14609"/>
  <c r="AI397" i="14609"/>
  <c r="AJ397" i="14609"/>
  <c r="AK397" i="14609"/>
  <c r="AL397" i="14609"/>
  <c r="AM397" i="14609"/>
  <c r="AN397" i="14609"/>
  <c r="AO397" i="14609"/>
  <c r="AP397" i="14609"/>
  <c r="AQ397" i="14609"/>
  <c r="AR397" i="14609"/>
  <c r="AS397" i="14609"/>
  <c r="AT397" i="14609"/>
  <c r="AU397" i="14609"/>
  <c r="AV397" i="14609"/>
  <c r="AW397" i="14609"/>
  <c r="AX397" i="14609"/>
  <c r="AY397" i="14609"/>
  <c r="AZ397" i="14609"/>
  <c r="BA397" i="14609"/>
  <c r="BB397" i="14609"/>
  <c r="BC397" i="14609"/>
  <c r="BD397" i="14609"/>
  <c r="BE397" i="14609"/>
  <c r="BF397" i="14609"/>
  <c r="BG397" i="14609"/>
  <c r="BH397" i="14609"/>
  <c r="BI397" i="14609"/>
  <c r="BJ397" i="14609"/>
  <c r="BK397" i="14609"/>
  <c r="BL397" i="14609"/>
  <c r="BM397" i="14609"/>
  <c r="BN397" i="14609"/>
  <c r="BO397" i="14609"/>
  <c r="BP397" i="14609"/>
  <c r="BQ397" i="14609"/>
  <c r="BR397" i="14609"/>
  <c r="BS397" i="14609"/>
  <c r="BT397" i="14609"/>
  <c r="BU397" i="14609"/>
  <c r="BV397" i="14609"/>
  <c r="BW397" i="14609"/>
  <c r="BX397" i="14609"/>
  <c r="BY397" i="14609"/>
  <c r="BZ397" i="14609"/>
  <c r="CA397" i="14609"/>
  <c r="CB397" i="14609"/>
  <c r="CC397" i="14609"/>
  <c r="CD397" i="14609"/>
  <c r="CE397" i="14609"/>
  <c r="CF397" i="14609"/>
  <c r="CG397" i="14609"/>
  <c r="CH397" i="14609"/>
  <c r="CI397" i="14609"/>
  <c r="CJ397" i="14609"/>
  <c r="CK397" i="14609"/>
  <c r="CL397" i="14609"/>
  <c r="CM397" i="14609"/>
  <c r="CN397" i="14609"/>
  <c r="CO397" i="14609"/>
  <c r="CP397" i="14609"/>
  <c r="CQ397" i="14609"/>
  <c r="CR397" i="14609"/>
  <c r="CS397" i="14609"/>
  <c r="CT397" i="14609"/>
  <c r="CU397" i="14609"/>
  <c r="CV397" i="14609"/>
  <c r="CW397" i="14609"/>
  <c r="CX397" i="14609"/>
  <c r="CY397" i="14609"/>
  <c r="CZ397" i="14609"/>
  <c r="DA397" i="14609"/>
  <c r="DB397" i="14609"/>
  <c r="DC397" i="14609"/>
  <c r="DD397" i="14609"/>
  <c r="DE397" i="14609"/>
  <c r="DF397" i="14609"/>
  <c r="DG397" i="14609"/>
  <c r="DH397" i="14609"/>
  <c r="DI397" i="14609"/>
  <c r="DJ397" i="14609"/>
  <c r="DK397" i="14609"/>
  <c r="DL397" i="14609"/>
  <c r="DM397" i="14609"/>
  <c r="DN397" i="14609"/>
  <c r="DO397" i="14609"/>
  <c r="DP397" i="14609"/>
  <c r="DQ397" i="14609"/>
  <c r="DR397" i="14609"/>
  <c r="DS397" i="14609"/>
  <c r="DT397" i="14609"/>
  <c r="DU397" i="14609"/>
  <c r="DV397" i="14609"/>
  <c r="DW397" i="14609"/>
  <c r="DX397" i="14609"/>
  <c r="DY397" i="14609"/>
  <c r="DZ397" i="14609"/>
  <c r="EA397" i="14609"/>
  <c r="EB397" i="14609"/>
  <c r="EC397" i="14609"/>
  <c r="ED397" i="14609"/>
  <c r="EE397" i="14609"/>
  <c r="EF397" i="14609"/>
  <c r="EG397" i="14609"/>
  <c r="EH397" i="14609"/>
  <c r="EI397" i="14609"/>
  <c r="EJ397" i="14609"/>
  <c r="EK397" i="14609"/>
  <c r="EL397" i="14609"/>
  <c r="EM397" i="14609"/>
  <c r="EN397" i="14609"/>
  <c r="EO397" i="14609"/>
  <c r="ES397" i="14609"/>
  <c r="ET397" i="14609"/>
  <c r="EU397" i="14609"/>
  <c r="EV397" i="14609"/>
  <c r="EW397" i="14609"/>
  <c r="A396" i="14609"/>
  <c r="B396" i="14609"/>
  <c r="C396" i="14609"/>
  <c r="D396" i="14609"/>
  <c r="E396" i="14609"/>
  <c r="F396" i="14609"/>
  <c r="G396" i="14609"/>
  <c r="H396" i="14609"/>
  <c r="I396" i="14609"/>
  <c r="J396" i="14609"/>
  <c r="K396" i="14609"/>
  <c r="L396" i="14609"/>
  <c r="M396" i="14609"/>
  <c r="N396" i="14609"/>
  <c r="O396" i="14609"/>
  <c r="P396" i="14609"/>
  <c r="Q396" i="14609"/>
  <c r="R396" i="14609"/>
  <c r="S396" i="14609"/>
  <c r="T396" i="14609"/>
  <c r="U396" i="14609"/>
  <c r="V396" i="14609"/>
  <c r="W396" i="14609"/>
  <c r="X396" i="14609"/>
  <c r="Y396" i="14609"/>
  <c r="Z396" i="14609"/>
  <c r="AA396" i="14609"/>
  <c r="AB396" i="14609"/>
  <c r="AC396" i="14609"/>
  <c r="AD396" i="14609"/>
  <c r="AE396" i="14609"/>
  <c r="AF396" i="14609"/>
  <c r="AG396" i="14609"/>
  <c r="AH396" i="14609"/>
  <c r="AI396" i="14609"/>
  <c r="AJ396" i="14609"/>
  <c r="AK396" i="14609"/>
  <c r="AL396" i="14609"/>
  <c r="AM396" i="14609"/>
  <c r="AN396" i="14609"/>
  <c r="AO396" i="14609"/>
  <c r="AP396" i="14609"/>
  <c r="AQ396" i="14609"/>
  <c r="AR396" i="14609"/>
  <c r="AS396" i="14609"/>
  <c r="AT396" i="14609"/>
  <c r="AU396" i="14609"/>
  <c r="AV396" i="14609"/>
  <c r="AW396" i="14609"/>
  <c r="AX396" i="14609"/>
  <c r="AY396" i="14609"/>
  <c r="AZ396" i="14609"/>
  <c r="BA396" i="14609"/>
  <c r="BB396" i="14609"/>
  <c r="BC396" i="14609"/>
  <c r="BD396" i="14609"/>
  <c r="BE396" i="14609"/>
  <c r="BF396" i="14609"/>
  <c r="BG396" i="14609"/>
  <c r="BH396" i="14609"/>
  <c r="BI396" i="14609"/>
  <c r="BJ396" i="14609"/>
  <c r="BK396" i="14609"/>
  <c r="BL396" i="14609"/>
  <c r="BM396" i="14609"/>
  <c r="BN396" i="14609"/>
  <c r="BO396" i="14609"/>
  <c r="BP396" i="14609"/>
  <c r="BQ396" i="14609"/>
  <c r="BR396" i="14609"/>
  <c r="BS396" i="14609"/>
  <c r="BT396" i="14609"/>
  <c r="BU396" i="14609"/>
  <c r="BV396" i="14609"/>
  <c r="BW396" i="14609"/>
  <c r="BX396" i="14609"/>
  <c r="BY396" i="14609"/>
  <c r="BZ396" i="14609"/>
  <c r="CA396" i="14609"/>
  <c r="CB396" i="14609"/>
  <c r="CC396" i="14609"/>
  <c r="CD396" i="14609"/>
  <c r="CE396" i="14609"/>
  <c r="CF396" i="14609"/>
  <c r="CG396" i="14609"/>
  <c r="CH396" i="14609"/>
  <c r="CI396" i="14609"/>
  <c r="CJ396" i="14609"/>
  <c r="CK396" i="14609"/>
  <c r="CL396" i="14609"/>
  <c r="CM396" i="14609"/>
  <c r="CN396" i="14609"/>
  <c r="CO396" i="14609"/>
  <c r="CP396" i="14609"/>
  <c r="CQ396" i="14609"/>
  <c r="CR396" i="14609"/>
  <c r="CS396" i="14609"/>
  <c r="CT396" i="14609"/>
  <c r="CU396" i="14609"/>
  <c r="CV396" i="14609"/>
  <c r="CW396" i="14609"/>
  <c r="CX396" i="14609"/>
  <c r="CY396" i="14609"/>
  <c r="CZ396" i="14609"/>
  <c r="DA396" i="14609"/>
  <c r="DB396" i="14609"/>
  <c r="DC396" i="14609"/>
  <c r="DD396" i="14609"/>
  <c r="DE396" i="14609"/>
  <c r="DF396" i="14609"/>
  <c r="DG396" i="14609"/>
  <c r="DH396" i="14609"/>
  <c r="DI396" i="14609"/>
  <c r="DJ396" i="14609"/>
  <c r="DK396" i="14609"/>
  <c r="DL396" i="14609"/>
  <c r="DM396" i="14609"/>
  <c r="DN396" i="14609"/>
  <c r="DO396" i="14609"/>
  <c r="DP396" i="14609"/>
  <c r="DQ396" i="14609"/>
  <c r="DR396" i="14609"/>
  <c r="DS396" i="14609"/>
  <c r="DT396" i="14609"/>
  <c r="DU396" i="14609"/>
  <c r="DV396" i="14609"/>
  <c r="DW396" i="14609"/>
  <c r="DX396" i="14609"/>
  <c r="DY396" i="14609"/>
  <c r="DZ396" i="14609"/>
  <c r="EA396" i="14609"/>
  <c r="EB396" i="14609"/>
  <c r="EC396" i="14609"/>
  <c r="ED396" i="14609"/>
  <c r="EE396" i="14609"/>
  <c r="EF396" i="14609"/>
  <c r="EG396" i="14609"/>
  <c r="EH396" i="14609"/>
  <c r="EI396" i="14609"/>
  <c r="EJ396" i="14609"/>
  <c r="EK396" i="14609"/>
  <c r="EL396" i="14609"/>
  <c r="EM396" i="14609"/>
  <c r="EN396" i="14609"/>
  <c r="EO396" i="14609"/>
  <c r="EP396" i="14609"/>
  <c r="EQ396" i="14609"/>
  <c r="ER396" i="14609"/>
  <c r="ES396" i="14609"/>
  <c r="ET396" i="14609"/>
  <c r="EU396" i="14609"/>
  <c r="EV396" i="14609"/>
  <c r="EW396" i="14609"/>
  <c r="EX396" i="14609"/>
  <c r="EY396" i="14609"/>
  <c r="EZ396" i="14609"/>
  <c r="FA396" i="14609"/>
  <c r="FB396" i="14609"/>
  <c r="FC396" i="14609"/>
  <c r="FD396" i="14609"/>
  <c r="FE396" i="14609"/>
  <c r="FF396" i="14609"/>
  <c r="FG396" i="14609"/>
  <c r="FH396" i="14609"/>
  <c r="FI396" i="14609"/>
  <c r="FJ396" i="14609"/>
  <c r="FK396" i="14609"/>
  <c r="FL396" i="14609"/>
  <c r="FM396" i="14609"/>
  <c r="FN396" i="14609"/>
  <c r="FO396" i="14609"/>
  <c r="FP396" i="14609"/>
  <c r="FQ396" i="14609"/>
  <c r="FR396" i="14609"/>
  <c r="FS396" i="14609"/>
  <c r="FT396" i="14609"/>
  <c r="FU396" i="14609"/>
  <c r="FV396" i="14609"/>
  <c r="FW396" i="14609"/>
  <c r="FX396" i="14609"/>
  <c r="FY396" i="14609"/>
  <c r="FZ396" i="14609"/>
  <c r="GA396" i="14609"/>
  <c r="GB396" i="14609"/>
  <c r="GC396" i="14609"/>
  <c r="GD396" i="14609"/>
  <c r="GE396" i="14609"/>
  <c r="GF396" i="14609"/>
  <c r="GG396" i="14609"/>
  <c r="GH396" i="14609"/>
  <c r="GI396" i="14609"/>
  <c r="GJ396" i="14609"/>
  <c r="GK396" i="14609"/>
  <c r="GL396" i="14609"/>
  <c r="GM396" i="14609"/>
  <c r="GN396" i="14609"/>
  <c r="GO396" i="14609"/>
  <c r="GP396" i="14609"/>
  <c r="GQ396" i="14609"/>
  <c r="GR396" i="14609"/>
  <c r="GS396" i="14609"/>
  <c r="GT396" i="14609"/>
  <c r="GU396" i="14609"/>
  <c r="GV396" i="14609"/>
  <c r="GW396" i="14609"/>
  <c r="GX396" i="14609"/>
  <c r="GY396" i="14609"/>
  <c r="GZ396" i="14609"/>
  <c r="HA396" i="14609"/>
  <c r="HB396" i="14609"/>
  <c r="HC396" i="14609"/>
  <c r="HD396" i="14609"/>
  <c r="HE396" i="14609"/>
  <c r="HF396" i="14609"/>
  <c r="HG396" i="14609"/>
  <c r="HH396" i="14609"/>
  <c r="HI396" i="14609"/>
  <c r="HJ396" i="14609"/>
  <c r="HK396" i="14609"/>
  <c r="HL396" i="14609"/>
  <c r="HM396" i="14609"/>
  <c r="HN396" i="14609"/>
  <c r="HO396" i="14609"/>
  <c r="HP396" i="14609"/>
  <c r="HQ396" i="14609"/>
  <c r="HR396" i="14609"/>
  <c r="HS396" i="14609"/>
  <c r="HT396" i="14609"/>
  <c r="HU396" i="14609"/>
  <c r="HV396" i="14609"/>
  <c r="HW396" i="14609"/>
  <c r="HX396" i="14609"/>
  <c r="HY396" i="14609"/>
  <c r="HZ396" i="14609"/>
  <c r="IA396" i="14609"/>
  <c r="IB396" i="14609"/>
  <c r="IC396" i="14609"/>
  <c r="ID396" i="14609"/>
  <c r="IE396" i="14609"/>
  <c r="IF396" i="14609"/>
  <c r="IG396" i="14609"/>
  <c r="IH396" i="14609"/>
  <c r="II396" i="14609"/>
  <c r="IJ396" i="14609"/>
  <c r="IK396" i="14609"/>
  <c r="IL396" i="14609"/>
  <c r="IM396" i="14609"/>
  <c r="IN396" i="14609"/>
  <c r="IO396" i="14609"/>
  <c r="IP396" i="14609"/>
  <c r="IQ396" i="14609"/>
  <c r="IR396" i="14609"/>
  <c r="IS396" i="14609"/>
  <c r="IT396" i="14609"/>
  <c r="IU396" i="14609"/>
  <c r="IV396" i="14609"/>
  <c r="A395" i="14609"/>
  <c r="B395" i="14609"/>
  <c r="C395" i="14609"/>
  <c r="D395" i="14609"/>
  <c r="E395" i="14609"/>
  <c r="F395" i="14609"/>
  <c r="G395" i="14609"/>
  <c r="H395" i="14609"/>
  <c r="I395" i="14609"/>
  <c r="J395" i="14609"/>
  <c r="K395" i="14609"/>
  <c r="L395" i="14609"/>
  <c r="M395" i="14609"/>
  <c r="N395" i="14609"/>
  <c r="O395" i="14609"/>
  <c r="P395" i="14609"/>
  <c r="Q395" i="14609"/>
  <c r="R395" i="14609"/>
  <c r="S395" i="14609"/>
  <c r="T395" i="14609"/>
  <c r="U395" i="14609"/>
  <c r="V395" i="14609"/>
  <c r="W395" i="14609"/>
  <c r="X395" i="14609"/>
  <c r="Y395" i="14609"/>
  <c r="Z395" i="14609"/>
  <c r="AA395" i="14609"/>
  <c r="AB395" i="14609"/>
  <c r="AC395" i="14609"/>
  <c r="AD395" i="14609"/>
  <c r="AE395" i="14609"/>
  <c r="AF395" i="14609"/>
  <c r="AG395" i="14609"/>
  <c r="AH395" i="14609"/>
  <c r="AI395" i="14609"/>
  <c r="AJ395" i="14609"/>
  <c r="AK395" i="14609"/>
  <c r="AL395" i="14609"/>
  <c r="AM395" i="14609"/>
  <c r="AN395" i="14609"/>
  <c r="AO395" i="14609"/>
  <c r="AP395" i="14609"/>
  <c r="AQ395" i="14609"/>
  <c r="AR395" i="14609"/>
  <c r="AS395" i="14609"/>
  <c r="AT395" i="14609"/>
  <c r="AU395" i="14609"/>
  <c r="AV395" i="14609"/>
  <c r="AW395" i="14609"/>
  <c r="AX395" i="14609"/>
  <c r="AY395" i="14609"/>
  <c r="AZ395" i="14609"/>
  <c r="BA395" i="14609"/>
  <c r="BB395" i="14609"/>
  <c r="BC395" i="14609"/>
  <c r="BD395" i="14609"/>
  <c r="BE395" i="14609"/>
  <c r="BF395" i="14609"/>
  <c r="BG395" i="14609"/>
  <c r="BH395" i="14609"/>
  <c r="BI395" i="14609"/>
  <c r="BJ395" i="14609"/>
  <c r="BK395" i="14609"/>
  <c r="BL395" i="14609"/>
  <c r="BM395" i="14609"/>
  <c r="BN395" i="14609"/>
  <c r="BO395" i="14609"/>
  <c r="BP395" i="14609"/>
  <c r="BQ395" i="14609"/>
  <c r="BR395" i="14609"/>
  <c r="BS395" i="14609"/>
  <c r="BT395" i="14609"/>
  <c r="BU395" i="14609"/>
  <c r="BV395" i="14609"/>
  <c r="BW395" i="14609"/>
  <c r="BX395" i="14609"/>
  <c r="BY395" i="14609"/>
  <c r="BZ395" i="14609"/>
  <c r="CA395" i="14609"/>
  <c r="CB395" i="14609"/>
  <c r="CC395" i="14609"/>
  <c r="CD395" i="14609"/>
  <c r="CE395" i="14609"/>
  <c r="CF395" i="14609"/>
  <c r="CG395" i="14609"/>
  <c r="CH395" i="14609"/>
  <c r="CI395" i="14609"/>
  <c r="CJ395" i="14609"/>
  <c r="CK395" i="14609"/>
  <c r="CL395" i="14609"/>
  <c r="CM395" i="14609"/>
  <c r="CN395" i="14609"/>
  <c r="CO395" i="14609"/>
  <c r="CP395" i="14609"/>
  <c r="CQ395" i="14609"/>
  <c r="CR395" i="14609"/>
  <c r="CS395" i="14609"/>
  <c r="CT395" i="14609"/>
  <c r="CU395" i="14609"/>
  <c r="CV395" i="14609"/>
  <c r="CW395" i="14609"/>
  <c r="CX395" i="14609"/>
  <c r="CY395" i="14609"/>
  <c r="CZ395" i="14609"/>
  <c r="DA395" i="14609"/>
  <c r="DB395" i="14609"/>
  <c r="DC395" i="14609"/>
  <c r="DD395" i="14609"/>
  <c r="DE395" i="14609"/>
  <c r="DF395" i="14609"/>
  <c r="DG395" i="14609"/>
  <c r="DH395" i="14609"/>
  <c r="DI395" i="14609"/>
  <c r="DJ395" i="14609"/>
  <c r="DK395" i="14609"/>
  <c r="DL395" i="14609"/>
  <c r="DM395" i="14609"/>
  <c r="DN395" i="14609"/>
  <c r="DO395" i="14609"/>
  <c r="DP395" i="14609"/>
  <c r="DQ395" i="14609"/>
  <c r="DR395" i="14609"/>
  <c r="DS395" i="14609"/>
  <c r="DT395" i="14609"/>
  <c r="DU395" i="14609"/>
  <c r="DV395" i="14609"/>
  <c r="DW395" i="14609"/>
  <c r="DX395" i="14609"/>
  <c r="DY395" i="14609"/>
  <c r="DZ395" i="14609"/>
  <c r="EA395" i="14609"/>
  <c r="EB395" i="14609"/>
  <c r="EC395" i="14609"/>
  <c r="ED395" i="14609"/>
  <c r="EE395" i="14609"/>
  <c r="EF395" i="14609"/>
  <c r="EG395" i="14609"/>
  <c r="EH395" i="14609"/>
  <c r="EI395" i="14609"/>
  <c r="EJ395" i="14609"/>
  <c r="EK395" i="14609"/>
  <c r="EL395" i="14609"/>
  <c r="EM395" i="14609"/>
  <c r="EN395" i="14609"/>
  <c r="EO395" i="14609"/>
  <c r="EP395" i="14609"/>
  <c r="EQ395" i="14609"/>
  <c r="ER395" i="14609"/>
  <c r="ES395" i="14609"/>
  <c r="ET395" i="14609"/>
  <c r="EU395" i="14609"/>
  <c r="EV395" i="14609"/>
  <c r="EW395" i="14609"/>
  <c r="EX395" i="14609"/>
  <c r="EY395" i="14609"/>
  <c r="EZ395" i="14609"/>
  <c r="FA395" i="14609"/>
  <c r="FB395" i="14609"/>
  <c r="FC395" i="14609"/>
  <c r="FD395" i="14609"/>
  <c r="FE395" i="14609"/>
  <c r="FF395" i="14609"/>
  <c r="FG395" i="14609"/>
  <c r="FH395" i="14609"/>
  <c r="FI395" i="14609"/>
  <c r="FJ395" i="14609"/>
  <c r="FK395" i="14609"/>
  <c r="FL395" i="14609"/>
  <c r="FM395" i="14609"/>
  <c r="FN395" i="14609"/>
  <c r="FO395" i="14609"/>
  <c r="FP395" i="14609"/>
  <c r="FQ395" i="14609"/>
  <c r="FR395" i="14609"/>
  <c r="FS395" i="14609"/>
  <c r="FT395" i="14609"/>
  <c r="FU395" i="14609"/>
  <c r="FV395" i="14609"/>
  <c r="FW395" i="14609"/>
  <c r="FX395" i="14609"/>
  <c r="FY395" i="14609"/>
  <c r="FZ395" i="14609"/>
  <c r="GA395" i="14609"/>
  <c r="GB395" i="14609"/>
  <c r="GC395" i="14609"/>
  <c r="GD395" i="14609"/>
  <c r="GE395" i="14609"/>
  <c r="GF395" i="14609"/>
  <c r="GG395" i="14609"/>
  <c r="GH395" i="14609"/>
  <c r="GI395" i="14609"/>
  <c r="GJ395" i="14609"/>
  <c r="GK395" i="14609"/>
  <c r="GL395" i="14609"/>
  <c r="GM395" i="14609"/>
  <c r="GN395" i="14609"/>
  <c r="GO395" i="14609"/>
  <c r="GP395" i="14609"/>
  <c r="GQ395" i="14609"/>
  <c r="GR395" i="14609"/>
  <c r="GS395" i="14609"/>
  <c r="GT395" i="14609"/>
  <c r="GU395" i="14609"/>
  <c r="GV395" i="14609"/>
  <c r="GW395" i="14609"/>
  <c r="GX395" i="14609"/>
  <c r="GY395" i="14609"/>
  <c r="GZ395" i="14609"/>
  <c r="HA395" i="14609"/>
  <c r="HB395" i="14609"/>
  <c r="HC395" i="14609"/>
  <c r="HD395" i="14609"/>
  <c r="HE395" i="14609"/>
  <c r="HF395" i="14609"/>
  <c r="HG395" i="14609"/>
  <c r="HH395" i="14609"/>
  <c r="HI395" i="14609"/>
  <c r="HJ395" i="14609"/>
  <c r="HK395" i="14609"/>
  <c r="HL395" i="14609"/>
  <c r="HM395" i="14609"/>
  <c r="HN395" i="14609"/>
  <c r="HO395" i="14609"/>
  <c r="HP395" i="14609"/>
  <c r="HQ395" i="14609"/>
  <c r="HR395" i="14609"/>
  <c r="HS395" i="14609"/>
  <c r="HT395" i="14609"/>
  <c r="HU395" i="14609"/>
  <c r="HV395" i="14609"/>
  <c r="HW395" i="14609"/>
  <c r="HX395" i="14609"/>
  <c r="HY395" i="14609"/>
  <c r="HZ395" i="14609"/>
  <c r="IA395" i="14609"/>
  <c r="IB395" i="14609"/>
  <c r="IC395" i="14609"/>
  <c r="ID395" i="14609"/>
  <c r="IE395" i="14609"/>
  <c r="IF395" i="14609"/>
  <c r="IG395" i="14609"/>
  <c r="IH395" i="14609"/>
  <c r="II395" i="14609"/>
  <c r="IJ395" i="14609"/>
  <c r="IK395" i="14609"/>
  <c r="IL395" i="14609"/>
  <c r="IM395" i="14609"/>
  <c r="IN395" i="14609"/>
  <c r="IO395" i="14609"/>
  <c r="IP395" i="14609"/>
  <c r="IQ395" i="14609"/>
  <c r="IR395" i="14609"/>
  <c r="IS395" i="14609"/>
  <c r="IT395" i="14609"/>
  <c r="IU395" i="14609"/>
  <c r="IV395" i="14609"/>
  <c r="A394" i="14609"/>
  <c r="B394" i="14609"/>
  <c r="C394" i="14609"/>
  <c r="D394" i="14609"/>
  <c r="E394" i="14609"/>
  <c r="F394" i="14609"/>
  <c r="G394" i="14609"/>
  <c r="H394" i="14609"/>
  <c r="I394" i="14609"/>
  <c r="J394" i="14609"/>
  <c r="K394" i="14609"/>
  <c r="L394" i="14609"/>
  <c r="M394" i="14609"/>
  <c r="N394" i="14609"/>
  <c r="O394" i="14609"/>
  <c r="P394" i="14609"/>
  <c r="Q394" i="14609"/>
  <c r="R394" i="14609"/>
  <c r="S394" i="14609"/>
  <c r="T394" i="14609"/>
  <c r="U394" i="14609"/>
  <c r="V394" i="14609"/>
  <c r="W394" i="14609"/>
  <c r="X394" i="14609"/>
  <c r="Y394" i="14609"/>
  <c r="Z394" i="14609"/>
  <c r="AA394" i="14609"/>
  <c r="AB394" i="14609"/>
  <c r="AC394" i="14609"/>
  <c r="AD394" i="14609"/>
  <c r="AE394" i="14609"/>
  <c r="AF394" i="14609"/>
  <c r="AG394" i="14609"/>
  <c r="AH394" i="14609"/>
  <c r="AI394" i="14609"/>
  <c r="AJ394" i="14609"/>
  <c r="AK394" i="14609"/>
  <c r="AL394" i="14609"/>
  <c r="AM394" i="14609"/>
  <c r="AN394" i="14609"/>
  <c r="AO394" i="14609"/>
  <c r="AP394" i="14609"/>
  <c r="AQ394" i="14609"/>
  <c r="AR394" i="14609"/>
  <c r="AS394" i="14609"/>
  <c r="AT394" i="14609"/>
  <c r="AU394" i="14609"/>
  <c r="AV394" i="14609"/>
  <c r="AW394" i="14609"/>
  <c r="AX394" i="14609"/>
  <c r="AY394" i="14609"/>
  <c r="AZ394" i="14609"/>
  <c r="BA394" i="14609"/>
  <c r="BB394" i="14609"/>
  <c r="BC394" i="14609"/>
  <c r="BD394" i="14609"/>
  <c r="BE394" i="14609"/>
  <c r="BF394" i="14609"/>
  <c r="BG394" i="14609"/>
  <c r="BH394" i="14609"/>
  <c r="BI394" i="14609"/>
  <c r="BJ394" i="14609"/>
  <c r="BK394" i="14609"/>
  <c r="BL394" i="14609"/>
  <c r="BM394" i="14609"/>
  <c r="BN394" i="14609"/>
  <c r="BO394" i="14609"/>
  <c r="BP394" i="14609"/>
  <c r="BQ394" i="14609"/>
  <c r="BR394" i="14609"/>
  <c r="BS394" i="14609"/>
  <c r="BT394" i="14609"/>
  <c r="BU394" i="14609"/>
  <c r="BV394" i="14609"/>
  <c r="BW394" i="14609"/>
  <c r="BX394" i="14609"/>
  <c r="BY394" i="14609"/>
  <c r="BZ394" i="14609"/>
  <c r="CA394" i="14609"/>
  <c r="CB394" i="14609"/>
  <c r="CC394" i="14609"/>
  <c r="CD394" i="14609"/>
  <c r="CE394" i="14609"/>
  <c r="CF394" i="14609"/>
  <c r="CG394" i="14609"/>
  <c r="CH394" i="14609"/>
  <c r="CI394" i="14609"/>
  <c r="CJ394" i="14609"/>
  <c r="CK394" i="14609"/>
  <c r="CL394" i="14609"/>
  <c r="CM394" i="14609"/>
  <c r="CN394" i="14609"/>
  <c r="CO394" i="14609"/>
  <c r="CP394" i="14609"/>
  <c r="CQ394" i="14609"/>
  <c r="CR394" i="14609"/>
  <c r="CS394" i="14609"/>
  <c r="CT394" i="14609"/>
  <c r="CU394" i="14609"/>
  <c r="CV394" i="14609"/>
  <c r="CW394" i="14609"/>
  <c r="CX394" i="14609"/>
  <c r="CY394" i="14609"/>
  <c r="CZ394" i="14609"/>
  <c r="DA394" i="14609"/>
  <c r="DB394" i="14609"/>
  <c r="DC394" i="14609"/>
  <c r="DD394" i="14609"/>
  <c r="DE394" i="14609"/>
  <c r="DF394" i="14609"/>
  <c r="DG394" i="14609"/>
  <c r="DH394" i="14609"/>
  <c r="DI394" i="14609"/>
  <c r="DJ394" i="14609"/>
  <c r="DK394" i="14609"/>
  <c r="DL394" i="14609"/>
  <c r="DM394" i="14609"/>
  <c r="DN394" i="14609"/>
  <c r="DO394" i="14609"/>
  <c r="DP394" i="14609"/>
  <c r="DQ394" i="14609"/>
  <c r="DR394" i="14609"/>
  <c r="DS394" i="14609"/>
  <c r="DT394" i="14609"/>
  <c r="DU394" i="14609"/>
  <c r="DV394" i="14609"/>
  <c r="DW394" i="14609"/>
  <c r="DX394" i="14609"/>
  <c r="DY394" i="14609"/>
  <c r="DZ394" i="14609"/>
  <c r="EA394" i="14609"/>
  <c r="EB394" i="14609"/>
  <c r="EC394" i="14609"/>
  <c r="ED394" i="14609"/>
  <c r="EE394" i="14609"/>
  <c r="EF394" i="14609"/>
  <c r="EG394" i="14609"/>
  <c r="EH394" i="14609"/>
  <c r="EI394" i="14609"/>
  <c r="EJ394" i="14609"/>
  <c r="EK394" i="14609"/>
  <c r="EL394" i="14609"/>
  <c r="EM394" i="14609"/>
  <c r="EN394" i="14609"/>
  <c r="EO394" i="14609"/>
  <c r="EP394" i="14609"/>
  <c r="EQ394" i="14609"/>
  <c r="ER394" i="14609"/>
  <c r="ES394" i="14609"/>
  <c r="ET394" i="14609"/>
  <c r="EU394" i="14609"/>
  <c r="EV394" i="14609"/>
  <c r="EW394" i="14609"/>
  <c r="EX394" i="14609"/>
  <c r="EY394" i="14609"/>
  <c r="EZ394" i="14609"/>
  <c r="FA394" i="14609"/>
  <c r="FB394" i="14609"/>
  <c r="FC394" i="14609"/>
  <c r="FD394" i="14609"/>
  <c r="FE394" i="14609"/>
  <c r="FF394" i="14609"/>
  <c r="FG394" i="14609"/>
  <c r="FH394" i="14609"/>
  <c r="FI394" i="14609"/>
  <c r="FJ394" i="14609"/>
  <c r="FK394" i="14609"/>
  <c r="FL394" i="14609"/>
  <c r="FM394" i="14609"/>
  <c r="FN394" i="14609"/>
  <c r="FO394" i="14609"/>
  <c r="FP394" i="14609"/>
  <c r="FQ394" i="14609"/>
  <c r="FR394" i="14609"/>
  <c r="FS394" i="14609"/>
  <c r="FT394" i="14609"/>
  <c r="FU394" i="14609"/>
  <c r="FV394" i="14609"/>
  <c r="FW394" i="14609"/>
  <c r="FX394" i="14609"/>
  <c r="FY394" i="14609"/>
  <c r="FZ394" i="14609"/>
  <c r="GA394" i="14609"/>
  <c r="GB394" i="14609"/>
  <c r="GC394" i="14609"/>
  <c r="GD394" i="14609"/>
  <c r="GE394" i="14609"/>
  <c r="GF394" i="14609"/>
  <c r="GG394" i="14609"/>
  <c r="GH394" i="14609"/>
  <c r="GI394" i="14609"/>
  <c r="GJ394" i="14609"/>
  <c r="GK394" i="14609"/>
  <c r="GL394" i="14609"/>
  <c r="GM394" i="14609"/>
  <c r="GN394" i="14609"/>
  <c r="GO394" i="14609"/>
  <c r="GP394" i="14609"/>
  <c r="GQ394" i="14609"/>
  <c r="GR394" i="14609"/>
  <c r="GS394" i="14609"/>
  <c r="GT394" i="14609"/>
  <c r="GU394" i="14609"/>
  <c r="GV394" i="14609"/>
  <c r="GW394" i="14609"/>
  <c r="GX394" i="14609"/>
  <c r="GY394" i="14609"/>
  <c r="GZ394" i="14609"/>
  <c r="HA394" i="14609"/>
  <c r="HB394" i="14609"/>
  <c r="HC394" i="14609"/>
  <c r="HD394" i="14609"/>
  <c r="HE394" i="14609"/>
  <c r="HF394" i="14609"/>
  <c r="HG394" i="14609"/>
  <c r="HH394" i="14609"/>
  <c r="HI394" i="14609"/>
  <c r="HJ394" i="14609"/>
  <c r="HK394" i="14609"/>
  <c r="HL394" i="14609"/>
  <c r="HM394" i="14609"/>
  <c r="HN394" i="14609"/>
  <c r="HO394" i="14609"/>
  <c r="HP394" i="14609"/>
  <c r="HQ394" i="14609"/>
  <c r="HR394" i="14609"/>
  <c r="HS394" i="14609"/>
  <c r="HT394" i="14609"/>
  <c r="HU394" i="14609"/>
  <c r="HV394" i="14609"/>
  <c r="HW394" i="14609"/>
  <c r="HX394" i="14609"/>
  <c r="HY394" i="14609"/>
  <c r="HZ394" i="14609"/>
  <c r="IA394" i="14609"/>
  <c r="IB394" i="14609"/>
  <c r="IC394" i="14609"/>
  <c r="ID394" i="14609"/>
  <c r="IE394" i="14609"/>
  <c r="IF394" i="14609"/>
  <c r="IG394" i="14609"/>
  <c r="IH394" i="14609"/>
  <c r="II394" i="14609"/>
  <c r="IJ394" i="14609"/>
  <c r="IK394" i="14609"/>
  <c r="IL394" i="14609"/>
  <c r="IM394" i="14609"/>
  <c r="IN394" i="14609"/>
  <c r="IO394" i="14609"/>
  <c r="IP394" i="14609"/>
  <c r="IQ394" i="14609"/>
  <c r="IR394" i="14609"/>
  <c r="IS394" i="14609"/>
  <c r="IT394" i="14609"/>
  <c r="IU394" i="14609"/>
  <c r="IV394" i="14609"/>
  <c r="A393" i="14609"/>
  <c r="B393" i="14609"/>
  <c r="C393" i="14609"/>
  <c r="D393" i="14609"/>
  <c r="E393" i="14609"/>
  <c r="F393" i="14609"/>
  <c r="G393" i="14609"/>
  <c r="H393" i="14609"/>
  <c r="I393" i="14609"/>
  <c r="J393" i="14609"/>
  <c r="K393" i="14609"/>
  <c r="L393" i="14609"/>
  <c r="M393" i="14609"/>
  <c r="N393" i="14609"/>
  <c r="O393" i="14609"/>
  <c r="P393" i="14609"/>
  <c r="Q393" i="14609"/>
  <c r="R393" i="14609"/>
  <c r="S393" i="14609"/>
  <c r="T393" i="14609"/>
  <c r="U393" i="14609"/>
  <c r="V393" i="14609"/>
  <c r="W393" i="14609"/>
  <c r="X393" i="14609"/>
  <c r="Y393" i="14609"/>
  <c r="Z393" i="14609"/>
  <c r="AA393" i="14609"/>
  <c r="AB393" i="14609"/>
  <c r="AC393" i="14609"/>
  <c r="AD393" i="14609"/>
  <c r="AE393" i="14609"/>
  <c r="AF393" i="14609"/>
  <c r="AG393" i="14609"/>
  <c r="AH393" i="14609"/>
  <c r="AI393" i="14609"/>
  <c r="AJ393" i="14609"/>
  <c r="AK393" i="14609"/>
  <c r="AL393" i="14609"/>
  <c r="AM393" i="14609"/>
  <c r="AN393" i="14609"/>
  <c r="AO393" i="14609"/>
  <c r="AP393" i="14609"/>
  <c r="AQ393" i="14609"/>
  <c r="AR393" i="14609"/>
  <c r="AS393" i="14609"/>
  <c r="AT393" i="14609"/>
  <c r="AU393" i="14609"/>
  <c r="AV393" i="14609"/>
  <c r="AW393" i="14609"/>
  <c r="AX393" i="14609"/>
  <c r="AY393" i="14609"/>
  <c r="AZ393" i="14609"/>
  <c r="BA393" i="14609"/>
  <c r="BB393" i="14609"/>
  <c r="BC393" i="14609"/>
  <c r="BD393" i="14609"/>
  <c r="BE393" i="14609"/>
  <c r="BF393" i="14609"/>
  <c r="BG393" i="14609"/>
  <c r="BH393" i="14609"/>
  <c r="BI393" i="14609"/>
  <c r="BJ393" i="14609"/>
  <c r="BK393" i="14609"/>
  <c r="BL393" i="14609"/>
  <c r="BM393" i="14609"/>
  <c r="BN393" i="14609"/>
  <c r="BO393" i="14609"/>
  <c r="BP393" i="14609"/>
  <c r="BQ393" i="14609"/>
  <c r="BR393" i="14609"/>
  <c r="BS393" i="14609"/>
  <c r="BT393" i="14609"/>
  <c r="BU393" i="14609"/>
  <c r="BV393" i="14609"/>
  <c r="BW393" i="14609"/>
  <c r="BX393" i="14609"/>
  <c r="BY393" i="14609"/>
  <c r="BZ393" i="14609"/>
  <c r="CA393" i="14609"/>
  <c r="CB393" i="14609"/>
  <c r="CC393" i="14609"/>
  <c r="CD393" i="14609"/>
  <c r="CE393" i="14609"/>
  <c r="CF393" i="14609"/>
  <c r="CG393" i="14609"/>
  <c r="CH393" i="14609"/>
  <c r="CI393" i="14609"/>
  <c r="CJ393" i="14609"/>
  <c r="CK393" i="14609"/>
  <c r="CL393" i="14609"/>
  <c r="CM393" i="14609"/>
  <c r="CN393" i="14609"/>
  <c r="CO393" i="14609"/>
  <c r="CP393" i="14609"/>
  <c r="CQ393" i="14609"/>
  <c r="CR393" i="14609"/>
  <c r="CS393" i="14609"/>
  <c r="CT393" i="14609"/>
  <c r="CU393" i="14609"/>
  <c r="CV393" i="14609"/>
  <c r="CW393" i="14609"/>
  <c r="CX393" i="14609"/>
  <c r="CY393" i="14609"/>
  <c r="CZ393" i="14609"/>
  <c r="DA393" i="14609"/>
  <c r="DB393" i="14609"/>
  <c r="DC393" i="14609"/>
  <c r="DD393" i="14609"/>
  <c r="DE393" i="14609"/>
  <c r="DF393" i="14609"/>
  <c r="DG393" i="14609"/>
  <c r="DH393" i="14609"/>
  <c r="DI393" i="14609"/>
  <c r="DJ393" i="14609"/>
  <c r="DK393" i="14609"/>
  <c r="DL393" i="14609"/>
  <c r="DM393" i="14609"/>
  <c r="DN393" i="14609"/>
  <c r="DO393" i="14609"/>
  <c r="DP393" i="14609"/>
  <c r="DQ393" i="14609"/>
  <c r="DR393" i="14609"/>
  <c r="DS393" i="14609"/>
  <c r="DT393" i="14609"/>
  <c r="DU393" i="14609"/>
  <c r="DV393" i="14609"/>
  <c r="DW393" i="14609"/>
  <c r="DX393" i="14609"/>
  <c r="DY393" i="14609"/>
  <c r="DZ393" i="14609"/>
  <c r="EA393" i="14609"/>
  <c r="EB393" i="14609"/>
  <c r="EC393" i="14609"/>
  <c r="ED393" i="14609"/>
  <c r="EE393" i="14609"/>
  <c r="EF393" i="14609"/>
  <c r="EG393" i="14609"/>
  <c r="EH393" i="14609"/>
  <c r="EI393" i="14609"/>
  <c r="EJ393" i="14609"/>
  <c r="EK393" i="14609"/>
  <c r="EL393" i="14609"/>
  <c r="EM393" i="14609"/>
  <c r="EN393" i="14609"/>
  <c r="EO393" i="14609"/>
  <c r="EP393" i="14609"/>
  <c r="EQ393" i="14609"/>
  <c r="ER393" i="14609"/>
  <c r="ES393" i="14609"/>
  <c r="ET393" i="14609"/>
  <c r="EU393" i="14609"/>
  <c r="EV393" i="14609"/>
  <c r="EW393" i="14609"/>
  <c r="EX393" i="14609"/>
  <c r="EY393" i="14609"/>
  <c r="EZ393" i="14609"/>
  <c r="FA393" i="14609"/>
  <c r="FB393" i="14609"/>
  <c r="FC393" i="14609"/>
  <c r="FD393" i="14609"/>
  <c r="FE393" i="14609"/>
  <c r="FF393" i="14609"/>
  <c r="FG393" i="14609"/>
  <c r="FH393" i="14609"/>
  <c r="FI393" i="14609"/>
  <c r="FJ393" i="14609"/>
  <c r="FK393" i="14609"/>
  <c r="FL393" i="14609"/>
  <c r="FM393" i="14609"/>
  <c r="FN393" i="14609"/>
  <c r="FO393" i="14609"/>
  <c r="FP393" i="14609"/>
  <c r="FQ393" i="14609"/>
  <c r="FR393" i="14609"/>
  <c r="FS393" i="14609"/>
  <c r="FT393" i="14609"/>
  <c r="FU393" i="14609"/>
  <c r="FV393" i="14609"/>
  <c r="FW393" i="14609"/>
  <c r="FX393" i="14609"/>
  <c r="FY393" i="14609"/>
  <c r="FZ393" i="14609"/>
  <c r="GA393" i="14609"/>
  <c r="GB393" i="14609"/>
  <c r="GC393" i="14609"/>
  <c r="GD393" i="14609"/>
  <c r="GE393" i="14609"/>
  <c r="GF393" i="14609"/>
  <c r="GG393" i="14609"/>
  <c r="GH393" i="14609"/>
  <c r="GI393" i="14609"/>
  <c r="GJ393" i="14609"/>
  <c r="GK393" i="14609"/>
  <c r="GL393" i="14609"/>
  <c r="GM393" i="14609"/>
  <c r="GN393" i="14609"/>
  <c r="GO393" i="14609"/>
  <c r="GP393" i="14609"/>
  <c r="GQ393" i="14609"/>
  <c r="GR393" i="14609"/>
  <c r="GS393" i="14609"/>
  <c r="GT393" i="14609"/>
  <c r="GU393" i="14609"/>
  <c r="GV393" i="14609"/>
  <c r="GW393" i="14609"/>
  <c r="GX393" i="14609"/>
  <c r="GY393" i="14609"/>
  <c r="GZ393" i="14609"/>
  <c r="HA393" i="14609"/>
  <c r="HB393" i="14609"/>
  <c r="HC393" i="14609"/>
  <c r="HD393" i="14609"/>
  <c r="HE393" i="14609"/>
  <c r="HF393" i="14609"/>
  <c r="HG393" i="14609"/>
  <c r="HH393" i="14609"/>
  <c r="HI393" i="14609"/>
  <c r="HJ393" i="14609"/>
  <c r="HK393" i="14609"/>
  <c r="HL393" i="14609"/>
  <c r="HM393" i="14609"/>
  <c r="HN393" i="14609"/>
  <c r="HO393" i="14609"/>
  <c r="HP393" i="14609"/>
  <c r="HQ393" i="14609"/>
  <c r="HR393" i="14609"/>
  <c r="HS393" i="14609"/>
  <c r="HT393" i="14609"/>
  <c r="HU393" i="14609"/>
  <c r="HV393" i="14609"/>
  <c r="HW393" i="14609"/>
  <c r="HX393" i="14609"/>
  <c r="HY393" i="14609"/>
  <c r="HZ393" i="14609"/>
  <c r="IA393" i="14609"/>
  <c r="IB393" i="14609"/>
  <c r="IC393" i="14609"/>
  <c r="ID393" i="14609"/>
  <c r="IE393" i="14609"/>
  <c r="IF393" i="14609"/>
  <c r="IG393" i="14609"/>
  <c r="IH393" i="14609"/>
  <c r="II393" i="14609"/>
  <c r="IJ393" i="14609"/>
  <c r="IK393" i="14609"/>
  <c r="IL393" i="14609"/>
  <c r="IM393" i="14609"/>
  <c r="IN393" i="14609"/>
  <c r="IO393" i="14609"/>
  <c r="IP393" i="14609"/>
  <c r="IQ393" i="14609"/>
  <c r="IR393" i="14609"/>
  <c r="IS393" i="14609"/>
  <c r="IT393" i="14609"/>
  <c r="IU393" i="14609"/>
  <c r="IV393" i="14609"/>
  <c r="A392" i="14609"/>
  <c r="B392" i="14609"/>
  <c r="C392" i="14609"/>
  <c r="D392" i="14609"/>
  <c r="E392" i="14609"/>
  <c r="F392" i="14609"/>
  <c r="G392" i="14609"/>
  <c r="H392" i="14609"/>
  <c r="I392" i="14609"/>
  <c r="J392" i="14609"/>
  <c r="K392" i="14609"/>
  <c r="L392" i="14609"/>
  <c r="M392" i="14609"/>
  <c r="N392" i="14609"/>
  <c r="O392" i="14609"/>
  <c r="P392" i="14609"/>
  <c r="Q392" i="14609"/>
  <c r="R392" i="14609"/>
  <c r="S392" i="14609"/>
  <c r="T392" i="14609"/>
  <c r="U392" i="14609"/>
  <c r="V392" i="14609"/>
  <c r="W392" i="14609"/>
  <c r="X392" i="14609"/>
  <c r="Y392" i="14609"/>
  <c r="Z392" i="14609"/>
  <c r="AA392" i="14609"/>
  <c r="AB392" i="14609"/>
  <c r="AC392" i="14609"/>
  <c r="AD392" i="14609"/>
  <c r="AE392" i="14609"/>
  <c r="AF392" i="14609"/>
  <c r="AG392" i="14609"/>
  <c r="AH392" i="14609"/>
  <c r="AI392" i="14609"/>
  <c r="AJ392" i="14609"/>
  <c r="AK392" i="14609"/>
  <c r="AL392" i="14609"/>
  <c r="AM392" i="14609"/>
  <c r="AN392" i="14609"/>
  <c r="AO392" i="14609"/>
  <c r="AP392" i="14609"/>
  <c r="AQ392" i="14609"/>
  <c r="AR392" i="14609"/>
  <c r="AS392" i="14609"/>
  <c r="AT392" i="14609"/>
  <c r="AU392" i="14609"/>
  <c r="AV392" i="14609"/>
  <c r="AW392" i="14609"/>
  <c r="AX392" i="14609"/>
  <c r="AY392" i="14609"/>
  <c r="AZ392" i="14609"/>
  <c r="BA392" i="14609"/>
  <c r="BB392" i="14609"/>
  <c r="BC392" i="14609"/>
  <c r="BD392" i="14609"/>
  <c r="BE392" i="14609"/>
  <c r="BF392" i="14609"/>
  <c r="BG392" i="14609"/>
  <c r="BH392" i="14609"/>
  <c r="BI392" i="14609"/>
  <c r="BJ392" i="14609"/>
  <c r="BK392" i="14609"/>
  <c r="BL392" i="14609"/>
  <c r="BM392" i="14609"/>
  <c r="BN392" i="14609"/>
  <c r="BO392" i="14609"/>
  <c r="BP392" i="14609"/>
  <c r="BQ392" i="14609"/>
  <c r="BR392" i="14609"/>
  <c r="BS392" i="14609"/>
  <c r="BT392" i="14609"/>
  <c r="BU392" i="14609"/>
  <c r="BV392" i="14609"/>
  <c r="BW392" i="14609"/>
  <c r="BX392" i="14609"/>
  <c r="BY392" i="14609"/>
  <c r="BZ392" i="14609"/>
  <c r="CA392" i="14609"/>
  <c r="CB392" i="14609"/>
  <c r="CC392" i="14609"/>
  <c r="CD392" i="14609"/>
  <c r="CE392" i="14609"/>
  <c r="CF392" i="14609"/>
  <c r="CG392" i="14609"/>
  <c r="CH392" i="14609"/>
  <c r="CI392" i="14609"/>
  <c r="CJ392" i="14609"/>
  <c r="CK392" i="14609"/>
  <c r="CL392" i="14609"/>
  <c r="CM392" i="14609"/>
  <c r="CN392" i="14609"/>
  <c r="CO392" i="14609"/>
  <c r="CP392" i="14609"/>
  <c r="CQ392" i="14609"/>
  <c r="CR392" i="14609"/>
  <c r="CS392" i="14609"/>
  <c r="CT392" i="14609"/>
  <c r="CU392" i="14609"/>
  <c r="CV392" i="14609"/>
  <c r="CW392" i="14609"/>
  <c r="CX392" i="14609"/>
  <c r="CY392" i="14609"/>
  <c r="CZ392" i="14609"/>
  <c r="DA392" i="14609"/>
  <c r="DB392" i="14609"/>
  <c r="DC392" i="14609"/>
  <c r="DD392" i="14609"/>
  <c r="DE392" i="14609"/>
  <c r="DF392" i="14609"/>
  <c r="DG392" i="14609"/>
  <c r="DH392" i="14609"/>
  <c r="DI392" i="14609"/>
  <c r="DJ392" i="14609"/>
  <c r="DK392" i="14609"/>
  <c r="DL392" i="14609"/>
  <c r="DM392" i="14609"/>
  <c r="DN392" i="14609"/>
  <c r="DO392" i="14609"/>
  <c r="DP392" i="14609"/>
  <c r="DQ392" i="14609"/>
  <c r="DR392" i="14609"/>
  <c r="DS392" i="14609"/>
  <c r="DT392" i="14609"/>
  <c r="DU392" i="14609"/>
  <c r="DV392" i="14609"/>
  <c r="DW392" i="14609"/>
  <c r="DX392" i="14609"/>
  <c r="DY392" i="14609"/>
  <c r="DZ392" i="14609"/>
  <c r="EA392" i="14609"/>
  <c r="EB392" i="14609"/>
  <c r="EC392" i="14609"/>
  <c r="ED392" i="14609"/>
  <c r="EE392" i="14609"/>
  <c r="EF392" i="14609"/>
  <c r="EG392" i="14609"/>
  <c r="EH392" i="14609"/>
  <c r="EI392" i="14609"/>
  <c r="EJ392" i="14609"/>
  <c r="EK392" i="14609"/>
  <c r="EL392" i="14609"/>
  <c r="EM392" i="14609"/>
  <c r="EN392" i="14609"/>
  <c r="EO392" i="14609"/>
  <c r="EP392" i="14609"/>
  <c r="EQ392" i="14609"/>
  <c r="ER392" i="14609"/>
  <c r="ES392" i="14609"/>
  <c r="ET392" i="14609"/>
  <c r="EU392" i="14609"/>
  <c r="EV392" i="14609"/>
  <c r="EW392" i="14609"/>
  <c r="EX392" i="14609"/>
  <c r="EY392" i="14609"/>
  <c r="EZ392" i="14609"/>
  <c r="FA392" i="14609"/>
  <c r="FB392" i="14609"/>
  <c r="FC392" i="14609"/>
  <c r="FD392" i="14609"/>
  <c r="FE392" i="14609"/>
  <c r="FF392" i="14609"/>
  <c r="FG392" i="14609"/>
  <c r="FH392" i="14609"/>
  <c r="FI392" i="14609"/>
  <c r="FJ392" i="14609"/>
  <c r="FK392" i="14609"/>
  <c r="FL392" i="14609"/>
  <c r="FM392" i="14609"/>
  <c r="FN392" i="14609"/>
  <c r="FO392" i="14609"/>
  <c r="FP392" i="14609"/>
  <c r="FQ392" i="14609"/>
  <c r="FR392" i="14609"/>
  <c r="FS392" i="14609"/>
  <c r="FT392" i="14609"/>
  <c r="FU392" i="14609"/>
  <c r="FV392" i="14609"/>
  <c r="FW392" i="14609"/>
  <c r="FX392" i="14609"/>
  <c r="FY392" i="14609"/>
  <c r="FZ392" i="14609"/>
  <c r="GA392" i="14609"/>
  <c r="GB392" i="14609"/>
  <c r="GC392" i="14609"/>
  <c r="GD392" i="14609"/>
  <c r="GE392" i="14609"/>
  <c r="GF392" i="14609"/>
  <c r="GG392" i="14609"/>
  <c r="GH392" i="14609"/>
  <c r="GI392" i="14609"/>
  <c r="GJ392" i="14609"/>
  <c r="GK392" i="14609"/>
  <c r="GL392" i="14609"/>
  <c r="GM392" i="14609"/>
  <c r="GN392" i="14609"/>
  <c r="GO392" i="14609"/>
  <c r="GP392" i="14609"/>
  <c r="GQ392" i="14609"/>
  <c r="GR392" i="14609"/>
  <c r="GS392" i="14609"/>
  <c r="GT392" i="14609"/>
  <c r="GU392" i="14609"/>
  <c r="GV392" i="14609"/>
  <c r="GW392" i="14609"/>
  <c r="GX392" i="14609"/>
  <c r="GY392" i="14609"/>
  <c r="GZ392" i="14609"/>
  <c r="HA392" i="14609"/>
  <c r="HB392" i="14609"/>
  <c r="HC392" i="14609"/>
  <c r="HD392" i="14609"/>
  <c r="HE392" i="14609"/>
  <c r="HF392" i="14609"/>
  <c r="HG392" i="14609"/>
  <c r="HH392" i="14609"/>
  <c r="HI392" i="14609"/>
  <c r="HJ392" i="14609"/>
  <c r="HK392" i="14609"/>
  <c r="HL392" i="14609"/>
  <c r="HM392" i="14609"/>
  <c r="HN392" i="14609"/>
  <c r="HO392" i="14609"/>
  <c r="HP392" i="14609"/>
  <c r="HQ392" i="14609"/>
  <c r="HR392" i="14609"/>
  <c r="HS392" i="14609"/>
  <c r="HT392" i="14609"/>
  <c r="HU392" i="14609"/>
  <c r="HV392" i="14609"/>
  <c r="HW392" i="14609"/>
  <c r="HX392" i="14609"/>
  <c r="HY392" i="14609"/>
  <c r="HZ392" i="14609"/>
  <c r="IA392" i="14609"/>
  <c r="IB392" i="14609"/>
  <c r="IC392" i="14609"/>
  <c r="ID392" i="14609"/>
  <c r="IE392" i="14609"/>
  <c r="IF392" i="14609"/>
  <c r="IG392" i="14609"/>
  <c r="IH392" i="14609"/>
  <c r="II392" i="14609"/>
  <c r="IJ392" i="14609"/>
  <c r="IK392" i="14609"/>
  <c r="IL392" i="14609"/>
  <c r="IM392" i="14609"/>
  <c r="IN392" i="14609"/>
  <c r="IO392" i="14609"/>
  <c r="IP392" i="14609"/>
  <c r="IQ392" i="14609"/>
  <c r="IR392" i="14609"/>
  <c r="IS392" i="14609"/>
  <c r="IT392" i="14609"/>
  <c r="IU392" i="14609"/>
  <c r="IV392" i="14609"/>
  <c r="A391" i="14609"/>
  <c r="B391" i="14609"/>
  <c r="C391" i="14609"/>
  <c r="D391" i="14609"/>
  <c r="E391" i="14609"/>
  <c r="F391" i="14609"/>
  <c r="G391" i="14609"/>
  <c r="H391" i="14609"/>
  <c r="I391" i="14609"/>
  <c r="J391" i="14609"/>
  <c r="K391" i="14609"/>
  <c r="L391" i="14609"/>
  <c r="M391" i="14609"/>
  <c r="N391" i="14609"/>
  <c r="O391" i="14609"/>
  <c r="P391" i="14609"/>
  <c r="Q391" i="14609"/>
  <c r="R391" i="14609"/>
  <c r="S391" i="14609"/>
  <c r="T391" i="14609"/>
  <c r="U391" i="14609"/>
  <c r="V391" i="14609"/>
  <c r="W391" i="14609"/>
  <c r="X391" i="14609"/>
  <c r="Y391" i="14609"/>
  <c r="Z391" i="14609"/>
  <c r="AA391" i="14609"/>
  <c r="AB391" i="14609"/>
  <c r="AC391" i="14609"/>
  <c r="AD391" i="14609"/>
  <c r="AE391" i="14609"/>
  <c r="AF391" i="14609"/>
  <c r="AG391" i="14609"/>
  <c r="AH391" i="14609"/>
  <c r="AI391" i="14609"/>
  <c r="AJ391" i="14609"/>
  <c r="AK391" i="14609"/>
  <c r="AL391" i="14609"/>
  <c r="AM391" i="14609"/>
  <c r="AN391" i="14609"/>
  <c r="AO391" i="14609"/>
  <c r="AP391" i="14609"/>
  <c r="AQ391" i="14609"/>
  <c r="AR391" i="14609"/>
  <c r="AS391" i="14609"/>
  <c r="AT391" i="14609"/>
  <c r="AU391" i="14609"/>
  <c r="AV391" i="14609"/>
  <c r="AW391" i="14609"/>
  <c r="AX391" i="14609"/>
  <c r="AY391" i="14609"/>
  <c r="AZ391" i="14609"/>
  <c r="BA391" i="14609"/>
  <c r="BB391" i="14609"/>
  <c r="BC391" i="14609"/>
  <c r="BD391" i="14609"/>
  <c r="BE391" i="14609"/>
  <c r="BF391" i="14609"/>
  <c r="BG391" i="14609"/>
  <c r="BH391" i="14609"/>
  <c r="BI391" i="14609"/>
  <c r="BJ391" i="14609"/>
  <c r="BK391" i="14609"/>
  <c r="BL391" i="14609"/>
  <c r="BM391" i="14609"/>
  <c r="BN391" i="14609"/>
  <c r="BO391" i="14609"/>
  <c r="BP391" i="14609"/>
  <c r="BQ391" i="14609"/>
  <c r="BR391" i="14609"/>
  <c r="BS391" i="14609"/>
  <c r="BT391" i="14609"/>
  <c r="BU391" i="14609"/>
  <c r="BV391" i="14609"/>
  <c r="BW391" i="14609"/>
  <c r="BX391" i="14609"/>
  <c r="BY391" i="14609"/>
  <c r="BZ391" i="14609"/>
  <c r="CA391" i="14609"/>
  <c r="CB391" i="14609"/>
  <c r="CC391" i="14609"/>
  <c r="CD391" i="14609"/>
  <c r="CE391" i="14609"/>
  <c r="CF391" i="14609"/>
  <c r="CG391" i="14609"/>
  <c r="CH391" i="14609"/>
  <c r="CI391" i="14609"/>
  <c r="CJ391" i="14609"/>
  <c r="CK391" i="14609"/>
  <c r="CL391" i="14609"/>
  <c r="CM391" i="14609"/>
  <c r="CN391" i="14609"/>
  <c r="CO391" i="14609"/>
  <c r="CP391" i="14609"/>
  <c r="CQ391" i="14609"/>
  <c r="CR391" i="14609"/>
  <c r="CS391" i="14609"/>
  <c r="CT391" i="14609"/>
  <c r="CU391" i="14609"/>
  <c r="CV391" i="14609"/>
  <c r="CW391" i="14609"/>
  <c r="CX391" i="14609"/>
  <c r="CY391" i="14609"/>
  <c r="CZ391" i="14609"/>
  <c r="DA391" i="14609"/>
  <c r="DB391" i="14609"/>
  <c r="DC391" i="14609"/>
  <c r="DD391" i="14609"/>
  <c r="DE391" i="14609"/>
  <c r="DF391" i="14609"/>
  <c r="DG391" i="14609"/>
  <c r="DH391" i="14609"/>
  <c r="DI391" i="14609"/>
  <c r="DJ391" i="14609"/>
  <c r="DK391" i="14609"/>
  <c r="DL391" i="14609"/>
  <c r="DM391" i="14609"/>
  <c r="DN391" i="14609"/>
  <c r="DO391" i="14609"/>
  <c r="DP391" i="14609"/>
  <c r="DQ391" i="14609"/>
  <c r="DR391" i="14609"/>
  <c r="DS391" i="14609"/>
  <c r="DT391" i="14609"/>
  <c r="DU391" i="14609"/>
  <c r="DV391" i="14609"/>
  <c r="DW391" i="14609"/>
  <c r="DX391" i="14609"/>
  <c r="DY391" i="14609"/>
  <c r="DZ391" i="14609"/>
  <c r="EA391" i="14609"/>
  <c r="EB391" i="14609"/>
  <c r="EC391" i="14609"/>
  <c r="ED391" i="14609"/>
  <c r="EE391" i="14609"/>
  <c r="EF391" i="14609"/>
  <c r="EG391" i="14609"/>
  <c r="EH391" i="14609"/>
  <c r="EI391" i="14609"/>
  <c r="EJ391" i="14609"/>
  <c r="EK391" i="14609"/>
  <c r="EL391" i="14609"/>
  <c r="EM391" i="14609"/>
  <c r="EN391" i="14609"/>
  <c r="EO391" i="14609"/>
  <c r="EP391" i="14609"/>
  <c r="EQ391" i="14609"/>
  <c r="ER391" i="14609"/>
  <c r="ES391" i="14609"/>
  <c r="ET391" i="14609"/>
  <c r="EU391" i="14609"/>
  <c r="EV391" i="14609"/>
  <c r="EW391" i="14609"/>
  <c r="EX391" i="14609"/>
  <c r="EY391" i="14609"/>
  <c r="EZ391" i="14609"/>
  <c r="FA391" i="14609"/>
  <c r="FB391" i="14609"/>
  <c r="FC391" i="14609"/>
  <c r="FD391" i="14609"/>
  <c r="FE391" i="14609"/>
  <c r="FF391" i="14609"/>
  <c r="FG391" i="14609"/>
  <c r="FH391" i="14609"/>
  <c r="FI391" i="14609"/>
  <c r="FJ391" i="14609"/>
  <c r="FK391" i="14609"/>
  <c r="FL391" i="14609"/>
  <c r="FM391" i="14609"/>
  <c r="FN391" i="14609"/>
  <c r="FO391" i="14609"/>
  <c r="FP391" i="14609"/>
  <c r="FQ391" i="14609"/>
  <c r="FR391" i="14609"/>
  <c r="FS391" i="14609"/>
  <c r="FT391" i="14609"/>
  <c r="FU391" i="14609"/>
  <c r="FV391" i="14609"/>
  <c r="FW391" i="14609"/>
  <c r="FX391" i="14609"/>
  <c r="FY391" i="14609"/>
  <c r="FZ391" i="14609"/>
  <c r="GA391" i="14609"/>
  <c r="GB391" i="14609"/>
  <c r="GC391" i="14609"/>
  <c r="GD391" i="14609"/>
  <c r="GE391" i="14609"/>
  <c r="GF391" i="14609"/>
  <c r="GG391" i="14609"/>
  <c r="GH391" i="14609"/>
  <c r="GI391" i="14609"/>
  <c r="GJ391" i="14609"/>
  <c r="GK391" i="14609"/>
  <c r="GL391" i="14609"/>
  <c r="GM391" i="14609"/>
  <c r="GN391" i="14609"/>
  <c r="GO391" i="14609"/>
  <c r="GP391" i="14609"/>
  <c r="GQ391" i="14609"/>
  <c r="GR391" i="14609"/>
  <c r="GS391" i="14609"/>
  <c r="GT391" i="14609"/>
  <c r="GU391" i="14609"/>
  <c r="GV391" i="14609"/>
  <c r="GW391" i="14609"/>
  <c r="GX391" i="14609"/>
  <c r="GY391" i="14609"/>
  <c r="GZ391" i="14609"/>
  <c r="HA391" i="14609"/>
  <c r="HB391" i="14609"/>
  <c r="HC391" i="14609"/>
  <c r="HD391" i="14609"/>
  <c r="HE391" i="14609"/>
  <c r="HF391" i="14609"/>
  <c r="HG391" i="14609"/>
  <c r="HH391" i="14609"/>
  <c r="HI391" i="14609"/>
  <c r="HJ391" i="14609"/>
  <c r="HK391" i="14609"/>
  <c r="HL391" i="14609"/>
  <c r="HM391" i="14609"/>
  <c r="HN391" i="14609"/>
  <c r="HO391" i="14609"/>
  <c r="HP391" i="14609"/>
  <c r="HQ391" i="14609"/>
  <c r="HR391" i="14609"/>
  <c r="HS391" i="14609"/>
  <c r="HT391" i="14609"/>
  <c r="HU391" i="14609"/>
  <c r="HV391" i="14609"/>
  <c r="HW391" i="14609"/>
  <c r="HX391" i="14609"/>
  <c r="HY391" i="14609"/>
  <c r="HZ391" i="14609"/>
  <c r="IA391" i="14609"/>
  <c r="IB391" i="14609"/>
  <c r="IC391" i="14609"/>
  <c r="ID391" i="14609"/>
  <c r="IE391" i="14609"/>
  <c r="IF391" i="14609"/>
  <c r="IG391" i="14609"/>
  <c r="IH391" i="14609"/>
  <c r="II391" i="14609"/>
  <c r="IJ391" i="14609"/>
  <c r="IK391" i="14609"/>
  <c r="IL391" i="14609"/>
  <c r="IM391" i="14609"/>
  <c r="IN391" i="14609"/>
  <c r="IO391" i="14609"/>
  <c r="IP391" i="14609"/>
  <c r="IQ391" i="14609"/>
  <c r="IR391" i="14609"/>
  <c r="IS391" i="14609"/>
  <c r="IT391" i="14609"/>
  <c r="IU391" i="14609"/>
  <c r="IV391" i="14609"/>
  <c r="A390" i="14609"/>
  <c r="B390" i="14609"/>
  <c r="C390" i="14609"/>
  <c r="D390" i="14609"/>
  <c r="E390" i="14609"/>
  <c r="F390" i="14609"/>
  <c r="G390" i="14609"/>
  <c r="H390" i="14609"/>
  <c r="I390" i="14609"/>
  <c r="J390" i="14609"/>
  <c r="K390" i="14609"/>
  <c r="L390" i="14609"/>
  <c r="M390" i="14609"/>
  <c r="N390" i="14609"/>
  <c r="O390" i="14609"/>
  <c r="P390" i="14609"/>
  <c r="Q390" i="14609"/>
  <c r="R390" i="14609"/>
  <c r="S390" i="14609"/>
  <c r="T390" i="14609"/>
  <c r="U390" i="14609"/>
  <c r="V390" i="14609"/>
  <c r="W390" i="14609"/>
  <c r="X390" i="14609"/>
  <c r="Y390" i="14609"/>
  <c r="Z390" i="14609"/>
  <c r="AA390" i="14609"/>
  <c r="AB390" i="14609"/>
  <c r="AC390" i="14609"/>
  <c r="AD390" i="14609"/>
  <c r="AE390" i="14609"/>
  <c r="AF390" i="14609"/>
  <c r="AG390" i="14609"/>
  <c r="AH390" i="14609"/>
  <c r="AI390" i="14609"/>
  <c r="AJ390" i="14609"/>
  <c r="AK390" i="14609"/>
  <c r="AL390" i="14609"/>
  <c r="AM390" i="14609"/>
  <c r="AN390" i="14609"/>
  <c r="AO390" i="14609"/>
  <c r="AP390" i="14609"/>
  <c r="AQ390" i="14609"/>
  <c r="AR390" i="14609"/>
  <c r="AS390" i="14609"/>
  <c r="AT390" i="14609"/>
  <c r="AU390" i="14609"/>
  <c r="AV390" i="14609"/>
  <c r="AW390" i="14609"/>
  <c r="AX390" i="14609"/>
  <c r="AY390" i="14609"/>
  <c r="AZ390" i="14609"/>
  <c r="BA390" i="14609"/>
  <c r="BB390" i="14609"/>
  <c r="BC390" i="14609"/>
  <c r="BD390" i="14609"/>
  <c r="BE390" i="14609"/>
  <c r="BF390" i="14609"/>
  <c r="BG390" i="14609"/>
  <c r="BH390" i="14609"/>
  <c r="BI390" i="14609"/>
  <c r="BJ390" i="14609"/>
  <c r="BK390" i="14609"/>
  <c r="BL390" i="14609"/>
  <c r="BM390" i="14609"/>
  <c r="BN390" i="14609"/>
  <c r="BO390" i="14609"/>
  <c r="BP390" i="14609"/>
  <c r="BQ390" i="14609"/>
  <c r="BR390" i="14609"/>
  <c r="BS390" i="14609"/>
  <c r="BT390" i="14609"/>
  <c r="BU390" i="14609"/>
  <c r="BV390" i="14609"/>
  <c r="BW390" i="14609"/>
  <c r="BX390" i="14609"/>
  <c r="BY390" i="14609"/>
  <c r="BZ390" i="14609"/>
  <c r="CA390" i="14609"/>
  <c r="CB390" i="14609"/>
  <c r="CC390" i="14609"/>
  <c r="CD390" i="14609"/>
  <c r="CE390" i="14609"/>
  <c r="CF390" i="14609"/>
  <c r="CG390" i="14609"/>
  <c r="CH390" i="14609"/>
  <c r="CI390" i="14609"/>
  <c r="CJ390" i="14609"/>
  <c r="CK390" i="14609"/>
  <c r="CL390" i="14609"/>
  <c r="CM390" i="14609"/>
  <c r="CN390" i="14609"/>
  <c r="CO390" i="14609"/>
  <c r="CP390" i="14609"/>
  <c r="CQ390" i="14609"/>
  <c r="CR390" i="14609"/>
  <c r="CS390" i="14609"/>
  <c r="CT390" i="14609"/>
  <c r="CU390" i="14609"/>
  <c r="CV390" i="14609"/>
  <c r="CW390" i="14609"/>
  <c r="CX390" i="14609"/>
  <c r="CY390" i="14609"/>
  <c r="CZ390" i="14609"/>
  <c r="DA390" i="14609"/>
  <c r="DB390" i="14609"/>
  <c r="DC390" i="14609"/>
  <c r="DD390" i="14609"/>
  <c r="DE390" i="14609"/>
  <c r="DF390" i="14609"/>
  <c r="DG390" i="14609"/>
  <c r="DH390" i="14609"/>
  <c r="DI390" i="14609"/>
  <c r="DJ390" i="14609"/>
  <c r="DK390" i="14609"/>
  <c r="DL390" i="14609"/>
  <c r="DM390" i="14609"/>
  <c r="DN390" i="14609"/>
  <c r="DO390" i="14609"/>
  <c r="DP390" i="14609"/>
  <c r="DQ390" i="14609"/>
  <c r="DR390" i="14609"/>
  <c r="DS390" i="14609"/>
  <c r="DT390" i="14609"/>
  <c r="DU390" i="14609"/>
  <c r="DV390" i="14609"/>
  <c r="DW390" i="14609"/>
  <c r="DX390" i="14609"/>
  <c r="DY390" i="14609"/>
  <c r="DZ390" i="14609"/>
  <c r="EA390" i="14609"/>
  <c r="EB390" i="14609"/>
  <c r="EC390" i="14609"/>
  <c r="ED390" i="14609"/>
  <c r="EE390" i="14609"/>
  <c r="EF390" i="14609"/>
  <c r="EG390" i="14609"/>
  <c r="EH390" i="14609"/>
  <c r="EI390" i="14609"/>
  <c r="EJ390" i="14609"/>
  <c r="EK390" i="14609"/>
  <c r="EL390" i="14609"/>
  <c r="EM390" i="14609"/>
  <c r="EN390" i="14609"/>
  <c r="EO390" i="14609"/>
  <c r="EP390" i="14609"/>
  <c r="EQ390" i="14609"/>
  <c r="ER390" i="14609"/>
  <c r="ES390" i="14609"/>
  <c r="ET390" i="14609"/>
  <c r="EU390" i="14609"/>
  <c r="EV390" i="14609"/>
  <c r="EW390" i="14609"/>
  <c r="EX390" i="14609"/>
  <c r="EY390" i="14609"/>
  <c r="EZ390" i="14609"/>
  <c r="FA390" i="14609"/>
  <c r="FB390" i="14609"/>
  <c r="FC390" i="14609"/>
  <c r="FD390" i="14609"/>
  <c r="FE390" i="14609"/>
  <c r="FF390" i="14609"/>
  <c r="FG390" i="14609"/>
  <c r="FH390" i="14609"/>
  <c r="FI390" i="14609"/>
  <c r="FJ390" i="14609"/>
  <c r="FK390" i="14609"/>
  <c r="FL390" i="14609"/>
  <c r="FM390" i="14609"/>
  <c r="FN390" i="14609"/>
  <c r="FO390" i="14609"/>
  <c r="FP390" i="14609"/>
  <c r="FQ390" i="14609"/>
  <c r="FR390" i="14609"/>
  <c r="FS390" i="14609"/>
  <c r="FT390" i="14609"/>
  <c r="FU390" i="14609"/>
  <c r="FV390" i="14609"/>
  <c r="FW390" i="14609"/>
  <c r="FX390" i="14609"/>
  <c r="FY390" i="14609"/>
  <c r="FZ390" i="14609"/>
  <c r="GA390" i="14609"/>
  <c r="GB390" i="14609"/>
  <c r="GC390" i="14609"/>
  <c r="GD390" i="14609"/>
  <c r="GE390" i="14609"/>
  <c r="GF390" i="14609"/>
  <c r="GG390" i="14609"/>
  <c r="GH390" i="14609"/>
  <c r="GI390" i="14609"/>
  <c r="GJ390" i="14609"/>
  <c r="GK390" i="14609"/>
  <c r="GL390" i="14609"/>
  <c r="GM390" i="14609"/>
  <c r="GN390" i="14609"/>
  <c r="GO390" i="14609"/>
  <c r="GP390" i="14609"/>
  <c r="GQ390" i="14609"/>
  <c r="GR390" i="14609"/>
  <c r="GS390" i="14609"/>
  <c r="GT390" i="14609"/>
  <c r="GU390" i="14609"/>
  <c r="GV390" i="14609"/>
  <c r="GW390" i="14609"/>
  <c r="GX390" i="14609"/>
  <c r="GY390" i="14609"/>
  <c r="GZ390" i="14609"/>
  <c r="HA390" i="14609"/>
  <c r="HB390" i="14609"/>
  <c r="HC390" i="14609"/>
  <c r="HD390" i="14609"/>
  <c r="HE390" i="14609"/>
  <c r="HF390" i="14609"/>
  <c r="HG390" i="14609"/>
  <c r="HH390" i="14609"/>
  <c r="HI390" i="14609"/>
  <c r="HJ390" i="14609"/>
  <c r="HK390" i="14609"/>
  <c r="HL390" i="14609"/>
  <c r="HM390" i="14609"/>
  <c r="HN390" i="14609"/>
  <c r="HO390" i="14609"/>
  <c r="HP390" i="14609"/>
  <c r="HQ390" i="14609"/>
  <c r="HR390" i="14609"/>
  <c r="HS390" i="14609"/>
  <c r="HT390" i="14609"/>
  <c r="HU390" i="14609"/>
  <c r="HV390" i="14609"/>
  <c r="HW390" i="14609"/>
  <c r="HX390" i="14609"/>
  <c r="HY390" i="14609"/>
  <c r="HZ390" i="14609"/>
  <c r="IA390" i="14609"/>
  <c r="IB390" i="14609"/>
  <c r="IC390" i="14609"/>
  <c r="ID390" i="14609"/>
  <c r="IE390" i="14609"/>
  <c r="IF390" i="14609"/>
  <c r="IG390" i="14609"/>
  <c r="IH390" i="14609"/>
  <c r="II390" i="14609"/>
  <c r="IJ390" i="14609"/>
  <c r="IK390" i="14609"/>
  <c r="IL390" i="14609"/>
  <c r="IM390" i="14609"/>
  <c r="IN390" i="14609"/>
  <c r="IO390" i="14609"/>
  <c r="IP390" i="14609"/>
  <c r="IQ390" i="14609"/>
  <c r="IR390" i="14609"/>
  <c r="IS390" i="14609"/>
  <c r="IT390" i="14609"/>
  <c r="IU390" i="14609"/>
  <c r="IV390" i="14609"/>
  <c r="A389" i="14609"/>
  <c r="B389" i="14609"/>
  <c r="C389" i="14609"/>
  <c r="D389" i="14609"/>
  <c r="E389" i="14609"/>
  <c r="F389" i="14609"/>
  <c r="G389" i="14609"/>
  <c r="H389" i="14609"/>
  <c r="I389" i="14609"/>
  <c r="J389" i="14609"/>
  <c r="K389" i="14609"/>
  <c r="L389" i="14609"/>
  <c r="M389" i="14609"/>
  <c r="N389" i="14609"/>
  <c r="O389" i="14609"/>
  <c r="P389" i="14609"/>
  <c r="Q389" i="14609"/>
  <c r="R389" i="14609"/>
  <c r="S389" i="14609"/>
  <c r="T389" i="14609"/>
  <c r="U389" i="14609"/>
  <c r="V389" i="14609"/>
  <c r="W389" i="14609"/>
  <c r="X389" i="14609"/>
  <c r="Y389" i="14609"/>
  <c r="Z389" i="14609"/>
  <c r="AA389" i="14609"/>
  <c r="AB389" i="14609"/>
  <c r="AC389" i="14609"/>
  <c r="AD389" i="14609"/>
  <c r="AE389" i="14609"/>
  <c r="AF389" i="14609"/>
  <c r="AG389" i="14609"/>
  <c r="AH389" i="14609"/>
  <c r="AI389" i="14609"/>
  <c r="AJ389" i="14609"/>
  <c r="AK389" i="14609"/>
  <c r="AL389" i="14609"/>
  <c r="AM389" i="14609"/>
  <c r="AN389" i="14609"/>
  <c r="AO389" i="14609"/>
  <c r="AP389" i="14609"/>
  <c r="AQ389" i="14609"/>
  <c r="AR389" i="14609"/>
  <c r="AS389" i="14609"/>
  <c r="AT389" i="14609"/>
  <c r="AU389" i="14609"/>
  <c r="AV389" i="14609"/>
  <c r="AW389" i="14609"/>
  <c r="AX389" i="14609"/>
  <c r="AY389" i="14609"/>
  <c r="AZ389" i="14609"/>
  <c r="BA389" i="14609"/>
  <c r="BB389" i="14609"/>
  <c r="BC389" i="14609"/>
  <c r="BD389" i="14609"/>
  <c r="BE389" i="14609"/>
  <c r="BF389" i="14609"/>
  <c r="BG389" i="14609"/>
  <c r="BH389" i="14609"/>
  <c r="BI389" i="14609"/>
  <c r="BJ389" i="14609"/>
  <c r="BK389" i="14609"/>
  <c r="BL389" i="14609"/>
  <c r="BM389" i="14609"/>
  <c r="BN389" i="14609"/>
  <c r="BO389" i="14609"/>
  <c r="BP389" i="14609"/>
  <c r="BQ389" i="14609"/>
  <c r="BR389" i="14609"/>
  <c r="BS389" i="14609"/>
  <c r="BT389" i="14609"/>
  <c r="BU389" i="14609"/>
  <c r="BV389" i="14609"/>
  <c r="BW389" i="14609"/>
  <c r="BX389" i="14609"/>
  <c r="BY389" i="14609"/>
  <c r="BZ389" i="14609"/>
  <c r="CA389" i="14609"/>
  <c r="CB389" i="14609"/>
  <c r="CC389" i="14609"/>
  <c r="CD389" i="14609"/>
  <c r="CE389" i="14609"/>
  <c r="CF389" i="14609"/>
  <c r="CG389" i="14609"/>
  <c r="CH389" i="14609"/>
  <c r="CI389" i="14609"/>
  <c r="CJ389" i="14609"/>
  <c r="CK389" i="14609"/>
  <c r="CL389" i="14609"/>
  <c r="CM389" i="14609"/>
  <c r="CN389" i="14609"/>
  <c r="CO389" i="14609"/>
  <c r="CP389" i="14609"/>
  <c r="CQ389" i="14609"/>
  <c r="CR389" i="14609"/>
  <c r="CS389" i="14609"/>
  <c r="CT389" i="14609"/>
  <c r="CU389" i="14609"/>
  <c r="CV389" i="14609"/>
  <c r="CW389" i="14609"/>
  <c r="CX389" i="14609"/>
  <c r="CY389" i="14609"/>
  <c r="CZ389" i="14609"/>
  <c r="DA389" i="14609"/>
  <c r="DB389" i="14609"/>
  <c r="DC389" i="14609"/>
  <c r="DD389" i="14609"/>
  <c r="DE389" i="14609"/>
  <c r="DF389" i="14609"/>
  <c r="DG389" i="14609"/>
  <c r="DH389" i="14609"/>
  <c r="DI389" i="14609"/>
  <c r="DJ389" i="14609"/>
  <c r="DK389" i="14609"/>
  <c r="DL389" i="14609"/>
  <c r="DM389" i="14609"/>
  <c r="DN389" i="14609"/>
  <c r="DO389" i="14609"/>
  <c r="DP389" i="14609"/>
  <c r="DQ389" i="14609"/>
  <c r="DR389" i="14609"/>
  <c r="DS389" i="14609"/>
  <c r="DT389" i="14609"/>
  <c r="DU389" i="14609"/>
  <c r="DV389" i="14609"/>
  <c r="DW389" i="14609"/>
  <c r="DX389" i="14609"/>
  <c r="DY389" i="14609"/>
  <c r="DZ389" i="14609"/>
  <c r="EA389" i="14609"/>
  <c r="EB389" i="14609"/>
  <c r="EC389" i="14609"/>
  <c r="ED389" i="14609"/>
  <c r="EE389" i="14609"/>
  <c r="EF389" i="14609"/>
  <c r="EG389" i="14609"/>
  <c r="EH389" i="14609"/>
  <c r="EI389" i="14609"/>
  <c r="EJ389" i="14609"/>
  <c r="EK389" i="14609"/>
  <c r="EL389" i="14609"/>
  <c r="EM389" i="14609"/>
  <c r="EN389" i="14609"/>
  <c r="EO389" i="14609"/>
  <c r="EP389" i="14609"/>
  <c r="EQ389" i="14609"/>
  <c r="ER389" i="14609"/>
  <c r="ES389" i="14609"/>
  <c r="ET389" i="14609"/>
  <c r="EU389" i="14609"/>
  <c r="EV389" i="14609"/>
  <c r="EW389" i="14609"/>
  <c r="EX389" i="14609"/>
  <c r="EY389" i="14609"/>
  <c r="EZ389" i="14609"/>
  <c r="FA389" i="14609"/>
  <c r="FB389" i="14609"/>
  <c r="FC389" i="14609"/>
  <c r="FD389" i="14609"/>
  <c r="FE389" i="14609"/>
  <c r="FF389" i="14609"/>
  <c r="FG389" i="14609"/>
  <c r="FH389" i="14609"/>
  <c r="FI389" i="14609"/>
  <c r="FJ389" i="14609"/>
  <c r="FK389" i="14609"/>
  <c r="FL389" i="14609"/>
  <c r="FM389" i="14609"/>
  <c r="FN389" i="14609"/>
  <c r="FO389" i="14609"/>
  <c r="FP389" i="14609"/>
  <c r="FQ389" i="14609"/>
  <c r="FR389" i="14609"/>
  <c r="FS389" i="14609"/>
  <c r="FT389" i="14609"/>
  <c r="FU389" i="14609"/>
  <c r="FV389" i="14609"/>
  <c r="FW389" i="14609"/>
  <c r="FX389" i="14609"/>
  <c r="FY389" i="14609"/>
  <c r="FZ389" i="14609"/>
  <c r="GA389" i="14609"/>
  <c r="GB389" i="14609"/>
  <c r="GC389" i="14609"/>
  <c r="GD389" i="14609"/>
  <c r="GE389" i="14609"/>
  <c r="GF389" i="14609"/>
  <c r="GG389" i="14609"/>
  <c r="GH389" i="14609"/>
  <c r="GI389" i="14609"/>
  <c r="GJ389" i="14609"/>
  <c r="GK389" i="14609"/>
  <c r="GL389" i="14609"/>
  <c r="GM389" i="14609"/>
  <c r="GN389" i="14609"/>
  <c r="GO389" i="14609"/>
  <c r="GP389" i="14609"/>
  <c r="GQ389" i="14609"/>
  <c r="GR389" i="14609"/>
  <c r="GS389" i="14609"/>
  <c r="GT389" i="14609"/>
  <c r="GU389" i="14609"/>
  <c r="GV389" i="14609"/>
  <c r="GW389" i="14609"/>
  <c r="GX389" i="14609"/>
  <c r="GY389" i="14609"/>
  <c r="GZ389" i="14609"/>
  <c r="HA389" i="14609"/>
  <c r="HB389" i="14609"/>
  <c r="HC389" i="14609"/>
  <c r="HD389" i="14609"/>
  <c r="HE389" i="14609"/>
  <c r="HF389" i="14609"/>
  <c r="HG389" i="14609"/>
  <c r="HH389" i="14609"/>
  <c r="HI389" i="14609"/>
  <c r="HJ389" i="14609"/>
  <c r="HK389" i="14609"/>
  <c r="HL389" i="14609"/>
  <c r="HM389" i="14609"/>
  <c r="HN389" i="14609"/>
  <c r="HO389" i="14609"/>
  <c r="HP389" i="14609"/>
  <c r="HQ389" i="14609"/>
  <c r="HR389" i="14609"/>
  <c r="HS389" i="14609"/>
  <c r="HT389" i="14609"/>
  <c r="HU389" i="14609"/>
  <c r="HV389" i="14609"/>
  <c r="HW389" i="14609"/>
  <c r="HX389" i="14609"/>
  <c r="HY389" i="14609"/>
  <c r="HZ389" i="14609"/>
  <c r="IA389" i="14609"/>
  <c r="IB389" i="14609"/>
  <c r="IC389" i="14609"/>
  <c r="ID389" i="14609"/>
  <c r="IE389" i="14609"/>
  <c r="IF389" i="14609"/>
  <c r="IG389" i="14609"/>
  <c r="IH389" i="14609"/>
  <c r="II389" i="14609"/>
  <c r="IJ389" i="14609"/>
  <c r="IK389" i="14609"/>
  <c r="IL389" i="14609"/>
  <c r="IM389" i="14609"/>
  <c r="IN389" i="14609"/>
  <c r="IO389" i="14609"/>
  <c r="IP389" i="14609"/>
  <c r="IQ389" i="14609"/>
  <c r="IR389" i="14609"/>
  <c r="IS389" i="14609"/>
  <c r="IT389" i="14609"/>
  <c r="IU389" i="14609"/>
  <c r="IV389" i="14609"/>
  <c r="A388" i="14609"/>
  <c r="B388" i="14609"/>
  <c r="C388" i="14609"/>
  <c r="D388" i="14609"/>
  <c r="E388" i="14609"/>
  <c r="F388" i="14609"/>
  <c r="G388" i="14609"/>
  <c r="H388" i="14609"/>
  <c r="I388" i="14609"/>
  <c r="J388" i="14609"/>
  <c r="K388" i="14609"/>
  <c r="L388" i="14609"/>
  <c r="M388" i="14609"/>
  <c r="N388" i="14609"/>
  <c r="O388" i="14609"/>
  <c r="P388" i="14609"/>
  <c r="Q388" i="14609"/>
  <c r="R388" i="14609"/>
  <c r="S388" i="14609"/>
  <c r="T388" i="14609"/>
  <c r="U388" i="14609"/>
  <c r="V388" i="14609"/>
  <c r="W388" i="14609"/>
  <c r="X388" i="14609"/>
  <c r="Y388" i="14609"/>
  <c r="Z388" i="14609"/>
  <c r="AA388" i="14609"/>
  <c r="AB388" i="14609"/>
  <c r="AC388" i="14609"/>
  <c r="AD388" i="14609"/>
  <c r="AE388" i="14609"/>
  <c r="AF388" i="14609"/>
  <c r="AG388" i="14609"/>
  <c r="AH388" i="14609"/>
  <c r="AI388" i="14609"/>
  <c r="AJ388" i="14609"/>
  <c r="AK388" i="14609"/>
  <c r="AL388" i="14609"/>
  <c r="AM388" i="14609"/>
  <c r="AN388" i="14609"/>
  <c r="AO388" i="14609"/>
  <c r="AP388" i="14609"/>
  <c r="AQ388" i="14609"/>
  <c r="AR388" i="14609"/>
  <c r="AS388" i="14609"/>
  <c r="AT388" i="14609"/>
  <c r="AU388" i="14609"/>
  <c r="AV388" i="14609"/>
  <c r="AW388" i="14609"/>
  <c r="AX388" i="14609"/>
  <c r="AY388" i="14609"/>
  <c r="AZ388" i="14609"/>
  <c r="BA388" i="14609"/>
  <c r="BB388" i="14609"/>
  <c r="BC388" i="14609"/>
  <c r="BD388" i="14609"/>
  <c r="BE388" i="14609"/>
  <c r="BF388" i="14609"/>
  <c r="BG388" i="14609"/>
  <c r="BH388" i="14609"/>
  <c r="BI388" i="14609"/>
  <c r="BJ388" i="14609"/>
  <c r="BK388" i="14609"/>
  <c r="BL388" i="14609"/>
  <c r="BM388" i="14609"/>
  <c r="BN388" i="14609"/>
  <c r="BO388" i="14609"/>
  <c r="BP388" i="14609"/>
  <c r="BQ388" i="14609"/>
  <c r="BR388" i="14609"/>
  <c r="BS388" i="14609"/>
  <c r="BT388" i="14609"/>
  <c r="BU388" i="14609"/>
  <c r="BV388" i="14609"/>
  <c r="BW388" i="14609"/>
  <c r="BX388" i="14609"/>
  <c r="BY388" i="14609"/>
  <c r="BZ388" i="14609"/>
  <c r="CA388" i="14609"/>
  <c r="CB388" i="14609"/>
  <c r="CC388" i="14609"/>
  <c r="CD388" i="14609"/>
  <c r="CE388" i="14609"/>
  <c r="CF388" i="14609"/>
  <c r="CG388" i="14609"/>
  <c r="CH388" i="14609"/>
  <c r="CI388" i="14609"/>
  <c r="CJ388" i="14609"/>
  <c r="CK388" i="14609"/>
  <c r="CL388" i="14609"/>
  <c r="CM388" i="14609"/>
  <c r="CN388" i="14609"/>
  <c r="CO388" i="14609"/>
  <c r="CP388" i="14609"/>
  <c r="CQ388" i="14609"/>
  <c r="CR388" i="14609"/>
  <c r="CS388" i="14609"/>
  <c r="CT388" i="14609"/>
  <c r="CU388" i="14609"/>
  <c r="CV388" i="14609"/>
  <c r="CW388" i="14609"/>
  <c r="CX388" i="14609"/>
  <c r="CY388" i="14609"/>
  <c r="CZ388" i="14609"/>
  <c r="DA388" i="14609"/>
  <c r="DB388" i="14609"/>
  <c r="DC388" i="14609"/>
  <c r="DD388" i="14609"/>
  <c r="DE388" i="14609"/>
  <c r="DF388" i="14609"/>
  <c r="DG388" i="14609"/>
  <c r="DH388" i="14609"/>
  <c r="DI388" i="14609"/>
  <c r="DJ388" i="14609"/>
  <c r="DK388" i="14609"/>
  <c r="DL388" i="14609"/>
  <c r="DM388" i="14609"/>
  <c r="DN388" i="14609"/>
  <c r="DO388" i="14609"/>
  <c r="DP388" i="14609"/>
  <c r="DQ388" i="14609"/>
  <c r="DR388" i="14609"/>
  <c r="DS388" i="14609"/>
  <c r="DT388" i="14609"/>
  <c r="DU388" i="14609"/>
  <c r="DV388" i="14609"/>
  <c r="DW388" i="14609"/>
  <c r="DX388" i="14609"/>
  <c r="DY388" i="14609"/>
  <c r="DZ388" i="14609"/>
  <c r="EA388" i="14609"/>
  <c r="EB388" i="14609"/>
  <c r="EC388" i="14609"/>
  <c r="ED388" i="14609"/>
  <c r="EE388" i="14609"/>
  <c r="EF388" i="14609"/>
  <c r="EG388" i="14609"/>
  <c r="EH388" i="14609"/>
  <c r="EI388" i="14609"/>
  <c r="EJ388" i="14609"/>
  <c r="EK388" i="14609"/>
  <c r="EL388" i="14609"/>
  <c r="EM388" i="14609"/>
  <c r="EN388" i="14609"/>
  <c r="EO388" i="14609"/>
  <c r="EP388" i="14609"/>
  <c r="EQ388" i="14609"/>
  <c r="ER388" i="14609"/>
  <c r="ES388" i="14609"/>
  <c r="ET388" i="14609"/>
  <c r="EU388" i="14609"/>
  <c r="EV388" i="14609"/>
  <c r="EW388" i="14609"/>
  <c r="EX388" i="14609"/>
  <c r="EY388" i="14609"/>
  <c r="EZ388" i="14609"/>
  <c r="FA388" i="14609"/>
  <c r="FB388" i="14609"/>
  <c r="FC388" i="14609"/>
  <c r="FD388" i="14609"/>
  <c r="FE388" i="14609"/>
  <c r="FF388" i="14609"/>
  <c r="FG388" i="14609"/>
  <c r="FH388" i="14609"/>
  <c r="FI388" i="14609"/>
  <c r="FJ388" i="14609"/>
  <c r="FK388" i="14609"/>
  <c r="FL388" i="14609"/>
  <c r="FM388" i="14609"/>
  <c r="FN388" i="14609"/>
  <c r="FO388" i="14609"/>
  <c r="FP388" i="14609"/>
  <c r="FQ388" i="14609"/>
  <c r="FR388" i="14609"/>
  <c r="FS388" i="14609"/>
  <c r="FT388" i="14609"/>
  <c r="FU388" i="14609"/>
  <c r="FV388" i="14609"/>
  <c r="FW388" i="14609"/>
  <c r="FX388" i="14609"/>
  <c r="FY388" i="14609"/>
  <c r="FZ388" i="14609"/>
  <c r="GA388" i="14609"/>
  <c r="GB388" i="14609"/>
  <c r="GC388" i="14609"/>
  <c r="GD388" i="14609"/>
  <c r="GE388" i="14609"/>
  <c r="GF388" i="14609"/>
  <c r="GG388" i="14609"/>
  <c r="GH388" i="14609"/>
  <c r="GI388" i="14609"/>
  <c r="GJ388" i="14609"/>
  <c r="GK388" i="14609"/>
  <c r="GL388" i="14609"/>
  <c r="GM388" i="14609"/>
  <c r="GN388" i="14609"/>
  <c r="GO388" i="14609"/>
  <c r="GP388" i="14609"/>
  <c r="GQ388" i="14609"/>
  <c r="GR388" i="14609"/>
  <c r="GS388" i="14609"/>
  <c r="GT388" i="14609"/>
  <c r="GU388" i="14609"/>
  <c r="GV388" i="14609"/>
  <c r="GW388" i="14609"/>
  <c r="GX388" i="14609"/>
  <c r="GY388" i="14609"/>
  <c r="GZ388" i="14609"/>
  <c r="HA388" i="14609"/>
  <c r="HB388" i="14609"/>
  <c r="HC388" i="14609"/>
  <c r="HD388" i="14609"/>
  <c r="HE388" i="14609"/>
  <c r="HF388" i="14609"/>
  <c r="HG388" i="14609"/>
  <c r="HH388" i="14609"/>
  <c r="HI388" i="14609"/>
  <c r="HJ388" i="14609"/>
  <c r="HK388" i="14609"/>
  <c r="HL388" i="14609"/>
  <c r="HM388" i="14609"/>
  <c r="HN388" i="14609"/>
  <c r="HO388" i="14609"/>
  <c r="HP388" i="14609"/>
  <c r="HQ388" i="14609"/>
  <c r="HR388" i="14609"/>
  <c r="HS388" i="14609"/>
  <c r="HT388" i="14609"/>
  <c r="HU388" i="14609"/>
  <c r="HV388" i="14609"/>
  <c r="HW388" i="14609"/>
  <c r="HX388" i="14609"/>
  <c r="HY388" i="14609"/>
  <c r="HZ388" i="14609"/>
  <c r="IA388" i="14609"/>
  <c r="IB388" i="14609"/>
  <c r="IC388" i="14609"/>
  <c r="ID388" i="14609"/>
  <c r="IE388" i="14609"/>
  <c r="IF388" i="14609"/>
  <c r="IG388" i="14609"/>
  <c r="IH388" i="14609"/>
  <c r="II388" i="14609"/>
  <c r="IJ388" i="14609"/>
  <c r="IK388" i="14609"/>
  <c r="IL388" i="14609"/>
  <c r="IM388" i="14609"/>
  <c r="IN388" i="14609"/>
  <c r="IO388" i="14609"/>
  <c r="IP388" i="14609"/>
  <c r="IQ388" i="14609"/>
  <c r="IR388" i="14609"/>
  <c r="IS388" i="14609"/>
  <c r="IT388" i="14609"/>
  <c r="IU388" i="14609"/>
  <c r="IV388" i="14609"/>
  <c r="A387" i="14609"/>
  <c r="B387" i="14609"/>
  <c r="C387" i="14609"/>
  <c r="D387" i="14609"/>
  <c r="E387" i="14609"/>
  <c r="F387" i="14609"/>
  <c r="G387" i="14609"/>
  <c r="H387" i="14609"/>
  <c r="I387" i="14609"/>
  <c r="J387" i="14609"/>
  <c r="K387" i="14609"/>
  <c r="L387" i="14609"/>
  <c r="M387" i="14609"/>
  <c r="N387" i="14609"/>
  <c r="O387" i="14609"/>
  <c r="P387" i="14609"/>
  <c r="Q387" i="14609"/>
  <c r="R387" i="14609"/>
  <c r="S387" i="14609"/>
  <c r="T387" i="14609"/>
  <c r="U387" i="14609"/>
  <c r="V387" i="14609"/>
  <c r="W387" i="14609"/>
  <c r="X387" i="14609"/>
  <c r="Y387" i="14609"/>
  <c r="Z387" i="14609"/>
  <c r="AA387" i="14609"/>
  <c r="AB387" i="14609"/>
  <c r="AC387" i="14609"/>
  <c r="AD387" i="14609"/>
  <c r="AE387" i="14609"/>
  <c r="AF387" i="14609"/>
  <c r="AG387" i="14609"/>
  <c r="AH387" i="14609"/>
  <c r="AI387" i="14609"/>
  <c r="AJ387" i="14609"/>
  <c r="AK387" i="14609"/>
  <c r="AL387" i="14609"/>
  <c r="AM387" i="14609"/>
  <c r="AN387" i="14609"/>
  <c r="AO387" i="14609"/>
  <c r="AP387" i="14609"/>
  <c r="AQ387" i="14609"/>
  <c r="AR387" i="14609"/>
  <c r="AS387" i="14609"/>
  <c r="AT387" i="14609"/>
  <c r="AU387" i="14609"/>
  <c r="AV387" i="14609"/>
  <c r="AW387" i="14609"/>
  <c r="AX387" i="14609"/>
  <c r="AY387" i="14609"/>
  <c r="AZ387" i="14609"/>
  <c r="BA387" i="14609"/>
  <c r="BB387" i="14609"/>
  <c r="BC387" i="14609"/>
  <c r="BD387" i="14609"/>
  <c r="BE387" i="14609"/>
  <c r="BF387" i="14609"/>
  <c r="BG387" i="14609"/>
  <c r="BH387" i="14609"/>
  <c r="BI387" i="14609"/>
  <c r="BJ387" i="14609"/>
  <c r="BK387" i="14609"/>
  <c r="BL387" i="14609"/>
  <c r="BM387" i="14609"/>
  <c r="BN387" i="14609"/>
  <c r="BO387" i="14609"/>
  <c r="BP387" i="14609"/>
  <c r="BQ387" i="14609"/>
  <c r="BR387" i="14609"/>
  <c r="BS387" i="14609"/>
  <c r="BT387" i="14609"/>
  <c r="BU387" i="14609"/>
  <c r="BV387" i="14609"/>
  <c r="BW387" i="14609"/>
  <c r="BX387" i="14609"/>
  <c r="BY387" i="14609"/>
  <c r="BZ387" i="14609"/>
  <c r="CA387" i="14609"/>
  <c r="CB387" i="14609"/>
  <c r="CC387" i="14609"/>
  <c r="CD387" i="14609"/>
  <c r="CE387" i="14609"/>
  <c r="CF387" i="14609"/>
  <c r="CG387" i="14609"/>
  <c r="CH387" i="14609"/>
  <c r="CI387" i="14609"/>
  <c r="CJ387" i="14609"/>
  <c r="CK387" i="14609"/>
  <c r="CL387" i="14609"/>
  <c r="CM387" i="14609"/>
  <c r="CN387" i="14609"/>
  <c r="CO387" i="14609"/>
  <c r="CP387" i="14609"/>
  <c r="CQ387" i="14609"/>
  <c r="CR387" i="14609"/>
  <c r="CS387" i="14609"/>
  <c r="CT387" i="14609"/>
  <c r="CU387" i="14609"/>
  <c r="CV387" i="14609"/>
  <c r="CW387" i="14609"/>
  <c r="CX387" i="14609"/>
  <c r="CY387" i="14609"/>
  <c r="CZ387" i="14609"/>
  <c r="DA387" i="14609"/>
  <c r="DB387" i="14609"/>
  <c r="DC387" i="14609"/>
  <c r="DD387" i="14609"/>
  <c r="DE387" i="14609"/>
  <c r="DF387" i="14609"/>
  <c r="DG387" i="14609"/>
  <c r="DH387" i="14609"/>
  <c r="DI387" i="14609"/>
  <c r="DJ387" i="14609"/>
  <c r="DK387" i="14609"/>
  <c r="DL387" i="14609"/>
  <c r="DM387" i="14609"/>
  <c r="DN387" i="14609"/>
  <c r="DO387" i="14609"/>
  <c r="DP387" i="14609"/>
  <c r="DQ387" i="14609"/>
  <c r="DR387" i="14609"/>
  <c r="DS387" i="14609"/>
  <c r="DT387" i="14609"/>
  <c r="DU387" i="14609"/>
  <c r="DV387" i="14609"/>
  <c r="DW387" i="14609"/>
  <c r="DX387" i="14609"/>
  <c r="DY387" i="14609"/>
  <c r="DZ387" i="14609"/>
  <c r="EA387" i="14609"/>
  <c r="EB387" i="14609"/>
  <c r="EC387" i="14609"/>
  <c r="ED387" i="14609"/>
  <c r="EE387" i="14609"/>
  <c r="EF387" i="14609"/>
  <c r="EG387" i="14609"/>
  <c r="EH387" i="14609"/>
  <c r="EI387" i="14609"/>
  <c r="EJ387" i="14609"/>
  <c r="EK387" i="14609"/>
  <c r="EL387" i="14609"/>
  <c r="EM387" i="14609"/>
  <c r="EN387" i="14609"/>
  <c r="EO387" i="14609"/>
  <c r="EP387" i="14609"/>
  <c r="EQ387" i="14609"/>
  <c r="ER387" i="14609"/>
  <c r="ES387" i="14609"/>
  <c r="ET387" i="14609"/>
  <c r="EU387" i="14609"/>
  <c r="EV387" i="14609"/>
  <c r="EW387" i="14609"/>
  <c r="EX387" i="14609"/>
  <c r="EY387" i="14609"/>
  <c r="EZ387" i="14609"/>
  <c r="FA387" i="14609"/>
  <c r="FB387" i="14609"/>
  <c r="FC387" i="14609"/>
  <c r="FD387" i="14609"/>
  <c r="FE387" i="14609"/>
  <c r="FF387" i="14609"/>
  <c r="FG387" i="14609"/>
  <c r="FH387" i="14609"/>
  <c r="FI387" i="14609"/>
  <c r="FJ387" i="14609"/>
  <c r="FK387" i="14609"/>
  <c r="FL387" i="14609"/>
  <c r="FM387" i="14609"/>
  <c r="FN387" i="14609"/>
  <c r="FO387" i="14609"/>
  <c r="FP387" i="14609"/>
  <c r="FQ387" i="14609"/>
  <c r="FR387" i="14609"/>
  <c r="FS387" i="14609"/>
  <c r="FT387" i="14609"/>
  <c r="FU387" i="14609"/>
  <c r="FV387" i="14609"/>
  <c r="FW387" i="14609"/>
  <c r="FX387" i="14609"/>
  <c r="FY387" i="14609"/>
  <c r="FZ387" i="14609"/>
  <c r="GA387" i="14609"/>
  <c r="GB387" i="14609"/>
  <c r="GC387" i="14609"/>
  <c r="GD387" i="14609"/>
  <c r="GE387" i="14609"/>
  <c r="GF387" i="14609"/>
  <c r="GG387" i="14609"/>
  <c r="GH387" i="14609"/>
  <c r="GI387" i="14609"/>
  <c r="GJ387" i="14609"/>
  <c r="GK387" i="14609"/>
  <c r="GL387" i="14609"/>
  <c r="GM387" i="14609"/>
  <c r="GN387" i="14609"/>
  <c r="GO387" i="14609"/>
  <c r="GP387" i="14609"/>
  <c r="GQ387" i="14609"/>
  <c r="GR387" i="14609"/>
  <c r="GS387" i="14609"/>
  <c r="GT387" i="14609"/>
  <c r="GU387" i="14609"/>
  <c r="GV387" i="14609"/>
  <c r="GW387" i="14609"/>
  <c r="GX387" i="14609"/>
  <c r="GY387" i="14609"/>
  <c r="GZ387" i="14609"/>
  <c r="HA387" i="14609"/>
  <c r="HB387" i="14609"/>
  <c r="HC387" i="14609"/>
  <c r="HD387" i="14609"/>
  <c r="HE387" i="14609"/>
  <c r="HF387" i="14609"/>
  <c r="HG387" i="14609"/>
  <c r="HH387" i="14609"/>
  <c r="HI387" i="14609"/>
  <c r="HJ387" i="14609"/>
  <c r="HK387" i="14609"/>
  <c r="HL387" i="14609"/>
  <c r="HM387" i="14609"/>
  <c r="HN387" i="14609"/>
  <c r="HO387" i="14609"/>
  <c r="HP387" i="14609"/>
  <c r="HQ387" i="14609"/>
  <c r="HR387" i="14609"/>
  <c r="HS387" i="14609"/>
  <c r="HT387" i="14609"/>
  <c r="HU387" i="14609"/>
  <c r="HV387" i="14609"/>
  <c r="HW387" i="14609"/>
  <c r="HX387" i="14609"/>
  <c r="HY387" i="14609"/>
  <c r="HZ387" i="14609"/>
  <c r="IA387" i="14609"/>
  <c r="IB387" i="14609"/>
  <c r="IC387" i="14609"/>
  <c r="ID387" i="14609"/>
  <c r="IE387" i="14609"/>
  <c r="IF387" i="14609"/>
  <c r="IG387" i="14609"/>
  <c r="IH387" i="14609"/>
  <c r="II387" i="14609"/>
  <c r="IJ387" i="14609"/>
  <c r="IK387" i="14609"/>
  <c r="IL387" i="14609"/>
  <c r="IM387" i="14609"/>
  <c r="IN387" i="14609"/>
  <c r="IO387" i="14609"/>
  <c r="IP387" i="14609"/>
  <c r="IQ387" i="14609"/>
  <c r="IR387" i="14609"/>
  <c r="IS387" i="14609"/>
  <c r="IT387" i="14609"/>
  <c r="IU387" i="14609"/>
  <c r="IV387" i="14609"/>
  <c r="A386" i="14609"/>
  <c r="B386" i="14609"/>
  <c r="C386" i="14609"/>
  <c r="D386" i="14609"/>
  <c r="E386" i="14609"/>
  <c r="F386" i="14609"/>
  <c r="G386" i="14609"/>
  <c r="H386" i="14609"/>
  <c r="I386" i="14609"/>
  <c r="J386" i="14609"/>
  <c r="K386" i="14609"/>
  <c r="L386" i="14609"/>
  <c r="M386" i="14609"/>
  <c r="N386" i="14609"/>
  <c r="O386" i="14609"/>
  <c r="P386" i="14609"/>
  <c r="Q386" i="14609"/>
  <c r="R386" i="14609"/>
  <c r="S386" i="14609"/>
  <c r="T386" i="14609"/>
  <c r="U386" i="14609"/>
  <c r="V386" i="14609"/>
  <c r="W386" i="14609"/>
  <c r="X386" i="14609"/>
  <c r="Y386" i="14609"/>
  <c r="Z386" i="14609"/>
  <c r="AA386" i="14609"/>
  <c r="AB386" i="14609"/>
  <c r="AC386" i="14609"/>
  <c r="AD386" i="14609"/>
  <c r="AE386" i="14609"/>
  <c r="AF386" i="14609"/>
  <c r="AG386" i="14609"/>
  <c r="AH386" i="14609"/>
  <c r="AI386" i="14609"/>
  <c r="AJ386" i="14609"/>
  <c r="AK386" i="14609"/>
  <c r="AL386" i="14609"/>
  <c r="AM386" i="14609"/>
  <c r="AN386" i="14609"/>
  <c r="AO386" i="14609"/>
  <c r="AP386" i="14609"/>
  <c r="AQ386" i="14609"/>
  <c r="AR386" i="14609"/>
  <c r="AS386" i="14609"/>
  <c r="AT386" i="14609"/>
  <c r="AU386" i="14609"/>
  <c r="AV386" i="14609"/>
  <c r="AW386" i="14609"/>
  <c r="AX386" i="14609"/>
  <c r="AY386" i="14609"/>
  <c r="AZ386" i="14609"/>
  <c r="BA386" i="14609"/>
  <c r="BB386" i="14609"/>
  <c r="BC386" i="14609"/>
  <c r="BD386" i="14609"/>
  <c r="BE386" i="14609"/>
  <c r="BF386" i="14609"/>
  <c r="BG386" i="14609"/>
  <c r="BH386" i="14609"/>
  <c r="BI386" i="14609"/>
  <c r="BJ386" i="14609"/>
  <c r="BK386" i="14609"/>
  <c r="BL386" i="14609"/>
  <c r="BM386" i="14609"/>
  <c r="BN386" i="14609"/>
  <c r="BO386" i="14609"/>
  <c r="BP386" i="14609"/>
  <c r="BQ386" i="14609"/>
  <c r="BR386" i="14609"/>
  <c r="BS386" i="14609"/>
  <c r="BT386" i="14609"/>
  <c r="BU386" i="14609"/>
  <c r="BV386" i="14609"/>
  <c r="BW386" i="14609"/>
  <c r="BX386" i="14609"/>
  <c r="BY386" i="14609"/>
  <c r="BZ386" i="14609"/>
  <c r="CA386" i="14609"/>
  <c r="CB386" i="14609"/>
  <c r="CC386" i="14609"/>
  <c r="CD386" i="14609"/>
  <c r="CE386" i="14609"/>
  <c r="CF386" i="14609"/>
  <c r="CG386" i="14609"/>
  <c r="CH386" i="14609"/>
  <c r="CI386" i="14609"/>
  <c r="CJ386" i="14609"/>
  <c r="CK386" i="14609"/>
  <c r="CL386" i="14609"/>
  <c r="CM386" i="14609"/>
  <c r="CN386" i="14609"/>
  <c r="CO386" i="14609"/>
  <c r="CP386" i="14609"/>
  <c r="CQ386" i="14609"/>
  <c r="CR386" i="14609"/>
  <c r="CS386" i="14609"/>
  <c r="CT386" i="14609"/>
  <c r="CU386" i="14609"/>
  <c r="CV386" i="14609"/>
  <c r="CW386" i="14609"/>
  <c r="CX386" i="14609"/>
  <c r="CY386" i="14609"/>
  <c r="CZ386" i="14609"/>
  <c r="DA386" i="14609"/>
  <c r="DB386" i="14609"/>
  <c r="DC386" i="14609"/>
  <c r="DD386" i="14609"/>
  <c r="DE386" i="14609"/>
  <c r="DF386" i="14609"/>
  <c r="DG386" i="14609"/>
  <c r="DH386" i="14609"/>
  <c r="DI386" i="14609"/>
  <c r="DJ386" i="14609"/>
  <c r="DK386" i="14609"/>
  <c r="DL386" i="14609"/>
  <c r="DM386" i="14609"/>
  <c r="DN386" i="14609"/>
  <c r="DO386" i="14609"/>
  <c r="DP386" i="14609"/>
  <c r="DQ386" i="14609"/>
  <c r="DR386" i="14609"/>
  <c r="DS386" i="14609"/>
  <c r="DT386" i="14609"/>
  <c r="DU386" i="14609"/>
  <c r="DV386" i="14609"/>
  <c r="DW386" i="14609"/>
  <c r="DX386" i="14609"/>
  <c r="DY386" i="14609"/>
  <c r="DZ386" i="14609"/>
  <c r="EA386" i="14609"/>
  <c r="EB386" i="14609"/>
  <c r="EC386" i="14609"/>
  <c r="ED386" i="14609"/>
  <c r="EE386" i="14609"/>
  <c r="EF386" i="14609"/>
  <c r="EG386" i="14609"/>
  <c r="EH386" i="14609"/>
  <c r="EI386" i="14609"/>
  <c r="EJ386" i="14609"/>
  <c r="EK386" i="14609"/>
  <c r="EL386" i="14609"/>
  <c r="EM386" i="14609"/>
  <c r="EN386" i="14609"/>
  <c r="EO386" i="14609"/>
  <c r="EP386" i="14609"/>
  <c r="EQ386" i="14609"/>
  <c r="ER386" i="14609"/>
  <c r="ES386" i="14609"/>
  <c r="ET386" i="14609"/>
  <c r="EU386" i="14609"/>
  <c r="EV386" i="14609"/>
  <c r="EW386" i="14609"/>
  <c r="EX386" i="14609"/>
  <c r="EY386" i="14609"/>
  <c r="EZ386" i="14609"/>
  <c r="FA386" i="14609"/>
  <c r="FB386" i="14609"/>
  <c r="FC386" i="14609"/>
  <c r="FD386" i="14609"/>
  <c r="FE386" i="14609"/>
  <c r="FF386" i="14609"/>
  <c r="FG386" i="14609"/>
  <c r="FH386" i="14609"/>
  <c r="FI386" i="14609"/>
  <c r="FJ386" i="14609"/>
  <c r="FK386" i="14609"/>
  <c r="FL386" i="14609"/>
  <c r="FM386" i="14609"/>
  <c r="FN386" i="14609"/>
  <c r="FO386" i="14609"/>
  <c r="FP386" i="14609"/>
  <c r="FQ386" i="14609"/>
  <c r="FR386" i="14609"/>
  <c r="FS386" i="14609"/>
  <c r="FT386" i="14609"/>
  <c r="FU386" i="14609"/>
  <c r="FV386" i="14609"/>
  <c r="FW386" i="14609"/>
  <c r="FX386" i="14609"/>
  <c r="FY386" i="14609"/>
  <c r="FZ386" i="14609"/>
  <c r="GA386" i="14609"/>
  <c r="GB386" i="14609"/>
  <c r="GC386" i="14609"/>
  <c r="GD386" i="14609"/>
  <c r="GE386" i="14609"/>
  <c r="GF386" i="14609"/>
  <c r="GG386" i="14609"/>
  <c r="GH386" i="14609"/>
  <c r="GI386" i="14609"/>
  <c r="GJ386" i="14609"/>
  <c r="GK386" i="14609"/>
  <c r="GL386" i="14609"/>
  <c r="GM386" i="14609"/>
  <c r="GN386" i="14609"/>
  <c r="GO386" i="14609"/>
  <c r="GP386" i="14609"/>
  <c r="GQ386" i="14609"/>
  <c r="GR386" i="14609"/>
  <c r="GS386" i="14609"/>
  <c r="GT386" i="14609"/>
  <c r="GU386" i="14609"/>
  <c r="GV386" i="14609"/>
  <c r="GW386" i="14609"/>
  <c r="GX386" i="14609"/>
  <c r="GY386" i="14609"/>
  <c r="GZ386" i="14609"/>
  <c r="HA386" i="14609"/>
  <c r="HB386" i="14609"/>
  <c r="HC386" i="14609"/>
  <c r="HD386" i="14609"/>
  <c r="HE386" i="14609"/>
  <c r="HF386" i="14609"/>
  <c r="HG386" i="14609"/>
  <c r="HH386" i="14609"/>
  <c r="HI386" i="14609"/>
  <c r="HJ386" i="14609"/>
  <c r="HK386" i="14609"/>
  <c r="HL386" i="14609"/>
  <c r="HM386" i="14609"/>
  <c r="HN386" i="14609"/>
  <c r="HO386" i="14609"/>
  <c r="HP386" i="14609"/>
  <c r="HQ386" i="14609"/>
  <c r="HR386" i="14609"/>
  <c r="HS386" i="14609"/>
  <c r="HT386" i="14609"/>
  <c r="HU386" i="14609"/>
  <c r="HV386" i="14609"/>
  <c r="HW386" i="14609"/>
  <c r="HX386" i="14609"/>
  <c r="HY386" i="14609"/>
  <c r="HZ386" i="14609"/>
  <c r="IA386" i="14609"/>
  <c r="IB386" i="14609"/>
  <c r="IC386" i="14609"/>
  <c r="ID386" i="14609"/>
  <c r="IE386" i="14609"/>
  <c r="IF386" i="14609"/>
  <c r="IG386" i="14609"/>
  <c r="IH386" i="14609"/>
  <c r="II386" i="14609"/>
  <c r="IJ386" i="14609"/>
  <c r="IK386" i="14609"/>
  <c r="IL386" i="14609"/>
  <c r="IM386" i="14609"/>
  <c r="IN386" i="14609"/>
  <c r="IO386" i="14609"/>
  <c r="IP386" i="14609"/>
  <c r="IQ386" i="14609"/>
  <c r="IR386" i="14609"/>
  <c r="IS386" i="14609"/>
  <c r="IT386" i="14609"/>
  <c r="IU386" i="14609"/>
  <c r="IV386" i="14609"/>
  <c r="A385" i="14609"/>
  <c r="B385" i="14609"/>
  <c r="C385" i="14609"/>
  <c r="D385" i="14609"/>
  <c r="E385" i="14609"/>
  <c r="F385" i="14609"/>
  <c r="G385" i="14609"/>
  <c r="H385" i="14609"/>
  <c r="I385" i="14609"/>
  <c r="J385" i="14609"/>
  <c r="K385" i="14609"/>
  <c r="L385" i="14609"/>
  <c r="M385" i="14609"/>
  <c r="N385" i="14609"/>
  <c r="O385" i="14609"/>
  <c r="P385" i="14609"/>
  <c r="Q385" i="14609"/>
  <c r="R385" i="14609"/>
  <c r="S385" i="14609"/>
  <c r="T385" i="14609"/>
  <c r="U385" i="14609"/>
  <c r="V385" i="14609"/>
  <c r="W385" i="14609"/>
  <c r="X385" i="14609"/>
  <c r="Y385" i="14609"/>
  <c r="Z385" i="14609"/>
  <c r="AA385" i="14609"/>
  <c r="AB385" i="14609"/>
  <c r="AC385" i="14609"/>
  <c r="AD385" i="14609"/>
  <c r="AE385" i="14609"/>
  <c r="AF385" i="14609"/>
  <c r="AG385" i="14609"/>
  <c r="AH385" i="14609"/>
  <c r="AI385" i="14609"/>
  <c r="AJ385" i="14609"/>
  <c r="AK385" i="14609"/>
  <c r="AL385" i="14609"/>
  <c r="AM385" i="14609"/>
  <c r="AN385" i="14609"/>
  <c r="AO385" i="14609"/>
  <c r="AP385" i="14609"/>
  <c r="AQ385" i="14609"/>
  <c r="AR385" i="14609"/>
  <c r="AS385" i="14609"/>
  <c r="AT385" i="14609"/>
  <c r="AU385" i="14609"/>
  <c r="AV385" i="14609"/>
  <c r="AW385" i="14609"/>
  <c r="AX385" i="14609"/>
  <c r="AY385" i="14609"/>
  <c r="AZ385" i="14609"/>
  <c r="BA385" i="14609"/>
  <c r="BB385" i="14609"/>
  <c r="BC385" i="14609"/>
  <c r="BD385" i="14609"/>
  <c r="BE385" i="14609"/>
  <c r="BF385" i="14609"/>
  <c r="BG385" i="14609"/>
  <c r="BH385" i="14609"/>
  <c r="BI385" i="14609"/>
  <c r="BJ385" i="14609"/>
  <c r="BK385" i="14609"/>
  <c r="BL385" i="14609"/>
  <c r="BM385" i="14609"/>
  <c r="BN385" i="14609"/>
  <c r="BO385" i="14609"/>
  <c r="BP385" i="14609"/>
  <c r="BQ385" i="14609"/>
  <c r="BR385" i="14609"/>
  <c r="BS385" i="14609"/>
  <c r="BT385" i="14609"/>
  <c r="BU385" i="14609"/>
  <c r="BV385" i="14609"/>
  <c r="BW385" i="14609"/>
  <c r="BX385" i="14609"/>
  <c r="BY385" i="14609"/>
  <c r="BZ385" i="14609"/>
  <c r="CA385" i="14609"/>
  <c r="CB385" i="14609"/>
  <c r="CC385" i="14609"/>
  <c r="CD385" i="14609"/>
  <c r="CE385" i="14609"/>
  <c r="CF385" i="14609"/>
  <c r="CG385" i="14609"/>
  <c r="CH385" i="14609"/>
  <c r="CI385" i="14609"/>
  <c r="CJ385" i="14609"/>
  <c r="CK385" i="14609"/>
  <c r="CL385" i="14609"/>
  <c r="CM385" i="14609"/>
  <c r="CN385" i="14609"/>
  <c r="CO385" i="14609"/>
  <c r="CP385" i="14609"/>
  <c r="CQ385" i="14609"/>
  <c r="CR385" i="14609"/>
  <c r="CS385" i="14609"/>
  <c r="CT385" i="14609"/>
  <c r="CU385" i="14609"/>
  <c r="CV385" i="14609"/>
  <c r="CW385" i="14609"/>
  <c r="CX385" i="14609"/>
  <c r="CY385" i="14609"/>
  <c r="CZ385" i="14609"/>
  <c r="DA385" i="14609"/>
  <c r="DB385" i="14609"/>
  <c r="DC385" i="14609"/>
  <c r="DD385" i="14609"/>
  <c r="DE385" i="14609"/>
  <c r="DF385" i="14609"/>
  <c r="DG385" i="14609"/>
  <c r="DH385" i="14609"/>
  <c r="DI385" i="14609"/>
  <c r="DJ385" i="14609"/>
  <c r="DK385" i="14609"/>
  <c r="DL385" i="14609"/>
  <c r="DM385" i="14609"/>
  <c r="DN385" i="14609"/>
  <c r="DO385" i="14609"/>
  <c r="DP385" i="14609"/>
  <c r="DQ385" i="14609"/>
  <c r="DR385" i="14609"/>
  <c r="DS385" i="14609"/>
  <c r="DT385" i="14609"/>
  <c r="DU385" i="14609"/>
  <c r="DV385" i="14609"/>
  <c r="DW385" i="14609"/>
  <c r="DX385" i="14609"/>
  <c r="DY385" i="14609"/>
  <c r="DZ385" i="14609"/>
  <c r="EA385" i="14609"/>
  <c r="EB385" i="14609"/>
  <c r="EC385" i="14609"/>
  <c r="ED385" i="14609"/>
  <c r="EE385" i="14609"/>
  <c r="EF385" i="14609"/>
  <c r="EG385" i="14609"/>
  <c r="EH385" i="14609"/>
  <c r="EI385" i="14609"/>
  <c r="EJ385" i="14609"/>
  <c r="EK385" i="14609"/>
  <c r="EL385" i="14609"/>
  <c r="EM385" i="14609"/>
  <c r="EN385" i="14609"/>
  <c r="EO385" i="14609"/>
  <c r="EP385" i="14609"/>
  <c r="EQ385" i="14609"/>
  <c r="ER385" i="14609"/>
  <c r="ES385" i="14609"/>
  <c r="ET385" i="14609"/>
  <c r="EU385" i="14609"/>
  <c r="EV385" i="14609"/>
  <c r="EW385" i="14609"/>
  <c r="EX385" i="14609"/>
  <c r="EY385" i="14609"/>
  <c r="EZ385" i="14609"/>
  <c r="FA385" i="14609"/>
  <c r="FB385" i="14609"/>
  <c r="FC385" i="14609"/>
  <c r="FD385" i="14609"/>
  <c r="FE385" i="14609"/>
  <c r="FF385" i="14609"/>
  <c r="FG385" i="14609"/>
  <c r="FH385" i="14609"/>
  <c r="FI385" i="14609"/>
  <c r="FJ385" i="14609"/>
  <c r="FK385" i="14609"/>
  <c r="FL385" i="14609"/>
  <c r="FM385" i="14609"/>
  <c r="FN385" i="14609"/>
  <c r="FO385" i="14609"/>
  <c r="FP385" i="14609"/>
  <c r="FQ385" i="14609"/>
  <c r="FR385" i="14609"/>
  <c r="FS385" i="14609"/>
  <c r="FT385" i="14609"/>
  <c r="FU385" i="14609"/>
  <c r="FV385" i="14609"/>
  <c r="FW385" i="14609"/>
  <c r="FX385" i="14609"/>
  <c r="FY385" i="14609"/>
  <c r="FZ385" i="14609"/>
  <c r="GA385" i="14609"/>
  <c r="GB385" i="14609"/>
  <c r="GC385" i="14609"/>
  <c r="GD385" i="14609"/>
  <c r="GE385" i="14609"/>
  <c r="GF385" i="14609"/>
  <c r="GG385" i="14609"/>
  <c r="GH385" i="14609"/>
  <c r="GI385" i="14609"/>
  <c r="GJ385" i="14609"/>
  <c r="GK385" i="14609"/>
  <c r="GL385" i="14609"/>
  <c r="GM385" i="14609"/>
  <c r="GN385" i="14609"/>
  <c r="GO385" i="14609"/>
  <c r="GP385" i="14609"/>
  <c r="GQ385" i="14609"/>
  <c r="GR385" i="14609"/>
  <c r="GS385" i="14609"/>
  <c r="GT385" i="14609"/>
  <c r="GU385" i="14609"/>
  <c r="GV385" i="14609"/>
  <c r="GW385" i="14609"/>
  <c r="GX385" i="14609"/>
  <c r="GY385" i="14609"/>
  <c r="GZ385" i="14609"/>
  <c r="HA385" i="14609"/>
  <c r="HB385" i="14609"/>
  <c r="HC385" i="14609"/>
  <c r="HD385" i="14609"/>
  <c r="HE385" i="14609"/>
  <c r="HF385" i="14609"/>
  <c r="HG385" i="14609"/>
  <c r="HH385" i="14609"/>
  <c r="HI385" i="14609"/>
  <c r="HJ385" i="14609"/>
  <c r="HK385" i="14609"/>
  <c r="HL385" i="14609"/>
  <c r="HM385" i="14609"/>
  <c r="HN385" i="14609"/>
  <c r="HO385" i="14609"/>
  <c r="HP385" i="14609"/>
  <c r="HQ385" i="14609"/>
  <c r="HR385" i="14609"/>
  <c r="HS385" i="14609"/>
  <c r="HT385" i="14609"/>
  <c r="HU385" i="14609"/>
  <c r="HV385" i="14609"/>
  <c r="HW385" i="14609"/>
  <c r="HX385" i="14609"/>
  <c r="HY385" i="14609"/>
  <c r="HZ385" i="14609"/>
  <c r="IA385" i="14609"/>
  <c r="IB385" i="14609"/>
  <c r="IC385" i="14609"/>
  <c r="ID385" i="14609"/>
  <c r="IE385" i="14609"/>
  <c r="IF385" i="14609"/>
  <c r="IG385" i="14609"/>
  <c r="IH385" i="14609"/>
  <c r="II385" i="14609"/>
  <c r="IJ385" i="14609"/>
  <c r="IK385" i="14609"/>
  <c r="IL385" i="14609"/>
  <c r="IM385" i="14609"/>
  <c r="IN385" i="14609"/>
  <c r="IO385" i="14609"/>
  <c r="IP385" i="14609"/>
  <c r="IQ385" i="14609"/>
  <c r="IR385" i="14609"/>
  <c r="IS385" i="14609"/>
  <c r="IT385" i="14609"/>
  <c r="IU385" i="14609"/>
  <c r="IV385" i="14609"/>
  <c r="A384" i="14609"/>
  <c r="B384" i="14609"/>
  <c r="C384" i="14609"/>
  <c r="D384" i="14609"/>
  <c r="E384" i="14609"/>
  <c r="F384" i="14609"/>
  <c r="G384" i="14609"/>
  <c r="H384" i="14609"/>
  <c r="I384" i="14609"/>
  <c r="J384" i="14609"/>
  <c r="K384" i="14609"/>
  <c r="L384" i="14609"/>
  <c r="M384" i="14609"/>
  <c r="N384" i="14609"/>
  <c r="O384" i="14609"/>
  <c r="P384" i="14609"/>
  <c r="Q384" i="14609"/>
  <c r="R384" i="14609"/>
  <c r="S384" i="14609"/>
  <c r="T384" i="14609"/>
  <c r="U384" i="14609"/>
  <c r="V384" i="14609"/>
  <c r="W384" i="14609"/>
  <c r="X384" i="14609"/>
  <c r="Y384" i="14609"/>
  <c r="Z384" i="14609"/>
  <c r="AA384" i="14609"/>
  <c r="AB384" i="14609"/>
  <c r="AC384" i="14609"/>
  <c r="AD384" i="14609"/>
  <c r="AE384" i="14609"/>
  <c r="AF384" i="14609"/>
  <c r="AG384" i="14609"/>
  <c r="AH384" i="14609"/>
  <c r="AI384" i="14609"/>
  <c r="AJ384" i="14609"/>
  <c r="AK384" i="14609"/>
  <c r="AL384" i="14609"/>
  <c r="AM384" i="14609"/>
  <c r="AN384" i="14609"/>
  <c r="AO384" i="14609"/>
  <c r="AP384" i="14609"/>
  <c r="AQ384" i="14609"/>
  <c r="AR384" i="14609"/>
  <c r="AS384" i="14609"/>
  <c r="AT384" i="14609"/>
  <c r="AU384" i="14609"/>
  <c r="AV384" i="14609"/>
  <c r="AW384" i="14609"/>
  <c r="AX384" i="14609"/>
  <c r="AY384" i="14609"/>
  <c r="AZ384" i="14609"/>
  <c r="BA384" i="14609"/>
  <c r="BB384" i="14609"/>
  <c r="BC384" i="14609"/>
  <c r="BD384" i="14609"/>
  <c r="BE384" i="14609"/>
  <c r="BF384" i="14609"/>
  <c r="BG384" i="14609"/>
  <c r="BH384" i="14609"/>
  <c r="BI384" i="14609"/>
  <c r="BJ384" i="14609"/>
  <c r="BK384" i="14609"/>
  <c r="BL384" i="14609"/>
  <c r="BM384" i="14609"/>
  <c r="BN384" i="14609"/>
  <c r="BO384" i="14609"/>
  <c r="BP384" i="14609"/>
  <c r="BQ384" i="14609"/>
  <c r="BR384" i="14609"/>
  <c r="BS384" i="14609"/>
  <c r="BT384" i="14609"/>
  <c r="BU384" i="14609"/>
  <c r="BV384" i="14609"/>
  <c r="BW384" i="14609"/>
  <c r="BX384" i="14609"/>
  <c r="BY384" i="14609"/>
  <c r="BZ384" i="14609"/>
  <c r="CA384" i="14609"/>
  <c r="CB384" i="14609"/>
  <c r="CC384" i="14609"/>
  <c r="CD384" i="14609"/>
  <c r="CE384" i="14609"/>
  <c r="CF384" i="14609"/>
  <c r="CG384" i="14609"/>
  <c r="CH384" i="14609"/>
  <c r="CI384" i="14609"/>
  <c r="CJ384" i="14609"/>
  <c r="CK384" i="14609"/>
  <c r="CL384" i="14609"/>
  <c r="CM384" i="14609"/>
  <c r="CN384" i="14609"/>
  <c r="CO384" i="14609"/>
  <c r="CP384" i="14609"/>
  <c r="CQ384" i="14609"/>
  <c r="CR384" i="14609"/>
  <c r="CS384" i="14609"/>
  <c r="CT384" i="14609"/>
  <c r="CU384" i="14609"/>
  <c r="CV384" i="14609"/>
  <c r="CW384" i="14609"/>
  <c r="CX384" i="14609"/>
  <c r="CY384" i="14609"/>
  <c r="CZ384" i="14609"/>
  <c r="DA384" i="14609"/>
  <c r="DB384" i="14609"/>
  <c r="DC384" i="14609"/>
  <c r="DD384" i="14609"/>
  <c r="DE384" i="14609"/>
  <c r="DF384" i="14609"/>
  <c r="DG384" i="14609"/>
  <c r="DH384" i="14609"/>
  <c r="DI384" i="14609"/>
  <c r="DJ384" i="14609"/>
  <c r="DK384" i="14609"/>
  <c r="DL384" i="14609"/>
  <c r="DM384" i="14609"/>
  <c r="DN384" i="14609"/>
  <c r="DO384" i="14609"/>
  <c r="DP384" i="14609"/>
  <c r="DQ384" i="14609"/>
  <c r="DR384" i="14609"/>
  <c r="DS384" i="14609"/>
  <c r="DT384" i="14609"/>
  <c r="DU384" i="14609"/>
  <c r="DV384" i="14609"/>
  <c r="DW384" i="14609"/>
  <c r="DX384" i="14609"/>
  <c r="DY384" i="14609"/>
  <c r="DZ384" i="14609"/>
  <c r="EA384" i="14609"/>
  <c r="EB384" i="14609"/>
  <c r="EC384" i="14609"/>
  <c r="ED384" i="14609"/>
  <c r="EE384" i="14609"/>
  <c r="EF384" i="14609"/>
  <c r="EG384" i="14609"/>
  <c r="EH384" i="14609"/>
  <c r="EI384" i="14609"/>
  <c r="EJ384" i="14609"/>
  <c r="EK384" i="14609"/>
  <c r="EL384" i="14609"/>
  <c r="EM384" i="14609"/>
  <c r="EN384" i="14609"/>
  <c r="EO384" i="14609"/>
  <c r="EP384" i="14609"/>
  <c r="EQ384" i="14609"/>
  <c r="ER384" i="14609"/>
  <c r="ES384" i="14609"/>
  <c r="ET384" i="14609"/>
  <c r="EU384" i="14609"/>
  <c r="EV384" i="14609"/>
  <c r="EW384" i="14609"/>
  <c r="EX384" i="14609"/>
  <c r="EY384" i="14609"/>
  <c r="EZ384" i="14609"/>
  <c r="FA384" i="14609"/>
  <c r="FB384" i="14609"/>
  <c r="FC384" i="14609"/>
  <c r="FD384" i="14609"/>
  <c r="FE384" i="14609"/>
  <c r="FF384" i="14609"/>
  <c r="FG384" i="14609"/>
  <c r="FH384" i="14609"/>
  <c r="FI384" i="14609"/>
  <c r="FJ384" i="14609"/>
  <c r="FK384" i="14609"/>
  <c r="FL384" i="14609"/>
  <c r="FM384" i="14609"/>
  <c r="FN384" i="14609"/>
  <c r="FO384" i="14609"/>
  <c r="FP384" i="14609"/>
  <c r="FQ384" i="14609"/>
  <c r="FR384" i="14609"/>
  <c r="FS384" i="14609"/>
  <c r="FT384" i="14609"/>
  <c r="FU384" i="14609"/>
  <c r="FV384" i="14609"/>
  <c r="FW384" i="14609"/>
  <c r="FX384" i="14609"/>
  <c r="FY384" i="14609"/>
  <c r="FZ384" i="14609"/>
  <c r="GA384" i="14609"/>
  <c r="GB384" i="14609"/>
  <c r="GC384" i="14609"/>
  <c r="GD384" i="14609"/>
  <c r="GE384" i="14609"/>
  <c r="GF384" i="14609"/>
  <c r="GG384" i="14609"/>
  <c r="GH384" i="14609"/>
  <c r="GI384" i="14609"/>
  <c r="GJ384" i="14609"/>
  <c r="GK384" i="14609"/>
  <c r="GL384" i="14609"/>
  <c r="GM384" i="14609"/>
  <c r="GN384" i="14609"/>
  <c r="GO384" i="14609"/>
  <c r="GP384" i="14609"/>
  <c r="GQ384" i="14609"/>
  <c r="GR384" i="14609"/>
  <c r="GS384" i="14609"/>
  <c r="GT384" i="14609"/>
  <c r="GU384" i="14609"/>
  <c r="GV384" i="14609"/>
  <c r="GW384" i="14609"/>
  <c r="GX384" i="14609"/>
  <c r="GY384" i="14609"/>
  <c r="GZ384" i="14609"/>
  <c r="HA384" i="14609"/>
  <c r="HB384" i="14609"/>
  <c r="HC384" i="14609"/>
  <c r="HD384" i="14609"/>
  <c r="HE384" i="14609"/>
  <c r="HF384" i="14609"/>
  <c r="HG384" i="14609"/>
  <c r="HH384" i="14609"/>
  <c r="HI384" i="14609"/>
  <c r="HJ384" i="14609"/>
  <c r="HK384" i="14609"/>
  <c r="HL384" i="14609"/>
  <c r="HM384" i="14609"/>
  <c r="HN384" i="14609"/>
  <c r="HO384" i="14609"/>
  <c r="HP384" i="14609"/>
  <c r="HQ384" i="14609"/>
  <c r="HR384" i="14609"/>
  <c r="HS384" i="14609"/>
  <c r="HT384" i="14609"/>
  <c r="HU384" i="14609"/>
  <c r="HV384" i="14609"/>
  <c r="HW384" i="14609"/>
  <c r="HX384" i="14609"/>
  <c r="HY384" i="14609"/>
  <c r="HZ384" i="14609"/>
  <c r="IA384" i="14609"/>
  <c r="IB384" i="14609"/>
  <c r="IC384" i="14609"/>
  <c r="ID384" i="14609"/>
  <c r="IE384" i="14609"/>
  <c r="IF384" i="14609"/>
  <c r="IG384" i="14609"/>
  <c r="IH384" i="14609"/>
  <c r="II384" i="14609"/>
  <c r="IJ384" i="14609"/>
  <c r="IK384" i="14609"/>
  <c r="IL384" i="14609"/>
  <c r="IM384" i="14609"/>
  <c r="IN384" i="14609"/>
  <c r="IO384" i="14609"/>
  <c r="IP384" i="14609"/>
  <c r="IQ384" i="14609"/>
  <c r="IR384" i="14609"/>
  <c r="IS384" i="14609"/>
  <c r="IT384" i="14609"/>
  <c r="IU384" i="14609"/>
  <c r="IV384" i="14609"/>
  <c r="A383" i="14609"/>
  <c r="B383" i="14609"/>
  <c r="C383" i="14609"/>
  <c r="D383" i="14609"/>
  <c r="E383" i="14609"/>
  <c r="F383" i="14609"/>
  <c r="G383" i="14609"/>
  <c r="H383" i="14609"/>
  <c r="I383" i="14609"/>
  <c r="J383" i="14609"/>
  <c r="K383" i="14609"/>
  <c r="L383" i="14609"/>
  <c r="M383" i="14609"/>
  <c r="N383" i="14609"/>
  <c r="O383" i="14609"/>
  <c r="P383" i="14609"/>
  <c r="Q383" i="14609"/>
  <c r="R383" i="14609"/>
  <c r="S383" i="14609"/>
  <c r="T383" i="14609"/>
  <c r="U383" i="14609"/>
  <c r="V383" i="14609"/>
  <c r="W383" i="14609"/>
  <c r="X383" i="14609"/>
  <c r="Y383" i="14609"/>
  <c r="Z383" i="14609"/>
  <c r="AA383" i="14609"/>
  <c r="AB383" i="14609"/>
  <c r="AC383" i="14609"/>
  <c r="AD383" i="14609"/>
  <c r="AE383" i="14609"/>
  <c r="AF383" i="14609"/>
  <c r="AG383" i="14609"/>
  <c r="AH383" i="14609"/>
  <c r="AI383" i="14609"/>
  <c r="AJ383" i="14609"/>
  <c r="AK383" i="14609"/>
  <c r="AL383" i="14609"/>
  <c r="AM383" i="14609"/>
  <c r="AN383" i="14609"/>
  <c r="AO383" i="14609"/>
  <c r="AP383" i="14609"/>
  <c r="AQ383" i="14609"/>
  <c r="AR383" i="14609"/>
  <c r="AS383" i="14609"/>
  <c r="AT383" i="14609"/>
  <c r="AU383" i="14609"/>
  <c r="AV383" i="14609"/>
  <c r="AW383" i="14609"/>
  <c r="AX383" i="14609"/>
  <c r="AY383" i="14609"/>
  <c r="AZ383" i="14609"/>
  <c r="BA383" i="14609"/>
  <c r="BB383" i="14609"/>
  <c r="BC383" i="14609"/>
  <c r="BD383" i="14609"/>
  <c r="BE383" i="14609"/>
  <c r="BF383" i="14609"/>
  <c r="BG383" i="14609"/>
  <c r="BH383" i="14609"/>
  <c r="BI383" i="14609"/>
  <c r="BJ383" i="14609"/>
  <c r="BK383" i="14609"/>
  <c r="BL383" i="14609"/>
  <c r="BM383" i="14609"/>
  <c r="BN383" i="14609"/>
  <c r="BO383" i="14609"/>
  <c r="BP383" i="14609"/>
  <c r="BQ383" i="14609"/>
  <c r="BR383" i="14609"/>
  <c r="BS383" i="14609"/>
  <c r="BT383" i="14609"/>
  <c r="BU383" i="14609"/>
  <c r="BV383" i="14609"/>
  <c r="BW383" i="14609"/>
  <c r="BX383" i="14609"/>
  <c r="BY383" i="14609"/>
  <c r="BZ383" i="14609"/>
  <c r="CA383" i="14609"/>
  <c r="CB383" i="14609"/>
  <c r="CC383" i="14609"/>
  <c r="CD383" i="14609"/>
  <c r="CE383" i="14609"/>
  <c r="CF383" i="14609"/>
  <c r="CG383" i="14609"/>
  <c r="CH383" i="14609"/>
  <c r="CI383" i="14609"/>
  <c r="CJ383" i="14609"/>
  <c r="CK383" i="14609"/>
  <c r="CL383" i="14609"/>
  <c r="CM383" i="14609"/>
  <c r="CN383" i="14609"/>
  <c r="CO383" i="14609"/>
  <c r="CP383" i="14609"/>
  <c r="CQ383" i="14609"/>
  <c r="CR383" i="14609"/>
  <c r="CS383" i="14609"/>
  <c r="CT383" i="14609"/>
  <c r="CU383" i="14609"/>
  <c r="CV383" i="14609"/>
  <c r="CW383" i="14609"/>
  <c r="CX383" i="14609"/>
  <c r="CY383" i="14609"/>
  <c r="CZ383" i="14609"/>
  <c r="DA383" i="14609"/>
  <c r="DB383" i="14609"/>
  <c r="DC383" i="14609"/>
  <c r="DD383" i="14609"/>
  <c r="DE383" i="14609"/>
  <c r="DF383" i="14609"/>
  <c r="DG383" i="14609"/>
  <c r="DH383" i="14609"/>
  <c r="DI383" i="14609"/>
  <c r="DJ383" i="14609"/>
  <c r="DK383" i="14609"/>
  <c r="DL383" i="14609"/>
  <c r="DM383" i="14609"/>
  <c r="DN383" i="14609"/>
  <c r="DO383" i="14609"/>
  <c r="DP383" i="14609"/>
  <c r="DQ383" i="14609"/>
  <c r="DR383" i="14609"/>
  <c r="DS383" i="14609"/>
  <c r="DT383" i="14609"/>
  <c r="DU383" i="14609"/>
  <c r="DV383" i="14609"/>
  <c r="DW383" i="14609"/>
  <c r="DX383" i="14609"/>
  <c r="DY383" i="14609"/>
  <c r="DZ383" i="14609"/>
  <c r="EA383" i="14609"/>
  <c r="EB383" i="14609"/>
  <c r="EC383" i="14609"/>
  <c r="ED383" i="14609"/>
  <c r="EE383" i="14609"/>
  <c r="EF383" i="14609"/>
  <c r="EG383" i="14609"/>
  <c r="EH383" i="14609"/>
  <c r="EI383" i="14609"/>
  <c r="EJ383" i="14609"/>
  <c r="EK383" i="14609"/>
  <c r="EL383" i="14609"/>
  <c r="EM383" i="14609"/>
  <c r="EN383" i="14609"/>
  <c r="EO383" i="14609"/>
  <c r="EP383" i="14609"/>
  <c r="EQ383" i="14609"/>
  <c r="ER383" i="14609"/>
  <c r="ES383" i="14609"/>
  <c r="ET383" i="14609"/>
  <c r="EU383" i="14609"/>
  <c r="EV383" i="14609"/>
  <c r="EW383" i="14609"/>
  <c r="EX383" i="14609"/>
  <c r="EY383" i="14609"/>
  <c r="EZ383" i="14609"/>
  <c r="FA383" i="14609"/>
  <c r="FB383" i="14609"/>
  <c r="FC383" i="14609"/>
  <c r="FD383" i="14609"/>
  <c r="FE383" i="14609"/>
  <c r="FF383" i="14609"/>
  <c r="FG383" i="14609"/>
  <c r="FH383" i="14609"/>
  <c r="FI383" i="14609"/>
  <c r="FJ383" i="14609"/>
  <c r="FK383" i="14609"/>
  <c r="FL383" i="14609"/>
  <c r="FM383" i="14609"/>
  <c r="FN383" i="14609"/>
  <c r="FO383" i="14609"/>
  <c r="FP383" i="14609"/>
  <c r="FQ383" i="14609"/>
  <c r="FR383" i="14609"/>
  <c r="FS383" i="14609"/>
  <c r="FT383" i="14609"/>
  <c r="FU383" i="14609"/>
  <c r="FV383" i="14609"/>
  <c r="FW383" i="14609"/>
  <c r="FX383" i="14609"/>
  <c r="FY383" i="14609"/>
  <c r="FZ383" i="14609"/>
  <c r="GA383" i="14609"/>
  <c r="GB383" i="14609"/>
  <c r="GC383" i="14609"/>
  <c r="GD383" i="14609"/>
  <c r="GE383" i="14609"/>
  <c r="GF383" i="14609"/>
  <c r="GG383" i="14609"/>
  <c r="GH383" i="14609"/>
  <c r="GI383" i="14609"/>
  <c r="GJ383" i="14609"/>
  <c r="GK383" i="14609"/>
  <c r="GL383" i="14609"/>
  <c r="GM383" i="14609"/>
  <c r="GN383" i="14609"/>
  <c r="GO383" i="14609"/>
  <c r="GP383" i="14609"/>
  <c r="GQ383" i="14609"/>
  <c r="GR383" i="14609"/>
  <c r="GS383" i="14609"/>
  <c r="GT383" i="14609"/>
  <c r="GU383" i="14609"/>
  <c r="GV383" i="14609"/>
  <c r="GW383" i="14609"/>
  <c r="GX383" i="14609"/>
  <c r="GY383" i="14609"/>
  <c r="GZ383" i="14609"/>
  <c r="HA383" i="14609"/>
  <c r="HB383" i="14609"/>
  <c r="HC383" i="14609"/>
  <c r="HD383" i="14609"/>
  <c r="HE383" i="14609"/>
  <c r="HF383" i="14609"/>
  <c r="HG383" i="14609"/>
  <c r="HH383" i="14609"/>
  <c r="HI383" i="14609"/>
  <c r="HJ383" i="14609"/>
  <c r="HK383" i="14609"/>
  <c r="HL383" i="14609"/>
  <c r="HM383" i="14609"/>
  <c r="HN383" i="14609"/>
  <c r="HO383" i="14609"/>
  <c r="HP383" i="14609"/>
  <c r="HQ383" i="14609"/>
  <c r="HR383" i="14609"/>
  <c r="HS383" i="14609"/>
  <c r="HT383" i="14609"/>
  <c r="HU383" i="14609"/>
  <c r="HV383" i="14609"/>
  <c r="HW383" i="14609"/>
  <c r="HX383" i="14609"/>
  <c r="HY383" i="14609"/>
  <c r="HZ383" i="14609"/>
  <c r="IA383" i="14609"/>
  <c r="IB383" i="14609"/>
  <c r="IC383" i="14609"/>
  <c r="ID383" i="14609"/>
  <c r="IE383" i="14609"/>
  <c r="IF383" i="14609"/>
  <c r="IG383" i="14609"/>
  <c r="IH383" i="14609"/>
  <c r="II383" i="14609"/>
  <c r="IJ383" i="14609"/>
  <c r="IK383" i="14609"/>
  <c r="IL383" i="14609"/>
  <c r="IM383" i="14609"/>
  <c r="IN383" i="14609"/>
  <c r="IO383" i="14609"/>
  <c r="IP383" i="14609"/>
  <c r="IQ383" i="14609"/>
  <c r="IR383" i="14609"/>
  <c r="IS383" i="14609"/>
  <c r="IT383" i="14609"/>
  <c r="IU383" i="14609"/>
  <c r="IV383" i="14609"/>
  <c r="A382" i="14609"/>
  <c r="B382" i="14609"/>
  <c r="C382" i="14609"/>
  <c r="D382" i="14609"/>
  <c r="E382" i="14609"/>
  <c r="F382" i="14609"/>
  <c r="G382" i="14609"/>
  <c r="H382" i="14609"/>
  <c r="I382" i="14609"/>
  <c r="J382" i="14609"/>
  <c r="K382" i="14609"/>
  <c r="L382" i="14609"/>
  <c r="M382" i="14609"/>
  <c r="N382" i="14609"/>
  <c r="O382" i="14609"/>
  <c r="P382" i="14609"/>
  <c r="Q382" i="14609"/>
  <c r="R382" i="14609"/>
  <c r="S382" i="14609"/>
  <c r="T382" i="14609"/>
  <c r="U382" i="14609"/>
  <c r="V382" i="14609"/>
  <c r="W382" i="14609"/>
  <c r="X382" i="14609"/>
  <c r="Y382" i="14609"/>
  <c r="Z382" i="14609"/>
  <c r="AA382" i="14609"/>
  <c r="AB382" i="14609"/>
  <c r="AC382" i="14609"/>
  <c r="AD382" i="14609"/>
  <c r="AE382" i="14609"/>
  <c r="AF382" i="14609"/>
  <c r="AG382" i="14609"/>
  <c r="AH382" i="14609"/>
  <c r="AI382" i="14609"/>
  <c r="AJ382" i="14609"/>
  <c r="AK382" i="14609"/>
  <c r="AL382" i="14609"/>
  <c r="AM382" i="14609"/>
  <c r="AN382" i="14609"/>
  <c r="AO382" i="14609"/>
  <c r="AP382" i="14609"/>
  <c r="AQ382" i="14609"/>
  <c r="AR382" i="14609"/>
  <c r="AS382" i="14609"/>
  <c r="AT382" i="14609"/>
  <c r="AU382" i="14609"/>
  <c r="AV382" i="14609"/>
  <c r="AW382" i="14609"/>
  <c r="AX382" i="14609"/>
  <c r="AY382" i="14609"/>
  <c r="AZ382" i="14609"/>
  <c r="BA382" i="14609"/>
  <c r="BB382" i="14609"/>
  <c r="BC382" i="14609"/>
  <c r="BD382" i="14609"/>
  <c r="BE382" i="14609"/>
  <c r="BF382" i="14609"/>
  <c r="BG382" i="14609"/>
  <c r="BH382" i="14609"/>
  <c r="BI382" i="14609"/>
  <c r="BJ382" i="14609"/>
  <c r="BK382" i="14609"/>
  <c r="BL382" i="14609"/>
  <c r="BM382" i="14609"/>
  <c r="BN382" i="14609"/>
  <c r="BO382" i="14609"/>
  <c r="BP382" i="14609"/>
  <c r="BQ382" i="14609"/>
  <c r="BR382" i="14609"/>
  <c r="BS382" i="14609"/>
  <c r="BT382" i="14609"/>
  <c r="BU382" i="14609"/>
  <c r="BV382" i="14609"/>
  <c r="BW382" i="14609"/>
  <c r="BX382" i="14609"/>
  <c r="BY382" i="14609"/>
  <c r="BZ382" i="14609"/>
  <c r="CA382" i="14609"/>
  <c r="CB382" i="14609"/>
  <c r="CC382" i="14609"/>
  <c r="CD382" i="14609"/>
  <c r="CE382" i="14609"/>
  <c r="CF382" i="14609"/>
  <c r="CG382" i="14609"/>
  <c r="CH382" i="14609"/>
  <c r="CI382" i="14609"/>
  <c r="CJ382" i="14609"/>
  <c r="CK382" i="14609"/>
  <c r="CL382" i="14609"/>
  <c r="CM382" i="14609"/>
  <c r="CN382" i="14609"/>
  <c r="CO382" i="14609"/>
  <c r="CP382" i="14609"/>
  <c r="CQ382" i="14609"/>
  <c r="CR382" i="14609"/>
  <c r="CS382" i="14609"/>
  <c r="CT382" i="14609"/>
  <c r="CU382" i="14609"/>
  <c r="CV382" i="14609"/>
  <c r="CW382" i="14609"/>
  <c r="CX382" i="14609"/>
  <c r="CY382" i="14609"/>
  <c r="CZ382" i="14609"/>
  <c r="DA382" i="14609"/>
  <c r="DB382" i="14609"/>
  <c r="DC382" i="14609"/>
  <c r="DD382" i="14609"/>
  <c r="DE382" i="14609"/>
  <c r="DF382" i="14609"/>
  <c r="DG382" i="14609"/>
  <c r="DH382" i="14609"/>
  <c r="DI382" i="14609"/>
  <c r="DJ382" i="14609"/>
  <c r="DK382" i="14609"/>
  <c r="DL382" i="14609"/>
  <c r="DM382" i="14609"/>
  <c r="DN382" i="14609"/>
  <c r="DO382" i="14609"/>
  <c r="DP382" i="14609"/>
  <c r="DQ382" i="14609"/>
  <c r="DR382" i="14609"/>
  <c r="DS382" i="14609"/>
  <c r="DT382" i="14609"/>
  <c r="DU382" i="14609"/>
  <c r="DV382" i="14609"/>
  <c r="DW382" i="14609"/>
  <c r="DX382" i="14609"/>
  <c r="DY382" i="14609"/>
  <c r="DZ382" i="14609"/>
  <c r="EA382" i="14609"/>
  <c r="EB382" i="14609"/>
  <c r="EC382" i="14609"/>
  <c r="ED382" i="14609"/>
  <c r="EE382" i="14609"/>
  <c r="EF382" i="14609"/>
  <c r="EG382" i="14609"/>
  <c r="EH382" i="14609"/>
  <c r="EI382" i="14609"/>
  <c r="EJ382" i="14609"/>
  <c r="EK382" i="14609"/>
  <c r="EL382" i="14609"/>
  <c r="EM382" i="14609"/>
  <c r="EN382" i="14609"/>
  <c r="EO382" i="14609"/>
  <c r="EP382" i="14609"/>
  <c r="EQ382" i="14609"/>
  <c r="ER382" i="14609"/>
  <c r="ES382" i="14609"/>
  <c r="ET382" i="14609"/>
  <c r="EU382" i="14609"/>
  <c r="EV382" i="14609"/>
  <c r="EW382" i="14609"/>
  <c r="EX382" i="14609"/>
  <c r="EY382" i="14609"/>
  <c r="EZ382" i="14609"/>
  <c r="FA382" i="14609"/>
  <c r="FB382" i="14609"/>
  <c r="FC382" i="14609"/>
  <c r="FD382" i="14609"/>
  <c r="FE382" i="14609"/>
  <c r="FF382" i="14609"/>
  <c r="FG382" i="14609"/>
  <c r="FH382" i="14609"/>
  <c r="FI382" i="14609"/>
  <c r="FJ382" i="14609"/>
  <c r="FK382" i="14609"/>
  <c r="FL382" i="14609"/>
  <c r="FM382" i="14609"/>
  <c r="FN382" i="14609"/>
  <c r="FO382" i="14609"/>
  <c r="FP382" i="14609"/>
  <c r="FQ382" i="14609"/>
  <c r="FR382" i="14609"/>
  <c r="FS382" i="14609"/>
  <c r="FT382" i="14609"/>
  <c r="FU382" i="14609"/>
  <c r="FV382" i="14609"/>
  <c r="FW382" i="14609"/>
  <c r="FX382" i="14609"/>
  <c r="FY382" i="14609"/>
  <c r="FZ382" i="14609"/>
  <c r="GA382" i="14609"/>
  <c r="GB382" i="14609"/>
  <c r="GC382" i="14609"/>
  <c r="GD382" i="14609"/>
  <c r="GE382" i="14609"/>
  <c r="GF382" i="14609"/>
  <c r="GG382" i="14609"/>
  <c r="GH382" i="14609"/>
  <c r="GI382" i="14609"/>
  <c r="GJ382" i="14609"/>
  <c r="GK382" i="14609"/>
  <c r="GL382" i="14609"/>
  <c r="GM382" i="14609"/>
  <c r="GN382" i="14609"/>
  <c r="GO382" i="14609"/>
  <c r="GP382" i="14609"/>
  <c r="GQ382" i="14609"/>
  <c r="GR382" i="14609"/>
  <c r="GS382" i="14609"/>
  <c r="GT382" i="14609"/>
  <c r="GU382" i="14609"/>
  <c r="GV382" i="14609"/>
  <c r="GW382" i="14609"/>
  <c r="GX382" i="14609"/>
  <c r="GY382" i="14609"/>
  <c r="GZ382" i="14609"/>
  <c r="HA382" i="14609"/>
  <c r="HB382" i="14609"/>
  <c r="HC382" i="14609"/>
  <c r="HD382" i="14609"/>
  <c r="HE382" i="14609"/>
  <c r="HF382" i="14609"/>
  <c r="HG382" i="14609"/>
  <c r="HH382" i="14609"/>
  <c r="HI382" i="14609"/>
  <c r="HJ382" i="14609"/>
  <c r="HK382" i="14609"/>
  <c r="HL382" i="14609"/>
  <c r="HM382" i="14609"/>
  <c r="HN382" i="14609"/>
  <c r="HO382" i="14609"/>
  <c r="HP382" i="14609"/>
  <c r="HQ382" i="14609"/>
  <c r="HR382" i="14609"/>
  <c r="HS382" i="14609"/>
  <c r="HT382" i="14609"/>
  <c r="HU382" i="14609"/>
  <c r="HV382" i="14609"/>
  <c r="HW382" i="14609"/>
  <c r="HX382" i="14609"/>
  <c r="HY382" i="14609"/>
  <c r="HZ382" i="14609"/>
  <c r="IA382" i="14609"/>
  <c r="IB382" i="14609"/>
  <c r="IC382" i="14609"/>
  <c r="ID382" i="14609"/>
  <c r="IE382" i="14609"/>
  <c r="IF382" i="14609"/>
  <c r="IG382" i="14609"/>
  <c r="IH382" i="14609"/>
  <c r="II382" i="14609"/>
  <c r="IJ382" i="14609"/>
  <c r="IK382" i="14609"/>
  <c r="IL382" i="14609"/>
  <c r="IM382" i="14609"/>
  <c r="IN382" i="14609"/>
  <c r="IO382" i="14609"/>
  <c r="IP382" i="14609"/>
  <c r="IQ382" i="14609"/>
  <c r="IR382" i="14609"/>
  <c r="IS382" i="14609"/>
  <c r="IT382" i="14609"/>
  <c r="IU382" i="14609"/>
  <c r="IV382" i="14609"/>
  <c r="A381" i="14609"/>
  <c r="B381" i="14609"/>
  <c r="C381" i="14609"/>
  <c r="D381" i="14609"/>
  <c r="E381" i="14609"/>
  <c r="F381" i="14609"/>
  <c r="G381" i="14609"/>
  <c r="H381" i="14609"/>
  <c r="I381" i="14609"/>
  <c r="J381" i="14609"/>
  <c r="K381" i="14609"/>
  <c r="L381" i="14609"/>
  <c r="M381" i="14609"/>
  <c r="N381" i="14609"/>
  <c r="O381" i="14609"/>
  <c r="P381" i="14609"/>
  <c r="Q381" i="14609"/>
  <c r="R381" i="14609"/>
  <c r="S381" i="14609"/>
  <c r="T381" i="14609"/>
  <c r="U381" i="14609"/>
  <c r="V381" i="14609"/>
  <c r="W381" i="14609"/>
  <c r="X381" i="14609"/>
  <c r="Y381" i="14609"/>
  <c r="Z381" i="14609"/>
  <c r="AA381" i="14609"/>
  <c r="AB381" i="14609"/>
  <c r="AC381" i="14609"/>
  <c r="AD381" i="14609"/>
  <c r="AE381" i="14609"/>
  <c r="AF381" i="14609"/>
  <c r="AG381" i="14609"/>
  <c r="AH381" i="14609"/>
  <c r="AI381" i="14609"/>
  <c r="AJ381" i="14609"/>
  <c r="AK381" i="14609"/>
  <c r="AL381" i="14609"/>
  <c r="AM381" i="14609"/>
  <c r="AN381" i="14609"/>
  <c r="AO381" i="14609"/>
  <c r="AP381" i="14609"/>
  <c r="AQ381" i="14609"/>
  <c r="AR381" i="14609"/>
  <c r="AS381" i="14609"/>
  <c r="AT381" i="14609"/>
  <c r="AU381" i="14609"/>
  <c r="AV381" i="14609"/>
  <c r="AW381" i="14609"/>
  <c r="AX381" i="14609"/>
  <c r="AY381" i="14609"/>
  <c r="AZ381" i="14609"/>
  <c r="BA381" i="14609"/>
  <c r="BB381" i="14609"/>
  <c r="BC381" i="14609"/>
  <c r="BD381" i="14609"/>
  <c r="BE381" i="14609"/>
  <c r="BF381" i="14609"/>
  <c r="BG381" i="14609"/>
  <c r="BH381" i="14609"/>
  <c r="BI381" i="14609"/>
  <c r="BJ381" i="14609"/>
  <c r="BK381" i="14609"/>
  <c r="BL381" i="14609"/>
  <c r="BM381" i="14609"/>
  <c r="BN381" i="14609"/>
  <c r="BO381" i="14609"/>
  <c r="BP381" i="14609"/>
  <c r="BQ381" i="14609"/>
  <c r="BR381" i="14609"/>
  <c r="BS381" i="14609"/>
  <c r="BT381" i="14609"/>
  <c r="BU381" i="14609"/>
  <c r="BV381" i="14609"/>
  <c r="BW381" i="14609"/>
  <c r="BX381" i="14609"/>
  <c r="BY381" i="14609"/>
  <c r="BZ381" i="14609"/>
  <c r="CA381" i="14609"/>
  <c r="CB381" i="14609"/>
  <c r="CC381" i="14609"/>
  <c r="CD381" i="14609"/>
  <c r="CE381" i="14609"/>
  <c r="CF381" i="14609"/>
  <c r="CG381" i="14609"/>
  <c r="CH381" i="14609"/>
  <c r="CI381" i="14609"/>
  <c r="CJ381" i="14609"/>
  <c r="CK381" i="14609"/>
  <c r="CL381" i="14609"/>
  <c r="CM381" i="14609"/>
  <c r="CN381" i="14609"/>
  <c r="CO381" i="14609"/>
  <c r="CP381" i="14609"/>
  <c r="CQ381" i="14609"/>
  <c r="CR381" i="14609"/>
  <c r="CS381" i="14609"/>
  <c r="CT381" i="14609"/>
  <c r="CU381" i="14609"/>
  <c r="CV381" i="14609"/>
  <c r="CW381" i="14609"/>
  <c r="CX381" i="14609"/>
  <c r="CY381" i="14609"/>
  <c r="CZ381" i="14609"/>
  <c r="DA381" i="14609"/>
  <c r="DB381" i="14609"/>
  <c r="DC381" i="14609"/>
  <c r="DD381" i="14609"/>
  <c r="DE381" i="14609"/>
  <c r="DF381" i="14609"/>
  <c r="DG381" i="14609"/>
  <c r="DH381" i="14609"/>
  <c r="DI381" i="14609"/>
  <c r="DJ381" i="14609"/>
  <c r="DK381" i="14609"/>
  <c r="DL381" i="14609"/>
  <c r="DM381" i="14609"/>
  <c r="DN381" i="14609"/>
  <c r="DO381" i="14609"/>
  <c r="DP381" i="14609"/>
  <c r="DQ381" i="14609"/>
  <c r="DR381" i="14609"/>
  <c r="DS381" i="14609"/>
  <c r="DT381" i="14609"/>
  <c r="DU381" i="14609"/>
  <c r="DV381" i="14609"/>
  <c r="DW381" i="14609"/>
  <c r="DX381" i="14609"/>
  <c r="DY381" i="14609"/>
  <c r="DZ381" i="14609"/>
  <c r="EA381" i="14609"/>
  <c r="EB381" i="14609"/>
  <c r="EC381" i="14609"/>
  <c r="ED381" i="14609"/>
  <c r="EE381" i="14609"/>
  <c r="EF381" i="14609"/>
  <c r="EG381" i="14609"/>
  <c r="EH381" i="14609"/>
  <c r="EI381" i="14609"/>
  <c r="EJ381" i="14609"/>
  <c r="EK381" i="14609"/>
  <c r="EL381" i="14609"/>
  <c r="EM381" i="14609"/>
  <c r="EN381" i="14609"/>
  <c r="EO381" i="14609"/>
  <c r="EP381" i="14609"/>
  <c r="EQ381" i="14609"/>
  <c r="ER381" i="14609"/>
  <c r="ES381" i="14609"/>
  <c r="ET381" i="14609"/>
  <c r="EU381" i="14609"/>
  <c r="EV381" i="14609"/>
  <c r="EW381" i="14609"/>
  <c r="EX381" i="14609"/>
  <c r="EY381" i="14609"/>
  <c r="EZ381" i="14609"/>
  <c r="FA381" i="14609"/>
  <c r="FB381" i="14609"/>
  <c r="FC381" i="14609"/>
  <c r="FD381" i="14609"/>
  <c r="FE381" i="14609"/>
  <c r="FF381" i="14609"/>
  <c r="FG381" i="14609"/>
  <c r="FH381" i="14609"/>
  <c r="FI381" i="14609"/>
  <c r="FJ381" i="14609"/>
  <c r="FK381" i="14609"/>
  <c r="FL381" i="14609"/>
  <c r="FM381" i="14609"/>
  <c r="FN381" i="14609"/>
  <c r="FO381" i="14609"/>
  <c r="FP381" i="14609"/>
  <c r="FQ381" i="14609"/>
  <c r="FR381" i="14609"/>
  <c r="FS381" i="14609"/>
  <c r="FT381" i="14609"/>
  <c r="FU381" i="14609"/>
  <c r="FV381" i="14609"/>
  <c r="FW381" i="14609"/>
  <c r="FX381" i="14609"/>
  <c r="FY381" i="14609"/>
  <c r="FZ381" i="14609"/>
  <c r="GA381" i="14609"/>
  <c r="GB381" i="14609"/>
  <c r="GC381" i="14609"/>
  <c r="GD381" i="14609"/>
  <c r="GE381" i="14609"/>
  <c r="GF381" i="14609"/>
  <c r="GG381" i="14609"/>
  <c r="GH381" i="14609"/>
  <c r="GI381" i="14609"/>
  <c r="GJ381" i="14609"/>
  <c r="GK381" i="14609"/>
  <c r="GL381" i="14609"/>
  <c r="GM381" i="14609"/>
  <c r="GN381" i="14609"/>
  <c r="GO381" i="14609"/>
  <c r="GP381" i="14609"/>
  <c r="GQ381" i="14609"/>
  <c r="GR381" i="14609"/>
  <c r="GS381" i="14609"/>
  <c r="GT381" i="14609"/>
  <c r="GU381" i="14609"/>
  <c r="GV381" i="14609"/>
  <c r="GW381" i="14609"/>
  <c r="GX381" i="14609"/>
  <c r="GY381" i="14609"/>
  <c r="GZ381" i="14609"/>
  <c r="HA381" i="14609"/>
  <c r="HB381" i="14609"/>
  <c r="HC381" i="14609"/>
  <c r="HD381" i="14609"/>
  <c r="HE381" i="14609"/>
  <c r="HF381" i="14609"/>
  <c r="HG381" i="14609"/>
  <c r="HH381" i="14609"/>
  <c r="HI381" i="14609"/>
  <c r="HJ381" i="14609"/>
  <c r="HK381" i="14609"/>
  <c r="HL381" i="14609"/>
  <c r="HM381" i="14609"/>
  <c r="HN381" i="14609"/>
  <c r="HO381" i="14609"/>
  <c r="HP381" i="14609"/>
  <c r="HQ381" i="14609"/>
  <c r="HR381" i="14609"/>
  <c r="HS381" i="14609"/>
  <c r="HT381" i="14609"/>
  <c r="HU381" i="14609"/>
  <c r="HV381" i="14609"/>
  <c r="HW381" i="14609"/>
  <c r="HX381" i="14609"/>
  <c r="HY381" i="14609"/>
  <c r="HZ381" i="14609"/>
  <c r="IA381" i="14609"/>
  <c r="IB381" i="14609"/>
  <c r="IC381" i="14609"/>
  <c r="ID381" i="14609"/>
  <c r="IE381" i="14609"/>
  <c r="IF381" i="14609"/>
  <c r="IG381" i="14609"/>
  <c r="IH381" i="14609"/>
  <c r="II381" i="14609"/>
  <c r="IJ381" i="14609"/>
  <c r="IK381" i="14609"/>
  <c r="IL381" i="14609"/>
  <c r="IM381" i="14609"/>
  <c r="IN381" i="14609"/>
  <c r="IO381" i="14609"/>
  <c r="IP381" i="14609"/>
  <c r="IQ381" i="14609"/>
  <c r="IR381" i="14609"/>
  <c r="IS381" i="14609"/>
  <c r="IT381" i="14609"/>
  <c r="IU381" i="14609"/>
  <c r="IV381" i="14609"/>
  <c r="A380" i="14609"/>
  <c r="B380" i="14609"/>
  <c r="C380" i="14609"/>
  <c r="D380" i="14609"/>
  <c r="E380" i="14609"/>
  <c r="F380" i="14609"/>
  <c r="G380" i="14609"/>
  <c r="H380" i="14609"/>
  <c r="I380" i="14609"/>
  <c r="J380" i="14609"/>
  <c r="K380" i="14609"/>
  <c r="L380" i="14609"/>
  <c r="M380" i="14609"/>
  <c r="N380" i="14609"/>
  <c r="O380" i="14609"/>
  <c r="P380" i="14609"/>
  <c r="Q380" i="14609"/>
  <c r="R380" i="14609"/>
  <c r="S380" i="14609"/>
  <c r="T380" i="14609"/>
  <c r="U380" i="14609"/>
  <c r="V380" i="14609"/>
  <c r="W380" i="14609"/>
  <c r="X380" i="14609"/>
  <c r="Y380" i="14609"/>
  <c r="Z380" i="14609"/>
  <c r="AA380" i="14609"/>
  <c r="AB380" i="14609"/>
  <c r="AC380" i="14609"/>
  <c r="AD380" i="14609"/>
  <c r="AE380" i="14609"/>
  <c r="AF380" i="14609"/>
  <c r="AG380" i="14609"/>
  <c r="AH380" i="14609"/>
  <c r="AI380" i="14609"/>
  <c r="AJ380" i="14609"/>
  <c r="AK380" i="14609"/>
  <c r="AL380" i="14609"/>
  <c r="AM380" i="14609"/>
  <c r="AN380" i="14609"/>
  <c r="AO380" i="14609"/>
  <c r="AP380" i="14609"/>
  <c r="AQ380" i="14609"/>
  <c r="AR380" i="14609"/>
  <c r="AS380" i="14609"/>
  <c r="AT380" i="14609"/>
  <c r="AU380" i="14609"/>
  <c r="AV380" i="14609"/>
  <c r="AW380" i="14609"/>
  <c r="AX380" i="14609"/>
  <c r="AY380" i="14609"/>
  <c r="AZ380" i="14609"/>
  <c r="BA380" i="14609"/>
  <c r="BB380" i="14609"/>
  <c r="BC380" i="14609"/>
  <c r="BD380" i="14609"/>
  <c r="BE380" i="14609"/>
  <c r="BF380" i="14609"/>
  <c r="BG380" i="14609"/>
  <c r="BH380" i="14609"/>
  <c r="BI380" i="14609"/>
  <c r="BJ380" i="14609"/>
  <c r="BK380" i="14609"/>
  <c r="BL380" i="14609"/>
  <c r="BM380" i="14609"/>
  <c r="BN380" i="14609"/>
  <c r="BO380" i="14609"/>
  <c r="BP380" i="14609"/>
  <c r="BQ380" i="14609"/>
  <c r="BR380" i="14609"/>
  <c r="BS380" i="14609"/>
  <c r="BT380" i="14609"/>
  <c r="BU380" i="14609"/>
  <c r="BV380" i="14609"/>
  <c r="BW380" i="14609"/>
  <c r="BX380" i="14609"/>
  <c r="BY380" i="14609"/>
  <c r="BZ380" i="14609"/>
  <c r="CA380" i="14609"/>
  <c r="CB380" i="14609"/>
  <c r="CC380" i="14609"/>
  <c r="CD380" i="14609"/>
  <c r="CE380" i="14609"/>
  <c r="CF380" i="14609"/>
  <c r="CG380" i="14609"/>
  <c r="CH380" i="14609"/>
  <c r="CI380" i="14609"/>
  <c r="CJ380" i="14609"/>
  <c r="CK380" i="14609"/>
  <c r="CL380" i="14609"/>
  <c r="CM380" i="14609"/>
  <c r="CN380" i="14609"/>
  <c r="CO380" i="14609"/>
  <c r="CP380" i="14609"/>
  <c r="CQ380" i="14609"/>
  <c r="CR380" i="14609"/>
  <c r="CS380" i="14609"/>
  <c r="CT380" i="14609"/>
  <c r="CU380" i="14609"/>
  <c r="CV380" i="14609"/>
  <c r="CW380" i="14609"/>
  <c r="CX380" i="14609"/>
  <c r="CY380" i="14609"/>
  <c r="CZ380" i="14609"/>
  <c r="DA380" i="14609"/>
  <c r="DB380" i="14609"/>
  <c r="DC380" i="14609"/>
  <c r="DD380" i="14609"/>
  <c r="DE380" i="14609"/>
  <c r="DF380" i="14609"/>
  <c r="DG380" i="14609"/>
  <c r="DH380" i="14609"/>
  <c r="DI380" i="14609"/>
  <c r="DJ380" i="14609"/>
  <c r="DK380" i="14609"/>
  <c r="DL380" i="14609"/>
  <c r="DM380" i="14609"/>
  <c r="DN380" i="14609"/>
  <c r="DO380" i="14609"/>
  <c r="DP380" i="14609"/>
  <c r="DQ380" i="14609"/>
  <c r="DR380" i="14609"/>
  <c r="DS380" i="14609"/>
  <c r="DT380" i="14609"/>
  <c r="DU380" i="14609"/>
  <c r="DV380" i="14609"/>
  <c r="DW380" i="14609"/>
  <c r="DX380" i="14609"/>
  <c r="DY380" i="14609"/>
  <c r="DZ380" i="14609"/>
  <c r="EA380" i="14609"/>
  <c r="EB380" i="14609"/>
  <c r="EC380" i="14609"/>
  <c r="ED380" i="14609"/>
  <c r="EE380" i="14609"/>
  <c r="EF380" i="14609"/>
  <c r="EG380" i="14609"/>
  <c r="EH380" i="14609"/>
  <c r="EI380" i="14609"/>
  <c r="EJ380" i="14609"/>
  <c r="EK380" i="14609"/>
  <c r="EL380" i="14609"/>
  <c r="EM380" i="14609"/>
  <c r="EN380" i="14609"/>
  <c r="EO380" i="14609"/>
  <c r="EP380" i="14609"/>
  <c r="EQ380" i="14609"/>
  <c r="ER380" i="14609"/>
  <c r="ES380" i="14609"/>
  <c r="ET380" i="14609"/>
  <c r="EU380" i="14609"/>
  <c r="EV380" i="14609"/>
  <c r="EW380" i="14609"/>
  <c r="EX380" i="14609"/>
  <c r="EY380" i="14609"/>
  <c r="EZ380" i="14609"/>
  <c r="FA380" i="14609"/>
  <c r="FB380" i="14609"/>
  <c r="FC380" i="14609"/>
  <c r="FD380" i="14609"/>
  <c r="FE380" i="14609"/>
  <c r="FF380" i="14609"/>
  <c r="FG380" i="14609"/>
  <c r="FH380" i="14609"/>
  <c r="FI380" i="14609"/>
  <c r="FJ380" i="14609"/>
  <c r="FK380" i="14609"/>
  <c r="FL380" i="14609"/>
  <c r="FM380" i="14609"/>
  <c r="FN380" i="14609"/>
  <c r="FO380" i="14609"/>
  <c r="FP380" i="14609"/>
  <c r="FQ380" i="14609"/>
  <c r="FR380" i="14609"/>
  <c r="FS380" i="14609"/>
  <c r="FT380" i="14609"/>
  <c r="FU380" i="14609"/>
  <c r="FV380" i="14609"/>
  <c r="FW380" i="14609"/>
  <c r="FX380" i="14609"/>
  <c r="FY380" i="14609"/>
  <c r="FZ380" i="14609"/>
  <c r="GA380" i="14609"/>
  <c r="GB380" i="14609"/>
  <c r="GC380" i="14609"/>
  <c r="GD380" i="14609"/>
  <c r="GE380" i="14609"/>
  <c r="GF380" i="14609"/>
  <c r="GG380" i="14609"/>
  <c r="GH380" i="14609"/>
  <c r="GI380" i="14609"/>
  <c r="GJ380" i="14609"/>
  <c r="GK380" i="14609"/>
  <c r="GL380" i="14609"/>
  <c r="GM380" i="14609"/>
  <c r="GN380" i="14609"/>
  <c r="GO380" i="14609"/>
  <c r="GP380" i="14609"/>
  <c r="GQ380" i="14609"/>
  <c r="GR380" i="14609"/>
  <c r="GS380" i="14609"/>
  <c r="GT380" i="14609"/>
  <c r="GU380" i="14609"/>
  <c r="GV380" i="14609"/>
  <c r="GW380" i="14609"/>
  <c r="GX380" i="14609"/>
  <c r="GY380" i="14609"/>
  <c r="GZ380" i="14609"/>
  <c r="HA380" i="14609"/>
  <c r="HB380" i="14609"/>
  <c r="HC380" i="14609"/>
  <c r="HD380" i="14609"/>
  <c r="HE380" i="14609"/>
  <c r="HF380" i="14609"/>
  <c r="HG380" i="14609"/>
  <c r="HH380" i="14609"/>
  <c r="HI380" i="14609"/>
  <c r="HJ380" i="14609"/>
  <c r="HK380" i="14609"/>
  <c r="HL380" i="14609"/>
  <c r="HM380" i="14609"/>
  <c r="HN380" i="14609"/>
  <c r="HO380" i="14609"/>
  <c r="HP380" i="14609"/>
  <c r="HQ380" i="14609"/>
  <c r="HR380" i="14609"/>
  <c r="HS380" i="14609"/>
  <c r="HT380" i="14609"/>
  <c r="HU380" i="14609"/>
  <c r="HV380" i="14609"/>
  <c r="HW380" i="14609"/>
  <c r="HX380" i="14609"/>
  <c r="HY380" i="14609"/>
  <c r="HZ380" i="14609"/>
  <c r="IA380" i="14609"/>
  <c r="IB380" i="14609"/>
  <c r="IC380" i="14609"/>
  <c r="ID380" i="14609"/>
  <c r="IE380" i="14609"/>
  <c r="IF380" i="14609"/>
  <c r="IG380" i="14609"/>
  <c r="IH380" i="14609"/>
  <c r="II380" i="14609"/>
  <c r="IJ380" i="14609"/>
  <c r="IK380" i="14609"/>
  <c r="IL380" i="14609"/>
  <c r="IM380" i="14609"/>
  <c r="IN380" i="14609"/>
  <c r="IO380" i="14609"/>
  <c r="IP380" i="14609"/>
  <c r="IQ380" i="14609"/>
  <c r="IR380" i="14609"/>
  <c r="IS380" i="14609"/>
  <c r="IT380" i="14609"/>
  <c r="IU380" i="14609"/>
  <c r="IV380" i="14609"/>
  <c r="A379" i="14609"/>
  <c r="B379" i="14609"/>
  <c r="C379" i="14609"/>
  <c r="D379" i="14609"/>
  <c r="E379" i="14609"/>
  <c r="F379" i="14609"/>
  <c r="G379" i="14609"/>
  <c r="H379" i="14609"/>
  <c r="I379" i="14609"/>
  <c r="J379" i="14609"/>
  <c r="K379" i="14609"/>
  <c r="L379" i="14609"/>
  <c r="M379" i="14609"/>
  <c r="N379" i="14609"/>
  <c r="O379" i="14609"/>
  <c r="P379" i="14609"/>
  <c r="Q379" i="14609"/>
  <c r="R379" i="14609"/>
  <c r="S379" i="14609"/>
  <c r="T379" i="14609"/>
  <c r="U379" i="14609"/>
  <c r="V379" i="14609"/>
  <c r="W379" i="14609"/>
  <c r="X379" i="14609"/>
  <c r="Y379" i="14609"/>
  <c r="Z379" i="14609"/>
  <c r="AA379" i="14609"/>
  <c r="AB379" i="14609"/>
  <c r="AC379" i="14609"/>
  <c r="AD379" i="14609"/>
  <c r="AE379" i="14609"/>
  <c r="AF379" i="14609"/>
  <c r="AG379" i="14609"/>
  <c r="AH379" i="14609"/>
  <c r="AI379" i="14609"/>
  <c r="AJ379" i="14609"/>
  <c r="AK379" i="14609"/>
  <c r="AL379" i="14609"/>
  <c r="AM379" i="14609"/>
  <c r="AN379" i="14609"/>
  <c r="AO379" i="14609"/>
  <c r="AP379" i="14609"/>
  <c r="AQ379" i="14609"/>
  <c r="AR379" i="14609"/>
  <c r="AS379" i="14609"/>
  <c r="AT379" i="14609"/>
  <c r="AU379" i="14609"/>
  <c r="AV379" i="14609"/>
  <c r="AW379" i="14609"/>
  <c r="AX379" i="14609"/>
  <c r="AY379" i="14609"/>
  <c r="AZ379" i="14609"/>
  <c r="BA379" i="14609"/>
  <c r="BB379" i="14609"/>
  <c r="BC379" i="14609"/>
  <c r="BD379" i="14609"/>
  <c r="BE379" i="14609"/>
  <c r="BF379" i="14609"/>
  <c r="BG379" i="14609"/>
  <c r="BH379" i="14609"/>
  <c r="BI379" i="14609"/>
  <c r="BJ379" i="14609"/>
  <c r="BK379" i="14609"/>
  <c r="BL379" i="14609"/>
  <c r="BM379" i="14609"/>
  <c r="BN379" i="14609"/>
  <c r="BO379" i="14609"/>
  <c r="BP379" i="14609"/>
  <c r="BQ379" i="14609"/>
  <c r="BR379" i="14609"/>
  <c r="BS379" i="14609"/>
  <c r="BT379" i="14609"/>
  <c r="BU379" i="14609"/>
  <c r="BV379" i="14609"/>
  <c r="BW379" i="14609"/>
  <c r="BX379" i="14609"/>
  <c r="BY379" i="14609"/>
  <c r="BZ379" i="14609"/>
  <c r="CA379" i="14609"/>
  <c r="CB379" i="14609"/>
  <c r="CC379" i="14609"/>
  <c r="CD379" i="14609"/>
  <c r="CE379" i="14609"/>
  <c r="CF379" i="14609"/>
  <c r="CG379" i="14609"/>
  <c r="CH379" i="14609"/>
  <c r="CI379" i="14609"/>
  <c r="CJ379" i="14609"/>
  <c r="CK379" i="14609"/>
  <c r="CL379" i="14609"/>
  <c r="CM379" i="14609"/>
  <c r="CN379" i="14609"/>
  <c r="CO379" i="14609"/>
  <c r="CP379" i="14609"/>
  <c r="CQ379" i="14609"/>
  <c r="CR379" i="14609"/>
  <c r="CS379" i="14609"/>
  <c r="CT379" i="14609"/>
  <c r="CU379" i="14609"/>
  <c r="CV379" i="14609"/>
  <c r="CW379" i="14609"/>
  <c r="CX379" i="14609"/>
  <c r="CY379" i="14609"/>
  <c r="CZ379" i="14609"/>
  <c r="DA379" i="14609"/>
  <c r="DB379" i="14609"/>
  <c r="DC379" i="14609"/>
  <c r="DD379" i="14609"/>
  <c r="DE379" i="14609"/>
  <c r="DF379" i="14609"/>
  <c r="DG379" i="14609"/>
  <c r="DH379" i="14609"/>
  <c r="DI379" i="14609"/>
  <c r="DJ379" i="14609"/>
  <c r="DK379" i="14609"/>
  <c r="DL379" i="14609"/>
  <c r="DM379" i="14609"/>
  <c r="DN379" i="14609"/>
  <c r="DO379" i="14609"/>
  <c r="DP379" i="14609"/>
  <c r="DQ379" i="14609"/>
  <c r="DR379" i="14609"/>
  <c r="DS379" i="14609"/>
  <c r="DT379" i="14609"/>
  <c r="DU379" i="14609"/>
  <c r="DV379" i="14609"/>
  <c r="DW379" i="14609"/>
  <c r="DX379" i="14609"/>
  <c r="DY379" i="14609"/>
  <c r="DZ379" i="14609"/>
  <c r="EA379" i="14609"/>
  <c r="EB379" i="14609"/>
  <c r="EC379" i="14609"/>
  <c r="ED379" i="14609"/>
  <c r="EE379" i="14609"/>
  <c r="EF379" i="14609"/>
  <c r="EG379" i="14609"/>
  <c r="EH379" i="14609"/>
  <c r="EI379" i="14609"/>
  <c r="EJ379" i="14609"/>
  <c r="EK379" i="14609"/>
  <c r="EL379" i="14609"/>
  <c r="EM379" i="14609"/>
  <c r="EN379" i="14609"/>
  <c r="EO379" i="14609"/>
  <c r="EP379" i="14609"/>
  <c r="EQ379" i="14609"/>
  <c r="ER379" i="14609"/>
  <c r="ES379" i="14609"/>
  <c r="ET379" i="14609"/>
  <c r="EU379" i="14609"/>
  <c r="EV379" i="14609"/>
  <c r="EW379" i="14609"/>
  <c r="EX379" i="14609"/>
  <c r="EY379" i="14609"/>
  <c r="EZ379" i="14609"/>
  <c r="FA379" i="14609"/>
  <c r="FB379" i="14609"/>
  <c r="FC379" i="14609"/>
  <c r="FD379" i="14609"/>
  <c r="FE379" i="14609"/>
  <c r="FF379" i="14609"/>
  <c r="FG379" i="14609"/>
  <c r="FH379" i="14609"/>
  <c r="FI379" i="14609"/>
  <c r="FJ379" i="14609"/>
  <c r="FK379" i="14609"/>
  <c r="FL379" i="14609"/>
  <c r="FM379" i="14609"/>
  <c r="FN379" i="14609"/>
  <c r="FO379" i="14609"/>
  <c r="FP379" i="14609"/>
  <c r="FQ379" i="14609"/>
  <c r="FR379" i="14609"/>
  <c r="FS379" i="14609"/>
  <c r="FT379" i="14609"/>
  <c r="FU379" i="14609"/>
  <c r="FV379" i="14609"/>
  <c r="FW379" i="14609"/>
  <c r="FX379" i="14609"/>
  <c r="FY379" i="14609"/>
  <c r="FZ379" i="14609"/>
  <c r="GA379" i="14609"/>
  <c r="GB379" i="14609"/>
  <c r="GC379" i="14609"/>
  <c r="GD379" i="14609"/>
  <c r="GE379" i="14609"/>
  <c r="GF379" i="14609"/>
  <c r="GG379" i="14609"/>
  <c r="GH379" i="14609"/>
  <c r="GI379" i="14609"/>
  <c r="GJ379" i="14609"/>
  <c r="GK379" i="14609"/>
  <c r="GL379" i="14609"/>
  <c r="GM379" i="14609"/>
  <c r="GN379" i="14609"/>
  <c r="GO379" i="14609"/>
  <c r="GP379" i="14609"/>
  <c r="GQ379" i="14609"/>
  <c r="GR379" i="14609"/>
  <c r="GS379" i="14609"/>
  <c r="GT379" i="14609"/>
  <c r="GU379" i="14609"/>
  <c r="GV379" i="14609"/>
  <c r="GW379" i="14609"/>
  <c r="GX379" i="14609"/>
  <c r="GY379" i="14609"/>
  <c r="GZ379" i="14609"/>
  <c r="HA379" i="14609"/>
  <c r="HB379" i="14609"/>
  <c r="HC379" i="14609"/>
  <c r="HD379" i="14609"/>
  <c r="HE379" i="14609"/>
  <c r="HF379" i="14609"/>
  <c r="HG379" i="14609"/>
  <c r="HH379" i="14609"/>
  <c r="HI379" i="14609"/>
  <c r="HJ379" i="14609"/>
  <c r="HK379" i="14609"/>
  <c r="HL379" i="14609"/>
  <c r="HM379" i="14609"/>
  <c r="HN379" i="14609"/>
  <c r="HO379" i="14609"/>
  <c r="HP379" i="14609"/>
  <c r="HQ379" i="14609"/>
  <c r="HR379" i="14609"/>
  <c r="HS379" i="14609"/>
  <c r="HT379" i="14609"/>
  <c r="HU379" i="14609"/>
  <c r="HV379" i="14609"/>
  <c r="HW379" i="14609"/>
  <c r="HX379" i="14609"/>
  <c r="HY379" i="14609"/>
  <c r="HZ379" i="14609"/>
  <c r="IA379" i="14609"/>
  <c r="IB379" i="14609"/>
  <c r="IC379" i="14609"/>
  <c r="ID379" i="14609"/>
  <c r="IE379" i="14609"/>
  <c r="IF379" i="14609"/>
  <c r="IG379" i="14609"/>
  <c r="IH379" i="14609"/>
  <c r="II379" i="14609"/>
  <c r="IJ379" i="14609"/>
  <c r="IK379" i="14609"/>
  <c r="IL379" i="14609"/>
  <c r="IM379" i="14609"/>
  <c r="IN379" i="14609"/>
  <c r="IO379" i="14609"/>
  <c r="IP379" i="14609"/>
  <c r="IQ379" i="14609"/>
  <c r="IR379" i="14609"/>
  <c r="IS379" i="14609"/>
  <c r="IT379" i="14609"/>
  <c r="IU379" i="14609"/>
  <c r="IV379" i="14609"/>
  <c r="A378" i="14609"/>
  <c r="B378" i="14609"/>
  <c r="C378" i="14609"/>
  <c r="D378" i="14609"/>
  <c r="E378" i="14609"/>
  <c r="F378" i="14609"/>
  <c r="G378" i="14609"/>
  <c r="H378" i="14609"/>
  <c r="I378" i="14609"/>
  <c r="J378" i="14609"/>
  <c r="K378" i="14609"/>
  <c r="L378" i="14609"/>
  <c r="M378" i="14609"/>
  <c r="N378" i="14609"/>
  <c r="O378" i="14609"/>
  <c r="P378" i="14609"/>
  <c r="Q378" i="14609"/>
  <c r="R378" i="14609"/>
  <c r="S378" i="14609"/>
  <c r="T378" i="14609"/>
  <c r="U378" i="14609"/>
  <c r="V378" i="14609"/>
  <c r="W378" i="14609"/>
  <c r="X378" i="14609"/>
  <c r="Y378" i="14609"/>
  <c r="Z378" i="14609"/>
  <c r="AA378" i="14609"/>
  <c r="AB378" i="14609"/>
  <c r="AC378" i="14609"/>
  <c r="AD378" i="14609"/>
  <c r="AE378" i="14609"/>
  <c r="AF378" i="14609"/>
  <c r="AG378" i="14609"/>
  <c r="AH378" i="14609"/>
  <c r="AI378" i="14609"/>
  <c r="AJ378" i="14609"/>
  <c r="AK378" i="14609"/>
  <c r="AL378" i="14609"/>
  <c r="AM378" i="14609"/>
  <c r="AN378" i="14609"/>
  <c r="AO378" i="14609"/>
  <c r="AP378" i="14609"/>
  <c r="AQ378" i="14609"/>
  <c r="AR378" i="14609"/>
  <c r="AS378" i="14609"/>
  <c r="AT378" i="14609"/>
  <c r="AU378" i="14609"/>
  <c r="AV378" i="14609"/>
  <c r="AW378" i="14609"/>
  <c r="AX378" i="14609"/>
  <c r="AY378" i="14609"/>
  <c r="AZ378" i="14609"/>
  <c r="BA378" i="14609"/>
  <c r="BB378" i="14609"/>
  <c r="BC378" i="14609"/>
  <c r="BD378" i="14609"/>
  <c r="BE378" i="14609"/>
  <c r="BF378" i="14609"/>
  <c r="BG378" i="14609"/>
  <c r="BH378" i="14609"/>
  <c r="BI378" i="14609"/>
  <c r="BJ378" i="14609"/>
  <c r="BK378" i="14609"/>
  <c r="BL378" i="14609"/>
  <c r="BM378" i="14609"/>
  <c r="BN378" i="14609"/>
  <c r="BO378" i="14609"/>
  <c r="BP378" i="14609"/>
  <c r="BQ378" i="14609"/>
  <c r="BR378" i="14609"/>
  <c r="BS378" i="14609"/>
  <c r="BT378" i="14609"/>
  <c r="BU378" i="14609"/>
  <c r="BV378" i="14609"/>
  <c r="BW378" i="14609"/>
  <c r="BX378" i="14609"/>
  <c r="BY378" i="14609"/>
  <c r="BZ378" i="14609"/>
  <c r="CA378" i="14609"/>
  <c r="CB378" i="14609"/>
  <c r="CC378" i="14609"/>
  <c r="CD378" i="14609"/>
  <c r="CE378" i="14609"/>
  <c r="CF378" i="14609"/>
  <c r="CG378" i="14609"/>
  <c r="CH378" i="14609"/>
  <c r="CI378" i="14609"/>
  <c r="CJ378" i="14609"/>
  <c r="CK378" i="14609"/>
  <c r="CL378" i="14609"/>
  <c r="CM378" i="14609"/>
  <c r="CN378" i="14609"/>
  <c r="CO378" i="14609"/>
  <c r="CP378" i="14609"/>
  <c r="CQ378" i="14609"/>
  <c r="CR378" i="14609"/>
  <c r="CS378" i="14609"/>
  <c r="CT378" i="14609"/>
  <c r="CU378" i="14609"/>
  <c r="CV378" i="14609"/>
  <c r="CW378" i="14609"/>
  <c r="CX378" i="14609"/>
  <c r="CY378" i="14609"/>
  <c r="CZ378" i="14609"/>
  <c r="DA378" i="14609"/>
  <c r="DB378" i="14609"/>
  <c r="DC378" i="14609"/>
  <c r="DD378" i="14609"/>
  <c r="DE378" i="14609"/>
  <c r="DF378" i="14609"/>
  <c r="DG378" i="14609"/>
  <c r="DH378" i="14609"/>
  <c r="DI378" i="14609"/>
  <c r="DJ378" i="14609"/>
  <c r="DK378" i="14609"/>
  <c r="DL378" i="14609"/>
  <c r="DM378" i="14609"/>
  <c r="DN378" i="14609"/>
  <c r="DO378" i="14609"/>
  <c r="DP378" i="14609"/>
  <c r="DQ378" i="14609"/>
  <c r="DR378" i="14609"/>
  <c r="DS378" i="14609"/>
  <c r="DT378" i="14609"/>
  <c r="DU378" i="14609"/>
  <c r="DV378" i="14609"/>
  <c r="DW378" i="14609"/>
  <c r="DX378" i="14609"/>
  <c r="DY378" i="14609"/>
  <c r="DZ378" i="14609"/>
  <c r="EA378" i="14609"/>
  <c r="EB378" i="14609"/>
  <c r="EC378" i="14609"/>
  <c r="ED378" i="14609"/>
  <c r="EE378" i="14609"/>
  <c r="EF378" i="14609"/>
  <c r="EG378" i="14609"/>
  <c r="EH378" i="14609"/>
  <c r="EI378" i="14609"/>
  <c r="EJ378" i="14609"/>
  <c r="EK378" i="14609"/>
  <c r="EL378" i="14609"/>
  <c r="EM378" i="14609"/>
  <c r="EN378" i="14609"/>
  <c r="EO378" i="14609"/>
  <c r="EP378" i="14609"/>
  <c r="EQ378" i="14609"/>
  <c r="ER378" i="14609"/>
  <c r="ES378" i="14609"/>
  <c r="ET378" i="14609"/>
  <c r="EU378" i="14609"/>
  <c r="EV378" i="14609"/>
  <c r="EW378" i="14609"/>
  <c r="EX378" i="14609"/>
  <c r="EY378" i="14609"/>
  <c r="EZ378" i="14609"/>
  <c r="FA378" i="14609"/>
  <c r="FB378" i="14609"/>
  <c r="FC378" i="14609"/>
  <c r="FD378" i="14609"/>
  <c r="FE378" i="14609"/>
  <c r="FF378" i="14609"/>
  <c r="FG378" i="14609"/>
  <c r="FH378" i="14609"/>
  <c r="FI378" i="14609"/>
  <c r="FJ378" i="14609"/>
  <c r="FK378" i="14609"/>
  <c r="FL378" i="14609"/>
  <c r="FM378" i="14609"/>
  <c r="FN378" i="14609"/>
  <c r="FO378" i="14609"/>
  <c r="FP378" i="14609"/>
  <c r="FQ378" i="14609"/>
  <c r="FR378" i="14609"/>
  <c r="FS378" i="14609"/>
  <c r="FT378" i="14609"/>
  <c r="FU378" i="14609"/>
  <c r="FV378" i="14609"/>
  <c r="FW378" i="14609"/>
  <c r="FX378" i="14609"/>
  <c r="FY378" i="14609"/>
  <c r="FZ378" i="14609"/>
  <c r="GA378" i="14609"/>
  <c r="GB378" i="14609"/>
  <c r="GC378" i="14609"/>
  <c r="GD378" i="14609"/>
  <c r="GE378" i="14609"/>
  <c r="GF378" i="14609"/>
  <c r="GG378" i="14609"/>
  <c r="GH378" i="14609"/>
  <c r="GI378" i="14609"/>
  <c r="GJ378" i="14609"/>
  <c r="GK378" i="14609"/>
  <c r="GL378" i="14609"/>
  <c r="GM378" i="14609"/>
  <c r="GN378" i="14609"/>
  <c r="GO378" i="14609"/>
  <c r="GP378" i="14609"/>
  <c r="GQ378" i="14609"/>
  <c r="GR378" i="14609"/>
  <c r="GS378" i="14609"/>
  <c r="GT378" i="14609"/>
  <c r="GU378" i="14609"/>
  <c r="GV378" i="14609"/>
  <c r="GW378" i="14609"/>
  <c r="GX378" i="14609"/>
  <c r="GY378" i="14609"/>
  <c r="GZ378" i="14609"/>
  <c r="HA378" i="14609"/>
  <c r="HB378" i="14609"/>
  <c r="HC378" i="14609"/>
  <c r="HD378" i="14609"/>
  <c r="HE378" i="14609"/>
  <c r="HF378" i="14609"/>
  <c r="HG378" i="14609"/>
  <c r="HH378" i="14609"/>
  <c r="HI378" i="14609"/>
  <c r="HJ378" i="14609"/>
  <c r="HK378" i="14609"/>
  <c r="HL378" i="14609"/>
  <c r="HM378" i="14609"/>
  <c r="HN378" i="14609"/>
  <c r="HO378" i="14609"/>
  <c r="HP378" i="14609"/>
  <c r="HQ378" i="14609"/>
  <c r="HR378" i="14609"/>
  <c r="HS378" i="14609"/>
  <c r="HT378" i="14609"/>
  <c r="HU378" i="14609"/>
  <c r="HV378" i="14609"/>
  <c r="HW378" i="14609"/>
  <c r="HX378" i="14609"/>
  <c r="HY378" i="14609"/>
  <c r="HZ378" i="14609"/>
  <c r="IA378" i="14609"/>
  <c r="IB378" i="14609"/>
  <c r="IC378" i="14609"/>
  <c r="ID378" i="14609"/>
  <c r="IE378" i="14609"/>
  <c r="IF378" i="14609"/>
  <c r="IG378" i="14609"/>
  <c r="IH378" i="14609"/>
  <c r="II378" i="14609"/>
  <c r="IJ378" i="14609"/>
  <c r="IK378" i="14609"/>
  <c r="IL378" i="14609"/>
  <c r="IM378" i="14609"/>
  <c r="IN378" i="14609"/>
  <c r="IO378" i="14609"/>
  <c r="IP378" i="14609"/>
  <c r="IQ378" i="14609"/>
  <c r="IR378" i="14609"/>
  <c r="IS378" i="14609"/>
  <c r="IT378" i="14609"/>
  <c r="IU378" i="14609"/>
  <c r="IV378" i="14609"/>
  <c r="A377" i="14609"/>
  <c r="B377" i="14609"/>
  <c r="C377" i="14609"/>
  <c r="D377" i="14609"/>
  <c r="E377" i="14609"/>
  <c r="F377" i="14609"/>
  <c r="G377" i="14609"/>
  <c r="H377" i="14609"/>
  <c r="I377" i="14609"/>
  <c r="J377" i="14609"/>
  <c r="K377" i="14609"/>
  <c r="L377" i="14609"/>
  <c r="M377" i="14609"/>
  <c r="N377" i="14609"/>
  <c r="O377" i="14609"/>
  <c r="P377" i="14609"/>
  <c r="Q377" i="14609"/>
  <c r="R377" i="14609"/>
  <c r="S377" i="14609"/>
  <c r="T377" i="14609"/>
  <c r="U377" i="14609"/>
  <c r="V377" i="14609"/>
  <c r="W377" i="14609"/>
  <c r="X377" i="14609"/>
  <c r="Y377" i="14609"/>
  <c r="Z377" i="14609"/>
  <c r="AA377" i="14609"/>
  <c r="AB377" i="14609"/>
  <c r="AC377" i="14609"/>
  <c r="AD377" i="14609"/>
  <c r="AE377" i="14609"/>
  <c r="AF377" i="14609"/>
  <c r="AG377" i="14609"/>
  <c r="AH377" i="14609"/>
  <c r="AI377" i="14609"/>
  <c r="AJ377" i="14609"/>
  <c r="AK377" i="14609"/>
  <c r="AL377" i="14609"/>
  <c r="AM377" i="14609"/>
  <c r="AN377" i="14609"/>
  <c r="AO377" i="14609"/>
  <c r="AP377" i="14609"/>
  <c r="AQ377" i="14609"/>
  <c r="AR377" i="14609"/>
  <c r="AS377" i="14609"/>
  <c r="AT377" i="14609"/>
  <c r="AU377" i="14609"/>
  <c r="AV377" i="14609"/>
  <c r="AW377" i="14609"/>
  <c r="AX377" i="14609"/>
  <c r="AY377" i="14609"/>
  <c r="AZ377" i="14609"/>
  <c r="BA377" i="14609"/>
  <c r="BB377" i="14609"/>
  <c r="BC377" i="14609"/>
  <c r="BD377" i="14609"/>
  <c r="BE377" i="14609"/>
  <c r="BF377" i="14609"/>
  <c r="BG377" i="14609"/>
  <c r="BH377" i="14609"/>
  <c r="BI377" i="14609"/>
  <c r="BJ377" i="14609"/>
  <c r="BK377" i="14609"/>
  <c r="BL377" i="14609"/>
  <c r="BM377" i="14609"/>
  <c r="BN377" i="14609"/>
  <c r="BO377" i="14609"/>
  <c r="BP377" i="14609"/>
  <c r="BQ377" i="14609"/>
  <c r="BR377" i="14609"/>
  <c r="BS377" i="14609"/>
  <c r="BT377" i="14609"/>
  <c r="BU377" i="14609"/>
  <c r="BV377" i="14609"/>
  <c r="BW377" i="14609"/>
  <c r="BX377" i="14609"/>
  <c r="BY377" i="14609"/>
  <c r="BZ377" i="14609"/>
  <c r="CA377" i="14609"/>
  <c r="CB377" i="14609"/>
  <c r="CC377" i="14609"/>
  <c r="CD377" i="14609"/>
  <c r="CE377" i="14609"/>
  <c r="CF377" i="14609"/>
  <c r="CG377" i="14609"/>
  <c r="CH377" i="14609"/>
  <c r="CI377" i="14609"/>
  <c r="CJ377" i="14609"/>
  <c r="CK377" i="14609"/>
  <c r="CL377" i="14609"/>
  <c r="CM377" i="14609"/>
  <c r="CN377" i="14609"/>
  <c r="CO377" i="14609"/>
  <c r="CP377" i="14609"/>
  <c r="CQ377" i="14609"/>
  <c r="CR377" i="14609"/>
  <c r="CS377" i="14609"/>
  <c r="CT377" i="14609"/>
  <c r="CU377" i="14609"/>
  <c r="CV377" i="14609"/>
  <c r="CW377" i="14609"/>
  <c r="CX377" i="14609"/>
  <c r="CY377" i="14609"/>
  <c r="CZ377" i="14609"/>
  <c r="DA377" i="14609"/>
  <c r="DB377" i="14609"/>
  <c r="DC377" i="14609"/>
  <c r="DD377" i="14609"/>
  <c r="DE377" i="14609"/>
  <c r="DF377" i="14609"/>
  <c r="DG377" i="14609"/>
  <c r="DH377" i="14609"/>
  <c r="DI377" i="14609"/>
  <c r="DJ377" i="14609"/>
  <c r="DK377" i="14609"/>
  <c r="DL377" i="14609"/>
  <c r="DM377" i="14609"/>
  <c r="DN377" i="14609"/>
  <c r="DO377" i="14609"/>
  <c r="DP377" i="14609"/>
  <c r="DQ377" i="14609"/>
  <c r="DR377" i="14609"/>
  <c r="DS377" i="14609"/>
  <c r="DT377" i="14609"/>
  <c r="DU377" i="14609"/>
  <c r="DV377" i="14609"/>
  <c r="DW377" i="14609"/>
  <c r="DX377" i="14609"/>
  <c r="DY377" i="14609"/>
  <c r="DZ377" i="14609"/>
  <c r="EA377" i="14609"/>
  <c r="EB377" i="14609"/>
  <c r="EC377" i="14609"/>
  <c r="ED377" i="14609"/>
  <c r="EE377" i="14609"/>
  <c r="EF377" i="14609"/>
  <c r="EG377" i="14609"/>
  <c r="EH377" i="14609"/>
  <c r="EI377" i="14609"/>
  <c r="EJ377" i="14609"/>
  <c r="EK377" i="14609"/>
  <c r="EL377" i="14609"/>
  <c r="EM377" i="14609"/>
  <c r="EN377" i="14609"/>
  <c r="EO377" i="14609"/>
  <c r="EP377" i="14609"/>
  <c r="EQ377" i="14609"/>
  <c r="ER377" i="14609"/>
  <c r="ES377" i="14609"/>
  <c r="ET377" i="14609"/>
  <c r="EU377" i="14609"/>
  <c r="EV377" i="14609"/>
  <c r="EW377" i="14609"/>
  <c r="EX377" i="14609"/>
  <c r="EY377" i="14609"/>
  <c r="EZ377" i="14609"/>
  <c r="FA377" i="14609"/>
  <c r="FB377" i="14609"/>
  <c r="FC377" i="14609"/>
  <c r="FD377" i="14609"/>
  <c r="FE377" i="14609"/>
  <c r="FF377" i="14609"/>
  <c r="FG377" i="14609"/>
  <c r="FH377" i="14609"/>
  <c r="FI377" i="14609"/>
  <c r="FJ377" i="14609"/>
  <c r="FK377" i="14609"/>
  <c r="FL377" i="14609"/>
  <c r="FM377" i="14609"/>
  <c r="FN377" i="14609"/>
  <c r="FO377" i="14609"/>
  <c r="FP377" i="14609"/>
  <c r="FQ377" i="14609"/>
  <c r="FR377" i="14609"/>
  <c r="FS377" i="14609"/>
  <c r="FT377" i="14609"/>
  <c r="FU377" i="14609"/>
  <c r="FV377" i="14609"/>
  <c r="FW377" i="14609"/>
  <c r="FX377" i="14609"/>
  <c r="FY377" i="14609"/>
  <c r="FZ377" i="14609"/>
  <c r="GA377" i="14609"/>
  <c r="GB377" i="14609"/>
  <c r="GC377" i="14609"/>
  <c r="GD377" i="14609"/>
  <c r="GE377" i="14609"/>
  <c r="GF377" i="14609"/>
  <c r="GG377" i="14609"/>
  <c r="GH377" i="14609"/>
  <c r="GI377" i="14609"/>
  <c r="GJ377" i="14609"/>
  <c r="GK377" i="14609"/>
  <c r="GL377" i="14609"/>
  <c r="GM377" i="14609"/>
  <c r="GN377" i="14609"/>
  <c r="GO377" i="14609"/>
  <c r="GP377" i="14609"/>
  <c r="GQ377" i="14609"/>
  <c r="GR377" i="14609"/>
  <c r="GS377" i="14609"/>
  <c r="GT377" i="14609"/>
  <c r="GU377" i="14609"/>
  <c r="GV377" i="14609"/>
  <c r="GW377" i="14609"/>
  <c r="GX377" i="14609"/>
  <c r="GY377" i="14609"/>
  <c r="GZ377" i="14609"/>
  <c r="HA377" i="14609"/>
  <c r="HB377" i="14609"/>
  <c r="HC377" i="14609"/>
  <c r="HD377" i="14609"/>
  <c r="HE377" i="14609"/>
  <c r="HF377" i="14609"/>
  <c r="HG377" i="14609"/>
  <c r="HH377" i="14609"/>
  <c r="HI377" i="14609"/>
  <c r="HJ377" i="14609"/>
  <c r="HK377" i="14609"/>
  <c r="HL377" i="14609"/>
  <c r="HM377" i="14609"/>
  <c r="HN377" i="14609"/>
  <c r="HO377" i="14609"/>
  <c r="HP377" i="14609"/>
  <c r="HQ377" i="14609"/>
  <c r="HR377" i="14609"/>
  <c r="HS377" i="14609"/>
  <c r="HT377" i="14609"/>
  <c r="HU377" i="14609"/>
  <c r="HV377" i="14609"/>
  <c r="HW377" i="14609"/>
  <c r="HX377" i="14609"/>
  <c r="HY377" i="14609"/>
  <c r="HZ377" i="14609"/>
  <c r="IA377" i="14609"/>
  <c r="IB377" i="14609"/>
  <c r="IC377" i="14609"/>
  <c r="ID377" i="14609"/>
  <c r="IE377" i="14609"/>
  <c r="IF377" i="14609"/>
  <c r="IG377" i="14609"/>
  <c r="IH377" i="14609"/>
  <c r="II377" i="14609"/>
  <c r="IJ377" i="14609"/>
  <c r="IK377" i="14609"/>
  <c r="IL377" i="14609"/>
  <c r="IM377" i="14609"/>
  <c r="IN377" i="14609"/>
  <c r="IO377" i="14609"/>
  <c r="IP377" i="14609"/>
  <c r="IQ377" i="14609"/>
  <c r="IR377" i="14609"/>
  <c r="IS377" i="14609"/>
  <c r="IT377" i="14609"/>
  <c r="IU377" i="14609"/>
  <c r="IV377" i="14609"/>
  <c r="A376" i="14609"/>
  <c r="B376" i="14609"/>
  <c r="C376" i="14609"/>
  <c r="D376" i="14609"/>
  <c r="E376" i="14609"/>
  <c r="F376" i="14609"/>
  <c r="G376" i="14609"/>
  <c r="H376" i="14609"/>
  <c r="I376" i="14609"/>
  <c r="J376" i="14609"/>
  <c r="K376" i="14609"/>
  <c r="L376" i="14609"/>
  <c r="M376" i="14609"/>
  <c r="N376" i="14609"/>
  <c r="O376" i="14609"/>
  <c r="P376" i="14609"/>
  <c r="Q376" i="14609"/>
  <c r="R376" i="14609"/>
  <c r="S376" i="14609"/>
  <c r="T376" i="14609"/>
  <c r="U376" i="14609"/>
  <c r="V376" i="14609"/>
  <c r="W376" i="14609"/>
  <c r="X376" i="14609"/>
  <c r="Y376" i="14609"/>
  <c r="Z376" i="14609"/>
  <c r="AA376" i="14609"/>
  <c r="AB376" i="14609"/>
  <c r="AC376" i="14609"/>
  <c r="AD376" i="14609"/>
  <c r="AE376" i="14609"/>
  <c r="AF376" i="14609"/>
  <c r="AG376" i="14609"/>
  <c r="AH376" i="14609"/>
  <c r="AI376" i="14609"/>
  <c r="AJ376" i="14609"/>
  <c r="AK376" i="14609"/>
  <c r="AL376" i="14609"/>
  <c r="AM376" i="14609"/>
  <c r="AN376" i="14609"/>
  <c r="AO376" i="14609"/>
  <c r="AP376" i="14609"/>
  <c r="AQ376" i="14609"/>
  <c r="AR376" i="14609"/>
  <c r="AS376" i="14609"/>
  <c r="AT376" i="14609"/>
  <c r="AU376" i="14609"/>
  <c r="AV376" i="14609"/>
  <c r="AW376" i="14609"/>
  <c r="AX376" i="14609"/>
  <c r="AY376" i="14609"/>
  <c r="AZ376" i="14609"/>
  <c r="BA376" i="14609"/>
  <c r="BB376" i="14609"/>
  <c r="BC376" i="14609"/>
  <c r="BD376" i="14609"/>
  <c r="BE376" i="14609"/>
  <c r="BF376" i="14609"/>
  <c r="BG376" i="14609"/>
  <c r="BH376" i="14609"/>
  <c r="BI376" i="14609"/>
  <c r="BJ376" i="14609"/>
  <c r="BK376" i="14609"/>
  <c r="BL376" i="14609"/>
  <c r="BM376" i="14609"/>
  <c r="BN376" i="14609"/>
  <c r="BO376" i="14609"/>
  <c r="BP376" i="14609"/>
  <c r="BQ376" i="14609"/>
  <c r="BR376" i="14609"/>
  <c r="BS376" i="14609"/>
  <c r="BT376" i="14609"/>
  <c r="BU376" i="14609"/>
  <c r="BV376" i="14609"/>
  <c r="BW376" i="14609"/>
  <c r="BX376" i="14609"/>
  <c r="BY376" i="14609"/>
  <c r="BZ376" i="14609"/>
  <c r="CA376" i="14609"/>
  <c r="CB376" i="14609"/>
  <c r="CC376" i="14609"/>
  <c r="CD376" i="14609"/>
  <c r="CE376" i="14609"/>
  <c r="CF376" i="14609"/>
  <c r="CG376" i="14609"/>
  <c r="CH376" i="14609"/>
  <c r="CI376" i="14609"/>
  <c r="CJ376" i="14609"/>
  <c r="CK376" i="14609"/>
  <c r="CL376" i="14609"/>
  <c r="CM376" i="14609"/>
  <c r="CN376" i="14609"/>
  <c r="CO376" i="14609"/>
  <c r="CP376" i="14609"/>
  <c r="CQ376" i="14609"/>
  <c r="CR376" i="14609"/>
  <c r="CS376" i="14609"/>
  <c r="CT376" i="14609"/>
  <c r="CU376" i="14609"/>
  <c r="CV376" i="14609"/>
  <c r="CW376" i="14609"/>
  <c r="CX376" i="14609"/>
  <c r="CY376" i="14609"/>
  <c r="CZ376" i="14609"/>
  <c r="DA376" i="14609"/>
  <c r="DB376" i="14609"/>
  <c r="DC376" i="14609"/>
  <c r="DD376" i="14609"/>
  <c r="DE376" i="14609"/>
  <c r="DF376" i="14609"/>
  <c r="DG376" i="14609"/>
  <c r="DH376" i="14609"/>
  <c r="DI376" i="14609"/>
  <c r="DJ376" i="14609"/>
  <c r="DK376" i="14609"/>
  <c r="DL376" i="14609"/>
  <c r="DM376" i="14609"/>
  <c r="DN376" i="14609"/>
  <c r="DO376" i="14609"/>
  <c r="DP376" i="14609"/>
  <c r="DQ376" i="14609"/>
  <c r="DR376" i="14609"/>
  <c r="DS376" i="14609"/>
  <c r="DT376" i="14609"/>
  <c r="DU376" i="14609"/>
  <c r="DV376" i="14609"/>
  <c r="DW376" i="14609"/>
  <c r="DX376" i="14609"/>
  <c r="DY376" i="14609"/>
  <c r="DZ376" i="14609"/>
  <c r="EA376" i="14609"/>
  <c r="EB376" i="14609"/>
  <c r="EC376" i="14609"/>
  <c r="ED376" i="14609"/>
  <c r="EE376" i="14609"/>
  <c r="EF376" i="14609"/>
  <c r="EG376" i="14609"/>
  <c r="EH376" i="14609"/>
  <c r="EI376" i="14609"/>
  <c r="EJ376" i="14609"/>
  <c r="EK376" i="14609"/>
  <c r="EL376" i="14609"/>
  <c r="EM376" i="14609"/>
  <c r="EN376" i="14609"/>
  <c r="EO376" i="14609"/>
  <c r="EP376" i="14609"/>
  <c r="EQ376" i="14609"/>
  <c r="ER376" i="14609"/>
  <c r="ES376" i="14609"/>
  <c r="ET376" i="14609"/>
  <c r="EU376" i="14609"/>
  <c r="EV376" i="14609"/>
  <c r="EW376" i="14609"/>
  <c r="EX376" i="14609"/>
  <c r="EY376" i="14609"/>
  <c r="EZ376" i="14609"/>
  <c r="FA376" i="14609"/>
  <c r="FB376" i="14609"/>
  <c r="FC376" i="14609"/>
  <c r="FD376" i="14609"/>
  <c r="FE376" i="14609"/>
  <c r="FF376" i="14609"/>
  <c r="FG376" i="14609"/>
  <c r="FH376" i="14609"/>
  <c r="FI376" i="14609"/>
  <c r="FJ376" i="14609"/>
  <c r="FK376" i="14609"/>
  <c r="FL376" i="14609"/>
  <c r="FM376" i="14609"/>
  <c r="FN376" i="14609"/>
  <c r="FO376" i="14609"/>
  <c r="FP376" i="14609"/>
  <c r="FQ376" i="14609"/>
  <c r="FR376" i="14609"/>
  <c r="FS376" i="14609"/>
  <c r="FT376" i="14609"/>
  <c r="FU376" i="14609"/>
  <c r="FV376" i="14609"/>
  <c r="FW376" i="14609"/>
  <c r="FX376" i="14609"/>
  <c r="FY376" i="14609"/>
  <c r="FZ376" i="14609"/>
  <c r="GA376" i="14609"/>
  <c r="GB376" i="14609"/>
  <c r="GC376" i="14609"/>
  <c r="GD376" i="14609"/>
  <c r="GE376" i="14609"/>
  <c r="GF376" i="14609"/>
  <c r="GG376" i="14609"/>
  <c r="GH376" i="14609"/>
  <c r="GI376" i="14609"/>
  <c r="GJ376" i="14609"/>
  <c r="GK376" i="14609"/>
  <c r="GL376" i="14609"/>
  <c r="GM376" i="14609"/>
  <c r="GN376" i="14609"/>
  <c r="GO376" i="14609"/>
  <c r="GP376" i="14609"/>
  <c r="GQ376" i="14609"/>
  <c r="GR376" i="14609"/>
  <c r="GS376" i="14609"/>
  <c r="GT376" i="14609"/>
  <c r="GU376" i="14609"/>
  <c r="GV376" i="14609"/>
  <c r="GW376" i="14609"/>
  <c r="GX376" i="14609"/>
  <c r="GY376" i="14609"/>
  <c r="GZ376" i="14609"/>
  <c r="HA376" i="14609"/>
  <c r="HB376" i="14609"/>
  <c r="HC376" i="14609"/>
  <c r="HD376" i="14609"/>
  <c r="HE376" i="14609"/>
  <c r="HF376" i="14609"/>
  <c r="HG376" i="14609"/>
  <c r="HH376" i="14609"/>
  <c r="HI376" i="14609"/>
  <c r="HJ376" i="14609"/>
  <c r="HK376" i="14609"/>
  <c r="HL376" i="14609"/>
  <c r="HM376" i="14609"/>
  <c r="HN376" i="14609"/>
  <c r="HO376" i="14609"/>
  <c r="HP376" i="14609"/>
  <c r="HQ376" i="14609"/>
  <c r="HR376" i="14609"/>
  <c r="HS376" i="14609"/>
  <c r="HT376" i="14609"/>
  <c r="HU376" i="14609"/>
  <c r="HV376" i="14609"/>
  <c r="HW376" i="14609"/>
  <c r="HX376" i="14609"/>
  <c r="HY376" i="14609"/>
  <c r="HZ376" i="14609"/>
  <c r="IA376" i="14609"/>
  <c r="IB376" i="14609"/>
  <c r="IC376" i="14609"/>
  <c r="ID376" i="14609"/>
  <c r="IE376" i="14609"/>
  <c r="IF376" i="14609"/>
  <c r="IG376" i="14609"/>
  <c r="IH376" i="14609"/>
  <c r="II376" i="14609"/>
  <c r="IJ376" i="14609"/>
  <c r="IK376" i="14609"/>
  <c r="IL376" i="14609"/>
  <c r="IM376" i="14609"/>
  <c r="IN376" i="14609"/>
  <c r="IO376" i="14609"/>
  <c r="IP376" i="14609"/>
  <c r="IQ376" i="14609"/>
  <c r="IR376" i="14609"/>
  <c r="IS376" i="14609"/>
  <c r="IT376" i="14609"/>
  <c r="IU376" i="14609"/>
  <c r="IV376" i="14609"/>
  <c r="A375" i="14609"/>
  <c r="B375" i="14609"/>
  <c r="C375" i="14609"/>
  <c r="D375" i="14609"/>
  <c r="E375" i="14609"/>
  <c r="F375" i="14609"/>
  <c r="G375" i="14609"/>
  <c r="H375" i="14609"/>
  <c r="I375" i="14609"/>
  <c r="J375" i="14609"/>
  <c r="K375" i="14609"/>
  <c r="L375" i="14609"/>
  <c r="M375" i="14609"/>
  <c r="N375" i="14609"/>
  <c r="O375" i="14609"/>
  <c r="P375" i="14609"/>
  <c r="Q375" i="14609"/>
  <c r="R375" i="14609"/>
  <c r="S375" i="14609"/>
  <c r="T375" i="14609"/>
  <c r="U375" i="14609"/>
  <c r="V375" i="14609"/>
  <c r="W375" i="14609"/>
  <c r="X375" i="14609"/>
  <c r="Y375" i="14609"/>
  <c r="Z375" i="14609"/>
  <c r="AA375" i="14609"/>
  <c r="AB375" i="14609"/>
  <c r="AC375" i="14609"/>
  <c r="AD375" i="14609"/>
  <c r="AE375" i="14609"/>
  <c r="AF375" i="14609"/>
  <c r="AG375" i="14609"/>
  <c r="AH375" i="14609"/>
  <c r="AI375" i="14609"/>
  <c r="AJ375" i="14609"/>
  <c r="AK375" i="14609"/>
  <c r="AL375" i="14609"/>
  <c r="AM375" i="14609"/>
  <c r="AN375" i="14609"/>
  <c r="AO375" i="14609"/>
  <c r="AP375" i="14609"/>
  <c r="AQ375" i="14609"/>
  <c r="AR375" i="14609"/>
  <c r="AS375" i="14609"/>
  <c r="AT375" i="14609"/>
  <c r="AU375" i="14609"/>
  <c r="AV375" i="14609"/>
  <c r="AW375" i="14609"/>
  <c r="AX375" i="14609"/>
  <c r="AY375" i="14609"/>
  <c r="AZ375" i="14609"/>
  <c r="BA375" i="14609"/>
  <c r="BB375" i="14609"/>
  <c r="BC375" i="14609"/>
  <c r="BD375" i="14609"/>
  <c r="BE375" i="14609"/>
  <c r="BF375" i="14609"/>
  <c r="BG375" i="14609"/>
  <c r="BH375" i="14609"/>
  <c r="BI375" i="14609"/>
  <c r="BJ375" i="14609"/>
  <c r="BK375" i="14609"/>
  <c r="BL375" i="14609"/>
  <c r="BM375" i="14609"/>
  <c r="BN375" i="14609"/>
  <c r="BO375" i="14609"/>
  <c r="BP375" i="14609"/>
  <c r="BQ375" i="14609"/>
  <c r="BR375" i="14609"/>
  <c r="BS375" i="14609"/>
  <c r="BT375" i="14609"/>
  <c r="BU375" i="14609"/>
  <c r="BV375" i="14609"/>
  <c r="BW375" i="14609"/>
  <c r="BX375" i="14609"/>
  <c r="BY375" i="14609"/>
  <c r="BZ375" i="14609"/>
  <c r="CA375" i="14609"/>
  <c r="CB375" i="14609"/>
  <c r="CC375" i="14609"/>
  <c r="CD375" i="14609"/>
  <c r="CE375" i="14609"/>
  <c r="CF375" i="14609"/>
  <c r="CG375" i="14609"/>
  <c r="CH375" i="14609"/>
  <c r="CI375" i="14609"/>
  <c r="CJ375" i="14609"/>
  <c r="CK375" i="14609"/>
  <c r="CL375" i="14609"/>
  <c r="CM375" i="14609"/>
  <c r="CN375" i="14609"/>
  <c r="CO375" i="14609"/>
  <c r="CP375" i="14609"/>
  <c r="CQ375" i="14609"/>
  <c r="CR375" i="14609"/>
  <c r="CS375" i="14609"/>
  <c r="CT375" i="14609"/>
  <c r="CU375" i="14609"/>
  <c r="CV375" i="14609"/>
  <c r="CW375" i="14609"/>
  <c r="CX375" i="14609"/>
  <c r="CY375" i="14609"/>
  <c r="CZ375" i="14609"/>
  <c r="DA375" i="14609"/>
  <c r="DB375" i="14609"/>
  <c r="DC375" i="14609"/>
  <c r="DD375" i="14609"/>
  <c r="DE375" i="14609"/>
  <c r="DF375" i="14609"/>
  <c r="DG375" i="14609"/>
  <c r="DH375" i="14609"/>
  <c r="DI375" i="14609"/>
  <c r="DJ375" i="14609"/>
  <c r="DK375" i="14609"/>
  <c r="DL375" i="14609"/>
  <c r="DM375" i="14609"/>
  <c r="DN375" i="14609"/>
  <c r="DO375" i="14609"/>
  <c r="DP375" i="14609"/>
  <c r="DQ375" i="14609"/>
  <c r="DR375" i="14609"/>
  <c r="DS375" i="14609"/>
  <c r="DT375" i="14609"/>
  <c r="DU375" i="14609"/>
  <c r="DV375" i="14609"/>
  <c r="DW375" i="14609"/>
  <c r="DX375" i="14609"/>
  <c r="DY375" i="14609"/>
  <c r="DZ375" i="14609"/>
  <c r="EA375" i="14609"/>
  <c r="EB375" i="14609"/>
  <c r="EC375" i="14609"/>
  <c r="ED375" i="14609"/>
  <c r="EE375" i="14609"/>
  <c r="EF375" i="14609"/>
  <c r="EG375" i="14609"/>
  <c r="EH375" i="14609"/>
  <c r="EI375" i="14609"/>
  <c r="EJ375" i="14609"/>
  <c r="EK375" i="14609"/>
  <c r="EL375" i="14609"/>
  <c r="EM375" i="14609"/>
  <c r="EN375" i="14609"/>
  <c r="EO375" i="14609"/>
  <c r="EP375" i="14609"/>
  <c r="EQ375" i="14609"/>
  <c r="ER375" i="14609"/>
  <c r="ES375" i="14609"/>
  <c r="ET375" i="14609"/>
  <c r="EU375" i="14609"/>
  <c r="EV375" i="14609"/>
  <c r="EW375" i="14609"/>
  <c r="EX375" i="14609"/>
  <c r="EY375" i="14609"/>
  <c r="EZ375" i="14609"/>
  <c r="FA375" i="14609"/>
  <c r="FB375" i="14609"/>
  <c r="FC375" i="14609"/>
  <c r="FD375" i="14609"/>
  <c r="FE375" i="14609"/>
  <c r="FF375" i="14609"/>
  <c r="FG375" i="14609"/>
  <c r="FH375" i="14609"/>
  <c r="FI375" i="14609"/>
  <c r="FJ375" i="14609"/>
  <c r="FK375" i="14609"/>
  <c r="FL375" i="14609"/>
  <c r="FM375" i="14609"/>
  <c r="FN375" i="14609"/>
  <c r="FO375" i="14609"/>
  <c r="FP375" i="14609"/>
  <c r="FQ375" i="14609"/>
  <c r="FR375" i="14609"/>
  <c r="FS375" i="14609"/>
  <c r="FT375" i="14609"/>
  <c r="FU375" i="14609"/>
  <c r="FV375" i="14609"/>
  <c r="FW375" i="14609"/>
  <c r="FX375" i="14609"/>
  <c r="FY375" i="14609"/>
  <c r="FZ375" i="14609"/>
  <c r="GA375" i="14609"/>
  <c r="GB375" i="14609"/>
  <c r="GC375" i="14609"/>
  <c r="GD375" i="14609"/>
  <c r="GE375" i="14609"/>
  <c r="GF375" i="14609"/>
  <c r="GG375" i="14609"/>
  <c r="GH375" i="14609"/>
  <c r="GI375" i="14609"/>
  <c r="GJ375" i="14609"/>
  <c r="GK375" i="14609"/>
  <c r="GL375" i="14609"/>
  <c r="GM375" i="14609"/>
  <c r="GN375" i="14609"/>
  <c r="GO375" i="14609"/>
  <c r="GP375" i="14609"/>
  <c r="GQ375" i="14609"/>
  <c r="GR375" i="14609"/>
  <c r="GS375" i="14609"/>
  <c r="GT375" i="14609"/>
  <c r="GU375" i="14609"/>
  <c r="GV375" i="14609"/>
  <c r="GW375" i="14609"/>
  <c r="GX375" i="14609"/>
  <c r="GY375" i="14609"/>
  <c r="GZ375" i="14609"/>
  <c r="HA375" i="14609"/>
  <c r="HB375" i="14609"/>
  <c r="HC375" i="14609"/>
  <c r="HD375" i="14609"/>
  <c r="HE375" i="14609"/>
  <c r="HF375" i="14609"/>
  <c r="HG375" i="14609"/>
  <c r="HH375" i="14609"/>
  <c r="HI375" i="14609"/>
  <c r="HJ375" i="14609"/>
  <c r="HK375" i="14609"/>
  <c r="HL375" i="14609"/>
  <c r="HM375" i="14609"/>
  <c r="HN375" i="14609"/>
  <c r="HO375" i="14609"/>
  <c r="HP375" i="14609"/>
  <c r="HQ375" i="14609"/>
  <c r="HR375" i="14609"/>
  <c r="HS375" i="14609"/>
  <c r="HT375" i="14609"/>
  <c r="HU375" i="14609"/>
  <c r="HV375" i="14609"/>
  <c r="HW375" i="14609"/>
  <c r="HX375" i="14609"/>
  <c r="HY375" i="14609"/>
  <c r="HZ375" i="14609"/>
  <c r="IA375" i="14609"/>
  <c r="IB375" i="14609"/>
  <c r="IC375" i="14609"/>
  <c r="ID375" i="14609"/>
  <c r="IE375" i="14609"/>
  <c r="IF375" i="14609"/>
  <c r="IG375" i="14609"/>
  <c r="IH375" i="14609"/>
  <c r="II375" i="14609"/>
  <c r="IJ375" i="14609"/>
  <c r="IK375" i="14609"/>
  <c r="IL375" i="14609"/>
  <c r="IM375" i="14609"/>
  <c r="IN375" i="14609"/>
  <c r="IO375" i="14609"/>
  <c r="IP375" i="14609"/>
  <c r="IQ375" i="14609"/>
  <c r="IR375" i="14609"/>
  <c r="IS375" i="14609"/>
  <c r="IT375" i="14609"/>
  <c r="IU375" i="14609"/>
  <c r="IV375" i="14609"/>
  <c r="A374" i="14609"/>
  <c r="B374" i="14609"/>
  <c r="C374" i="14609"/>
  <c r="D374" i="14609"/>
  <c r="E374" i="14609"/>
  <c r="F374" i="14609"/>
  <c r="G374" i="14609"/>
  <c r="H374" i="14609"/>
  <c r="I374" i="14609"/>
  <c r="J374" i="14609"/>
  <c r="K374" i="14609"/>
  <c r="L374" i="14609"/>
  <c r="M374" i="14609"/>
  <c r="N374" i="14609"/>
  <c r="O374" i="14609"/>
  <c r="P374" i="14609"/>
  <c r="Q374" i="14609"/>
  <c r="R374" i="14609"/>
  <c r="S374" i="14609"/>
  <c r="T374" i="14609"/>
  <c r="U374" i="14609"/>
  <c r="V374" i="14609"/>
  <c r="W374" i="14609"/>
  <c r="X374" i="14609"/>
  <c r="Y374" i="14609"/>
  <c r="Z374" i="14609"/>
  <c r="AA374" i="14609"/>
  <c r="AB374" i="14609"/>
  <c r="AC374" i="14609"/>
  <c r="AD374" i="14609"/>
  <c r="AE374" i="14609"/>
  <c r="AF374" i="14609"/>
  <c r="AG374" i="14609"/>
  <c r="AH374" i="14609"/>
  <c r="AI374" i="14609"/>
  <c r="AJ374" i="14609"/>
  <c r="AK374" i="14609"/>
  <c r="AL374" i="14609"/>
  <c r="AM374" i="14609"/>
  <c r="AN374" i="14609"/>
  <c r="AO374" i="14609"/>
  <c r="AP374" i="14609"/>
  <c r="AQ374" i="14609"/>
  <c r="AR374" i="14609"/>
  <c r="AS374" i="14609"/>
  <c r="AT374" i="14609"/>
  <c r="AU374" i="14609"/>
  <c r="AV374" i="14609"/>
  <c r="AW374" i="14609"/>
  <c r="AX374" i="14609"/>
  <c r="AY374" i="14609"/>
  <c r="AZ374" i="14609"/>
  <c r="BA374" i="14609"/>
  <c r="BB374" i="14609"/>
  <c r="BC374" i="14609"/>
  <c r="BD374" i="14609"/>
  <c r="BE374" i="14609"/>
  <c r="BF374" i="14609"/>
  <c r="BG374" i="14609"/>
  <c r="BH374" i="14609"/>
  <c r="BI374" i="14609"/>
  <c r="BJ374" i="14609"/>
  <c r="BK374" i="14609"/>
  <c r="BL374" i="14609"/>
  <c r="BM374" i="14609"/>
  <c r="BN374" i="14609"/>
  <c r="BO374" i="14609"/>
  <c r="BP374" i="14609"/>
  <c r="BQ374" i="14609"/>
  <c r="BR374" i="14609"/>
  <c r="BS374" i="14609"/>
  <c r="BT374" i="14609"/>
  <c r="BU374" i="14609"/>
  <c r="BV374" i="14609"/>
  <c r="BW374" i="14609"/>
  <c r="BX374" i="14609"/>
  <c r="BY374" i="14609"/>
  <c r="BZ374" i="14609"/>
  <c r="CA374" i="14609"/>
  <c r="CB374" i="14609"/>
  <c r="CC374" i="14609"/>
  <c r="CD374" i="14609"/>
  <c r="CE374" i="14609"/>
  <c r="CF374" i="14609"/>
  <c r="CG374" i="14609"/>
  <c r="CH374" i="14609"/>
  <c r="CI374" i="14609"/>
  <c r="CJ374" i="14609"/>
  <c r="CK374" i="14609"/>
  <c r="CL374" i="14609"/>
  <c r="CM374" i="14609"/>
  <c r="CN374" i="14609"/>
  <c r="CO374" i="14609"/>
  <c r="CP374" i="14609"/>
  <c r="CQ374" i="14609"/>
  <c r="CR374" i="14609"/>
  <c r="CS374" i="14609"/>
  <c r="CT374" i="14609"/>
  <c r="CU374" i="14609"/>
  <c r="CV374" i="14609"/>
  <c r="CW374" i="14609"/>
  <c r="CX374" i="14609"/>
  <c r="CY374" i="14609"/>
  <c r="CZ374" i="14609"/>
  <c r="DA374" i="14609"/>
  <c r="DB374" i="14609"/>
  <c r="DC374" i="14609"/>
  <c r="DD374" i="14609"/>
  <c r="DE374" i="14609"/>
  <c r="DF374" i="14609"/>
  <c r="DG374" i="14609"/>
  <c r="DH374" i="14609"/>
  <c r="DI374" i="14609"/>
  <c r="DJ374" i="14609"/>
  <c r="DK374" i="14609"/>
  <c r="DL374" i="14609"/>
  <c r="DM374" i="14609"/>
  <c r="DN374" i="14609"/>
  <c r="DO374" i="14609"/>
  <c r="DP374" i="14609"/>
  <c r="DQ374" i="14609"/>
  <c r="DR374" i="14609"/>
  <c r="DS374" i="14609"/>
  <c r="DT374" i="14609"/>
  <c r="DU374" i="14609"/>
  <c r="DV374" i="14609"/>
  <c r="DW374" i="14609"/>
  <c r="DX374" i="14609"/>
  <c r="DY374" i="14609"/>
  <c r="DZ374" i="14609"/>
  <c r="EA374" i="14609"/>
  <c r="EB374" i="14609"/>
  <c r="EC374" i="14609"/>
  <c r="ED374" i="14609"/>
  <c r="EE374" i="14609"/>
  <c r="EF374" i="14609"/>
  <c r="EG374" i="14609"/>
  <c r="EH374" i="14609"/>
  <c r="EI374" i="14609"/>
  <c r="EJ374" i="14609"/>
  <c r="EK374" i="14609"/>
  <c r="EL374" i="14609"/>
  <c r="EM374" i="14609"/>
  <c r="EN374" i="14609"/>
  <c r="EO374" i="14609"/>
  <c r="EP374" i="14609"/>
  <c r="EQ374" i="14609"/>
  <c r="ER374" i="14609"/>
  <c r="ES374" i="14609"/>
  <c r="ET374" i="14609"/>
  <c r="EU374" i="14609"/>
  <c r="EV374" i="14609"/>
  <c r="EW374" i="14609"/>
  <c r="EX374" i="14609"/>
  <c r="EY374" i="14609"/>
  <c r="EZ374" i="14609"/>
  <c r="FA374" i="14609"/>
  <c r="FB374" i="14609"/>
  <c r="FC374" i="14609"/>
  <c r="FD374" i="14609"/>
  <c r="FE374" i="14609"/>
  <c r="FF374" i="14609"/>
  <c r="FG374" i="14609"/>
  <c r="FH374" i="14609"/>
  <c r="FI374" i="14609"/>
  <c r="FJ374" i="14609"/>
  <c r="FK374" i="14609"/>
  <c r="FL374" i="14609"/>
  <c r="FM374" i="14609"/>
  <c r="FN374" i="14609"/>
  <c r="FO374" i="14609"/>
  <c r="FP374" i="14609"/>
  <c r="FQ374" i="14609"/>
  <c r="FR374" i="14609"/>
  <c r="FS374" i="14609"/>
  <c r="FT374" i="14609"/>
  <c r="FU374" i="14609"/>
  <c r="FV374" i="14609"/>
  <c r="FW374" i="14609"/>
  <c r="FX374" i="14609"/>
  <c r="FY374" i="14609"/>
  <c r="FZ374" i="14609"/>
  <c r="GA374" i="14609"/>
  <c r="GB374" i="14609"/>
  <c r="GC374" i="14609"/>
  <c r="GD374" i="14609"/>
  <c r="GE374" i="14609"/>
  <c r="GF374" i="14609"/>
  <c r="GG374" i="14609"/>
  <c r="GH374" i="14609"/>
  <c r="GI374" i="14609"/>
  <c r="GJ374" i="14609"/>
  <c r="GK374" i="14609"/>
  <c r="GL374" i="14609"/>
  <c r="GM374" i="14609"/>
  <c r="GN374" i="14609"/>
  <c r="GO374" i="14609"/>
  <c r="GP374" i="14609"/>
  <c r="GQ374" i="14609"/>
  <c r="GR374" i="14609"/>
  <c r="GS374" i="14609"/>
  <c r="GT374" i="14609"/>
  <c r="GU374" i="14609"/>
  <c r="GV374" i="14609"/>
  <c r="GW374" i="14609"/>
  <c r="GX374" i="14609"/>
  <c r="GY374" i="14609"/>
  <c r="GZ374" i="14609"/>
  <c r="HA374" i="14609"/>
  <c r="HB374" i="14609"/>
  <c r="HC374" i="14609"/>
  <c r="HD374" i="14609"/>
  <c r="HE374" i="14609"/>
  <c r="HF374" i="14609"/>
  <c r="HG374" i="14609"/>
  <c r="HH374" i="14609"/>
  <c r="HI374" i="14609"/>
  <c r="HJ374" i="14609"/>
  <c r="HK374" i="14609"/>
  <c r="HL374" i="14609"/>
  <c r="HM374" i="14609"/>
  <c r="HN374" i="14609"/>
  <c r="HO374" i="14609"/>
  <c r="HP374" i="14609"/>
  <c r="HQ374" i="14609"/>
  <c r="HR374" i="14609"/>
  <c r="HS374" i="14609"/>
  <c r="HT374" i="14609"/>
  <c r="HU374" i="14609"/>
  <c r="HV374" i="14609"/>
  <c r="HW374" i="14609"/>
  <c r="HX374" i="14609"/>
  <c r="HY374" i="14609"/>
  <c r="HZ374" i="14609"/>
  <c r="IA374" i="14609"/>
  <c r="IB374" i="14609"/>
  <c r="IC374" i="14609"/>
  <c r="ID374" i="14609"/>
  <c r="IE374" i="14609"/>
  <c r="IF374" i="14609"/>
  <c r="IG374" i="14609"/>
  <c r="IH374" i="14609"/>
  <c r="II374" i="14609"/>
  <c r="IJ374" i="14609"/>
  <c r="IK374" i="14609"/>
  <c r="IL374" i="14609"/>
  <c r="IM374" i="14609"/>
  <c r="IN374" i="14609"/>
  <c r="IO374" i="14609"/>
  <c r="IP374" i="14609"/>
  <c r="IQ374" i="14609"/>
  <c r="IR374" i="14609"/>
  <c r="IS374" i="14609"/>
  <c r="IT374" i="14609"/>
  <c r="IU374" i="14609"/>
  <c r="IV374" i="14609"/>
  <c r="A373" i="14609"/>
  <c r="B373" i="14609"/>
  <c r="C373" i="14609"/>
  <c r="D373" i="14609"/>
  <c r="E373" i="14609"/>
  <c r="F373" i="14609"/>
  <c r="G373" i="14609"/>
  <c r="H373" i="14609"/>
  <c r="I373" i="14609"/>
  <c r="J373" i="14609"/>
  <c r="K373" i="14609"/>
  <c r="L373" i="14609"/>
  <c r="M373" i="14609"/>
  <c r="N373" i="14609"/>
  <c r="O373" i="14609"/>
  <c r="P373" i="14609"/>
  <c r="Q373" i="14609"/>
  <c r="R373" i="14609"/>
  <c r="S373" i="14609"/>
  <c r="T373" i="14609"/>
  <c r="U373" i="14609"/>
  <c r="V373" i="14609"/>
  <c r="W373" i="14609"/>
  <c r="X373" i="14609"/>
  <c r="Y373" i="14609"/>
  <c r="Z373" i="14609"/>
  <c r="AA373" i="14609"/>
  <c r="AB373" i="14609"/>
  <c r="AC373" i="14609"/>
  <c r="AD373" i="14609"/>
  <c r="AE373" i="14609"/>
  <c r="AF373" i="14609"/>
  <c r="AG373" i="14609"/>
  <c r="AH373" i="14609"/>
  <c r="AI373" i="14609"/>
  <c r="AJ373" i="14609"/>
  <c r="AK373" i="14609"/>
  <c r="AL373" i="14609"/>
  <c r="AM373" i="14609"/>
  <c r="AN373" i="14609"/>
  <c r="AO373" i="14609"/>
  <c r="AP373" i="14609"/>
  <c r="AQ373" i="14609"/>
  <c r="AR373" i="14609"/>
  <c r="AS373" i="14609"/>
  <c r="AT373" i="14609"/>
  <c r="AU373" i="14609"/>
  <c r="AV373" i="14609"/>
  <c r="AW373" i="14609"/>
  <c r="AX373" i="14609"/>
  <c r="AY373" i="14609"/>
  <c r="AZ373" i="14609"/>
  <c r="BA373" i="14609"/>
  <c r="BB373" i="14609"/>
  <c r="BC373" i="14609"/>
  <c r="BD373" i="14609"/>
  <c r="BE373" i="14609"/>
  <c r="BF373" i="14609"/>
  <c r="BG373" i="14609"/>
  <c r="BH373" i="14609"/>
  <c r="BI373" i="14609"/>
  <c r="BJ373" i="14609"/>
  <c r="BK373" i="14609"/>
  <c r="BL373" i="14609"/>
  <c r="BM373" i="14609"/>
  <c r="BN373" i="14609"/>
  <c r="BO373" i="14609"/>
  <c r="BP373" i="14609"/>
  <c r="BQ373" i="14609"/>
  <c r="BR373" i="14609"/>
  <c r="BS373" i="14609"/>
  <c r="BT373" i="14609"/>
  <c r="BU373" i="14609"/>
  <c r="BV373" i="14609"/>
  <c r="BW373" i="14609"/>
  <c r="BX373" i="14609"/>
  <c r="BY373" i="14609"/>
  <c r="BZ373" i="14609"/>
  <c r="CA373" i="14609"/>
  <c r="CB373" i="14609"/>
  <c r="CC373" i="14609"/>
  <c r="CD373" i="14609"/>
  <c r="CE373" i="14609"/>
  <c r="CF373" i="14609"/>
  <c r="CG373" i="14609"/>
  <c r="CH373" i="14609"/>
  <c r="CI373" i="14609"/>
  <c r="CJ373" i="14609"/>
  <c r="CK373" i="14609"/>
  <c r="CL373" i="14609"/>
  <c r="CM373" i="14609"/>
  <c r="CN373" i="14609"/>
  <c r="CO373" i="14609"/>
  <c r="CP373" i="14609"/>
  <c r="CQ373" i="14609"/>
  <c r="CR373" i="14609"/>
  <c r="CS373" i="14609"/>
  <c r="CT373" i="14609"/>
  <c r="CU373" i="14609"/>
  <c r="CV373" i="14609"/>
  <c r="CW373" i="14609"/>
  <c r="CX373" i="14609"/>
  <c r="CY373" i="14609"/>
  <c r="CZ373" i="14609"/>
  <c r="DA373" i="14609"/>
  <c r="DB373" i="14609"/>
  <c r="DC373" i="14609"/>
  <c r="DD373" i="14609"/>
  <c r="DE373" i="14609"/>
  <c r="DF373" i="14609"/>
  <c r="DG373" i="14609"/>
  <c r="DH373" i="14609"/>
  <c r="DI373" i="14609"/>
  <c r="DJ373" i="14609"/>
  <c r="DK373" i="14609"/>
  <c r="DL373" i="14609"/>
  <c r="DM373" i="14609"/>
  <c r="DN373" i="14609"/>
  <c r="DO373" i="14609"/>
  <c r="DP373" i="14609"/>
  <c r="DQ373" i="14609"/>
  <c r="DR373" i="14609"/>
  <c r="DS373" i="14609"/>
  <c r="DT373" i="14609"/>
  <c r="DU373" i="14609"/>
  <c r="DV373" i="14609"/>
  <c r="DW373" i="14609"/>
  <c r="DX373" i="14609"/>
  <c r="DY373" i="14609"/>
  <c r="DZ373" i="14609"/>
  <c r="EA373" i="14609"/>
  <c r="EB373" i="14609"/>
  <c r="EC373" i="14609"/>
  <c r="ED373" i="14609"/>
  <c r="EE373" i="14609"/>
  <c r="EF373" i="14609"/>
  <c r="EG373" i="14609"/>
  <c r="EH373" i="14609"/>
  <c r="EI373" i="14609"/>
  <c r="EJ373" i="14609"/>
  <c r="EK373" i="14609"/>
  <c r="EL373" i="14609"/>
  <c r="EM373" i="14609"/>
  <c r="EN373" i="14609"/>
  <c r="EO373" i="14609"/>
  <c r="EP373" i="14609"/>
  <c r="EQ373" i="14609"/>
  <c r="ER373" i="14609"/>
  <c r="ES373" i="14609"/>
  <c r="ET373" i="14609"/>
  <c r="EU373" i="14609"/>
  <c r="EV373" i="14609"/>
  <c r="EW373" i="14609"/>
  <c r="EX373" i="14609"/>
  <c r="EY373" i="14609"/>
  <c r="EZ373" i="14609"/>
  <c r="FA373" i="14609"/>
  <c r="FB373" i="14609"/>
  <c r="FC373" i="14609"/>
  <c r="FD373" i="14609"/>
  <c r="FE373" i="14609"/>
  <c r="FF373" i="14609"/>
  <c r="FG373" i="14609"/>
  <c r="FH373" i="14609"/>
  <c r="FI373" i="14609"/>
  <c r="FJ373" i="14609"/>
  <c r="FK373" i="14609"/>
  <c r="FL373" i="14609"/>
  <c r="FM373" i="14609"/>
  <c r="FN373" i="14609"/>
  <c r="FO373" i="14609"/>
  <c r="FP373" i="14609"/>
  <c r="FQ373" i="14609"/>
  <c r="FR373" i="14609"/>
  <c r="FS373" i="14609"/>
  <c r="FT373" i="14609"/>
  <c r="FU373" i="14609"/>
  <c r="FV373" i="14609"/>
  <c r="FW373" i="14609"/>
  <c r="FX373" i="14609"/>
  <c r="FY373" i="14609"/>
  <c r="FZ373" i="14609"/>
  <c r="GA373" i="14609"/>
  <c r="GB373" i="14609"/>
  <c r="GC373" i="14609"/>
  <c r="GD373" i="14609"/>
  <c r="GE373" i="14609"/>
  <c r="GF373" i="14609"/>
  <c r="GG373" i="14609"/>
  <c r="GH373" i="14609"/>
  <c r="GI373" i="14609"/>
  <c r="GJ373" i="14609"/>
  <c r="GK373" i="14609"/>
  <c r="GL373" i="14609"/>
  <c r="GM373" i="14609"/>
  <c r="GN373" i="14609"/>
  <c r="GO373" i="14609"/>
  <c r="GP373" i="14609"/>
  <c r="GQ373" i="14609"/>
  <c r="GR373" i="14609"/>
  <c r="GS373" i="14609"/>
  <c r="GT373" i="14609"/>
  <c r="GU373" i="14609"/>
  <c r="GV373" i="14609"/>
  <c r="GW373" i="14609"/>
  <c r="GX373" i="14609"/>
  <c r="GY373" i="14609"/>
  <c r="GZ373" i="14609"/>
  <c r="HA373" i="14609"/>
  <c r="HB373" i="14609"/>
  <c r="HC373" i="14609"/>
  <c r="HD373" i="14609"/>
  <c r="HE373" i="14609"/>
  <c r="HF373" i="14609"/>
  <c r="HG373" i="14609"/>
  <c r="HH373" i="14609"/>
  <c r="HI373" i="14609"/>
  <c r="HJ373" i="14609"/>
  <c r="HK373" i="14609"/>
  <c r="HL373" i="14609"/>
  <c r="HM373" i="14609"/>
  <c r="HN373" i="14609"/>
  <c r="HO373" i="14609"/>
  <c r="HP373" i="14609"/>
  <c r="HQ373" i="14609"/>
  <c r="HR373" i="14609"/>
  <c r="HS373" i="14609"/>
  <c r="HT373" i="14609"/>
  <c r="HU373" i="14609"/>
  <c r="HV373" i="14609"/>
  <c r="HW373" i="14609"/>
  <c r="HX373" i="14609"/>
  <c r="HY373" i="14609"/>
  <c r="HZ373" i="14609"/>
  <c r="IA373" i="14609"/>
  <c r="IB373" i="14609"/>
  <c r="IC373" i="14609"/>
  <c r="ID373" i="14609"/>
  <c r="IE373" i="14609"/>
  <c r="IF373" i="14609"/>
  <c r="IG373" i="14609"/>
  <c r="IH373" i="14609"/>
  <c r="II373" i="14609"/>
  <c r="IJ373" i="14609"/>
  <c r="IK373" i="14609"/>
  <c r="IL373" i="14609"/>
  <c r="IM373" i="14609"/>
  <c r="IN373" i="14609"/>
  <c r="IO373" i="14609"/>
  <c r="IP373" i="14609"/>
  <c r="IQ373" i="14609"/>
  <c r="IR373" i="14609"/>
  <c r="IS373" i="14609"/>
  <c r="IT373" i="14609"/>
  <c r="IU373" i="14609"/>
  <c r="IV373" i="14609"/>
  <c r="A372" i="14609"/>
  <c r="B372" i="14609"/>
  <c r="C372" i="14609"/>
  <c r="D372" i="14609"/>
  <c r="E372" i="14609"/>
  <c r="F372" i="14609"/>
  <c r="G372" i="14609"/>
  <c r="H372" i="14609"/>
  <c r="I372" i="14609"/>
  <c r="J372" i="14609"/>
  <c r="K372" i="14609"/>
  <c r="L372" i="14609"/>
  <c r="M372" i="14609"/>
  <c r="N372" i="14609"/>
  <c r="O372" i="14609"/>
  <c r="P372" i="14609"/>
  <c r="Q372" i="14609"/>
  <c r="R372" i="14609"/>
  <c r="S372" i="14609"/>
  <c r="T372" i="14609"/>
  <c r="U372" i="14609"/>
  <c r="V372" i="14609"/>
  <c r="W372" i="14609"/>
  <c r="X372" i="14609"/>
  <c r="Y372" i="14609"/>
  <c r="Z372" i="14609"/>
  <c r="AA372" i="14609"/>
  <c r="AB372" i="14609"/>
  <c r="AC372" i="14609"/>
  <c r="AD372" i="14609"/>
  <c r="AE372" i="14609"/>
  <c r="AF372" i="14609"/>
  <c r="AG372" i="14609"/>
  <c r="AH372" i="14609"/>
  <c r="AI372" i="14609"/>
  <c r="AJ372" i="14609"/>
  <c r="AK372" i="14609"/>
  <c r="AL372" i="14609"/>
  <c r="AM372" i="14609"/>
  <c r="AN372" i="14609"/>
  <c r="AO372" i="14609"/>
  <c r="AP372" i="14609"/>
  <c r="AQ372" i="14609"/>
  <c r="AR372" i="14609"/>
  <c r="AS372" i="14609"/>
  <c r="AT372" i="14609"/>
  <c r="AU372" i="14609"/>
  <c r="AV372" i="14609"/>
  <c r="AW372" i="14609"/>
  <c r="AX372" i="14609"/>
  <c r="AY372" i="14609"/>
  <c r="AZ372" i="14609"/>
  <c r="BA372" i="14609"/>
  <c r="BB372" i="14609"/>
  <c r="BC372" i="14609"/>
  <c r="BD372" i="14609"/>
  <c r="BE372" i="14609"/>
  <c r="BF372" i="14609"/>
  <c r="BG372" i="14609"/>
  <c r="BH372" i="14609"/>
  <c r="BI372" i="14609"/>
  <c r="BJ372" i="14609"/>
  <c r="BK372" i="14609"/>
  <c r="BL372" i="14609"/>
  <c r="BM372" i="14609"/>
  <c r="BN372" i="14609"/>
  <c r="BO372" i="14609"/>
  <c r="BP372" i="14609"/>
  <c r="BQ372" i="14609"/>
  <c r="BR372" i="14609"/>
  <c r="BS372" i="14609"/>
  <c r="BT372" i="14609"/>
  <c r="BU372" i="14609"/>
  <c r="BV372" i="14609"/>
  <c r="BW372" i="14609"/>
  <c r="BX372" i="14609"/>
  <c r="BY372" i="14609"/>
  <c r="BZ372" i="14609"/>
  <c r="CA372" i="14609"/>
  <c r="CB372" i="14609"/>
  <c r="CC372" i="14609"/>
  <c r="CD372" i="14609"/>
  <c r="CE372" i="14609"/>
  <c r="CF372" i="14609"/>
  <c r="CG372" i="14609"/>
  <c r="CH372" i="14609"/>
  <c r="CI372" i="14609"/>
  <c r="CJ372" i="14609"/>
  <c r="CK372" i="14609"/>
  <c r="CL372" i="14609"/>
  <c r="CM372" i="14609"/>
  <c r="CN372" i="14609"/>
  <c r="CO372" i="14609"/>
  <c r="CP372" i="14609"/>
  <c r="CQ372" i="14609"/>
  <c r="CR372" i="14609"/>
  <c r="CS372" i="14609"/>
  <c r="CT372" i="14609"/>
  <c r="CU372" i="14609"/>
  <c r="CV372" i="14609"/>
  <c r="CW372" i="14609"/>
  <c r="CX372" i="14609"/>
  <c r="CY372" i="14609"/>
  <c r="CZ372" i="14609"/>
  <c r="DA372" i="14609"/>
  <c r="DB372" i="14609"/>
  <c r="DC372" i="14609"/>
  <c r="DD372" i="14609"/>
  <c r="DE372" i="14609"/>
  <c r="DF372" i="14609"/>
  <c r="DG372" i="14609"/>
  <c r="DH372" i="14609"/>
  <c r="DI372" i="14609"/>
  <c r="DJ372" i="14609"/>
  <c r="DK372" i="14609"/>
  <c r="DL372" i="14609"/>
  <c r="DM372" i="14609"/>
  <c r="DN372" i="14609"/>
  <c r="DO372" i="14609"/>
  <c r="DP372" i="14609"/>
  <c r="DQ372" i="14609"/>
  <c r="DR372" i="14609"/>
  <c r="DS372" i="14609"/>
  <c r="DT372" i="14609"/>
  <c r="DU372" i="14609"/>
  <c r="DV372" i="14609"/>
  <c r="DW372" i="14609"/>
  <c r="DX372" i="14609"/>
  <c r="DY372" i="14609"/>
  <c r="DZ372" i="14609"/>
  <c r="EA372" i="14609"/>
  <c r="EB372" i="14609"/>
  <c r="EC372" i="14609"/>
  <c r="ED372" i="14609"/>
  <c r="EE372" i="14609"/>
  <c r="EF372" i="14609"/>
  <c r="EG372" i="14609"/>
  <c r="EH372" i="14609"/>
  <c r="EI372" i="14609"/>
  <c r="EJ372" i="14609"/>
  <c r="EK372" i="14609"/>
  <c r="EL372" i="14609"/>
  <c r="EM372" i="14609"/>
  <c r="EN372" i="14609"/>
  <c r="EO372" i="14609"/>
  <c r="EP372" i="14609"/>
  <c r="EQ372" i="14609"/>
  <c r="ER372" i="14609"/>
  <c r="ES372" i="14609"/>
  <c r="ET372" i="14609"/>
  <c r="EU372" i="14609"/>
  <c r="EV372" i="14609"/>
  <c r="EW372" i="14609"/>
  <c r="EX372" i="14609"/>
  <c r="EY372" i="14609"/>
  <c r="EZ372" i="14609"/>
  <c r="FA372" i="14609"/>
  <c r="FB372" i="14609"/>
  <c r="FC372" i="14609"/>
  <c r="FD372" i="14609"/>
  <c r="FE372" i="14609"/>
  <c r="FF372" i="14609"/>
  <c r="FG372" i="14609"/>
  <c r="FH372" i="14609"/>
  <c r="FI372" i="14609"/>
  <c r="FJ372" i="14609"/>
  <c r="FK372" i="14609"/>
  <c r="FL372" i="14609"/>
  <c r="FM372" i="14609"/>
  <c r="FN372" i="14609"/>
  <c r="FO372" i="14609"/>
  <c r="FP372" i="14609"/>
  <c r="FQ372" i="14609"/>
  <c r="FR372" i="14609"/>
  <c r="FS372" i="14609"/>
  <c r="FT372" i="14609"/>
  <c r="FU372" i="14609"/>
  <c r="FV372" i="14609"/>
  <c r="FW372" i="14609"/>
  <c r="FX372" i="14609"/>
  <c r="FY372" i="14609"/>
  <c r="FZ372" i="14609"/>
  <c r="GA372" i="14609"/>
  <c r="GB372" i="14609"/>
  <c r="GC372" i="14609"/>
  <c r="GD372" i="14609"/>
  <c r="GE372" i="14609"/>
  <c r="GF372" i="14609"/>
  <c r="GG372" i="14609"/>
  <c r="GH372" i="14609"/>
  <c r="GI372" i="14609"/>
  <c r="GJ372" i="14609"/>
  <c r="GK372" i="14609"/>
  <c r="GL372" i="14609"/>
  <c r="GM372" i="14609"/>
  <c r="GN372" i="14609"/>
  <c r="GO372" i="14609"/>
  <c r="GP372" i="14609"/>
  <c r="GQ372" i="14609"/>
  <c r="GR372" i="14609"/>
  <c r="GS372" i="14609"/>
  <c r="GT372" i="14609"/>
  <c r="GU372" i="14609"/>
  <c r="GV372" i="14609"/>
  <c r="GW372" i="14609"/>
  <c r="GX372" i="14609"/>
  <c r="GY372" i="14609"/>
  <c r="GZ372" i="14609"/>
  <c r="HA372" i="14609"/>
  <c r="HB372" i="14609"/>
  <c r="HC372" i="14609"/>
  <c r="HD372" i="14609"/>
  <c r="HE372" i="14609"/>
  <c r="HF372" i="14609"/>
  <c r="HG372" i="14609"/>
  <c r="HH372" i="14609"/>
  <c r="HI372" i="14609"/>
  <c r="HJ372" i="14609"/>
  <c r="HK372" i="14609"/>
  <c r="HL372" i="14609"/>
  <c r="HM372" i="14609"/>
  <c r="HN372" i="14609"/>
  <c r="HO372" i="14609"/>
  <c r="HP372" i="14609"/>
  <c r="HQ372" i="14609"/>
  <c r="HR372" i="14609"/>
  <c r="HS372" i="14609"/>
  <c r="HT372" i="14609"/>
  <c r="HU372" i="14609"/>
  <c r="HV372" i="14609"/>
  <c r="HW372" i="14609"/>
  <c r="HX372" i="14609"/>
  <c r="HY372" i="14609"/>
  <c r="HZ372" i="14609"/>
  <c r="IA372" i="14609"/>
  <c r="IB372" i="14609"/>
  <c r="IC372" i="14609"/>
  <c r="ID372" i="14609"/>
  <c r="IE372" i="14609"/>
  <c r="IF372" i="14609"/>
  <c r="IG372" i="14609"/>
  <c r="IH372" i="14609"/>
  <c r="II372" i="14609"/>
  <c r="IJ372" i="14609"/>
  <c r="IK372" i="14609"/>
  <c r="IL372" i="14609"/>
  <c r="IM372" i="14609"/>
  <c r="IN372" i="14609"/>
  <c r="IO372" i="14609"/>
  <c r="IP372" i="14609"/>
  <c r="IQ372" i="14609"/>
  <c r="IR372" i="14609"/>
  <c r="IS372" i="14609"/>
  <c r="IT372" i="14609"/>
  <c r="IU372" i="14609"/>
  <c r="IV372" i="14609"/>
  <c r="A371" i="14609"/>
  <c r="B371" i="14609"/>
  <c r="C371" i="14609"/>
  <c r="D371" i="14609"/>
  <c r="E371" i="14609"/>
  <c r="F371" i="14609"/>
  <c r="G371" i="14609"/>
  <c r="H371" i="14609"/>
  <c r="I371" i="14609"/>
  <c r="J371" i="14609"/>
  <c r="K371" i="14609"/>
  <c r="L371" i="14609"/>
  <c r="M371" i="14609"/>
  <c r="N371" i="14609"/>
  <c r="O371" i="14609"/>
  <c r="P371" i="14609"/>
  <c r="Q371" i="14609"/>
  <c r="R371" i="14609"/>
  <c r="S371" i="14609"/>
  <c r="T371" i="14609"/>
  <c r="U371" i="14609"/>
  <c r="V371" i="14609"/>
  <c r="W371" i="14609"/>
  <c r="X371" i="14609"/>
  <c r="Y371" i="14609"/>
  <c r="Z371" i="14609"/>
  <c r="AA371" i="14609"/>
  <c r="AB371" i="14609"/>
  <c r="AC371" i="14609"/>
  <c r="AD371" i="14609"/>
  <c r="AE371" i="14609"/>
  <c r="AF371" i="14609"/>
  <c r="AG371" i="14609"/>
  <c r="AH371" i="14609"/>
  <c r="AI371" i="14609"/>
  <c r="AJ371" i="14609"/>
  <c r="AK371" i="14609"/>
  <c r="AL371" i="14609"/>
  <c r="AM371" i="14609"/>
  <c r="AN371" i="14609"/>
  <c r="AO371" i="14609"/>
  <c r="AP371" i="14609"/>
  <c r="AQ371" i="14609"/>
  <c r="AR371" i="14609"/>
  <c r="AS371" i="14609"/>
  <c r="AT371" i="14609"/>
  <c r="AU371" i="14609"/>
  <c r="AV371" i="14609"/>
  <c r="AW371" i="14609"/>
  <c r="AX371" i="14609"/>
  <c r="AY371" i="14609"/>
  <c r="AZ371" i="14609"/>
  <c r="BA371" i="14609"/>
  <c r="BB371" i="14609"/>
  <c r="BC371" i="14609"/>
  <c r="BD371" i="14609"/>
  <c r="BE371" i="14609"/>
  <c r="BF371" i="14609"/>
  <c r="BG371" i="14609"/>
  <c r="BH371" i="14609"/>
  <c r="BI371" i="14609"/>
  <c r="BJ371" i="14609"/>
  <c r="BK371" i="14609"/>
  <c r="BL371" i="14609"/>
  <c r="BM371" i="14609"/>
  <c r="BN371" i="14609"/>
  <c r="BO371" i="14609"/>
  <c r="BP371" i="14609"/>
  <c r="BQ371" i="14609"/>
  <c r="BR371" i="14609"/>
  <c r="BS371" i="14609"/>
  <c r="BT371" i="14609"/>
  <c r="BU371" i="14609"/>
  <c r="BV371" i="14609"/>
  <c r="BW371" i="14609"/>
  <c r="BX371" i="14609"/>
  <c r="BY371" i="14609"/>
  <c r="BZ371" i="14609"/>
  <c r="CA371" i="14609"/>
  <c r="CB371" i="14609"/>
  <c r="CC371" i="14609"/>
  <c r="CD371" i="14609"/>
  <c r="CE371" i="14609"/>
  <c r="CF371" i="14609"/>
  <c r="CG371" i="14609"/>
  <c r="CH371" i="14609"/>
  <c r="CI371" i="14609"/>
  <c r="CJ371" i="14609"/>
  <c r="CK371" i="14609"/>
  <c r="CL371" i="14609"/>
  <c r="CM371" i="14609"/>
  <c r="CN371" i="14609"/>
  <c r="CO371" i="14609"/>
  <c r="CP371" i="14609"/>
  <c r="CQ371" i="14609"/>
  <c r="CR371" i="14609"/>
  <c r="CS371" i="14609"/>
  <c r="CT371" i="14609"/>
  <c r="CU371" i="14609"/>
  <c r="CV371" i="14609"/>
  <c r="CW371" i="14609"/>
  <c r="CX371" i="14609"/>
  <c r="CY371" i="14609"/>
  <c r="CZ371" i="14609"/>
  <c r="DA371" i="14609"/>
  <c r="DB371" i="14609"/>
  <c r="DC371" i="14609"/>
  <c r="DD371" i="14609"/>
  <c r="DE371" i="14609"/>
  <c r="DF371" i="14609"/>
  <c r="DG371" i="14609"/>
  <c r="DH371" i="14609"/>
  <c r="DI371" i="14609"/>
  <c r="DJ371" i="14609"/>
  <c r="DK371" i="14609"/>
  <c r="DL371" i="14609"/>
  <c r="DM371" i="14609"/>
  <c r="DN371" i="14609"/>
  <c r="DO371" i="14609"/>
  <c r="DP371" i="14609"/>
  <c r="DQ371" i="14609"/>
  <c r="DR371" i="14609"/>
  <c r="DS371" i="14609"/>
  <c r="DT371" i="14609"/>
  <c r="DU371" i="14609"/>
  <c r="DV371" i="14609"/>
  <c r="DW371" i="14609"/>
  <c r="DX371" i="14609"/>
  <c r="DY371" i="14609"/>
  <c r="DZ371" i="14609"/>
  <c r="EA371" i="14609"/>
  <c r="EB371" i="14609"/>
  <c r="EC371" i="14609"/>
  <c r="ED371" i="14609"/>
  <c r="EE371" i="14609"/>
  <c r="EF371" i="14609"/>
  <c r="EG371" i="14609"/>
  <c r="EH371" i="14609"/>
  <c r="EI371" i="14609"/>
  <c r="EJ371" i="14609"/>
  <c r="EK371" i="14609"/>
  <c r="EL371" i="14609"/>
  <c r="EM371" i="14609"/>
  <c r="EN371" i="14609"/>
  <c r="EO371" i="14609"/>
  <c r="EP371" i="14609"/>
  <c r="EQ371" i="14609"/>
  <c r="ER371" i="14609"/>
  <c r="ES371" i="14609"/>
  <c r="ET371" i="14609"/>
  <c r="EU371" i="14609"/>
  <c r="EV371" i="14609"/>
  <c r="EW371" i="14609"/>
  <c r="EX371" i="14609"/>
  <c r="EY371" i="14609"/>
  <c r="EZ371" i="14609"/>
  <c r="FA371" i="14609"/>
  <c r="FB371" i="14609"/>
  <c r="FC371" i="14609"/>
  <c r="FD371" i="14609"/>
  <c r="FE371" i="14609"/>
  <c r="FF371" i="14609"/>
  <c r="FG371" i="14609"/>
  <c r="FH371" i="14609"/>
  <c r="FI371" i="14609"/>
  <c r="FJ371" i="14609"/>
  <c r="FK371" i="14609"/>
  <c r="FL371" i="14609"/>
  <c r="FM371" i="14609"/>
  <c r="FN371" i="14609"/>
  <c r="FO371" i="14609"/>
  <c r="FP371" i="14609"/>
  <c r="FQ371" i="14609"/>
  <c r="FR371" i="14609"/>
  <c r="FS371" i="14609"/>
  <c r="FT371" i="14609"/>
  <c r="FU371" i="14609"/>
  <c r="FV371" i="14609"/>
  <c r="FW371" i="14609"/>
  <c r="FX371" i="14609"/>
  <c r="FY371" i="14609"/>
  <c r="FZ371" i="14609"/>
  <c r="GA371" i="14609"/>
  <c r="GB371" i="14609"/>
  <c r="GC371" i="14609"/>
  <c r="GD371" i="14609"/>
  <c r="GE371" i="14609"/>
  <c r="GF371" i="14609"/>
  <c r="GG371" i="14609"/>
  <c r="GH371" i="14609"/>
  <c r="GI371" i="14609"/>
  <c r="GJ371" i="14609"/>
  <c r="GK371" i="14609"/>
  <c r="GL371" i="14609"/>
  <c r="GM371" i="14609"/>
  <c r="GN371" i="14609"/>
  <c r="GO371" i="14609"/>
  <c r="GP371" i="14609"/>
  <c r="GQ371" i="14609"/>
  <c r="GR371" i="14609"/>
  <c r="GS371" i="14609"/>
  <c r="GT371" i="14609"/>
  <c r="GU371" i="14609"/>
  <c r="GV371" i="14609"/>
  <c r="GW371" i="14609"/>
  <c r="GX371" i="14609"/>
  <c r="GY371" i="14609"/>
  <c r="GZ371" i="14609"/>
  <c r="HA371" i="14609"/>
  <c r="HB371" i="14609"/>
  <c r="HC371" i="14609"/>
  <c r="HD371" i="14609"/>
  <c r="HE371" i="14609"/>
  <c r="HF371" i="14609"/>
  <c r="HG371" i="14609"/>
  <c r="HH371" i="14609"/>
  <c r="HI371" i="14609"/>
  <c r="HJ371" i="14609"/>
  <c r="HK371" i="14609"/>
  <c r="HL371" i="14609"/>
  <c r="HM371" i="14609"/>
  <c r="HN371" i="14609"/>
  <c r="HO371" i="14609"/>
  <c r="HP371" i="14609"/>
  <c r="HQ371" i="14609"/>
  <c r="HR371" i="14609"/>
  <c r="HS371" i="14609"/>
  <c r="HT371" i="14609"/>
  <c r="HU371" i="14609"/>
  <c r="HV371" i="14609"/>
  <c r="HW371" i="14609"/>
  <c r="HX371" i="14609"/>
  <c r="HY371" i="14609"/>
  <c r="HZ371" i="14609"/>
  <c r="IA371" i="14609"/>
  <c r="IB371" i="14609"/>
  <c r="IC371" i="14609"/>
  <c r="ID371" i="14609"/>
  <c r="IE371" i="14609"/>
  <c r="IF371" i="14609"/>
  <c r="IG371" i="14609"/>
  <c r="IH371" i="14609"/>
  <c r="II371" i="14609"/>
  <c r="IJ371" i="14609"/>
  <c r="IK371" i="14609"/>
  <c r="IL371" i="14609"/>
  <c r="IM371" i="14609"/>
  <c r="IN371" i="14609"/>
  <c r="IO371" i="14609"/>
  <c r="IP371" i="14609"/>
  <c r="IQ371" i="14609"/>
  <c r="IR371" i="14609"/>
  <c r="IS371" i="14609"/>
  <c r="IT371" i="14609"/>
  <c r="IU371" i="14609"/>
  <c r="IV371" i="14609"/>
  <c r="A370" i="14609"/>
  <c r="B370" i="14609"/>
  <c r="C370" i="14609"/>
  <c r="D370" i="14609"/>
  <c r="E370" i="14609"/>
  <c r="F370" i="14609"/>
  <c r="G370" i="14609"/>
  <c r="H370" i="14609"/>
  <c r="I370" i="14609"/>
  <c r="J370" i="14609"/>
  <c r="K370" i="14609"/>
  <c r="L370" i="14609"/>
  <c r="M370" i="14609"/>
  <c r="N370" i="14609"/>
  <c r="O370" i="14609"/>
  <c r="P370" i="14609"/>
  <c r="Q370" i="14609"/>
  <c r="R370" i="14609"/>
  <c r="S370" i="14609"/>
  <c r="T370" i="14609"/>
  <c r="U370" i="14609"/>
  <c r="V370" i="14609"/>
  <c r="W370" i="14609"/>
  <c r="X370" i="14609"/>
  <c r="Y370" i="14609"/>
  <c r="Z370" i="14609"/>
  <c r="AA370" i="14609"/>
  <c r="AB370" i="14609"/>
  <c r="AC370" i="14609"/>
  <c r="AD370" i="14609"/>
  <c r="AE370" i="14609"/>
  <c r="AF370" i="14609"/>
  <c r="AG370" i="14609"/>
  <c r="AH370" i="14609"/>
  <c r="AI370" i="14609"/>
  <c r="AJ370" i="14609"/>
  <c r="AK370" i="14609"/>
  <c r="AL370" i="14609"/>
  <c r="AM370" i="14609"/>
  <c r="AN370" i="14609"/>
  <c r="AO370" i="14609"/>
  <c r="AP370" i="14609"/>
  <c r="AQ370" i="14609"/>
  <c r="AR370" i="14609"/>
  <c r="AS370" i="14609"/>
  <c r="AT370" i="14609"/>
  <c r="AU370" i="14609"/>
  <c r="AV370" i="14609"/>
  <c r="AW370" i="14609"/>
  <c r="AX370" i="14609"/>
  <c r="AY370" i="14609"/>
  <c r="AZ370" i="14609"/>
  <c r="BA370" i="14609"/>
  <c r="BB370" i="14609"/>
  <c r="BC370" i="14609"/>
  <c r="BD370" i="14609"/>
  <c r="BE370" i="14609"/>
  <c r="BF370" i="14609"/>
  <c r="BG370" i="14609"/>
  <c r="BH370" i="14609"/>
  <c r="BI370" i="14609"/>
  <c r="BJ370" i="14609"/>
  <c r="BK370" i="14609"/>
  <c r="BL370" i="14609"/>
  <c r="BM370" i="14609"/>
  <c r="BN370" i="14609"/>
  <c r="BO370" i="14609"/>
  <c r="BP370" i="14609"/>
  <c r="BQ370" i="14609"/>
  <c r="BR370" i="14609"/>
  <c r="BS370" i="14609"/>
  <c r="BT370" i="14609"/>
  <c r="BU370" i="14609"/>
  <c r="BV370" i="14609"/>
  <c r="BW370" i="14609"/>
  <c r="BX370" i="14609"/>
  <c r="BY370" i="14609"/>
  <c r="BZ370" i="14609"/>
  <c r="CA370" i="14609"/>
  <c r="CB370" i="14609"/>
  <c r="CC370" i="14609"/>
  <c r="CD370" i="14609"/>
  <c r="CE370" i="14609"/>
  <c r="CF370" i="14609"/>
  <c r="CG370" i="14609"/>
  <c r="CH370" i="14609"/>
  <c r="CI370" i="14609"/>
  <c r="CJ370" i="14609"/>
  <c r="CK370" i="14609"/>
  <c r="CL370" i="14609"/>
  <c r="CM370" i="14609"/>
  <c r="CN370" i="14609"/>
  <c r="CO370" i="14609"/>
  <c r="CP370" i="14609"/>
  <c r="CQ370" i="14609"/>
  <c r="CR370" i="14609"/>
  <c r="CS370" i="14609"/>
  <c r="CT370" i="14609"/>
  <c r="CU370" i="14609"/>
  <c r="CV370" i="14609"/>
  <c r="CW370" i="14609"/>
  <c r="CX370" i="14609"/>
  <c r="CY370" i="14609"/>
  <c r="CZ370" i="14609"/>
  <c r="DA370" i="14609"/>
  <c r="DB370" i="14609"/>
  <c r="DC370" i="14609"/>
  <c r="DD370" i="14609"/>
  <c r="DE370" i="14609"/>
  <c r="DF370" i="14609"/>
  <c r="DG370" i="14609"/>
  <c r="DH370" i="14609"/>
  <c r="DI370" i="14609"/>
  <c r="DJ370" i="14609"/>
  <c r="DK370" i="14609"/>
  <c r="DL370" i="14609"/>
  <c r="DM370" i="14609"/>
  <c r="DN370" i="14609"/>
  <c r="DO370" i="14609"/>
  <c r="DP370" i="14609"/>
  <c r="DQ370" i="14609"/>
  <c r="DR370" i="14609"/>
  <c r="DS370" i="14609"/>
  <c r="DT370" i="14609"/>
  <c r="DU370" i="14609"/>
  <c r="DV370" i="14609"/>
  <c r="DW370" i="14609"/>
  <c r="DX370" i="14609"/>
  <c r="DY370" i="14609"/>
  <c r="DZ370" i="14609"/>
  <c r="EA370" i="14609"/>
  <c r="EB370" i="14609"/>
  <c r="EC370" i="14609"/>
  <c r="ED370" i="14609"/>
  <c r="EE370" i="14609"/>
  <c r="EF370" i="14609"/>
  <c r="EG370" i="14609"/>
  <c r="EH370" i="14609"/>
  <c r="EI370" i="14609"/>
  <c r="EJ370" i="14609"/>
  <c r="EK370" i="14609"/>
  <c r="EL370" i="14609"/>
  <c r="EM370" i="14609"/>
  <c r="EN370" i="14609"/>
  <c r="EO370" i="14609"/>
  <c r="EP370" i="14609"/>
  <c r="EQ370" i="14609"/>
  <c r="ER370" i="14609"/>
  <c r="ES370" i="14609"/>
  <c r="ET370" i="14609"/>
  <c r="EU370" i="14609"/>
  <c r="EV370" i="14609"/>
  <c r="EW370" i="14609"/>
  <c r="EX370" i="14609"/>
  <c r="EY370" i="14609"/>
  <c r="EZ370" i="14609"/>
  <c r="FA370" i="14609"/>
  <c r="FB370" i="14609"/>
  <c r="FC370" i="14609"/>
  <c r="FD370" i="14609"/>
  <c r="FE370" i="14609"/>
  <c r="FF370" i="14609"/>
  <c r="FG370" i="14609"/>
  <c r="FH370" i="14609"/>
  <c r="FI370" i="14609"/>
  <c r="FJ370" i="14609"/>
  <c r="FK370" i="14609"/>
  <c r="FL370" i="14609"/>
  <c r="FM370" i="14609"/>
  <c r="FN370" i="14609"/>
  <c r="FO370" i="14609"/>
  <c r="FP370" i="14609"/>
  <c r="FQ370" i="14609"/>
  <c r="FR370" i="14609"/>
  <c r="FS370" i="14609"/>
  <c r="FT370" i="14609"/>
  <c r="FU370" i="14609"/>
  <c r="FV370" i="14609"/>
  <c r="FW370" i="14609"/>
  <c r="FX370" i="14609"/>
  <c r="FY370" i="14609"/>
  <c r="FZ370" i="14609"/>
  <c r="GA370" i="14609"/>
  <c r="GB370" i="14609"/>
  <c r="GC370" i="14609"/>
  <c r="GD370" i="14609"/>
  <c r="GE370" i="14609"/>
  <c r="GF370" i="14609"/>
  <c r="GG370" i="14609"/>
  <c r="GH370" i="14609"/>
  <c r="GI370" i="14609"/>
  <c r="GJ370" i="14609"/>
  <c r="GK370" i="14609"/>
  <c r="GL370" i="14609"/>
  <c r="GM370" i="14609"/>
  <c r="GN370" i="14609"/>
  <c r="GO370" i="14609"/>
  <c r="GP370" i="14609"/>
  <c r="GQ370" i="14609"/>
  <c r="GR370" i="14609"/>
  <c r="GS370" i="14609"/>
  <c r="GT370" i="14609"/>
  <c r="GU370" i="14609"/>
  <c r="GV370" i="14609"/>
  <c r="GW370" i="14609"/>
  <c r="GX370" i="14609"/>
  <c r="GY370" i="14609"/>
  <c r="GZ370" i="14609"/>
  <c r="HA370" i="14609"/>
  <c r="HB370" i="14609"/>
  <c r="HC370" i="14609"/>
  <c r="HD370" i="14609"/>
  <c r="HE370" i="14609"/>
  <c r="HF370" i="14609"/>
  <c r="HG370" i="14609"/>
  <c r="HH370" i="14609"/>
  <c r="HI370" i="14609"/>
  <c r="HJ370" i="14609"/>
  <c r="HK370" i="14609"/>
  <c r="HL370" i="14609"/>
  <c r="HM370" i="14609"/>
  <c r="HN370" i="14609"/>
  <c r="HO370" i="14609"/>
  <c r="HP370" i="14609"/>
  <c r="HQ370" i="14609"/>
  <c r="HR370" i="14609"/>
  <c r="HS370" i="14609"/>
  <c r="HT370" i="14609"/>
  <c r="HU370" i="14609"/>
  <c r="HV370" i="14609"/>
  <c r="HW370" i="14609"/>
  <c r="HX370" i="14609"/>
  <c r="HY370" i="14609"/>
  <c r="HZ370" i="14609"/>
  <c r="IA370" i="14609"/>
  <c r="IB370" i="14609"/>
  <c r="IC370" i="14609"/>
  <c r="ID370" i="14609"/>
  <c r="IE370" i="14609"/>
  <c r="IF370" i="14609"/>
  <c r="IG370" i="14609"/>
  <c r="IH370" i="14609"/>
  <c r="II370" i="14609"/>
  <c r="IJ370" i="14609"/>
  <c r="IK370" i="14609"/>
  <c r="IL370" i="14609"/>
  <c r="IM370" i="14609"/>
  <c r="IN370" i="14609"/>
  <c r="IO370" i="14609"/>
  <c r="IP370" i="14609"/>
  <c r="IQ370" i="14609"/>
  <c r="IR370" i="14609"/>
  <c r="IS370" i="14609"/>
  <c r="IT370" i="14609"/>
  <c r="IU370" i="14609"/>
  <c r="IV370" i="14609"/>
  <c r="A369" i="14609"/>
  <c r="B369" i="14609"/>
  <c r="C369" i="14609"/>
  <c r="D369" i="14609"/>
  <c r="E369" i="14609"/>
  <c r="F369" i="14609"/>
  <c r="G369" i="14609"/>
  <c r="H369" i="14609"/>
  <c r="I369" i="14609"/>
  <c r="J369" i="14609"/>
  <c r="K369" i="14609"/>
  <c r="L369" i="14609"/>
  <c r="M369" i="14609"/>
  <c r="N369" i="14609"/>
  <c r="O369" i="14609"/>
  <c r="P369" i="14609"/>
  <c r="Q369" i="14609"/>
  <c r="R369" i="14609"/>
  <c r="S369" i="14609"/>
  <c r="T369" i="14609"/>
  <c r="U369" i="14609"/>
  <c r="V369" i="14609"/>
  <c r="W369" i="14609"/>
  <c r="X369" i="14609"/>
  <c r="Y369" i="14609"/>
  <c r="Z369" i="14609"/>
  <c r="AA369" i="14609"/>
  <c r="AB369" i="14609"/>
  <c r="AC369" i="14609"/>
  <c r="AD369" i="14609"/>
  <c r="AE369" i="14609"/>
  <c r="AF369" i="14609"/>
  <c r="AG369" i="14609"/>
  <c r="AH369" i="14609"/>
  <c r="AI369" i="14609"/>
  <c r="AJ369" i="14609"/>
  <c r="AK369" i="14609"/>
  <c r="AL369" i="14609"/>
  <c r="AM369" i="14609"/>
  <c r="AN369" i="14609"/>
  <c r="AO369" i="14609"/>
  <c r="AP369" i="14609"/>
  <c r="AQ369" i="14609"/>
  <c r="AR369" i="14609"/>
  <c r="AS369" i="14609"/>
  <c r="AT369" i="14609"/>
  <c r="AU369" i="14609"/>
  <c r="AV369" i="14609"/>
  <c r="AW369" i="14609"/>
  <c r="AX369" i="14609"/>
  <c r="AY369" i="14609"/>
  <c r="AZ369" i="14609"/>
  <c r="BA369" i="14609"/>
  <c r="BB369" i="14609"/>
  <c r="BC369" i="14609"/>
  <c r="BD369" i="14609"/>
  <c r="BE369" i="14609"/>
  <c r="BF369" i="14609"/>
  <c r="BG369" i="14609"/>
  <c r="BH369" i="14609"/>
  <c r="BI369" i="14609"/>
  <c r="BJ369" i="14609"/>
  <c r="BK369" i="14609"/>
  <c r="BL369" i="14609"/>
  <c r="BM369" i="14609"/>
  <c r="BN369" i="14609"/>
  <c r="BO369" i="14609"/>
  <c r="BP369" i="14609"/>
  <c r="BQ369" i="14609"/>
  <c r="BR369" i="14609"/>
  <c r="BS369" i="14609"/>
  <c r="BT369" i="14609"/>
  <c r="BU369" i="14609"/>
  <c r="BV369" i="14609"/>
  <c r="BW369" i="14609"/>
  <c r="BX369" i="14609"/>
  <c r="BY369" i="14609"/>
  <c r="BZ369" i="14609"/>
  <c r="CA369" i="14609"/>
  <c r="CB369" i="14609"/>
  <c r="CC369" i="14609"/>
  <c r="CD369" i="14609"/>
  <c r="CE369" i="14609"/>
  <c r="CF369" i="14609"/>
  <c r="CG369" i="14609"/>
  <c r="CH369" i="14609"/>
  <c r="CI369" i="14609"/>
  <c r="CJ369" i="14609"/>
  <c r="CK369" i="14609"/>
  <c r="CL369" i="14609"/>
  <c r="CM369" i="14609"/>
  <c r="CN369" i="14609"/>
  <c r="CO369" i="14609"/>
  <c r="CP369" i="14609"/>
  <c r="CQ369" i="14609"/>
  <c r="CR369" i="14609"/>
  <c r="CS369" i="14609"/>
  <c r="CT369" i="14609"/>
  <c r="CU369" i="14609"/>
  <c r="CV369" i="14609"/>
  <c r="CW369" i="14609"/>
  <c r="CX369" i="14609"/>
  <c r="CY369" i="14609"/>
  <c r="CZ369" i="14609"/>
  <c r="DA369" i="14609"/>
  <c r="DB369" i="14609"/>
  <c r="DC369" i="14609"/>
  <c r="DD369" i="14609"/>
  <c r="DE369" i="14609"/>
  <c r="DF369" i="14609"/>
  <c r="DG369" i="14609"/>
  <c r="DH369" i="14609"/>
  <c r="DI369" i="14609"/>
  <c r="DJ369" i="14609"/>
  <c r="DK369" i="14609"/>
  <c r="DL369" i="14609"/>
  <c r="DM369" i="14609"/>
  <c r="DN369" i="14609"/>
  <c r="DO369" i="14609"/>
  <c r="DP369" i="14609"/>
  <c r="DQ369" i="14609"/>
  <c r="DR369" i="14609"/>
  <c r="DS369" i="14609"/>
  <c r="DT369" i="14609"/>
  <c r="DU369" i="14609"/>
  <c r="DV369" i="14609"/>
  <c r="DW369" i="14609"/>
  <c r="DX369" i="14609"/>
  <c r="DY369" i="14609"/>
  <c r="DZ369" i="14609"/>
  <c r="EA369" i="14609"/>
  <c r="EB369" i="14609"/>
  <c r="EC369" i="14609"/>
  <c r="ED369" i="14609"/>
  <c r="EE369" i="14609"/>
  <c r="EF369" i="14609"/>
  <c r="EG369" i="14609"/>
  <c r="EH369" i="14609"/>
  <c r="EI369" i="14609"/>
  <c r="EJ369" i="14609"/>
  <c r="EK369" i="14609"/>
  <c r="EL369" i="14609"/>
  <c r="EM369" i="14609"/>
  <c r="EN369" i="14609"/>
  <c r="EO369" i="14609"/>
  <c r="EP369" i="14609"/>
  <c r="EQ369" i="14609"/>
  <c r="ER369" i="14609"/>
  <c r="ES369" i="14609"/>
  <c r="ET369" i="14609"/>
  <c r="EU369" i="14609"/>
  <c r="EV369" i="14609"/>
  <c r="EW369" i="14609"/>
  <c r="EX369" i="14609"/>
  <c r="EY369" i="14609"/>
  <c r="EZ369" i="14609"/>
  <c r="FA369" i="14609"/>
  <c r="FB369" i="14609"/>
  <c r="FC369" i="14609"/>
  <c r="FD369" i="14609"/>
  <c r="FE369" i="14609"/>
  <c r="FF369" i="14609"/>
  <c r="FG369" i="14609"/>
  <c r="FH369" i="14609"/>
  <c r="FI369" i="14609"/>
  <c r="FJ369" i="14609"/>
  <c r="FK369" i="14609"/>
  <c r="FL369" i="14609"/>
  <c r="FM369" i="14609"/>
  <c r="FN369" i="14609"/>
  <c r="FO369" i="14609"/>
  <c r="FP369" i="14609"/>
  <c r="FQ369" i="14609"/>
  <c r="FR369" i="14609"/>
  <c r="FS369" i="14609"/>
  <c r="FT369" i="14609"/>
  <c r="FU369" i="14609"/>
  <c r="FV369" i="14609"/>
  <c r="FW369" i="14609"/>
  <c r="FX369" i="14609"/>
  <c r="FY369" i="14609"/>
  <c r="FZ369" i="14609"/>
  <c r="GA369" i="14609"/>
  <c r="GB369" i="14609"/>
  <c r="GC369" i="14609"/>
  <c r="GD369" i="14609"/>
  <c r="GE369" i="14609"/>
  <c r="GF369" i="14609"/>
  <c r="GG369" i="14609"/>
  <c r="GH369" i="14609"/>
  <c r="GI369" i="14609"/>
  <c r="GJ369" i="14609"/>
  <c r="GK369" i="14609"/>
  <c r="GL369" i="14609"/>
  <c r="GM369" i="14609"/>
  <c r="GN369" i="14609"/>
  <c r="GO369" i="14609"/>
  <c r="GP369" i="14609"/>
  <c r="GQ369" i="14609"/>
  <c r="GR369" i="14609"/>
  <c r="GS369" i="14609"/>
  <c r="GT369" i="14609"/>
  <c r="GU369" i="14609"/>
  <c r="GV369" i="14609"/>
  <c r="GW369" i="14609"/>
  <c r="GX369" i="14609"/>
  <c r="GY369" i="14609"/>
  <c r="GZ369" i="14609"/>
  <c r="HA369" i="14609"/>
  <c r="HB369" i="14609"/>
  <c r="HC369" i="14609"/>
  <c r="HD369" i="14609"/>
  <c r="HE369" i="14609"/>
  <c r="HF369" i="14609"/>
  <c r="HG369" i="14609"/>
  <c r="HH369" i="14609"/>
  <c r="HI369" i="14609"/>
  <c r="HJ369" i="14609"/>
  <c r="HK369" i="14609"/>
  <c r="HL369" i="14609"/>
  <c r="HM369" i="14609"/>
  <c r="HN369" i="14609"/>
  <c r="HO369" i="14609"/>
  <c r="HP369" i="14609"/>
  <c r="HQ369" i="14609"/>
  <c r="HR369" i="14609"/>
  <c r="HS369" i="14609"/>
  <c r="HT369" i="14609"/>
  <c r="HU369" i="14609"/>
  <c r="HV369" i="14609"/>
  <c r="HW369" i="14609"/>
  <c r="HX369" i="14609"/>
  <c r="HY369" i="14609"/>
  <c r="HZ369" i="14609"/>
  <c r="IA369" i="14609"/>
  <c r="IB369" i="14609"/>
  <c r="IC369" i="14609"/>
  <c r="ID369" i="14609"/>
  <c r="IE369" i="14609"/>
  <c r="IF369" i="14609"/>
  <c r="IG369" i="14609"/>
  <c r="IH369" i="14609"/>
  <c r="II369" i="14609"/>
  <c r="IJ369" i="14609"/>
  <c r="IK369" i="14609"/>
  <c r="IL369" i="14609"/>
  <c r="IM369" i="14609"/>
  <c r="IN369" i="14609"/>
  <c r="IO369" i="14609"/>
  <c r="IP369" i="14609"/>
  <c r="IQ369" i="14609"/>
  <c r="IR369" i="14609"/>
  <c r="IS369" i="14609"/>
  <c r="IT369" i="14609"/>
  <c r="IU369" i="14609"/>
  <c r="IV369" i="14609"/>
  <c r="A368" i="14609"/>
  <c r="B368" i="14609"/>
  <c r="C368" i="14609"/>
  <c r="D368" i="14609"/>
  <c r="E368" i="14609"/>
  <c r="F368" i="14609"/>
  <c r="G368" i="14609"/>
  <c r="H368" i="14609"/>
  <c r="I368" i="14609"/>
  <c r="J368" i="14609"/>
  <c r="K368" i="14609"/>
  <c r="L368" i="14609"/>
  <c r="M368" i="14609"/>
  <c r="N368" i="14609"/>
  <c r="O368" i="14609"/>
  <c r="P368" i="14609"/>
  <c r="Q368" i="14609"/>
  <c r="R368" i="14609"/>
  <c r="S368" i="14609"/>
  <c r="T368" i="14609"/>
  <c r="U368" i="14609"/>
  <c r="V368" i="14609"/>
  <c r="W368" i="14609"/>
  <c r="X368" i="14609"/>
  <c r="Y368" i="14609"/>
  <c r="Z368" i="14609"/>
  <c r="AA368" i="14609"/>
  <c r="AB368" i="14609"/>
  <c r="AC368" i="14609"/>
  <c r="AD368" i="14609"/>
  <c r="AE368" i="14609"/>
  <c r="AF368" i="14609"/>
  <c r="AG368" i="14609"/>
  <c r="AH368" i="14609"/>
  <c r="AI368" i="14609"/>
  <c r="AJ368" i="14609"/>
  <c r="AK368" i="14609"/>
  <c r="AL368" i="14609"/>
  <c r="AM368" i="14609"/>
  <c r="AN368" i="14609"/>
  <c r="AO368" i="14609"/>
  <c r="AP368" i="14609"/>
  <c r="AQ368" i="14609"/>
  <c r="AR368" i="14609"/>
  <c r="AS368" i="14609"/>
  <c r="AT368" i="14609"/>
  <c r="AU368" i="14609"/>
  <c r="AV368" i="14609"/>
  <c r="AW368" i="14609"/>
  <c r="AX368" i="14609"/>
  <c r="AY368" i="14609"/>
  <c r="AZ368" i="14609"/>
  <c r="BA368" i="14609"/>
  <c r="BB368" i="14609"/>
  <c r="BC368" i="14609"/>
  <c r="BD368" i="14609"/>
  <c r="BE368" i="14609"/>
  <c r="BF368" i="14609"/>
  <c r="BG368" i="14609"/>
  <c r="BH368" i="14609"/>
  <c r="BI368" i="14609"/>
  <c r="BJ368" i="14609"/>
  <c r="BK368" i="14609"/>
  <c r="BL368" i="14609"/>
  <c r="BM368" i="14609"/>
  <c r="BN368" i="14609"/>
  <c r="BO368" i="14609"/>
  <c r="BP368" i="14609"/>
  <c r="BQ368" i="14609"/>
  <c r="BR368" i="14609"/>
  <c r="BS368" i="14609"/>
  <c r="BT368" i="14609"/>
  <c r="BU368" i="14609"/>
  <c r="BV368" i="14609"/>
  <c r="BW368" i="14609"/>
  <c r="BX368" i="14609"/>
  <c r="BY368" i="14609"/>
  <c r="BZ368" i="14609"/>
  <c r="CA368" i="14609"/>
  <c r="CB368" i="14609"/>
  <c r="CC368" i="14609"/>
  <c r="CD368" i="14609"/>
  <c r="CE368" i="14609"/>
  <c r="CF368" i="14609"/>
  <c r="CG368" i="14609"/>
  <c r="CH368" i="14609"/>
  <c r="CI368" i="14609"/>
  <c r="CJ368" i="14609"/>
  <c r="CK368" i="14609"/>
  <c r="CL368" i="14609"/>
  <c r="CM368" i="14609"/>
  <c r="CN368" i="14609"/>
  <c r="CO368" i="14609"/>
  <c r="CP368" i="14609"/>
  <c r="CQ368" i="14609"/>
  <c r="CR368" i="14609"/>
  <c r="CS368" i="14609"/>
  <c r="CT368" i="14609"/>
  <c r="CU368" i="14609"/>
  <c r="CV368" i="14609"/>
  <c r="CW368" i="14609"/>
  <c r="CX368" i="14609"/>
  <c r="CY368" i="14609"/>
  <c r="CZ368" i="14609"/>
  <c r="DA368" i="14609"/>
  <c r="DB368" i="14609"/>
  <c r="DC368" i="14609"/>
  <c r="DD368" i="14609"/>
  <c r="DE368" i="14609"/>
  <c r="DF368" i="14609"/>
  <c r="DG368" i="14609"/>
  <c r="DH368" i="14609"/>
  <c r="DI368" i="14609"/>
  <c r="DJ368" i="14609"/>
  <c r="DK368" i="14609"/>
  <c r="DL368" i="14609"/>
  <c r="DM368" i="14609"/>
  <c r="DN368" i="14609"/>
  <c r="DO368" i="14609"/>
  <c r="DP368" i="14609"/>
  <c r="DQ368" i="14609"/>
  <c r="DR368" i="14609"/>
  <c r="DS368" i="14609"/>
  <c r="DT368" i="14609"/>
  <c r="DU368" i="14609"/>
  <c r="DV368" i="14609"/>
  <c r="DW368" i="14609"/>
  <c r="DX368" i="14609"/>
  <c r="DY368" i="14609"/>
  <c r="DZ368" i="14609"/>
  <c r="EA368" i="14609"/>
  <c r="EB368" i="14609"/>
  <c r="EC368" i="14609"/>
  <c r="ED368" i="14609"/>
  <c r="EE368" i="14609"/>
  <c r="EF368" i="14609"/>
  <c r="EG368" i="14609"/>
  <c r="EH368" i="14609"/>
  <c r="EI368" i="14609"/>
  <c r="EJ368" i="14609"/>
  <c r="EK368" i="14609"/>
  <c r="EL368" i="14609"/>
  <c r="EM368" i="14609"/>
  <c r="EN368" i="14609"/>
  <c r="EO368" i="14609"/>
  <c r="EP368" i="14609"/>
  <c r="EQ368" i="14609"/>
  <c r="ER368" i="14609"/>
  <c r="ES368" i="14609"/>
  <c r="ET368" i="14609"/>
  <c r="EU368" i="14609"/>
  <c r="EV368" i="14609"/>
  <c r="EW368" i="14609"/>
  <c r="EX368" i="14609"/>
  <c r="EY368" i="14609"/>
  <c r="EZ368" i="14609"/>
  <c r="FA368" i="14609"/>
  <c r="FB368" i="14609"/>
  <c r="FC368" i="14609"/>
  <c r="FD368" i="14609"/>
  <c r="FE368" i="14609"/>
  <c r="FF368" i="14609"/>
  <c r="FG368" i="14609"/>
  <c r="FH368" i="14609"/>
  <c r="FI368" i="14609"/>
  <c r="FJ368" i="14609"/>
  <c r="FK368" i="14609"/>
  <c r="FL368" i="14609"/>
  <c r="FM368" i="14609"/>
  <c r="FN368" i="14609"/>
  <c r="FO368" i="14609"/>
  <c r="FP368" i="14609"/>
  <c r="FQ368" i="14609"/>
  <c r="FR368" i="14609"/>
  <c r="FS368" i="14609"/>
  <c r="FT368" i="14609"/>
  <c r="FU368" i="14609"/>
  <c r="FV368" i="14609"/>
  <c r="FW368" i="14609"/>
  <c r="FX368" i="14609"/>
  <c r="FY368" i="14609"/>
  <c r="FZ368" i="14609"/>
  <c r="GA368" i="14609"/>
  <c r="GB368" i="14609"/>
  <c r="GC368" i="14609"/>
  <c r="GD368" i="14609"/>
  <c r="GE368" i="14609"/>
  <c r="GF368" i="14609"/>
  <c r="GG368" i="14609"/>
  <c r="GH368" i="14609"/>
  <c r="GI368" i="14609"/>
  <c r="GJ368" i="14609"/>
  <c r="GK368" i="14609"/>
  <c r="GL368" i="14609"/>
  <c r="GM368" i="14609"/>
  <c r="GN368" i="14609"/>
  <c r="GO368" i="14609"/>
  <c r="GP368" i="14609"/>
  <c r="GQ368" i="14609"/>
  <c r="GR368" i="14609"/>
  <c r="GS368" i="14609"/>
  <c r="GT368" i="14609"/>
  <c r="GU368" i="14609"/>
  <c r="GV368" i="14609"/>
  <c r="GW368" i="14609"/>
  <c r="GX368" i="14609"/>
  <c r="GY368" i="14609"/>
  <c r="GZ368" i="14609"/>
  <c r="HA368" i="14609"/>
  <c r="HB368" i="14609"/>
  <c r="HC368" i="14609"/>
  <c r="HD368" i="14609"/>
  <c r="HE368" i="14609"/>
  <c r="HF368" i="14609"/>
  <c r="HG368" i="14609"/>
  <c r="HH368" i="14609"/>
  <c r="HI368" i="14609"/>
  <c r="HJ368" i="14609"/>
  <c r="HK368" i="14609"/>
  <c r="HL368" i="14609"/>
  <c r="HM368" i="14609"/>
  <c r="HN368" i="14609"/>
  <c r="HO368" i="14609"/>
  <c r="HP368" i="14609"/>
  <c r="HQ368" i="14609"/>
  <c r="HR368" i="14609"/>
  <c r="HS368" i="14609"/>
  <c r="HT368" i="14609"/>
  <c r="HU368" i="14609"/>
  <c r="HV368" i="14609"/>
  <c r="HW368" i="14609"/>
  <c r="HX368" i="14609"/>
  <c r="HY368" i="14609"/>
  <c r="HZ368" i="14609"/>
  <c r="IA368" i="14609"/>
  <c r="IB368" i="14609"/>
  <c r="IC368" i="14609"/>
  <c r="ID368" i="14609"/>
  <c r="IE368" i="14609"/>
  <c r="IF368" i="14609"/>
  <c r="IG368" i="14609"/>
  <c r="IH368" i="14609"/>
  <c r="II368" i="14609"/>
  <c r="IJ368" i="14609"/>
  <c r="IK368" i="14609"/>
  <c r="IL368" i="14609"/>
  <c r="IM368" i="14609"/>
  <c r="IN368" i="14609"/>
  <c r="IO368" i="14609"/>
  <c r="IP368" i="14609"/>
  <c r="IQ368" i="14609"/>
  <c r="IR368" i="14609"/>
  <c r="IS368" i="14609"/>
  <c r="IT368" i="14609"/>
  <c r="IU368" i="14609"/>
  <c r="IV368" i="14609"/>
  <c r="A367" i="14609"/>
  <c r="B367" i="14609"/>
  <c r="C367" i="14609"/>
  <c r="D367" i="14609"/>
  <c r="E367" i="14609"/>
  <c r="F367" i="14609"/>
  <c r="G367" i="14609"/>
  <c r="H367" i="14609"/>
  <c r="I367" i="14609"/>
  <c r="J367" i="14609"/>
  <c r="K367" i="14609"/>
  <c r="L367" i="14609"/>
  <c r="M367" i="14609"/>
  <c r="N367" i="14609"/>
  <c r="O367" i="14609"/>
  <c r="P367" i="14609"/>
  <c r="Q367" i="14609"/>
  <c r="R367" i="14609"/>
  <c r="S367" i="14609"/>
  <c r="T367" i="14609"/>
  <c r="U367" i="14609"/>
  <c r="V367" i="14609"/>
  <c r="W367" i="14609"/>
  <c r="X367" i="14609"/>
  <c r="Y367" i="14609"/>
  <c r="Z367" i="14609"/>
  <c r="AA367" i="14609"/>
  <c r="AB367" i="14609"/>
  <c r="AC367" i="14609"/>
  <c r="AD367" i="14609"/>
  <c r="AE367" i="14609"/>
  <c r="AF367" i="14609"/>
  <c r="AG367" i="14609"/>
  <c r="AH367" i="14609"/>
  <c r="AI367" i="14609"/>
  <c r="AJ367" i="14609"/>
  <c r="AK367" i="14609"/>
  <c r="AL367" i="14609"/>
  <c r="AM367" i="14609"/>
  <c r="AN367" i="14609"/>
  <c r="AO367" i="14609"/>
  <c r="AP367" i="14609"/>
  <c r="AQ367" i="14609"/>
  <c r="AR367" i="14609"/>
  <c r="AS367" i="14609"/>
  <c r="AT367" i="14609"/>
  <c r="AU367" i="14609"/>
  <c r="AV367" i="14609"/>
  <c r="AW367" i="14609"/>
  <c r="AX367" i="14609"/>
  <c r="AY367" i="14609"/>
  <c r="AZ367" i="14609"/>
  <c r="BA367" i="14609"/>
  <c r="BB367" i="14609"/>
  <c r="BC367" i="14609"/>
  <c r="BD367" i="14609"/>
  <c r="BE367" i="14609"/>
  <c r="BF367" i="14609"/>
  <c r="BG367" i="14609"/>
  <c r="BH367" i="14609"/>
  <c r="BI367" i="14609"/>
  <c r="BJ367" i="14609"/>
  <c r="BK367" i="14609"/>
  <c r="BL367" i="14609"/>
  <c r="BM367" i="14609"/>
  <c r="BN367" i="14609"/>
  <c r="BO367" i="14609"/>
  <c r="BP367" i="14609"/>
  <c r="BQ367" i="14609"/>
  <c r="BR367" i="14609"/>
  <c r="BS367" i="14609"/>
  <c r="BT367" i="14609"/>
  <c r="BU367" i="14609"/>
  <c r="BV367" i="14609"/>
  <c r="BW367" i="14609"/>
  <c r="BX367" i="14609"/>
  <c r="BY367" i="14609"/>
  <c r="BZ367" i="14609"/>
  <c r="CA367" i="14609"/>
  <c r="CB367" i="14609"/>
  <c r="CC367" i="14609"/>
  <c r="CD367" i="14609"/>
  <c r="CE367" i="14609"/>
  <c r="CF367" i="14609"/>
  <c r="CG367" i="14609"/>
  <c r="CH367" i="14609"/>
  <c r="CI367" i="14609"/>
  <c r="CJ367" i="14609"/>
  <c r="CK367" i="14609"/>
  <c r="CL367" i="14609"/>
  <c r="CM367" i="14609"/>
  <c r="CN367" i="14609"/>
  <c r="CO367" i="14609"/>
  <c r="CP367" i="14609"/>
  <c r="CQ367" i="14609"/>
  <c r="CR367" i="14609"/>
  <c r="CS367" i="14609"/>
  <c r="CT367" i="14609"/>
  <c r="CU367" i="14609"/>
  <c r="CV367" i="14609"/>
  <c r="CW367" i="14609"/>
  <c r="CX367" i="14609"/>
  <c r="CY367" i="14609"/>
  <c r="CZ367" i="14609"/>
  <c r="DA367" i="14609"/>
  <c r="DB367" i="14609"/>
  <c r="DC367" i="14609"/>
  <c r="DD367" i="14609"/>
  <c r="DE367" i="14609"/>
  <c r="DF367" i="14609"/>
  <c r="DG367" i="14609"/>
  <c r="DH367" i="14609"/>
  <c r="DI367" i="14609"/>
  <c r="DJ367" i="14609"/>
  <c r="DK367" i="14609"/>
  <c r="DL367" i="14609"/>
  <c r="DM367" i="14609"/>
  <c r="DN367" i="14609"/>
  <c r="DO367" i="14609"/>
  <c r="DP367" i="14609"/>
  <c r="DQ367" i="14609"/>
  <c r="DR367" i="14609"/>
  <c r="DS367" i="14609"/>
  <c r="DT367" i="14609"/>
  <c r="DU367" i="14609"/>
  <c r="DV367" i="14609"/>
  <c r="DW367" i="14609"/>
  <c r="DX367" i="14609"/>
  <c r="DY367" i="14609"/>
  <c r="DZ367" i="14609"/>
  <c r="EA367" i="14609"/>
  <c r="EB367" i="14609"/>
  <c r="EC367" i="14609"/>
  <c r="ED367" i="14609"/>
  <c r="EE367" i="14609"/>
  <c r="EF367" i="14609"/>
  <c r="EG367" i="14609"/>
  <c r="EH367" i="14609"/>
  <c r="EI367" i="14609"/>
  <c r="EJ367" i="14609"/>
  <c r="EK367" i="14609"/>
  <c r="EL367" i="14609"/>
  <c r="EM367" i="14609"/>
  <c r="EN367" i="14609"/>
  <c r="EO367" i="14609"/>
  <c r="EP367" i="14609"/>
  <c r="EQ367" i="14609"/>
  <c r="ER367" i="14609"/>
  <c r="ES367" i="14609"/>
  <c r="ET367" i="14609"/>
  <c r="EU367" i="14609"/>
  <c r="EV367" i="14609"/>
  <c r="EW367" i="14609"/>
  <c r="EX367" i="14609"/>
  <c r="EY367" i="14609"/>
  <c r="EZ367" i="14609"/>
  <c r="FA367" i="14609"/>
  <c r="FB367" i="14609"/>
  <c r="FC367" i="14609"/>
  <c r="FD367" i="14609"/>
  <c r="FE367" i="14609"/>
  <c r="FF367" i="14609"/>
  <c r="FG367" i="14609"/>
  <c r="FH367" i="14609"/>
  <c r="FI367" i="14609"/>
  <c r="FJ367" i="14609"/>
  <c r="FK367" i="14609"/>
  <c r="FL367" i="14609"/>
  <c r="FM367" i="14609"/>
  <c r="FN367" i="14609"/>
  <c r="FO367" i="14609"/>
  <c r="FP367" i="14609"/>
  <c r="FQ367" i="14609"/>
  <c r="FR367" i="14609"/>
  <c r="FS367" i="14609"/>
  <c r="FT367" i="14609"/>
  <c r="FU367" i="14609"/>
  <c r="FV367" i="14609"/>
  <c r="FW367" i="14609"/>
  <c r="FX367" i="14609"/>
  <c r="FY367" i="14609"/>
  <c r="FZ367" i="14609"/>
  <c r="GA367" i="14609"/>
  <c r="GB367" i="14609"/>
  <c r="GC367" i="14609"/>
  <c r="GD367" i="14609"/>
  <c r="GE367" i="14609"/>
  <c r="GF367" i="14609"/>
  <c r="GG367" i="14609"/>
  <c r="GH367" i="14609"/>
  <c r="GI367" i="14609"/>
  <c r="GJ367" i="14609"/>
  <c r="GK367" i="14609"/>
  <c r="GL367" i="14609"/>
  <c r="GM367" i="14609"/>
  <c r="GN367" i="14609"/>
  <c r="GO367" i="14609"/>
  <c r="GP367" i="14609"/>
  <c r="GQ367" i="14609"/>
  <c r="GR367" i="14609"/>
  <c r="GS367" i="14609"/>
  <c r="GT367" i="14609"/>
  <c r="GU367" i="14609"/>
  <c r="GV367" i="14609"/>
  <c r="GW367" i="14609"/>
  <c r="GX367" i="14609"/>
  <c r="GY367" i="14609"/>
  <c r="GZ367" i="14609"/>
  <c r="HA367" i="14609"/>
  <c r="HB367" i="14609"/>
  <c r="HC367" i="14609"/>
  <c r="HD367" i="14609"/>
  <c r="HE367" i="14609"/>
  <c r="HF367" i="14609"/>
  <c r="HG367" i="14609"/>
  <c r="HH367" i="14609"/>
  <c r="HI367" i="14609"/>
  <c r="HJ367" i="14609"/>
  <c r="HK367" i="14609"/>
  <c r="HL367" i="14609"/>
  <c r="HM367" i="14609"/>
  <c r="HN367" i="14609"/>
  <c r="HO367" i="14609"/>
  <c r="HP367" i="14609"/>
  <c r="HQ367" i="14609"/>
  <c r="HR367" i="14609"/>
  <c r="HS367" i="14609"/>
  <c r="HT367" i="14609"/>
  <c r="HU367" i="14609"/>
  <c r="HV367" i="14609"/>
  <c r="HW367" i="14609"/>
  <c r="HX367" i="14609"/>
  <c r="HY367" i="14609"/>
  <c r="HZ367" i="14609"/>
  <c r="IA367" i="14609"/>
  <c r="IB367" i="14609"/>
  <c r="IC367" i="14609"/>
  <c r="ID367" i="14609"/>
  <c r="IE367" i="14609"/>
  <c r="IF367" i="14609"/>
  <c r="IG367" i="14609"/>
  <c r="IH367" i="14609"/>
  <c r="II367" i="14609"/>
  <c r="IJ367" i="14609"/>
  <c r="IK367" i="14609"/>
  <c r="IL367" i="14609"/>
  <c r="IM367" i="14609"/>
  <c r="IN367" i="14609"/>
  <c r="IO367" i="14609"/>
  <c r="IP367" i="14609"/>
  <c r="IQ367" i="14609"/>
  <c r="IR367" i="14609"/>
  <c r="IS367" i="14609"/>
  <c r="IT367" i="14609"/>
  <c r="IU367" i="14609"/>
  <c r="IV367" i="14609"/>
  <c r="A366" i="14609"/>
  <c r="B366" i="14609"/>
  <c r="C366" i="14609"/>
  <c r="D366" i="14609"/>
  <c r="E366" i="14609"/>
  <c r="F366" i="14609"/>
  <c r="G366" i="14609"/>
  <c r="H366" i="14609"/>
  <c r="I366" i="14609"/>
  <c r="J366" i="14609"/>
  <c r="K366" i="14609"/>
  <c r="L366" i="14609"/>
  <c r="M366" i="14609"/>
  <c r="N366" i="14609"/>
  <c r="O366" i="14609"/>
  <c r="P366" i="14609"/>
  <c r="Q366" i="14609"/>
  <c r="R366" i="14609"/>
  <c r="S366" i="14609"/>
  <c r="T366" i="14609"/>
  <c r="U366" i="14609"/>
  <c r="V366" i="14609"/>
  <c r="W366" i="14609"/>
  <c r="X366" i="14609"/>
  <c r="Y366" i="14609"/>
  <c r="Z366" i="14609"/>
  <c r="AA366" i="14609"/>
  <c r="AB366" i="14609"/>
  <c r="AC366" i="14609"/>
  <c r="AD366" i="14609"/>
  <c r="AE366" i="14609"/>
  <c r="AF366" i="14609"/>
  <c r="AG366" i="14609"/>
  <c r="AH366" i="14609"/>
  <c r="AI366" i="14609"/>
  <c r="AJ366" i="14609"/>
  <c r="AK366" i="14609"/>
  <c r="AL366" i="14609"/>
  <c r="AM366" i="14609"/>
  <c r="AN366" i="14609"/>
  <c r="AO366" i="14609"/>
  <c r="AP366" i="14609"/>
  <c r="AQ366" i="14609"/>
  <c r="AR366" i="14609"/>
  <c r="AS366" i="14609"/>
  <c r="AT366" i="14609"/>
  <c r="AU366" i="14609"/>
  <c r="AV366" i="14609"/>
  <c r="AW366" i="14609"/>
  <c r="AX366" i="14609"/>
  <c r="AY366" i="14609"/>
  <c r="AZ366" i="14609"/>
  <c r="BA366" i="14609"/>
  <c r="BB366" i="14609"/>
  <c r="BC366" i="14609"/>
  <c r="BD366" i="14609"/>
  <c r="BE366" i="14609"/>
  <c r="BF366" i="14609"/>
  <c r="BG366" i="14609"/>
  <c r="BH366" i="14609"/>
  <c r="BI366" i="14609"/>
  <c r="BJ366" i="14609"/>
  <c r="BK366" i="14609"/>
  <c r="BL366" i="14609"/>
  <c r="BM366" i="14609"/>
  <c r="BN366" i="14609"/>
  <c r="BO366" i="14609"/>
  <c r="BP366" i="14609"/>
  <c r="BQ366" i="14609"/>
  <c r="BR366" i="14609"/>
  <c r="BS366" i="14609"/>
  <c r="BT366" i="14609"/>
  <c r="BU366" i="14609"/>
  <c r="BV366" i="14609"/>
  <c r="BW366" i="14609"/>
  <c r="BX366" i="14609"/>
  <c r="BY366" i="14609"/>
  <c r="BZ366" i="14609"/>
  <c r="CA366" i="14609"/>
  <c r="CB366" i="14609"/>
  <c r="CC366" i="14609"/>
  <c r="CD366" i="14609"/>
  <c r="CE366" i="14609"/>
  <c r="CF366" i="14609"/>
  <c r="CG366" i="14609"/>
  <c r="CH366" i="14609"/>
  <c r="CI366" i="14609"/>
  <c r="CJ366" i="14609"/>
  <c r="CK366" i="14609"/>
  <c r="CL366" i="14609"/>
  <c r="CM366" i="14609"/>
  <c r="CN366" i="14609"/>
  <c r="CO366" i="14609"/>
  <c r="CP366" i="14609"/>
  <c r="CQ366" i="14609"/>
  <c r="CR366" i="14609"/>
  <c r="CS366" i="14609"/>
  <c r="CT366" i="14609"/>
  <c r="CU366" i="14609"/>
  <c r="CV366" i="14609"/>
  <c r="CW366" i="14609"/>
  <c r="CX366" i="14609"/>
  <c r="CY366" i="14609"/>
  <c r="CZ366" i="14609"/>
  <c r="DA366" i="14609"/>
  <c r="DB366" i="14609"/>
  <c r="DC366" i="14609"/>
  <c r="DD366" i="14609"/>
  <c r="DE366" i="14609"/>
  <c r="DF366" i="14609"/>
  <c r="DG366" i="14609"/>
  <c r="DH366" i="14609"/>
  <c r="DI366" i="14609"/>
  <c r="DJ366" i="14609"/>
  <c r="DK366" i="14609"/>
  <c r="DL366" i="14609"/>
  <c r="DM366" i="14609"/>
  <c r="DN366" i="14609"/>
  <c r="DO366" i="14609"/>
  <c r="DP366" i="14609"/>
  <c r="DQ366" i="14609"/>
  <c r="DR366" i="14609"/>
  <c r="DS366" i="14609"/>
  <c r="DT366" i="14609"/>
  <c r="DU366" i="14609"/>
  <c r="DV366" i="14609"/>
  <c r="DW366" i="14609"/>
  <c r="DX366" i="14609"/>
  <c r="DY366" i="14609"/>
  <c r="DZ366" i="14609"/>
  <c r="EA366" i="14609"/>
  <c r="EB366" i="14609"/>
  <c r="EC366" i="14609"/>
  <c r="ED366" i="14609"/>
  <c r="EE366" i="14609"/>
  <c r="EF366" i="14609"/>
  <c r="EG366" i="14609"/>
  <c r="EH366" i="14609"/>
  <c r="EI366" i="14609"/>
  <c r="EJ366" i="14609"/>
  <c r="EK366" i="14609"/>
  <c r="EL366" i="14609"/>
  <c r="EM366" i="14609"/>
  <c r="EN366" i="14609"/>
  <c r="EO366" i="14609"/>
  <c r="EP366" i="14609"/>
  <c r="EQ366" i="14609"/>
  <c r="ER366" i="14609"/>
  <c r="ES366" i="14609"/>
  <c r="ET366" i="14609"/>
  <c r="EU366" i="14609"/>
  <c r="EV366" i="14609"/>
  <c r="EW366" i="14609"/>
  <c r="EX366" i="14609"/>
  <c r="EY366" i="14609"/>
  <c r="EZ366" i="14609"/>
  <c r="FA366" i="14609"/>
  <c r="FB366" i="14609"/>
  <c r="FC366" i="14609"/>
  <c r="FD366" i="14609"/>
  <c r="FE366" i="14609"/>
  <c r="FF366" i="14609"/>
  <c r="FG366" i="14609"/>
  <c r="FH366" i="14609"/>
  <c r="FI366" i="14609"/>
  <c r="FJ366" i="14609"/>
  <c r="FK366" i="14609"/>
  <c r="FL366" i="14609"/>
  <c r="FM366" i="14609"/>
  <c r="FN366" i="14609"/>
  <c r="FO366" i="14609"/>
  <c r="FP366" i="14609"/>
  <c r="FQ366" i="14609"/>
  <c r="FR366" i="14609"/>
  <c r="FS366" i="14609"/>
  <c r="FT366" i="14609"/>
  <c r="FU366" i="14609"/>
  <c r="FV366" i="14609"/>
  <c r="FW366" i="14609"/>
  <c r="FX366" i="14609"/>
  <c r="FY366" i="14609"/>
  <c r="FZ366" i="14609"/>
  <c r="GA366" i="14609"/>
  <c r="GB366" i="14609"/>
  <c r="GC366" i="14609"/>
  <c r="GD366" i="14609"/>
  <c r="GE366" i="14609"/>
  <c r="GF366" i="14609"/>
  <c r="GG366" i="14609"/>
  <c r="GH366" i="14609"/>
  <c r="GI366" i="14609"/>
  <c r="GJ366" i="14609"/>
  <c r="GK366" i="14609"/>
  <c r="GL366" i="14609"/>
  <c r="GM366" i="14609"/>
  <c r="GN366" i="14609"/>
  <c r="GO366" i="14609"/>
  <c r="GP366" i="14609"/>
  <c r="GQ366" i="14609"/>
  <c r="GR366" i="14609"/>
  <c r="GS366" i="14609"/>
  <c r="GT366" i="14609"/>
  <c r="GU366" i="14609"/>
  <c r="GV366" i="14609"/>
  <c r="GW366" i="14609"/>
  <c r="GX366" i="14609"/>
  <c r="GY366" i="14609"/>
  <c r="GZ366" i="14609"/>
  <c r="HA366" i="14609"/>
  <c r="HB366" i="14609"/>
  <c r="HC366" i="14609"/>
  <c r="HD366" i="14609"/>
  <c r="HE366" i="14609"/>
  <c r="HF366" i="14609"/>
  <c r="HG366" i="14609"/>
  <c r="HH366" i="14609"/>
  <c r="HI366" i="14609"/>
  <c r="HJ366" i="14609"/>
  <c r="HK366" i="14609"/>
  <c r="HL366" i="14609"/>
  <c r="HM366" i="14609"/>
  <c r="HN366" i="14609"/>
  <c r="HO366" i="14609"/>
  <c r="HP366" i="14609"/>
  <c r="HQ366" i="14609"/>
  <c r="HR366" i="14609"/>
  <c r="HS366" i="14609"/>
  <c r="HT366" i="14609"/>
  <c r="HU366" i="14609"/>
  <c r="HV366" i="14609"/>
  <c r="HW366" i="14609"/>
  <c r="HX366" i="14609"/>
  <c r="HY366" i="14609"/>
  <c r="HZ366" i="14609"/>
  <c r="IA366" i="14609"/>
  <c r="IB366" i="14609"/>
  <c r="IC366" i="14609"/>
  <c r="ID366" i="14609"/>
  <c r="IE366" i="14609"/>
  <c r="IF366" i="14609"/>
  <c r="IG366" i="14609"/>
  <c r="IH366" i="14609"/>
  <c r="II366" i="14609"/>
  <c r="IJ366" i="14609"/>
  <c r="IK366" i="14609"/>
  <c r="IL366" i="14609"/>
  <c r="IM366" i="14609"/>
  <c r="IN366" i="14609"/>
  <c r="IO366" i="14609"/>
  <c r="IP366" i="14609"/>
  <c r="IQ366" i="14609"/>
  <c r="IR366" i="14609"/>
  <c r="IS366" i="14609"/>
  <c r="IT366" i="14609"/>
  <c r="IU366" i="14609"/>
  <c r="IV366" i="14609"/>
  <c r="A365" i="14609"/>
  <c r="B365" i="14609"/>
  <c r="C365" i="14609"/>
  <c r="D365" i="14609"/>
  <c r="E365" i="14609"/>
  <c r="F365" i="14609"/>
  <c r="G365" i="14609"/>
  <c r="H365" i="14609"/>
  <c r="I365" i="14609"/>
  <c r="J365" i="14609"/>
  <c r="K365" i="14609"/>
  <c r="L365" i="14609"/>
  <c r="M365" i="14609"/>
  <c r="N365" i="14609"/>
  <c r="O365" i="14609"/>
  <c r="P365" i="14609"/>
  <c r="Q365" i="14609"/>
  <c r="R365" i="14609"/>
  <c r="S365" i="14609"/>
  <c r="T365" i="14609"/>
  <c r="U365" i="14609"/>
  <c r="V365" i="14609"/>
  <c r="W365" i="14609"/>
  <c r="X365" i="14609"/>
  <c r="Y365" i="14609"/>
  <c r="Z365" i="14609"/>
  <c r="AA365" i="14609"/>
  <c r="AB365" i="14609"/>
  <c r="AC365" i="14609"/>
  <c r="AD365" i="14609"/>
  <c r="AE365" i="14609"/>
  <c r="AF365" i="14609"/>
  <c r="AG365" i="14609"/>
  <c r="AH365" i="14609"/>
  <c r="AI365" i="14609"/>
  <c r="AJ365" i="14609"/>
  <c r="AK365" i="14609"/>
  <c r="AL365" i="14609"/>
  <c r="AM365" i="14609"/>
  <c r="AN365" i="14609"/>
  <c r="AO365" i="14609"/>
  <c r="AP365" i="14609"/>
  <c r="AQ365" i="14609"/>
  <c r="AR365" i="14609"/>
  <c r="AS365" i="14609"/>
  <c r="AT365" i="14609"/>
  <c r="AU365" i="14609"/>
  <c r="AV365" i="14609"/>
  <c r="AW365" i="14609"/>
  <c r="AX365" i="14609"/>
  <c r="AY365" i="14609"/>
  <c r="AZ365" i="14609"/>
  <c r="BA365" i="14609"/>
  <c r="BB365" i="14609"/>
  <c r="BC365" i="14609"/>
  <c r="BD365" i="14609"/>
  <c r="BE365" i="14609"/>
  <c r="BF365" i="14609"/>
  <c r="BG365" i="14609"/>
  <c r="BH365" i="14609"/>
  <c r="BI365" i="14609"/>
  <c r="BJ365" i="14609"/>
  <c r="BK365" i="14609"/>
  <c r="BL365" i="14609"/>
  <c r="BM365" i="14609"/>
  <c r="BN365" i="14609"/>
  <c r="BO365" i="14609"/>
  <c r="BP365" i="14609"/>
  <c r="BQ365" i="14609"/>
  <c r="BR365" i="14609"/>
  <c r="BS365" i="14609"/>
  <c r="BT365" i="14609"/>
  <c r="BU365" i="14609"/>
  <c r="BV365" i="14609"/>
  <c r="BW365" i="14609"/>
  <c r="BX365" i="14609"/>
  <c r="BY365" i="14609"/>
  <c r="BZ365" i="14609"/>
  <c r="CA365" i="14609"/>
  <c r="CB365" i="14609"/>
  <c r="CC365" i="14609"/>
  <c r="CD365" i="14609"/>
  <c r="CE365" i="14609"/>
  <c r="CF365" i="14609"/>
  <c r="CG365" i="14609"/>
  <c r="CH365" i="14609"/>
  <c r="CI365" i="14609"/>
  <c r="CJ365" i="14609"/>
  <c r="CK365" i="14609"/>
  <c r="CL365" i="14609"/>
  <c r="CM365" i="14609"/>
  <c r="CN365" i="14609"/>
  <c r="CO365" i="14609"/>
  <c r="CP365" i="14609"/>
  <c r="CQ365" i="14609"/>
  <c r="CR365" i="14609"/>
  <c r="CS365" i="14609"/>
  <c r="CT365" i="14609"/>
  <c r="CU365" i="14609"/>
  <c r="CV365" i="14609"/>
  <c r="CW365" i="14609"/>
  <c r="CX365" i="14609"/>
  <c r="CY365" i="14609"/>
  <c r="CZ365" i="14609"/>
  <c r="DA365" i="14609"/>
  <c r="DB365" i="14609"/>
  <c r="DC365" i="14609"/>
  <c r="DD365" i="14609"/>
  <c r="DE365" i="14609"/>
  <c r="DF365" i="14609"/>
  <c r="DG365" i="14609"/>
  <c r="DH365" i="14609"/>
  <c r="DI365" i="14609"/>
  <c r="DJ365" i="14609"/>
  <c r="DK365" i="14609"/>
  <c r="DL365" i="14609"/>
  <c r="DM365" i="14609"/>
  <c r="DN365" i="14609"/>
  <c r="DO365" i="14609"/>
  <c r="DP365" i="14609"/>
  <c r="DQ365" i="14609"/>
  <c r="DR365" i="14609"/>
  <c r="DS365" i="14609"/>
  <c r="DT365" i="14609"/>
  <c r="DU365" i="14609"/>
  <c r="DV365" i="14609"/>
  <c r="DW365" i="14609"/>
  <c r="DX365" i="14609"/>
  <c r="DY365" i="14609"/>
  <c r="DZ365" i="14609"/>
  <c r="EA365" i="14609"/>
  <c r="EB365" i="14609"/>
  <c r="EC365" i="14609"/>
  <c r="ED365" i="14609"/>
  <c r="EE365" i="14609"/>
  <c r="EF365" i="14609"/>
  <c r="EG365" i="14609"/>
  <c r="EH365" i="14609"/>
  <c r="EI365" i="14609"/>
  <c r="EJ365" i="14609"/>
  <c r="EK365" i="14609"/>
  <c r="EL365" i="14609"/>
  <c r="EM365" i="14609"/>
  <c r="EN365" i="14609"/>
  <c r="EO365" i="14609"/>
  <c r="EP365" i="14609"/>
  <c r="EQ365" i="14609"/>
  <c r="ER365" i="14609"/>
  <c r="ES365" i="14609"/>
  <c r="ET365" i="14609"/>
  <c r="EU365" i="14609"/>
  <c r="EV365" i="14609"/>
  <c r="EW365" i="14609"/>
  <c r="EX365" i="14609"/>
  <c r="EY365" i="14609"/>
  <c r="EZ365" i="14609"/>
  <c r="FA365" i="14609"/>
  <c r="FB365" i="14609"/>
  <c r="FC365" i="14609"/>
  <c r="FD365" i="14609"/>
  <c r="FE365" i="14609"/>
  <c r="FF365" i="14609"/>
  <c r="FG365" i="14609"/>
  <c r="FH365" i="14609"/>
  <c r="FI365" i="14609"/>
  <c r="FJ365" i="14609"/>
  <c r="FK365" i="14609"/>
  <c r="FL365" i="14609"/>
  <c r="FM365" i="14609"/>
  <c r="FN365" i="14609"/>
  <c r="FO365" i="14609"/>
  <c r="FP365" i="14609"/>
  <c r="FQ365" i="14609"/>
  <c r="FR365" i="14609"/>
  <c r="FS365" i="14609"/>
  <c r="FT365" i="14609"/>
  <c r="FU365" i="14609"/>
  <c r="FV365" i="14609"/>
  <c r="FW365" i="14609"/>
  <c r="FX365" i="14609"/>
  <c r="FY365" i="14609"/>
  <c r="FZ365" i="14609"/>
  <c r="GA365" i="14609"/>
  <c r="GB365" i="14609"/>
  <c r="GC365" i="14609"/>
  <c r="GD365" i="14609"/>
  <c r="GE365" i="14609"/>
  <c r="GF365" i="14609"/>
  <c r="GG365" i="14609"/>
  <c r="GH365" i="14609"/>
  <c r="GI365" i="14609"/>
  <c r="GJ365" i="14609"/>
  <c r="GK365" i="14609"/>
  <c r="GL365" i="14609"/>
  <c r="GM365" i="14609"/>
  <c r="GN365" i="14609"/>
  <c r="GO365" i="14609"/>
  <c r="GP365" i="14609"/>
  <c r="GQ365" i="14609"/>
  <c r="GR365" i="14609"/>
  <c r="GS365" i="14609"/>
  <c r="GT365" i="14609"/>
  <c r="GU365" i="14609"/>
  <c r="GV365" i="14609"/>
  <c r="GW365" i="14609"/>
  <c r="GX365" i="14609"/>
  <c r="GY365" i="14609"/>
  <c r="GZ365" i="14609"/>
  <c r="HA365" i="14609"/>
  <c r="HB365" i="14609"/>
  <c r="HC365" i="14609"/>
  <c r="HD365" i="14609"/>
  <c r="HE365" i="14609"/>
  <c r="HF365" i="14609"/>
  <c r="HG365" i="14609"/>
  <c r="HH365" i="14609"/>
  <c r="HI365" i="14609"/>
  <c r="HJ365" i="14609"/>
  <c r="HK365" i="14609"/>
  <c r="HL365" i="14609"/>
  <c r="HM365" i="14609"/>
  <c r="HN365" i="14609"/>
  <c r="HO365" i="14609"/>
  <c r="HP365" i="14609"/>
  <c r="HQ365" i="14609"/>
  <c r="HR365" i="14609"/>
  <c r="HS365" i="14609"/>
  <c r="HT365" i="14609"/>
  <c r="HU365" i="14609"/>
  <c r="HV365" i="14609"/>
  <c r="HW365" i="14609"/>
  <c r="HX365" i="14609"/>
  <c r="HY365" i="14609"/>
  <c r="HZ365" i="14609"/>
  <c r="IA365" i="14609"/>
  <c r="IB365" i="14609"/>
  <c r="IC365" i="14609"/>
  <c r="ID365" i="14609"/>
  <c r="IE365" i="14609"/>
  <c r="IF365" i="14609"/>
  <c r="IG365" i="14609"/>
  <c r="IH365" i="14609"/>
  <c r="II365" i="14609"/>
  <c r="IJ365" i="14609"/>
  <c r="IK365" i="14609"/>
  <c r="IL365" i="14609"/>
  <c r="IM365" i="14609"/>
  <c r="IN365" i="14609"/>
  <c r="IO365" i="14609"/>
  <c r="IP365" i="14609"/>
  <c r="IQ365" i="14609"/>
  <c r="IR365" i="14609"/>
  <c r="IS365" i="14609"/>
  <c r="IT365" i="14609"/>
  <c r="IU365" i="14609"/>
  <c r="IV365" i="14609"/>
  <c r="A364" i="14609"/>
  <c r="B364" i="14609"/>
  <c r="C364" i="14609"/>
  <c r="D364" i="14609"/>
  <c r="E364" i="14609"/>
  <c r="F364" i="14609"/>
  <c r="G364" i="14609"/>
  <c r="H364" i="14609"/>
  <c r="I364" i="14609"/>
  <c r="J364" i="14609"/>
  <c r="K364" i="14609"/>
  <c r="L364" i="14609"/>
  <c r="M364" i="14609"/>
  <c r="N364" i="14609"/>
  <c r="O364" i="14609"/>
  <c r="P364" i="14609"/>
  <c r="Q364" i="14609"/>
  <c r="R364" i="14609"/>
  <c r="S364" i="14609"/>
  <c r="T364" i="14609"/>
  <c r="U364" i="14609"/>
  <c r="V364" i="14609"/>
  <c r="W364" i="14609"/>
  <c r="X364" i="14609"/>
  <c r="Y364" i="14609"/>
  <c r="Z364" i="14609"/>
  <c r="AA364" i="14609"/>
  <c r="AB364" i="14609"/>
  <c r="AC364" i="14609"/>
  <c r="AD364" i="14609"/>
  <c r="AE364" i="14609"/>
  <c r="AF364" i="14609"/>
  <c r="AG364" i="14609"/>
  <c r="AH364" i="14609"/>
  <c r="AI364" i="14609"/>
  <c r="AJ364" i="14609"/>
  <c r="AK364" i="14609"/>
  <c r="AL364" i="14609"/>
  <c r="AM364" i="14609"/>
  <c r="AN364" i="14609"/>
  <c r="AO364" i="14609"/>
  <c r="AP364" i="14609"/>
  <c r="AQ364" i="14609"/>
  <c r="AR364" i="14609"/>
  <c r="AS364" i="14609"/>
  <c r="AT364" i="14609"/>
  <c r="AU364" i="14609"/>
  <c r="AV364" i="14609"/>
  <c r="AW364" i="14609"/>
  <c r="AX364" i="14609"/>
  <c r="AY364" i="14609"/>
  <c r="AZ364" i="14609"/>
  <c r="BA364" i="14609"/>
  <c r="BB364" i="14609"/>
  <c r="BC364" i="14609"/>
  <c r="BD364" i="14609"/>
  <c r="BE364" i="14609"/>
  <c r="BF364" i="14609"/>
  <c r="BG364" i="14609"/>
  <c r="BH364" i="14609"/>
  <c r="BI364" i="14609"/>
  <c r="BJ364" i="14609"/>
  <c r="BK364" i="14609"/>
  <c r="BL364" i="14609"/>
  <c r="BM364" i="14609"/>
  <c r="BN364" i="14609"/>
  <c r="BO364" i="14609"/>
  <c r="BP364" i="14609"/>
  <c r="BQ364" i="14609"/>
  <c r="BR364" i="14609"/>
  <c r="BS364" i="14609"/>
  <c r="BT364" i="14609"/>
  <c r="BU364" i="14609"/>
  <c r="BV364" i="14609"/>
  <c r="BW364" i="14609"/>
  <c r="BX364" i="14609"/>
  <c r="BY364" i="14609"/>
  <c r="BZ364" i="14609"/>
  <c r="CA364" i="14609"/>
  <c r="CB364" i="14609"/>
  <c r="CC364" i="14609"/>
  <c r="CD364" i="14609"/>
  <c r="CE364" i="14609"/>
  <c r="CF364" i="14609"/>
  <c r="CG364" i="14609"/>
  <c r="CH364" i="14609"/>
  <c r="CI364" i="14609"/>
  <c r="CJ364" i="14609"/>
  <c r="CK364" i="14609"/>
  <c r="CL364" i="14609"/>
  <c r="CM364" i="14609"/>
  <c r="CN364" i="14609"/>
  <c r="CO364" i="14609"/>
  <c r="CP364" i="14609"/>
  <c r="CQ364" i="14609"/>
  <c r="CR364" i="14609"/>
  <c r="CS364" i="14609"/>
  <c r="CT364" i="14609"/>
  <c r="CU364" i="14609"/>
  <c r="CV364" i="14609"/>
  <c r="CW364" i="14609"/>
  <c r="CX364" i="14609"/>
  <c r="CY364" i="14609"/>
  <c r="CZ364" i="14609"/>
  <c r="DA364" i="14609"/>
  <c r="DB364" i="14609"/>
  <c r="DC364" i="14609"/>
  <c r="DD364" i="14609"/>
  <c r="DE364" i="14609"/>
  <c r="DF364" i="14609"/>
  <c r="DG364" i="14609"/>
  <c r="DH364" i="14609"/>
  <c r="DI364" i="14609"/>
  <c r="DJ364" i="14609"/>
  <c r="DK364" i="14609"/>
  <c r="DL364" i="14609"/>
  <c r="DM364" i="14609"/>
  <c r="DN364" i="14609"/>
  <c r="DO364" i="14609"/>
  <c r="DP364" i="14609"/>
  <c r="DQ364" i="14609"/>
  <c r="DR364" i="14609"/>
  <c r="DS364" i="14609"/>
  <c r="DT364" i="14609"/>
  <c r="DU364" i="14609"/>
  <c r="DV364" i="14609"/>
  <c r="DW364" i="14609"/>
  <c r="DX364" i="14609"/>
  <c r="DY364" i="14609"/>
  <c r="DZ364" i="14609"/>
  <c r="EA364" i="14609"/>
  <c r="EB364" i="14609"/>
  <c r="EC364" i="14609"/>
  <c r="ED364" i="14609"/>
  <c r="EE364" i="14609"/>
  <c r="EF364" i="14609"/>
  <c r="EG364" i="14609"/>
  <c r="EH364" i="14609"/>
  <c r="EI364" i="14609"/>
  <c r="EJ364" i="14609"/>
  <c r="EK364" i="14609"/>
  <c r="EL364" i="14609"/>
  <c r="EM364" i="14609"/>
  <c r="EN364" i="14609"/>
  <c r="EO364" i="14609"/>
  <c r="EP364" i="14609"/>
  <c r="EQ364" i="14609"/>
  <c r="ER364" i="14609"/>
  <c r="ES364" i="14609"/>
  <c r="ET364" i="14609"/>
  <c r="EU364" i="14609"/>
  <c r="EV364" i="14609"/>
  <c r="EW364" i="14609"/>
  <c r="EX364" i="14609"/>
  <c r="EY364" i="14609"/>
  <c r="EZ364" i="14609"/>
  <c r="FA364" i="14609"/>
  <c r="FB364" i="14609"/>
  <c r="FC364" i="14609"/>
  <c r="FD364" i="14609"/>
  <c r="FE364" i="14609"/>
  <c r="FF364" i="14609"/>
  <c r="FG364" i="14609"/>
  <c r="FH364" i="14609"/>
  <c r="FI364" i="14609"/>
  <c r="FJ364" i="14609"/>
  <c r="FK364" i="14609"/>
  <c r="FL364" i="14609"/>
  <c r="FM364" i="14609"/>
  <c r="FN364" i="14609"/>
  <c r="FO364" i="14609"/>
  <c r="FP364" i="14609"/>
  <c r="FQ364" i="14609"/>
  <c r="FR364" i="14609"/>
  <c r="FS364" i="14609"/>
  <c r="FT364" i="14609"/>
  <c r="FU364" i="14609"/>
  <c r="FV364" i="14609"/>
  <c r="FW364" i="14609"/>
  <c r="FX364" i="14609"/>
  <c r="FY364" i="14609"/>
  <c r="FZ364" i="14609"/>
  <c r="GA364" i="14609"/>
  <c r="GB364" i="14609"/>
  <c r="GC364" i="14609"/>
  <c r="GD364" i="14609"/>
  <c r="GE364" i="14609"/>
  <c r="GF364" i="14609"/>
  <c r="GG364" i="14609"/>
  <c r="GH364" i="14609"/>
  <c r="GI364" i="14609"/>
  <c r="GJ364" i="14609"/>
  <c r="GK364" i="14609"/>
  <c r="GL364" i="14609"/>
  <c r="GM364" i="14609"/>
  <c r="GN364" i="14609"/>
  <c r="GO364" i="14609"/>
  <c r="GP364" i="14609"/>
  <c r="GQ364" i="14609"/>
  <c r="GR364" i="14609"/>
  <c r="GS364" i="14609"/>
  <c r="GT364" i="14609"/>
  <c r="GU364" i="14609"/>
  <c r="GV364" i="14609"/>
  <c r="GW364" i="14609"/>
  <c r="GX364" i="14609"/>
  <c r="GY364" i="14609"/>
  <c r="GZ364" i="14609"/>
  <c r="HA364" i="14609"/>
  <c r="HB364" i="14609"/>
  <c r="HC364" i="14609"/>
  <c r="HD364" i="14609"/>
  <c r="HE364" i="14609"/>
  <c r="HF364" i="14609"/>
  <c r="HG364" i="14609"/>
  <c r="HH364" i="14609"/>
  <c r="HI364" i="14609"/>
  <c r="HJ364" i="14609"/>
  <c r="HK364" i="14609"/>
  <c r="HL364" i="14609"/>
  <c r="HM364" i="14609"/>
  <c r="HN364" i="14609"/>
  <c r="HO364" i="14609"/>
  <c r="HP364" i="14609"/>
  <c r="HQ364" i="14609"/>
  <c r="HR364" i="14609"/>
  <c r="HS364" i="14609"/>
  <c r="HT364" i="14609"/>
  <c r="HU364" i="14609"/>
  <c r="HV364" i="14609"/>
  <c r="HW364" i="14609"/>
  <c r="HX364" i="14609"/>
  <c r="HY364" i="14609"/>
  <c r="HZ364" i="14609"/>
  <c r="IA364" i="14609"/>
  <c r="IB364" i="14609"/>
  <c r="IC364" i="14609"/>
  <c r="ID364" i="14609"/>
  <c r="IE364" i="14609"/>
  <c r="IF364" i="14609"/>
  <c r="IG364" i="14609"/>
  <c r="IH364" i="14609"/>
  <c r="II364" i="14609"/>
  <c r="IJ364" i="14609"/>
  <c r="IK364" i="14609"/>
  <c r="IL364" i="14609"/>
  <c r="IM364" i="14609"/>
  <c r="IN364" i="14609"/>
  <c r="IO364" i="14609"/>
  <c r="IP364" i="14609"/>
  <c r="IQ364" i="14609"/>
  <c r="IR364" i="14609"/>
  <c r="IS364" i="14609"/>
  <c r="IT364" i="14609"/>
  <c r="IU364" i="14609"/>
  <c r="IV364" i="14609"/>
  <c r="A363" i="14609"/>
  <c r="B363" i="14609"/>
  <c r="C363" i="14609"/>
  <c r="D363" i="14609"/>
  <c r="E363" i="14609"/>
  <c r="F363" i="14609"/>
  <c r="G363" i="14609"/>
  <c r="H363" i="14609"/>
  <c r="I363" i="14609"/>
  <c r="J363" i="14609"/>
  <c r="K363" i="14609"/>
  <c r="L363" i="14609"/>
  <c r="M363" i="14609"/>
  <c r="N363" i="14609"/>
  <c r="O363" i="14609"/>
  <c r="P363" i="14609"/>
  <c r="Q363" i="14609"/>
  <c r="R363" i="14609"/>
  <c r="S363" i="14609"/>
  <c r="T363" i="14609"/>
  <c r="U363" i="14609"/>
  <c r="V363" i="14609"/>
  <c r="W363" i="14609"/>
  <c r="X363" i="14609"/>
  <c r="Y363" i="14609"/>
  <c r="Z363" i="14609"/>
  <c r="AA363" i="14609"/>
  <c r="AB363" i="14609"/>
  <c r="AC363" i="14609"/>
  <c r="AD363" i="14609"/>
  <c r="AE363" i="14609"/>
  <c r="AF363" i="14609"/>
  <c r="AG363" i="14609"/>
  <c r="AH363" i="14609"/>
  <c r="AI363" i="14609"/>
  <c r="AJ363" i="14609"/>
  <c r="AK363" i="14609"/>
  <c r="AL363" i="14609"/>
  <c r="AM363" i="14609"/>
  <c r="AN363" i="14609"/>
  <c r="AO363" i="14609"/>
  <c r="AP363" i="14609"/>
  <c r="AQ363" i="14609"/>
  <c r="AR363" i="14609"/>
  <c r="AS363" i="14609"/>
  <c r="AT363" i="14609"/>
  <c r="AU363" i="14609"/>
  <c r="AV363" i="14609"/>
  <c r="AW363" i="14609"/>
  <c r="AX363" i="14609"/>
  <c r="AY363" i="14609"/>
  <c r="AZ363" i="14609"/>
  <c r="BA363" i="14609"/>
  <c r="BB363" i="14609"/>
  <c r="BC363" i="14609"/>
  <c r="BD363" i="14609"/>
  <c r="BE363" i="14609"/>
  <c r="BF363" i="14609"/>
  <c r="BG363" i="14609"/>
  <c r="BH363" i="14609"/>
  <c r="BI363" i="14609"/>
  <c r="BJ363" i="14609"/>
  <c r="BK363" i="14609"/>
  <c r="BL363" i="14609"/>
  <c r="BM363" i="14609"/>
  <c r="BN363" i="14609"/>
  <c r="BO363" i="14609"/>
  <c r="BP363" i="14609"/>
  <c r="BQ363" i="14609"/>
  <c r="BR363" i="14609"/>
  <c r="BS363" i="14609"/>
  <c r="BT363" i="14609"/>
  <c r="BU363" i="14609"/>
  <c r="BV363" i="14609"/>
  <c r="BW363" i="14609"/>
  <c r="BX363" i="14609"/>
  <c r="BY363" i="14609"/>
  <c r="BZ363" i="14609"/>
  <c r="CA363" i="14609"/>
  <c r="CB363" i="14609"/>
  <c r="CC363" i="14609"/>
  <c r="CD363" i="14609"/>
  <c r="CE363" i="14609"/>
  <c r="CF363" i="14609"/>
  <c r="CG363" i="14609"/>
  <c r="CH363" i="14609"/>
  <c r="CI363" i="14609"/>
  <c r="CJ363" i="14609"/>
  <c r="CK363" i="14609"/>
  <c r="CL363" i="14609"/>
  <c r="CM363" i="14609"/>
  <c r="CN363" i="14609"/>
  <c r="CO363" i="14609"/>
  <c r="CP363" i="14609"/>
  <c r="CQ363" i="14609"/>
  <c r="CR363" i="14609"/>
  <c r="CS363" i="14609"/>
  <c r="CT363" i="14609"/>
  <c r="CU363" i="14609"/>
  <c r="CV363" i="14609"/>
  <c r="CW363" i="14609"/>
  <c r="CX363" i="14609"/>
  <c r="CY363" i="14609"/>
  <c r="CZ363" i="14609"/>
  <c r="DA363" i="14609"/>
  <c r="DB363" i="14609"/>
  <c r="DC363" i="14609"/>
  <c r="DD363" i="14609"/>
  <c r="DE363" i="14609"/>
  <c r="DF363" i="14609"/>
  <c r="DG363" i="14609"/>
  <c r="DH363" i="14609"/>
  <c r="DI363" i="14609"/>
  <c r="DJ363" i="14609"/>
  <c r="DK363" i="14609"/>
  <c r="DL363" i="14609"/>
  <c r="DM363" i="14609"/>
  <c r="DN363" i="14609"/>
  <c r="DO363" i="14609"/>
  <c r="DP363" i="14609"/>
  <c r="DQ363" i="14609"/>
  <c r="DR363" i="14609"/>
  <c r="DS363" i="14609"/>
  <c r="DT363" i="14609"/>
  <c r="DU363" i="14609"/>
  <c r="DV363" i="14609"/>
  <c r="DW363" i="14609"/>
  <c r="DX363" i="14609"/>
  <c r="DY363" i="14609"/>
  <c r="DZ363" i="14609"/>
  <c r="EA363" i="14609"/>
  <c r="EB363" i="14609"/>
  <c r="EC363" i="14609"/>
  <c r="ED363" i="14609"/>
  <c r="EE363" i="14609"/>
  <c r="EF363" i="14609"/>
  <c r="EG363" i="14609"/>
  <c r="EH363" i="14609"/>
  <c r="EI363" i="14609"/>
  <c r="EJ363" i="14609"/>
  <c r="EK363" i="14609"/>
  <c r="EL363" i="14609"/>
  <c r="EM363" i="14609"/>
  <c r="EN363" i="14609"/>
  <c r="EO363" i="14609"/>
  <c r="EP363" i="14609"/>
  <c r="EQ363" i="14609"/>
  <c r="ER363" i="14609"/>
  <c r="ES363" i="14609"/>
  <c r="ET363" i="14609"/>
  <c r="EU363" i="14609"/>
  <c r="EV363" i="14609"/>
  <c r="EW363" i="14609"/>
  <c r="EX363" i="14609"/>
  <c r="EY363" i="14609"/>
  <c r="EZ363" i="14609"/>
  <c r="FA363" i="14609"/>
  <c r="FB363" i="14609"/>
  <c r="FC363" i="14609"/>
  <c r="FD363" i="14609"/>
  <c r="FE363" i="14609"/>
  <c r="FF363" i="14609"/>
  <c r="FG363" i="14609"/>
  <c r="FH363" i="14609"/>
  <c r="FI363" i="14609"/>
  <c r="FJ363" i="14609"/>
  <c r="FK363" i="14609"/>
  <c r="FL363" i="14609"/>
  <c r="FM363" i="14609"/>
  <c r="FN363" i="14609"/>
  <c r="FO363" i="14609"/>
  <c r="FP363" i="14609"/>
  <c r="FQ363" i="14609"/>
  <c r="FR363" i="14609"/>
  <c r="FS363" i="14609"/>
  <c r="FT363" i="14609"/>
  <c r="FU363" i="14609"/>
  <c r="FV363" i="14609"/>
  <c r="FW363" i="14609"/>
  <c r="FX363" i="14609"/>
  <c r="FY363" i="14609"/>
  <c r="FZ363" i="14609"/>
  <c r="GA363" i="14609"/>
  <c r="GB363" i="14609"/>
  <c r="GC363" i="14609"/>
  <c r="GD363" i="14609"/>
  <c r="GE363" i="14609"/>
  <c r="GF363" i="14609"/>
  <c r="GG363" i="14609"/>
  <c r="GH363" i="14609"/>
  <c r="GI363" i="14609"/>
  <c r="GJ363" i="14609"/>
  <c r="GK363" i="14609"/>
  <c r="GL363" i="14609"/>
  <c r="GM363" i="14609"/>
  <c r="GN363" i="14609"/>
  <c r="GO363" i="14609"/>
  <c r="GP363" i="14609"/>
  <c r="GQ363" i="14609"/>
  <c r="GR363" i="14609"/>
  <c r="GS363" i="14609"/>
  <c r="GT363" i="14609"/>
  <c r="GU363" i="14609"/>
  <c r="GV363" i="14609"/>
  <c r="GW363" i="14609"/>
  <c r="GX363" i="14609"/>
  <c r="GY363" i="14609"/>
  <c r="GZ363" i="14609"/>
  <c r="HA363" i="14609"/>
  <c r="HB363" i="14609"/>
  <c r="HC363" i="14609"/>
  <c r="HD363" i="14609"/>
  <c r="HE363" i="14609"/>
  <c r="HF363" i="14609"/>
  <c r="HG363" i="14609"/>
  <c r="HH363" i="14609"/>
  <c r="HI363" i="14609"/>
  <c r="HJ363" i="14609"/>
  <c r="HK363" i="14609"/>
  <c r="HL363" i="14609"/>
  <c r="HM363" i="14609"/>
  <c r="HN363" i="14609"/>
  <c r="HO363" i="14609"/>
  <c r="HP363" i="14609"/>
  <c r="HQ363" i="14609"/>
  <c r="HR363" i="14609"/>
  <c r="HS363" i="14609"/>
  <c r="HT363" i="14609"/>
  <c r="HU363" i="14609"/>
  <c r="HV363" i="14609"/>
  <c r="HW363" i="14609"/>
  <c r="HX363" i="14609"/>
  <c r="HY363" i="14609"/>
  <c r="HZ363" i="14609"/>
  <c r="IA363" i="14609"/>
  <c r="IB363" i="14609"/>
  <c r="IC363" i="14609"/>
  <c r="ID363" i="14609"/>
  <c r="IE363" i="14609"/>
  <c r="IF363" i="14609"/>
  <c r="IG363" i="14609"/>
  <c r="IH363" i="14609"/>
  <c r="II363" i="14609"/>
  <c r="IJ363" i="14609"/>
  <c r="IK363" i="14609"/>
  <c r="IL363" i="14609"/>
  <c r="IM363" i="14609"/>
  <c r="IN363" i="14609"/>
  <c r="IO363" i="14609"/>
  <c r="IP363" i="14609"/>
  <c r="IQ363" i="14609"/>
  <c r="IR363" i="14609"/>
  <c r="IS363" i="14609"/>
  <c r="IT363" i="14609"/>
  <c r="IU363" i="14609"/>
  <c r="IV363" i="14609"/>
  <c r="A362" i="14609"/>
  <c r="B362" i="14609"/>
  <c r="C362" i="14609"/>
  <c r="D362" i="14609"/>
  <c r="E362" i="14609"/>
  <c r="F362" i="14609"/>
  <c r="G362" i="14609"/>
  <c r="H362" i="14609"/>
  <c r="I362" i="14609"/>
  <c r="J362" i="14609"/>
  <c r="K362" i="14609"/>
  <c r="L362" i="14609"/>
  <c r="M362" i="14609"/>
  <c r="N362" i="14609"/>
  <c r="O362" i="14609"/>
  <c r="P362" i="14609"/>
  <c r="Q362" i="14609"/>
  <c r="R362" i="14609"/>
  <c r="S362" i="14609"/>
  <c r="T362" i="14609"/>
  <c r="U362" i="14609"/>
  <c r="V362" i="14609"/>
  <c r="W362" i="14609"/>
  <c r="X362" i="14609"/>
  <c r="Y362" i="14609"/>
  <c r="Z362" i="14609"/>
  <c r="AA362" i="14609"/>
  <c r="AB362" i="14609"/>
  <c r="AC362" i="14609"/>
  <c r="AD362" i="14609"/>
  <c r="AE362" i="14609"/>
  <c r="AF362" i="14609"/>
  <c r="AG362" i="14609"/>
  <c r="AH362" i="14609"/>
  <c r="AI362" i="14609"/>
  <c r="AJ362" i="14609"/>
  <c r="AK362" i="14609"/>
  <c r="AL362" i="14609"/>
  <c r="AM362" i="14609"/>
  <c r="AN362" i="14609"/>
  <c r="AO362" i="14609"/>
  <c r="AP362" i="14609"/>
  <c r="AQ362" i="14609"/>
  <c r="AR362" i="14609"/>
  <c r="AS362" i="14609"/>
  <c r="AT362" i="14609"/>
  <c r="AU362" i="14609"/>
  <c r="AV362" i="14609"/>
  <c r="AW362" i="14609"/>
  <c r="AX362" i="14609"/>
  <c r="AY362" i="14609"/>
  <c r="AZ362" i="14609"/>
  <c r="BA362" i="14609"/>
  <c r="BB362" i="14609"/>
  <c r="BC362" i="14609"/>
  <c r="BD362" i="14609"/>
  <c r="BE362" i="14609"/>
  <c r="BF362" i="14609"/>
  <c r="BG362" i="14609"/>
  <c r="BH362" i="14609"/>
  <c r="BI362" i="14609"/>
  <c r="BJ362" i="14609"/>
  <c r="BK362" i="14609"/>
  <c r="BL362" i="14609"/>
  <c r="BM362" i="14609"/>
  <c r="BN362" i="14609"/>
  <c r="BO362" i="14609"/>
  <c r="BP362" i="14609"/>
  <c r="BQ362" i="14609"/>
  <c r="BR362" i="14609"/>
  <c r="BS362" i="14609"/>
  <c r="BT362" i="14609"/>
  <c r="BU362" i="14609"/>
  <c r="BV362" i="14609"/>
  <c r="BW362" i="14609"/>
  <c r="BX362" i="14609"/>
  <c r="BY362" i="14609"/>
  <c r="BZ362" i="14609"/>
  <c r="CA362" i="14609"/>
  <c r="CB362" i="14609"/>
  <c r="CC362" i="14609"/>
  <c r="CD362" i="14609"/>
  <c r="CE362" i="14609"/>
  <c r="CF362" i="14609"/>
  <c r="CG362" i="14609"/>
  <c r="CH362" i="14609"/>
  <c r="CI362" i="14609"/>
  <c r="CJ362" i="14609"/>
  <c r="CK362" i="14609"/>
  <c r="CL362" i="14609"/>
  <c r="CM362" i="14609"/>
  <c r="CN362" i="14609"/>
  <c r="CO362" i="14609"/>
  <c r="CP362" i="14609"/>
  <c r="CQ362" i="14609"/>
  <c r="CR362" i="14609"/>
  <c r="CS362" i="14609"/>
  <c r="CT362" i="14609"/>
  <c r="CU362" i="14609"/>
  <c r="CV362" i="14609"/>
  <c r="CW362" i="14609"/>
  <c r="CX362" i="14609"/>
  <c r="CY362" i="14609"/>
  <c r="CZ362" i="14609"/>
  <c r="DA362" i="14609"/>
  <c r="DB362" i="14609"/>
  <c r="DC362" i="14609"/>
  <c r="DD362" i="14609"/>
  <c r="DE362" i="14609"/>
  <c r="DF362" i="14609"/>
  <c r="DG362" i="14609"/>
  <c r="DH362" i="14609"/>
  <c r="DI362" i="14609"/>
  <c r="DJ362" i="14609"/>
  <c r="DK362" i="14609"/>
  <c r="DL362" i="14609"/>
  <c r="DM362" i="14609"/>
  <c r="DN362" i="14609"/>
  <c r="DO362" i="14609"/>
  <c r="DP362" i="14609"/>
  <c r="DQ362" i="14609"/>
  <c r="DR362" i="14609"/>
  <c r="DS362" i="14609"/>
  <c r="DT362" i="14609"/>
  <c r="DU362" i="14609"/>
  <c r="DV362" i="14609"/>
  <c r="DW362" i="14609"/>
  <c r="DX362" i="14609"/>
  <c r="DY362" i="14609"/>
  <c r="DZ362" i="14609"/>
  <c r="EA362" i="14609"/>
  <c r="EB362" i="14609"/>
  <c r="EC362" i="14609"/>
  <c r="ED362" i="14609"/>
  <c r="EE362" i="14609"/>
  <c r="EF362" i="14609"/>
  <c r="EG362" i="14609"/>
  <c r="EH362" i="14609"/>
  <c r="EI362" i="14609"/>
  <c r="EJ362" i="14609"/>
  <c r="EK362" i="14609"/>
  <c r="EL362" i="14609"/>
  <c r="EM362" i="14609"/>
  <c r="EN362" i="14609"/>
  <c r="EO362" i="14609"/>
  <c r="EP362" i="14609"/>
  <c r="EQ362" i="14609"/>
  <c r="ER362" i="14609"/>
  <c r="ES362" i="14609"/>
  <c r="ET362" i="14609"/>
  <c r="EU362" i="14609"/>
  <c r="EV362" i="14609"/>
  <c r="EW362" i="14609"/>
  <c r="EX362" i="14609"/>
  <c r="EY362" i="14609"/>
  <c r="EZ362" i="14609"/>
  <c r="FA362" i="14609"/>
  <c r="FB362" i="14609"/>
  <c r="FC362" i="14609"/>
  <c r="FD362" i="14609"/>
  <c r="FE362" i="14609"/>
  <c r="FF362" i="14609"/>
  <c r="FG362" i="14609"/>
  <c r="FH362" i="14609"/>
  <c r="FI362" i="14609"/>
  <c r="FJ362" i="14609"/>
  <c r="FK362" i="14609"/>
  <c r="FL362" i="14609"/>
  <c r="FM362" i="14609"/>
  <c r="FN362" i="14609"/>
  <c r="FO362" i="14609"/>
  <c r="FP362" i="14609"/>
  <c r="FQ362" i="14609"/>
  <c r="FR362" i="14609"/>
  <c r="FS362" i="14609"/>
  <c r="FT362" i="14609"/>
  <c r="FU362" i="14609"/>
  <c r="FV362" i="14609"/>
  <c r="FW362" i="14609"/>
  <c r="FX362" i="14609"/>
  <c r="FY362" i="14609"/>
  <c r="FZ362" i="14609"/>
  <c r="GA362" i="14609"/>
  <c r="GB362" i="14609"/>
  <c r="GC362" i="14609"/>
  <c r="GD362" i="14609"/>
  <c r="GE362" i="14609"/>
  <c r="GF362" i="14609"/>
  <c r="GG362" i="14609"/>
  <c r="GH362" i="14609"/>
  <c r="GI362" i="14609"/>
  <c r="GJ362" i="14609"/>
  <c r="GK362" i="14609"/>
  <c r="GL362" i="14609"/>
  <c r="GM362" i="14609"/>
  <c r="GN362" i="14609"/>
  <c r="GO362" i="14609"/>
  <c r="GP362" i="14609"/>
  <c r="GQ362" i="14609"/>
  <c r="GR362" i="14609"/>
  <c r="GS362" i="14609"/>
  <c r="GT362" i="14609"/>
  <c r="GU362" i="14609"/>
  <c r="GV362" i="14609"/>
  <c r="GW362" i="14609"/>
  <c r="GX362" i="14609"/>
  <c r="GY362" i="14609"/>
  <c r="GZ362" i="14609"/>
  <c r="HA362" i="14609"/>
  <c r="HB362" i="14609"/>
  <c r="HC362" i="14609"/>
  <c r="HD362" i="14609"/>
  <c r="HE362" i="14609"/>
  <c r="HF362" i="14609"/>
  <c r="HG362" i="14609"/>
  <c r="HH362" i="14609"/>
  <c r="HI362" i="14609"/>
  <c r="HJ362" i="14609"/>
  <c r="HK362" i="14609"/>
  <c r="HL362" i="14609"/>
  <c r="HM362" i="14609"/>
  <c r="HN362" i="14609"/>
  <c r="HO362" i="14609"/>
  <c r="HP362" i="14609"/>
  <c r="HQ362" i="14609"/>
  <c r="HR362" i="14609"/>
  <c r="HS362" i="14609"/>
  <c r="HT362" i="14609"/>
  <c r="HU362" i="14609"/>
  <c r="HV362" i="14609"/>
  <c r="HW362" i="14609"/>
  <c r="HX362" i="14609"/>
  <c r="HY362" i="14609"/>
  <c r="HZ362" i="14609"/>
  <c r="IA362" i="14609"/>
  <c r="IB362" i="14609"/>
  <c r="IC362" i="14609"/>
  <c r="ID362" i="14609"/>
  <c r="IE362" i="14609"/>
  <c r="IF362" i="14609"/>
  <c r="IG362" i="14609"/>
  <c r="IH362" i="14609"/>
  <c r="II362" i="14609"/>
  <c r="IJ362" i="14609"/>
  <c r="IK362" i="14609"/>
  <c r="IL362" i="14609"/>
  <c r="IM362" i="14609"/>
  <c r="IN362" i="14609"/>
  <c r="IO362" i="14609"/>
  <c r="IP362" i="14609"/>
  <c r="IQ362" i="14609"/>
  <c r="IR362" i="14609"/>
  <c r="IS362" i="14609"/>
  <c r="IT362" i="14609"/>
  <c r="IU362" i="14609"/>
  <c r="IV362" i="14609"/>
  <c r="A361" i="14609"/>
  <c r="B361" i="14609"/>
  <c r="C361" i="14609"/>
  <c r="D361" i="14609"/>
  <c r="E361" i="14609"/>
  <c r="F361" i="14609"/>
  <c r="G361" i="14609"/>
  <c r="H361" i="14609"/>
  <c r="I361" i="14609"/>
  <c r="J361" i="14609"/>
  <c r="K361" i="14609"/>
  <c r="L361" i="14609"/>
  <c r="M361" i="14609"/>
  <c r="N361" i="14609"/>
  <c r="O361" i="14609"/>
  <c r="P361" i="14609"/>
  <c r="Q361" i="14609"/>
  <c r="R361" i="14609"/>
  <c r="S361" i="14609"/>
  <c r="T361" i="14609"/>
  <c r="U361" i="14609"/>
  <c r="V361" i="14609"/>
  <c r="W361" i="14609"/>
  <c r="X361" i="14609"/>
  <c r="Y361" i="14609"/>
  <c r="Z361" i="14609"/>
  <c r="AA361" i="14609"/>
  <c r="AB361" i="14609"/>
  <c r="AC361" i="14609"/>
  <c r="AD361" i="14609"/>
  <c r="AE361" i="14609"/>
  <c r="AF361" i="14609"/>
  <c r="AG361" i="14609"/>
  <c r="AH361" i="14609"/>
  <c r="AI361" i="14609"/>
  <c r="AJ361" i="14609"/>
  <c r="AK361" i="14609"/>
  <c r="AL361" i="14609"/>
  <c r="AM361" i="14609"/>
  <c r="AN361" i="14609"/>
  <c r="AO361" i="14609"/>
  <c r="AP361" i="14609"/>
  <c r="AQ361" i="14609"/>
  <c r="AR361" i="14609"/>
  <c r="AS361" i="14609"/>
  <c r="AT361" i="14609"/>
  <c r="AU361" i="14609"/>
  <c r="AV361" i="14609"/>
  <c r="AW361" i="14609"/>
  <c r="AX361" i="14609"/>
  <c r="AY361" i="14609"/>
  <c r="AZ361" i="14609"/>
  <c r="BA361" i="14609"/>
  <c r="BB361" i="14609"/>
  <c r="BC361" i="14609"/>
  <c r="BD361" i="14609"/>
  <c r="BE361" i="14609"/>
  <c r="BF361" i="14609"/>
  <c r="BG361" i="14609"/>
  <c r="BH361" i="14609"/>
  <c r="BI361" i="14609"/>
  <c r="BJ361" i="14609"/>
  <c r="BK361" i="14609"/>
  <c r="BL361" i="14609"/>
  <c r="BM361" i="14609"/>
  <c r="BN361" i="14609"/>
  <c r="BO361" i="14609"/>
  <c r="BP361" i="14609"/>
  <c r="BQ361" i="14609"/>
  <c r="BR361" i="14609"/>
  <c r="BS361" i="14609"/>
  <c r="BT361" i="14609"/>
  <c r="BU361" i="14609"/>
  <c r="BV361" i="14609"/>
  <c r="BW361" i="14609"/>
  <c r="BX361" i="14609"/>
  <c r="BY361" i="14609"/>
  <c r="BZ361" i="14609"/>
  <c r="CA361" i="14609"/>
  <c r="CB361" i="14609"/>
  <c r="CC361" i="14609"/>
  <c r="CD361" i="14609"/>
  <c r="CE361" i="14609"/>
  <c r="CF361" i="14609"/>
  <c r="CG361" i="14609"/>
  <c r="CH361" i="14609"/>
  <c r="CI361" i="14609"/>
  <c r="CJ361" i="14609"/>
  <c r="CK361" i="14609"/>
  <c r="CL361" i="14609"/>
  <c r="CM361" i="14609"/>
  <c r="CN361" i="14609"/>
  <c r="CO361" i="14609"/>
  <c r="CP361" i="14609"/>
  <c r="CQ361" i="14609"/>
  <c r="CR361" i="14609"/>
  <c r="CS361" i="14609"/>
  <c r="CT361" i="14609"/>
  <c r="CU361" i="14609"/>
  <c r="CV361" i="14609"/>
  <c r="CW361" i="14609"/>
  <c r="CX361" i="14609"/>
  <c r="CY361" i="14609"/>
  <c r="CZ361" i="14609"/>
  <c r="DA361" i="14609"/>
  <c r="DB361" i="14609"/>
  <c r="DC361" i="14609"/>
  <c r="DD361" i="14609"/>
  <c r="DE361" i="14609"/>
  <c r="DF361" i="14609"/>
  <c r="DG361" i="14609"/>
  <c r="DH361" i="14609"/>
  <c r="DI361" i="14609"/>
  <c r="DJ361" i="14609"/>
  <c r="DK361" i="14609"/>
  <c r="DL361" i="14609"/>
  <c r="DM361" i="14609"/>
  <c r="DN361" i="14609"/>
  <c r="DO361" i="14609"/>
  <c r="DP361" i="14609"/>
  <c r="DQ361" i="14609"/>
  <c r="DR361" i="14609"/>
  <c r="DS361" i="14609"/>
  <c r="DT361" i="14609"/>
  <c r="DU361" i="14609"/>
  <c r="DV361" i="14609"/>
  <c r="DW361" i="14609"/>
  <c r="DX361" i="14609"/>
  <c r="DY361" i="14609"/>
  <c r="DZ361" i="14609"/>
  <c r="EA361" i="14609"/>
  <c r="EB361" i="14609"/>
  <c r="EC361" i="14609"/>
  <c r="ED361" i="14609"/>
  <c r="EE361" i="14609"/>
  <c r="EF361" i="14609"/>
  <c r="EG361" i="14609"/>
  <c r="EH361" i="14609"/>
  <c r="EI361" i="14609"/>
  <c r="EJ361" i="14609"/>
  <c r="EK361" i="14609"/>
  <c r="EL361" i="14609"/>
  <c r="EM361" i="14609"/>
  <c r="EN361" i="14609"/>
  <c r="EO361" i="14609"/>
  <c r="EP361" i="14609"/>
  <c r="EQ361" i="14609"/>
  <c r="ER361" i="14609"/>
  <c r="ES361" i="14609"/>
  <c r="ET361" i="14609"/>
  <c r="EU361" i="14609"/>
  <c r="EV361" i="14609"/>
  <c r="EW361" i="14609"/>
  <c r="EX361" i="14609"/>
  <c r="EY361" i="14609"/>
  <c r="EZ361" i="14609"/>
  <c r="FA361" i="14609"/>
  <c r="FB361" i="14609"/>
  <c r="FC361" i="14609"/>
  <c r="FD361" i="14609"/>
  <c r="FE361" i="14609"/>
  <c r="FF361" i="14609"/>
  <c r="FG361" i="14609"/>
  <c r="FH361" i="14609"/>
  <c r="FI361" i="14609"/>
  <c r="FJ361" i="14609"/>
  <c r="FK361" i="14609"/>
  <c r="FL361" i="14609"/>
  <c r="FM361" i="14609"/>
  <c r="FN361" i="14609"/>
  <c r="FO361" i="14609"/>
  <c r="FP361" i="14609"/>
  <c r="FQ361" i="14609"/>
  <c r="FR361" i="14609"/>
  <c r="FS361" i="14609"/>
  <c r="FT361" i="14609"/>
  <c r="FU361" i="14609"/>
  <c r="FV361" i="14609"/>
  <c r="FW361" i="14609"/>
  <c r="FX361" i="14609"/>
  <c r="FY361" i="14609"/>
  <c r="FZ361" i="14609"/>
  <c r="GA361" i="14609"/>
  <c r="GB361" i="14609"/>
  <c r="GC361" i="14609"/>
  <c r="GD361" i="14609"/>
  <c r="GE361" i="14609"/>
  <c r="GF361" i="14609"/>
  <c r="GG361" i="14609"/>
  <c r="GH361" i="14609"/>
  <c r="GI361" i="14609"/>
  <c r="GJ361" i="14609"/>
  <c r="GK361" i="14609"/>
  <c r="GL361" i="14609"/>
  <c r="GM361" i="14609"/>
  <c r="GN361" i="14609"/>
  <c r="GO361" i="14609"/>
  <c r="GP361" i="14609"/>
  <c r="GQ361" i="14609"/>
  <c r="GR361" i="14609"/>
  <c r="GS361" i="14609"/>
  <c r="GT361" i="14609"/>
  <c r="GU361" i="14609"/>
  <c r="GV361" i="14609"/>
  <c r="GW361" i="14609"/>
  <c r="GX361" i="14609"/>
  <c r="GY361" i="14609"/>
  <c r="GZ361" i="14609"/>
  <c r="HA361" i="14609"/>
  <c r="HB361" i="14609"/>
  <c r="HC361" i="14609"/>
  <c r="HD361" i="14609"/>
  <c r="HE361" i="14609"/>
  <c r="HF361" i="14609"/>
  <c r="HG361" i="14609"/>
  <c r="HH361" i="14609"/>
  <c r="HI361" i="14609"/>
  <c r="HJ361" i="14609"/>
  <c r="HK361" i="14609"/>
  <c r="HL361" i="14609"/>
  <c r="HM361" i="14609"/>
  <c r="HN361" i="14609"/>
  <c r="HO361" i="14609"/>
  <c r="HP361" i="14609"/>
  <c r="HQ361" i="14609"/>
  <c r="HR361" i="14609"/>
  <c r="HS361" i="14609"/>
  <c r="HT361" i="14609"/>
  <c r="HU361" i="14609"/>
  <c r="HV361" i="14609"/>
  <c r="HW361" i="14609"/>
  <c r="HX361" i="14609"/>
  <c r="HY361" i="14609"/>
  <c r="HZ361" i="14609"/>
  <c r="IA361" i="14609"/>
  <c r="IB361" i="14609"/>
  <c r="IC361" i="14609"/>
  <c r="ID361" i="14609"/>
  <c r="IE361" i="14609"/>
  <c r="IF361" i="14609"/>
  <c r="IG361" i="14609"/>
  <c r="IH361" i="14609"/>
  <c r="II361" i="14609"/>
  <c r="IJ361" i="14609"/>
  <c r="IK361" i="14609"/>
  <c r="IL361" i="14609"/>
  <c r="IM361" i="14609"/>
  <c r="IN361" i="14609"/>
  <c r="IO361" i="14609"/>
  <c r="IP361" i="14609"/>
  <c r="IQ361" i="14609"/>
  <c r="IR361" i="14609"/>
  <c r="IS361" i="14609"/>
  <c r="IT361" i="14609"/>
  <c r="IU361" i="14609"/>
  <c r="IV361" i="14609"/>
  <c r="A360" i="14609"/>
  <c r="B360" i="14609"/>
  <c r="C360" i="14609"/>
  <c r="D360" i="14609"/>
  <c r="E360" i="14609"/>
  <c r="F360" i="14609"/>
  <c r="G360" i="14609"/>
  <c r="H360" i="14609"/>
  <c r="I360" i="14609"/>
  <c r="J360" i="14609"/>
  <c r="K360" i="14609"/>
  <c r="L360" i="14609"/>
  <c r="M360" i="14609"/>
  <c r="N360" i="14609"/>
  <c r="O360" i="14609"/>
  <c r="P360" i="14609"/>
  <c r="Q360" i="14609"/>
  <c r="R360" i="14609"/>
  <c r="S360" i="14609"/>
  <c r="T360" i="14609"/>
  <c r="U360" i="14609"/>
  <c r="V360" i="14609"/>
  <c r="W360" i="14609"/>
  <c r="X360" i="14609"/>
  <c r="Y360" i="14609"/>
  <c r="Z360" i="14609"/>
  <c r="AA360" i="14609"/>
  <c r="AB360" i="14609"/>
  <c r="AC360" i="14609"/>
  <c r="AD360" i="14609"/>
  <c r="AE360" i="14609"/>
  <c r="AF360" i="14609"/>
  <c r="AG360" i="14609"/>
  <c r="AH360" i="14609"/>
  <c r="AI360" i="14609"/>
  <c r="AJ360" i="14609"/>
  <c r="AK360" i="14609"/>
  <c r="AL360" i="14609"/>
  <c r="AM360" i="14609"/>
  <c r="AN360" i="14609"/>
  <c r="AO360" i="14609"/>
  <c r="AP360" i="14609"/>
  <c r="AQ360" i="14609"/>
  <c r="AR360" i="14609"/>
  <c r="AS360" i="14609"/>
  <c r="AT360" i="14609"/>
  <c r="AU360" i="14609"/>
  <c r="AV360" i="14609"/>
  <c r="AW360" i="14609"/>
  <c r="AX360" i="14609"/>
  <c r="AY360" i="14609"/>
  <c r="AZ360" i="14609"/>
  <c r="BA360" i="14609"/>
  <c r="BB360" i="14609"/>
  <c r="BC360" i="14609"/>
  <c r="BD360" i="14609"/>
  <c r="BE360" i="14609"/>
  <c r="BF360" i="14609"/>
  <c r="BG360" i="14609"/>
  <c r="BH360" i="14609"/>
  <c r="BI360" i="14609"/>
  <c r="BJ360" i="14609"/>
  <c r="BK360" i="14609"/>
  <c r="BL360" i="14609"/>
  <c r="BM360" i="14609"/>
  <c r="BN360" i="14609"/>
  <c r="BO360" i="14609"/>
  <c r="BP360" i="14609"/>
  <c r="BQ360" i="14609"/>
  <c r="BR360" i="14609"/>
  <c r="BS360" i="14609"/>
  <c r="BT360" i="14609"/>
  <c r="BU360" i="14609"/>
  <c r="BV360" i="14609"/>
  <c r="BW360" i="14609"/>
  <c r="BX360" i="14609"/>
  <c r="BY360" i="14609"/>
  <c r="BZ360" i="14609"/>
  <c r="CA360" i="14609"/>
  <c r="CB360" i="14609"/>
  <c r="CC360" i="14609"/>
  <c r="CD360" i="14609"/>
  <c r="CE360" i="14609"/>
  <c r="CF360" i="14609"/>
  <c r="CG360" i="14609"/>
  <c r="CH360" i="14609"/>
  <c r="CI360" i="14609"/>
  <c r="CJ360" i="14609"/>
  <c r="CK360" i="14609"/>
  <c r="CL360" i="14609"/>
  <c r="CM360" i="14609"/>
  <c r="CN360" i="14609"/>
  <c r="CO360" i="14609"/>
  <c r="CP360" i="14609"/>
  <c r="CQ360" i="14609"/>
  <c r="CR360" i="14609"/>
  <c r="CS360" i="14609"/>
  <c r="CT360" i="14609"/>
  <c r="CU360" i="14609"/>
  <c r="CV360" i="14609"/>
  <c r="CW360" i="14609"/>
  <c r="CX360" i="14609"/>
  <c r="CY360" i="14609"/>
  <c r="CZ360" i="14609"/>
  <c r="DA360" i="14609"/>
  <c r="DB360" i="14609"/>
  <c r="DC360" i="14609"/>
  <c r="DD360" i="14609"/>
  <c r="DE360" i="14609"/>
  <c r="DF360" i="14609"/>
  <c r="DG360" i="14609"/>
  <c r="DH360" i="14609"/>
  <c r="DI360" i="14609"/>
  <c r="DJ360" i="14609"/>
  <c r="DK360" i="14609"/>
  <c r="DL360" i="14609"/>
  <c r="DM360" i="14609"/>
  <c r="DN360" i="14609"/>
  <c r="DO360" i="14609"/>
  <c r="DP360" i="14609"/>
  <c r="DQ360" i="14609"/>
  <c r="DR360" i="14609"/>
  <c r="DS360" i="14609"/>
  <c r="DT360" i="14609"/>
  <c r="DU360" i="14609"/>
  <c r="DV360" i="14609"/>
  <c r="DW360" i="14609"/>
  <c r="DX360" i="14609"/>
  <c r="DY360" i="14609"/>
  <c r="DZ360" i="14609"/>
  <c r="EA360" i="14609"/>
  <c r="EB360" i="14609"/>
  <c r="EC360" i="14609"/>
  <c r="ED360" i="14609"/>
  <c r="EE360" i="14609"/>
  <c r="EF360" i="14609"/>
  <c r="EG360" i="14609"/>
  <c r="EH360" i="14609"/>
  <c r="EI360" i="14609"/>
  <c r="EJ360" i="14609"/>
  <c r="EK360" i="14609"/>
  <c r="EL360" i="14609"/>
  <c r="EM360" i="14609"/>
  <c r="EN360" i="14609"/>
  <c r="EO360" i="14609"/>
  <c r="EP360" i="14609"/>
  <c r="EQ360" i="14609"/>
  <c r="ER360" i="14609"/>
  <c r="ES360" i="14609"/>
  <c r="ET360" i="14609"/>
  <c r="EU360" i="14609"/>
  <c r="EV360" i="14609"/>
  <c r="EW360" i="14609"/>
  <c r="EX360" i="14609"/>
  <c r="EY360" i="14609"/>
  <c r="EZ360" i="14609"/>
  <c r="FA360" i="14609"/>
  <c r="FB360" i="14609"/>
  <c r="FC360" i="14609"/>
  <c r="FD360" i="14609"/>
  <c r="FE360" i="14609"/>
  <c r="FF360" i="14609"/>
  <c r="FG360" i="14609"/>
  <c r="FH360" i="14609"/>
  <c r="FI360" i="14609"/>
  <c r="FJ360" i="14609"/>
  <c r="FK360" i="14609"/>
  <c r="FL360" i="14609"/>
  <c r="FM360" i="14609"/>
  <c r="FN360" i="14609"/>
  <c r="FO360" i="14609"/>
  <c r="FP360" i="14609"/>
  <c r="FQ360" i="14609"/>
  <c r="FR360" i="14609"/>
  <c r="FS360" i="14609"/>
  <c r="FT360" i="14609"/>
  <c r="FU360" i="14609"/>
  <c r="FV360" i="14609"/>
  <c r="FW360" i="14609"/>
  <c r="FX360" i="14609"/>
  <c r="FY360" i="14609"/>
  <c r="FZ360" i="14609"/>
  <c r="GA360" i="14609"/>
  <c r="GB360" i="14609"/>
  <c r="GC360" i="14609"/>
  <c r="GD360" i="14609"/>
  <c r="GE360" i="14609"/>
  <c r="GF360" i="14609"/>
  <c r="GG360" i="14609"/>
  <c r="GH360" i="14609"/>
  <c r="GI360" i="14609"/>
  <c r="GJ360" i="14609"/>
  <c r="GK360" i="14609"/>
  <c r="GL360" i="14609"/>
  <c r="GM360" i="14609"/>
  <c r="GN360" i="14609"/>
  <c r="GO360" i="14609"/>
  <c r="GP360" i="14609"/>
  <c r="GQ360" i="14609"/>
  <c r="GR360" i="14609"/>
  <c r="GS360" i="14609"/>
  <c r="GT360" i="14609"/>
  <c r="GU360" i="14609"/>
  <c r="GV360" i="14609"/>
  <c r="GW360" i="14609"/>
  <c r="GX360" i="14609"/>
  <c r="GY360" i="14609"/>
  <c r="GZ360" i="14609"/>
  <c r="HA360" i="14609"/>
  <c r="HB360" i="14609"/>
  <c r="HC360" i="14609"/>
  <c r="HD360" i="14609"/>
  <c r="HE360" i="14609"/>
  <c r="HF360" i="14609"/>
  <c r="HG360" i="14609"/>
  <c r="HH360" i="14609"/>
  <c r="HI360" i="14609"/>
  <c r="HJ360" i="14609"/>
  <c r="HK360" i="14609"/>
  <c r="HL360" i="14609"/>
  <c r="HM360" i="14609"/>
  <c r="HN360" i="14609"/>
  <c r="HO360" i="14609"/>
  <c r="HP360" i="14609"/>
  <c r="HQ360" i="14609"/>
  <c r="HR360" i="14609"/>
  <c r="HS360" i="14609"/>
  <c r="HT360" i="14609"/>
  <c r="HU360" i="14609"/>
  <c r="HV360" i="14609"/>
  <c r="HW360" i="14609"/>
  <c r="HX360" i="14609"/>
  <c r="HY360" i="14609"/>
  <c r="HZ360" i="14609"/>
  <c r="IA360" i="14609"/>
  <c r="IB360" i="14609"/>
  <c r="IC360" i="14609"/>
  <c r="ID360" i="14609"/>
  <c r="IE360" i="14609"/>
  <c r="IF360" i="14609"/>
  <c r="IG360" i="14609"/>
  <c r="IH360" i="14609"/>
  <c r="II360" i="14609"/>
  <c r="IJ360" i="14609"/>
  <c r="IK360" i="14609"/>
  <c r="IL360" i="14609"/>
  <c r="IM360" i="14609"/>
  <c r="IN360" i="14609"/>
  <c r="IO360" i="14609"/>
  <c r="IP360" i="14609"/>
  <c r="IQ360" i="14609"/>
  <c r="IR360" i="14609"/>
  <c r="IS360" i="14609"/>
  <c r="IT360" i="14609"/>
  <c r="IU360" i="14609"/>
  <c r="IV360" i="14609"/>
  <c r="A359" i="14609"/>
  <c r="B359" i="14609"/>
  <c r="C359" i="14609"/>
  <c r="D359" i="14609"/>
  <c r="E359" i="14609"/>
  <c r="F359" i="14609"/>
  <c r="G359" i="14609"/>
  <c r="H359" i="14609"/>
  <c r="I359" i="14609"/>
  <c r="J359" i="14609"/>
  <c r="K359" i="14609"/>
  <c r="L359" i="14609"/>
  <c r="M359" i="14609"/>
  <c r="N359" i="14609"/>
  <c r="O359" i="14609"/>
  <c r="P359" i="14609"/>
  <c r="Q359" i="14609"/>
  <c r="R359" i="14609"/>
  <c r="S359" i="14609"/>
  <c r="T359" i="14609"/>
  <c r="U359" i="14609"/>
  <c r="V359" i="14609"/>
  <c r="W359" i="14609"/>
  <c r="X359" i="14609"/>
  <c r="Y359" i="14609"/>
  <c r="Z359" i="14609"/>
  <c r="AA359" i="14609"/>
  <c r="AB359" i="14609"/>
  <c r="AC359" i="14609"/>
  <c r="AD359" i="14609"/>
  <c r="AE359" i="14609"/>
  <c r="AF359" i="14609"/>
  <c r="AG359" i="14609"/>
  <c r="AH359" i="14609"/>
  <c r="AI359" i="14609"/>
  <c r="AJ359" i="14609"/>
  <c r="AK359" i="14609"/>
  <c r="AL359" i="14609"/>
  <c r="AM359" i="14609"/>
  <c r="AN359" i="14609"/>
  <c r="AO359" i="14609"/>
  <c r="AP359" i="14609"/>
  <c r="AQ359" i="14609"/>
  <c r="AR359" i="14609"/>
  <c r="AS359" i="14609"/>
  <c r="AT359" i="14609"/>
  <c r="AU359" i="14609"/>
  <c r="AV359" i="14609"/>
  <c r="AW359" i="14609"/>
  <c r="AX359" i="14609"/>
  <c r="AY359" i="14609"/>
  <c r="AZ359" i="14609"/>
  <c r="BA359" i="14609"/>
  <c r="BB359" i="14609"/>
  <c r="BC359" i="14609"/>
  <c r="BD359" i="14609"/>
  <c r="BE359" i="14609"/>
  <c r="BF359" i="14609"/>
  <c r="BG359" i="14609"/>
  <c r="BH359" i="14609"/>
  <c r="BI359" i="14609"/>
  <c r="BJ359" i="14609"/>
  <c r="BK359" i="14609"/>
  <c r="BL359" i="14609"/>
  <c r="BM359" i="14609"/>
  <c r="BN359" i="14609"/>
  <c r="BO359" i="14609"/>
  <c r="BP359" i="14609"/>
  <c r="BQ359" i="14609"/>
  <c r="BR359" i="14609"/>
  <c r="BS359" i="14609"/>
  <c r="BT359" i="14609"/>
  <c r="BU359" i="14609"/>
  <c r="BV359" i="14609"/>
  <c r="BW359" i="14609"/>
  <c r="BX359" i="14609"/>
  <c r="BY359" i="14609"/>
  <c r="BZ359" i="14609"/>
  <c r="CA359" i="14609"/>
  <c r="CB359" i="14609"/>
  <c r="CC359" i="14609"/>
  <c r="CD359" i="14609"/>
  <c r="CE359" i="14609"/>
  <c r="CF359" i="14609"/>
  <c r="CG359" i="14609"/>
  <c r="CH359" i="14609"/>
  <c r="CI359" i="14609"/>
  <c r="CJ359" i="14609"/>
  <c r="CK359" i="14609"/>
  <c r="CL359" i="14609"/>
  <c r="CM359" i="14609"/>
  <c r="CN359" i="14609"/>
  <c r="CO359" i="14609"/>
  <c r="CP359" i="14609"/>
  <c r="CQ359" i="14609"/>
  <c r="CR359" i="14609"/>
  <c r="CS359" i="14609"/>
  <c r="CT359" i="14609"/>
  <c r="CU359" i="14609"/>
  <c r="CV359" i="14609"/>
  <c r="CW359" i="14609"/>
  <c r="CX359" i="14609"/>
  <c r="CY359" i="14609"/>
  <c r="CZ359" i="14609"/>
  <c r="DA359" i="14609"/>
  <c r="DB359" i="14609"/>
  <c r="DC359" i="14609"/>
  <c r="DD359" i="14609"/>
  <c r="DE359" i="14609"/>
  <c r="DF359" i="14609"/>
  <c r="DG359" i="14609"/>
  <c r="DH359" i="14609"/>
  <c r="DI359" i="14609"/>
  <c r="DJ359" i="14609"/>
  <c r="DK359" i="14609"/>
  <c r="DL359" i="14609"/>
  <c r="DM359" i="14609"/>
  <c r="DN359" i="14609"/>
  <c r="DO359" i="14609"/>
  <c r="DP359" i="14609"/>
  <c r="DQ359" i="14609"/>
  <c r="DR359" i="14609"/>
  <c r="DS359" i="14609"/>
  <c r="DT359" i="14609"/>
  <c r="DU359" i="14609"/>
  <c r="DV359" i="14609"/>
  <c r="DW359" i="14609"/>
  <c r="DX359" i="14609"/>
  <c r="DY359" i="14609"/>
  <c r="DZ359" i="14609"/>
  <c r="EA359" i="14609"/>
  <c r="EB359" i="14609"/>
  <c r="EC359" i="14609"/>
  <c r="ED359" i="14609"/>
  <c r="EE359" i="14609"/>
  <c r="EF359" i="14609"/>
  <c r="EG359" i="14609"/>
  <c r="EH359" i="14609"/>
  <c r="EI359" i="14609"/>
  <c r="EJ359" i="14609"/>
  <c r="EK359" i="14609"/>
  <c r="EL359" i="14609"/>
  <c r="EM359" i="14609"/>
  <c r="EN359" i="14609"/>
  <c r="EO359" i="14609"/>
  <c r="EP359" i="14609"/>
  <c r="EQ359" i="14609"/>
  <c r="ER359" i="14609"/>
  <c r="ES359" i="14609"/>
  <c r="ET359" i="14609"/>
  <c r="EU359" i="14609"/>
  <c r="EV359" i="14609"/>
  <c r="EW359" i="14609"/>
  <c r="EX359" i="14609"/>
  <c r="EY359" i="14609"/>
  <c r="EZ359" i="14609"/>
  <c r="FA359" i="14609"/>
  <c r="FB359" i="14609"/>
  <c r="FC359" i="14609"/>
  <c r="FD359" i="14609"/>
  <c r="FE359" i="14609"/>
  <c r="FF359" i="14609"/>
  <c r="FG359" i="14609"/>
  <c r="FH359" i="14609"/>
  <c r="FI359" i="14609"/>
  <c r="FJ359" i="14609"/>
  <c r="FK359" i="14609"/>
  <c r="FL359" i="14609"/>
  <c r="FM359" i="14609"/>
  <c r="FN359" i="14609"/>
  <c r="FO359" i="14609"/>
  <c r="FP359" i="14609"/>
  <c r="FQ359" i="14609"/>
  <c r="FR359" i="14609"/>
  <c r="FS359" i="14609"/>
  <c r="FT359" i="14609"/>
  <c r="FU359" i="14609"/>
  <c r="FV359" i="14609"/>
  <c r="FW359" i="14609"/>
  <c r="FX359" i="14609"/>
  <c r="FY359" i="14609"/>
  <c r="FZ359" i="14609"/>
  <c r="GA359" i="14609"/>
  <c r="GB359" i="14609"/>
  <c r="GC359" i="14609"/>
  <c r="GD359" i="14609"/>
  <c r="GE359" i="14609"/>
  <c r="GF359" i="14609"/>
  <c r="GG359" i="14609"/>
  <c r="GH359" i="14609"/>
  <c r="GI359" i="14609"/>
  <c r="GJ359" i="14609"/>
  <c r="GK359" i="14609"/>
  <c r="GL359" i="14609"/>
  <c r="GM359" i="14609"/>
  <c r="GN359" i="14609"/>
  <c r="GO359" i="14609"/>
  <c r="GP359" i="14609"/>
  <c r="GQ359" i="14609"/>
  <c r="GR359" i="14609"/>
  <c r="GS359" i="14609"/>
  <c r="GT359" i="14609"/>
  <c r="GU359" i="14609"/>
  <c r="GV359" i="14609"/>
  <c r="GW359" i="14609"/>
  <c r="GX359" i="14609"/>
  <c r="GY359" i="14609"/>
  <c r="GZ359" i="14609"/>
  <c r="HA359" i="14609"/>
  <c r="HB359" i="14609"/>
  <c r="HC359" i="14609"/>
  <c r="HD359" i="14609"/>
  <c r="HE359" i="14609"/>
  <c r="HF359" i="14609"/>
  <c r="HG359" i="14609"/>
  <c r="HH359" i="14609"/>
  <c r="HI359" i="14609"/>
  <c r="HJ359" i="14609"/>
  <c r="HK359" i="14609"/>
  <c r="HL359" i="14609"/>
  <c r="HM359" i="14609"/>
  <c r="HN359" i="14609"/>
  <c r="HO359" i="14609"/>
  <c r="HP359" i="14609"/>
  <c r="HQ359" i="14609"/>
  <c r="HR359" i="14609"/>
  <c r="HS359" i="14609"/>
  <c r="HT359" i="14609"/>
  <c r="HU359" i="14609"/>
  <c r="HV359" i="14609"/>
  <c r="HW359" i="14609"/>
  <c r="HX359" i="14609"/>
  <c r="HY359" i="14609"/>
  <c r="HZ359" i="14609"/>
  <c r="IA359" i="14609"/>
  <c r="IB359" i="14609"/>
  <c r="IC359" i="14609"/>
  <c r="ID359" i="14609"/>
  <c r="IE359" i="14609"/>
  <c r="IF359" i="14609"/>
  <c r="IG359" i="14609"/>
  <c r="IH359" i="14609"/>
  <c r="II359" i="14609"/>
  <c r="IJ359" i="14609"/>
  <c r="IK359" i="14609"/>
  <c r="IL359" i="14609"/>
  <c r="IM359" i="14609"/>
  <c r="IN359" i="14609"/>
  <c r="IO359" i="14609"/>
  <c r="IP359" i="14609"/>
  <c r="IQ359" i="14609"/>
  <c r="IR359" i="14609"/>
  <c r="IS359" i="14609"/>
  <c r="IT359" i="14609"/>
  <c r="IU359" i="14609"/>
  <c r="IV359" i="14609"/>
  <c r="A358" i="14609"/>
  <c r="B358" i="14609"/>
  <c r="C358" i="14609"/>
  <c r="D358" i="14609"/>
  <c r="E358" i="14609"/>
  <c r="F358" i="14609"/>
  <c r="G358" i="14609"/>
  <c r="H358" i="14609"/>
  <c r="I358" i="14609"/>
  <c r="J358" i="14609"/>
  <c r="K358" i="14609"/>
  <c r="L358" i="14609"/>
  <c r="M358" i="14609"/>
  <c r="N358" i="14609"/>
  <c r="O358" i="14609"/>
  <c r="P358" i="14609"/>
  <c r="Q358" i="14609"/>
  <c r="R358" i="14609"/>
  <c r="S358" i="14609"/>
  <c r="T358" i="14609"/>
  <c r="U358" i="14609"/>
  <c r="V358" i="14609"/>
  <c r="W358" i="14609"/>
  <c r="X358" i="14609"/>
  <c r="Y358" i="14609"/>
  <c r="Z358" i="14609"/>
  <c r="AA358" i="14609"/>
  <c r="AB358" i="14609"/>
  <c r="AC358" i="14609"/>
  <c r="AD358" i="14609"/>
  <c r="AE358" i="14609"/>
  <c r="AF358" i="14609"/>
  <c r="AG358" i="14609"/>
  <c r="AH358" i="14609"/>
  <c r="AI358" i="14609"/>
  <c r="AJ358" i="14609"/>
  <c r="AK358" i="14609"/>
  <c r="AL358" i="14609"/>
  <c r="AM358" i="14609"/>
  <c r="AN358" i="14609"/>
  <c r="AO358" i="14609"/>
  <c r="AP358" i="14609"/>
  <c r="AQ358" i="14609"/>
  <c r="AR358" i="14609"/>
  <c r="AS358" i="14609"/>
  <c r="AT358" i="14609"/>
  <c r="AU358" i="14609"/>
  <c r="AV358" i="14609"/>
  <c r="AW358" i="14609"/>
  <c r="AX358" i="14609"/>
  <c r="AY358" i="14609"/>
  <c r="AZ358" i="14609"/>
  <c r="BA358" i="14609"/>
  <c r="BB358" i="14609"/>
  <c r="BC358" i="14609"/>
  <c r="BD358" i="14609"/>
  <c r="BE358" i="14609"/>
  <c r="BF358" i="14609"/>
  <c r="BG358" i="14609"/>
  <c r="BH358" i="14609"/>
  <c r="BI358" i="14609"/>
  <c r="BJ358" i="14609"/>
  <c r="BK358" i="14609"/>
  <c r="BL358" i="14609"/>
  <c r="BM358" i="14609"/>
  <c r="BN358" i="14609"/>
  <c r="BO358" i="14609"/>
  <c r="BP358" i="14609"/>
  <c r="BQ358" i="14609"/>
  <c r="BR358" i="14609"/>
  <c r="BS358" i="14609"/>
  <c r="BT358" i="14609"/>
  <c r="BU358" i="14609"/>
  <c r="BV358" i="14609"/>
  <c r="BW358" i="14609"/>
  <c r="BX358" i="14609"/>
  <c r="BY358" i="14609"/>
  <c r="BZ358" i="14609"/>
  <c r="CA358" i="14609"/>
  <c r="CB358" i="14609"/>
  <c r="CC358" i="14609"/>
  <c r="CD358" i="14609"/>
  <c r="CE358" i="14609"/>
  <c r="CF358" i="14609"/>
  <c r="CG358" i="14609"/>
  <c r="CH358" i="14609"/>
  <c r="CI358" i="14609"/>
  <c r="CJ358" i="14609"/>
  <c r="CK358" i="14609"/>
  <c r="CL358" i="14609"/>
  <c r="CM358" i="14609"/>
  <c r="CN358" i="14609"/>
  <c r="CO358" i="14609"/>
  <c r="CP358" i="14609"/>
  <c r="CQ358" i="14609"/>
  <c r="CR358" i="14609"/>
  <c r="CS358" i="14609"/>
  <c r="CT358" i="14609"/>
  <c r="CU358" i="14609"/>
  <c r="CV358" i="14609"/>
  <c r="CW358" i="14609"/>
  <c r="CX358" i="14609"/>
  <c r="CY358" i="14609"/>
  <c r="CZ358" i="14609"/>
  <c r="DA358" i="14609"/>
  <c r="DB358" i="14609"/>
  <c r="DC358" i="14609"/>
  <c r="DD358" i="14609"/>
  <c r="DE358" i="14609"/>
  <c r="DF358" i="14609"/>
  <c r="DG358" i="14609"/>
  <c r="DH358" i="14609"/>
  <c r="DI358" i="14609"/>
  <c r="DJ358" i="14609"/>
  <c r="DK358" i="14609"/>
  <c r="DL358" i="14609"/>
  <c r="DM358" i="14609"/>
  <c r="DN358" i="14609"/>
  <c r="DO358" i="14609"/>
  <c r="DP358" i="14609"/>
  <c r="DQ358" i="14609"/>
  <c r="DR358" i="14609"/>
  <c r="DS358" i="14609"/>
  <c r="DT358" i="14609"/>
  <c r="DU358" i="14609"/>
  <c r="DV358" i="14609"/>
  <c r="DW358" i="14609"/>
  <c r="DX358" i="14609"/>
  <c r="DY358" i="14609"/>
  <c r="DZ358" i="14609"/>
  <c r="EA358" i="14609"/>
  <c r="EB358" i="14609"/>
  <c r="EC358" i="14609"/>
  <c r="ED358" i="14609"/>
  <c r="EE358" i="14609"/>
  <c r="EF358" i="14609"/>
  <c r="EG358" i="14609"/>
  <c r="EH358" i="14609"/>
  <c r="EI358" i="14609"/>
  <c r="EJ358" i="14609"/>
  <c r="EK358" i="14609"/>
  <c r="EL358" i="14609"/>
  <c r="EM358" i="14609"/>
  <c r="EN358" i="14609"/>
  <c r="EO358" i="14609"/>
  <c r="EP358" i="14609"/>
  <c r="EQ358" i="14609"/>
  <c r="ER358" i="14609"/>
  <c r="ES358" i="14609"/>
  <c r="ET358" i="14609"/>
  <c r="EU358" i="14609"/>
  <c r="EV358" i="14609"/>
  <c r="EW358" i="14609"/>
  <c r="EX358" i="14609"/>
  <c r="EY358" i="14609"/>
  <c r="EZ358" i="14609"/>
  <c r="FA358" i="14609"/>
  <c r="FB358" i="14609"/>
  <c r="FC358" i="14609"/>
  <c r="FD358" i="14609"/>
  <c r="FE358" i="14609"/>
  <c r="FF358" i="14609"/>
  <c r="FG358" i="14609"/>
  <c r="FH358" i="14609"/>
  <c r="FI358" i="14609"/>
  <c r="FJ358" i="14609"/>
  <c r="FK358" i="14609"/>
  <c r="FL358" i="14609"/>
  <c r="FM358" i="14609"/>
  <c r="FN358" i="14609"/>
  <c r="FO358" i="14609"/>
  <c r="FP358" i="14609"/>
  <c r="FQ358" i="14609"/>
  <c r="FR358" i="14609"/>
  <c r="FS358" i="14609"/>
  <c r="FT358" i="14609"/>
  <c r="FU358" i="14609"/>
  <c r="FV358" i="14609"/>
  <c r="FW358" i="14609"/>
  <c r="FX358" i="14609"/>
  <c r="FY358" i="14609"/>
  <c r="FZ358" i="14609"/>
  <c r="GA358" i="14609"/>
  <c r="GB358" i="14609"/>
  <c r="GC358" i="14609"/>
  <c r="GD358" i="14609"/>
  <c r="GE358" i="14609"/>
  <c r="GF358" i="14609"/>
  <c r="GG358" i="14609"/>
  <c r="GH358" i="14609"/>
  <c r="GI358" i="14609"/>
  <c r="GJ358" i="14609"/>
  <c r="GK358" i="14609"/>
  <c r="GL358" i="14609"/>
  <c r="GM358" i="14609"/>
  <c r="GN358" i="14609"/>
  <c r="GO358" i="14609"/>
  <c r="GP358" i="14609"/>
  <c r="GQ358" i="14609"/>
  <c r="GR358" i="14609"/>
  <c r="GS358" i="14609"/>
  <c r="GT358" i="14609"/>
  <c r="GU358" i="14609"/>
  <c r="GV358" i="14609"/>
  <c r="GW358" i="14609"/>
  <c r="GX358" i="14609"/>
  <c r="GY358" i="14609"/>
  <c r="GZ358" i="14609"/>
  <c r="HA358" i="14609"/>
  <c r="HB358" i="14609"/>
  <c r="HC358" i="14609"/>
  <c r="HD358" i="14609"/>
  <c r="HE358" i="14609"/>
  <c r="HF358" i="14609"/>
  <c r="HG358" i="14609"/>
  <c r="HH358" i="14609"/>
  <c r="HI358" i="14609"/>
  <c r="HJ358" i="14609"/>
  <c r="HK358" i="14609"/>
  <c r="HL358" i="14609"/>
  <c r="HM358" i="14609"/>
  <c r="HN358" i="14609"/>
  <c r="HO358" i="14609"/>
  <c r="HP358" i="14609"/>
  <c r="HQ358" i="14609"/>
  <c r="HR358" i="14609"/>
  <c r="HS358" i="14609"/>
  <c r="HT358" i="14609"/>
  <c r="HU358" i="14609"/>
  <c r="HV358" i="14609"/>
  <c r="HW358" i="14609"/>
  <c r="HX358" i="14609"/>
  <c r="HY358" i="14609"/>
  <c r="HZ358" i="14609"/>
  <c r="IA358" i="14609"/>
  <c r="IB358" i="14609"/>
  <c r="IC358" i="14609"/>
  <c r="ID358" i="14609"/>
  <c r="IE358" i="14609"/>
  <c r="IF358" i="14609"/>
  <c r="IG358" i="14609"/>
  <c r="IH358" i="14609"/>
  <c r="II358" i="14609"/>
  <c r="IJ358" i="14609"/>
  <c r="IK358" i="14609"/>
  <c r="IL358" i="14609"/>
  <c r="IM358" i="14609"/>
  <c r="IN358" i="14609"/>
  <c r="IO358" i="14609"/>
  <c r="IP358" i="14609"/>
  <c r="IQ358" i="14609"/>
  <c r="IR358" i="14609"/>
  <c r="IS358" i="14609"/>
  <c r="IT358" i="14609"/>
  <c r="IU358" i="14609"/>
  <c r="IV358" i="14609"/>
  <c r="A357" i="14609"/>
  <c r="B357" i="14609"/>
  <c r="C357" i="14609"/>
  <c r="D357" i="14609"/>
  <c r="E357" i="14609"/>
  <c r="F357" i="14609"/>
  <c r="G357" i="14609"/>
  <c r="H357" i="14609"/>
  <c r="I357" i="14609"/>
  <c r="J357" i="14609"/>
  <c r="K357" i="14609"/>
  <c r="L357" i="14609"/>
  <c r="M357" i="14609"/>
  <c r="N357" i="14609"/>
  <c r="O357" i="14609"/>
  <c r="P357" i="14609"/>
  <c r="Q357" i="14609"/>
  <c r="R357" i="14609"/>
  <c r="S357" i="14609"/>
  <c r="T357" i="14609"/>
  <c r="U357" i="14609"/>
  <c r="V357" i="14609"/>
  <c r="W357" i="14609"/>
  <c r="X357" i="14609"/>
  <c r="Y357" i="14609"/>
  <c r="Z357" i="14609"/>
  <c r="AA357" i="14609"/>
  <c r="AB357" i="14609"/>
  <c r="AC357" i="14609"/>
  <c r="AD357" i="14609"/>
  <c r="AE357" i="14609"/>
  <c r="AF357" i="14609"/>
  <c r="AG357" i="14609"/>
  <c r="AH357" i="14609"/>
  <c r="AI357" i="14609"/>
  <c r="AJ357" i="14609"/>
  <c r="AK357" i="14609"/>
  <c r="AL357" i="14609"/>
  <c r="AM357" i="14609"/>
  <c r="AN357" i="14609"/>
  <c r="AO357" i="14609"/>
  <c r="AP357" i="14609"/>
  <c r="AQ357" i="14609"/>
  <c r="AR357" i="14609"/>
  <c r="AS357" i="14609"/>
  <c r="AT357" i="14609"/>
  <c r="AU357" i="14609"/>
  <c r="AV357" i="14609"/>
  <c r="AW357" i="14609"/>
  <c r="AX357" i="14609"/>
  <c r="AY357" i="14609"/>
  <c r="AZ357" i="14609"/>
  <c r="BA357" i="14609"/>
  <c r="BB357" i="14609"/>
  <c r="BC357" i="14609"/>
  <c r="BD357" i="14609"/>
  <c r="BE357" i="14609"/>
  <c r="BF357" i="14609"/>
  <c r="BG357" i="14609"/>
  <c r="BH357" i="14609"/>
  <c r="BI357" i="14609"/>
  <c r="BJ357" i="14609"/>
  <c r="BK357" i="14609"/>
  <c r="BL357" i="14609"/>
  <c r="BM357" i="14609"/>
  <c r="BN357" i="14609"/>
  <c r="BO357" i="14609"/>
  <c r="BP357" i="14609"/>
  <c r="BQ357" i="14609"/>
  <c r="BR357" i="14609"/>
  <c r="BS357" i="14609"/>
  <c r="BT357" i="14609"/>
  <c r="BU357" i="14609"/>
  <c r="BV357" i="14609"/>
  <c r="BW357" i="14609"/>
  <c r="BX357" i="14609"/>
  <c r="BY357" i="14609"/>
  <c r="BZ357" i="14609"/>
  <c r="CA357" i="14609"/>
  <c r="CB357" i="14609"/>
  <c r="CC357" i="14609"/>
  <c r="CD357" i="14609"/>
  <c r="CE357" i="14609"/>
  <c r="CF357" i="14609"/>
  <c r="CG357" i="14609"/>
  <c r="CH357" i="14609"/>
  <c r="CI357" i="14609"/>
  <c r="CJ357" i="14609"/>
  <c r="CK357" i="14609"/>
  <c r="CL357" i="14609"/>
  <c r="CM357" i="14609"/>
  <c r="CN357" i="14609"/>
  <c r="CO357" i="14609"/>
  <c r="CP357" i="14609"/>
  <c r="CQ357" i="14609"/>
  <c r="CR357" i="14609"/>
  <c r="CS357" i="14609"/>
  <c r="CT357" i="14609"/>
  <c r="CU357" i="14609"/>
  <c r="CV357" i="14609"/>
  <c r="CW357" i="14609"/>
  <c r="CX357" i="14609"/>
  <c r="CY357" i="14609"/>
  <c r="CZ357" i="14609"/>
  <c r="DA357" i="14609"/>
  <c r="DB357" i="14609"/>
  <c r="DC357" i="14609"/>
  <c r="DD357" i="14609"/>
  <c r="DE357" i="14609"/>
  <c r="DF357" i="14609"/>
  <c r="DG357" i="14609"/>
  <c r="DH357" i="14609"/>
  <c r="DI357" i="14609"/>
  <c r="DJ357" i="14609"/>
  <c r="DK357" i="14609"/>
  <c r="DL357" i="14609"/>
  <c r="DM357" i="14609"/>
  <c r="DN357" i="14609"/>
  <c r="DO357" i="14609"/>
  <c r="DP357" i="14609"/>
  <c r="DQ357" i="14609"/>
  <c r="DR357" i="14609"/>
  <c r="DS357" i="14609"/>
  <c r="DT357" i="14609"/>
  <c r="DU357" i="14609"/>
  <c r="DV357" i="14609"/>
  <c r="DW357" i="14609"/>
  <c r="DX357" i="14609"/>
  <c r="DY357" i="14609"/>
  <c r="DZ357" i="14609"/>
  <c r="EA357" i="14609"/>
  <c r="EB357" i="14609"/>
  <c r="EC357" i="14609"/>
  <c r="ED357" i="14609"/>
  <c r="EE357" i="14609"/>
  <c r="EF357" i="14609"/>
  <c r="EG357" i="14609"/>
  <c r="EH357" i="14609"/>
  <c r="EI357" i="14609"/>
  <c r="EJ357" i="14609"/>
  <c r="EK357" i="14609"/>
  <c r="EL357" i="14609"/>
  <c r="EM357" i="14609"/>
  <c r="EN357" i="14609"/>
  <c r="EO357" i="14609"/>
  <c r="EP357" i="14609"/>
  <c r="EQ357" i="14609"/>
  <c r="ER357" i="14609"/>
  <c r="ES357" i="14609"/>
  <c r="ET357" i="14609"/>
  <c r="EU357" i="14609"/>
  <c r="EV357" i="14609"/>
  <c r="EW357" i="14609"/>
  <c r="EX357" i="14609"/>
  <c r="EY357" i="14609"/>
  <c r="EZ357" i="14609"/>
  <c r="FA357" i="14609"/>
  <c r="FB357" i="14609"/>
  <c r="FC357" i="14609"/>
  <c r="FD357" i="14609"/>
  <c r="FE357" i="14609"/>
  <c r="FF357" i="14609"/>
  <c r="FG357" i="14609"/>
  <c r="FH357" i="14609"/>
  <c r="FI357" i="14609"/>
  <c r="FJ357" i="14609"/>
  <c r="FK357" i="14609"/>
  <c r="FL357" i="14609"/>
  <c r="FM357" i="14609"/>
  <c r="FN357" i="14609"/>
  <c r="FO357" i="14609"/>
  <c r="FP357" i="14609"/>
  <c r="FQ357" i="14609"/>
  <c r="FR357" i="14609"/>
  <c r="FS357" i="14609"/>
  <c r="FT357" i="14609"/>
  <c r="FU357" i="14609"/>
  <c r="FV357" i="14609"/>
  <c r="FW357" i="14609"/>
  <c r="FX357" i="14609"/>
  <c r="FY357" i="14609"/>
  <c r="FZ357" i="14609"/>
  <c r="GA357" i="14609"/>
  <c r="GB357" i="14609"/>
  <c r="GC357" i="14609"/>
  <c r="GD357" i="14609"/>
  <c r="GE357" i="14609"/>
  <c r="GF357" i="14609"/>
  <c r="GG357" i="14609"/>
  <c r="GH357" i="14609"/>
  <c r="GI357" i="14609"/>
  <c r="GJ357" i="14609"/>
  <c r="GK357" i="14609"/>
  <c r="GL357" i="14609"/>
  <c r="GM357" i="14609"/>
  <c r="GN357" i="14609"/>
  <c r="GO357" i="14609"/>
  <c r="GP357" i="14609"/>
  <c r="GQ357" i="14609"/>
  <c r="GR357" i="14609"/>
  <c r="GS357" i="14609"/>
  <c r="GT357" i="14609"/>
  <c r="GU357" i="14609"/>
  <c r="GV357" i="14609"/>
  <c r="GW357" i="14609"/>
  <c r="GX357" i="14609"/>
  <c r="GY357" i="14609"/>
  <c r="GZ357" i="14609"/>
  <c r="HA357" i="14609"/>
  <c r="HB357" i="14609"/>
  <c r="HC357" i="14609"/>
  <c r="HD357" i="14609"/>
  <c r="HE357" i="14609"/>
  <c r="HF357" i="14609"/>
  <c r="HG357" i="14609"/>
  <c r="HH357" i="14609"/>
  <c r="HI357" i="14609"/>
  <c r="HJ357" i="14609"/>
  <c r="HK357" i="14609"/>
  <c r="HL357" i="14609"/>
  <c r="HM357" i="14609"/>
  <c r="HN357" i="14609"/>
  <c r="HO357" i="14609"/>
  <c r="HP357" i="14609"/>
  <c r="HQ357" i="14609"/>
  <c r="HR357" i="14609"/>
  <c r="HS357" i="14609"/>
  <c r="HT357" i="14609"/>
  <c r="HU357" i="14609"/>
  <c r="HV357" i="14609"/>
  <c r="HW357" i="14609"/>
  <c r="HX357" i="14609"/>
  <c r="HY357" i="14609"/>
  <c r="HZ357" i="14609"/>
  <c r="IA357" i="14609"/>
  <c r="IB357" i="14609"/>
  <c r="IC357" i="14609"/>
  <c r="ID357" i="14609"/>
  <c r="IE357" i="14609"/>
  <c r="IF357" i="14609"/>
  <c r="IG357" i="14609"/>
  <c r="IH357" i="14609"/>
  <c r="II357" i="14609"/>
  <c r="IJ357" i="14609"/>
  <c r="IK357" i="14609"/>
  <c r="IL357" i="14609"/>
  <c r="IM357" i="14609"/>
  <c r="IN357" i="14609"/>
  <c r="IO357" i="14609"/>
  <c r="IP357" i="14609"/>
  <c r="IQ357" i="14609"/>
  <c r="IR357" i="14609"/>
  <c r="IS357" i="14609"/>
  <c r="IT357" i="14609"/>
  <c r="IU357" i="14609"/>
  <c r="IV357" i="14609"/>
  <c r="A356" i="14609"/>
  <c r="B356" i="14609"/>
  <c r="C356" i="14609"/>
  <c r="D356" i="14609"/>
  <c r="E356" i="14609"/>
  <c r="F356" i="14609"/>
  <c r="G356" i="14609"/>
  <c r="H356" i="14609"/>
  <c r="I356" i="14609"/>
  <c r="J356" i="14609"/>
  <c r="K356" i="14609"/>
  <c r="L356" i="14609"/>
  <c r="M356" i="14609"/>
  <c r="N356" i="14609"/>
  <c r="O356" i="14609"/>
  <c r="P356" i="14609"/>
  <c r="Q356" i="14609"/>
  <c r="R356" i="14609"/>
  <c r="S356" i="14609"/>
  <c r="T356" i="14609"/>
  <c r="U356" i="14609"/>
  <c r="V356" i="14609"/>
  <c r="W356" i="14609"/>
  <c r="X356" i="14609"/>
  <c r="Y356" i="14609"/>
  <c r="Z356" i="14609"/>
  <c r="AA356" i="14609"/>
  <c r="AB356" i="14609"/>
  <c r="AC356" i="14609"/>
  <c r="AD356" i="14609"/>
  <c r="AE356" i="14609"/>
  <c r="AF356" i="14609"/>
  <c r="AG356" i="14609"/>
  <c r="AH356" i="14609"/>
  <c r="AI356" i="14609"/>
  <c r="AJ356" i="14609"/>
  <c r="AK356" i="14609"/>
  <c r="AL356" i="14609"/>
  <c r="AM356" i="14609"/>
  <c r="AN356" i="14609"/>
  <c r="AO356" i="14609"/>
  <c r="AP356" i="14609"/>
  <c r="AQ356" i="14609"/>
  <c r="AR356" i="14609"/>
  <c r="AS356" i="14609"/>
  <c r="AT356" i="14609"/>
  <c r="AU356" i="14609"/>
  <c r="AV356" i="14609"/>
  <c r="AW356" i="14609"/>
  <c r="AX356" i="14609"/>
  <c r="AY356" i="14609"/>
  <c r="AZ356" i="14609"/>
  <c r="BA356" i="14609"/>
  <c r="BB356" i="14609"/>
  <c r="BC356" i="14609"/>
  <c r="BD356" i="14609"/>
  <c r="BE356" i="14609"/>
  <c r="BF356" i="14609"/>
  <c r="BG356" i="14609"/>
  <c r="BH356" i="14609"/>
  <c r="BI356" i="14609"/>
  <c r="BJ356" i="14609"/>
  <c r="BK356" i="14609"/>
  <c r="BL356" i="14609"/>
  <c r="BM356" i="14609"/>
  <c r="BN356" i="14609"/>
  <c r="BO356" i="14609"/>
  <c r="BP356" i="14609"/>
  <c r="BQ356" i="14609"/>
  <c r="BR356" i="14609"/>
  <c r="BS356" i="14609"/>
  <c r="BT356" i="14609"/>
  <c r="BU356" i="14609"/>
  <c r="BV356" i="14609"/>
  <c r="BW356" i="14609"/>
  <c r="BX356" i="14609"/>
  <c r="BY356" i="14609"/>
  <c r="BZ356" i="14609"/>
  <c r="CA356" i="14609"/>
  <c r="CB356" i="14609"/>
  <c r="CC356" i="14609"/>
  <c r="CD356" i="14609"/>
  <c r="CE356" i="14609"/>
  <c r="CF356" i="14609"/>
  <c r="CG356" i="14609"/>
  <c r="CH356" i="14609"/>
  <c r="CI356" i="14609"/>
  <c r="CJ356" i="14609"/>
  <c r="CK356" i="14609"/>
  <c r="CL356" i="14609"/>
  <c r="CM356" i="14609"/>
  <c r="CN356" i="14609"/>
  <c r="CO356" i="14609"/>
  <c r="CP356" i="14609"/>
  <c r="CQ356" i="14609"/>
  <c r="CR356" i="14609"/>
  <c r="CS356" i="14609"/>
  <c r="CT356" i="14609"/>
  <c r="CU356" i="14609"/>
  <c r="CV356" i="14609"/>
  <c r="CW356" i="14609"/>
  <c r="CX356" i="14609"/>
  <c r="CY356" i="14609"/>
  <c r="CZ356" i="14609"/>
  <c r="DA356" i="14609"/>
  <c r="DB356" i="14609"/>
  <c r="DC356" i="14609"/>
  <c r="DD356" i="14609"/>
  <c r="DE356" i="14609"/>
  <c r="DF356" i="14609"/>
  <c r="DG356" i="14609"/>
  <c r="DH356" i="14609"/>
  <c r="DI356" i="14609"/>
  <c r="DJ356" i="14609"/>
  <c r="DK356" i="14609"/>
  <c r="DL356" i="14609"/>
  <c r="DM356" i="14609"/>
  <c r="DN356" i="14609"/>
  <c r="DO356" i="14609"/>
  <c r="DP356" i="14609"/>
  <c r="DQ356" i="14609"/>
  <c r="DR356" i="14609"/>
  <c r="DS356" i="14609"/>
  <c r="DT356" i="14609"/>
  <c r="DU356" i="14609"/>
  <c r="DV356" i="14609"/>
  <c r="DW356" i="14609"/>
  <c r="DX356" i="14609"/>
  <c r="DY356" i="14609"/>
  <c r="DZ356" i="14609"/>
  <c r="EA356" i="14609"/>
  <c r="EB356" i="14609"/>
  <c r="EC356" i="14609"/>
  <c r="ED356" i="14609"/>
  <c r="EE356" i="14609"/>
  <c r="EF356" i="14609"/>
  <c r="EG356" i="14609"/>
  <c r="EH356" i="14609"/>
  <c r="EI356" i="14609"/>
  <c r="EJ356" i="14609"/>
  <c r="EK356" i="14609"/>
  <c r="EL356" i="14609"/>
  <c r="EM356" i="14609"/>
  <c r="EN356" i="14609"/>
  <c r="EO356" i="14609"/>
  <c r="EP356" i="14609"/>
  <c r="EQ356" i="14609"/>
  <c r="ER356" i="14609"/>
  <c r="ES356" i="14609"/>
  <c r="ET356" i="14609"/>
  <c r="EU356" i="14609"/>
  <c r="EV356" i="14609"/>
  <c r="EW356" i="14609"/>
  <c r="EX356" i="14609"/>
  <c r="EY356" i="14609"/>
  <c r="EZ356" i="14609"/>
  <c r="FA356" i="14609"/>
  <c r="FB356" i="14609"/>
  <c r="FC356" i="14609"/>
  <c r="FD356" i="14609"/>
  <c r="FE356" i="14609"/>
  <c r="FF356" i="14609"/>
  <c r="FG356" i="14609"/>
  <c r="FH356" i="14609"/>
  <c r="FI356" i="14609"/>
  <c r="FJ356" i="14609"/>
  <c r="FK356" i="14609"/>
  <c r="FL356" i="14609"/>
  <c r="FM356" i="14609"/>
  <c r="FN356" i="14609"/>
  <c r="FO356" i="14609"/>
  <c r="FP356" i="14609"/>
  <c r="FQ356" i="14609"/>
  <c r="FR356" i="14609"/>
  <c r="FS356" i="14609"/>
  <c r="FT356" i="14609"/>
  <c r="FU356" i="14609"/>
  <c r="FV356" i="14609"/>
  <c r="FW356" i="14609"/>
  <c r="FX356" i="14609"/>
  <c r="FY356" i="14609"/>
  <c r="FZ356" i="14609"/>
  <c r="GA356" i="14609"/>
  <c r="GB356" i="14609"/>
  <c r="GC356" i="14609"/>
  <c r="GD356" i="14609"/>
  <c r="GE356" i="14609"/>
  <c r="GF356" i="14609"/>
  <c r="GG356" i="14609"/>
  <c r="GH356" i="14609"/>
  <c r="GI356" i="14609"/>
  <c r="GJ356" i="14609"/>
  <c r="GK356" i="14609"/>
  <c r="GL356" i="14609"/>
  <c r="GM356" i="14609"/>
  <c r="GN356" i="14609"/>
  <c r="GO356" i="14609"/>
  <c r="GP356" i="14609"/>
  <c r="GQ356" i="14609"/>
  <c r="GR356" i="14609"/>
  <c r="GS356" i="14609"/>
  <c r="GT356" i="14609"/>
  <c r="GU356" i="14609"/>
  <c r="GV356" i="14609"/>
  <c r="GW356" i="14609"/>
  <c r="GX356" i="14609"/>
  <c r="GY356" i="14609"/>
  <c r="GZ356" i="14609"/>
  <c r="HA356" i="14609"/>
  <c r="HB356" i="14609"/>
  <c r="HC356" i="14609"/>
  <c r="HD356" i="14609"/>
  <c r="HE356" i="14609"/>
  <c r="HF356" i="14609"/>
  <c r="HG356" i="14609"/>
  <c r="HH356" i="14609"/>
  <c r="HI356" i="14609"/>
  <c r="HJ356" i="14609"/>
  <c r="HK356" i="14609"/>
  <c r="HL356" i="14609"/>
  <c r="HM356" i="14609"/>
  <c r="HN356" i="14609"/>
  <c r="HO356" i="14609"/>
  <c r="HP356" i="14609"/>
  <c r="HQ356" i="14609"/>
  <c r="HR356" i="14609"/>
  <c r="HS356" i="14609"/>
  <c r="HT356" i="14609"/>
  <c r="HU356" i="14609"/>
  <c r="HV356" i="14609"/>
  <c r="HW356" i="14609"/>
  <c r="HX356" i="14609"/>
  <c r="HY356" i="14609"/>
  <c r="HZ356" i="14609"/>
  <c r="IA356" i="14609"/>
  <c r="IB356" i="14609"/>
  <c r="IC356" i="14609"/>
  <c r="ID356" i="14609"/>
  <c r="IE356" i="14609"/>
  <c r="IF356" i="14609"/>
  <c r="IG356" i="14609"/>
  <c r="IH356" i="14609"/>
  <c r="II356" i="14609"/>
  <c r="IJ356" i="14609"/>
  <c r="IK356" i="14609"/>
  <c r="IL356" i="14609"/>
  <c r="IM356" i="14609"/>
  <c r="IN356" i="14609"/>
  <c r="IO356" i="14609"/>
  <c r="IP356" i="14609"/>
  <c r="IQ356" i="14609"/>
  <c r="IR356" i="14609"/>
  <c r="IS356" i="14609"/>
  <c r="IT356" i="14609"/>
  <c r="IU356" i="14609"/>
  <c r="IV356" i="14609"/>
  <c r="A355" i="14609"/>
  <c r="B355" i="14609"/>
  <c r="C355" i="14609"/>
  <c r="D355" i="14609"/>
  <c r="E355" i="14609"/>
  <c r="F355" i="14609"/>
  <c r="G355" i="14609"/>
  <c r="H355" i="14609"/>
  <c r="I355" i="14609"/>
  <c r="J355" i="14609"/>
  <c r="K355" i="14609"/>
  <c r="L355" i="14609"/>
  <c r="M355" i="14609"/>
  <c r="N355" i="14609"/>
  <c r="O355" i="14609"/>
  <c r="P355" i="14609"/>
  <c r="Q355" i="14609"/>
  <c r="R355" i="14609"/>
  <c r="S355" i="14609"/>
  <c r="T355" i="14609"/>
  <c r="U355" i="14609"/>
  <c r="V355" i="14609"/>
  <c r="W355" i="14609"/>
  <c r="X355" i="14609"/>
  <c r="Y355" i="14609"/>
  <c r="Z355" i="14609"/>
  <c r="AA355" i="14609"/>
  <c r="AB355" i="14609"/>
  <c r="AC355" i="14609"/>
  <c r="AD355" i="14609"/>
  <c r="AE355" i="14609"/>
  <c r="AF355" i="14609"/>
  <c r="AG355" i="14609"/>
  <c r="AH355" i="14609"/>
  <c r="AI355" i="14609"/>
  <c r="AJ355" i="14609"/>
  <c r="AK355" i="14609"/>
  <c r="AL355" i="14609"/>
  <c r="AM355" i="14609"/>
  <c r="AN355" i="14609"/>
  <c r="AO355" i="14609"/>
  <c r="AP355" i="14609"/>
  <c r="AQ355" i="14609"/>
  <c r="AR355" i="14609"/>
  <c r="AS355" i="14609"/>
  <c r="AT355" i="14609"/>
  <c r="AU355" i="14609"/>
  <c r="AV355" i="14609"/>
  <c r="AW355" i="14609"/>
  <c r="AX355" i="14609"/>
  <c r="AY355" i="14609"/>
  <c r="AZ355" i="14609"/>
  <c r="BA355" i="14609"/>
  <c r="BB355" i="14609"/>
  <c r="BC355" i="14609"/>
  <c r="BD355" i="14609"/>
  <c r="BE355" i="14609"/>
  <c r="BF355" i="14609"/>
  <c r="BG355" i="14609"/>
  <c r="BH355" i="14609"/>
  <c r="BI355" i="14609"/>
  <c r="BJ355" i="14609"/>
  <c r="BK355" i="14609"/>
  <c r="BL355" i="14609"/>
  <c r="BM355" i="14609"/>
  <c r="BN355" i="14609"/>
  <c r="BO355" i="14609"/>
  <c r="BP355" i="14609"/>
  <c r="BQ355" i="14609"/>
  <c r="BR355" i="14609"/>
  <c r="BS355" i="14609"/>
  <c r="BT355" i="14609"/>
  <c r="BU355" i="14609"/>
  <c r="BV355" i="14609"/>
  <c r="BW355" i="14609"/>
  <c r="BX355" i="14609"/>
  <c r="BY355" i="14609"/>
  <c r="BZ355" i="14609"/>
  <c r="CA355" i="14609"/>
  <c r="CB355" i="14609"/>
  <c r="CC355" i="14609"/>
  <c r="CD355" i="14609"/>
  <c r="CE355" i="14609"/>
  <c r="CF355" i="14609"/>
  <c r="CG355" i="14609"/>
  <c r="CH355" i="14609"/>
  <c r="CI355" i="14609"/>
  <c r="CJ355" i="14609"/>
  <c r="CK355" i="14609"/>
  <c r="CL355" i="14609"/>
  <c r="CM355" i="14609"/>
  <c r="CN355" i="14609"/>
  <c r="CO355" i="14609"/>
  <c r="CP355" i="14609"/>
  <c r="CQ355" i="14609"/>
  <c r="CR355" i="14609"/>
  <c r="CS355" i="14609"/>
  <c r="CT355" i="14609"/>
  <c r="CU355" i="14609"/>
  <c r="CV355" i="14609"/>
  <c r="CW355" i="14609"/>
  <c r="CX355" i="14609"/>
  <c r="CY355" i="14609"/>
  <c r="CZ355" i="14609"/>
  <c r="DA355" i="14609"/>
  <c r="DB355" i="14609"/>
  <c r="DC355" i="14609"/>
  <c r="DD355" i="14609"/>
  <c r="DE355" i="14609"/>
  <c r="DF355" i="14609"/>
  <c r="DG355" i="14609"/>
  <c r="DH355" i="14609"/>
  <c r="DI355" i="14609"/>
  <c r="DJ355" i="14609"/>
  <c r="DK355" i="14609"/>
  <c r="DL355" i="14609"/>
  <c r="DM355" i="14609"/>
  <c r="DN355" i="14609"/>
  <c r="DO355" i="14609"/>
  <c r="DP355" i="14609"/>
  <c r="DQ355" i="14609"/>
  <c r="DR355" i="14609"/>
  <c r="DS355" i="14609"/>
  <c r="DT355" i="14609"/>
  <c r="DU355" i="14609"/>
  <c r="DV355" i="14609"/>
  <c r="DW355" i="14609"/>
  <c r="DX355" i="14609"/>
  <c r="DY355" i="14609"/>
  <c r="DZ355" i="14609"/>
  <c r="EA355" i="14609"/>
  <c r="EB355" i="14609"/>
  <c r="EC355" i="14609"/>
  <c r="ED355" i="14609"/>
  <c r="EE355" i="14609"/>
  <c r="EF355" i="14609"/>
  <c r="EG355" i="14609"/>
  <c r="EH355" i="14609"/>
  <c r="EI355" i="14609"/>
  <c r="EJ355" i="14609"/>
  <c r="EK355" i="14609"/>
  <c r="EL355" i="14609"/>
  <c r="EM355" i="14609"/>
  <c r="EN355" i="14609"/>
  <c r="EO355" i="14609"/>
  <c r="EP355" i="14609"/>
  <c r="EQ355" i="14609"/>
  <c r="ER355" i="14609"/>
  <c r="ES355" i="14609"/>
  <c r="ET355" i="14609"/>
  <c r="EU355" i="14609"/>
  <c r="EV355" i="14609"/>
  <c r="EW355" i="14609"/>
  <c r="EX355" i="14609"/>
  <c r="EY355" i="14609"/>
  <c r="EZ355" i="14609"/>
  <c r="FA355" i="14609"/>
  <c r="FB355" i="14609"/>
  <c r="FC355" i="14609"/>
  <c r="FD355" i="14609"/>
  <c r="FE355" i="14609"/>
  <c r="FF355" i="14609"/>
  <c r="FG355" i="14609"/>
  <c r="FH355" i="14609"/>
  <c r="FI355" i="14609"/>
  <c r="FJ355" i="14609"/>
  <c r="FK355" i="14609"/>
  <c r="FL355" i="14609"/>
  <c r="FM355" i="14609"/>
  <c r="FN355" i="14609"/>
  <c r="FO355" i="14609"/>
  <c r="FP355" i="14609"/>
  <c r="FQ355" i="14609"/>
  <c r="FR355" i="14609"/>
  <c r="FS355" i="14609"/>
  <c r="FT355" i="14609"/>
  <c r="FU355" i="14609"/>
  <c r="FV355" i="14609"/>
  <c r="FW355" i="14609"/>
  <c r="FX355" i="14609"/>
  <c r="FY355" i="14609"/>
  <c r="FZ355" i="14609"/>
  <c r="GA355" i="14609"/>
  <c r="GB355" i="14609"/>
  <c r="GC355" i="14609"/>
  <c r="GD355" i="14609"/>
  <c r="GE355" i="14609"/>
  <c r="GF355" i="14609"/>
  <c r="GG355" i="14609"/>
  <c r="GH355" i="14609"/>
  <c r="GI355" i="14609"/>
  <c r="GJ355" i="14609"/>
  <c r="GK355" i="14609"/>
  <c r="GL355" i="14609"/>
  <c r="GM355" i="14609"/>
  <c r="GN355" i="14609"/>
  <c r="GO355" i="14609"/>
  <c r="GP355" i="14609"/>
  <c r="GQ355" i="14609"/>
  <c r="GR355" i="14609"/>
  <c r="GS355" i="14609"/>
  <c r="GT355" i="14609"/>
  <c r="GU355" i="14609"/>
  <c r="GV355" i="14609"/>
  <c r="GW355" i="14609"/>
  <c r="GX355" i="14609"/>
  <c r="GY355" i="14609"/>
  <c r="GZ355" i="14609"/>
  <c r="HA355" i="14609"/>
  <c r="HB355" i="14609"/>
  <c r="HC355" i="14609"/>
  <c r="HD355" i="14609"/>
  <c r="HE355" i="14609"/>
  <c r="HF355" i="14609"/>
  <c r="HG355" i="14609"/>
  <c r="HH355" i="14609"/>
  <c r="HI355" i="14609"/>
  <c r="HJ355" i="14609"/>
  <c r="HK355" i="14609"/>
  <c r="HL355" i="14609"/>
  <c r="HM355" i="14609"/>
  <c r="HN355" i="14609"/>
  <c r="HO355" i="14609"/>
  <c r="HP355" i="14609"/>
  <c r="HQ355" i="14609"/>
  <c r="HR355" i="14609"/>
  <c r="HS355" i="14609"/>
  <c r="HT355" i="14609"/>
  <c r="HU355" i="14609"/>
  <c r="HV355" i="14609"/>
  <c r="HW355" i="14609"/>
  <c r="HX355" i="14609"/>
  <c r="HY355" i="14609"/>
  <c r="HZ355" i="14609"/>
  <c r="IA355" i="14609"/>
  <c r="IB355" i="14609"/>
  <c r="IC355" i="14609"/>
  <c r="ID355" i="14609"/>
  <c r="IE355" i="14609"/>
  <c r="IF355" i="14609"/>
  <c r="IG355" i="14609"/>
  <c r="IH355" i="14609"/>
  <c r="II355" i="14609"/>
  <c r="IJ355" i="14609"/>
  <c r="IK355" i="14609"/>
  <c r="IL355" i="14609"/>
  <c r="IM355" i="14609"/>
  <c r="IN355" i="14609"/>
  <c r="IO355" i="14609"/>
  <c r="IP355" i="14609"/>
  <c r="IQ355" i="14609"/>
  <c r="IR355" i="14609"/>
  <c r="IS355" i="14609"/>
  <c r="IT355" i="14609"/>
  <c r="IU355" i="14609"/>
  <c r="IV355" i="14609"/>
  <c r="A354" i="14609"/>
  <c r="B354" i="14609"/>
  <c r="C354" i="14609"/>
  <c r="D354" i="14609"/>
  <c r="E354" i="14609"/>
  <c r="F354" i="14609"/>
  <c r="G354" i="14609"/>
  <c r="H354" i="14609"/>
  <c r="I354" i="14609"/>
  <c r="J354" i="14609"/>
  <c r="K354" i="14609"/>
  <c r="L354" i="14609"/>
  <c r="M354" i="14609"/>
  <c r="N354" i="14609"/>
  <c r="O354" i="14609"/>
  <c r="P354" i="14609"/>
  <c r="Q354" i="14609"/>
  <c r="R354" i="14609"/>
  <c r="S354" i="14609"/>
  <c r="T354" i="14609"/>
  <c r="U354" i="14609"/>
  <c r="V354" i="14609"/>
  <c r="W354" i="14609"/>
  <c r="X354" i="14609"/>
  <c r="Y354" i="14609"/>
  <c r="Z354" i="14609"/>
  <c r="AA354" i="14609"/>
  <c r="AB354" i="14609"/>
  <c r="AC354" i="14609"/>
  <c r="AD354" i="14609"/>
  <c r="AE354" i="14609"/>
  <c r="AF354" i="14609"/>
  <c r="AG354" i="14609"/>
  <c r="AH354" i="14609"/>
  <c r="AI354" i="14609"/>
  <c r="AJ354" i="14609"/>
  <c r="AK354" i="14609"/>
  <c r="AL354" i="14609"/>
  <c r="AM354" i="14609"/>
  <c r="AN354" i="14609"/>
  <c r="AO354" i="14609"/>
  <c r="AP354" i="14609"/>
  <c r="AQ354" i="14609"/>
  <c r="AR354" i="14609"/>
  <c r="AS354" i="14609"/>
  <c r="AT354" i="14609"/>
  <c r="AU354" i="14609"/>
  <c r="AV354" i="14609"/>
  <c r="AW354" i="14609"/>
  <c r="AX354" i="14609"/>
  <c r="AY354" i="14609"/>
  <c r="AZ354" i="14609"/>
  <c r="BA354" i="14609"/>
  <c r="BB354" i="14609"/>
  <c r="BC354" i="14609"/>
  <c r="BD354" i="14609"/>
  <c r="BE354" i="14609"/>
  <c r="BF354" i="14609"/>
  <c r="BG354" i="14609"/>
  <c r="BH354" i="14609"/>
  <c r="BI354" i="14609"/>
  <c r="BJ354" i="14609"/>
  <c r="BK354" i="14609"/>
  <c r="BL354" i="14609"/>
  <c r="BM354" i="14609"/>
  <c r="BN354" i="14609"/>
  <c r="BO354" i="14609"/>
  <c r="BP354" i="14609"/>
  <c r="BQ354" i="14609"/>
  <c r="BR354" i="14609"/>
  <c r="BS354" i="14609"/>
  <c r="BT354" i="14609"/>
  <c r="BU354" i="14609"/>
  <c r="BV354" i="14609"/>
  <c r="BW354" i="14609"/>
  <c r="BX354" i="14609"/>
  <c r="BY354" i="14609"/>
  <c r="BZ354" i="14609"/>
  <c r="CA354" i="14609"/>
  <c r="CB354" i="14609"/>
  <c r="CC354" i="14609"/>
  <c r="CD354" i="14609"/>
  <c r="CE354" i="14609"/>
  <c r="CF354" i="14609"/>
  <c r="CG354" i="14609"/>
  <c r="CH354" i="14609"/>
  <c r="CI354" i="14609"/>
  <c r="CJ354" i="14609"/>
  <c r="CK354" i="14609"/>
  <c r="CL354" i="14609"/>
  <c r="CM354" i="14609"/>
  <c r="CN354" i="14609"/>
  <c r="CO354" i="14609"/>
  <c r="CP354" i="14609"/>
  <c r="CQ354" i="14609"/>
  <c r="CR354" i="14609"/>
  <c r="CS354" i="14609"/>
  <c r="CT354" i="14609"/>
  <c r="CU354" i="14609"/>
  <c r="CV354" i="14609"/>
  <c r="CW354" i="14609"/>
  <c r="CX354" i="14609"/>
  <c r="CY354" i="14609"/>
  <c r="CZ354" i="14609"/>
  <c r="DA354" i="14609"/>
  <c r="DB354" i="14609"/>
  <c r="DC354" i="14609"/>
  <c r="DD354" i="14609"/>
  <c r="DE354" i="14609"/>
  <c r="DF354" i="14609"/>
  <c r="DG354" i="14609"/>
  <c r="DH354" i="14609"/>
  <c r="DI354" i="14609"/>
  <c r="DJ354" i="14609"/>
  <c r="DK354" i="14609"/>
  <c r="DL354" i="14609"/>
  <c r="DM354" i="14609"/>
  <c r="DN354" i="14609"/>
  <c r="DO354" i="14609"/>
  <c r="DP354" i="14609"/>
  <c r="DQ354" i="14609"/>
  <c r="DR354" i="14609"/>
  <c r="DS354" i="14609"/>
  <c r="DT354" i="14609"/>
  <c r="DU354" i="14609"/>
  <c r="DV354" i="14609"/>
  <c r="DW354" i="14609"/>
  <c r="DX354" i="14609"/>
  <c r="DY354" i="14609"/>
  <c r="DZ354" i="14609"/>
  <c r="EA354" i="14609"/>
  <c r="EB354" i="14609"/>
  <c r="EC354" i="14609"/>
  <c r="ED354" i="14609"/>
  <c r="EE354" i="14609"/>
  <c r="EF354" i="14609"/>
  <c r="EG354" i="14609"/>
  <c r="EH354" i="14609"/>
  <c r="EI354" i="14609"/>
  <c r="EJ354" i="14609"/>
  <c r="EK354" i="14609"/>
  <c r="EL354" i="14609"/>
  <c r="EM354" i="14609"/>
  <c r="EN354" i="14609"/>
  <c r="EO354" i="14609"/>
  <c r="EP354" i="14609"/>
  <c r="EQ354" i="14609"/>
  <c r="ER354" i="14609"/>
  <c r="ES354" i="14609"/>
  <c r="ET354" i="14609"/>
  <c r="EU354" i="14609"/>
  <c r="EV354" i="14609"/>
  <c r="EW354" i="14609"/>
  <c r="EX354" i="14609"/>
  <c r="EY354" i="14609"/>
  <c r="EZ354" i="14609"/>
  <c r="FA354" i="14609"/>
  <c r="FB354" i="14609"/>
  <c r="FC354" i="14609"/>
  <c r="FD354" i="14609"/>
  <c r="FE354" i="14609"/>
  <c r="FF354" i="14609"/>
  <c r="FG354" i="14609"/>
  <c r="FH354" i="14609"/>
  <c r="FI354" i="14609"/>
  <c r="FJ354" i="14609"/>
  <c r="FK354" i="14609"/>
  <c r="FL354" i="14609"/>
  <c r="FM354" i="14609"/>
  <c r="FN354" i="14609"/>
  <c r="FO354" i="14609"/>
  <c r="FP354" i="14609"/>
  <c r="FQ354" i="14609"/>
  <c r="FR354" i="14609"/>
  <c r="FS354" i="14609"/>
  <c r="FT354" i="14609"/>
  <c r="FU354" i="14609"/>
  <c r="FV354" i="14609"/>
  <c r="FW354" i="14609"/>
  <c r="FX354" i="14609"/>
  <c r="FY354" i="14609"/>
  <c r="FZ354" i="14609"/>
  <c r="GA354" i="14609"/>
  <c r="GB354" i="14609"/>
  <c r="GC354" i="14609"/>
  <c r="GD354" i="14609"/>
  <c r="GE354" i="14609"/>
  <c r="GF354" i="14609"/>
  <c r="GG354" i="14609"/>
  <c r="GH354" i="14609"/>
  <c r="GI354" i="14609"/>
  <c r="GJ354" i="14609"/>
  <c r="GK354" i="14609"/>
  <c r="GL354" i="14609"/>
  <c r="GM354" i="14609"/>
  <c r="GN354" i="14609"/>
  <c r="GO354" i="14609"/>
  <c r="GP354" i="14609"/>
  <c r="GQ354" i="14609"/>
  <c r="GR354" i="14609"/>
  <c r="GS354" i="14609"/>
  <c r="GT354" i="14609"/>
  <c r="GU354" i="14609"/>
  <c r="GV354" i="14609"/>
  <c r="GW354" i="14609"/>
  <c r="GX354" i="14609"/>
  <c r="GY354" i="14609"/>
  <c r="GZ354" i="14609"/>
  <c r="HA354" i="14609"/>
  <c r="HB354" i="14609"/>
  <c r="HC354" i="14609"/>
  <c r="HD354" i="14609"/>
  <c r="HE354" i="14609"/>
  <c r="HF354" i="14609"/>
  <c r="HG354" i="14609"/>
  <c r="HH354" i="14609"/>
  <c r="HI354" i="14609"/>
  <c r="HJ354" i="14609"/>
  <c r="HK354" i="14609"/>
  <c r="HL354" i="14609"/>
  <c r="HM354" i="14609"/>
  <c r="HN354" i="14609"/>
  <c r="HO354" i="14609"/>
  <c r="HP354" i="14609"/>
  <c r="HQ354" i="14609"/>
  <c r="HR354" i="14609"/>
  <c r="HS354" i="14609"/>
  <c r="HT354" i="14609"/>
  <c r="HU354" i="14609"/>
  <c r="HV354" i="14609"/>
  <c r="HW354" i="14609"/>
  <c r="HX354" i="14609"/>
  <c r="HY354" i="14609"/>
  <c r="HZ354" i="14609"/>
  <c r="IA354" i="14609"/>
  <c r="IB354" i="14609"/>
  <c r="IC354" i="14609"/>
  <c r="ID354" i="14609"/>
  <c r="IE354" i="14609"/>
  <c r="IF354" i="14609"/>
  <c r="IG354" i="14609"/>
  <c r="IH354" i="14609"/>
  <c r="II354" i="14609"/>
  <c r="IJ354" i="14609"/>
  <c r="IK354" i="14609"/>
  <c r="IL354" i="14609"/>
  <c r="IM354" i="14609"/>
  <c r="IN354" i="14609"/>
  <c r="IO354" i="14609"/>
  <c r="IP354" i="14609"/>
  <c r="IQ354" i="14609"/>
  <c r="IR354" i="14609"/>
  <c r="IS354" i="14609"/>
  <c r="IT354" i="14609"/>
  <c r="IU354" i="14609"/>
  <c r="IV354" i="14609"/>
  <c r="A353" i="14609"/>
  <c r="B353" i="14609"/>
  <c r="C353" i="14609"/>
  <c r="D353" i="14609"/>
  <c r="E353" i="14609"/>
  <c r="F353" i="14609"/>
  <c r="G353" i="14609"/>
  <c r="H353" i="14609"/>
  <c r="I353" i="14609"/>
  <c r="J353" i="14609"/>
  <c r="K353" i="14609"/>
  <c r="L353" i="14609"/>
  <c r="M353" i="14609"/>
  <c r="N353" i="14609"/>
  <c r="O353" i="14609"/>
  <c r="P353" i="14609"/>
  <c r="Q353" i="14609"/>
  <c r="R353" i="14609"/>
  <c r="S353" i="14609"/>
  <c r="T353" i="14609"/>
  <c r="U353" i="14609"/>
  <c r="V353" i="14609"/>
  <c r="W353" i="14609"/>
  <c r="X353" i="14609"/>
  <c r="Y353" i="14609"/>
  <c r="Z353" i="14609"/>
  <c r="AA353" i="14609"/>
  <c r="AB353" i="14609"/>
  <c r="AC353" i="14609"/>
  <c r="AD353" i="14609"/>
  <c r="AE353" i="14609"/>
  <c r="AF353" i="14609"/>
  <c r="AG353" i="14609"/>
  <c r="AH353" i="14609"/>
  <c r="AI353" i="14609"/>
  <c r="AJ353" i="14609"/>
  <c r="AK353" i="14609"/>
  <c r="AL353" i="14609"/>
  <c r="AM353" i="14609"/>
  <c r="AN353" i="14609"/>
  <c r="AO353" i="14609"/>
  <c r="AP353" i="14609"/>
  <c r="AQ353" i="14609"/>
  <c r="AR353" i="14609"/>
  <c r="AS353" i="14609"/>
  <c r="AT353" i="14609"/>
  <c r="AU353" i="14609"/>
  <c r="AV353" i="14609"/>
  <c r="AW353" i="14609"/>
  <c r="AX353" i="14609"/>
  <c r="AY353" i="14609"/>
  <c r="AZ353" i="14609"/>
  <c r="BA353" i="14609"/>
  <c r="BB353" i="14609"/>
  <c r="BC353" i="14609"/>
  <c r="BD353" i="14609"/>
  <c r="BE353" i="14609"/>
  <c r="BF353" i="14609"/>
  <c r="BG353" i="14609"/>
  <c r="BH353" i="14609"/>
  <c r="BI353" i="14609"/>
  <c r="BJ353" i="14609"/>
  <c r="BK353" i="14609"/>
  <c r="BL353" i="14609"/>
  <c r="BM353" i="14609"/>
  <c r="BN353" i="14609"/>
  <c r="BO353" i="14609"/>
  <c r="BP353" i="14609"/>
  <c r="BQ353" i="14609"/>
  <c r="BR353" i="14609"/>
  <c r="BS353" i="14609"/>
  <c r="BT353" i="14609"/>
  <c r="BU353" i="14609"/>
  <c r="BV353" i="14609"/>
  <c r="BW353" i="14609"/>
  <c r="BX353" i="14609"/>
  <c r="BY353" i="14609"/>
  <c r="BZ353" i="14609"/>
  <c r="CA353" i="14609"/>
  <c r="CB353" i="14609"/>
  <c r="CC353" i="14609"/>
  <c r="CD353" i="14609"/>
  <c r="CE353" i="14609"/>
  <c r="CF353" i="14609"/>
  <c r="CG353" i="14609"/>
  <c r="CH353" i="14609"/>
  <c r="CI353" i="14609"/>
  <c r="CJ353" i="14609"/>
  <c r="CK353" i="14609"/>
  <c r="CL353" i="14609"/>
  <c r="CM353" i="14609"/>
  <c r="CN353" i="14609"/>
  <c r="CO353" i="14609"/>
  <c r="CP353" i="14609"/>
  <c r="CQ353" i="14609"/>
  <c r="CR353" i="14609"/>
  <c r="CS353" i="14609"/>
  <c r="CT353" i="14609"/>
  <c r="CU353" i="14609"/>
  <c r="CV353" i="14609"/>
  <c r="CW353" i="14609"/>
  <c r="CX353" i="14609"/>
  <c r="CY353" i="14609"/>
  <c r="CZ353" i="14609"/>
  <c r="DA353" i="14609"/>
  <c r="DB353" i="14609"/>
  <c r="DC353" i="14609"/>
  <c r="DD353" i="14609"/>
  <c r="DE353" i="14609"/>
  <c r="DF353" i="14609"/>
  <c r="DG353" i="14609"/>
  <c r="DH353" i="14609"/>
  <c r="DI353" i="14609"/>
  <c r="DJ353" i="14609"/>
  <c r="DK353" i="14609"/>
  <c r="DL353" i="14609"/>
  <c r="DM353" i="14609"/>
  <c r="DN353" i="14609"/>
  <c r="DO353" i="14609"/>
  <c r="DP353" i="14609"/>
  <c r="DQ353" i="14609"/>
  <c r="DR353" i="14609"/>
  <c r="DS353" i="14609"/>
  <c r="DT353" i="14609"/>
  <c r="DU353" i="14609"/>
  <c r="DV353" i="14609"/>
  <c r="DW353" i="14609"/>
  <c r="DX353" i="14609"/>
  <c r="DY353" i="14609"/>
  <c r="DZ353" i="14609"/>
  <c r="EA353" i="14609"/>
  <c r="EB353" i="14609"/>
  <c r="EC353" i="14609"/>
  <c r="ED353" i="14609"/>
  <c r="EE353" i="14609"/>
  <c r="EF353" i="14609"/>
  <c r="EG353" i="14609"/>
  <c r="EH353" i="14609"/>
  <c r="EI353" i="14609"/>
  <c r="EJ353" i="14609"/>
  <c r="EK353" i="14609"/>
  <c r="EL353" i="14609"/>
  <c r="EM353" i="14609"/>
  <c r="EN353" i="14609"/>
  <c r="EO353" i="14609"/>
  <c r="EP353" i="14609"/>
  <c r="EQ353" i="14609"/>
  <c r="ER353" i="14609"/>
  <c r="ES353" i="14609"/>
  <c r="ET353" i="14609"/>
  <c r="EU353" i="14609"/>
  <c r="EV353" i="14609"/>
  <c r="EW353" i="14609"/>
  <c r="EX353" i="14609"/>
  <c r="EY353" i="14609"/>
  <c r="EZ353" i="14609"/>
  <c r="FA353" i="14609"/>
  <c r="FB353" i="14609"/>
  <c r="FC353" i="14609"/>
  <c r="FD353" i="14609"/>
  <c r="FE353" i="14609"/>
  <c r="FF353" i="14609"/>
  <c r="FG353" i="14609"/>
  <c r="FH353" i="14609"/>
  <c r="FI353" i="14609"/>
  <c r="FJ353" i="14609"/>
  <c r="FK353" i="14609"/>
  <c r="FL353" i="14609"/>
  <c r="FM353" i="14609"/>
  <c r="FN353" i="14609"/>
  <c r="FO353" i="14609"/>
  <c r="FP353" i="14609"/>
  <c r="FQ353" i="14609"/>
  <c r="FR353" i="14609"/>
  <c r="FS353" i="14609"/>
  <c r="FT353" i="14609"/>
  <c r="FU353" i="14609"/>
  <c r="FV353" i="14609"/>
  <c r="FW353" i="14609"/>
  <c r="FX353" i="14609"/>
  <c r="FY353" i="14609"/>
  <c r="FZ353" i="14609"/>
  <c r="GA353" i="14609"/>
  <c r="GB353" i="14609"/>
  <c r="GC353" i="14609"/>
  <c r="GD353" i="14609"/>
  <c r="GE353" i="14609"/>
  <c r="GF353" i="14609"/>
  <c r="GG353" i="14609"/>
  <c r="GH353" i="14609"/>
  <c r="GI353" i="14609"/>
  <c r="GJ353" i="14609"/>
  <c r="GK353" i="14609"/>
  <c r="GL353" i="14609"/>
  <c r="GM353" i="14609"/>
  <c r="GN353" i="14609"/>
  <c r="GO353" i="14609"/>
  <c r="GP353" i="14609"/>
  <c r="GQ353" i="14609"/>
  <c r="GR353" i="14609"/>
  <c r="GS353" i="14609"/>
  <c r="GT353" i="14609"/>
  <c r="GU353" i="14609"/>
  <c r="GV353" i="14609"/>
  <c r="GW353" i="14609"/>
  <c r="GX353" i="14609"/>
  <c r="GY353" i="14609"/>
  <c r="GZ353" i="14609"/>
  <c r="HA353" i="14609"/>
  <c r="HB353" i="14609"/>
  <c r="HC353" i="14609"/>
  <c r="HD353" i="14609"/>
  <c r="HE353" i="14609"/>
  <c r="HF353" i="14609"/>
  <c r="HG353" i="14609"/>
  <c r="HH353" i="14609"/>
  <c r="HI353" i="14609"/>
  <c r="HJ353" i="14609"/>
  <c r="HK353" i="14609"/>
  <c r="HL353" i="14609"/>
  <c r="HM353" i="14609"/>
  <c r="HN353" i="14609"/>
  <c r="HO353" i="14609"/>
  <c r="HP353" i="14609"/>
  <c r="HQ353" i="14609"/>
  <c r="HR353" i="14609"/>
  <c r="HS353" i="14609"/>
  <c r="HT353" i="14609"/>
  <c r="HU353" i="14609"/>
  <c r="HV353" i="14609"/>
  <c r="HW353" i="14609"/>
  <c r="HX353" i="14609"/>
  <c r="HY353" i="14609"/>
  <c r="HZ353" i="14609"/>
  <c r="IA353" i="14609"/>
  <c r="IB353" i="14609"/>
  <c r="IC353" i="14609"/>
  <c r="ID353" i="14609"/>
  <c r="IE353" i="14609"/>
  <c r="IF353" i="14609"/>
  <c r="IG353" i="14609"/>
  <c r="IH353" i="14609"/>
  <c r="II353" i="14609"/>
  <c r="IJ353" i="14609"/>
  <c r="IK353" i="14609"/>
  <c r="IL353" i="14609"/>
  <c r="IM353" i="14609"/>
  <c r="IN353" i="14609"/>
  <c r="IO353" i="14609"/>
  <c r="IP353" i="14609"/>
  <c r="IQ353" i="14609"/>
  <c r="IR353" i="14609"/>
  <c r="IS353" i="14609"/>
  <c r="IT353" i="14609"/>
  <c r="IU353" i="14609"/>
  <c r="IV353" i="14609"/>
  <c r="A352" i="14609"/>
  <c r="B352" i="14609"/>
  <c r="C352" i="14609"/>
  <c r="D352" i="14609"/>
  <c r="E352" i="14609"/>
  <c r="F352" i="14609"/>
  <c r="G352" i="14609"/>
  <c r="H352" i="14609"/>
  <c r="I352" i="14609"/>
  <c r="J352" i="14609"/>
  <c r="K352" i="14609"/>
  <c r="L352" i="14609"/>
  <c r="M352" i="14609"/>
  <c r="N352" i="14609"/>
  <c r="O352" i="14609"/>
  <c r="P352" i="14609"/>
  <c r="Q352" i="14609"/>
  <c r="R352" i="14609"/>
  <c r="S352" i="14609"/>
  <c r="T352" i="14609"/>
  <c r="U352" i="14609"/>
  <c r="V352" i="14609"/>
  <c r="W352" i="14609"/>
  <c r="X352" i="14609"/>
  <c r="Y352" i="14609"/>
  <c r="Z352" i="14609"/>
  <c r="AA352" i="14609"/>
  <c r="AB352" i="14609"/>
  <c r="AC352" i="14609"/>
  <c r="AD352" i="14609"/>
  <c r="AE352" i="14609"/>
  <c r="AF352" i="14609"/>
  <c r="AG352" i="14609"/>
  <c r="AH352" i="14609"/>
  <c r="AI352" i="14609"/>
  <c r="AJ352" i="14609"/>
  <c r="AK352" i="14609"/>
  <c r="AL352" i="14609"/>
  <c r="AM352" i="14609"/>
  <c r="AN352" i="14609"/>
  <c r="AO352" i="14609"/>
  <c r="AP352" i="14609"/>
  <c r="AQ352" i="14609"/>
  <c r="AR352" i="14609"/>
  <c r="AS352" i="14609"/>
  <c r="AT352" i="14609"/>
  <c r="AU352" i="14609"/>
  <c r="AV352" i="14609"/>
  <c r="AW352" i="14609"/>
  <c r="AX352" i="14609"/>
  <c r="AY352" i="14609"/>
  <c r="AZ352" i="14609"/>
  <c r="BA352" i="14609"/>
  <c r="BB352" i="14609"/>
  <c r="BC352" i="14609"/>
  <c r="BD352" i="14609"/>
  <c r="BE352" i="14609"/>
  <c r="BF352" i="14609"/>
  <c r="BG352" i="14609"/>
  <c r="BH352" i="14609"/>
  <c r="BI352" i="14609"/>
  <c r="BJ352" i="14609"/>
  <c r="BK352" i="14609"/>
  <c r="BL352" i="14609"/>
  <c r="BM352" i="14609"/>
  <c r="BN352" i="14609"/>
  <c r="BO352" i="14609"/>
  <c r="BP352" i="14609"/>
  <c r="BQ352" i="14609"/>
  <c r="BR352" i="14609"/>
  <c r="BS352" i="14609"/>
  <c r="BT352" i="14609"/>
  <c r="BU352" i="14609"/>
  <c r="BV352" i="14609"/>
  <c r="BW352" i="14609"/>
  <c r="BX352" i="14609"/>
  <c r="BY352" i="14609"/>
  <c r="BZ352" i="14609"/>
  <c r="CA352" i="14609"/>
  <c r="CB352" i="14609"/>
  <c r="CC352" i="14609"/>
  <c r="CD352" i="14609"/>
  <c r="CE352" i="14609"/>
  <c r="CF352" i="14609"/>
  <c r="CG352" i="14609"/>
  <c r="CH352" i="14609"/>
  <c r="CI352" i="14609"/>
  <c r="CJ352" i="14609"/>
  <c r="CK352" i="14609"/>
  <c r="CL352" i="14609"/>
  <c r="CM352" i="14609"/>
  <c r="CN352" i="14609"/>
  <c r="CO352" i="14609"/>
  <c r="CP352" i="14609"/>
  <c r="CQ352" i="14609"/>
  <c r="CR352" i="14609"/>
  <c r="CS352" i="14609"/>
  <c r="CT352" i="14609"/>
  <c r="CU352" i="14609"/>
  <c r="CV352" i="14609"/>
  <c r="CW352" i="14609"/>
  <c r="CX352" i="14609"/>
  <c r="CY352" i="14609"/>
  <c r="CZ352" i="14609"/>
  <c r="DA352" i="14609"/>
  <c r="DB352" i="14609"/>
  <c r="DC352" i="14609"/>
  <c r="DD352" i="14609"/>
  <c r="DE352" i="14609"/>
  <c r="DF352" i="14609"/>
  <c r="DG352" i="14609"/>
  <c r="DH352" i="14609"/>
  <c r="DI352" i="14609"/>
  <c r="DJ352" i="14609"/>
  <c r="DK352" i="14609"/>
  <c r="DL352" i="14609"/>
  <c r="DM352" i="14609"/>
  <c r="DN352" i="14609"/>
  <c r="DO352" i="14609"/>
  <c r="DP352" i="14609"/>
  <c r="DQ352" i="14609"/>
  <c r="DR352" i="14609"/>
  <c r="DS352" i="14609"/>
  <c r="DT352" i="14609"/>
  <c r="DU352" i="14609"/>
  <c r="DV352" i="14609"/>
  <c r="DW352" i="14609"/>
  <c r="DX352" i="14609"/>
  <c r="DY352" i="14609"/>
  <c r="DZ352" i="14609"/>
  <c r="EA352" i="14609"/>
  <c r="EB352" i="14609"/>
  <c r="EC352" i="14609"/>
  <c r="ED352" i="14609"/>
  <c r="EE352" i="14609"/>
  <c r="EF352" i="14609"/>
  <c r="EG352" i="14609"/>
  <c r="EH352" i="14609"/>
  <c r="EI352" i="14609"/>
  <c r="EJ352" i="14609"/>
  <c r="EK352" i="14609"/>
  <c r="EL352" i="14609"/>
  <c r="EM352" i="14609"/>
  <c r="EN352" i="14609"/>
  <c r="EO352" i="14609"/>
  <c r="EP352" i="14609"/>
  <c r="EQ352" i="14609"/>
  <c r="ER352" i="14609"/>
  <c r="ES352" i="14609"/>
  <c r="ET352" i="14609"/>
  <c r="EU352" i="14609"/>
  <c r="EV352" i="14609"/>
  <c r="EW352" i="14609"/>
  <c r="EX352" i="14609"/>
  <c r="EY352" i="14609"/>
  <c r="EZ352" i="14609"/>
  <c r="FA352" i="14609"/>
  <c r="FB352" i="14609"/>
  <c r="FC352" i="14609"/>
  <c r="FD352" i="14609"/>
  <c r="FE352" i="14609"/>
  <c r="FF352" i="14609"/>
  <c r="FG352" i="14609"/>
  <c r="FH352" i="14609"/>
  <c r="FI352" i="14609"/>
  <c r="FJ352" i="14609"/>
  <c r="FK352" i="14609"/>
  <c r="FL352" i="14609"/>
  <c r="FM352" i="14609"/>
  <c r="FN352" i="14609"/>
  <c r="FO352" i="14609"/>
  <c r="FP352" i="14609"/>
  <c r="FQ352" i="14609"/>
  <c r="FR352" i="14609"/>
  <c r="FS352" i="14609"/>
  <c r="FT352" i="14609"/>
  <c r="FU352" i="14609"/>
  <c r="FV352" i="14609"/>
  <c r="FW352" i="14609"/>
  <c r="FX352" i="14609"/>
  <c r="FY352" i="14609"/>
  <c r="FZ352" i="14609"/>
  <c r="GA352" i="14609"/>
  <c r="GB352" i="14609"/>
  <c r="GC352" i="14609"/>
  <c r="GD352" i="14609"/>
  <c r="GE352" i="14609"/>
  <c r="GF352" i="14609"/>
  <c r="GG352" i="14609"/>
  <c r="GH352" i="14609"/>
  <c r="GI352" i="14609"/>
  <c r="GJ352" i="14609"/>
  <c r="GK352" i="14609"/>
  <c r="GL352" i="14609"/>
  <c r="GM352" i="14609"/>
  <c r="GN352" i="14609"/>
  <c r="GO352" i="14609"/>
  <c r="GP352" i="14609"/>
  <c r="GQ352" i="14609"/>
  <c r="GR352" i="14609"/>
  <c r="GS352" i="14609"/>
  <c r="GT352" i="14609"/>
  <c r="GU352" i="14609"/>
  <c r="GV352" i="14609"/>
  <c r="GW352" i="14609"/>
  <c r="GX352" i="14609"/>
  <c r="GY352" i="14609"/>
  <c r="GZ352" i="14609"/>
  <c r="HA352" i="14609"/>
  <c r="HB352" i="14609"/>
  <c r="HC352" i="14609"/>
  <c r="HD352" i="14609"/>
  <c r="HE352" i="14609"/>
  <c r="HF352" i="14609"/>
  <c r="HG352" i="14609"/>
  <c r="HH352" i="14609"/>
  <c r="HI352" i="14609"/>
  <c r="HJ352" i="14609"/>
  <c r="HK352" i="14609"/>
  <c r="HL352" i="14609"/>
  <c r="HM352" i="14609"/>
  <c r="HN352" i="14609"/>
  <c r="HO352" i="14609"/>
  <c r="HP352" i="14609"/>
  <c r="HQ352" i="14609"/>
  <c r="HR352" i="14609"/>
  <c r="HS352" i="14609"/>
  <c r="HT352" i="14609"/>
  <c r="HU352" i="14609"/>
  <c r="HV352" i="14609"/>
  <c r="HW352" i="14609"/>
  <c r="HX352" i="14609"/>
  <c r="HY352" i="14609"/>
  <c r="HZ352" i="14609"/>
  <c r="IA352" i="14609"/>
  <c r="IB352" i="14609"/>
  <c r="IC352" i="14609"/>
  <c r="ID352" i="14609"/>
  <c r="IE352" i="14609"/>
  <c r="IF352" i="14609"/>
  <c r="IG352" i="14609"/>
  <c r="IH352" i="14609"/>
  <c r="II352" i="14609"/>
  <c r="IJ352" i="14609"/>
  <c r="IK352" i="14609"/>
  <c r="IL352" i="14609"/>
  <c r="IM352" i="14609"/>
  <c r="IN352" i="14609"/>
  <c r="IO352" i="14609"/>
  <c r="IP352" i="14609"/>
  <c r="IQ352" i="14609"/>
  <c r="IR352" i="14609"/>
  <c r="IS352" i="14609"/>
  <c r="IT352" i="14609"/>
  <c r="IU352" i="14609"/>
  <c r="IV352" i="14609"/>
  <c r="A351" i="14609"/>
  <c r="B351" i="14609"/>
  <c r="C351" i="14609"/>
  <c r="D351" i="14609"/>
  <c r="E351" i="14609"/>
  <c r="F351" i="14609"/>
  <c r="G351" i="14609"/>
  <c r="H351" i="14609"/>
  <c r="I351" i="14609"/>
  <c r="J351" i="14609"/>
  <c r="K351" i="14609"/>
  <c r="L351" i="14609"/>
  <c r="M351" i="14609"/>
  <c r="N351" i="14609"/>
  <c r="O351" i="14609"/>
  <c r="P351" i="14609"/>
  <c r="Q351" i="14609"/>
  <c r="R351" i="14609"/>
  <c r="S351" i="14609"/>
  <c r="T351" i="14609"/>
  <c r="U351" i="14609"/>
  <c r="V351" i="14609"/>
  <c r="W351" i="14609"/>
  <c r="X351" i="14609"/>
  <c r="Y351" i="14609"/>
  <c r="Z351" i="14609"/>
  <c r="AA351" i="14609"/>
  <c r="AB351" i="14609"/>
  <c r="AC351" i="14609"/>
  <c r="AD351" i="14609"/>
  <c r="AE351" i="14609"/>
  <c r="AF351" i="14609"/>
  <c r="AG351" i="14609"/>
  <c r="AH351" i="14609"/>
  <c r="AI351" i="14609"/>
  <c r="AJ351" i="14609"/>
  <c r="AK351" i="14609"/>
  <c r="AL351" i="14609"/>
  <c r="AM351" i="14609"/>
  <c r="AN351" i="14609"/>
  <c r="AO351" i="14609"/>
  <c r="AP351" i="14609"/>
  <c r="AQ351" i="14609"/>
  <c r="AR351" i="14609"/>
  <c r="AS351" i="14609"/>
  <c r="AT351" i="14609"/>
  <c r="AU351" i="14609"/>
  <c r="AV351" i="14609"/>
  <c r="AW351" i="14609"/>
  <c r="AX351" i="14609"/>
  <c r="AY351" i="14609"/>
  <c r="AZ351" i="14609"/>
  <c r="BA351" i="14609"/>
  <c r="BB351" i="14609"/>
  <c r="BC351" i="14609"/>
  <c r="BD351" i="14609"/>
  <c r="BE351" i="14609"/>
  <c r="BF351" i="14609"/>
  <c r="BG351" i="14609"/>
  <c r="BH351" i="14609"/>
  <c r="BI351" i="14609"/>
  <c r="BJ351" i="14609"/>
  <c r="BK351" i="14609"/>
  <c r="BL351" i="14609"/>
  <c r="BM351" i="14609"/>
  <c r="BN351" i="14609"/>
  <c r="BO351" i="14609"/>
  <c r="BP351" i="14609"/>
  <c r="BQ351" i="14609"/>
  <c r="BR351" i="14609"/>
  <c r="BS351" i="14609"/>
  <c r="BT351" i="14609"/>
  <c r="BU351" i="14609"/>
  <c r="BV351" i="14609"/>
  <c r="BW351" i="14609"/>
  <c r="BX351" i="14609"/>
  <c r="BY351" i="14609"/>
  <c r="BZ351" i="14609"/>
  <c r="CA351" i="14609"/>
  <c r="CB351" i="14609"/>
  <c r="CC351" i="14609"/>
  <c r="CD351" i="14609"/>
  <c r="CE351" i="14609"/>
  <c r="CF351" i="14609"/>
  <c r="CG351" i="14609"/>
  <c r="CH351" i="14609"/>
  <c r="CI351" i="14609"/>
  <c r="CJ351" i="14609"/>
  <c r="CK351" i="14609"/>
  <c r="CL351" i="14609"/>
  <c r="CM351" i="14609"/>
  <c r="CN351" i="14609"/>
  <c r="CO351" i="14609"/>
  <c r="CP351" i="14609"/>
  <c r="CQ351" i="14609"/>
  <c r="CR351" i="14609"/>
  <c r="CS351" i="14609"/>
  <c r="CT351" i="14609"/>
  <c r="CU351" i="14609"/>
  <c r="CV351" i="14609"/>
  <c r="CW351" i="14609"/>
  <c r="CX351" i="14609"/>
  <c r="CY351" i="14609"/>
  <c r="CZ351" i="14609"/>
  <c r="DA351" i="14609"/>
  <c r="DB351" i="14609"/>
  <c r="DC351" i="14609"/>
  <c r="DD351" i="14609"/>
  <c r="DE351" i="14609"/>
  <c r="DF351" i="14609"/>
  <c r="DG351" i="14609"/>
  <c r="DH351" i="14609"/>
  <c r="DI351" i="14609"/>
  <c r="DJ351" i="14609"/>
  <c r="DK351" i="14609"/>
  <c r="DL351" i="14609"/>
  <c r="DM351" i="14609"/>
  <c r="DN351" i="14609"/>
  <c r="DO351" i="14609"/>
  <c r="DP351" i="14609"/>
  <c r="DQ351" i="14609"/>
  <c r="DR351" i="14609"/>
  <c r="DS351" i="14609"/>
  <c r="DT351" i="14609"/>
  <c r="DU351" i="14609"/>
  <c r="DV351" i="14609"/>
  <c r="DW351" i="14609"/>
  <c r="DX351" i="14609"/>
  <c r="DY351" i="14609"/>
  <c r="DZ351" i="14609"/>
  <c r="EA351" i="14609"/>
  <c r="EB351" i="14609"/>
  <c r="EC351" i="14609"/>
  <c r="ED351" i="14609"/>
  <c r="EE351" i="14609"/>
  <c r="EF351" i="14609"/>
  <c r="EG351" i="14609"/>
  <c r="EH351" i="14609"/>
  <c r="EI351" i="14609"/>
  <c r="EJ351" i="14609"/>
  <c r="EK351" i="14609"/>
  <c r="EL351" i="14609"/>
  <c r="EM351" i="14609"/>
  <c r="EN351" i="14609"/>
  <c r="EO351" i="14609"/>
  <c r="EP351" i="14609"/>
  <c r="EQ351" i="14609"/>
  <c r="ER351" i="14609"/>
  <c r="ES351" i="14609"/>
  <c r="ET351" i="14609"/>
  <c r="EU351" i="14609"/>
  <c r="EV351" i="14609"/>
  <c r="EW351" i="14609"/>
  <c r="EX351" i="14609"/>
  <c r="EY351" i="14609"/>
  <c r="EZ351" i="14609"/>
  <c r="FA351" i="14609"/>
  <c r="FB351" i="14609"/>
  <c r="FC351" i="14609"/>
  <c r="FD351" i="14609"/>
  <c r="FE351" i="14609"/>
  <c r="FF351" i="14609"/>
  <c r="FG351" i="14609"/>
  <c r="FH351" i="14609"/>
  <c r="FI351" i="14609"/>
  <c r="FJ351" i="14609"/>
  <c r="FK351" i="14609"/>
  <c r="FL351" i="14609"/>
  <c r="FM351" i="14609"/>
  <c r="FN351" i="14609"/>
  <c r="FO351" i="14609"/>
  <c r="FP351" i="14609"/>
  <c r="FQ351" i="14609"/>
  <c r="FR351" i="14609"/>
  <c r="FS351" i="14609"/>
  <c r="FT351" i="14609"/>
  <c r="FU351" i="14609"/>
  <c r="FV351" i="14609"/>
  <c r="FW351" i="14609"/>
  <c r="FX351" i="14609"/>
  <c r="FY351" i="14609"/>
  <c r="FZ351" i="14609"/>
  <c r="GA351" i="14609"/>
  <c r="GB351" i="14609"/>
  <c r="GC351" i="14609"/>
  <c r="GD351" i="14609"/>
  <c r="GE351" i="14609"/>
  <c r="GF351" i="14609"/>
  <c r="GG351" i="14609"/>
  <c r="GH351" i="14609"/>
  <c r="GI351" i="14609"/>
  <c r="GJ351" i="14609"/>
  <c r="GK351" i="14609"/>
  <c r="GL351" i="14609"/>
  <c r="GM351" i="14609"/>
  <c r="GN351" i="14609"/>
  <c r="GO351" i="14609"/>
  <c r="GP351" i="14609"/>
  <c r="GQ351" i="14609"/>
  <c r="GR351" i="14609"/>
  <c r="GS351" i="14609"/>
  <c r="GT351" i="14609"/>
  <c r="GU351" i="14609"/>
  <c r="GV351" i="14609"/>
  <c r="GW351" i="14609"/>
  <c r="GX351" i="14609"/>
  <c r="GY351" i="14609"/>
  <c r="GZ351" i="14609"/>
  <c r="HA351" i="14609"/>
  <c r="HB351" i="14609"/>
  <c r="HC351" i="14609"/>
  <c r="HD351" i="14609"/>
  <c r="HE351" i="14609"/>
  <c r="HF351" i="14609"/>
  <c r="HG351" i="14609"/>
  <c r="HH351" i="14609"/>
  <c r="HI351" i="14609"/>
  <c r="HJ351" i="14609"/>
  <c r="HK351" i="14609"/>
  <c r="HL351" i="14609"/>
  <c r="HM351" i="14609"/>
  <c r="HN351" i="14609"/>
  <c r="HO351" i="14609"/>
  <c r="HP351" i="14609"/>
  <c r="HQ351" i="14609"/>
  <c r="HR351" i="14609"/>
  <c r="HS351" i="14609"/>
  <c r="HT351" i="14609"/>
  <c r="HU351" i="14609"/>
  <c r="HV351" i="14609"/>
  <c r="HW351" i="14609"/>
  <c r="HX351" i="14609"/>
  <c r="HY351" i="14609"/>
  <c r="HZ351" i="14609"/>
  <c r="IA351" i="14609"/>
  <c r="IB351" i="14609"/>
  <c r="IC351" i="14609"/>
  <c r="ID351" i="14609"/>
  <c r="IE351" i="14609"/>
  <c r="IF351" i="14609"/>
  <c r="IG351" i="14609"/>
  <c r="IH351" i="14609"/>
  <c r="II351" i="14609"/>
  <c r="IJ351" i="14609"/>
  <c r="IK351" i="14609"/>
  <c r="IL351" i="14609"/>
  <c r="IM351" i="14609"/>
  <c r="IN351" i="14609"/>
  <c r="IO351" i="14609"/>
  <c r="IP351" i="14609"/>
  <c r="IQ351" i="14609"/>
  <c r="IR351" i="14609"/>
  <c r="IS351" i="14609"/>
  <c r="IT351" i="14609"/>
  <c r="IU351" i="14609"/>
  <c r="IV351" i="14609"/>
  <c r="A350" i="14609"/>
  <c r="B350" i="14609"/>
  <c r="C350" i="14609"/>
  <c r="D350" i="14609"/>
  <c r="E350" i="14609"/>
  <c r="F350" i="14609"/>
  <c r="G350" i="14609"/>
  <c r="H350" i="14609"/>
  <c r="I350" i="14609"/>
  <c r="J350" i="14609"/>
  <c r="K350" i="14609"/>
  <c r="L350" i="14609"/>
  <c r="M350" i="14609"/>
  <c r="N350" i="14609"/>
  <c r="O350" i="14609"/>
  <c r="P350" i="14609"/>
  <c r="Q350" i="14609"/>
  <c r="R350" i="14609"/>
  <c r="S350" i="14609"/>
  <c r="T350" i="14609"/>
  <c r="U350" i="14609"/>
  <c r="V350" i="14609"/>
  <c r="W350" i="14609"/>
  <c r="X350" i="14609"/>
  <c r="Y350" i="14609"/>
  <c r="Z350" i="14609"/>
  <c r="AA350" i="14609"/>
  <c r="AB350" i="14609"/>
  <c r="AC350" i="14609"/>
  <c r="AD350" i="14609"/>
  <c r="AE350" i="14609"/>
  <c r="AF350" i="14609"/>
  <c r="AG350" i="14609"/>
  <c r="AH350" i="14609"/>
  <c r="AI350" i="14609"/>
  <c r="AJ350" i="14609"/>
  <c r="AK350" i="14609"/>
  <c r="AL350" i="14609"/>
  <c r="AM350" i="14609"/>
  <c r="AN350" i="14609"/>
  <c r="AO350" i="14609"/>
  <c r="AP350" i="14609"/>
  <c r="AQ350" i="14609"/>
  <c r="AR350" i="14609"/>
  <c r="AS350" i="14609"/>
  <c r="AT350" i="14609"/>
  <c r="AU350" i="14609"/>
  <c r="AV350" i="14609"/>
  <c r="AW350" i="14609"/>
  <c r="AX350" i="14609"/>
  <c r="AY350" i="14609"/>
  <c r="AZ350" i="14609"/>
  <c r="BA350" i="14609"/>
  <c r="BB350" i="14609"/>
  <c r="BC350" i="14609"/>
  <c r="BD350" i="14609"/>
  <c r="BE350" i="14609"/>
  <c r="BF350" i="14609"/>
  <c r="BG350" i="14609"/>
  <c r="BH350" i="14609"/>
  <c r="BI350" i="14609"/>
  <c r="BJ350" i="14609"/>
  <c r="BK350" i="14609"/>
  <c r="BL350" i="14609"/>
  <c r="BM350" i="14609"/>
  <c r="BN350" i="14609"/>
  <c r="BO350" i="14609"/>
  <c r="BP350" i="14609"/>
  <c r="BQ350" i="14609"/>
  <c r="BR350" i="14609"/>
  <c r="BS350" i="14609"/>
  <c r="BT350" i="14609"/>
  <c r="BU350" i="14609"/>
  <c r="BV350" i="14609"/>
  <c r="BW350" i="14609"/>
  <c r="BX350" i="14609"/>
  <c r="BY350" i="14609"/>
  <c r="BZ350" i="14609"/>
  <c r="CA350" i="14609"/>
  <c r="CB350" i="14609"/>
  <c r="CC350" i="14609"/>
  <c r="CD350" i="14609"/>
  <c r="CE350" i="14609"/>
  <c r="CF350" i="14609"/>
  <c r="CG350" i="14609"/>
  <c r="CH350" i="14609"/>
  <c r="CI350" i="14609"/>
  <c r="CJ350" i="14609"/>
  <c r="CK350" i="14609"/>
  <c r="CL350" i="14609"/>
  <c r="CM350" i="14609"/>
  <c r="CN350" i="14609"/>
  <c r="CO350" i="14609"/>
  <c r="CP350" i="14609"/>
  <c r="CQ350" i="14609"/>
  <c r="CR350" i="14609"/>
  <c r="CS350" i="14609"/>
  <c r="CT350" i="14609"/>
  <c r="CU350" i="14609"/>
  <c r="CV350" i="14609"/>
  <c r="CW350" i="14609"/>
  <c r="CX350" i="14609"/>
  <c r="CY350" i="14609"/>
  <c r="CZ350" i="14609"/>
  <c r="DA350" i="14609"/>
  <c r="DB350" i="14609"/>
  <c r="DC350" i="14609"/>
  <c r="DD350" i="14609"/>
  <c r="DE350" i="14609"/>
  <c r="DF350" i="14609"/>
  <c r="DG350" i="14609"/>
  <c r="DH350" i="14609"/>
  <c r="DI350" i="14609"/>
  <c r="DJ350" i="14609"/>
  <c r="DK350" i="14609"/>
  <c r="DL350" i="14609"/>
  <c r="DM350" i="14609"/>
  <c r="DN350" i="14609"/>
  <c r="DO350" i="14609"/>
  <c r="DP350" i="14609"/>
  <c r="DQ350" i="14609"/>
  <c r="DR350" i="14609"/>
  <c r="DS350" i="14609"/>
  <c r="DT350" i="14609"/>
  <c r="DU350" i="14609"/>
  <c r="DV350" i="14609"/>
  <c r="DW350" i="14609"/>
  <c r="DX350" i="14609"/>
  <c r="DY350" i="14609"/>
  <c r="DZ350" i="14609"/>
  <c r="EA350" i="14609"/>
  <c r="EB350" i="14609"/>
  <c r="EC350" i="14609"/>
  <c r="ED350" i="14609"/>
  <c r="EE350" i="14609"/>
  <c r="EF350" i="14609"/>
  <c r="EG350" i="14609"/>
  <c r="EH350" i="14609"/>
  <c r="EI350" i="14609"/>
  <c r="EJ350" i="14609"/>
  <c r="EK350" i="14609"/>
  <c r="EL350" i="14609"/>
  <c r="EM350" i="14609"/>
  <c r="EN350" i="14609"/>
  <c r="EO350" i="14609"/>
  <c r="EP350" i="14609"/>
  <c r="EQ350" i="14609"/>
  <c r="ER350" i="14609"/>
  <c r="ES350" i="14609"/>
  <c r="ET350" i="14609"/>
  <c r="EU350" i="14609"/>
  <c r="EV350" i="14609"/>
  <c r="EW350" i="14609"/>
  <c r="EX350" i="14609"/>
  <c r="EY350" i="14609"/>
  <c r="EZ350" i="14609"/>
  <c r="FA350" i="14609"/>
  <c r="FB350" i="14609"/>
  <c r="FC350" i="14609"/>
  <c r="FD350" i="14609"/>
  <c r="FE350" i="14609"/>
  <c r="FF350" i="14609"/>
  <c r="FG350" i="14609"/>
  <c r="FH350" i="14609"/>
  <c r="FI350" i="14609"/>
  <c r="FJ350" i="14609"/>
  <c r="FK350" i="14609"/>
  <c r="FL350" i="14609"/>
  <c r="FM350" i="14609"/>
  <c r="FN350" i="14609"/>
  <c r="FO350" i="14609"/>
  <c r="FP350" i="14609"/>
  <c r="FQ350" i="14609"/>
  <c r="FR350" i="14609"/>
  <c r="FS350" i="14609"/>
  <c r="FT350" i="14609"/>
  <c r="FU350" i="14609"/>
  <c r="FV350" i="14609"/>
  <c r="FW350" i="14609"/>
  <c r="FX350" i="14609"/>
  <c r="FY350" i="14609"/>
  <c r="FZ350" i="14609"/>
  <c r="GA350" i="14609"/>
  <c r="GB350" i="14609"/>
  <c r="GC350" i="14609"/>
  <c r="GD350" i="14609"/>
  <c r="GE350" i="14609"/>
  <c r="GF350" i="14609"/>
  <c r="GG350" i="14609"/>
  <c r="GH350" i="14609"/>
  <c r="GI350" i="14609"/>
  <c r="GJ350" i="14609"/>
  <c r="GK350" i="14609"/>
  <c r="GL350" i="14609"/>
  <c r="GM350" i="14609"/>
  <c r="GN350" i="14609"/>
  <c r="GO350" i="14609"/>
  <c r="GP350" i="14609"/>
  <c r="GQ350" i="14609"/>
  <c r="GR350" i="14609"/>
  <c r="GS350" i="14609"/>
  <c r="GT350" i="14609"/>
  <c r="GU350" i="14609"/>
  <c r="GV350" i="14609"/>
  <c r="GW350" i="14609"/>
  <c r="GX350" i="14609"/>
  <c r="GY350" i="14609"/>
  <c r="GZ350" i="14609"/>
  <c r="HA350" i="14609"/>
  <c r="HB350" i="14609"/>
  <c r="HC350" i="14609"/>
  <c r="HD350" i="14609"/>
  <c r="HE350" i="14609"/>
  <c r="HF350" i="14609"/>
  <c r="HG350" i="14609"/>
  <c r="HH350" i="14609"/>
  <c r="HI350" i="14609"/>
  <c r="HJ350" i="14609"/>
  <c r="HK350" i="14609"/>
  <c r="HL350" i="14609"/>
  <c r="HM350" i="14609"/>
  <c r="HN350" i="14609"/>
  <c r="HO350" i="14609"/>
  <c r="HP350" i="14609"/>
  <c r="HQ350" i="14609"/>
  <c r="HR350" i="14609"/>
  <c r="HS350" i="14609"/>
  <c r="HT350" i="14609"/>
  <c r="HU350" i="14609"/>
  <c r="HV350" i="14609"/>
  <c r="HW350" i="14609"/>
  <c r="HX350" i="14609"/>
  <c r="HY350" i="14609"/>
  <c r="HZ350" i="14609"/>
  <c r="IA350" i="14609"/>
  <c r="IB350" i="14609"/>
  <c r="IC350" i="14609"/>
  <c r="ID350" i="14609"/>
  <c r="IE350" i="14609"/>
  <c r="IF350" i="14609"/>
  <c r="IG350" i="14609"/>
  <c r="IH350" i="14609"/>
  <c r="II350" i="14609"/>
  <c r="IJ350" i="14609"/>
  <c r="IK350" i="14609"/>
  <c r="IL350" i="14609"/>
  <c r="IM350" i="14609"/>
  <c r="IN350" i="14609"/>
  <c r="IO350" i="14609"/>
  <c r="IP350" i="14609"/>
  <c r="IQ350" i="14609"/>
  <c r="IR350" i="14609"/>
  <c r="IS350" i="14609"/>
  <c r="IT350" i="14609"/>
  <c r="IU350" i="14609"/>
  <c r="IV350" i="14609"/>
  <c r="A349" i="14609"/>
  <c r="B349" i="14609"/>
  <c r="C349" i="14609"/>
  <c r="D349" i="14609"/>
  <c r="E349" i="14609"/>
  <c r="F349" i="14609"/>
  <c r="G349" i="14609"/>
  <c r="H349" i="14609"/>
  <c r="I349" i="14609"/>
  <c r="J349" i="14609"/>
  <c r="K349" i="14609"/>
  <c r="L349" i="14609"/>
  <c r="M349" i="14609"/>
  <c r="N349" i="14609"/>
  <c r="O349" i="14609"/>
  <c r="P349" i="14609"/>
  <c r="Q349" i="14609"/>
  <c r="R349" i="14609"/>
  <c r="S349" i="14609"/>
  <c r="T349" i="14609"/>
  <c r="U349" i="14609"/>
  <c r="V349" i="14609"/>
  <c r="W349" i="14609"/>
  <c r="X349" i="14609"/>
  <c r="Y349" i="14609"/>
  <c r="Z349" i="14609"/>
  <c r="AA349" i="14609"/>
  <c r="AB349" i="14609"/>
  <c r="AC349" i="14609"/>
  <c r="AD349" i="14609"/>
  <c r="AE349" i="14609"/>
  <c r="AF349" i="14609"/>
  <c r="AG349" i="14609"/>
  <c r="AH349" i="14609"/>
  <c r="AI349" i="14609"/>
  <c r="AJ349" i="14609"/>
  <c r="AK349" i="14609"/>
  <c r="AL349" i="14609"/>
  <c r="AM349" i="14609"/>
  <c r="AN349" i="14609"/>
  <c r="AO349" i="14609"/>
  <c r="AP349" i="14609"/>
  <c r="AQ349" i="14609"/>
  <c r="AR349" i="14609"/>
  <c r="AS349" i="14609"/>
  <c r="AT349" i="14609"/>
  <c r="AU349" i="14609"/>
  <c r="AV349" i="14609"/>
  <c r="AW349" i="14609"/>
  <c r="AX349" i="14609"/>
  <c r="AY349" i="14609"/>
  <c r="AZ349" i="14609"/>
  <c r="BA349" i="14609"/>
  <c r="BB349" i="14609"/>
  <c r="BC349" i="14609"/>
  <c r="BD349" i="14609"/>
  <c r="BE349" i="14609"/>
  <c r="BF349" i="14609"/>
  <c r="BG349" i="14609"/>
  <c r="BH349" i="14609"/>
  <c r="BI349" i="14609"/>
  <c r="BJ349" i="14609"/>
  <c r="BK349" i="14609"/>
  <c r="BL349" i="14609"/>
  <c r="BM349" i="14609"/>
  <c r="BN349" i="14609"/>
  <c r="BO349" i="14609"/>
  <c r="BP349" i="14609"/>
  <c r="BQ349" i="14609"/>
  <c r="BR349" i="14609"/>
  <c r="BS349" i="14609"/>
  <c r="BT349" i="14609"/>
  <c r="BU349" i="14609"/>
  <c r="BV349" i="14609"/>
  <c r="BW349" i="14609"/>
  <c r="BX349" i="14609"/>
  <c r="BY349" i="14609"/>
  <c r="BZ349" i="14609"/>
  <c r="CA349" i="14609"/>
  <c r="CB349" i="14609"/>
  <c r="CC349" i="14609"/>
  <c r="CD349" i="14609"/>
  <c r="CE349" i="14609"/>
  <c r="CF349" i="14609"/>
  <c r="CG349" i="14609"/>
  <c r="CH349" i="14609"/>
  <c r="CI349" i="14609"/>
  <c r="CJ349" i="14609"/>
  <c r="CK349" i="14609"/>
  <c r="CL349" i="14609"/>
  <c r="CM349" i="14609"/>
  <c r="CN349" i="14609"/>
  <c r="CO349" i="14609"/>
  <c r="CP349" i="14609"/>
  <c r="CQ349" i="14609"/>
  <c r="CR349" i="14609"/>
  <c r="CS349" i="14609"/>
  <c r="CT349" i="14609"/>
  <c r="CU349" i="14609"/>
  <c r="CV349" i="14609"/>
  <c r="CW349" i="14609"/>
  <c r="CX349" i="14609"/>
  <c r="CY349" i="14609"/>
  <c r="CZ349" i="14609"/>
  <c r="DA349" i="14609"/>
  <c r="DB349" i="14609"/>
  <c r="DC349" i="14609"/>
  <c r="DD349" i="14609"/>
  <c r="DE349" i="14609"/>
  <c r="DF349" i="14609"/>
  <c r="DG349" i="14609"/>
  <c r="DH349" i="14609"/>
  <c r="DI349" i="14609"/>
  <c r="DJ349" i="14609"/>
  <c r="DK349" i="14609"/>
  <c r="DL349" i="14609"/>
  <c r="DM349" i="14609"/>
  <c r="DN349" i="14609"/>
  <c r="DO349" i="14609"/>
  <c r="DP349" i="14609"/>
  <c r="DQ349" i="14609"/>
  <c r="DR349" i="14609"/>
  <c r="DS349" i="14609"/>
  <c r="DT349" i="14609"/>
  <c r="DU349" i="14609"/>
  <c r="DV349" i="14609"/>
  <c r="DW349" i="14609"/>
  <c r="DX349" i="14609"/>
  <c r="DY349" i="14609"/>
  <c r="DZ349" i="14609"/>
  <c r="EA349" i="14609"/>
  <c r="EB349" i="14609"/>
  <c r="EC349" i="14609"/>
  <c r="ED349" i="14609"/>
  <c r="EE349" i="14609"/>
  <c r="EF349" i="14609"/>
  <c r="EG349" i="14609"/>
  <c r="EH349" i="14609"/>
  <c r="EI349" i="14609"/>
  <c r="EJ349" i="14609"/>
  <c r="EK349" i="14609"/>
  <c r="EL349" i="14609"/>
  <c r="EM349" i="14609"/>
  <c r="EN349" i="14609"/>
  <c r="EO349" i="14609"/>
  <c r="EP349" i="14609"/>
  <c r="EQ349" i="14609"/>
  <c r="ER349" i="14609"/>
  <c r="ES349" i="14609"/>
  <c r="ET349" i="14609"/>
  <c r="EU349" i="14609"/>
  <c r="EV349" i="14609"/>
  <c r="EW349" i="14609"/>
  <c r="EX349" i="14609"/>
  <c r="EY349" i="14609"/>
  <c r="EZ349" i="14609"/>
  <c r="FA349" i="14609"/>
  <c r="FB349" i="14609"/>
  <c r="FC349" i="14609"/>
  <c r="FD349" i="14609"/>
  <c r="FE349" i="14609"/>
  <c r="FF349" i="14609"/>
  <c r="FG349" i="14609"/>
  <c r="FH349" i="14609"/>
  <c r="FI349" i="14609"/>
  <c r="FJ349" i="14609"/>
  <c r="FK349" i="14609"/>
  <c r="FL349" i="14609"/>
  <c r="FM349" i="14609"/>
  <c r="FN349" i="14609"/>
  <c r="FO349" i="14609"/>
  <c r="FP349" i="14609"/>
  <c r="FQ349" i="14609"/>
  <c r="FR349" i="14609"/>
  <c r="FS349" i="14609"/>
  <c r="FT349" i="14609"/>
  <c r="FU349" i="14609"/>
  <c r="FV349" i="14609"/>
  <c r="FW349" i="14609"/>
  <c r="FX349" i="14609"/>
  <c r="FY349" i="14609"/>
  <c r="FZ349" i="14609"/>
  <c r="GA349" i="14609"/>
  <c r="GB349" i="14609"/>
  <c r="GC349" i="14609"/>
  <c r="GD349" i="14609"/>
  <c r="GE349" i="14609"/>
  <c r="GF349" i="14609"/>
  <c r="GG349" i="14609"/>
  <c r="GH349" i="14609"/>
  <c r="GI349" i="14609"/>
  <c r="GJ349" i="14609"/>
  <c r="GK349" i="14609"/>
  <c r="GL349" i="14609"/>
  <c r="GM349" i="14609"/>
  <c r="GN349" i="14609"/>
  <c r="GO349" i="14609"/>
  <c r="GP349" i="14609"/>
  <c r="GQ349" i="14609"/>
  <c r="GR349" i="14609"/>
  <c r="GS349" i="14609"/>
  <c r="GT349" i="14609"/>
  <c r="GU349" i="14609"/>
  <c r="GV349" i="14609"/>
  <c r="GW349" i="14609"/>
  <c r="GX349" i="14609"/>
  <c r="GY349" i="14609"/>
  <c r="GZ349" i="14609"/>
  <c r="HA349" i="14609"/>
  <c r="HB349" i="14609"/>
  <c r="HC349" i="14609"/>
  <c r="HD349" i="14609"/>
  <c r="HE349" i="14609"/>
  <c r="HF349" i="14609"/>
  <c r="HG349" i="14609"/>
  <c r="HH349" i="14609"/>
  <c r="HI349" i="14609"/>
  <c r="HJ349" i="14609"/>
  <c r="HK349" i="14609"/>
  <c r="HL349" i="14609"/>
  <c r="HM349" i="14609"/>
  <c r="HN349" i="14609"/>
  <c r="HO349" i="14609"/>
  <c r="HP349" i="14609"/>
  <c r="HQ349" i="14609"/>
  <c r="HR349" i="14609"/>
  <c r="HS349" i="14609"/>
  <c r="HT349" i="14609"/>
  <c r="HU349" i="14609"/>
  <c r="HV349" i="14609"/>
  <c r="HW349" i="14609"/>
  <c r="HX349" i="14609"/>
  <c r="HY349" i="14609"/>
  <c r="HZ349" i="14609"/>
  <c r="IA349" i="14609"/>
  <c r="IB349" i="14609"/>
  <c r="IC349" i="14609"/>
  <c r="ID349" i="14609"/>
  <c r="IE349" i="14609"/>
  <c r="IF349" i="14609"/>
  <c r="IG349" i="14609"/>
  <c r="IH349" i="14609"/>
  <c r="II349" i="14609"/>
  <c r="IJ349" i="14609"/>
  <c r="IK349" i="14609"/>
  <c r="IL349" i="14609"/>
  <c r="IM349" i="14609"/>
  <c r="IN349" i="14609"/>
  <c r="IO349" i="14609"/>
  <c r="IP349" i="14609"/>
  <c r="IQ349" i="14609"/>
  <c r="IR349" i="14609"/>
  <c r="IS349" i="14609"/>
  <c r="IT349" i="14609"/>
  <c r="IU349" i="14609"/>
  <c r="IV349" i="14609"/>
  <c r="A348" i="14609"/>
  <c r="B348" i="14609"/>
  <c r="C348" i="14609"/>
  <c r="D348" i="14609"/>
  <c r="E348" i="14609"/>
  <c r="F348" i="14609"/>
  <c r="G348" i="14609"/>
  <c r="H348" i="14609"/>
  <c r="I348" i="14609"/>
  <c r="J348" i="14609"/>
  <c r="K348" i="14609"/>
  <c r="L348" i="14609"/>
  <c r="M348" i="14609"/>
  <c r="N348" i="14609"/>
  <c r="O348" i="14609"/>
  <c r="P348" i="14609"/>
  <c r="Q348" i="14609"/>
  <c r="R348" i="14609"/>
  <c r="S348" i="14609"/>
  <c r="T348" i="14609"/>
  <c r="U348" i="14609"/>
  <c r="V348" i="14609"/>
  <c r="W348" i="14609"/>
  <c r="X348" i="14609"/>
  <c r="Y348" i="14609"/>
  <c r="Z348" i="14609"/>
  <c r="AA348" i="14609"/>
  <c r="AB348" i="14609"/>
  <c r="AC348" i="14609"/>
  <c r="AD348" i="14609"/>
  <c r="AE348" i="14609"/>
  <c r="AF348" i="14609"/>
  <c r="AG348" i="14609"/>
  <c r="AH348" i="14609"/>
  <c r="AI348" i="14609"/>
  <c r="AJ348" i="14609"/>
  <c r="AK348" i="14609"/>
  <c r="AL348" i="14609"/>
  <c r="AM348" i="14609"/>
  <c r="AN348" i="14609"/>
  <c r="AO348" i="14609"/>
  <c r="AP348" i="14609"/>
  <c r="AQ348" i="14609"/>
  <c r="AR348" i="14609"/>
  <c r="AS348" i="14609"/>
  <c r="AT348" i="14609"/>
  <c r="AU348" i="14609"/>
  <c r="AV348" i="14609"/>
  <c r="AW348" i="14609"/>
  <c r="AX348" i="14609"/>
  <c r="AY348" i="14609"/>
  <c r="AZ348" i="14609"/>
  <c r="BA348" i="14609"/>
  <c r="BB348" i="14609"/>
  <c r="BC348" i="14609"/>
  <c r="BD348" i="14609"/>
  <c r="BE348" i="14609"/>
  <c r="BF348" i="14609"/>
  <c r="BG348" i="14609"/>
  <c r="BH348" i="14609"/>
  <c r="BI348" i="14609"/>
  <c r="BJ348" i="14609"/>
  <c r="BK348" i="14609"/>
  <c r="BL348" i="14609"/>
  <c r="BM348" i="14609"/>
  <c r="BN348" i="14609"/>
  <c r="BO348" i="14609"/>
  <c r="BP348" i="14609"/>
  <c r="BQ348" i="14609"/>
  <c r="BR348" i="14609"/>
  <c r="BS348" i="14609"/>
  <c r="BT348" i="14609"/>
  <c r="BU348" i="14609"/>
  <c r="BV348" i="14609"/>
  <c r="BW348" i="14609"/>
  <c r="BX348" i="14609"/>
  <c r="BY348" i="14609"/>
  <c r="BZ348" i="14609"/>
  <c r="CA348" i="14609"/>
  <c r="CB348" i="14609"/>
  <c r="CC348" i="14609"/>
  <c r="CD348" i="14609"/>
  <c r="CE348" i="14609"/>
  <c r="CF348" i="14609"/>
  <c r="CG348" i="14609"/>
  <c r="CH348" i="14609"/>
  <c r="CI348" i="14609"/>
  <c r="CJ348" i="14609"/>
  <c r="CK348" i="14609"/>
  <c r="CL348" i="14609"/>
  <c r="CM348" i="14609"/>
  <c r="CN348" i="14609"/>
  <c r="CO348" i="14609"/>
  <c r="CP348" i="14609"/>
  <c r="CQ348" i="14609"/>
  <c r="CR348" i="14609"/>
  <c r="CS348" i="14609"/>
  <c r="CT348" i="14609"/>
  <c r="CU348" i="14609"/>
  <c r="CV348" i="14609"/>
  <c r="CW348" i="14609"/>
  <c r="CX348" i="14609"/>
  <c r="CY348" i="14609"/>
  <c r="CZ348" i="14609"/>
  <c r="DA348" i="14609"/>
  <c r="DB348" i="14609"/>
  <c r="DC348" i="14609"/>
  <c r="DD348" i="14609"/>
  <c r="DE348" i="14609"/>
  <c r="DF348" i="14609"/>
  <c r="DG348" i="14609"/>
  <c r="DH348" i="14609"/>
  <c r="DI348" i="14609"/>
  <c r="DJ348" i="14609"/>
  <c r="DK348" i="14609"/>
  <c r="DL348" i="14609"/>
  <c r="DM348" i="14609"/>
  <c r="DN348" i="14609"/>
  <c r="DO348" i="14609"/>
  <c r="DP348" i="14609"/>
  <c r="DQ348" i="14609"/>
  <c r="DR348" i="14609"/>
  <c r="DS348" i="14609"/>
  <c r="DT348" i="14609"/>
  <c r="DU348" i="14609"/>
  <c r="DV348" i="14609"/>
  <c r="DW348" i="14609"/>
  <c r="DX348" i="14609"/>
  <c r="DY348" i="14609"/>
  <c r="DZ348" i="14609"/>
  <c r="EA348" i="14609"/>
  <c r="EB348" i="14609"/>
  <c r="EC348" i="14609"/>
  <c r="ED348" i="14609"/>
  <c r="EE348" i="14609"/>
  <c r="EF348" i="14609"/>
  <c r="EG348" i="14609"/>
  <c r="EH348" i="14609"/>
  <c r="EI348" i="14609"/>
  <c r="EJ348" i="14609"/>
  <c r="EK348" i="14609"/>
  <c r="EL348" i="14609"/>
  <c r="EM348" i="14609"/>
  <c r="EN348" i="14609"/>
  <c r="EO348" i="14609"/>
  <c r="EP348" i="14609"/>
  <c r="EQ348" i="14609"/>
  <c r="ER348" i="14609"/>
  <c r="ES348" i="14609"/>
  <c r="ET348" i="14609"/>
  <c r="EU348" i="14609"/>
  <c r="EV348" i="14609"/>
  <c r="EW348" i="14609"/>
  <c r="EX348" i="14609"/>
  <c r="EY348" i="14609"/>
  <c r="EZ348" i="14609"/>
  <c r="FA348" i="14609"/>
  <c r="FB348" i="14609"/>
  <c r="FC348" i="14609"/>
  <c r="FD348" i="14609"/>
  <c r="FE348" i="14609"/>
  <c r="FF348" i="14609"/>
  <c r="FG348" i="14609"/>
  <c r="FH348" i="14609"/>
  <c r="FI348" i="14609"/>
  <c r="FJ348" i="14609"/>
  <c r="FK348" i="14609"/>
  <c r="FL348" i="14609"/>
  <c r="FM348" i="14609"/>
  <c r="FN348" i="14609"/>
  <c r="FO348" i="14609"/>
  <c r="FP348" i="14609"/>
  <c r="FQ348" i="14609"/>
  <c r="FR348" i="14609"/>
  <c r="FS348" i="14609"/>
  <c r="FT348" i="14609"/>
  <c r="FU348" i="14609"/>
  <c r="FV348" i="14609"/>
  <c r="FW348" i="14609"/>
  <c r="FX348" i="14609"/>
  <c r="FY348" i="14609"/>
  <c r="FZ348" i="14609"/>
  <c r="GA348" i="14609"/>
  <c r="GB348" i="14609"/>
  <c r="GC348" i="14609"/>
  <c r="GD348" i="14609"/>
  <c r="GE348" i="14609"/>
  <c r="GF348" i="14609"/>
  <c r="GG348" i="14609"/>
  <c r="GH348" i="14609"/>
  <c r="GI348" i="14609"/>
  <c r="GJ348" i="14609"/>
  <c r="GK348" i="14609"/>
  <c r="GL348" i="14609"/>
  <c r="GM348" i="14609"/>
  <c r="GN348" i="14609"/>
  <c r="GO348" i="14609"/>
  <c r="GP348" i="14609"/>
  <c r="GQ348" i="14609"/>
  <c r="GR348" i="14609"/>
  <c r="GS348" i="14609"/>
  <c r="GT348" i="14609"/>
  <c r="GU348" i="14609"/>
  <c r="GV348" i="14609"/>
  <c r="GW348" i="14609"/>
  <c r="GX348" i="14609"/>
  <c r="GY348" i="14609"/>
  <c r="GZ348" i="14609"/>
  <c r="HA348" i="14609"/>
  <c r="HB348" i="14609"/>
  <c r="HC348" i="14609"/>
  <c r="HD348" i="14609"/>
  <c r="HE348" i="14609"/>
  <c r="HF348" i="14609"/>
  <c r="HG348" i="14609"/>
  <c r="HH348" i="14609"/>
  <c r="HI348" i="14609"/>
  <c r="HJ348" i="14609"/>
  <c r="HK348" i="14609"/>
  <c r="HL348" i="14609"/>
  <c r="HM348" i="14609"/>
  <c r="HN348" i="14609"/>
  <c r="HO348" i="14609"/>
  <c r="HP348" i="14609"/>
  <c r="HQ348" i="14609"/>
  <c r="HR348" i="14609"/>
  <c r="HS348" i="14609"/>
  <c r="HT348" i="14609"/>
  <c r="HU348" i="14609"/>
  <c r="HV348" i="14609"/>
  <c r="HW348" i="14609"/>
  <c r="HX348" i="14609"/>
  <c r="HY348" i="14609"/>
  <c r="HZ348" i="14609"/>
  <c r="IA348" i="14609"/>
  <c r="IB348" i="14609"/>
  <c r="IC348" i="14609"/>
  <c r="ID348" i="14609"/>
  <c r="IE348" i="14609"/>
  <c r="IF348" i="14609"/>
  <c r="IG348" i="14609"/>
  <c r="IH348" i="14609"/>
  <c r="II348" i="14609"/>
  <c r="IJ348" i="14609"/>
  <c r="IK348" i="14609"/>
  <c r="IL348" i="14609"/>
  <c r="IM348" i="14609"/>
  <c r="IN348" i="14609"/>
  <c r="IO348" i="14609"/>
  <c r="IP348" i="14609"/>
  <c r="IQ348" i="14609"/>
  <c r="IR348" i="14609"/>
  <c r="IS348" i="14609"/>
  <c r="IT348" i="14609"/>
  <c r="IU348" i="14609"/>
  <c r="IV348" i="14609"/>
  <c r="A347" i="14609"/>
  <c r="B347" i="14609"/>
  <c r="C347" i="14609"/>
  <c r="D347" i="14609"/>
  <c r="E347" i="14609"/>
  <c r="F347" i="14609"/>
  <c r="G347" i="14609"/>
  <c r="H347" i="14609"/>
  <c r="I347" i="14609"/>
  <c r="J347" i="14609"/>
  <c r="K347" i="14609"/>
  <c r="L347" i="14609"/>
  <c r="M347" i="14609"/>
  <c r="N347" i="14609"/>
  <c r="O347" i="14609"/>
  <c r="P347" i="14609"/>
  <c r="Q347" i="14609"/>
  <c r="R347" i="14609"/>
  <c r="S347" i="14609"/>
  <c r="T347" i="14609"/>
  <c r="U347" i="14609"/>
  <c r="V347" i="14609"/>
  <c r="W347" i="14609"/>
  <c r="X347" i="14609"/>
  <c r="Y347" i="14609"/>
  <c r="Z347" i="14609"/>
  <c r="AA347" i="14609"/>
  <c r="AB347" i="14609"/>
  <c r="AC347" i="14609"/>
  <c r="AD347" i="14609"/>
  <c r="AE347" i="14609"/>
  <c r="AF347" i="14609"/>
  <c r="AG347" i="14609"/>
  <c r="AH347" i="14609"/>
  <c r="AI347" i="14609"/>
  <c r="AJ347" i="14609"/>
  <c r="AK347" i="14609"/>
  <c r="AL347" i="14609"/>
  <c r="AM347" i="14609"/>
  <c r="AN347" i="14609"/>
  <c r="AO347" i="14609"/>
  <c r="AP347" i="14609"/>
  <c r="AQ347" i="14609"/>
  <c r="AR347" i="14609"/>
  <c r="AS347" i="14609"/>
  <c r="AT347" i="14609"/>
  <c r="AU347" i="14609"/>
  <c r="AV347" i="14609"/>
  <c r="AW347" i="14609"/>
  <c r="AX347" i="14609"/>
  <c r="AY347" i="14609"/>
  <c r="AZ347" i="14609"/>
  <c r="BA347" i="14609"/>
  <c r="BB347" i="14609"/>
  <c r="BC347" i="14609"/>
  <c r="BD347" i="14609"/>
  <c r="BE347" i="14609"/>
  <c r="BF347" i="14609"/>
  <c r="BG347" i="14609"/>
  <c r="BH347" i="14609"/>
  <c r="BI347" i="14609"/>
  <c r="BJ347" i="14609"/>
  <c r="BK347" i="14609"/>
  <c r="BL347" i="14609"/>
  <c r="BM347" i="14609"/>
  <c r="BN347" i="14609"/>
  <c r="BO347" i="14609"/>
  <c r="BP347" i="14609"/>
  <c r="BQ347" i="14609"/>
  <c r="BR347" i="14609"/>
  <c r="BS347" i="14609"/>
  <c r="BT347" i="14609"/>
  <c r="BU347" i="14609"/>
  <c r="BV347" i="14609"/>
  <c r="BW347" i="14609"/>
  <c r="BX347" i="14609"/>
  <c r="BY347" i="14609"/>
  <c r="BZ347" i="14609"/>
  <c r="CA347" i="14609"/>
  <c r="CB347" i="14609"/>
  <c r="CC347" i="14609"/>
  <c r="CD347" i="14609"/>
  <c r="CE347" i="14609"/>
  <c r="CF347" i="14609"/>
  <c r="CG347" i="14609"/>
  <c r="CH347" i="14609"/>
  <c r="CI347" i="14609"/>
  <c r="CJ347" i="14609"/>
  <c r="CK347" i="14609"/>
  <c r="CL347" i="14609"/>
  <c r="CM347" i="14609"/>
  <c r="CN347" i="14609"/>
  <c r="CO347" i="14609"/>
  <c r="CP347" i="14609"/>
  <c r="CQ347" i="14609"/>
  <c r="CR347" i="14609"/>
  <c r="CS347" i="14609"/>
  <c r="CT347" i="14609"/>
  <c r="CU347" i="14609"/>
  <c r="CV347" i="14609"/>
  <c r="CW347" i="14609"/>
  <c r="CX347" i="14609"/>
  <c r="CY347" i="14609"/>
  <c r="CZ347" i="14609"/>
  <c r="DA347" i="14609"/>
  <c r="DB347" i="14609"/>
  <c r="DC347" i="14609"/>
  <c r="DD347" i="14609"/>
  <c r="DE347" i="14609"/>
  <c r="DF347" i="14609"/>
  <c r="DG347" i="14609"/>
  <c r="DH347" i="14609"/>
  <c r="DI347" i="14609"/>
  <c r="DJ347" i="14609"/>
  <c r="DK347" i="14609"/>
  <c r="DL347" i="14609"/>
  <c r="DM347" i="14609"/>
  <c r="DN347" i="14609"/>
  <c r="DO347" i="14609"/>
  <c r="DP347" i="14609"/>
  <c r="DQ347" i="14609"/>
  <c r="DR347" i="14609"/>
  <c r="DS347" i="14609"/>
  <c r="DT347" i="14609"/>
  <c r="DU347" i="14609"/>
  <c r="DV347" i="14609"/>
  <c r="DW347" i="14609"/>
  <c r="DX347" i="14609"/>
  <c r="DY347" i="14609"/>
  <c r="DZ347" i="14609"/>
  <c r="EA347" i="14609"/>
  <c r="EB347" i="14609"/>
  <c r="EC347" i="14609"/>
  <c r="ED347" i="14609"/>
  <c r="EE347" i="14609"/>
  <c r="EF347" i="14609"/>
  <c r="EG347" i="14609"/>
  <c r="EH347" i="14609"/>
  <c r="EI347" i="14609"/>
  <c r="EJ347" i="14609"/>
  <c r="EK347" i="14609"/>
  <c r="EL347" i="14609"/>
  <c r="EM347" i="14609"/>
  <c r="EN347" i="14609"/>
  <c r="EO347" i="14609"/>
  <c r="EP347" i="14609"/>
  <c r="EQ347" i="14609"/>
  <c r="ER347" i="14609"/>
  <c r="ES347" i="14609"/>
  <c r="ET347" i="14609"/>
  <c r="EU347" i="14609"/>
  <c r="EV347" i="14609"/>
  <c r="EW347" i="14609"/>
  <c r="EX347" i="14609"/>
  <c r="EY347" i="14609"/>
  <c r="EZ347" i="14609"/>
  <c r="FA347" i="14609"/>
  <c r="FB347" i="14609"/>
  <c r="FC347" i="14609"/>
  <c r="FD347" i="14609"/>
  <c r="FE347" i="14609"/>
  <c r="FF347" i="14609"/>
  <c r="FG347" i="14609"/>
  <c r="FH347" i="14609"/>
  <c r="FI347" i="14609"/>
  <c r="FJ347" i="14609"/>
  <c r="FK347" i="14609"/>
  <c r="FL347" i="14609"/>
  <c r="FM347" i="14609"/>
  <c r="FN347" i="14609"/>
  <c r="FO347" i="14609"/>
  <c r="FP347" i="14609"/>
  <c r="FQ347" i="14609"/>
  <c r="FR347" i="14609"/>
  <c r="FS347" i="14609"/>
  <c r="FT347" i="14609"/>
  <c r="FU347" i="14609"/>
  <c r="FV347" i="14609"/>
  <c r="FW347" i="14609"/>
  <c r="FX347" i="14609"/>
  <c r="FY347" i="14609"/>
  <c r="FZ347" i="14609"/>
  <c r="GA347" i="14609"/>
  <c r="GB347" i="14609"/>
  <c r="GC347" i="14609"/>
  <c r="GD347" i="14609"/>
  <c r="GE347" i="14609"/>
  <c r="GF347" i="14609"/>
  <c r="GG347" i="14609"/>
  <c r="GH347" i="14609"/>
  <c r="GI347" i="14609"/>
  <c r="GJ347" i="14609"/>
  <c r="GK347" i="14609"/>
  <c r="GL347" i="14609"/>
  <c r="GM347" i="14609"/>
  <c r="GN347" i="14609"/>
  <c r="GO347" i="14609"/>
  <c r="GP347" i="14609"/>
  <c r="GQ347" i="14609"/>
  <c r="GR347" i="14609"/>
  <c r="GS347" i="14609"/>
  <c r="GT347" i="14609"/>
  <c r="GU347" i="14609"/>
  <c r="GV347" i="14609"/>
  <c r="GW347" i="14609"/>
  <c r="GX347" i="14609"/>
  <c r="GY347" i="14609"/>
  <c r="GZ347" i="14609"/>
  <c r="HA347" i="14609"/>
  <c r="HB347" i="14609"/>
  <c r="HC347" i="14609"/>
  <c r="HD347" i="14609"/>
  <c r="HE347" i="14609"/>
  <c r="HF347" i="14609"/>
  <c r="HG347" i="14609"/>
  <c r="HH347" i="14609"/>
  <c r="HI347" i="14609"/>
  <c r="HJ347" i="14609"/>
  <c r="HK347" i="14609"/>
  <c r="HL347" i="14609"/>
  <c r="HM347" i="14609"/>
  <c r="HN347" i="14609"/>
  <c r="HO347" i="14609"/>
  <c r="HP347" i="14609"/>
  <c r="HQ347" i="14609"/>
  <c r="HR347" i="14609"/>
  <c r="HS347" i="14609"/>
  <c r="HT347" i="14609"/>
  <c r="HU347" i="14609"/>
  <c r="HV347" i="14609"/>
  <c r="HW347" i="14609"/>
  <c r="HX347" i="14609"/>
  <c r="HY347" i="14609"/>
  <c r="HZ347" i="14609"/>
  <c r="IA347" i="14609"/>
  <c r="IB347" i="14609"/>
  <c r="IC347" i="14609"/>
  <c r="ID347" i="14609"/>
  <c r="IE347" i="14609"/>
  <c r="IF347" i="14609"/>
  <c r="IG347" i="14609"/>
  <c r="IH347" i="14609"/>
  <c r="II347" i="14609"/>
  <c r="IJ347" i="14609"/>
  <c r="IK347" i="14609"/>
  <c r="IL347" i="14609"/>
  <c r="IM347" i="14609"/>
  <c r="IN347" i="14609"/>
  <c r="IO347" i="14609"/>
  <c r="IP347" i="14609"/>
  <c r="IQ347" i="14609"/>
  <c r="IR347" i="14609"/>
  <c r="IS347" i="14609"/>
  <c r="IT347" i="14609"/>
  <c r="IU347" i="14609"/>
  <c r="IV347" i="14609"/>
  <c r="A346" i="14609"/>
  <c r="B346" i="14609"/>
  <c r="C346" i="14609"/>
  <c r="D346" i="14609"/>
  <c r="E346" i="14609"/>
  <c r="F346" i="14609"/>
  <c r="G346" i="14609"/>
  <c r="H346" i="14609"/>
  <c r="I346" i="14609"/>
  <c r="J346" i="14609"/>
  <c r="K346" i="14609"/>
  <c r="L346" i="14609"/>
  <c r="M346" i="14609"/>
  <c r="N346" i="14609"/>
  <c r="O346" i="14609"/>
  <c r="P346" i="14609"/>
  <c r="Q346" i="14609"/>
  <c r="R346" i="14609"/>
  <c r="S346" i="14609"/>
  <c r="T346" i="14609"/>
  <c r="U346" i="14609"/>
  <c r="V346" i="14609"/>
  <c r="W346" i="14609"/>
  <c r="X346" i="14609"/>
  <c r="Y346" i="14609"/>
  <c r="Z346" i="14609"/>
  <c r="AA346" i="14609"/>
  <c r="AB346" i="14609"/>
  <c r="AC346" i="14609"/>
  <c r="AD346" i="14609"/>
  <c r="AE346" i="14609"/>
  <c r="AF346" i="14609"/>
  <c r="AG346" i="14609"/>
  <c r="AH346" i="14609"/>
  <c r="AI346" i="14609"/>
  <c r="AJ346" i="14609"/>
  <c r="AK346" i="14609"/>
  <c r="AL346" i="14609"/>
  <c r="AM346" i="14609"/>
  <c r="AN346" i="14609"/>
  <c r="AO346" i="14609"/>
  <c r="AP346" i="14609"/>
  <c r="AQ346" i="14609"/>
  <c r="AR346" i="14609"/>
  <c r="AS346" i="14609"/>
  <c r="AT346" i="14609"/>
  <c r="AU346" i="14609"/>
  <c r="AV346" i="14609"/>
  <c r="AW346" i="14609"/>
  <c r="AX346" i="14609"/>
  <c r="AY346" i="14609"/>
  <c r="AZ346" i="14609"/>
  <c r="BA346" i="14609"/>
  <c r="BB346" i="14609"/>
  <c r="BC346" i="14609"/>
  <c r="BD346" i="14609"/>
  <c r="BE346" i="14609"/>
  <c r="BF346" i="14609"/>
  <c r="BG346" i="14609"/>
  <c r="BH346" i="14609"/>
  <c r="BI346" i="14609"/>
  <c r="BJ346" i="14609"/>
  <c r="BK346" i="14609"/>
  <c r="BL346" i="14609"/>
  <c r="BM346" i="14609"/>
  <c r="BN346" i="14609"/>
  <c r="BO346" i="14609"/>
  <c r="BP346" i="14609"/>
  <c r="BQ346" i="14609"/>
  <c r="BR346" i="14609"/>
  <c r="BS346" i="14609"/>
  <c r="BT346" i="14609"/>
  <c r="BU346" i="14609"/>
  <c r="BV346" i="14609"/>
  <c r="BW346" i="14609"/>
  <c r="BX346" i="14609"/>
  <c r="BY346" i="14609"/>
  <c r="BZ346" i="14609"/>
  <c r="CA346" i="14609"/>
  <c r="CB346" i="14609"/>
  <c r="CC346" i="14609"/>
  <c r="CD346" i="14609"/>
  <c r="CE346" i="14609"/>
  <c r="CF346" i="14609"/>
  <c r="CG346" i="14609"/>
  <c r="CH346" i="14609"/>
  <c r="CI346" i="14609"/>
  <c r="CJ346" i="14609"/>
  <c r="CK346" i="14609"/>
  <c r="CL346" i="14609"/>
  <c r="CM346" i="14609"/>
  <c r="CN346" i="14609"/>
  <c r="CO346" i="14609"/>
  <c r="CP346" i="14609"/>
  <c r="CQ346" i="14609"/>
  <c r="CR346" i="14609"/>
  <c r="CS346" i="14609"/>
  <c r="CT346" i="14609"/>
  <c r="CU346" i="14609"/>
  <c r="CV346" i="14609"/>
  <c r="CW346" i="14609"/>
  <c r="CX346" i="14609"/>
  <c r="CY346" i="14609"/>
  <c r="CZ346" i="14609"/>
  <c r="DA346" i="14609"/>
  <c r="DB346" i="14609"/>
  <c r="DC346" i="14609"/>
  <c r="DD346" i="14609"/>
  <c r="DE346" i="14609"/>
  <c r="DF346" i="14609"/>
  <c r="DG346" i="14609"/>
  <c r="DH346" i="14609"/>
  <c r="DI346" i="14609"/>
  <c r="DJ346" i="14609"/>
  <c r="DK346" i="14609"/>
  <c r="DL346" i="14609"/>
  <c r="DM346" i="14609"/>
  <c r="DN346" i="14609"/>
  <c r="DO346" i="14609"/>
  <c r="DP346" i="14609"/>
  <c r="DQ346" i="14609"/>
  <c r="DR346" i="14609"/>
  <c r="DS346" i="14609"/>
  <c r="DT346" i="14609"/>
  <c r="DU346" i="14609"/>
  <c r="DV346" i="14609"/>
  <c r="DW346" i="14609"/>
  <c r="DX346" i="14609"/>
  <c r="DY346" i="14609"/>
  <c r="DZ346" i="14609"/>
  <c r="EA346" i="14609"/>
  <c r="EB346" i="14609"/>
  <c r="EC346" i="14609"/>
  <c r="ED346" i="14609"/>
  <c r="EE346" i="14609"/>
  <c r="EF346" i="14609"/>
  <c r="EG346" i="14609"/>
  <c r="EH346" i="14609"/>
  <c r="EI346" i="14609"/>
  <c r="EJ346" i="14609"/>
  <c r="EK346" i="14609"/>
  <c r="EL346" i="14609"/>
  <c r="EM346" i="14609"/>
  <c r="EN346" i="14609"/>
  <c r="EO346" i="14609"/>
  <c r="EP346" i="14609"/>
  <c r="EQ346" i="14609"/>
  <c r="ER346" i="14609"/>
  <c r="ES346" i="14609"/>
  <c r="ET346" i="14609"/>
  <c r="EU346" i="14609"/>
  <c r="EV346" i="14609"/>
  <c r="EW346" i="14609"/>
  <c r="EX346" i="14609"/>
  <c r="EY346" i="14609"/>
  <c r="EZ346" i="14609"/>
  <c r="FA346" i="14609"/>
  <c r="FB346" i="14609"/>
  <c r="FC346" i="14609"/>
  <c r="FD346" i="14609"/>
  <c r="FE346" i="14609"/>
  <c r="FF346" i="14609"/>
  <c r="FG346" i="14609"/>
  <c r="FH346" i="14609"/>
  <c r="FI346" i="14609"/>
  <c r="FJ346" i="14609"/>
  <c r="FK346" i="14609"/>
  <c r="FL346" i="14609"/>
  <c r="FM346" i="14609"/>
  <c r="FN346" i="14609"/>
  <c r="FO346" i="14609"/>
  <c r="FP346" i="14609"/>
  <c r="FQ346" i="14609"/>
  <c r="FR346" i="14609"/>
  <c r="FS346" i="14609"/>
  <c r="FT346" i="14609"/>
  <c r="FU346" i="14609"/>
  <c r="FV346" i="14609"/>
  <c r="FW346" i="14609"/>
  <c r="FX346" i="14609"/>
  <c r="FY346" i="14609"/>
  <c r="FZ346" i="14609"/>
  <c r="GA346" i="14609"/>
  <c r="GB346" i="14609"/>
  <c r="GC346" i="14609"/>
  <c r="GD346" i="14609"/>
  <c r="GE346" i="14609"/>
  <c r="GF346" i="14609"/>
  <c r="GG346" i="14609"/>
  <c r="GH346" i="14609"/>
  <c r="GI346" i="14609"/>
  <c r="GJ346" i="14609"/>
  <c r="GK346" i="14609"/>
  <c r="GL346" i="14609"/>
  <c r="GM346" i="14609"/>
  <c r="GN346" i="14609"/>
  <c r="GO346" i="14609"/>
  <c r="GP346" i="14609"/>
  <c r="GQ346" i="14609"/>
  <c r="GR346" i="14609"/>
  <c r="GS346" i="14609"/>
  <c r="GT346" i="14609"/>
  <c r="GU346" i="14609"/>
  <c r="GV346" i="14609"/>
  <c r="GW346" i="14609"/>
  <c r="GX346" i="14609"/>
  <c r="GY346" i="14609"/>
  <c r="GZ346" i="14609"/>
  <c r="HA346" i="14609"/>
  <c r="HB346" i="14609"/>
  <c r="HC346" i="14609"/>
  <c r="HD346" i="14609"/>
  <c r="HE346" i="14609"/>
  <c r="HF346" i="14609"/>
  <c r="HG346" i="14609"/>
  <c r="HH346" i="14609"/>
  <c r="HI346" i="14609"/>
  <c r="HJ346" i="14609"/>
  <c r="HK346" i="14609"/>
  <c r="HL346" i="14609"/>
  <c r="HM346" i="14609"/>
  <c r="HN346" i="14609"/>
  <c r="HO346" i="14609"/>
  <c r="HP346" i="14609"/>
  <c r="HQ346" i="14609"/>
  <c r="HR346" i="14609"/>
  <c r="HS346" i="14609"/>
  <c r="HT346" i="14609"/>
  <c r="HU346" i="14609"/>
  <c r="HV346" i="14609"/>
  <c r="HW346" i="14609"/>
  <c r="HX346" i="14609"/>
  <c r="HY346" i="14609"/>
  <c r="HZ346" i="14609"/>
  <c r="IA346" i="14609"/>
  <c r="IB346" i="14609"/>
  <c r="IC346" i="14609"/>
  <c r="ID346" i="14609"/>
  <c r="IE346" i="14609"/>
  <c r="IF346" i="14609"/>
  <c r="IG346" i="14609"/>
  <c r="IH346" i="14609"/>
  <c r="II346" i="14609"/>
  <c r="IJ346" i="14609"/>
  <c r="IK346" i="14609"/>
  <c r="IL346" i="14609"/>
  <c r="IM346" i="14609"/>
  <c r="IN346" i="14609"/>
  <c r="IO346" i="14609"/>
  <c r="IP346" i="14609"/>
  <c r="IQ346" i="14609"/>
  <c r="IR346" i="14609"/>
  <c r="IS346" i="14609"/>
  <c r="IT346" i="14609"/>
  <c r="IU346" i="14609"/>
  <c r="IV346" i="14609"/>
  <c r="A345" i="14609"/>
  <c r="B345" i="14609"/>
  <c r="C345" i="14609"/>
  <c r="D345" i="14609"/>
  <c r="E345" i="14609"/>
  <c r="F345" i="14609"/>
  <c r="G345" i="14609"/>
  <c r="H345" i="14609"/>
  <c r="I345" i="14609"/>
  <c r="J345" i="14609"/>
  <c r="K345" i="14609"/>
  <c r="L345" i="14609"/>
  <c r="M345" i="14609"/>
  <c r="N345" i="14609"/>
  <c r="O345" i="14609"/>
  <c r="P345" i="14609"/>
  <c r="Q345" i="14609"/>
  <c r="R345" i="14609"/>
  <c r="S345" i="14609"/>
  <c r="T345" i="14609"/>
  <c r="U345" i="14609"/>
  <c r="V345" i="14609"/>
  <c r="W345" i="14609"/>
  <c r="X345" i="14609"/>
  <c r="Y345" i="14609"/>
  <c r="Z345" i="14609"/>
  <c r="AA345" i="14609"/>
  <c r="AB345" i="14609"/>
  <c r="AC345" i="14609"/>
  <c r="AD345" i="14609"/>
  <c r="AE345" i="14609"/>
  <c r="AF345" i="14609"/>
  <c r="AG345" i="14609"/>
  <c r="AH345" i="14609"/>
  <c r="AI345" i="14609"/>
  <c r="AJ345" i="14609"/>
  <c r="AK345" i="14609"/>
  <c r="AL345" i="14609"/>
  <c r="AM345" i="14609"/>
  <c r="AN345" i="14609"/>
  <c r="AO345" i="14609"/>
  <c r="AP345" i="14609"/>
  <c r="AQ345" i="14609"/>
  <c r="AR345" i="14609"/>
  <c r="AS345" i="14609"/>
  <c r="AT345" i="14609"/>
  <c r="AU345" i="14609"/>
  <c r="AV345" i="14609"/>
  <c r="AW345" i="14609"/>
  <c r="AX345" i="14609"/>
  <c r="AY345" i="14609"/>
  <c r="AZ345" i="14609"/>
  <c r="BA345" i="14609"/>
  <c r="BB345" i="14609"/>
  <c r="BC345" i="14609"/>
  <c r="BD345" i="14609"/>
  <c r="BE345" i="14609"/>
  <c r="BF345" i="14609"/>
  <c r="BG345" i="14609"/>
  <c r="BH345" i="14609"/>
  <c r="BI345" i="14609"/>
  <c r="BJ345" i="14609"/>
  <c r="BK345" i="14609"/>
  <c r="BL345" i="14609"/>
  <c r="BM345" i="14609"/>
  <c r="BN345" i="14609"/>
  <c r="BO345" i="14609"/>
  <c r="BP345" i="14609"/>
  <c r="BQ345" i="14609"/>
  <c r="BR345" i="14609"/>
  <c r="BS345" i="14609"/>
  <c r="BT345" i="14609"/>
  <c r="BU345" i="14609"/>
  <c r="BV345" i="14609"/>
  <c r="BW345" i="14609"/>
  <c r="BX345" i="14609"/>
  <c r="BY345" i="14609"/>
  <c r="BZ345" i="14609"/>
  <c r="CA345" i="14609"/>
  <c r="CB345" i="14609"/>
  <c r="CC345" i="14609"/>
  <c r="CD345" i="14609"/>
  <c r="CE345" i="14609"/>
  <c r="CF345" i="14609"/>
  <c r="CG345" i="14609"/>
  <c r="CH345" i="14609"/>
  <c r="CI345" i="14609"/>
  <c r="CJ345" i="14609"/>
  <c r="CK345" i="14609"/>
  <c r="CL345" i="14609"/>
  <c r="CM345" i="14609"/>
  <c r="CN345" i="14609"/>
  <c r="CO345" i="14609"/>
  <c r="CP345" i="14609"/>
  <c r="CQ345" i="14609"/>
  <c r="CR345" i="14609"/>
  <c r="CS345" i="14609"/>
  <c r="CT345" i="14609"/>
  <c r="CU345" i="14609"/>
  <c r="CV345" i="14609"/>
  <c r="CW345" i="14609"/>
  <c r="CX345" i="14609"/>
  <c r="CY345" i="14609"/>
  <c r="CZ345" i="14609"/>
  <c r="DA345" i="14609"/>
  <c r="DB345" i="14609"/>
  <c r="DC345" i="14609"/>
  <c r="DD345" i="14609"/>
  <c r="DE345" i="14609"/>
  <c r="DF345" i="14609"/>
  <c r="DG345" i="14609"/>
  <c r="DH345" i="14609"/>
  <c r="DI345" i="14609"/>
  <c r="DJ345" i="14609"/>
  <c r="DK345" i="14609"/>
  <c r="DL345" i="14609"/>
  <c r="DM345" i="14609"/>
  <c r="DN345" i="14609"/>
  <c r="DO345" i="14609"/>
  <c r="DP345" i="14609"/>
  <c r="DQ345" i="14609"/>
  <c r="DR345" i="14609"/>
  <c r="DS345" i="14609"/>
  <c r="DT345" i="14609"/>
  <c r="DU345" i="14609"/>
  <c r="DV345" i="14609"/>
  <c r="DW345" i="14609"/>
  <c r="DX345" i="14609"/>
  <c r="DY345" i="14609"/>
  <c r="DZ345" i="14609"/>
  <c r="EA345" i="14609"/>
  <c r="EB345" i="14609"/>
  <c r="EC345" i="14609"/>
  <c r="ED345" i="14609"/>
  <c r="EE345" i="14609"/>
  <c r="EF345" i="14609"/>
  <c r="EG345" i="14609"/>
  <c r="EH345" i="14609"/>
  <c r="EI345" i="14609"/>
  <c r="EJ345" i="14609"/>
  <c r="EK345" i="14609"/>
  <c r="EL345" i="14609"/>
  <c r="EM345" i="14609"/>
  <c r="EN345" i="14609"/>
  <c r="EO345" i="14609"/>
  <c r="EP345" i="14609"/>
  <c r="EQ345" i="14609"/>
  <c r="ER345" i="14609"/>
  <c r="ES345" i="14609"/>
  <c r="ET345" i="14609"/>
  <c r="EU345" i="14609"/>
  <c r="EV345" i="14609"/>
  <c r="EW345" i="14609"/>
  <c r="EX345" i="14609"/>
  <c r="EY345" i="14609"/>
  <c r="EZ345" i="14609"/>
  <c r="FA345" i="14609"/>
  <c r="FB345" i="14609"/>
  <c r="FC345" i="14609"/>
  <c r="FD345" i="14609"/>
  <c r="FE345" i="14609"/>
  <c r="FF345" i="14609"/>
  <c r="FG345" i="14609"/>
  <c r="FH345" i="14609"/>
  <c r="FI345" i="14609"/>
  <c r="FJ345" i="14609"/>
  <c r="FK345" i="14609"/>
  <c r="FL345" i="14609"/>
  <c r="FM345" i="14609"/>
  <c r="FN345" i="14609"/>
  <c r="FO345" i="14609"/>
  <c r="FP345" i="14609"/>
  <c r="FQ345" i="14609"/>
  <c r="FR345" i="14609"/>
  <c r="FS345" i="14609"/>
  <c r="FT345" i="14609"/>
  <c r="FU345" i="14609"/>
  <c r="FV345" i="14609"/>
  <c r="FW345" i="14609"/>
  <c r="FX345" i="14609"/>
  <c r="FY345" i="14609"/>
  <c r="FZ345" i="14609"/>
  <c r="GA345" i="14609"/>
  <c r="GB345" i="14609"/>
  <c r="GC345" i="14609"/>
  <c r="GD345" i="14609"/>
  <c r="GE345" i="14609"/>
  <c r="GF345" i="14609"/>
  <c r="GG345" i="14609"/>
  <c r="GH345" i="14609"/>
  <c r="GI345" i="14609"/>
  <c r="GJ345" i="14609"/>
  <c r="GK345" i="14609"/>
  <c r="GL345" i="14609"/>
  <c r="GM345" i="14609"/>
  <c r="GN345" i="14609"/>
  <c r="GO345" i="14609"/>
  <c r="GP345" i="14609"/>
  <c r="GQ345" i="14609"/>
  <c r="GR345" i="14609"/>
  <c r="GS345" i="14609"/>
  <c r="GT345" i="14609"/>
  <c r="GU345" i="14609"/>
  <c r="GV345" i="14609"/>
  <c r="GW345" i="14609"/>
  <c r="GX345" i="14609"/>
  <c r="GY345" i="14609"/>
  <c r="GZ345" i="14609"/>
  <c r="HA345" i="14609"/>
  <c r="HB345" i="14609"/>
  <c r="HC345" i="14609"/>
  <c r="HD345" i="14609"/>
  <c r="HE345" i="14609"/>
  <c r="HF345" i="14609"/>
  <c r="HG345" i="14609"/>
  <c r="HH345" i="14609"/>
  <c r="HI345" i="14609"/>
  <c r="HJ345" i="14609"/>
  <c r="HK345" i="14609"/>
  <c r="HL345" i="14609"/>
  <c r="HM345" i="14609"/>
  <c r="HN345" i="14609"/>
  <c r="HO345" i="14609"/>
  <c r="HP345" i="14609"/>
  <c r="HQ345" i="14609"/>
  <c r="HR345" i="14609"/>
  <c r="HS345" i="14609"/>
  <c r="HT345" i="14609"/>
  <c r="HU345" i="14609"/>
  <c r="HV345" i="14609"/>
  <c r="HW345" i="14609"/>
  <c r="HX345" i="14609"/>
  <c r="HY345" i="14609"/>
  <c r="HZ345" i="14609"/>
  <c r="IA345" i="14609"/>
  <c r="IB345" i="14609"/>
  <c r="IC345" i="14609"/>
  <c r="ID345" i="14609"/>
  <c r="IE345" i="14609"/>
  <c r="IF345" i="14609"/>
  <c r="IG345" i="14609"/>
  <c r="IH345" i="14609"/>
  <c r="II345" i="14609"/>
  <c r="IJ345" i="14609"/>
  <c r="IK345" i="14609"/>
  <c r="IL345" i="14609"/>
  <c r="IM345" i="14609"/>
  <c r="IN345" i="14609"/>
  <c r="IO345" i="14609"/>
  <c r="IP345" i="14609"/>
  <c r="IQ345" i="14609"/>
  <c r="IR345" i="14609"/>
  <c r="IS345" i="14609"/>
  <c r="IT345" i="14609"/>
  <c r="IU345" i="14609"/>
  <c r="IV345" i="14609"/>
  <c r="A344" i="14609"/>
  <c r="B344" i="14609"/>
  <c r="C344" i="14609"/>
  <c r="D344" i="14609"/>
  <c r="E344" i="14609"/>
  <c r="F344" i="14609"/>
  <c r="G344" i="14609"/>
  <c r="H344" i="14609"/>
  <c r="I344" i="14609"/>
  <c r="J344" i="14609"/>
  <c r="K344" i="14609"/>
  <c r="L344" i="14609"/>
  <c r="M344" i="14609"/>
  <c r="N344" i="14609"/>
  <c r="O344" i="14609"/>
  <c r="P344" i="14609"/>
  <c r="Q344" i="14609"/>
  <c r="R344" i="14609"/>
  <c r="S344" i="14609"/>
  <c r="T344" i="14609"/>
  <c r="U344" i="14609"/>
  <c r="V344" i="14609"/>
  <c r="W344" i="14609"/>
  <c r="X344" i="14609"/>
  <c r="Y344" i="14609"/>
  <c r="Z344" i="14609"/>
  <c r="AA344" i="14609"/>
  <c r="AB344" i="14609"/>
  <c r="AC344" i="14609"/>
  <c r="AD344" i="14609"/>
  <c r="AE344" i="14609"/>
  <c r="AF344" i="14609"/>
  <c r="AG344" i="14609"/>
  <c r="AH344" i="14609"/>
  <c r="AI344" i="14609"/>
  <c r="AJ344" i="14609"/>
  <c r="AK344" i="14609"/>
  <c r="AL344" i="14609"/>
  <c r="AM344" i="14609"/>
  <c r="AN344" i="14609"/>
  <c r="AO344" i="14609"/>
  <c r="AP344" i="14609"/>
  <c r="AQ344" i="14609"/>
  <c r="AR344" i="14609"/>
  <c r="AS344" i="14609"/>
  <c r="AT344" i="14609"/>
  <c r="AU344" i="14609"/>
  <c r="AV344" i="14609"/>
  <c r="AW344" i="14609"/>
  <c r="AX344" i="14609"/>
  <c r="AY344" i="14609"/>
  <c r="AZ344" i="14609"/>
  <c r="BA344" i="14609"/>
  <c r="BB344" i="14609"/>
  <c r="BC344" i="14609"/>
  <c r="BD344" i="14609"/>
  <c r="BE344" i="14609"/>
  <c r="BF344" i="14609"/>
  <c r="BG344" i="14609"/>
  <c r="BH344" i="14609"/>
  <c r="BI344" i="14609"/>
  <c r="BJ344" i="14609"/>
  <c r="BK344" i="14609"/>
  <c r="BL344" i="14609"/>
  <c r="BM344" i="14609"/>
  <c r="BN344" i="14609"/>
  <c r="BO344" i="14609"/>
  <c r="BP344" i="14609"/>
  <c r="BQ344" i="14609"/>
  <c r="BR344" i="14609"/>
  <c r="BS344" i="14609"/>
  <c r="BT344" i="14609"/>
  <c r="BU344" i="14609"/>
  <c r="BV344" i="14609"/>
  <c r="BW344" i="14609"/>
  <c r="BX344" i="14609"/>
  <c r="BY344" i="14609"/>
  <c r="BZ344" i="14609"/>
  <c r="CA344" i="14609"/>
  <c r="CB344" i="14609"/>
  <c r="CC344" i="14609"/>
  <c r="CD344" i="14609"/>
  <c r="CE344" i="14609"/>
  <c r="CF344" i="14609"/>
  <c r="CG344" i="14609"/>
  <c r="CH344" i="14609"/>
  <c r="CI344" i="14609"/>
  <c r="CJ344" i="14609"/>
  <c r="CK344" i="14609"/>
  <c r="CL344" i="14609"/>
  <c r="CM344" i="14609"/>
  <c r="CN344" i="14609"/>
  <c r="CO344" i="14609"/>
  <c r="CP344" i="14609"/>
  <c r="CQ344" i="14609"/>
  <c r="CR344" i="14609"/>
  <c r="CS344" i="14609"/>
  <c r="CT344" i="14609"/>
  <c r="CU344" i="14609"/>
  <c r="CV344" i="14609"/>
  <c r="CW344" i="14609"/>
  <c r="CX344" i="14609"/>
  <c r="CY344" i="14609"/>
  <c r="CZ344" i="14609"/>
  <c r="DA344" i="14609"/>
  <c r="DB344" i="14609"/>
  <c r="DC344" i="14609"/>
  <c r="DD344" i="14609"/>
  <c r="DE344" i="14609"/>
  <c r="DF344" i="14609"/>
  <c r="DG344" i="14609"/>
  <c r="DH344" i="14609"/>
  <c r="DI344" i="14609"/>
  <c r="DJ344" i="14609"/>
  <c r="DK344" i="14609"/>
  <c r="DL344" i="14609"/>
  <c r="DM344" i="14609"/>
  <c r="DN344" i="14609"/>
  <c r="DO344" i="14609"/>
  <c r="DP344" i="14609"/>
  <c r="DQ344" i="14609"/>
  <c r="DR344" i="14609"/>
  <c r="DS344" i="14609"/>
  <c r="DT344" i="14609"/>
  <c r="DU344" i="14609"/>
  <c r="DV344" i="14609"/>
  <c r="DW344" i="14609"/>
  <c r="DX344" i="14609"/>
  <c r="DY344" i="14609"/>
  <c r="DZ344" i="14609"/>
  <c r="EA344" i="14609"/>
  <c r="EB344" i="14609"/>
  <c r="EC344" i="14609"/>
  <c r="ED344" i="14609"/>
  <c r="EE344" i="14609"/>
  <c r="EF344" i="14609"/>
  <c r="EG344" i="14609"/>
  <c r="EH344" i="14609"/>
  <c r="EI344" i="14609"/>
  <c r="EJ344" i="14609"/>
  <c r="EK344" i="14609"/>
  <c r="EL344" i="14609"/>
  <c r="EM344" i="14609"/>
  <c r="EN344" i="14609"/>
  <c r="EO344" i="14609"/>
  <c r="EP344" i="14609"/>
  <c r="EQ344" i="14609"/>
  <c r="ER344" i="14609"/>
  <c r="ES344" i="14609"/>
  <c r="ET344" i="14609"/>
  <c r="EU344" i="14609"/>
  <c r="EV344" i="14609"/>
  <c r="EW344" i="14609"/>
  <c r="EX344" i="14609"/>
  <c r="EY344" i="14609"/>
  <c r="EZ344" i="14609"/>
  <c r="FA344" i="14609"/>
  <c r="FB344" i="14609"/>
  <c r="FC344" i="14609"/>
  <c r="FD344" i="14609"/>
  <c r="FE344" i="14609"/>
  <c r="FF344" i="14609"/>
  <c r="FG344" i="14609"/>
  <c r="FH344" i="14609"/>
  <c r="FI344" i="14609"/>
  <c r="FJ344" i="14609"/>
  <c r="FK344" i="14609"/>
  <c r="FL344" i="14609"/>
  <c r="FM344" i="14609"/>
  <c r="FN344" i="14609"/>
  <c r="FO344" i="14609"/>
  <c r="FP344" i="14609"/>
  <c r="FQ344" i="14609"/>
  <c r="FR344" i="14609"/>
  <c r="FS344" i="14609"/>
  <c r="FT344" i="14609"/>
  <c r="FU344" i="14609"/>
  <c r="FV344" i="14609"/>
  <c r="FW344" i="14609"/>
  <c r="FX344" i="14609"/>
  <c r="FY344" i="14609"/>
  <c r="FZ344" i="14609"/>
  <c r="GA344" i="14609"/>
  <c r="GB344" i="14609"/>
  <c r="GC344" i="14609"/>
  <c r="GD344" i="14609"/>
  <c r="GE344" i="14609"/>
  <c r="GF344" i="14609"/>
  <c r="GG344" i="14609"/>
  <c r="GH344" i="14609"/>
  <c r="GI344" i="14609"/>
  <c r="GJ344" i="14609"/>
  <c r="GK344" i="14609"/>
  <c r="GL344" i="14609"/>
  <c r="GM344" i="14609"/>
  <c r="GN344" i="14609"/>
  <c r="GO344" i="14609"/>
  <c r="GP344" i="14609"/>
  <c r="GQ344" i="14609"/>
  <c r="GR344" i="14609"/>
  <c r="GS344" i="14609"/>
  <c r="GT344" i="14609"/>
  <c r="GU344" i="14609"/>
  <c r="GV344" i="14609"/>
  <c r="GW344" i="14609"/>
  <c r="GX344" i="14609"/>
  <c r="GY344" i="14609"/>
  <c r="GZ344" i="14609"/>
  <c r="HA344" i="14609"/>
  <c r="HB344" i="14609"/>
  <c r="HC344" i="14609"/>
  <c r="HD344" i="14609"/>
  <c r="HE344" i="14609"/>
  <c r="HF344" i="14609"/>
  <c r="HG344" i="14609"/>
  <c r="HH344" i="14609"/>
  <c r="HI344" i="14609"/>
  <c r="HJ344" i="14609"/>
  <c r="HK344" i="14609"/>
  <c r="HL344" i="14609"/>
  <c r="HM344" i="14609"/>
  <c r="HN344" i="14609"/>
  <c r="HO344" i="14609"/>
  <c r="HP344" i="14609"/>
  <c r="HQ344" i="14609"/>
  <c r="HR344" i="14609"/>
  <c r="HS344" i="14609"/>
  <c r="HT344" i="14609"/>
  <c r="HU344" i="14609"/>
  <c r="HV344" i="14609"/>
  <c r="HW344" i="14609"/>
  <c r="HX344" i="14609"/>
  <c r="HY344" i="14609"/>
  <c r="HZ344" i="14609"/>
  <c r="IA344" i="14609"/>
  <c r="IB344" i="14609"/>
  <c r="IC344" i="14609"/>
  <c r="ID344" i="14609"/>
  <c r="IE344" i="14609"/>
  <c r="IF344" i="14609"/>
  <c r="IG344" i="14609"/>
  <c r="IH344" i="14609"/>
  <c r="II344" i="14609"/>
  <c r="IJ344" i="14609"/>
  <c r="IK344" i="14609"/>
  <c r="IL344" i="14609"/>
  <c r="IM344" i="14609"/>
  <c r="IN344" i="14609"/>
  <c r="IO344" i="14609"/>
  <c r="IP344" i="14609"/>
  <c r="IQ344" i="14609"/>
  <c r="IR344" i="14609"/>
  <c r="IS344" i="14609"/>
  <c r="IT344" i="14609"/>
  <c r="IU344" i="14609"/>
  <c r="IV344" i="14609"/>
  <c r="A343" i="14609"/>
  <c r="B343" i="14609"/>
  <c r="C343" i="14609"/>
  <c r="D343" i="14609"/>
  <c r="E343" i="14609"/>
  <c r="F343" i="14609"/>
  <c r="G343" i="14609"/>
  <c r="H343" i="14609"/>
  <c r="I343" i="14609"/>
  <c r="J343" i="14609"/>
  <c r="K343" i="14609"/>
  <c r="L343" i="14609"/>
  <c r="M343" i="14609"/>
  <c r="N343" i="14609"/>
  <c r="O343" i="14609"/>
  <c r="P343" i="14609"/>
  <c r="Q343" i="14609"/>
  <c r="R343" i="14609"/>
  <c r="S343" i="14609"/>
  <c r="T343" i="14609"/>
  <c r="U343" i="14609"/>
  <c r="V343" i="14609"/>
  <c r="W343" i="14609"/>
  <c r="X343" i="14609"/>
  <c r="Y343" i="14609"/>
  <c r="Z343" i="14609"/>
  <c r="AA343" i="14609"/>
  <c r="AB343" i="14609"/>
  <c r="AC343" i="14609"/>
  <c r="AD343" i="14609"/>
  <c r="AE343" i="14609"/>
  <c r="AF343" i="14609"/>
  <c r="AG343" i="14609"/>
  <c r="AH343" i="14609"/>
  <c r="AI343" i="14609"/>
  <c r="AJ343" i="14609"/>
  <c r="AK343" i="14609"/>
  <c r="AL343" i="14609"/>
  <c r="AM343" i="14609"/>
  <c r="AN343" i="14609"/>
  <c r="AO343" i="14609"/>
  <c r="AP343" i="14609"/>
  <c r="AQ343" i="14609"/>
  <c r="AR343" i="14609"/>
  <c r="AS343" i="14609"/>
  <c r="AT343" i="14609"/>
  <c r="AU343" i="14609"/>
  <c r="AV343" i="14609"/>
  <c r="AW343" i="14609"/>
  <c r="AX343" i="14609"/>
  <c r="AY343" i="14609"/>
  <c r="AZ343" i="14609"/>
  <c r="BA343" i="14609"/>
  <c r="BB343" i="14609"/>
  <c r="BC343" i="14609"/>
  <c r="BD343" i="14609"/>
  <c r="BE343" i="14609"/>
  <c r="BF343" i="14609"/>
  <c r="BG343" i="14609"/>
  <c r="BH343" i="14609"/>
  <c r="BI343" i="14609"/>
  <c r="BJ343" i="14609"/>
  <c r="BK343" i="14609"/>
  <c r="BL343" i="14609"/>
  <c r="BM343" i="14609"/>
  <c r="BN343" i="14609"/>
  <c r="BO343" i="14609"/>
  <c r="BP343" i="14609"/>
  <c r="BQ343" i="14609"/>
  <c r="BR343" i="14609"/>
  <c r="BS343" i="14609"/>
  <c r="BT343" i="14609"/>
  <c r="BU343" i="14609"/>
  <c r="BV343" i="14609"/>
  <c r="BW343" i="14609"/>
  <c r="BX343" i="14609"/>
  <c r="BY343" i="14609"/>
  <c r="BZ343" i="14609"/>
  <c r="CA343" i="14609"/>
  <c r="CB343" i="14609"/>
  <c r="CC343" i="14609"/>
  <c r="CD343" i="14609"/>
  <c r="CE343" i="14609"/>
  <c r="CF343" i="14609"/>
  <c r="CG343" i="14609"/>
  <c r="CH343" i="14609"/>
  <c r="CI343" i="14609"/>
  <c r="CJ343" i="14609"/>
  <c r="CK343" i="14609"/>
  <c r="CL343" i="14609"/>
  <c r="CM343" i="14609"/>
  <c r="CN343" i="14609"/>
  <c r="CO343" i="14609"/>
  <c r="CP343" i="14609"/>
  <c r="CQ343" i="14609"/>
  <c r="CR343" i="14609"/>
  <c r="CS343" i="14609"/>
  <c r="CT343" i="14609"/>
  <c r="CU343" i="14609"/>
  <c r="CV343" i="14609"/>
  <c r="CW343" i="14609"/>
  <c r="CX343" i="14609"/>
  <c r="CY343" i="14609"/>
  <c r="CZ343" i="14609"/>
  <c r="DA343" i="14609"/>
  <c r="DB343" i="14609"/>
  <c r="DC343" i="14609"/>
  <c r="DD343" i="14609"/>
  <c r="DE343" i="14609"/>
  <c r="DF343" i="14609"/>
  <c r="DG343" i="14609"/>
  <c r="DH343" i="14609"/>
  <c r="DI343" i="14609"/>
  <c r="DJ343" i="14609"/>
  <c r="DK343" i="14609"/>
  <c r="DL343" i="14609"/>
  <c r="DM343" i="14609"/>
  <c r="DN343" i="14609"/>
  <c r="DO343" i="14609"/>
  <c r="DP343" i="14609"/>
  <c r="DQ343" i="14609"/>
  <c r="DR343" i="14609"/>
  <c r="DS343" i="14609"/>
  <c r="DT343" i="14609"/>
  <c r="DU343" i="14609"/>
  <c r="DV343" i="14609"/>
  <c r="DW343" i="14609"/>
  <c r="DX343" i="14609"/>
  <c r="DY343" i="14609"/>
  <c r="DZ343" i="14609"/>
  <c r="EA343" i="14609"/>
  <c r="EB343" i="14609"/>
  <c r="EC343" i="14609"/>
  <c r="ED343" i="14609"/>
  <c r="EE343" i="14609"/>
  <c r="EF343" i="14609"/>
  <c r="EG343" i="14609"/>
  <c r="EH343" i="14609"/>
  <c r="EI343" i="14609"/>
  <c r="EJ343" i="14609"/>
  <c r="EK343" i="14609"/>
  <c r="EL343" i="14609"/>
  <c r="EM343" i="14609"/>
  <c r="EN343" i="14609"/>
  <c r="EO343" i="14609"/>
  <c r="EP343" i="14609"/>
  <c r="EQ343" i="14609"/>
  <c r="ER343" i="14609"/>
  <c r="ES343" i="14609"/>
  <c r="ET343" i="14609"/>
  <c r="EU343" i="14609"/>
  <c r="EV343" i="14609"/>
  <c r="EW343" i="14609"/>
  <c r="EX343" i="14609"/>
  <c r="EY343" i="14609"/>
  <c r="EZ343" i="14609"/>
  <c r="FA343" i="14609"/>
  <c r="FB343" i="14609"/>
  <c r="FC343" i="14609"/>
  <c r="FD343" i="14609"/>
  <c r="FE343" i="14609"/>
  <c r="FF343" i="14609"/>
  <c r="FG343" i="14609"/>
  <c r="FH343" i="14609"/>
  <c r="FI343" i="14609"/>
  <c r="FJ343" i="14609"/>
  <c r="FK343" i="14609"/>
  <c r="FL343" i="14609"/>
  <c r="FM343" i="14609"/>
  <c r="FN343" i="14609"/>
  <c r="FO343" i="14609"/>
  <c r="FP343" i="14609"/>
  <c r="FQ343" i="14609"/>
  <c r="FR343" i="14609"/>
  <c r="FS343" i="14609"/>
  <c r="FT343" i="14609"/>
  <c r="FU343" i="14609"/>
  <c r="FV343" i="14609"/>
  <c r="FW343" i="14609"/>
  <c r="FX343" i="14609"/>
  <c r="FY343" i="14609"/>
  <c r="FZ343" i="14609"/>
  <c r="GA343" i="14609"/>
  <c r="GB343" i="14609"/>
  <c r="GC343" i="14609"/>
  <c r="GD343" i="14609"/>
  <c r="GE343" i="14609"/>
  <c r="GF343" i="14609"/>
  <c r="GG343" i="14609"/>
  <c r="GH343" i="14609"/>
  <c r="GI343" i="14609"/>
  <c r="GJ343" i="14609"/>
  <c r="GK343" i="14609"/>
  <c r="GL343" i="14609"/>
  <c r="GM343" i="14609"/>
  <c r="GN343" i="14609"/>
  <c r="GO343" i="14609"/>
  <c r="GP343" i="14609"/>
  <c r="GQ343" i="14609"/>
  <c r="GR343" i="14609"/>
  <c r="GS343" i="14609"/>
  <c r="GT343" i="14609"/>
  <c r="GU343" i="14609"/>
  <c r="GV343" i="14609"/>
  <c r="GW343" i="14609"/>
  <c r="GX343" i="14609"/>
  <c r="GY343" i="14609"/>
  <c r="GZ343" i="14609"/>
  <c r="HA343" i="14609"/>
  <c r="HB343" i="14609"/>
  <c r="HC343" i="14609"/>
  <c r="HD343" i="14609"/>
  <c r="HE343" i="14609"/>
  <c r="HF343" i="14609"/>
  <c r="HG343" i="14609"/>
  <c r="HH343" i="14609"/>
  <c r="HI343" i="14609"/>
  <c r="HJ343" i="14609"/>
  <c r="HK343" i="14609"/>
  <c r="HL343" i="14609"/>
  <c r="HM343" i="14609"/>
  <c r="HN343" i="14609"/>
  <c r="HO343" i="14609"/>
  <c r="HP343" i="14609"/>
  <c r="HQ343" i="14609"/>
  <c r="HR343" i="14609"/>
  <c r="HS343" i="14609"/>
  <c r="HT343" i="14609"/>
  <c r="HU343" i="14609"/>
  <c r="HV343" i="14609"/>
  <c r="HW343" i="14609"/>
  <c r="HX343" i="14609"/>
  <c r="HY343" i="14609"/>
  <c r="HZ343" i="14609"/>
  <c r="IA343" i="14609"/>
  <c r="IB343" i="14609"/>
  <c r="IC343" i="14609"/>
  <c r="ID343" i="14609"/>
  <c r="IE343" i="14609"/>
  <c r="IF343" i="14609"/>
  <c r="IG343" i="14609"/>
  <c r="IH343" i="14609"/>
  <c r="II343" i="14609"/>
  <c r="IJ343" i="14609"/>
  <c r="IK343" i="14609"/>
  <c r="IL343" i="14609"/>
  <c r="IM343" i="14609"/>
  <c r="IN343" i="14609"/>
  <c r="IO343" i="14609"/>
  <c r="IP343" i="14609"/>
  <c r="IQ343" i="14609"/>
  <c r="IR343" i="14609"/>
  <c r="IS343" i="14609"/>
  <c r="IT343" i="14609"/>
  <c r="IU343" i="14609"/>
  <c r="IV343" i="14609"/>
  <c r="A342" i="14609"/>
  <c r="B342" i="14609"/>
  <c r="C342" i="14609"/>
  <c r="D342" i="14609"/>
  <c r="E342" i="14609"/>
  <c r="F342" i="14609"/>
  <c r="G342" i="14609"/>
  <c r="H342" i="14609"/>
  <c r="I342" i="14609"/>
  <c r="J342" i="14609"/>
  <c r="K342" i="14609"/>
  <c r="L342" i="14609"/>
  <c r="M342" i="14609"/>
  <c r="N342" i="14609"/>
  <c r="O342" i="14609"/>
  <c r="P342" i="14609"/>
  <c r="Q342" i="14609"/>
  <c r="R342" i="14609"/>
  <c r="S342" i="14609"/>
  <c r="T342" i="14609"/>
  <c r="U342" i="14609"/>
  <c r="V342" i="14609"/>
  <c r="W342" i="14609"/>
  <c r="X342" i="14609"/>
  <c r="Y342" i="14609"/>
  <c r="Z342" i="14609"/>
  <c r="AA342" i="14609"/>
  <c r="AB342" i="14609"/>
  <c r="AC342" i="14609"/>
  <c r="AD342" i="14609"/>
  <c r="AE342" i="14609"/>
  <c r="AF342" i="14609"/>
  <c r="AG342" i="14609"/>
  <c r="AH342" i="14609"/>
  <c r="AI342" i="14609"/>
  <c r="AJ342" i="14609"/>
  <c r="AK342" i="14609"/>
  <c r="AL342" i="14609"/>
  <c r="AM342" i="14609"/>
  <c r="AN342" i="14609"/>
  <c r="AO342" i="14609"/>
  <c r="AP342" i="14609"/>
  <c r="AQ342" i="14609"/>
  <c r="AR342" i="14609"/>
  <c r="AS342" i="14609"/>
  <c r="AT342" i="14609"/>
  <c r="AU342" i="14609"/>
  <c r="AV342" i="14609"/>
  <c r="AW342" i="14609"/>
  <c r="AX342" i="14609"/>
  <c r="AY342" i="14609"/>
  <c r="AZ342" i="14609"/>
  <c r="BA342" i="14609"/>
  <c r="BB342" i="14609"/>
  <c r="BC342" i="14609"/>
  <c r="BD342" i="14609"/>
  <c r="BE342" i="14609"/>
  <c r="BF342" i="14609"/>
  <c r="BG342" i="14609"/>
  <c r="BH342" i="14609"/>
  <c r="BI342" i="14609"/>
  <c r="BJ342" i="14609"/>
  <c r="BK342" i="14609"/>
  <c r="BL342" i="14609"/>
  <c r="BM342" i="14609"/>
  <c r="BN342" i="14609"/>
  <c r="BO342" i="14609"/>
  <c r="BP342" i="14609"/>
  <c r="BQ342" i="14609"/>
  <c r="BR342" i="14609"/>
  <c r="BS342" i="14609"/>
  <c r="BT342" i="14609"/>
  <c r="BU342" i="14609"/>
  <c r="BV342" i="14609"/>
  <c r="BW342" i="14609"/>
  <c r="BX342" i="14609"/>
  <c r="BY342" i="14609"/>
  <c r="BZ342" i="14609"/>
  <c r="CA342" i="14609"/>
  <c r="CB342" i="14609"/>
  <c r="CC342" i="14609"/>
  <c r="CD342" i="14609"/>
  <c r="CE342" i="14609"/>
  <c r="CF342" i="14609"/>
  <c r="CG342" i="14609"/>
  <c r="CH342" i="14609"/>
  <c r="CI342" i="14609"/>
  <c r="CJ342" i="14609"/>
  <c r="CK342" i="14609"/>
  <c r="CL342" i="14609"/>
  <c r="CM342" i="14609"/>
  <c r="CN342" i="14609"/>
  <c r="CO342" i="14609"/>
  <c r="CP342" i="14609"/>
  <c r="CQ342" i="14609"/>
  <c r="CR342" i="14609"/>
  <c r="CS342" i="14609"/>
  <c r="CT342" i="14609"/>
  <c r="CU342" i="14609"/>
  <c r="CV342" i="14609"/>
  <c r="CW342" i="14609"/>
  <c r="CX342" i="14609"/>
  <c r="CY342" i="14609"/>
  <c r="CZ342" i="14609"/>
  <c r="DA342" i="14609"/>
  <c r="DB342" i="14609"/>
  <c r="DC342" i="14609"/>
  <c r="DD342" i="14609"/>
  <c r="DE342" i="14609"/>
  <c r="DF342" i="14609"/>
  <c r="DG342" i="14609"/>
  <c r="DH342" i="14609"/>
  <c r="DI342" i="14609"/>
  <c r="DJ342" i="14609"/>
  <c r="DK342" i="14609"/>
  <c r="DL342" i="14609"/>
  <c r="DM342" i="14609"/>
  <c r="DN342" i="14609"/>
  <c r="DO342" i="14609"/>
  <c r="DP342" i="14609"/>
  <c r="DQ342" i="14609"/>
  <c r="DR342" i="14609"/>
  <c r="DS342" i="14609"/>
  <c r="DT342" i="14609"/>
  <c r="DU342" i="14609"/>
  <c r="DV342" i="14609"/>
  <c r="DW342" i="14609"/>
  <c r="DX342" i="14609"/>
  <c r="DY342" i="14609"/>
  <c r="DZ342" i="14609"/>
  <c r="EA342" i="14609"/>
  <c r="EB342" i="14609"/>
  <c r="EC342" i="14609"/>
  <c r="ED342" i="14609"/>
  <c r="EE342" i="14609"/>
  <c r="EF342" i="14609"/>
  <c r="EG342" i="14609"/>
  <c r="EH342" i="14609"/>
  <c r="EI342" i="14609"/>
  <c r="EJ342" i="14609"/>
  <c r="EK342" i="14609"/>
  <c r="EL342" i="14609"/>
  <c r="EM342" i="14609"/>
  <c r="EN342" i="14609"/>
  <c r="EO342" i="14609"/>
  <c r="EP342" i="14609"/>
  <c r="EQ342" i="14609"/>
  <c r="ER342" i="14609"/>
  <c r="ES342" i="14609"/>
  <c r="ET342" i="14609"/>
  <c r="EU342" i="14609"/>
  <c r="EV342" i="14609"/>
  <c r="EW342" i="14609"/>
  <c r="EX342" i="14609"/>
  <c r="EY342" i="14609"/>
  <c r="EZ342" i="14609"/>
  <c r="FA342" i="14609"/>
  <c r="FB342" i="14609"/>
  <c r="FC342" i="14609"/>
  <c r="FD342" i="14609"/>
  <c r="FE342" i="14609"/>
  <c r="FF342" i="14609"/>
  <c r="FG342" i="14609"/>
  <c r="FH342" i="14609"/>
  <c r="FI342" i="14609"/>
  <c r="FJ342" i="14609"/>
  <c r="FK342" i="14609"/>
  <c r="FL342" i="14609"/>
  <c r="FM342" i="14609"/>
  <c r="FN342" i="14609"/>
  <c r="FO342" i="14609"/>
  <c r="FP342" i="14609"/>
  <c r="FQ342" i="14609"/>
  <c r="FR342" i="14609"/>
  <c r="FS342" i="14609"/>
  <c r="FT342" i="14609"/>
  <c r="FU342" i="14609"/>
  <c r="FV342" i="14609"/>
  <c r="FW342" i="14609"/>
  <c r="FX342" i="14609"/>
  <c r="FY342" i="14609"/>
  <c r="FZ342" i="14609"/>
  <c r="GA342" i="14609"/>
  <c r="GB342" i="14609"/>
  <c r="GC342" i="14609"/>
  <c r="GD342" i="14609"/>
  <c r="GE342" i="14609"/>
  <c r="GF342" i="14609"/>
  <c r="GG342" i="14609"/>
  <c r="GH342" i="14609"/>
  <c r="GI342" i="14609"/>
  <c r="GJ342" i="14609"/>
  <c r="GK342" i="14609"/>
  <c r="GL342" i="14609"/>
  <c r="GM342" i="14609"/>
  <c r="GN342" i="14609"/>
  <c r="GO342" i="14609"/>
  <c r="GP342" i="14609"/>
  <c r="GQ342" i="14609"/>
  <c r="GR342" i="14609"/>
  <c r="GS342" i="14609"/>
  <c r="GT342" i="14609"/>
  <c r="GU342" i="14609"/>
  <c r="GV342" i="14609"/>
  <c r="GW342" i="14609"/>
  <c r="GX342" i="14609"/>
  <c r="GY342" i="14609"/>
  <c r="GZ342" i="14609"/>
  <c r="HA342" i="14609"/>
  <c r="HB342" i="14609"/>
  <c r="HC342" i="14609"/>
  <c r="HD342" i="14609"/>
  <c r="HE342" i="14609"/>
  <c r="HF342" i="14609"/>
  <c r="HG342" i="14609"/>
  <c r="HH342" i="14609"/>
  <c r="HI342" i="14609"/>
  <c r="HJ342" i="14609"/>
  <c r="HK342" i="14609"/>
  <c r="HL342" i="14609"/>
  <c r="HM342" i="14609"/>
  <c r="HN342" i="14609"/>
  <c r="HO342" i="14609"/>
  <c r="HP342" i="14609"/>
  <c r="HQ342" i="14609"/>
  <c r="HR342" i="14609"/>
  <c r="HS342" i="14609"/>
  <c r="HT342" i="14609"/>
  <c r="HU342" i="14609"/>
  <c r="HV342" i="14609"/>
  <c r="HW342" i="14609"/>
  <c r="HX342" i="14609"/>
  <c r="HY342" i="14609"/>
  <c r="HZ342" i="14609"/>
  <c r="IA342" i="14609"/>
  <c r="IB342" i="14609"/>
  <c r="IC342" i="14609"/>
  <c r="ID342" i="14609"/>
  <c r="IE342" i="14609"/>
  <c r="IF342" i="14609"/>
  <c r="IG342" i="14609"/>
  <c r="IH342" i="14609"/>
  <c r="II342" i="14609"/>
  <c r="IJ342" i="14609"/>
  <c r="IK342" i="14609"/>
  <c r="IL342" i="14609"/>
  <c r="IM342" i="14609"/>
  <c r="IN342" i="14609"/>
  <c r="IO342" i="14609"/>
  <c r="IP342" i="14609"/>
  <c r="IQ342" i="14609"/>
  <c r="IR342" i="14609"/>
  <c r="IS342" i="14609"/>
  <c r="IT342" i="14609"/>
  <c r="IU342" i="14609"/>
  <c r="IV342" i="14609"/>
  <c r="A341" i="14609"/>
  <c r="B341" i="14609"/>
  <c r="C341" i="14609"/>
  <c r="D341" i="14609"/>
  <c r="E341" i="14609"/>
  <c r="F341" i="14609"/>
  <c r="G341" i="14609"/>
  <c r="H341" i="14609"/>
  <c r="I341" i="14609"/>
  <c r="J341" i="14609"/>
  <c r="K341" i="14609"/>
  <c r="L341" i="14609"/>
  <c r="M341" i="14609"/>
  <c r="N341" i="14609"/>
  <c r="O341" i="14609"/>
  <c r="P341" i="14609"/>
  <c r="Q341" i="14609"/>
  <c r="R341" i="14609"/>
  <c r="S341" i="14609"/>
  <c r="T341" i="14609"/>
  <c r="U341" i="14609"/>
  <c r="V341" i="14609"/>
  <c r="W341" i="14609"/>
  <c r="X341" i="14609"/>
  <c r="Y341" i="14609"/>
  <c r="Z341" i="14609"/>
  <c r="AA341" i="14609"/>
  <c r="AB341" i="14609"/>
  <c r="AC341" i="14609"/>
  <c r="AD341" i="14609"/>
  <c r="AE341" i="14609"/>
  <c r="AF341" i="14609"/>
  <c r="AG341" i="14609"/>
  <c r="AH341" i="14609"/>
  <c r="AI341" i="14609"/>
  <c r="AJ341" i="14609"/>
  <c r="AK341" i="14609"/>
  <c r="AL341" i="14609"/>
  <c r="AM341" i="14609"/>
  <c r="AN341" i="14609"/>
  <c r="AO341" i="14609"/>
  <c r="AP341" i="14609"/>
  <c r="AQ341" i="14609"/>
  <c r="AR341" i="14609"/>
  <c r="AS341" i="14609"/>
  <c r="AT341" i="14609"/>
  <c r="AU341" i="14609"/>
  <c r="AV341" i="14609"/>
  <c r="AW341" i="14609"/>
  <c r="AX341" i="14609"/>
  <c r="AY341" i="14609"/>
  <c r="AZ341" i="14609"/>
  <c r="BA341" i="14609"/>
  <c r="BB341" i="14609"/>
  <c r="BC341" i="14609"/>
  <c r="BD341" i="14609"/>
  <c r="BE341" i="14609"/>
  <c r="BF341" i="14609"/>
  <c r="BG341" i="14609"/>
  <c r="BH341" i="14609"/>
  <c r="BI341" i="14609"/>
  <c r="BJ341" i="14609"/>
  <c r="BK341" i="14609"/>
  <c r="BL341" i="14609"/>
  <c r="BM341" i="14609"/>
  <c r="BN341" i="14609"/>
  <c r="BO341" i="14609"/>
  <c r="BP341" i="14609"/>
  <c r="BQ341" i="14609"/>
  <c r="BR341" i="14609"/>
  <c r="BS341" i="14609"/>
  <c r="BT341" i="14609"/>
  <c r="BU341" i="14609"/>
  <c r="BV341" i="14609"/>
  <c r="BW341" i="14609"/>
  <c r="BX341" i="14609"/>
  <c r="BY341" i="14609"/>
  <c r="BZ341" i="14609"/>
  <c r="CA341" i="14609"/>
  <c r="CB341" i="14609"/>
  <c r="CC341" i="14609"/>
  <c r="CD341" i="14609"/>
  <c r="CE341" i="14609"/>
  <c r="CF341" i="14609"/>
  <c r="CG341" i="14609"/>
  <c r="CH341" i="14609"/>
  <c r="CI341" i="14609"/>
  <c r="CJ341" i="14609"/>
  <c r="CK341" i="14609"/>
  <c r="CL341" i="14609"/>
  <c r="CM341" i="14609"/>
  <c r="CN341" i="14609"/>
  <c r="CO341" i="14609"/>
  <c r="CP341" i="14609"/>
  <c r="CQ341" i="14609"/>
  <c r="CR341" i="14609"/>
  <c r="CS341" i="14609"/>
  <c r="CT341" i="14609"/>
  <c r="CU341" i="14609"/>
  <c r="CV341" i="14609"/>
  <c r="CW341" i="14609"/>
  <c r="CX341" i="14609"/>
  <c r="CY341" i="14609"/>
  <c r="CZ341" i="14609"/>
  <c r="DA341" i="14609"/>
  <c r="DB341" i="14609"/>
  <c r="DC341" i="14609"/>
  <c r="DD341" i="14609"/>
  <c r="DE341" i="14609"/>
  <c r="DF341" i="14609"/>
  <c r="DG341" i="14609"/>
  <c r="DH341" i="14609"/>
  <c r="DI341" i="14609"/>
  <c r="DJ341" i="14609"/>
  <c r="DK341" i="14609"/>
  <c r="DL341" i="14609"/>
  <c r="DM341" i="14609"/>
  <c r="DN341" i="14609"/>
  <c r="DO341" i="14609"/>
  <c r="DP341" i="14609"/>
  <c r="DQ341" i="14609"/>
  <c r="DR341" i="14609"/>
  <c r="DS341" i="14609"/>
  <c r="DT341" i="14609"/>
  <c r="DU341" i="14609"/>
  <c r="DV341" i="14609"/>
  <c r="DW341" i="14609"/>
  <c r="DX341" i="14609"/>
  <c r="DY341" i="14609"/>
  <c r="DZ341" i="14609"/>
  <c r="EA341" i="14609"/>
  <c r="EB341" i="14609"/>
  <c r="EC341" i="14609"/>
  <c r="ED341" i="14609"/>
  <c r="EE341" i="14609"/>
  <c r="EF341" i="14609"/>
  <c r="EG341" i="14609"/>
  <c r="EH341" i="14609"/>
  <c r="EI341" i="14609"/>
  <c r="EJ341" i="14609"/>
  <c r="EK341" i="14609"/>
  <c r="EL341" i="14609"/>
  <c r="EM341" i="14609"/>
  <c r="EN341" i="14609"/>
  <c r="EO341" i="14609"/>
  <c r="EP341" i="14609"/>
  <c r="EQ341" i="14609"/>
  <c r="ER341" i="14609"/>
  <c r="ES341" i="14609"/>
  <c r="ET341" i="14609"/>
  <c r="EU341" i="14609"/>
  <c r="EV341" i="14609"/>
  <c r="EW341" i="14609"/>
  <c r="EX341" i="14609"/>
  <c r="EY341" i="14609"/>
  <c r="EZ341" i="14609"/>
  <c r="FA341" i="14609"/>
  <c r="FB341" i="14609"/>
  <c r="FC341" i="14609"/>
  <c r="FD341" i="14609"/>
  <c r="FE341" i="14609"/>
  <c r="FF341" i="14609"/>
  <c r="FG341" i="14609"/>
  <c r="FH341" i="14609"/>
  <c r="FI341" i="14609"/>
  <c r="FJ341" i="14609"/>
  <c r="FK341" i="14609"/>
  <c r="FL341" i="14609"/>
  <c r="FM341" i="14609"/>
  <c r="FN341" i="14609"/>
  <c r="FO341" i="14609"/>
  <c r="FP341" i="14609"/>
  <c r="FQ341" i="14609"/>
  <c r="FR341" i="14609"/>
  <c r="FS341" i="14609"/>
  <c r="FT341" i="14609"/>
  <c r="FU341" i="14609"/>
  <c r="FV341" i="14609"/>
  <c r="FW341" i="14609"/>
  <c r="FX341" i="14609"/>
  <c r="FY341" i="14609"/>
  <c r="FZ341" i="14609"/>
  <c r="GA341" i="14609"/>
  <c r="GB341" i="14609"/>
  <c r="GC341" i="14609"/>
  <c r="GD341" i="14609"/>
  <c r="GE341" i="14609"/>
  <c r="GF341" i="14609"/>
  <c r="GG341" i="14609"/>
  <c r="GH341" i="14609"/>
  <c r="GI341" i="14609"/>
  <c r="GJ341" i="14609"/>
  <c r="GK341" i="14609"/>
  <c r="GL341" i="14609"/>
  <c r="GM341" i="14609"/>
  <c r="GN341" i="14609"/>
  <c r="GO341" i="14609"/>
  <c r="GP341" i="14609"/>
  <c r="GQ341" i="14609"/>
  <c r="GR341" i="14609"/>
  <c r="GS341" i="14609"/>
  <c r="GT341" i="14609"/>
  <c r="GU341" i="14609"/>
  <c r="GV341" i="14609"/>
  <c r="GW341" i="14609"/>
  <c r="GX341" i="14609"/>
  <c r="GY341" i="14609"/>
  <c r="GZ341" i="14609"/>
  <c r="HA341" i="14609"/>
  <c r="HB341" i="14609"/>
  <c r="HC341" i="14609"/>
  <c r="HD341" i="14609"/>
  <c r="HE341" i="14609"/>
  <c r="HF341" i="14609"/>
  <c r="HG341" i="14609"/>
  <c r="HH341" i="14609"/>
  <c r="HI341" i="14609"/>
  <c r="HJ341" i="14609"/>
  <c r="HK341" i="14609"/>
  <c r="HL341" i="14609"/>
  <c r="HM341" i="14609"/>
  <c r="HN341" i="14609"/>
  <c r="HO341" i="14609"/>
  <c r="HP341" i="14609"/>
  <c r="HQ341" i="14609"/>
  <c r="HR341" i="14609"/>
  <c r="HS341" i="14609"/>
  <c r="HT341" i="14609"/>
  <c r="HU341" i="14609"/>
  <c r="HV341" i="14609"/>
  <c r="HW341" i="14609"/>
  <c r="HX341" i="14609"/>
  <c r="HY341" i="14609"/>
  <c r="HZ341" i="14609"/>
  <c r="IA341" i="14609"/>
  <c r="IB341" i="14609"/>
  <c r="IC341" i="14609"/>
  <c r="ID341" i="14609"/>
  <c r="IE341" i="14609"/>
  <c r="IF341" i="14609"/>
  <c r="IG341" i="14609"/>
  <c r="IH341" i="14609"/>
  <c r="II341" i="14609"/>
  <c r="IJ341" i="14609"/>
  <c r="IK341" i="14609"/>
  <c r="IL341" i="14609"/>
  <c r="IM341" i="14609"/>
  <c r="IN341" i="14609"/>
  <c r="IO341" i="14609"/>
  <c r="IP341" i="14609"/>
  <c r="IQ341" i="14609"/>
  <c r="IR341" i="14609"/>
  <c r="IS341" i="14609"/>
  <c r="IT341" i="14609"/>
  <c r="IU341" i="14609"/>
  <c r="IV341" i="14609"/>
  <c r="A340" i="14609"/>
  <c r="B340" i="14609"/>
  <c r="C340" i="14609"/>
  <c r="D340" i="14609"/>
  <c r="E340" i="14609"/>
  <c r="F340" i="14609"/>
  <c r="G340" i="14609"/>
  <c r="H340" i="14609"/>
  <c r="I340" i="14609"/>
  <c r="J340" i="14609"/>
  <c r="K340" i="14609"/>
  <c r="L340" i="14609"/>
  <c r="M340" i="14609"/>
  <c r="N340" i="14609"/>
  <c r="O340" i="14609"/>
  <c r="P340" i="14609"/>
  <c r="Q340" i="14609"/>
  <c r="R340" i="14609"/>
  <c r="S340" i="14609"/>
  <c r="T340" i="14609"/>
  <c r="U340" i="14609"/>
  <c r="V340" i="14609"/>
  <c r="W340" i="14609"/>
  <c r="X340" i="14609"/>
  <c r="Y340" i="14609"/>
  <c r="Z340" i="14609"/>
  <c r="AA340" i="14609"/>
  <c r="AB340" i="14609"/>
  <c r="AC340" i="14609"/>
  <c r="AD340" i="14609"/>
  <c r="AE340" i="14609"/>
  <c r="AF340" i="14609"/>
  <c r="AG340" i="14609"/>
  <c r="AH340" i="14609"/>
  <c r="AI340" i="14609"/>
  <c r="AJ340" i="14609"/>
  <c r="AK340" i="14609"/>
  <c r="AL340" i="14609"/>
  <c r="AM340" i="14609"/>
  <c r="AN340" i="14609"/>
  <c r="AO340" i="14609"/>
  <c r="AP340" i="14609"/>
  <c r="AQ340" i="14609"/>
  <c r="AR340" i="14609"/>
  <c r="AS340" i="14609"/>
  <c r="AT340" i="14609"/>
  <c r="AU340" i="14609"/>
  <c r="AV340" i="14609"/>
  <c r="AW340" i="14609"/>
  <c r="AX340" i="14609"/>
  <c r="AY340" i="14609"/>
  <c r="AZ340" i="14609"/>
  <c r="BA340" i="14609"/>
  <c r="BB340" i="14609"/>
  <c r="BC340" i="14609"/>
  <c r="BD340" i="14609"/>
  <c r="BE340" i="14609"/>
  <c r="BF340" i="14609"/>
  <c r="BG340" i="14609"/>
  <c r="BH340" i="14609"/>
  <c r="BI340" i="14609"/>
  <c r="BJ340" i="14609"/>
  <c r="BK340" i="14609"/>
  <c r="BL340" i="14609"/>
  <c r="BM340" i="14609"/>
  <c r="BN340" i="14609"/>
  <c r="BO340" i="14609"/>
  <c r="BP340" i="14609"/>
  <c r="BQ340" i="14609"/>
  <c r="BR340" i="14609"/>
  <c r="BS340" i="14609"/>
  <c r="BT340" i="14609"/>
  <c r="BU340" i="14609"/>
  <c r="BV340" i="14609"/>
  <c r="BW340" i="14609"/>
  <c r="BX340" i="14609"/>
  <c r="BY340" i="14609"/>
  <c r="BZ340" i="14609"/>
  <c r="CA340" i="14609"/>
  <c r="CB340" i="14609"/>
  <c r="CC340" i="14609"/>
  <c r="CD340" i="14609"/>
  <c r="CE340" i="14609"/>
  <c r="CF340" i="14609"/>
  <c r="CG340" i="14609"/>
  <c r="CH340" i="14609"/>
  <c r="CI340" i="14609"/>
  <c r="CJ340" i="14609"/>
  <c r="CK340" i="14609"/>
  <c r="CL340" i="14609"/>
  <c r="CM340" i="14609"/>
  <c r="CN340" i="14609"/>
  <c r="CO340" i="14609"/>
  <c r="CP340" i="14609"/>
  <c r="CQ340" i="14609"/>
  <c r="CR340" i="14609"/>
  <c r="CS340" i="14609"/>
  <c r="CT340" i="14609"/>
  <c r="CU340" i="14609"/>
  <c r="CV340" i="14609"/>
  <c r="CW340" i="14609"/>
  <c r="CX340" i="14609"/>
  <c r="CY340" i="14609"/>
  <c r="CZ340" i="14609"/>
  <c r="DA340" i="14609"/>
  <c r="DB340" i="14609"/>
  <c r="DC340" i="14609"/>
  <c r="DD340" i="14609"/>
  <c r="DE340" i="14609"/>
  <c r="DF340" i="14609"/>
  <c r="DG340" i="14609"/>
  <c r="DH340" i="14609"/>
  <c r="DI340" i="14609"/>
  <c r="DJ340" i="14609"/>
  <c r="DK340" i="14609"/>
  <c r="DL340" i="14609"/>
  <c r="DM340" i="14609"/>
  <c r="DN340" i="14609"/>
  <c r="DO340" i="14609"/>
  <c r="DP340" i="14609"/>
  <c r="DQ340" i="14609"/>
  <c r="DR340" i="14609"/>
  <c r="DS340" i="14609"/>
  <c r="DT340" i="14609"/>
  <c r="DU340" i="14609"/>
  <c r="DV340" i="14609"/>
  <c r="DW340" i="14609"/>
  <c r="DX340" i="14609"/>
  <c r="DY340" i="14609"/>
  <c r="DZ340" i="14609"/>
  <c r="EA340" i="14609"/>
  <c r="EB340" i="14609"/>
  <c r="EC340" i="14609"/>
  <c r="ED340" i="14609"/>
  <c r="EE340" i="14609"/>
  <c r="EF340" i="14609"/>
  <c r="EG340" i="14609"/>
  <c r="EH340" i="14609"/>
  <c r="EI340" i="14609"/>
  <c r="EJ340" i="14609"/>
  <c r="EK340" i="14609"/>
  <c r="EL340" i="14609"/>
  <c r="EM340" i="14609"/>
  <c r="EN340" i="14609"/>
  <c r="EO340" i="14609"/>
  <c r="EP340" i="14609"/>
  <c r="EQ340" i="14609"/>
  <c r="ER340" i="14609"/>
  <c r="ES340" i="14609"/>
  <c r="ET340" i="14609"/>
  <c r="EU340" i="14609"/>
  <c r="EV340" i="14609"/>
  <c r="EW340" i="14609"/>
  <c r="EX340" i="14609"/>
  <c r="EY340" i="14609"/>
  <c r="EZ340" i="14609"/>
  <c r="FA340" i="14609"/>
  <c r="FB340" i="14609"/>
  <c r="FC340" i="14609"/>
  <c r="FD340" i="14609"/>
  <c r="FE340" i="14609"/>
  <c r="FF340" i="14609"/>
  <c r="FG340" i="14609"/>
  <c r="FH340" i="14609"/>
  <c r="FI340" i="14609"/>
  <c r="FJ340" i="14609"/>
  <c r="FK340" i="14609"/>
  <c r="FL340" i="14609"/>
  <c r="FM340" i="14609"/>
  <c r="FN340" i="14609"/>
  <c r="FO340" i="14609"/>
  <c r="FP340" i="14609"/>
  <c r="FQ340" i="14609"/>
  <c r="FR340" i="14609"/>
  <c r="FS340" i="14609"/>
  <c r="FT340" i="14609"/>
  <c r="FU340" i="14609"/>
  <c r="FV340" i="14609"/>
  <c r="FW340" i="14609"/>
  <c r="FX340" i="14609"/>
  <c r="FY340" i="14609"/>
  <c r="FZ340" i="14609"/>
  <c r="GA340" i="14609"/>
  <c r="GB340" i="14609"/>
  <c r="GC340" i="14609"/>
  <c r="GD340" i="14609"/>
  <c r="GE340" i="14609"/>
  <c r="GF340" i="14609"/>
  <c r="GG340" i="14609"/>
  <c r="GH340" i="14609"/>
  <c r="GI340" i="14609"/>
  <c r="GJ340" i="14609"/>
  <c r="GK340" i="14609"/>
  <c r="GL340" i="14609"/>
  <c r="GM340" i="14609"/>
  <c r="GN340" i="14609"/>
  <c r="GO340" i="14609"/>
  <c r="GP340" i="14609"/>
  <c r="GQ340" i="14609"/>
  <c r="GR340" i="14609"/>
  <c r="GS340" i="14609"/>
  <c r="GT340" i="14609"/>
  <c r="GU340" i="14609"/>
  <c r="GV340" i="14609"/>
  <c r="GW340" i="14609"/>
  <c r="GX340" i="14609"/>
  <c r="GY340" i="14609"/>
  <c r="GZ340" i="14609"/>
  <c r="HA340" i="14609"/>
  <c r="HB340" i="14609"/>
  <c r="HC340" i="14609"/>
  <c r="HD340" i="14609"/>
  <c r="HE340" i="14609"/>
  <c r="HF340" i="14609"/>
  <c r="HG340" i="14609"/>
  <c r="HH340" i="14609"/>
  <c r="HI340" i="14609"/>
  <c r="HJ340" i="14609"/>
  <c r="HK340" i="14609"/>
  <c r="HL340" i="14609"/>
  <c r="HM340" i="14609"/>
  <c r="HN340" i="14609"/>
  <c r="HO340" i="14609"/>
  <c r="HP340" i="14609"/>
  <c r="HQ340" i="14609"/>
  <c r="HR340" i="14609"/>
  <c r="HS340" i="14609"/>
  <c r="HT340" i="14609"/>
  <c r="HU340" i="14609"/>
  <c r="HV340" i="14609"/>
  <c r="HW340" i="14609"/>
  <c r="HX340" i="14609"/>
  <c r="HY340" i="14609"/>
  <c r="HZ340" i="14609"/>
  <c r="IA340" i="14609"/>
  <c r="IB340" i="14609"/>
  <c r="IC340" i="14609"/>
  <c r="ID340" i="14609"/>
  <c r="IE340" i="14609"/>
  <c r="IF340" i="14609"/>
  <c r="IG340" i="14609"/>
  <c r="IH340" i="14609"/>
  <c r="II340" i="14609"/>
  <c r="IJ340" i="14609"/>
  <c r="IK340" i="14609"/>
  <c r="IL340" i="14609"/>
  <c r="IM340" i="14609"/>
  <c r="IN340" i="14609"/>
  <c r="IO340" i="14609"/>
  <c r="IP340" i="14609"/>
  <c r="IQ340" i="14609"/>
  <c r="IR340" i="14609"/>
  <c r="IS340" i="14609"/>
  <c r="IT340" i="14609"/>
  <c r="IU340" i="14609"/>
  <c r="IV340" i="14609"/>
  <c r="A339" i="14609"/>
  <c r="B339" i="14609"/>
  <c r="C339" i="14609"/>
  <c r="D339" i="14609"/>
  <c r="E339" i="14609"/>
  <c r="F339" i="14609"/>
  <c r="G339" i="14609"/>
  <c r="H339" i="14609"/>
  <c r="I339" i="14609"/>
  <c r="J339" i="14609"/>
  <c r="K339" i="14609"/>
  <c r="L339" i="14609"/>
  <c r="M339" i="14609"/>
  <c r="N339" i="14609"/>
  <c r="O339" i="14609"/>
  <c r="P339" i="14609"/>
  <c r="Q339" i="14609"/>
  <c r="R339" i="14609"/>
  <c r="S339" i="14609"/>
  <c r="T339" i="14609"/>
  <c r="U339" i="14609"/>
  <c r="V339" i="14609"/>
  <c r="W339" i="14609"/>
  <c r="X339" i="14609"/>
  <c r="Y339" i="14609"/>
  <c r="Z339" i="14609"/>
  <c r="AA339" i="14609"/>
  <c r="AB339" i="14609"/>
  <c r="AC339" i="14609"/>
  <c r="AD339" i="14609"/>
  <c r="AE339" i="14609"/>
  <c r="AF339" i="14609"/>
  <c r="AG339" i="14609"/>
  <c r="AH339" i="14609"/>
  <c r="AI339" i="14609"/>
  <c r="AJ339" i="14609"/>
  <c r="AK339" i="14609"/>
  <c r="AL339" i="14609"/>
  <c r="AM339" i="14609"/>
  <c r="AN339" i="14609"/>
  <c r="AO339" i="14609"/>
  <c r="AP339" i="14609"/>
  <c r="AQ339" i="14609"/>
  <c r="AR339" i="14609"/>
  <c r="AS339" i="14609"/>
  <c r="AT339" i="14609"/>
  <c r="AU339" i="14609"/>
  <c r="AV339" i="14609"/>
  <c r="AW339" i="14609"/>
  <c r="AX339" i="14609"/>
  <c r="AY339" i="14609"/>
  <c r="AZ339" i="14609"/>
  <c r="BA339" i="14609"/>
  <c r="BB339" i="14609"/>
  <c r="BC339" i="14609"/>
  <c r="BD339" i="14609"/>
  <c r="BE339" i="14609"/>
  <c r="BF339" i="14609"/>
  <c r="BG339" i="14609"/>
  <c r="BH339" i="14609"/>
  <c r="BI339" i="14609"/>
  <c r="BJ339" i="14609"/>
  <c r="BK339" i="14609"/>
  <c r="BL339" i="14609"/>
  <c r="BM339" i="14609"/>
  <c r="BN339" i="14609"/>
  <c r="BO339" i="14609"/>
  <c r="BP339" i="14609"/>
  <c r="BQ339" i="14609"/>
  <c r="BR339" i="14609"/>
  <c r="BS339" i="14609"/>
  <c r="BT339" i="14609"/>
  <c r="BU339" i="14609"/>
  <c r="BV339" i="14609"/>
  <c r="BW339" i="14609"/>
  <c r="BX339" i="14609"/>
  <c r="BY339" i="14609"/>
  <c r="BZ339" i="14609"/>
  <c r="CA339" i="14609"/>
  <c r="CB339" i="14609"/>
  <c r="CC339" i="14609"/>
  <c r="CD339" i="14609"/>
  <c r="CE339" i="14609"/>
  <c r="CF339" i="14609"/>
  <c r="CG339" i="14609"/>
  <c r="CH339" i="14609"/>
  <c r="CI339" i="14609"/>
  <c r="CJ339" i="14609"/>
  <c r="CK339" i="14609"/>
  <c r="CL339" i="14609"/>
  <c r="CM339" i="14609"/>
  <c r="CN339" i="14609"/>
  <c r="CO339" i="14609"/>
  <c r="CP339" i="14609"/>
  <c r="CQ339" i="14609"/>
  <c r="CR339" i="14609"/>
  <c r="CS339" i="14609"/>
  <c r="CT339" i="14609"/>
  <c r="CU339" i="14609"/>
  <c r="CV339" i="14609"/>
  <c r="CW339" i="14609"/>
  <c r="CX339" i="14609"/>
  <c r="CY339" i="14609"/>
  <c r="CZ339" i="14609"/>
  <c r="DA339" i="14609"/>
  <c r="DB339" i="14609"/>
  <c r="DC339" i="14609"/>
  <c r="DD339" i="14609"/>
  <c r="DE339" i="14609"/>
  <c r="DF339" i="14609"/>
  <c r="DG339" i="14609"/>
  <c r="DH339" i="14609"/>
  <c r="DI339" i="14609"/>
  <c r="DJ339" i="14609"/>
  <c r="DK339" i="14609"/>
  <c r="DL339" i="14609"/>
  <c r="DM339" i="14609"/>
  <c r="DN339" i="14609"/>
  <c r="DO339" i="14609"/>
  <c r="DP339" i="14609"/>
  <c r="DQ339" i="14609"/>
  <c r="DR339" i="14609"/>
  <c r="DS339" i="14609"/>
  <c r="DT339" i="14609"/>
  <c r="DU339" i="14609"/>
  <c r="DV339" i="14609"/>
  <c r="DW339" i="14609"/>
  <c r="DX339" i="14609"/>
  <c r="DY339" i="14609"/>
  <c r="DZ339" i="14609"/>
  <c r="EA339" i="14609"/>
  <c r="EB339" i="14609"/>
  <c r="EC339" i="14609"/>
  <c r="ED339" i="14609"/>
  <c r="EE339" i="14609"/>
  <c r="EF339" i="14609"/>
  <c r="EG339" i="14609"/>
  <c r="EH339" i="14609"/>
  <c r="EI339" i="14609"/>
  <c r="EJ339" i="14609"/>
  <c r="EK339" i="14609"/>
  <c r="EL339" i="14609"/>
  <c r="EM339" i="14609"/>
  <c r="EN339" i="14609"/>
  <c r="EO339" i="14609"/>
  <c r="EP339" i="14609"/>
  <c r="EQ339" i="14609"/>
  <c r="ER339" i="14609"/>
  <c r="ES339" i="14609"/>
  <c r="ET339" i="14609"/>
  <c r="EU339" i="14609"/>
  <c r="EV339" i="14609"/>
  <c r="EW339" i="14609"/>
  <c r="EX339" i="14609"/>
  <c r="EY339" i="14609"/>
  <c r="EZ339" i="14609"/>
  <c r="FA339" i="14609"/>
  <c r="FB339" i="14609"/>
  <c r="FC339" i="14609"/>
  <c r="FD339" i="14609"/>
  <c r="FE339" i="14609"/>
  <c r="FF339" i="14609"/>
  <c r="FG339" i="14609"/>
  <c r="FH339" i="14609"/>
  <c r="FI339" i="14609"/>
  <c r="FJ339" i="14609"/>
  <c r="FK339" i="14609"/>
  <c r="FL339" i="14609"/>
  <c r="FM339" i="14609"/>
  <c r="FN339" i="14609"/>
  <c r="FO339" i="14609"/>
  <c r="FP339" i="14609"/>
  <c r="FQ339" i="14609"/>
  <c r="FR339" i="14609"/>
  <c r="FS339" i="14609"/>
  <c r="FT339" i="14609"/>
  <c r="FU339" i="14609"/>
  <c r="FV339" i="14609"/>
  <c r="FW339" i="14609"/>
  <c r="FX339" i="14609"/>
  <c r="FY339" i="14609"/>
  <c r="FZ339" i="14609"/>
  <c r="GA339" i="14609"/>
  <c r="GB339" i="14609"/>
  <c r="GC339" i="14609"/>
  <c r="GD339" i="14609"/>
  <c r="GE339" i="14609"/>
  <c r="GF339" i="14609"/>
  <c r="GG339" i="14609"/>
  <c r="GH339" i="14609"/>
  <c r="GI339" i="14609"/>
  <c r="GJ339" i="14609"/>
  <c r="GK339" i="14609"/>
  <c r="GL339" i="14609"/>
  <c r="GM339" i="14609"/>
  <c r="GN339" i="14609"/>
  <c r="GO339" i="14609"/>
  <c r="GP339" i="14609"/>
  <c r="GQ339" i="14609"/>
  <c r="GR339" i="14609"/>
  <c r="GS339" i="14609"/>
  <c r="GT339" i="14609"/>
  <c r="GU339" i="14609"/>
  <c r="GV339" i="14609"/>
  <c r="GW339" i="14609"/>
  <c r="GX339" i="14609"/>
  <c r="GY339" i="14609"/>
  <c r="GZ339" i="14609"/>
  <c r="HA339" i="14609"/>
  <c r="HB339" i="14609"/>
  <c r="HC339" i="14609"/>
  <c r="HD339" i="14609"/>
  <c r="HE339" i="14609"/>
  <c r="HF339" i="14609"/>
  <c r="HG339" i="14609"/>
  <c r="HH339" i="14609"/>
  <c r="HI339" i="14609"/>
  <c r="HJ339" i="14609"/>
  <c r="HK339" i="14609"/>
  <c r="HL339" i="14609"/>
  <c r="HM339" i="14609"/>
  <c r="HN339" i="14609"/>
  <c r="HO339" i="14609"/>
  <c r="HP339" i="14609"/>
  <c r="HQ339" i="14609"/>
  <c r="HR339" i="14609"/>
  <c r="HS339" i="14609"/>
  <c r="HT339" i="14609"/>
  <c r="HU339" i="14609"/>
  <c r="HV339" i="14609"/>
  <c r="HW339" i="14609"/>
  <c r="HX339" i="14609"/>
  <c r="HY339" i="14609"/>
  <c r="HZ339" i="14609"/>
  <c r="IA339" i="14609"/>
  <c r="IB339" i="14609"/>
  <c r="IC339" i="14609"/>
  <c r="ID339" i="14609"/>
  <c r="IE339" i="14609"/>
  <c r="IF339" i="14609"/>
  <c r="IG339" i="14609"/>
  <c r="IH339" i="14609"/>
  <c r="II339" i="14609"/>
  <c r="IJ339" i="14609"/>
  <c r="IK339" i="14609"/>
  <c r="IL339" i="14609"/>
  <c r="IM339" i="14609"/>
  <c r="IN339" i="14609"/>
  <c r="IO339" i="14609"/>
  <c r="IP339" i="14609"/>
  <c r="IQ339" i="14609"/>
  <c r="IR339" i="14609"/>
  <c r="IS339" i="14609"/>
  <c r="IT339" i="14609"/>
  <c r="IU339" i="14609"/>
  <c r="IV339" i="14609"/>
  <c r="A338" i="14609"/>
  <c r="B338" i="14609"/>
  <c r="C338" i="14609"/>
  <c r="D338" i="14609"/>
  <c r="E338" i="14609"/>
  <c r="F338" i="14609"/>
  <c r="G338" i="14609"/>
  <c r="H338" i="14609"/>
  <c r="I338" i="14609"/>
  <c r="J338" i="14609"/>
  <c r="K338" i="14609"/>
  <c r="L338" i="14609"/>
  <c r="M338" i="14609"/>
  <c r="N338" i="14609"/>
  <c r="O338" i="14609"/>
  <c r="P338" i="14609"/>
  <c r="Q338" i="14609"/>
  <c r="R338" i="14609"/>
  <c r="S338" i="14609"/>
  <c r="T338" i="14609"/>
  <c r="U338" i="14609"/>
  <c r="V338" i="14609"/>
  <c r="W338" i="14609"/>
  <c r="X338" i="14609"/>
  <c r="Y338" i="14609"/>
  <c r="Z338" i="14609"/>
  <c r="AA338" i="14609"/>
  <c r="AB338" i="14609"/>
  <c r="AC338" i="14609"/>
  <c r="AD338" i="14609"/>
  <c r="AE338" i="14609"/>
  <c r="AF338" i="14609"/>
  <c r="AG338" i="14609"/>
  <c r="AH338" i="14609"/>
  <c r="AI338" i="14609"/>
  <c r="AJ338" i="14609"/>
  <c r="AK338" i="14609"/>
  <c r="AL338" i="14609"/>
  <c r="AM338" i="14609"/>
  <c r="AN338" i="14609"/>
  <c r="AO338" i="14609"/>
  <c r="AP338" i="14609"/>
  <c r="AQ338" i="14609"/>
  <c r="AR338" i="14609"/>
  <c r="AS338" i="14609"/>
  <c r="AT338" i="14609"/>
  <c r="AU338" i="14609"/>
  <c r="AV338" i="14609"/>
  <c r="AW338" i="14609"/>
  <c r="AX338" i="14609"/>
  <c r="AY338" i="14609"/>
  <c r="AZ338" i="14609"/>
  <c r="BA338" i="14609"/>
  <c r="BB338" i="14609"/>
  <c r="BC338" i="14609"/>
  <c r="BD338" i="14609"/>
  <c r="BE338" i="14609"/>
  <c r="BF338" i="14609"/>
  <c r="BG338" i="14609"/>
  <c r="BH338" i="14609"/>
  <c r="BI338" i="14609"/>
  <c r="BJ338" i="14609"/>
  <c r="BK338" i="14609"/>
  <c r="BL338" i="14609"/>
  <c r="BM338" i="14609"/>
  <c r="BN338" i="14609"/>
  <c r="BO338" i="14609"/>
  <c r="BP338" i="14609"/>
  <c r="BQ338" i="14609"/>
  <c r="BR338" i="14609"/>
  <c r="BS338" i="14609"/>
  <c r="BT338" i="14609"/>
  <c r="BU338" i="14609"/>
  <c r="BV338" i="14609"/>
  <c r="BW338" i="14609"/>
  <c r="BX338" i="14609"/>
  <c r="BY338" i="14609"/>
  <c r="BZ338" i="14609"/>
  <c r="CA338" i="14609"/>
  <c r="CB338" i="14609"/>
  <c r="CC338" i="14609"/>
  <c r="CD338" i="14609"/>
  <c r="CE338" i="14609"/>
  <c r="CF338" i="14609"/>
  <c r="CG338" i="14609"/>
  <c r="CH338" i="14609"/>
  <c r="CI338" i="14609"/>
  <c r="CJ338" i="14609"/>
  <c r="CK338" i="14609"/>
  <c r="CL338" i="14609"/>
  <c r="CM338" i="14609"/>
  <c r="CN338" i="14609"/>
  <c r="CO338" i="14609"/>
  <c r="CP338" i="14609"/>
  <c r="CQ338" i="14609"/>
  <c r="CR338" i="14609"/>
  <c r="CS338" i="14609"/>
  <c r="CT338" i="14609"/>
  <c r="CU338" i="14609"/>
  <c r="CV338" i="14609"/>
  <c r="CW338" i="14609"/>
  <c r="CX338" i="14609"/>
  <c r="CY338" i="14609"/>
  <c r="CZ338" i="14609"/>
  <c r="DA338" i="14609"/>
  <c r="DB338" i="14609"/>
  <c r="DC338" i="14609"/>
  <c r="DD338" i="14609"/>
  <c r="DE338" i="14609"/>
  <c r="DF338" i="14609"/>
  <c r="DG338" i="14609"/>
  <c r="DH338" i="14609"/>
  <c r="DI338" i="14609"/>
  <c r="DJ338" i="14609"/>
  <c r="DK338" i="14609"/>
  <c r="DL338" i="14609"/>
  <c r="DM338" i="14609"/>
  <c r="DN338" i="14609"/>
  <c r="DO338" i="14609"/>
  <c r="DP338" i="14609"/>
  <c r="DQ338" i="14609"/>
  <c r="DR338" i="14609"/>
  <c r="DS338" i="14609"/>
  <c r="DT338" i="14609"/>
  <c r="DU338" i="14609"/>
  <c r="DV338" i="14609"/>
  <c r="DW338" i="14609"/>
  <c r="DX338" i="14609"/>
  <c r="DY338" i="14609"/>
  <c r="DZ338" i="14609"/>
  <c r="EA338" i="14609"/>
  <c r="EB338" i="14609"/>
  <c r="EC338" i="14609"/>
  <c r="ED338" i="14609"/>
  <c r="EE338" i="14609"/>
  <c r="EF338" i="14609"/>
  <c r="EG338" i="14609"/>
  <c r="EH338" i="14609"/>
  <c r="EI338" i="14609"/>
  <c r="EJ338" i="14609"/>
  <c r="EK338" i="14609"/>
  <c r="EL338" i="14609"/>
  <c r="EM338" i="14609"/>
  <c r="EN338" i="14609"/>
  <c r="EO338" i="14609"/>
  <c r="EP338" i="14609"/>
  <c r="EQ338" i="14609"/>
  <c r="ER338" i="14609"/>
  <c r="ES338" i="14609"/>
  <c r="ET338" i="14609"/>
  <c r="EU338" i="14609"/>
  <c r="EV338" i="14609"/>
  <c r="EW338" i="14609"/>
  <c r="EX338" i="14609"/>
  <c r="EY338" i="14609"/>
  <c r="EZ338" i="14609"/>
  <c r="FA338" i="14609"/>
  <c r="FB338" i="14609"/>
  <c r="FC338" i="14609"/>
  <c r="FD338" i="14609"/>
  <c r="FE338" i="14609"/>
  <c r="FF338" i="14609"/>
  <c r="FG338" i="14609"/>
  <c r="FH338" i="14609"/>
  <c r="FI338" i="14609"/>
  <c r="FJ338" i="14609"/>
  <c r="FK338" i="14609"/>
  <c r="FL338" i="14609"/>
  <c r="FM338" i="14609"/>
  <c r="FN338" i="14609"/>
  <c r="FO338" i="14609"/>
  <c r="FP338" i="14609"/>
  <c r="FQ338" i="14609"/>
  <c r="FR338" i="14609"/>
  <c r="FS338" i="14609"/>
  <c r="FT338" i="14609"/>
  <c r="FU338" i="14609"/>
  <c r="FV338" i="14609"/>
  <c r="FW338" i="14609"/>
  <c r="FX338" i="14609"/>
  <c r="FY338" i="14609"/>
  <c r="FZ338" i="14609"/>
  <c r="GA338" i="14609"/>
  <c r="GB338" i="14609"/>
  <c r="GC338" i="14609"/>
  <c r="GD338" i="14609"/>
  <c r="GE338" i="14609"/>
  <c r="GF338" i="14609"/>
  <c r="GG338" i="14609"/>
  <c r="GH338" i="14609"/>
  <c r="GI338" i="14609"/>
  <c r="GJ338" i="14609"/>
  <c r="GK338" i="14609"/>
  <c r="GL338" i="14609"/>
  <c r="GM338" i="14609"/>
  <c r="GN338" i="14609"/>
  <c r="GO338" i="14609"/>
  <c r="GP338" i="14609"/>
  <c r="GQ338" i="14609"/>
  <c r="GR338" i="14609"/>
  <c r="GS338" i="14609"/>
  <c r="GT338" i="14609"/>
  <c r="GU338" i="14609"/>
  <c r="GV338" i="14609"/>
  <c r="GW338" i="14609"/>
  <c r="GX338" i="14609"/>
  <c r="GY338" i="14609"/>
  <c r="GZ338" i="14609"/>
  <c r="HA338" i="14609"/>
  <c r="HB338" i="14609"/>
  <c r="HC338" i="14609"/>
  <c r="HD338" i="14609"/>
  <c r="HE338" i="14609"/>
  <c r="HF338" i="14609"/>
  <c r="HG338" i="14609"/>
  <c r="HH338" i="14609"/>
  <c r="HI338" i="14609"/>
  <c r="HJ338" i="14609"/>
  <c r="HK338" i="14609"/>
  <c r="HL338" i="14609"/>
  <c r="HM338" i="14609"/>
  <c r="HN338" i="14609"/>
  <c r="HO338" i="14609"/>
  <c r="HP338" i="14609"/>
  <c r="HQ338" i="14609"/>
  <c r="HR338" i="14609"/>
  <c r="HS338" i="14609"/>
  <c r="HT338" i="14609"/>
  <c r="HU338" i="14609"/>
  <c r="HV338" i="14609"/>
  <c r="HW338" i="14609"/>
  <c r="HX338" i="14609"/>
  <c r="HY338" i="14609"/>
  <c r="HZ338" i="14609"/>
  <c r="IA338" i="14609"/>
  <c r="IB338" i="14609"/>
  <c r="IC338" i="14609"/>
  <c r="ID338" i="14609"/>
  <c r="IE338" i="14609"/>
  <c r="IF338" i="14609"/>
  <c r="IG338" i="14609"/>
  <c r="IH338" i="14609"/>
  <c r="II338" i="14609"/>
  <c r="IJ338" i="14609"/>
  <c r="IK338" i="14609"/>
  <c r="IL338" i="14609"/>
  <c r="IM338" i="14609"/>
  <c r="IN338" i="14609"/>
  <c r="IO338" i="14609"/>
  <c r="IP338" i="14609"/>
  <c r="IQ338" i="14609"/>
  <c r="IR338" i="14609"/>
  <c r="IS338" i="14609"/>
  <c r="IT338" i="14609"/>
  <c r="IU338" i="14609"/>
  <c r="IV338" i="14609"/>
  <c r="A337" i="14609"/>
  <c r="B337" i="14609"/>
  <c r="C337" i="14609"/>
  <c r="D337" i="14609"/>
  <c r="E337" i="14609"/>
  <c r="F337" i="14609"/>
  <c r="G337" i="14609"/>
  <c r="H337" i="14609"/>
  <c r="I337" i="14609"/>
  <c r="J337" i="14609"/>
  <c r="K337" i="14609"/>
  <c r="L337" i="14609"/>
  <c r="M337" i="14609"/>
  <c r="N337" i="14609"/>
  <c r="O337" i="14609"/>
  <c r="P337" i="14609"/>
  <c r="Q337" i="14609"/>
  <c r="R337" i="14609"/>
  <c r="S337" i="14609"/>
  <c r="T337" i="14609"/>
  <c r="U337" i="14609"/>
  <c r="V337" i="14609"/>
  <c r="W337" i="14609"/>
  <c r="X337" i="14609"/>
  <c r="Y337" i="14609"/>
  <c r="Z337" i="14609"/>
  <c r="AA337" i="14609"/>
  <c r="AB337" i="14609"/>
  <c r="AC337" i="14609"/>
  <c r="AD337" i="14609"/>
  <c r="AE337" i="14609"/>
  <c r="AF337" i="14609"/>
  <c r="AG337" i="14609"/>
  <c r="AH337" i="14609"/>
  <c r="AI337" i="14609"/>
  <c r="AJ337" i="14609"/>
  <c r="AK337" i="14609"/>
  <c r="AL337" i="14609"/>
  <c r="AM337" i="14609"/>
  <c r="AN337" i="14609"/>
  <c r="AO337" i="14609"/>
  <c r="AP337" i="14609"/>
  <c r="AQ337" i="14609"/>
  <c r="AR337" i="14609"/>
  <c r="AS337" i="14609"/>
  <c r="AT337" i="14609"/>
  <c r="AU337" i="14609"/>
  <c r="AV337" i="14609"/>
  <c r="AW337" i="14609"/>
  <c r="AX337" i="14609"/>
  <c r="AY337" i="14609"/>
  <c r="AZ337" i="14609"/>
  <c r="BA337" i="14609"/>
  <c r="BB337" i="14609"/>
  <c r="BC337" i="14609"/>
  <c r="BD337" i="14609"/>
  <c r="BE337" i="14609"/>
  <c r="BF337" i="14609"/>
  <c r="BG337" i="14609"/>
  <c r="BH337" i="14609"/>
  <c r="BI337" i="14609"/>
  <c r="BJ337" i="14609"/>
  <c r="BK337" i="14609"/>
  <c r="BL337" i="14609"/>
  <c r="BM337" i="14609"/>
  <c r="BN337" i="14609"/>
  <c r="BO337" i="14609"/>
  <c r="BP337" i="14609"/>
  <c r="BQ337" i="14609"/>
  <c r="BR337" i="14609"/>
  <c r="BS337" i="14609"/>
  <c r="BT337" i="14609"/>
  <c r="BU337" i="14609"/>
  <c r="BV337" i="14609"/>
  <c r="BW337" i="14609"/>
  <c r="BX337" i="14609"/>
  <c r="BY337" i="14609"/>
  <c r="BZ337" i="14609"/>
  <c r="CA337" i="14609"/>
  <c r="CB337" i="14609"/>
  <c r="CC337" i="14609"/>
  <c r="CD337" i="14609"/>
  <c r="CE337" i="14609"/>
  <c r="CF337" i="14609"/>
  <c r="CG337" i="14609"/>
  <c r="CH337" i="14609"/>
  <c r="CI337" i="14609"/>
  <c r="CJ337" i="14609"/>
  <c r="CK337" i="14609"/>
  <c r="CL337" i="14609"/>
  <c r="CM337" i="14609"/>
  <c r="CN337" i="14609"/>
  <c r="CO337" i="14609"/>
  <c r="CP337" i="14609"/>
  <c r="CQ337" i="14609"/>
  <c r="CR337" i="14609"/>
  <c r="CS337" i="14609"/>
  <c r="CT337" i="14609"/>
  <c r="CU337" i="14609"/>
  <c r="CV337" i="14609"/>
  <c r="CW337" i="14609"/>
  <c r="CX337" i="14609"/>
  <c r="CY337" i="14609"/>
  <c r="CZ337" i="14609"/>
  <c r="DA337" i="14609"/>
  <c r="DB337" i="14609"/>
  <c r="DC337" i="14609"/>
  <c r="DD337" i="14609"/>
  <c r="DE337" i="14609"/>
  <c r="DF337" i="14609"/>
  <c r="DG337" i="14609"/>
  <c r="DH337" i="14609"/>
  <c r="DI337" i="14609"/>
  <c r="DJ337" i="14609"/>
  <c r="DK337" i="14609"/>
  <c r="DL337" i="14609"/>
  <c r="DM337" i="14609"/>
  <c r="DN337" i="14609"/>
  <c r="DO337" i="14609"/>
  <c r="DP337" i="14609"/>
  <c r="DQ337" i="14609"/>
  <c r="DR337" i="14609"/>
  <c r="DS337" i="14609"/>
  <c r="DT337" i="14609"/>
  <c r="DU337" i="14609"/>
  <c r="DV337" i="14609"/>
  <c r="DW337" i="14609"/>
  <c r="DX337" i="14609"/>
  <c r="DY337" i="14609"/>
  <c r="DZ337" i="14609"/>
  <c r="EA337" i="14609"/>
  <c r="EB337" i="14609"/>
  <c r="EC337" i="14609"/>
  <c r="ED337" i="14609"/>
  <c r="EE337" i="14609"/>
  <c r="EF337" i="14609"/>
  <c r="EG337" i="14609"/>
  <c r="EH337" i="14609"/>
  <c r="EI337" i="14609"/>
  <c r="EJ337" i="14609"/>
  <c r="EK337" i="14609"/>
  <c r="EL337" i="14609"/>
  <c r="EM337" i="14609"/>
  <c r="EN337" i="14609"/>
  <c r="EO337" i="14609"/>
  <c r="EP337" i="14609"/>
  <c r="EQ337" i="14609"/>
  <c r="ER337" i="14609"/>
  <c r="ES337" i="14609"/>
  <c r="ET337" i="14609"/>
  <c r="EU337" i="14609"/>
  <c r="EV337" i="14609"/>
  <c r="EW337" i="14609"/>
  <c r="EX337" i="14609"/>
  <c r="EY337" i="14609"/>
  <c r="EZ337" i="14609"/>
  <c r="FA337" i="14609"/>
  <c r="FB337" i="14609"/>
  <c r="FC337" i="14609"/>
  <c r="FD337" i="14609"/>
  <c r="FE337" i="14609"/>
  <c r="FF337" i="14609"/>
  <c r="FG337" i="14609"/>
  <c r="FH337" i="14609"/>
  <c r="FI337" i="14609"/>
  <c r="FJ337" i="14609"/>
  <c r="FK337" i="14609"/>
  <c r="FL337" i="14609"/>
  <c r="FM337" i="14609"/>
  <c r="FN337" i="14609"/>
  <c r="FO337" i="14609"/>
  <c r="FP337" i="14609"/>
  <c r="FQ337" i="14609"/>
  <c r="FR337" i="14609"/>
  <c r="FS337" i="14609"/>
  <c r="FT337" i="14609"/>
  <c r="FU337" i="14609"/>
  <c r="FV337" i="14609"/>
  <c r="FW337" i="14609"/>
  <c r="FX337" i="14609"/>
  <c r="FY337" i="14609"/>
  <c r="FZ337" i="14609"/>
  <c r="GA337" i="14609"/>
  <c r="GB337" i="14609"/>
  <c r="GC337" i="14609"/>
  <c r="GD337" i="14609"/>
  <c r="GE337" i="14609"/>
  <c r="GF337" i="14609"/>
  <c r="GG337" i="14609"/>
  <c r="GH337" i="14609"/>
  <c r="GI337" i="14609"/>
  <c r="GJ337" i="14609"/>
  <c r="GK337" i="14609"/>
  <c r="GL337" i="14609"/>
  <c r="GM337" i="14609"/>
  <c r="GN337" i="14609"/>
  <c r="GO337" i="14609"/>
  <c r="GP337" i="14609"/>
  <c r="GQ337" i="14609"/>
  <c r="GR337" i="14609"/>
  <c r="GS337" i="14609"/>
  <c r="GT337" i="14609"/>
  <c r="GU337" i="14609"/>
  <c r="GV337" i="14609"/>
  <c r="GW337" i="14609"/>
  <c r="GX337" i="14609"/>
  <c r="GY337" i="14609"/>
  <c r="GZ337" i="14609"/>
  <c r="HA337" i="14609"/>
  <c r="HB337" i="14609"/>
  <c r="HC337" i="14609"/>
  <c r="HD337" i="14609"/>
  <c r="HE337" i="14609"/>
  <c r="HF337" i="14609"/>
  <c r="HG337" i="14609"/>
  <c r="HH337" i="14609"/>
  <c r="HI337" i="14609"/>
  <c r="HJ337" i="14609"/>
  <c r="HK337" i="14609"/>
  <c r="HL337" i="14609"/>
  <c r="HM337" i="14609"/>
  <c r="HN337" i="14609"/>
  <c r="HO337" i="14609"/>
  <c r="HP337" i="14609"/>
  <c r="HQ337" i="14609"/>
  <c r="HR337" i="14609"/>
  <c r="HS337" i="14609"/>
  <c r="HT337" i="14609"/>
  <c r="HU337" i="14609"/>
  <c r="HV337" i="14609"/>
  <c r="HW337" i="14609"/>
  <c r="HX337" i="14609"/>
  <c r="HY337" i="14609"/>
  <c r="HZ337" i="14609"/>
  <c r="IA337" i="14609"/>
  <c r="IB337" i="14609"/>
  <c r="IC337" i="14609"/>
  <c r="ID337" i="14609"/>
  <c r="IE337" i="14609"/>
  <c r="IF337" i="14609"/>
  <c r="IG337" i="14609"/>
  <c r="IH337" i="14609"/>
  <c r="II337" i="14609"/>
  <c r="IJ337" i="14609"/>
  <c r="IK337" i="14609"/>
  <c r="IL337" i="14609"/>
  <c r="IM337" i="14609"/>
  <c r="IN337" i="14609"/>
  <c r="IO337" i="14609"/>
  <c r="IP337" i="14609"/>
  <c r="IQ337" i="14609"/>
  <c r="IR337" i="14609"/>
  <c r="IS337" i="14609"/>
  <c r="IT337" i="14609"/>
  <c r="IU337" i="14609"/>
  <c r="IV337" i="14609"/>
  <c r="A336" i="14609"/>
  <c r="B336" i="14609"/>
  <c r="C336" i="14609"/>
  <c r="D336" i="14609"/>
  <c r="E336" i="14609"/>
  <c r="F336" i="14609"/>
  <c r="G336" i="14609"/>
  <c r="H336" i="14609"/>
  <c r="I336" i="14609"/>
  <c r="J336" i="14609"/>
  <c r="K336" i="14609"/>
  <c r="L336" i="14609"/>
  <c r="M336" i="14609"/>
  <c r="N336" i="14609"/>
  <c r="O336" i="14609"/>
  <c r="P336" i="14609"/>
  <c r="Q336" i="14609"/>
  <c r="R336" i="14609"/>
  <c r="S336" i="14609"/>
  <c r="T336" i="14609"/>
  <c r="U336" i="14609"/>
  <c r="V336" i="14609"/>
  <c r="W336" i="14609"/>
  <c r="X336" i="14609"/>
  <c r="Y336" i="14609"/>
  <c r="Z336" i="14609"/>
  <c r="AA336" i="14609"/>
  <c r="AB336" i="14609"/>
  <c r="AC336" i="14609"/>
  <c r="AD336" i="14609"/>
  <c r="AE336" i="14609"/>
  <c r="AF336" i="14609"/>
  <c r="AG336" i="14609"/>
  <c r="AH336" i="14609"/>
  <c r="AI336" i="14609"/>
  <c r="AJ336" i="14609"/>
  <c r="AK336" i="14609"/>
  <c r="AL336" i="14609"/>
  <c r="AM336" i="14609"/>
  <c r="AN336" i="14609"/>
  <c r="AO336" i="14609"/>
  <c r="AP336" i="14609"/>
  <c r="AQ336" i="14609"/>
  <c r="AR336" i="14609"/>
  <c r="AS336" i="14609"/>
  <c r="AT336" i="14609"/>
  <c r="AU336" i="14609"/>
  <c r="AV336" i="14609"/>
  <c r="AW336" i="14609"/>
  <c r="AX336" i="14609"/>
  <c r="AY336" i="14609"/>
  <c r="AZ336" i="14609"/>
  <c r="BA336" i="14609"/>
  <c r="BB336" i="14609"/>
  <c r="BC336" i="14609"/>
  <c r="BD336" i="14609"/>
  <c r="BE336" i="14609"/>
  <c r="BF336" i="14609"/>
  <c r="BG336" i="14609"/>
  <c r="BH336" i="14609"/>
  <c r="BI336" i="14609"/>
  <c r="BJ336" i="14609"/>
  <c r="BK336" i="14609"/>
  <c r="BL336" i="14609"/>
  <c r="BM336" i="14609"/>
  <c r="BN336" i="14609"/>
  <c r="BO336" i="14609"/>
  <c r="BP336" i="14609"/>
  <c r="BQ336" i="14609"/>
  <c r="BR336" i="14609"/>
  <c r="BS336" i="14609"/>
  <c r="BT336" i="14609"/>
  <c r="BU336" i="14609"/>
  <c r="BV336" i="14609"/>
  <c r="BW336" i="14609"/>
  <c r="BX336" i="14609"/>
  <c r="BY336" i="14609"/>
  <c r="BZ336" i="14609"/>
  <c r="CA336" i="14609"/>
  <c r="CB336" i="14609"/>
  <c r="CC336" i="14609"/>
  <c r="CD336" i="14609"/>
  <c r="CE336" i="14609"/>
  <c r="CF336" i="14609"/>
  <c r="CG336" i="14609"/>
  <c r="CH336" i="14609"/>
  <c r="CI336" i="14609"/>
  <c r="CJ336" i="14609"/>
  <c r="CK336" i="14609"/>
  <c r="CL336" i="14609"/>
  <c r="CM336" i="14609"/>
  <c r="CN336" i="14609"/>
  <c r="CO336" i="14609"/>
  <c r="CP336" i="14609"/>
  <c r="CQ336" i="14609"/>
  <c r="CR336" i="14609"/>
  <c r="CS336" i="14609"/>
  <c r="CT336" i="14609"/>
  <c r="CU336" i="14609"/>
  <c r="CV336" i="14609"/>
  <c r="CW336" i="14609"/>
  <c r="CX336" i="14609"/>
  <c r="CY336" i="14609"/>
  <c r="CZ336" i="14609"/>
  <c r="DA336" i="14609"/>
  <c r="DB336" i="14609"/>
  <c r="DC336" i="14609"/>
  <c r="DD336" i="14609"/>
  <c r="DE336" i="14609"/>
  <c r="DF336" i="14609"/>
  <c r="DG336" i="14609"/>
  <c r="DH336" i="14609"/>
  <c r="DI336" i="14609"/>
  <c r="DJ336" i="14609"/>
  <c r="DK336" i="14609"/>
  <c r="DL336" i="14609"/>
  <c r="DM336" i="14609"/>
  <c r="DN336" i="14609"/>
  <c r="DO336" i="14609"/>
  <c r="DP336" i="14609"/>
  <c r="DQ336" i="14609"/>
  <c r="DR336" i="14609"/>
  <c r="DS336" i="14609"/>
  <c r="DT336" i="14609"/>
  <c r="DU336" i="14609"/>
  <c r="DV336" i="14609"/>
  <c r="DW336" i="14609"/>
  <c r="DX336" i="14609"/>
  <c r="DY336" i="14609"/>
  <c r="DZ336" i="14609"/>
  <c r="EA336" i="14609"/>
  <c r="EB336" i="14609"/>
  <c r="EC336" i="14609"/>
  <c r="ED336" i="14609"/>
  <c r="EE336" i="14609"/>
  <c r="EF336" i="14609"/>
  <c r="EG336" i="14609"/>
  <c r="EH336" i="14609"/>
  <c r="EI336" i="14609"/>
  <c r="EJ336" i="14609"/>
  <c r="EK336" i="14609"/>
  <c r="EL336" i="14609"/>
  <c r="EM336" i="14609"/>
  <c r="EN336" i="14609"/>
  <c r="EO336" i="14609"/>
  <c r="EP336" i="14609"/>
  <c r="EQ336" i="14609"/>
  <c r="ER336" i="14609"/>
  <c r="ES336" i="14609"/>
  <c r="ET336" i="14609"/>
  <c r="EU336" i="14609"/>
  <c r="EV336" i="14609"/>
  <c r="EW336" i="14609"/>
  <c r="EX336" i="14609"/>
  <c r="EY336" i="14609"/>
  <c r="EZ336" i="14609"/>
  <c r="FA336" i="14609"/>
  <c r="FB336" i="14609"/>
  <c r="FC336" i="14609"/>
  <c r="FD336" i="14609"/>
  <c r="FE336" i="14609"/>
  <c r="FF336" i="14609"/>
  <c r="FG336" i="14609"/>
  <c r="FH336" i="14609"/>
  <c r="FI336" i="14609"/>
  <c r="FJ336" i="14609"/>
  <c r="FK336" i="14609"/>
  <c r="FL336" i="14609"/>
  <c r="FM336" i="14609"/>
  <c r="FN336" i="14609"/>
  <c r="FO336" i="14609"/>
  <c r="FP336" i="14609"/>
  <c r="FQ336" i="14609"/>
  <c r="FR336" i="14609"/>
  <c r="FS336" i="14609"/>
  <c r="FT336" i="14609"/>
  <c r="FU336" i="14609"/>
  <c r="FV336" i="14609"/>
  <c r="FW336" i="14609"/>
  <c r="FX336" i="14609"/>
  <c r="FY336" i="14609"/>
  <c r="FZ336" i="14609"/>
  <c r="GA336" i="14609"/>
  <c r="GB336" i="14609"/>
  <c r="GC336" i="14609"/>
  <c r="GD336" i="14609"/>
  <c r="GE336" i="14609"/>
  <c r="GF336" i="14609"/>
  <c r="GG336" i="14609"/>
  <c r="GH336" i="14609"/>
  <c r="GI336" i="14609"/>
  <c r="GJ336" i="14609"/>
  <c r="GK336" i="14609"/>
  <c r="GL336" i="14609"/>
  <c r="GM336" i="14609"/>
  <c r="GN336" i="14609"/>
  <c r="GO336" i="14609"/>
  <c r="GP336" i="14609"/>
  <c r="GQ336" i="14609"/>
  <c r="GR336" i="14609"/>
  <c r="GS336" i="14609"/>
  <c r="GT336" i="14609"/>
  <c r="GU336" i="14609"/>
  <c r="GV336" i="14609"/>
  <c r="GW336" i="14609"/>
  <c r="GX336" i="14609"/>
  <c r="GY336" i="14609"/>
  <c r="GZ336" i="14609"/>
  <c r="HA336" i="14609"/>
  <c r="HB336" i="14609"/>
  <c r="HC336" i="14609"/>
  <c r="HD336" i="14609"/>
  <c r="HE336" i="14609"/>
  <c r="HF336" i="14609"/>
  <c r="HG336" i="14609"/>
  <c r="HH336" i="14609"/>
  <c r="HI336" i="14609"/>
  <c r="HJ336" i="14609"/>
  <c r="HK336" i="14609"/>
  <c r="HL336" i="14609"/>
  <c r="HM336" i="14609"/>
  <c r="HN336" i="14609"/>
  <c r="HO336" i="14609"/>
  <c r="HP336" i="14609"/>
  <c r="HQ336" i="14609"/>
  <c r="HR336" i="14609"/>
  <c r="HS336" i="14609"/>
  <c r="HT336" i="14609"/>
  <c r="HU336" i="14609"/>
  <c r="HV336" i="14609"/>
  <c r="HW336" i="14609"/>
  <c r="HX336" i="14609"/>
  <c r="HY336" i="14609"/>
  <c r="HZ336" i="14609"/>
  <c r="IA336" i="14609"/>
  <c r="IB336" i="14609"/>
  <c r="IC336" i="14609"/>
  <c r="ID336" i="14609"/>
  <c r="IE336" i="14609"/>
  <c r="IF336" i="14609"/>
  <c r="IG336" i="14609"/>
  <c r="IH336" i="14609"/>
  <c r="II336" i="14609"/>
  <c r="IJ336" i="14609"/>
  <c r="IK336" i="14609"/>
  <c r="IL336" i="14609"/>
  <c r="IM336" i="14609"/>
  <c r="IN336" i="14609"/>
  <c r="IO336" i="14609"/>
  <c r="IP336" i="14609"/>
  <c r="IQ336" i="14609"/>
  <c r="IR336" i="14609"/>
  <c r="IS336" i="14609"/>
  <c r="IT336" i="14609"/>
  <c r="IU336" i="14609"/>
  <c r="IV336" i="14609"/>
  <c r="A335" i="14609"/>
  <c r="B335" i="14609"/>
  <c r="C335" i="14609"/>
  <c r="D335" i="14609"/>
  <c r="E335" i="14609"/>
  <c r="F335" i="14609"/>
  <c r="G335" i="14609"/>
  <c r="H335" i="14609"/>
  <c r="I335" i="14609"/>
  <c r="J335" i="14609"/>
  <c r="K335" i="14609"/>
  <c r="L335" i="14609"/>
  <c r="M335" i="14609"/>
  <c r="N335" i="14609"/>
  <c r="O335" i="14609"/>
  <c r="P335" i="14609"/>
  <c r="Q335" i="14609"/>
  <c r="R335" i="14609"/>
  <c r="S335" i="14609"/>
  <c r="T335" i="14609"/>
  <c r="U335" i="14609"/>
  <c r="V335" i="14609"/>
  <c r="W335" i="14609"/>
  <c r="X335" i="14609"/>
  <c r="Y335" i="14609"/>
  <c r="Z335" i="14609"/>
  <c r="AA335" i="14609"/>
  <c r="AB335" i="14609"/>
  <c r="AC335" i="14609"/>
  <c r="AD335" i="14609"/>
  <c r="AE335" i="14609"/>
  <c r="AF335" i="14609"/>
  <c r="AG335" i="14609"/>
  <c r="AH335" i="14609"/>
  <c r="AI335" i="14609"/>
  <c r="AJ335" i="14609"/>
  <c r="AK335" i="14609"/>
  <c r="AL335" i="14609"/>
  <c r="AM335" i="14609"/>
  <c r="AN335" i="14609"/>
  <c r="AO335" i="14609"/>
  <c r="AP335" i="14609"/>
  <c r="AQ335" i="14609"/>
  <c r="AR335" i="14609"/>
  <c r="AS335" i="14609"/>
  <c r="AT335" i="14609"/>
  <c r="AU335" i="14609"/>
  <c r="AV335" i="14609"/>
  <c r="AW335" i="14609"/>
  <c r="AX335" i="14609"/>
  <c r="AY335" i="14609"/>
  <c r="AZ335" i="14609"/>
  <c r="BA335" i="14609"/>
  <c r="BB335" i="14609"/>
  <c r="BC335" i="14609"/>
  <c r="BD335" i="14609"/>
  <c r="BE335" i="14609"/>
  <c r="BF335" i="14609"/>
  <c r="BG335" i="14609"/>
  <c r="BH335" i="14609"/>
  <c r="BI335" i="14609"/>
  <c r="BJ335" i="14609"/>
  <c r="BK335" i="14609"/>
  <c r="BL335" i="14609"/>
  <c r="BM335" i="14609"/>
  <c r="BN335" i="14609"/>
  <c r="BO335" i="14609"/>
  <c r="BP335" i="14609"/>
  <c r="BQ335" i="14609"/>
  <c r="BR335" i="14609"/>
  <c r="BS335" i="14609"/>
  <c r="BT335" i="14609"/>
  <c r="BU335" i="14609"/>
  <c r="BV335" i="14609"/>
  <c r="BW335" i="14609"/>
  <c r="BX335" i="14609"/>
  <c r="BY335" i="14609"/>
  <c r="BZ335" i="14609"/>
  <c r="CA335" i="14609"/>
  <c r="CB335" i="14609"/>
  <c r="CC335" i="14609"/>
  <c r="CD335" i="14609"/>
  <c r="CE335" i="14609"/>
  <c r="CF335" i="14609"/>
  <c r="CG335" i="14609"/>
  <c r="CH335" i="14609"/>
  <c r="CI335" i="14609"/>
  <c r="CJ335" i="14609"/>
  <c r="CK335" i="14609"/>
  <c r="CL335" i="14609"/>
  <c r="CM335" i="14609"/>
  <c r="CN335" i="14609"/>
  <c r="CO335" i="14609"/>
  <c r="CP335" i="14609"/>
  <c r="CQ335" i="14609"/>
  <c r="CR335" i="14609"/>
  <c r="CS335" i="14609"/>
  <c r="CT335" i="14609"/>
  <c r="CU335" i="14609"/>
  <c r="CV335" i="14609"/>
  <c r="CW335" i="14609"/>
  <c r="CX335" i="14609"/>
  <c r="CY335" i="14609"/>
  <c r="CZ335" i="14609"/>
  <c r="DA335" i="14609"/>
  <c r="DB335" i="14609"/>
  <c r="DC335" i="14609"/>
  <c r="DD335" i="14609"/>
  <c r="DE335" i="14609"/>
  <c r="DF335" i="14609"/>
  <c r="DG335" i="14609"/>
  <c r="DH335" i="14609"/>
  <c r="DI335" i="14609"/>
  <c r="DJ335" i="14609"/>
  <c r="DK335" i="14609"/>
  <c r="DL335" i="14609"/>
  <c r="DM335" i="14609"/>
  <c r="DN335" i="14609"/>
  <c r="DO335" i="14609"/>
  <c r="DP335" i="14609"/>
  <c r="DQ335" i="14609"/>
  <c r="DR335" i="14609"/>
  <c r="DS335" i="14609"/>
  <c r="DT335" i="14609"/>
  <c r="DU335" i="14609"/>
  <c r="DV335" i="14609"/>
  <c r="DW335" i="14609"/>
  <c r="DX335" i="14609"/>
  <c r="DY335" i="14609"/>
  <c r="DZ335" i="14609"/>
  <c r="EA335" i="14609"/>
  <c r="EB335" i="14609"/>
  <c r="EC335" i="14609"/>
  <c r="ED335" i="14609"/>
  <c r="EE335" i="14609"/>
  <c r="EF335" i="14609"/>
  <c r="EG335" i="14609"/>
  <c r="EH335" i="14609"/>
  <c r="EI335" i="14609"/>
  <c r="EJ335" i="14609"/>
  <c r="EK335" i="14609"/>
  <c r="EL335" i="14609"/>
  <c r="EM335" i="14609"/>
  <c r="EN335" i="14609"/>
  <c r="EO335" i="14609"/>
  <c r="EP335" i="14609"/>
  <c r="EQ335" i="14609"/>
  <c r="ER335" i="14609"/>
  <c r="ES335" i="14609"/>
  <c r="ET335" i="14609"/>
  <c r="EU335" i="14609"/>
  <c r="EV335" i="14609"/>
  <c r="EW335" i="14609"/>
  <c r="EX335" i="14609"/>
  <c r="EY335" i="14609"/>
  <c r="EZ335" i="14609"/>
  <c r="FA335" i="14609"/>
  <c r="FB335" i="14609"/>
  <c r="FC335" i="14609"/>
  <c r="FD335" i="14609"/>
  <c r="FE335" i="14609"/>
  <c r="FF335" i="14609"/>
  <c r="FG335" i="14609"/>
  <c r="FH335" i="14609"/>
  <c r="FI335" i="14609"/>
  <c r="FJ335" i="14609"/>
  <c r="FK335" i="14609"/>
  <c r="FL335" i="14609"/>
  <c r="FM335" i="14609"/>
  <c r="FN335" i="14609"/>
  <c r="FO335" i="14609"/>
  <c r="FP335" i="14609"/>
  <c r="FQ335" i="14609"/>
  <c r="FR335" i="14609"/>
  <c r="FS335" i="14609"/>
  <c r="FT335" i="14609"/>
  <c r="FU335" i="14609"/>
  <c r="FV335" i="14609"/>
  <c r="FW335" i="14609"/>
  <c r="FX335" i="14609"/>
  <c r="FY335" i="14609"/>
  <c r="FZ335" i="14609"/>
  <c r="GA335" i="14609"/>
  <c r="GB335" i="14609"/>
  <c r="GC335" i="14609"/>
  <c r="GD335" i="14609"/>
  <c r="GE335" i="14609"/>
  <c r="GF335" i="14609"/>
  <c r="GG335" i="14609"/>
  <c r="GH335" i="14609"/>
  <c r="GI335" i="14609"/>
  <c r="GJ335" i="14609"/>
  <c r="GK335" i="14609"/>
  <c r="GL335" i="14609"/>
  <c r="GM335" i="14609"/>
  <c r="GN335" i="14609"/>
  <c r="GO335" i="14609"/>
  <c r="GP335" i="14609"/>
  <c r="GQ335" i="14609"/>
  <c r="GR335" i="14609"/>
  <c r="GS335" i="14609"/>
  <c r="GT335" i="14609"/>
  <c r="GU335" i="14609"/>
  <c r="GV335" i="14609"/>
  <c r="GW335" i="14609"/>
  <c r="GX335" i="14609"/>
  <c r="GY335" i="14609"/>
  <c r="GZ335" i="14609"/>
  <c r="HA335" i="14609"/>
  <c r="HB335" i="14609"/>
  <c r="HC335" i="14609"/>
  <c r="HD335" i="14609"/>
  <c r="HE335" i="14609"/>
  <c r="HF335" i="14609"/>
  <c r="HG335" i="14609"/>
  <c r="HH335" i="14609"/>
  <c r="HI335" i="14609"/>
  <c r="HJ335" i="14609"/>
  <c r="HK335" i="14609"/>
  <c r="HL335" i="14609"/>
  <c r="HM335" i="14609"/>
  <c r="HN335" i="14609"/>
  <c r="HO335" i="14609"/>
  <c r="HP335" i="14609"/>
  <c r="HQ335" i="14609"/>
  <c r="HR335" i="14609"/>
  <c r="HS335" i="14609"/>
  <c r="HT335" i="14609"/>
  <c r="HU335" i="14609"/>
  <c r="HV335" i="14609"/>
  <c r="HW335" i="14609"/>
  <c r="HX335" i="14609"/>
  <c r="HY335" i="14609"/>
  <c r="HZ335" i="14609"/>
  <c r="IA335" i="14609"/>
  <c r="IB335" i="14609"/>
  <c r="IC335" i="14609"/>
  <c r="ID335" i="14609"/>
  <c r="IE335" i="14609"/>
  <c r="IF335" i="14609"/>
  <c r="IG335" i="14609"/>
  <c r="IH335" i="14609"/>
  <c r="II335" i="14609"/>
  <c r="IJ335" i="14609"/>
  <c r="IK335" i="14609"/>
  <c r="IL335" i="14609"/>
  <c r="IM335" i="14609"/>
  <c r="IN335" i="14609"/>
  <c r="IO335" i="14609"/>
  <c r="IP335" i="14609"/>
  <c r="IQ335" i="14609"/>
  <c r="IR335" i="14609"/>
  <c r="IS335" i="14609"/>
  <c r="IT335" i="14609"/>
  <c r="IU335" i="14609"/>
  <c r="IV335" i="14609"/>
  <c r="A334" i="14609"/>
  <c r="B334" i="14609"/>
  <c r="C334" i="14609"/>
  <c r="D334" i="14609"/>
  <c r="E334" i="14609"/>
  <c r="F334" i="14609"/>
  <c r="G334" i="14609"/>
  <c r="H334" i="14609"/>
  <c r="I334" i="14609"/>
  <c r="J334" i="14609"/>
  <c r="K334" i="14609"/>
  <c r="L334" i="14609"/>
  <c r="M334" i="14609"/>
  <c r="N334" i="14609"/>
  <c r="O334" i="14609"/>
  <c r="P334" i="14609"/>
  <c r="Q334" i="14609"/>
  <c r="R334" i="14609"/>
  <c r="S334" i="14609"/>
  <c r="T334" i="14609"/>
  <c r="U334" i="14609"/>
  <c r="V334" i="14609"/>
  <c r="W334" i="14609"/>
  <c r="X334" i="14609"/>
  <c r="Y334" i="14609"/>
  <c r="Z334" i="14609"/>
  <c r="AA334" i="14609"/>
  <c r="AB334" i="14609"/>
  <c r="AC334" i="14609"/>
  <c r="AD334" i="14609"/>
  <c r="AE334" i="14609"/>
  <c r="AF334" i="14609"/>
  <c r="AG334" i="14609"/>
  <c r="AH334" i="14609"/>
  <c r="AI334" i="14609"/>
  <c r="AJ334" i="14609"/>
  <c r="AK334" i="14609"/>
  <c r="AL334" i="14609"/>
  <c r="AM334" i="14609"/>
  <c r="AN334" i="14609"/>
  <c r="AO334" i="14609"/>
  <c r="AP334" i="14609"/>
  <c r="AQ334" i="14609"/>
  <c r="AR334" i="14609"/>
  <c r="AS334" i="14609"/>
  <c r="AT334" i="14609"/>
  <c r="AU334" i="14609"/>
  <c r="AV334" i="14609"/>
  <c r="AW334" i="14609"/>
  <c r="AX334" i="14609"/>
  <c r="AY334" i="14609"/>
  <c r="AZ334" i="14609"/>
  <c r="BA334" i="14609"/>
  <c r="BB334" i="14609"/>
  <c r="BC334" i="14609"/>
  <c r="BD334" i="14609"/>
  <c r="BE334" i="14609"/>
  <c r="BF334" i="14609"/>
  <c r="BG334" i="14609"/>
  <c r="BH334" i="14609"/>
  <c r="BI334" i="14609"/>
  <c r="BJ334" i="14609"/>
  <c r="BK334" i="14609"/>
  <c r="BL334" i="14609"/>
  <c r="BM334" i="14609"/>
  <c r="BN334" i="14609"/>
  <c r="BO334" i="14609"/>
  <c r="BP334" i="14609"/>
  <c r="BQ334" i="14609"/>
  <c r="BR334" i="14609"/>
  <c r="BS334" i="14609"/>
  <c r="BT334" i="14609"/>
  <c r="BU334" i="14609"/>
  <c r="BV334" i="14609"/>
  <c r="BW334" i="14609"/>
  <c r="BX334" i="14609"/>
  <c r="BY334" i="14609"/>
  <c r="BZ334" i="14609"/>
  <c r="CA334" i="14609"/>
  <c r="CB334" i="14609"/>
  <c r="CC334" i="14609"/>
  <c r="CD334" i="14609"/>
  <c r="CE334" i="14609"/>
  <c r="CF334" i="14609"/>
  <c r="CG334" i="14609"/>
  <c r="CH334" i="14609"/>
  <c r="CI334" i="14609"/>
  <c r="CJ334" i="14609"/>
  <c r="CK334" i="14609"/>
  <c r="CL334" i="14609"/>
  <c r="CM334" i="14609"/>
  <c r="CN334" i="14609"/>
  <c r="CO334" i="14609"/>
  <c r="CP334" i="14609"/>
  <c r="CQ334" i="14609"/>
  <c r="CR334" i="14609"/>
  <c r="CS334" i="14609"/>
  <c r="CT334" i="14609"/>
  <c r="CU334" i="14609"/>
  <c r="CV334" i="14609"/>
  <c r="CW334" i="14609"/>
  <c r="CX334" i="14609"/>
  <c r="CY334" i="14609"/>
  <c r="CZ334" i="14609"/>
  <c r="DA334" i="14609"/>
  <c r="DB334" i="14609"/>
  <c r="DC334" i="14609"/>
  <c r="DD334" i="14609"/>
  <c r="DE334" i="14609"/>
  <c r="DF334" i="14609"/>
  <c r="DG334" i="14609"/>
  <c r="DH334" i="14609"/>
  <c r="DI334" i="14609"/>
  <c r="DJ334" i="14609"/>
  <c r="DK334" i="14609"/>
  <c r="DL334" i="14609"/>
  <c r="DM334" i="14609"/>
  <c r="DN334" i="14609"/>
  <c r="DO334" i="14609"/>
  <c r="DP334" i="14609"/>
  <c r="DQ334" i="14609"/>
  <c r="DR334" i="14609"/>
  <c r="DS334" i="14609"/>
  <c r="DT334" i="14609"/>
  <c r="DU334" i="14609"/>
  <c r="DV334" i="14609"/>
  <c r="DW334" i="14609"/>
  <c r="DX334" i="14609"/>
  <c r="DY334" i="14609"/>
  <c r="DZ334" i="14609"/>
  <c r="EA334" i="14609"/>
  <c r="EB334" i="14609"/>
  <c r="EC334" i="14609"/>
  <c r="ED334" i="14609"/>
  <c r="EE334" i="14609"/>
  <c r="EF334" i="14609"/>
  <c r="EG334" i="14609"/>
  <c r="EH334" i="14609"/>
  <c r="EI334" i="14609"/>
  <c r="EJ334" i="14609"/>
  <c r="EK334" i="14609"/>
  <c r="EL334" i="14609"/>
  <c r="EM334" i="14609"/>
  <c r="EN334" i="14609"/>
  <c r="EO334" i="14609"/>
  <c r="EP334" i="14609"/>
  <c r="EQ334" i="14609"/>
  <c r="ER334" i="14609"/>
  <c r="ES334" i="14609"/>
  <c r="ET334" i="14609"/>
  <c r="EU334" i="14609"/>
  <c r="EV334" i="14609"/>
  <c r="EW334" i="14609"/>
  <c r="EX334" i="14609"/>
  <c r="EY334" i="14609"/>
  <c r="EZ334" i="14609"/>
  <c r="FA334" i="14609"/>
  <c r="FB334" i="14609"/>
  <c r="FC334" i="14609"/>
  <c r="FD334" i="14609"/>
  <c r="FE334" i="14609"/>
  <c r="FF334" i="14609"/>
  <c r="FG334" i="14609"/>
  <c r="FH334" i="14609"/>
  <c r="FI334" i="14609"/>
  <c r="FJ334" i="14609"/>
  <c r="FK334" i="14609"/>
  <c r="FL334" i="14609"/>
  <c r="FM334" i="14609"/>
  <c r="FN334" i="14609"/>
  <c r="FO334" i="14609"/>
  <c r="FP334" i="14609"/>
  <c r="FQ334" i="14609"/>
  <c r="FR334" i="14609"/>
  <c r="FS334" i="14609"/>
  <c r="FT334" i="14609"/>
  <c r="FU334" i="14609"/>
  <c r="FV334" i="14609"/>
  <c r="FW334" i="14609"/>
  <c r="FX334" i="14609"/>
  <c r="FY334" i="14609"/>
  <c r="FZ334" i="14609"/>
  <c r="GA334" i="14609"/>
  <c r="GB334" i="14609"/>
  <c r="GC334" i="14609"/>
  <c r="GD334" i="14609"/>
  <c r="GE334" i="14609"/>
  <c r="GF334" i="14609"/>
  <c r="GG334" i="14609"/>
  <c r="GH334" i="14609"/>
  <c r="GI334" i="14609"/>
  <c r="GJ334" i="14609"/>
  <c r="GK334" i="14609"/>
  <c r="GL334" i="14609"/>
  <c r="GM334" i="14609"/>
  <c r="GN334" i="14609"/>
  <c r="GO334" i="14609"/>
  <c r="GP334" i="14609"/>
  <c r="GQ334" i="14609"/>
  <c r="GR334" i="14609"/>
  <c r="GS334" i="14609"/>
  <c r="GT334" i="14609"/>
  <c r="GU334" i="14609"/>
  <c r="GV334" i="14609"/>
  <c r="GW334" i="14609"/>
  <c r="GX334" i="14609"/>
  <c r="GY334" i="14609"/>
  <c r="GZ334" i="14609"/>
  <c r="HA334" i="14609"/>
  <c r="HB334" i="14609"/>
  <c r="HC334" i="14609"/>
  <c r="HD334" i="14609"/>
  <c r="HE334" i="14609"/>
  <c r="HF334" i="14609"/>
  <c r="HG334" i="14609"/>
  <c r="HH334" i="14609"/>
  <c r="HI334" i="14609"/>
  <c r="HJ334" i="14609"/>
  <c r="HK334" i="14609"/>
  <c r="HL334" i="14609"/>
  <c r="HM334" i="14609"/>
  <c r="HN334" i="14609"/>
  <c r="HO334" i="14609"/>
  <c r="HP334" i="14609"/>
  <c r="HQ334" i="14609"/>
  <c r="HR334" i="14609"/>
  <c r="HS334" i="14609"/>
  <c r="HT334" i="14609"/>
  <c r="HU334" i="14609"/>
  <c r="HV334" i="14609"/>
  <c r="HW334" i="14609"/>
  <c r="HX334" i="14609"/>
  <c r="HY334" i="14609"/>
  <c r="HZ334" i="14609"/>
  <c r="IA334" i="14609"/>
  <c r="IB334" i="14609"/>
  <c r="IC334" i="14609"/>
  <c r="ID334" i="14609"/>
  <c r="IE334" i="14609"/>
  <c r="IF334" i="14609"/>
  <c r="IG334" i="14609"/>
  <c r="IH334" i="14609"/>
  <c r="II334" i="14609"/>
  <c r="IJ334" i="14609"/>
  <c r="IK334" i="14609"/>
  <c r="IL334" i="14609"/>
  <c r="IM334" i="14609"/>
  <c r="IN334" i="14609"/>
  <c r="IO334" i="14609"/>
  <c r="IP334" i="14609"/>
  <c r="IQ334" i="14609"/>
  <c r="IR334" i="14609"/>
  <c r="IS334" i="14609"/>
  <c r="IT334" i="14609"/>
  <c r="IU334" i="14609"/>
  <c r="IV334" i="14609"/>
  <c r="A333" i="14609"/>
  <c r="B333" i="14609"/>
  <c r="C333" i="14609"/>
  <c r="D333" i="14609"/>
  <c r="E333" i="14609"/>
  <c r="F333" i="14609"/>
  <c r="G333" i="14609"/>
  <c r="H333" i="14609"/>
  <c r="I333" i="14609"/>
  <c r="J333" i="14609"/>
  <c r="K333" i="14609"/>
  <c r="L333" i="14609"/>
  <c r="M333" i="14609"/>
  <c r="N333" i="14609"/>
  <c r="O333" i="14609"/>
  <c r="P333" i="14609"/>
  <c r="Q333" i="14609"/>
  <c r="R333" i="14609"/>
  <c r="S333" i="14609"/>
  <c r="T333" i="14609"/>
  <c r="U333" i="14609"/>
  <c r="V333" i="14609"/>
  <c r="W333" i="14609"/>
  <c r="X333" i="14609"/>
  <c r="Y333" i="14609"/>
  <c r="Z333" i="14609"/>
  <c r="AA333" i="14609"/>
  <c r="AB333" i="14609"/>
  <c r="AC333" i="14609"/>
  <c r="AD333" i="14609"/>
  <c r="AE333" i="14609"/>
  <c r="AF333" i="14609"/>
  <c r="AG333" i="14609"/>
  <c r="AH333" i="14609"/>
  <c r="AI333" i="14609"/>
  <c r="AJ333" i="14609"/>
  <c r="AK333" i="14609"/>
  <c r="AL333" i="14609"/>
  <c r="AM333" i="14609"/>
  <c r="AN333" i="14609"/>
  <c r="AO333" i="14609"/>
  <c r="AP333" i="14609"/>
  <c r="AQ333" i="14609"/>
  <c r="AR333" i="14609"/>
  <c r="AS333" i="14609"/>
  <c r="AT333" i="14609"/>
  <c r="AU333" i="14609"/>
  <c r="AV333" i="14609"/>
  <c r="AW333" i="14609"/>
  <c r="AX333" i="14609"/>
  <c r="AY333" i="14609"/>
  <c r="AZ333" i="14609"/>
  <c r="BA333" i="14609"/>
  <c r="BB333" i="14609"/>
  <c r="BC333" i="14609"/>
  <c r="BD333" i="14609"/>
  <c r="BE333" i="14609"/>
  <c r="BF333" i="14609"/>
  <c r="BG333" i="14609"/>
  <c r="BH333" i="14609"/>
  <c r="BI333" i="14609"/>
  <c r="BJ333" i="14609"/>
  <c r="BK333" i="14609"/>
  <c r="BL333" i="14609"/>
  <c r="BM333" i="14609"/>
  <c r="BN333" i="14609"/>
  <c r="BO333" i="14609"/>
  <c r="BP333" i="14609"/>
  <c r="BQ333" i="14609"/>
  <c r="BR333" i="14609"/>
  <c r="BS333" i="14609"/>
  <c r="BT333" i="14609"/>
  <c r="BU333" i="14609"/>
  <c r="BV333" i="14609"/>
  <c r="BW333" i="14609"/>
  <c r="BX333" i="14609"/>
  <c r="BY333" i="14609"/>
  <c r="BZ333" i="14609"/>
  <c r="CA333" i="14609"/>
  <c r="CB333" i="14609"/>
  <c r="CC333" i="14609"/>
  <c r="CD333" i="14609"/>
  <c r="CE333" i="14609"/>
  <c r="CF333" i="14609"/>
  <c r="CG333" i="14609"/>
  <c r="CH333" i="14609"/>
  <c r="CI333" i="14609"/>
  <c r="CJ333" i="14609"/>
  <c r="CK333" i="14609"/>
  <c r="CL333" i="14609"/>
  <c r="CM333" i="14609"/>
  <c r="CN333" i="14609"/>
  <c r="CO333" i="14609"/>
  <c r="CP333" i="14609"/>
  <c r="CQ333" i="14609"/>
  <c r="CR333" i="14609"/>
  <c r="CS333" i="14609"/>
  <c r="CT333" i="14609"/>
  <c r="CU333" i="14609"/>
  <c r="CV333" i="14609"/>
  <c r="CW333" i="14609"/>
  <c r="CX333" i="14609"/>
  <c r="CY333" i="14609"/>
  <c r="CZ333" i="14609"/>
  <c r="DA333" i="14609"/>
  <c r="DB333" i="14609"/>
  <c r="DC333" i="14609"/>
  <c r="DD333" i="14609"/>
  <c r="DE333" i="14609"/>
  <c r="DF333" i="14609"/>
  <c r="DG333" i="14609"/>
  <c r="DH333" i="14609"/>
  <c r="DI333" i="14609"/>
  <c r="DJ333" i="14609"/>
  <c r="DK333" i="14609"/>
  <c r="DL333" i="14609"/>
  <c r="DM333" i="14609"/>
  <c r="DN333" i="14609"/>
  <c r="DO333" i="14609"/>
  <c r="DP333" i="14609"/>
  <c r="DQ333" i="14609"/>
  <c r="DR333" i="14609"/>
  <c r="DS333" i="14609"/>
  <c r="DT333" i="14609"/>
  <c r="DU333" i="14609"/>
  <c r="DV333" i="14609"/>
  <c r="DW333" i="14609"/>
  <c r="DX333" i="14609"/>
  <c r="DY333" i="14609"/>
  <c r="DZ333" i="14609"/>
  <c r="EA333" i="14609"/>
  <c r="EB333" i="14609"/>
  <c r="EC333" i="14609"/>
  <c r="ED333" i="14609"/>
  <c r="EE333" i="14609"/>
  <c r="EF333" i="14609"/>
  <c r="EG333" i="14609"/>
  <c r="EH333" i="14609"/>
  <c r="EI333" i="14609"/>
  <c r="EJ333" i="14609"/>
  <c r="EK333" i="14609"/>
  <c r="EL333" i="14609"/>
  <c r="EM333" i="14609"/>
  <c r="EN333" i="14609"/>
  <c r="EO333" i="14609"/>
  <c r="EP333" i="14609"/>
  <c r="EQ333" i="14609"/>
  <c r="ER333" i="14609"/>
  <c r="ES333" i="14609"/>
  <c r="ET333" i="14609"/>
  <c r="EU333" i="14609"/>
  <c r="EV333" i="14609"/>
  <c r="EW333" i="14609"/>
  <c r="EX333" i="14609"/>
  <c r="EY333" i="14609"/>
  <c r="EZ333" i="14609"/>
  <c r="FA333" i="14609"/>
  <c r="FB333" i="14609"/>
  <c r="FC333" i="14609"/>
  <c r="FD333" i="14609"/>
  <c r="FE333" i="14609"/>
  <c r="FF333" i="14609"/>
  <c r="FG333" i="14609"/>
  <c r="FH333" i="14609"/>
  <c r="FI333" i="14609"/>
  <c r="FJ333" i="14609"/>
  <c r="FK333" i="14609"/>
  <c r="FL333" i="14609"/>
  <c r="FM333" i="14609"/>
  <c r="FN333" i="14609"/>
  <c r="FO333" i="14609"/>
  <c r="FP333" i="14609"/>
  <c r="FQ333" i="14609"/>
  <c r="FR333" i="14609"/>
  <c r="FS333" i="14609"/>
  <c r="FT333" i="14609"/>
  <c r="FU333" i="14609"/>
  <c r="FV333" i="14609"/>
  <c r="FW333" i="14609"/>
  <c r="FX333" i="14609"/>
  <c r="FY333" i="14609"/>
  <c r="FZ333" i="14609"/>
  <c r="GA333" i="14609"/>
  <c r="GB333" i="14609"/>
  <c r="GC333" i="14609"/>
  <c r="GD333" i="14609"/>
  <c r="GE333" i="14609"/>
  <c r="GF333" i="14609"/>
  <c r="GG333" i="14609"/>
  <c r="GH333" i="14609"/>
  <c r="GI333" i="14609"/>
  <c r="GJ333" i="14609"/>
  <c r="GK333" i="14609"/>
  <c r="GL333" i="14609"/>
  <c r="GM333" i="14609"/>
  <c r="GN333" i="14609"/>
  <c r="GO333" i="14609"/>
  <c r="GP333" i="14609"/>
  <c r="GQ333" i="14609"/>
  <c r="GR333" i="14609"/>
  <c r="GS333" i="14609"/>
  <c r="GT333" i="14609"/>
  <c r="GU333" i="14609"/>
  <c r="GV333" i="14609"/>
  <c r="GW333" i="14609"/>
  <c r="GX333" i="14609"/>
  <c r="GY333" i="14609"/>
  <c r="GZ333" i="14609"/>
  <c r="HA333" i="14609"/>
  <c r="HB333" i="14609"/>
  <c r="HC333" i="14609"/>
  <c r="HD333" i="14609"/>
  <c r="HE333" i="14609"/>
  <c r="HF333" i="14609"/>
  <c r="HG333" i="14609"/>
  <c r="HH333" i="14609"/>
  <c r="HI333" i="14609"/>
  <c r="HJ333" i="14609"/>
  <c r="HK333" i="14609"/>
  <c r="HL333" i="14609"/>
  <c r="HM333" i="14609"/>
  <c r="HN333" i="14609"/>
  <c r="HO333" i="14609"/>
  <c r="HP333" i="14609"/>
  <c r="HQ333" i="14609"/>
  <c r="HR333" i="14609"/>
  <c r="HS333" i="14609"/>
  <c r="HT333" i="14609"/>
  <c r="HU333" i="14609"/>
  <c r="HV333" i="14609"/>
  <c r="HW333" i="14609"/>
  <c r="HX333" i="14609"/>
  <c r="HY333" i="14609"/>
  <c r="HZ333" i="14609"/>
  <c r="IA333" i="14609"/>
  <c r="IB333" i="14609"/>
  <c r="IC333" i="14609"/>
  <c r="ID333" i="14609"/>
  <c r="IE333" i="14609"/>
  <c r="IF333" i="14609"/>
  <c r="IG333" i="14609"/>
  <c r="IH333" i="14609"/>
  <c r="II333" i="14609"/>
  <c r="IJ333" i="14609"/>
  <c r="IK333" i="14609"/>
  <c r="IL333" i="14609"/>
  <c r="IM333" i="14609"/>
  <c r="IN333" i="14609"/>
  <c r="IO333" i="14609"/>
  <c r="IP333" i="14609"/>
  <c r="IQ333" i="14609"/>
  <c r="IR333" i="14609"/>
  <c r="IS333" i="14609"/>
  <c r="IT333" i="14609"/>
  <c r="IU333" i="14609"/>
  <c r="IV333" i="14609"/>
  <c r="A332" i="14609"/>
  <c r="B332" i="14609"/>
  <c r="C332" i="14609"/>
  <c r="D332" i="14609"/>
  <c r="E332" i="14609"/>
  <c r="F332" i="14609"/>
  <c r="G332" i="14609"/>
  <c r="H332" i="14609"/>
  <c r="I332" i="14609"/>
  <c r="J332" i="14609"/>
  <c r="K332" i="14609"/>
  <c r="L332" i="14609"/>
  <c r="M332" i="14609"/>
  <c r="N332" i="14609"/>
  <c r="O332" i="14609"/>
  <c r="P332" i="14609"/>
  <c r="Q332" i="14609"/>
  <c r="R332" i="14609"/>
  <c r="S332" i="14609"/>
  <c r="T332" i="14609"/>
  <c r="U332" i="14609"/>
  <c r="V332" i="14609"/>
  <c r="W332" i="14609"/>
  <c r="X332" i="14609"/>
  <c r="Y332" i="14609"/>
  <c r="Z332" i="14609"/>
  <c r="AA332" i="14609"/>
  <c r="AB332" i="14609"/>
  <c r="AC332" i="14609"/>
  <c r="AD332" i="14609"/>
  <c r="AE332" i="14609"/>
  <c r="AF332" i="14609"/>
  <c r="AG332" i="14609"/>
  <c r="AH332" i="14609"/>
  <c r="AI332" i="14609"/>
  <c r="AJ332" i="14609"/>
  <c r="AK332" i="14609"/>
  <c r="AL332" i="14609"/>
  <c r="AM332" i="14609"/>
  <c r="AN332" i="14609"/>
  <c r="AO332" i="14609"/>
  <c r="AP332" i="14609"/>
  <c r="AQ332" i="14609"/>
  <c r="AR332" i="14609"/>
  <c r="AS332" i="14609"/>
  <c r="AT332" i="14609"/>
  <c r="AU332" i="14609"/>
  <c r="AV332" i="14609"/>
  <c r="AW332" i="14609"/>
  <c r="AX332" i="14609"/>
  <c r="AY332" i="14609"/>
  <c r="AZ332" i="14609"/>
  <c r="BA332" i="14609"/>
  <c r="BB332" i="14609"/>
  <c r="BC332" i="14609"/>
  <c r="BD332" i="14609"/>
  <c r="BE332" i="14609"/>
  <c r="BF332" i="14609"/>
  <c r="BG332" i="14609"/>
  <c r="BH332" i="14609"/>
  <c r="BI332" i="14609"/>
  <c r="BJ332" i="14609"/>
  <c r="BK332" i="14609"/>
  <c r="BL332" i="14609"/>
  <c r="BM332" i="14609"/>
  <c r="BN332" i="14609"/>
  <c r="BO332" i="14609"/>
  <c r="BP332" i="14609"/>
  <c r="BQ332" i="14609"/>
  <c r="BR332" i="14609"/>
  <c r="BS332" i="14609"/>
  <c r="BT332" i="14609"/>
  <c r="BU332" i="14609"/>
  <c r="BV332" i="14609"/>
  <c r="BW332" i="14609"/>
  <c r="BX332" i="14609"/>
  <c r="BY332" i="14609"/>
  <c r="BZ332" i="14609"/>
  <c r="CA332" i="14609"/>
  <c r="CB332" i="14609"/>
  <c r="CC332" i="14609"/>
  <c r="CD332" i="14609"/>
  <c r="CE332" i="14609"/>
  <c r="CF332" i="14609"/>
  <c r="CG332" i="14609"/>
  <c r="CH332" i="14609"/>
  <c r="CI332" i="14609"/>
  <c r="CJ332" i="14609"/>
  <c r="CK332" i="14609"/>
  <c r="CL332" i="14609"/>
  <c r="CM332" i="14609"/>
  <c r="CN332" i="14609"/>
  <c r="CO332" i="14609"/>
  <c r="CP332" i="14609"/>
  <c r="CQ332" i="14609"/>
  <c r="CR332" i="14609"/>
  <c r="CS332" i="14609"/>
  <c r="CT332" i="14609"/>
  <c r="CU332" i="14609"/>
  <c r="CV332" i="14609"/>
  <c r="CW332" i="14609"/>
  <c r="CX332" i="14609"/>
  <c r="CY332" i="14609"/>
  <c r="CZ332" i="14609"/>
  <c r="DA332" i="14609"/>
  <c r="DB332" i="14609"/>
  <c r="DC332" i="14609"/>
  <c r="DD332" i="14609"/>
  <c r="DE332" i="14609"/>
  <c r="DF332" i="14609"/>
  <c r="DG332" i="14609"/>
  <c r="DH332" i="14609"/>
  <c r="DI332" i="14609"/>
  <c r="DJ332" i="14609"/>
  <c r="DK332" i="14609"/>
  <c r="DL332" i="14609"/>
  <c r="DM332" i="14609"/>
  <c r="DN332" i="14609"/>
  <c r="DO332" i="14609"/>
  <c r="DP332" i="14609"/>
  <c r="DQ332" i="14609"/>
  <c r="DR332" i="14609"/>
  <c r="DS332" i="14609"/>
  <c r="DT332" i="14609"/>
  <c r="DU332" i="14609"/>
  <c r="DV332" i="14609"/>
  <c r="DW332" i="14609"/>
  <c r="DX332" i="14609"/>
  <c r="DY332" i="14609"/>
  <c r="DZ332" i="14609"/>
  <c r="EA332" i="14609"/>
  <c r="EB332" i="14609"/>
  <c r="EC332" i="14609"/>
  <c r="ED332" i="14609"/>
  <c r="EE332" i="14609"/>
  <c r="EF332" i="14609"/>
  <c r="EG332" i="14609"/>
  <c r="EH332" i="14609"/>
  <c r="EI332" i="14609"/>
  <c r="EJ332" i="14609"/>
  <c r="EK332" i="14609"/>
  <c r="EL332" i="14609"/>
  <c r="EM332" i="14609"/>
  <c r="EN332" i="14609"/>
  <c r="EO332" i="14609"/>
  <c r="EP332" i="14609"/>
  <c r="EQ332" i="14609"/>
  <c r="ER332" i="14609"/>
  <c r="ES332" i="14609"/>
  <c r="ET332" i="14609"/>
  <c r="EU332" i="14609"/>
  <c r="EV332" i="14609"/>
  <c r="EW332" i="14609"/>
  <c r="EX332" i="14609"/>
  <c r="EY332" i="14609"/>
  <c r="EZ332" i="14609"/>
  <c r="FA332" i="14609"/>
  <c r="FB332" i="14609"/>
  <c r="FC332" i="14609"/>
  <c r="FD332" i="14609"/>
  <c r="FE332" i="14609"/>
  <c r="FF332" i="14609"/>
  <c r="FG332" i="14609"/>
  <c r="FH332" i="14609"/>
  <c r="FI332" i="14609"/>
  <c r="FJ332" i="14609"/>
  <c r="FK332" i="14609"/>
  <c r="FL332" i="14609"/>
  <c r="FM332" i="14609"/>
  <c r="FN332" i="14609"/>
  <c r="FO332" i="14609"/>
  <c r="FP332" i="14609"/>
  <c r="FQ332" i="14609"/>
  <c r="FR332" i="14609"/>
  <c r="FS332" i="14609"/>
  <c r="FT332" i="14609"/>
  <c r="FU332" i="14609"/>
  <c r="FV332" i="14609"/>
  <c r="FW332" i="14609"/>
  <c r="FX332" i="14609"/>
  <c r="FY332" i="14609"/>
  <c r="FZ332" i="14609"/>
  <c r="GA332" i="14609"/>
  <c r="GB332" i="14609"/>
  <c r="GC332" i="14609"/>
  <c r="GD332" i="14609"/>
  <c r="GE332" i="14609"/>
  <c r="GF332" i="14609"/>
  <c r="GG332" i="14609"/>
  <c r="GH332" i="14609"/>
  <c r="GI332" i="14609"/>
  <c r="GJ332" i="14609"/>
  <c r="GK332" i="14609"/>
  <c r="GL332" i="14609"/>
  <c r="GM332" i="14609"/>
  <c r="GN332" i="14609"/>
  <c r="GO332" i="14609"/>
  <c r="GP332" i="14609"/>
  <c r="GQ332" i="14609"/>
  <c r="GR332" i="14609"/>
  <c r="GS332" i="14609"/>
  <c r="GT332" i="14609"/>
  <c r="GU332" i="14609"/>
  <c r="GV332" i="14609"/>
  <c r="GW332" i="14609"/>
  <c r="GX332" i="14609"/>
  <c r="GY332" i="14609"/>
  <c r="GZ332" i="14609"/>
  <c r="HA332" i="14609"/>
  <c r="HB332" i="14609"/>
  <c r="HC332" i="14609"/>
  <c r="HD332" i="14609"/>
  <c r="HE332" i="14609"/>
  <c r="HF332" i="14609"/>
  <c r="HG332" i="14609"/>
  <c r="HH332" i="14609"/>
  <c r="HI332" i="14609"/>
  <c r="HJ332" i="14609"/>
  <c r="HK332" i="14609"/>
  <c r="HL332" i="14609"/>
  <c r="HM332" i="14609"/>
  <c r="HN332" i="14609"/>
  <c r="HO332" i="14609"/>
  <c r="HP332" i="14609"/>
  <c r="HQ332" i="14609"/>
  <c r="HR332" i="14609"/>
  <c r="HS332" i="14609"/>
  <c r="HT332" i="14609"/>
  <c r="HU332" i="14609"/>
  <c r="HV332" i="14609"/>
  <c r="HW332" i="14609"/>
  <c r="HX332" i="14609"/>
  <c r="HY332" i="14609"/>
  <c r="HZ332" i="14609"/>
  <c r="IA332" i="14609"/>
  <c r="IB332" i="14609"/>
  <c r="IC332" i="14609"/>
  <c r="ID332" i="14609"/>
  <c r="IE332" i="14609"/>
  <c r="IF332" i="14609"/>
  <c r="IG332" i="14609"/>
  <c r="IH332" i="14609"/>
  <c r="II332" i="14609"/>
  <c r="IJ332" i="14609"/>
  <c r="IK332" i="14609"/>
  <c r="IL332" i="14609"/>
  <c r="IM332" i="14609"/>
  <c r="IN332" i="14609"/>
  <c r="IO332" i="14609"/>
  <c r="IP332" i="14609"/>
  <c r="IQ332" i="14609"/>
  <c r="IR332" i="14609"/>
  <c r="IS332" i="14609"/>
  <c r="IT332" i="14609"/>
  <c r="IU332" i="14609"/>
  <c r="IV332" i="14609"/>
  <c r="A331" i="14609"/>
  <c r="B331" i="14609"/>
  <c r="C331" i="14609"/>
  <c r="D331" i="14609"/>
  <c r="E331" i="14609"/>
  <c r="F331" i="14609"/>
  <c r="G331" i="14609"/>
  <c r="H331" i="14609"/>
  <c r="I331" i="14609"/>
  <c r="J331" i="14609"/>
  <c r="K331" i="14609"/>
  <c r="L331" i="14609"/>
  <c r="M331" i="14609"/>
  <c r="N331" i="14609"/>
  <c r="O331" i="14609"/>
  <c r="P331" i="14609"/>
  <c r="Q331" i="14609"/>
  <c r="R331" i="14609"/>
  <c r="S331" i="14609"/>
  <c r="T331" i="14609"/>
  <c r="U331" i="14609"/>
  <c r="V331" i="14609"/>
  <c r="W331" i="14609"/>
  <c r="X331" i="14609"/>
  <c r="Y331" i="14609"/>
  <c r="Z331" i="14609"/>
  <c r="AA331" i="14609"/>
  <c r="AB331" i="14609"/>
  <c r="AC331" i="14609"/>
  <c r="AD331" i="14609"/>
  <c r="AE331" i="14609"/>
  <c r="AF331" i="14609"/>
  <c r="AG331" i="14609"/>
  <c r="AH331" i="14609"/>
  <c r="AI331" i="14609"/>
  <c r="AJ331" i="14609"/>
  <c r="AK331" i="14609"/>
  <c r="AL331" i="14609"/>
  <c r="AM331" i="14609"/>
  <c r="AN331" i="14609"/>
  <c r="AO331" i="14609"/>
  <c r="AP331" i="14609"/>
  <c r="AQ331" i="14609"/>
  <c r="AR331" i="14609"/>
  <c r="AS331" i="14609"/>
  <c r="AT331" i="14609"/>
  <c r="AU331" i="14609"/>
  <c r="AV331" i="14609"/>
  <c r="AW331" i="14609"/>
  <c r="AX331" i="14609"/>
  <c r="AY331" i="14609"/>
  <c r="AZ331" i="14609"/>
  <c r="BA331" i="14609"/>
  <c r="BB331" i="14609"/>
  <c r="BC331" i="14609"/>
  <c r="BD331" i="14609"/>
  <c r="BE331" i="14609"/>
  <c r="BF331" i="14609"/>
  <c r="BG331" i="14609"/>
  <c r="BH331" i="14609"/>
  <c r="BI331" i="14609"/>
  <c r="BJ331" i="14609"/>
  <c r="BK331" i="14609"/>
  <c r="BL331" i="14609"/>
  <c r="BM331" i="14609"/>
  <c r="BN331" i="14609"/>
  <c r="BO331" i="14609"/>
  <c r="BP331" i="14609"/>
  <c r="BQ331" i="14609"/>
  <c r="BR331" i="14609"/>
  <c r="BS331" i="14609"/>
  <c r="BT331" i="14609"/>
  <c r="BU331" i="14609"/>
  <c r="BV331" i="14609"/>
  <c r="BW331" i="14609"/>
  <c r="BX331" i="14609"/>
  <c r="BY331" i="14609"/>
  <c r="BZ331" i="14609"/>
  <c r="CA331" i="14609"/>
  <c r="CB331" i="14609"/>
  <c r="CC331" i="14609"/>
  <c r="CD331" i="14609"/>
  <c r="CE331" i="14609"/>
  <c r="CF331" i="14609"/>
  <c r="CG331" i="14609"/>
  <c r="CH331" i="14609"/>
  <c r="CI331" i="14609"/>
  <c r="CJ331" i="14609"/>
  <c r="CK331" i="14609"/>
  <c r="CL331" i="14609"/>
  <c r="CM331" i="14609"/>
  <c r="CN331" i="14609"/>
  <c r="CO331" i="14609"/>
  <c r="CP331" i="14609"/>
  <c r="CQ331" i="14609"/>
  <c r="CR331" i="14609"/>
  <c r="CS331" i="14609"/>
  <c r="CT331" i="14609"/>
  <c r="CU331" i="14609"/>
  <c r="CV331" i="14609"/>
  <c r="CW331" i="14609"/>
  <c r="CX331" i="14609"/>
  <c r="CY331" i="14609"/>
  <c r="CZ331" i="14609"/>
  <c r="DA331" i="14609"/>
  <c r="DB331" i="14609"/>
  <c r="DC331" i="14609"/>
  <c r="DD331" i="14609"/>
  <c r="DE331" i="14609"/>
  <c r="DF331" i="14609"/>
  <c r="DG331" i="14609"/>
  <c r="DH331" i="14609"/>
  <c r="DI331" i="14609"/>
  <c r="DJ331" i="14609"/>
  <c r="DK331" i="14609"/>
  <c r="DL331" i="14609"/>
  <c r="DM331" i="14609"/>
  <c r="DN331" i="14609"/>
  <c r="DO331" i="14609"/>
  <c r="DP331" i="14609"/>
  <c r="DQ331" i="14609"/>
  <c r="DR331" i="14609"/>
  <c r="DS331" i="14609"/>
  <c r="DT331" i="14609"/>
  <c r="DU331" i="14609"/>
  <c r="DV331" i="14609"/>
  <c r="DW331" i="14609"/>
  <c r="DX331" i="14609"/>
  <c r="DY331" i="14609"/>
  <c r="DZ331" i="14609"/>
  <c r="EA331" i="14609"/>
  <c r="EB331" i="14609"/>
  <c r="EC331" i="14609"/>
  <c r="ED331" i="14609"/>
  <c r="EE331" i="14609"/>
  <c r="EF331" i="14609"/>
  <c r="EG331" i="14609"/>
  <c r="EH331" i="14609"/>
  <c r="EI331" i="14609"/>
  <c r="EJ331" i="14609"/>
  <c r="EK331" i="14609"/>
  <c r="EL331" i="14609"/>
  <c r="EM331" i="14609"/>
  <c r="EN331" i="14609"/>
  <c r="EO331" i="14609"/>
  <c r="EP331" i="14609"/>
  <c r="EQ331" i="14609"/>
  <c r="ER331" i="14609"/>
  <c r="ES331" i="14609"/>
  <c r="ET331" i="14609"/>
  <c r="EU331" i="14609"/>
  <c r="EV331" i="14609"/>
  <c r="EW331" i="14609"/>
  <c r="EX331" i="14609"/>
  <c r="EY331" i="14609"/>
  <c r="EZ331" i="14609"/>
  <c r="FA331" i="14609"/>
  <c r="FB331" i="14609"/>
  <c r="FC331" i="14609"/>
  <c r="FD331" i="14609"/>
  <c r="FE331" i="14609"/>
  <c r="FF331" i="14609"/>
  <c r="FG331" i="14609"/>
  <c r="FH331" i="14609"/>
  <c r="FI331" i="14609"/>
  <c r="FJ331" i="14609"/>
  <c r="FK331" i="14609"/>
  <c r="FL331" i="14609"/>
  <c r="FM331" i="14609"/>
  <c r="FN331" i="14609"/>
  <c r="FO331" i="14609"/>
  <c r="FP331" i="14609"/>
  <c r="FQ331" i="14609"/>
  <c r="FR331" i="14609"/>
  <c r="FS331" i="14609"/>
  <c r="FT331" i="14609"/>
  <c r="FU331" i="14609"/>
  <c r="FV331" i="14609"/>
  <c r="FW331" i="14609"/>
  <c r="FX331" i="14609"/>
  <c r="FY331" i="14609"/>
  <c r="FZ331" i="14609"/>
  <c r="GA331" i="14609"/>
  <c r="GB331" i="14609"/>
  <c r="GC331" i="14609"/>
  <c r="GD331" i="14609"/>
  <c r="GE331" i="14609"/>
  <c r="GF331" i="14609"/>
  <c r="GG331" i="14609"/>
  <c r="GH331" i="14609"/>
  <c r="GI331" i="14609"/>
  <c r="GJ331" i="14609"/>
  <c r="GK331" i="14609"/>
  <c r="GL331" i="14609"/>
  <c r="GM331" i="14609"/>
  <c r="GN331" i="14609"/>
  <c r="GO331" i="14609"/>
  <c r="GP331" i="14609"/>
  <c r="GQ331" i="14609"/>
  <c r="GR331" i="14609"/>
  <c r="GS331" i="14609"/>
  <c r="GT331" i="14609"/>
  <c r="GU331" i="14609"/>
  <c r="GV331" i="14609"/>
  <c r="GW331" i="14609"/>
  <c r="GX331" i="14609"/>
  <c r="GY331" i="14609"/>
  <c r="GZ331" i="14609"/>
  <c r="HA331" i="14609"/>
  <c r="HB331" i="14609"/>
  <c r="HC331" i="14609"/>
  <c r="HD331" i="14609"/>
  <c r="HE331" i="14609"/>
  <c r="HF331" i="14609"/>
  <c r="HG331" i="14609"/>
  <c r="HH331" i="14609"/>
  <c r="HI331" i="14609"/>
  <c r="HJ331" i="14609"/>
  <c r="HK331" i="14609"/>
  <c r="HL331" i="14609"/>
  <c r="HM331" i="14609"/>
  <c r="HN331" i="14609"/>
  <c r="HO331" i="14609"/>
  <c r="HP331" i="14609"/>
  <c r="HQ331" i="14609"/>
  <c r="HR331" i="14609"/>
  <c r="HS331" i="14609"/>
  <c r="HT331" i="14609"/>
  <c r="HU331" i="14609"/>
  <c r="HV331" i="14609"/>
  <c r="HW331" i="14609"/>
  <c r="HX331" i="14609"/>
  <c r="HY331" i="14609"/>
  <c r="HZ331" i="14609"/>
  <c r="IA331" i="14609"/>
  <c r="IB331" i="14609"/>
  <c r="IC331" i="14609"/>
  <c r="ID331" i="14609"/>
  <c r="IE331" i="14609"/>
  <c r="IF331" i="14609"/>
  <c r="IG331" i="14609"/>
  <c r="IH331" i="14609"/>
  <c r="II331" i="14609"/>
  <c r="IJ331" i="14609"/>
  <c r="IK331" i="14609"/>
  <c r="IL331" i="14609"/>
  <c r="IM331" i="14609"/>
  <c r="IN331" i="14609"/>
  <c r="IO331" i="14609"/>
  <c r="IP331" i="14609"/>
  <c r="IQ331" i="14609"/>
  <c r="IR331" i="14609"/>
  <c r="IS331" i="14609"/>
  <c r="IT331" i="14609"/>
  <c r="IU331" i="14609"/>
  <c r="IV331" i="14609"/>
  <c r="A330" i="14609"/>
  <c r="B330" i="14609"/>
  <c r="C330" i="14609"/>
  <c r="D330" i="14609"/>
  <c r="E330" i="14609"/>
  <c r="F330" i="14609"/>
  <c r="G330" i="14609"/>
  <c r="H330" i="14609"/>
  <c r="I330" i="14609"/>
  <c r="J330" i="14609"/>
  <c r="K330" i="14609"/>
  <c r="L330" i="14609"/>
  <c r="M330" i="14609"/>
  <c r="N330" i="14609"/>
  <c r="O330" i="14609"/>
  <c r="P330" i="14609"/>
  <c r="Q330" i="14609"/>
  <c r="R330" i="14609"/>
  <c r="S330" i="14609"/>
  <c r="T330" i="14609"/>
  <c r="U330" i="14609"/>
  <c r="V330" i="14609"/>
  <c r="W330" i="14609"/>
  <c r="X330" i="14609"/>
  <c r="Y330" i="14609"/>
  <c r="Z330" i="14609"/>
  <c r="AA330" i="14609"/>
  <c r="AB330" i="14609"/>
  <c r="AC330" i="14609"/>
  <c r="AD330" i="14609"/>
  <c r="AE330" i="14609"/>
  <c r="AF330" i="14609"/>
  <c r="AG330" i="14609"/>
  <c r="AH330" i="14609"/>
  <c r="AI330" i="14609"/>
  <c r="AJ330" i="14609"/>
  <c r="AK330" i="14609"/>
  <c r="AL330" i="14609"/>
  <c r="AM330" i="14609"/>
  <c r="AN330" i="14609"/>
  <c r="AO330" i="14609"/>
  <c r="AP330" i="14609"/>
  <c r="AQ330" i="14609"/>
  <c r="AR330" i="14609"/>
  <c r="AS330" i="14609"/>
  <c r="AT330" i="14609"/>
  <c r="AU330" i="14609"/>
  <c r="AV330" i="14609"/>
  <c r="AW330" i="14609"/>
  <c r="AX330" i="14609"/>
  <c r="AY330" i="14609"/>
  <c r="AZ330" i="14609"/>
  <c r="BA330" i="14609"/>
  <c r="BB330" i="14609"/>
  <c r="BC330" i="14609"/>
  <c r="BD330" i="14609"/>
  <c r="BE330" i="14609"/>
  <c r="BF330" i="14609"/>
  <c r="BG330" i="14609"/>
  <c r="BH330" i="14609"/>
  <c r="BI330" i="14609"/>
  <c r="BJ330" i="14609"/>
  <c r="BK330" i="14609"/>
  <c r="BL330" i="14609"/>
  <c r="BM330" i="14609"/>
  <c r="BN330" i="14609"/>
  <c r="BO330" i="14609"/>
  <c r="BP330" i="14609"/>
  <c r="BQ330" i="14609"/>
  <c r="BR330" i="14609"/>
  <c r="BS330" i="14609"/>
  <c r="BT330" i="14609"/>
  <c r="BU330" i="14609"/>
  <c r="BV330" i="14609"/>
  <c r="BW330" i="14609"/>
  <c r="BX330" i="14609"/>
  <c r="BY330" i="14609"/>
  <c r="BZ330" i="14609"/>
  <c r="CA330" i="14609"/>
  <c r="CB330" i="14609"/>
  <c r="CC330" i="14609"/>
  <c r="CD330" i="14609"/>
  <c r="CE330" i="14609"/>
  <c r="CF330" i="14609"/>
  <c r="CG330" i="14609"/>
  <c r="CH330" i="14609"/>
  <c r="CI330" i="14609"/>
  <c r="CJ330" i="14609"/>
  <c r="CK330" i="14609"/>
  <c r="CL330" i="14609"/>
  <c r="CM330" i="14609"/>
  <c r="CN330" i="14609"/>
  <c r="CO330" i="14609"/>
  <c r="CP330" i="14609"/>
  <c r="CQ330" i="14609"/>
  <c r="CR330" i="14609"/>
  <c r="CS330" i="14609"/>
  <c r="CT330" i="14609"/>
  <c r="CU330" i="14609"/>
  <c r="CV330" i="14609"/>
  <c r="CW330" i="14609"/>
  <c r="CX330" i="14609"/>
  <c r="CY330" i="14609"/>
  <c r="CZ330" i="14609"/>
  <c r="DA330" i="14609"/>
  <c r="DB330" i="14609"/>
  <c r="DC330" i="14609"/>
  <c r="DD330" i="14609"/>
  <c r="DE330" i="14609"/>
  <c r="DF330" i="14609"/>
  <c r="DG330" i="14609"/>
  <c r="DH330" i="14609"/>
  <c r="DI330" i="14609"/>
  <c r="DJ330" i="14609"/>
  <c r="DK330" i="14609"/>
  <c r="DL330" i="14609"/>
  <c r="DM330" i="14609"/>
  <c r="DN330" i="14609"/>
  <c r="DO330" i="14609"/>
  <c r="DP330" i="14609"/>
  <c r="DQ330" i="14609"/>
  <c r="DR330" i="14609"/>
  <c r="DS330" i="14609"/>
  <c r="DT330" i="14609"/>
  <c r="DU330" i="14609"/>
  <c r="DV330" i="14609"/>
  <c r="DW330" i="14609"/>
  <c r="DX330" i="14609"/>
  <c r="DY330" i="14609"/>
  <c r="DZ330" i="14609"/>
  <c r="EA330" i="14609"/>
  <c r="EB330" i="14609"/>
  <c r="EC330" i="14609"/>
  <c r="ED330" i="14609"/>
  <c r="EE330" i="14609"/>
  <c r="EF330" i="14609"/>
  <c r="EG330" i="14609"/>
  <c r="EH330" i="14609"/>
  <c r="EI330" i="14609"/>
  <c r="EJ330" i="14609"/>
  <c r="EK330" i="14609"/>
  <c r="EL330" i="14609"/>
  <c r="EM330" i="14609"/>
  <c r="EN330" i="14609"/>
  <c r="EO330" i="14609"/>
  <c r="EP330" i="14609"/>
  <c r="EQ330" i="14609"/>
  <c r="ER330" i="14609"/>
  <c r="ES330" i="14609"/>
  <c r="ET330" i="14609"/>
  <c r="EU330" i="14609"/>
  <c r="EV330" i="14609"/>
  <c r="EW330" i="14609"/>
  <c r="EX330" i="14609"/>
  <c r="EY330" i="14609"/>
  <c r="EZ330" i="14609"/>
  <c r="FA330" i="14609"/>
  <c r="FB330" i="14609"/>
  <c r="FC330" i="14609"/>
  <c r="FD330" i="14609"/>
  <c r="FE330" i="14609"/>
  <c r="FF330" i="14609"/>
  <c r="FG330" i="14609"/>
  <c r="FH330" i="14609"/>
  <c r="FI330" i="14609"/>
  <c r="FJ330" i="14609"/>
  <c r="FK330" i="14609"/>
  <c r="FL330" i="14609"/>
  <c r="FM330" i="14609"/>
  <c r="FN330" i="14609"/>
  <c r="FO330" i="14609"/>
  <c r="FP330" i="14609"/>
  <c r="FQ330" i="14609"/>
  <c r="FR330" i="14609"/>
  <c r="FS330" i="14609"/>
  <c r="FT330" i="14609"/>
  <c r="FU330" i="14609"/>
  <c r="FV330" i="14609"/>
  <c r="FW330" i="14609"/>
  <c r="FX330" i="14609"/>
  <c r="FY330" i="14609"/>
  <c r="FZ330" i="14609"/>
  <c r="GA330" i="14609"/>
  <c r="GB330" i="14609"/>
  <c r="GC330" i="14609"/>
  <c r="GD330" i="14609"/>
  <c r="GE330" i="14609"/>
  <c r="GF330" i="14609"/>
  <c r="GG330" i="14609"/>
  <c r="GH330" i="14609"/>
  <c r="GI330" i="14609"/>
  <c r="GJ330" i="14609"/>
  <c r="GK330" i="14609"/>
  <c r="GL330" i="14609"/>
  <c r="GM330" i="14609"/>
  <c r="GN330" i="14609"/>
  <c r="GO330" i="14609"/>
  <c r="GP330" i="14609"/>
  <c r="GQ330" i="14609"/>
  <c r="GR330" i="14609"/>
  <c r="GS330" i="14609"/>
  <c r="GT330" i="14609"/>
  <c r="GU330" i="14609"/>
  <c r="GV330" i="14609"/>
  <c r="GW330" i="14609"/>
  <c r="GX330" i="14609"/>
  <c r="GY330" i="14609"/>
  <c r="GZ330" i="14609"/>
  <c r="HA330" i="14609"/>
  <c r="HB330" i="14609"/>
  <c r="HC330" i="14609"/>
  <c r="HD330" i="14609"/>
  <c r="HE330" i="14609"/>
  <c r="HF330" i="14609"/>
  <c r="HG330" i="14609"/>
  <c r="HH330" i="14609"/>
  <c r="HI330" i="14609"/>
  <c r="HJ330" i="14609"/>
  <c r="HK330" i="14609"/>
  <c r="HL330" i="14609"/>
  <c r="HM330" i="14609"/>
  <c r="HN330" i="14609"/>
  <c r="HO330" i="14609"/>
  <c r="HP330" i="14609"/>
  <c r="HQ330" i="14609"/>
  <c r="HR330" i="14609"/>
  <c r="HS330" i="14609"/>
  <c r="HT330" i="14609"/>
  <c r="HU330" i="14609"/>
  <c r="HV330" i="14609"/>
  <c r="HW330" i="14609"/>
  <c r="HX330" i="14609"/>
  <c r="HY330" i="14609"/>
  <c r="HZ330" i="14609"/>
  <c r="IA330" i="14609"/>
  <c r="IB330" i="14609"/>
  <c r="IC330" i="14609"/>
  <c r="ID330" i="14609"/>
  <c r="IE330" i="14609"/>
  <c r="IF330" i="14609"/>
  <c r="IG330" i="14609"/>
  <c r="IH330" i="14609"/>
  <c r="II330" i="14609"/>
  <c r="IJ330" i="14609"/>
  <c r="IK330" i="14609"/>
  <c r="IL330" i="14609"/>
  <c r="IM330" i="14609"/>
  <c r="IN330" i="14609"/>
  <c r="IO330" i="14609"/>
  <c r="IP330" i="14609"/>
  <c r="IQ330" i="14609"/>
  <c r="IR330" i="14609"/>
  <c r="IS330" i="14609"/>
  <c r="IT330" i="14609"/>
  <c r="IU330" i="14609"/>
  <c r="IV330" i="14609"/>
  <c r="A329" i="14609"/>
  <c r="B329" i="14609"/>
  <c r="C329" i="14609"/>
  <c r="D329" i="14609"/>
  <c r="E329" i="14609"/>
  <c r="F329" i="14609"/>
  <c r="G329" i="14609"/>
  <c r="H329" i="14609"/>
  <c r="I329" i="14609"/>
  <c r="J329" i="14609"/>
  <c r="K329" i="14609"/>
  <c r="L329" i="14609"/>
  <c r="M329" i="14609"/>
  <c r="N329" i="14609"/>
  <c r="O329" i="14609"/>
  <c r="P329" i="14609"/>
  <c r="Q329" i="14609"/>
  <c r="R329" i="14609"/>
  <c r="S329" i="14609"/>
  <c r="T329" i="14609"/>
  <c r="U329" i="14609"/>
  <c r="V329" i="14609"/>
  <c r="W329" i="14609"/>
  <c r="X329" i="14609"/>
  <c r="Y329" i="14609"/>
  <c r="Z329" i="14609"/>
  <c r="AA329" i="14609"/>
  <c r="AB329" i="14609"/>
  <c r="AC329" i="14609"/>
  <c r="AD329" i="14609"/>
  <c r="AE329" i="14609"/>
  <c r="AF329" i="14609"/>
  <c r="AG329" i="14609"/>
  <c r="AH329" i="14609"/>
  <c r="AI329" i="14609"/>
  <c r="AJ329" i="14609"/>
  <c r="AK329" i="14609"/>
  <c r="AL329" i="14609"/>
  <c r="AM329" i="14609"/>
  <c r="AN329" i="14609"/>
  <c r="AO329" i="14609"/>
  <c r="AP329" i="14609"/>
  <c r="AQ329" i="14609"/>
  <c r="AR329" i="14609"/>
  <c r="AS329" i="14609"/>
  <c r="AT329" i="14609"/>
  <c r="AU329" i="14609"/>
  <c r="AV329" i="14609"/>
  <c r="AW329" i="14609"/>
  <c r="AX329" i="14609"/>
  <c r="AY329" i="14609"/>
  <c r="AZ329" i="14609"/>
  <c r="BA329" i="14609"/>
  <c r="BB329" i="14609"/>
  <c r="BC329" i="14609"/>
  <c r="BD329" i="14609"/>
  <c r="BE329" i="14609"/>
  <c r="BF329" i="14609"/>
  <c r="BG329" i="14609"/>
  <c r="BH329" i="14609"/>
  <c r="BI329" i="14609"/>
  <c r="BJ329" i="14609"/>
  <c r="BK329" i="14609"/>
  <c r="BL329" i="14609"/>
  <c r="BM329" i="14609"/>
  <c r="BN329" i="14609"/>
  <c r="BO329" i="14609"/>
  <c r="BP329" i="14609"/>
  <c r="BQ329" i="14609"/>
  <c r="BR329" i="14609"/>
  <c r="BS329" i="14609"/>
  <c r="BT329" i="14609"/>
  <c r="BU329" i="14609"/>
  <c r="BV329" i="14609"/>
  <c r="BW329" i="14609"/>
  <c r="BX329" i="14609"/>
  <c r="BY329" i="14609"/>
  <c r="BZ329" i="14609"/>
  <c r="CA329" i="14609"/>
  <c r="CB329" i="14609"/>
  <c r="CC329" i="14609"/>
  <c r="CD329" i="14609"/>
  <c r="CE329" i="14609"/>
  <c r="CF329" i="14609"/>
  <c r="CG329" i="14609"/>
  <c r="CH329" i="14609"/>
  <c r="CI329" i="14609"/>
  <c r="CJ329" i="14609"/>
  <c r="CK329" i="14609"/>
  <c r="CL329" i="14609"/>
  <c r="CM329" i="14609"/>
  <c r="CN329" i="14609"/>
  <c r="CO329" i="14609"/>
  <c r="CP329" i="14609"/>
  <c r="CQ329" i="14609"/>
  <c r="CR329" i="14609"/>
  <c r="CS329" i="14609"/>
  <c r="CT329" i="14609"/>
  <c r="CU329" i="14609"/>
  <c r="CV329" i="14609"/>
  <c r="CW329" i="14609"/>
  <c r="CX329" i="14609"/>
  <c r="CY329" i="14609"/>
  <c r="CZ329" i="14609"/>
  <c r="DA329" i="14609"/>
  <c r="DB329" i="14609"/>
  <c r="DC329" i="14609"/>
  <c r="DD329" i="14609"/>
  <c r="DE329" i="14609"/>
  <c r="DF329" i="14609"/>
  <c r="DG329" i="14609"/>
  <c r="DH329" i="14609"/>
  <c r="DI329" i="14609"/>
  <c r="DJ329" i="14609"/>
  <c r="DK329" i="14609"/>
  <c r="DL329" i="14609"/>
  <c r="DM329" i="14609"/>
  <c r="DN329" i="14609"/>
  <c r="DO329" i="14609"/>
  <c r="DP329" i="14609"/>
  <c r="DQ329" i="14609"/>
  <c r="DR329" i="14609"/>
  <c r="DS329" i="14609"/>
  <c r="DT329" i="14609"/>
  <c r="DU329" i="14609"/>
  <c r="DV329" i="14609"/>
  <c r="DW329" i="14609"/>
  <c r="DX329" i="14609"/>
  <c r="DY329" i="14609"/>
  <c r="DZ329" i="14609"/>
  <c r="EA329" i="14609"/>
  <c r="EB329" i="14609"/>
  <c r="EC329" i="14609"/>
  <c r="ED329" i="14609"/>
  <c r="EE329" i="14609"/>
  <c r="EF329" i="14609"/>
  <c r="EG329" i="14609"/>
  <c r="EH329" i="14609"/>
  <c r="EI329" i="14609"/>
  <c r="EJ329" i="14609"/>
  <c r="EK329" i="14609"/>
  <c r="EL329" i="14609"/>
  <c r="EM329" i="14609"/>
  <c r="EN329" i="14609"/>
  <c r="EO329" i="14609"/>
  <c r="EP329" i="14609"/>
  <c r="EQ329" i="14609"/>
  <c r="ER329" i="14609"/>
  <c r="ES329" i="14609"/>
  <c r="ET329" i="14609"/>
  <c r="EU329" i="14609"/>
  <c r="EV329" i="14609"/>
  <c r="EW329" i="14609"/>
  <c r="EX329" i="14609"/>
  <c r="EY329" i="14609"/>
  <c r="EZ329" i="14609"/>
  <c r="FA329" i="14609"/>
  <c r="FB329" i="14609"/>
  <c r="FC329" i="14609"/>
  <c r="FD329" i="14609"/>
  <c r="FE329" i="14609"/>
  <c r="FF329" i="14609"/>
  <c r="FG329" i="14609"/>
  <c r="FH329" i="14609"/>
  <c r="FI329" i="14609"/>
  <c r="FJ329" i="14609"/>
  <c r="FK329" i="14609"/>
  <c r="FL329" i="14609"/>
  <c r="FM329" i="14609"/>
  <c r="FN329" i="14609"/>
  <c r="FO329" i="14609"/>
  <c r="FP329" i="14609"/>
  <c r="FQ329" i="14609"/>
  <c r="FR329" i="14609"/>
  <c r="FS329" i="14609"/>
  <c r="FT329" i="14609"/>
  <c r="FU329" i="14609"/>
  <c r="FV329" i="14609"/>
  <c r="FW329" i="14609"/>
  <c r="FX329" i="14609"/>
  <c r="FY329" i="14609"/>
  <c r="FZ329" i="14609"/>
  <c r="GA329" i="14609"/>
  <c r="GB329" i="14609"/>
  <c r="GC329" i="14609"/>
  <c r="GD329" i="14609"/>
  <c r="GE329" i="14609"/>
  <c r="GF329" i="14609"/>
  <c r="GG329" i="14609"/>
  <c r="GH329" i="14609"/>
  <c r="GI329" i="14609"/>
  <c r="GJ329" i="14609"/>
  <c r="GK329" i="14609"/>
  <c r="GL329" i="14609"/>
  <c r="GM329" i="14609"/>
  <c r="GN329" i="14609"/>
  <c r="GO329" i="14609"/>
  <c r="GP329" i="14609"/>
  <c r="GQ329" i="14609"/>
  <c r="GR329" i="14609"/>
  <c r="GS329" i="14609"/>
  <c r="GT329" i="14609"/>
  <c r="GU329" i="14609"/>
  <c r="GV329" i="14609"/>
  <c r="GW329" i="14609"/>
  <c r="GX329" i="14609"/>
  <c r="GY329" i="14609"/>
  <c r="GZ329" i="14609"/>
  <c r="HA329" i="14609"/>
  <c r="HB329" i="14609"/>
  <c r="HC329" i="14609"/>
  <c r="HD329" i="14609"/>
  <c r="HE329" i="14609"/>
  <c r="HF329" i="14609"/>
  <c r="HG329" i="14609"/>
  <c r="HH329" i="14609"/>
  <c r="HI329" i="14609"/>
  <c r="HJ329" i="14609"/>
  <c r="HK329" i="14609"/>
  <c r="HL329" i="14609"/>
  <c r="HM329" i="14609"/>
  <c r="HN329" i="14609"/>
  <c r="HO329" i="14609"/>
  <c r="HP329" i="14609"/>
  <c r="HQ329" i="14609"/>
  <c r="HR329" i="14609"/>
  <c r="HS329" i="14609"/>
  <c r="HT329" i="14609"/>
  <c r="HU329" i="14609"/>
  <c r="HV329" i="14609"/>
  <c r="HW329" i="14609"/>
  <c r="HX329" i="14609"/>
  <c r="HY329" i="14609"/>
  <c r="HZ329" i="14609"/>
  <c r="IA329" i="14609"/>
  <c r="IB329" i="14609"/>
  <c r="IC329" i="14609"/>
  <c r="ID329" i="14609"/>
  <c r="IE329" i="14609"/>
  <c r="IF329" i="14609"/>
  <c r="IG329" i="14609"/>
  <c r="IH329" i="14609"/>
  <c r="II329" i="14609"/>
  <c r="IJ329" i="14609"/>
  <c r="IK329" i="14609"/>
  <c r="IL329" i="14609"/>
  <c r="IM329" i="14609"/>
  <c r="IN329" i="14609"/>
  <c r="IO329" i="14609"/>
  <c r="IP329" i="14609"/>
  <c r="IQ329" i="14609"/>
  <c r="IR329" i="14609"/>
  <c r="IS329" i="14609"/>
  <c r="IT329" i="14609"/>
  <c r="IU329" i="14609"/>
  <c r="IV329" i="14609"/>
  <c r="A328" i="14609"/>
  <c r="B328" i="14609"/>
  <c r="C328" i="14609"/>
  <c r="D328" i="14609"/>
  <c r="E328" i="14609"/>
  <c r="F328" i="14609"/>
  <c r="G328" i="14609"/>
  <c r="H328" i="14609"/>
  <c r="I328" i="14609"/>
  <c r="J328" i="14609"/>
  <c r="K328" i="14609"/>
  <c r="L328" i="14609"/>
  <c r="M328" i="14609"/>
  <c r="N328" i="14609"/>
  <c r="O328" i="14609"/>
  <c r="P328" i="14609"/>
  <c r="Q328" i="14609"/>
  <c r="R328" i="14609"/>
  <c r="S328" i="14609"/>
  <c r="T328" i="14609"/>
  <c r="U328" i="14609"/>
  <c r="V328" i="14609"/>
  <c r="W328" i="14609"/>
  <c r="X328" i="14609"/>
  <c r="Y328" i="14609"/>
  <c r="Z328" i="14609"/>
  <c r="AA328" i="14609"/>
  <c r="AB328" i="14609"/>
  <c r="AC328" i="14609"/>
  <c r="AD328" i="14609"/>
  <c r="AE328" i="14609"/>
  <c r="AF328" i="14609"/>
  <c r="AG328" i="14609"/>
  <c r="AH328" i="14609"/>
  <c r="AI328" i="14609"/>
  <c r="AJ328" i="14609"/>
  <c r="AK328" i="14609"/>
  <c r="AL328" i="14609"/>
  <c r="AM328" i="14609"/>
  <c r="AN328" i="14609"/>
  <c r="AO328" i="14609"/>
  <c r="AP328" i="14609"/>
  <c r="AQ328" i="14609"/>
  <c r="AR328" i="14609"/>
  <c r="AS328" i="14609"/>
  <c r="AT328" i="14609"/>
  <c r="AU328" i="14609"/>
  <c r="AV328" i="14609"/>
  <c r="AW328" i="14609"/>
  <c r="AX328" i="14609"/>
  <c r="AY328" i="14609"/>
  <c r="AZ328" i="14609"/>
  <c r="BA328" i="14609"/>
  <c r="BB328" i="14609"/>
  <c r="BC328" i="14609"/>
  <c r="BD328" i="14609"/>
  <c r="BE328" i="14609"/>
  <c r="BF328" i="14609"/>
  <c r="BG328" i="14609"/>
  <c r="BH328" i="14609"/>
  <c r="BI328" i="14609"/>
  <c r="BJ328" i="14609"/>
  <c r="BK328" i="14609"/>
  <c r="BL328" i="14609"/>
  <c r="BM328" i="14609"/>
  <c r="BN328" i="14609"/>
  <c r="BO328" i="14609"/>
  <c r="BP328" i="14609"/>
  <c r="BQ328" i="14609"/>
  <c r="BR328" i="14609"/>
  <c r="BS328" i="14609"/>
  <c r="BT328" i="14609"/>
  <c r="BU328" i="14609"/>
  <c r="BV328" i="14609"/>
  <c r="BW328" i="14609"/>
  <c r="BX328" i="14609"/>
  <c r="BY328" i="14609"/>
  <c r="BZ328" i="14609"/>
  <c r="CA328" i="14609"/>
  <c r="CB328" i="14609"/>
  <c r="CC328" i="14609"/>
  <c r="CD328" i="14609"/>
  <c r="CE328" i="14609"/>
  <c r="CF328" i="14609"/>
  <c r="CG328" i="14609"/>
  <c r="CH328" i="14609"/>
  <c r="CI328" i="14609"/>
  <c r="CJ328" i="14609"/>
  <c r="CK328" i="14609"/>
  <c r="CL328" i="14609"/>
  <c r="CM328" i="14609"/>
  <c r="CN328" i="14609"/>
  <c r="CO328" i="14609"/>
  <c r="CP328" i="14609"/>
  <c r="CQ328" i="14609"/>
  <c r="CR328" i="14609"/>
  <c r="CS328" i="14609"/>
  <c r="CT328" i="14609"/>
  <c r="CU328" i="14609"/>
  <c r="CV328" i="14609"/>
  <c r="CW328" i="14609"/>
  <c r="CX328" i="14609"/>
  <c r="CY328" i="14609"/>
  <c r="CZ328" i="14609"/>
  <c r="DA328" i="14609"/>
  <c r="DB328" i="14609"/>
  <c r="DC328" i="14609"/>
  <c r="DD328" i="14609"/>
  <c r="DE328" i="14609"/>
  <c r="DF328" i="14609"/>
  <c r="DG328" i="14609"/>
  <c r="DH328" i="14609"/>
  <c r="DI328" i="14609"/>
  <c r="DJ328" i="14609"/>
  <c r="DK328" i="14609"/>
  <c r="DL328" i="14609"/>
  <c r="DM328" i="14609"/>
  <c r="DN328" i="14609"/>
  <c r="DO328" i="14609"/>
  <c r="DP328" i="14609"/>
  <c r="DQ328" i="14609"/>
  <c r="DR328" i="14609"/>
  <c r="DS328" i="14609"/>
  <c r="DT328" i="14609"/>
  <c r="DU328" i="14609"/>
  <c r="DV328" i="14609"/>
  <c r="DW328" i="14609"/>
  <c r="DX328" i="14609"/>
  <c r="DY328" i="14609"/>
  <c r="DZ328" i="14609"/>
  <c r="EA328" i="14609"/>
  <c r="EB328" i="14609"/>
  <c r="EC328" i="14609"/>
  <c r="ED328" i="14609"/>
  <c r="EE328" i="14609"/>
  <c r="EF328" i="14609"/>
  <c r="EG328" i="14609"/>
  <c r="EH328" i="14609"/>
  <c r="EI328" i="14609"/>
  <c r="EJ328" i="14609"/>
  <c r="EK328" i="14609"/>
  <c r="EL328" i="14609"/>
  <c r="EM328" i="14609"/>
  <c r="EN328" i="14609"/>
  <c r="EO328" i="14609"/>
  <c r="EP328" i="14609"/>
  <c r="EQ328" i="14609"/>
  <c r="ER328" i="14609"/>
  <c r="ES328" i="14609"/>
  <c r="ET328" i="14609"/>
  <c r="EU328" i="14609"/>
  <c r="EV328" i="14609"/>
  <c r="EW328" i="14609"/>
  <c r="EX328" i="14609"/>
  <c r="EY328" i="14609"/>
  <c r="EZ328" i="14609"/>
  <c r="FA328" i="14609"/>
  <c r="FB328" i="14609"/>
  <c r="FC328" i="14609"/>
  <c r="FD328" i="14609"/>
  <c r="FE328" i="14609"/>
  <c r="FF328" i="14609"/>
  <c r="FG328" i="14609"/>
  <c r="FH328" i="14609"/>
  <c r="FI328" i="14609"/>
  <c r="FJ328" i="14609"/>
  <c r="FK328" i="14609"/>
  <c r="FL328" i="14609"/>
  <c r="FM328" i="14609"/>
  <c r="FN328" i="14609"/>
  <c r="FO328" i="14609"/>
  <c r="FP328" i="14609"/>
  <c r="FQ328" i="14609"/>
  <c r="FR328" i="14609"/>
  <c r="FS328" i="14609"/>
  <c r="FT328" i="14609"/>
  <c r="FU328" i="14609"/>
  <c r="FV328" i="14609"/>
  <c r="FW328" i="14609"/>
  <c r="FX328" i="14609"/>
  <c r="FY328" i="14609"/>
  <c r="FZ328" i="14609"/>
  <c r="GA328" i="14609"/>
  <c r="GB328" i="14609"/>
  <c r="GC328" i="14609"/>
  <c r="GD328" i="14609"/>
  <c r="GE328" i="14609"/>
  <c r="GF328" i="14609"/>
  <c r="GG328" i="14609"/>
  <c r="GH328" i="14609"/>
  <c r="GI328" i="14609"/>
  <c r="GJ328" i="14609"/>
  <c r="GK328" i="14609"/>
  <c r="GL328" i="14609"/>
  <c r="GM328" i="14609"/>
  <c r="GN328" i="14609"/>
  <c r="GO328" i="14609"/>
  <c r="GP328" i="14609"/>
  <c r="GQ328" i="14609"/>
  <c r="GR328" i="14609"/>
  <c r="GS328" i="14609"/>
  <c r="GT328" i="14609"/>
  <c r="GU328" i="14609"/>
  <c r="GV328" i="14609"/>
  <c r="GW328" i="14609"/>
  <c r="GX328" i="14609"/>
  <c r="GY328" i="14609"/>
  <c r="GZ328" i="14609"/>
  <c r="HA328" i="14609"/>
  <c r="HB328" i="14609"/>
  <c r="HC328" i="14609"/>
  <c r="HD328" i="14609"/>
  <c r="HE328" i="14609"/>
  <c r="HF328" i="14609"/>
  <c r="HG328" i="14609"/>
  <c r="HH328" i="14609"/>
  <c r="HI328" i="14609"/>
  <c r="HJ328" i="14609"/>
  <c r="HK328" i="14609"/>
  <c r="HL328" i="14609"/>
  <c r="HM328" i="14609"/>
  <c r="HN328" i="14609"/>
  <c r="HO328" i="14609"/>
  <c r="HP328" i="14609"/>
  <c r="HQ328" i="14609"/>
  <c r="HR328" i="14609"/>
  <c r="HS328" i="14609"/>
  <c r="HT328" i="14609"/>
  <c r="HU328" i="14609"/>
  <c r="HV328" i="14609"/>
  <c r="HW328" i="14609"/>
  <c r="HX328" i="14609"/>
  <c r="HY328" i="14609"/>
  <c r="HZ328" i="14609"/>
  <c r="IA328" i="14609"/>
  <c r="IB328" i="14609"/>
  <c r="IC328" i="14609"/>
  <c r="ID328" i="14609"/>
  <c r="IE328" i="14609"/>
  <c r="IF328" i="14609"/>
  <c r="IG328" i="14609"/>
  <c r="IH328" i="14609"/>
  <c r="II328" i="14609"/>
  <c r="IJ328" i="14609"/>
  <c r="IK328" i="14609"/>
  <c r="IL328" i="14609"/>
  <c r="IM328" i="14609"/>
  <c r="IN328" i="14609"/>
  <c r="IO328" i="14609"/>
  <c r="IP328" i="14609"/>
  <c r="IQ328" i="14609"/>
  <c r="IR328" i="14609"/>
  <c r="IS328" i="14609"/>
  <c r="IT328" i="14609"/>
  <c r="IU328" i="14609"/>
  <c r="IV328" i="14609"/>
  <c r="A327" i="14609"/>
  <c r="B327" i="14609"/>
  <c r="C327" i="14609"/>
  <c r="D327" i="14609"/>
  <c r="E327" i="14609"/>
  <c r="F327" i="14609"/>
  <c r="G327" i="14609"/>
  <c r="H327" i="14609"/>
  <c r="I327" i="14609"/>
  <c r="J327" i="14609"/>
  <c r="K327" i="14609"/>
  <c r="L327" i="14609"/>
  <c r="M327" i="14609"/>
  <c r="N327" i="14609"/>
  <c r="O327" i="14609"/>
  <c r="P327" i="14609"/>
  <c r="Q327" i="14609"/>
  <c r="R327" i="14609"/>
  <c r="S327" i="14609"/>
  <c r="T327" i="14609"/>
  <c r="U327" i="14609"/>
  <c r="V327" i="14609"/>
  <c r="W327" i="14609"/>
  <c r="X327" i="14609"/>
  <c r="Y327" i="14609"/>
  <c r="Z327" i="14609"/>
  <c r="AA327" i="14609"/>
  <c r="AB327" i="14609"/>
  <c r="AC327" i="14609"/>
  <c r="AD327" i="14609"/>
  <c r="AE327" i="14609"/>
  <c r="AF327" i="14609"/>
  <c r="AG327" i="14609"/>
  <c r="AH327" i="14609"/>
  <c r="AI327" i="14609"/>
  <c r="AJ327" i="14609"/>
  <c r="AK327" i="14609"/>
  <c r="AL327" i="14609"/>
  <c r="AM327" i="14609"/>
  <c r="AN327" i="14609"/>
  <c r="AO327" i="14609"/>
  <c r="AP327" i="14609"/>
  <c r="AQ327" i="14609"/>
  <c r="AR327" i="14609"/>
  <c r="AS327" i="14609"/>
  <c r="AT327" i="14609"/>
  <c r="AU327" i="14609"/>
  <c r="AV327" i="14609"/>
  <c r="AW327" i="14609"/>
  <c r="AX327" i="14609"/>
  <c r="AY327" i="14609"/>
  <c r="AZ327" i="14609"/>
  <c r="BA327" i="14609"/>
  <c r="BB327" i="14609"/>
  <c r="BC327" i="14609"/>
  <c r="BD327" i="14609"/>
  <c r="BE327" i="14609"/>
  <c r="BF327" i="14609"/>
  <c r="BG327" i="14609"/>
  <c r="BH327" i="14609"/>
  <c r="BI327" i="14609"/>
  <c r="BJ327" i="14609"/>
  <c r="BK327" i="14609"/>
  <c r="BL327" i="14609"/>
  <c r="BM327" i="14609"/>
  <c r="BN327" i="14609"/>
  <c r="BO327" i="14609"/>
  <c r="BP327" i="14609"/>
  <c r="BQ327" i="14609"/>
  <c r="BR327" i="14609"/>
  <c r="BS327" i="14609"/>
  <c r="BT327" i="14609"/>
  <c r="BU327" i="14609"/>
  <c r="BV327" i="14609"/>
  <c r="BW327" i="14609"/>
  <c r="BX327" i="14609"/>
  <c r="BY327" i="14609"/>
  <c r="BZ327" i="14609"/>
  <c r="CA327" i="14609"/>
  <c r="CB327" i="14609"/>
  <c r="CC327" i="14609"/>
  <c r="CD327" i="14609"/>
  <c r="CE327" i="14609"/>
  <c r="CF327" i="14609"/>
  <c r="CG327" i="14609"/>
  <c r="CH327" i="14609"/>
  <c r="CI327" i="14609"/>
  <c r="CJ327" i="14609"/>
  <c r="CK327" i="14609"/>
  <c r="CL327" i="14609"/>
  <c r="CM327" i="14609"/>
  <c r="CN327" i="14609"/>
  <c r="CO327" i="14609"/>
  <c r="CP327" i="14609"/>
  <c r="CQ327" i="14609"/>
  <c r="CR327" i="14609"/>
  <c r="CS327" i="14609"/>
  <c r="CT327" i="14609"/>
  <c r="CU327" i="14609"/>
  <c r="CV327" i="14609"/>
  <c r="CW327" i="14609"/>
  <c r="CX327" i="14609"/>
  <c r="CY327" i="14609"/>
  <c r="CZ327" i="14609"/>
  <c r="DA327" i="14609"/>
  <c r="DB327" i="14609"/>
  <c r="DC327" i="14609"/>
  <c r="DD327" i="14609"/>
  <c r="DE327" i="14609"/>
  <c r="DF327" i="14609"/>
  <c r="DG327" i="14609"/>
  <c r="DH327" i="14609"/>
  <c r="DI327" i="14609"/>
  <c r="DJ327" i="14609"/>
  <c r="DK327" i="14609"/>
  <c r="DL327" i="14609"/>
  <c r="DM327" i="14609"/>
  <c r="DN327" i="14609"/>
  <c r="DO327" i="14609"/>
  <c r="DP327" i="14609"/>
  <c r="DQ327" i="14609"/>
  <c r="DR327" i="14609"/>
  <c r="DS327" i="14609"/>
  <c r="DT327" i="14609"/>
  <c r="DU327" i="14609"/>
  <c r="DV327" i="14609"/>
  <c r="DW327" i="14609"/>
  <c r="DX327" i="14609"/>
  <c r="DY327" i="14609"/>
  <c r="DZ327" i="14609"/>
  <c r="EA327" i="14609"/>
  <c r="EB327" i="14609"/>
  <c r="EC327" i="14609"/>
  <c r="ED327" i="14609"/>
  <c r="EE327" i="14609"/>
  <c r="EF327" i="14609"/>
  <c r="EG327" i="14609"/>
  <c r="EH327" i="14609"/>
  <c r="EI327" i="14609"/>
  <c r="EJ327" i="14609"/>
  <c r="EK327" i="14609"/>
  <c r="EL327" i="14609"/>
  <c r="EM327" i="14609"/>
  <c r="EN327" i="14609"/>
  <c r="EO327" i="14609"/>
  <c r="EP327" i="14609"/>
  <c r="EQ327" i="14609"/>
  <c r="ER327" i="14609"/>
  <c r="ES327" i="14609"/>
  <c r="ET327" i="14609"/>
  <c r="EU327" i="14609"/>
  <c r="EV327" i="14609"/>
  <c r="EW327" i="14609"/>
  <c r="EX327" i="14609"/>
  <c r="EY327" i="14609"/>
  <c r="EZ327" i="14609"/>
  <c r="FA327" i="14609"/>
  <c r="FB327" i="14609"/>
  <c r="FC327" i="14609"/>
  <c r="FD327" i="14609"/>
  <c r="FE327" i="14609"/>
  <c r="FF327" i="14609"/>
  <c r="FG327" i="14609"/>
  <c r="FH327" i="14609"/>
  <c r="FI327" i="14609"/>
  <c r="FJ327" i="14609"/>
  <c r="FK327" i="14609"/>
  <c r="FL327" i="14609"/>
  <c r="FM327" i="14609"/>
  <c r="FN327" i="14609"/>
  <c r="FO327" i="14609"/>
  <c r="FP327" i="14609"/>
  <c r="FQ327" i="14609"/>
  <c r="FR327" i="14609"/>
  <c r="FS327" i="14609"/>
  <c r="FT327" i="14609"/>
  <c r="FU327" i="14609"/>
  <c r="FV327" i="14609"/>
  <c r="FW327" i="14609"/>
  <c r="FX327" i="14609"/>
  <c r="FY327" i="14609"/>
  <c r="FZ327" i="14609"/>
  <c r="GA327" i="14609"/>
  <c r="GB327" i="14609"/>
  <c r="GC327" i="14609"/>
  <c r="GD327" i="14609"/>
  <c r="GE327" i="14609"/>
  <c r="GF327" i="14609"/>
  <c r="GG327" i="14609"/>
  <c r="GH327" i="14609"/>
  <c r="GI327" i="14609"/>
  <c r="GJ327" i="14609"/>
  <c r="GK327" i="14609"/>
  <c r="GL327" i="14609"/>
  <c r="GM327" i="14609"/>
  <c r="GN327" i="14609"/>
  <c r="GO327" i="14609"/>
  <c r="GP327" i="14609"/>
  <c r="GQ327" i="14609"/>
  <c r="GR327" i="14609"/>
  <c r="GS327" i="14609"/>
  <c r="GT327" i="14609"/>
  <c r="GU327" i="14609"/>
  <c r="GV327" i="14609"/>
  <c r="GW327" i="14609"/>
  <c r="GX327" i="14609"/>
  <c r="GY327" i="14609"/>
  <c r="GZ327" i="14609"/>
  <c r="HA327" i="14609"/>
  <c r="HB327" i="14609"/>
  <c r="HC327" i="14609"/>
  <c r="HD327" i="14609"/>
  <c r="HE327" i="14609"/>
  <c r="HF327" i="14609"/>
  <c r="HG327" i="14609"/>
  <c r="HH327" i="14609"/>
  <c r="HI327" i="14609"/>
  <c r="HJ327" i="14609"/>
  <c r="HK327" i="14609"/>
  <c r="HL327" i="14609"/>
  <c r="HM327" i="14609"/>
  <c r="HN327" i="14609"/>
  <c r="HO327" i="14609"/>
  <c r="HP327" i="14609"/>
  <c r="HQ327" i="14609"/>
  <c r="HR327" i="14609"/>
  <c r="HS327" i="14609"/>
  <c r="HT327" i="14609"/>
  <c r="HU327" i="14609"/>
  <c r="HV327" i="14609"/>
  <c r="HW327" i="14609"/>
  <c r="HX327" i="14609"/>
  <c r="HY327" i="14609"/>
  <c r="HZ327" i="14609"/>
  <c r="IA327" i="14609"/>
  <c r="IB327" i="14609"/>
  <c r="IC327" i="14609"/>
  <c r="ID327" i="14609"/>
  <c r="IE327" i="14609"/>
  <c r="IF327" i="14609"/>
  <c r="IG327" i="14609"/>
  <c r="IH327" i="14609"/>
  <c r="II327" i="14609"/>
  <c r="IJ327" i="14609"/>
  <c r="IK327" i="14609"/>
  <c r="IL327" i="14609"/>
  <c r="IM327" i="14609"/>
  <c r="IN327" i="14609"/>
  <c r="IO327" i="14609"/>
  <c r="IP327" i="14609"/>
  <c r="IQ327" i="14609"/>
  <c r="IR327" i="14609"/>
  <c r="IS327" i="14609"/>
  <c r="IT327" i="14609"/>
  <c r="IU327" i="14609"/>
  <c r="IV327" i="14609"/>
  <c r="A326" i="14609"/>
  <c r="B326" i="14609"/>
  <c r="C326" i="14609"/>
  <c r="D326" i="14609"/>
  <c r="E326" i="14609"/>
  <c r="F326" i="14609"/>
  <c r="G326" i="14609"/>
  <c r="H326" i="14609"/>
  <c r="I326" i="14609"/>
  <c r="J326" i="14609"/>
  <c r="K326" i="14609"/>
  <c r="L326" i="14609"/>
  <c r="M326" i="14609"/>
  <c r="N326" i="14609"/>
  <c r="O326" i="14609"/>
  <c r="P326" i="14609"/>
  <c r="Q326" i="14609"/>
  <c r="R326" i="14609"/>
  <c r="S326" i="14609"/>
  <c r="T326" i="14609"/>
  <c r="U326" i="14609"/>
  <c r="V326" i="14609"/>
  <c r="W326" i="14609"/>
  <c r="X326" i="14609"/>
  <c r="Y326" i="14609"/>
  <c r="Z326" i="14609"/>
  <c r="AA326" i="14609"/>
  <c r="AB326" i="14609"/>
  <c r="AC326" i="14609"/>
  <c r="AD326" i="14609"/>
  <c r="AE326" i="14609"/>
  <c r="AF326" i="14609"/>
  <c r="AG326" i="14609"/>
  <c r="AH326" i="14609"/>
  <c r="AI326" i="14609"/>
  <c r="AJ326" i="14609"/>
  <c r="AK326" i="14609"/>
  <c r="AL326" i="14609"/>
  <c r="AM326" i="14609"/>
  <c r="AN326" i="14609"/>
  <c r="AO326" i="14609"/>
  <c r="AP326" i="14609"/>
  <c r="AQ326" i="14609"/>
  <c r="AR326" i="14609"/>
  <c r="AS326" i="14609"/>
  <c r="AT326" i="14609"/>
  <c r="AU326" i="14609"/>
  <c r="AV326" i="14609"/>
  <c r="AW326" i="14609"/>
  <c r="AX326" i="14609"/>
  <c r="AY326" i="14609"/>
  <c r="AZ326" i="14609"/>
  <c r="BA326" i="14609"/>
  <c r="BB326" i="14609"/>
  <c r="BC326" i="14609"/>
  <c r="BD326" i="14609"/>
  <c r="BE326" i="14609"/>
  <c r="BF326" i="14609"/>
  <c r="BG326" i="14609"/>
  <c r="BH326" i="14609"/>
  <c r="BI326" i="14609"/>
  <c r="BJ326" i="14609"/>
  <c r="BK326" i="14609"/>
  <c r="BL326" i="14609"/>
  <c r="BM326" i="14609"/>
  <c r="BN326" i="14609"/>
  <c r="BO326" i="14609"/>
  <c r="BP326" i="14609"/>
  <c r="BQ326" i="14609"/>
  <c r="BR326" i="14609"/>
  <c r="BS326" i="14609"/>
  <c r="BT326" i="14609"/>
  <c r="BU326" i="14609"/>
  <c r="BV326" i="14609"/>
  <c r="BW326" i="14609"/>
  <c r="BX326" i="14609"/>
  <c r="BY326" i="14609"/>
  <c r="BZ326" i="14609"/>
  <c r="CA326" i="14609"/>
  <c r="CB326" i="14609"/>
  <c r="CC326" i="14609"/>
  <c r="CD326" i="14609"/>
  <c r="CE326" i="14609"/>
  <c r="CF326" i="14609"/>
  <c r="CG326" i="14609"/>
  <c r="CH326" i="14609"/>
  <c r="CI326" i="14609"/>
  <c r="CJ326" i="14609"/>
  <c r="CK326" i="14609"/>
  <c r="CL326" i="14609"/>
  <c r="CM326" i="14609"/>
  <c r="CN326" i="14609"/>
  <c r="CO326" i="14609"/>
  <c r="CP326" i="14609"/>
  <c r="CQ326" i="14609"/>
  <c r="CR326" i="14609"/>
  <c r="CS326" i="14609"/>
  <c r="CT326" i="14609"/>
  <c r="CU326" i="14609"/>
  <c r="CV326" i="14609"/>
  <c r="CW326" i="14609"/>
  <c r="CX326" i="14609"/>
  <c r="CY326" i="14609"/>
  <c r="CZ326" i="14609"/>
  <c r="DA326" i="14609"/>
  <c r="DB326" i="14609"/>
  <c r="DC326" i="14609"/>
  <c r="DD326" i="14609"/>
  <c r="DE326" i="14609"/>
  <c r="DF326" i="14609"/>
  <c r="DG326" i="14609"/>
  <c r="DH326" i="14609"/>
  <c r="DI326" i="14609"/>
  <c r="DJ326" i="14609"/>
  <c r="DK326" i="14609"/>
  <c r="DL326" i="14609"/>
  <c r="DM326" i="14609"/>
  <c r="DN326" i="14609"/>
  <c r="DO326" i="14609"/>
  <c r="DP326" i="14609"/>
  <c r="DQ326" i="14609"/>
  <c r="DR326" i="14609"/>
  <c r="DS326" i="14609"/>
  <c r="DT326" i="14609"/>
  <c r="DU326" i="14609"/>
  <c r="DV326" i="14609"/>
  <c r="DW326" i="14609"/>
  <c r="DX326" i="14609"/>
  <c r="DY326" i="14609"/>
  <c r="DZ326" i="14609"/>
  <c r="EA326" i="14609"/>
  <c r="EB326" i="14609"/>
  <c r="EC326" i="14609"/>
  <c r="ED326" i="14609"/>
  <c r="EE326" i="14609"/>
  <c r="EF326" i="14609"/>
  <c r="EG326" i="14609"/>
  <c r="EH326" i="14609"/>
  <c r="EI326" i="14609"/>
  <c r="EJ326" i="14609"/>
  <c r="EK326" i="14609"/>
  <c r="EL326" i="14609"/>
  <c r="EM326" i="14609"/>
  <c r="EN326" i="14609"/>
  <c r="EO326" i="14609"/>
  <c r="EP326" i="14609"/>
  <c r="EQ326" i="14609"/>
  <c r="ER326" i="14609"/>
  <c r="ES326" i="14609"/>
  <c r="ET326" i="14609"/>
  <c r="EU326" i="14609"/>
  <c r="EV326" i="14609"/>
  <c r="EW326" i="14609"/>
  <c r="EX326" i="14609"/>
  <c r="EY326" i="14609"/>
  <c r="EZ326" i="14609"/>
  <c r="FA326" i="14609"/>
  <c r="FB326" i="14609"/>
  <c r="FC326" i="14609"/>
  <c r="FD326" i="14609"/>
  <c r="FE326" i="14609"/>
  <c r="FF326" i="14609"/>
  <c r="FG326" i="14609"/>
  <c r="FH326" i="14609"/>
  <c r="FI326" i="14609"/>
  <c r="FJ326" i="14609"/>
  <c r="FK326" i="14609"/>
  <c r="FL326" i="14609"/>
  <c r="FM326" i="14609"/>
  <c r="FN326" i="14609"/>
  <c r="FO326" i="14609"/>
  <c r="FP326" i="14609"/>
  <c r="FQ326" i="14609"/>
  <c r="FR326" i="14609"/>
  <c r="FS326" i="14609"/>
  <c r="FT326" i="14609"/>
  <c r="FU326" i="14609"/>
  <c r="FV326" i="14609"/>
  <c r="FW326" i="14609"/>
  <c r="FX326" i="14609"/>
  <c r="FY326" i="14609"/>
  <c r="FZ326" i="14609"/>
  <c r="GA326" i="14609"/>
  <c r="GB326" i="14609"/>
  <c r="GC326" i="14609"/>
  <c r="GD326" i="14609"/>
  <c r="GE326" i="14609"/>
  <c r="GF326" i="14609"/>
  <c r="GG326" i="14609"/>
  <c r="GH326" i="14609"/>
  <c r="GI326" i="14609"/>
  <c r="GJ326" i="14609"/>
  <c r="GK326" i="14609"/>
  <c r="GL326" i="14609"/>
  <c r="GM326" i="14609"/>
  <c r="GN326" i="14609"/>
  <c r="GO326" i="14609"/>
  <c r="GP326" i="14609"/>
  <c r="GQ326" i="14609"/>
  <c r="GR326" i="14609"/>
  <c r="GS326" i="14609"/>
  <c r="GT326" i="14609"/>
  <c r="GU326" i="14609"/>
  <c r="GV326" i="14609"/>
  <c r="GW326" i="14609"/>
  <c r="GX326" i="14609"/>
  <c r="GY326" i="14609"/>
  <c r="GZ326" i="14609"/>
  <c r="HA326" i="14609"/>
  <c r="HB326" i="14609"/>
  <c r="HC326" i="14609"/>
  <c r="HD326" i="14609"/>
  <c r="HE326" i="14609"/>
  <c r="HF326" i="14609"/>
  <c r="HG326" i="14609"/>
  <c r="HH326" i="14609"/>
  <c r="HI326" i="14609"/>
  <c r="HJ326" i="14609"/>
  <c r="HK326" i="14609"/>
  <c r="HL326" i="14609"/>
  <c r="HM326" i="14609"/>
  <c r="HN326" i="14609"/>
  <c r="HO326" i="14609"/>
  <c r="HP326" i="14609"/>
  <c r="HQ326" i="14609"/>
  <c r="HR326" i="14609"/>
  <c r="HS326" i="14609"/>
  <c r="HT326" i="14609"/>
  <c r="HU326" i="14609"/>
  <c r="HV326" i="14609"/>
  <c r="HW326" i="14609"/>
  <c r="HX326" i="14609"/>
  <c r="HY326" i="14609"/>
  <c r="HZ326" i="14609"/>
  <c r="IA326" i="14609"/>
  <c r="IB326" i="14609"/>
  <c r="IC326" i="14609"/>
  <c r="ID326" i="14609"/>
  <c r="IE326" i="14609"/>
  <c r="IF326" i="14609"/>
  <c r="IG326" i="14609"/>
  <c r="IH326" i="14609"/>
  <c r="II326" i="14609"/>
  <c r="IJ326" i="14609"/>
  <c r="IK326" i="14609"/>
  <c r="IL326" i="14609"/>
  <c r="IM326" i="14609"/>
  <c r="IN326" i="14609"/>
  <c r="IO326" i="14609"/>
  <c r="IP326" i="14609"/>
  <c r="IQ326" i="14609"/>
  <c r="IR326" i="14609"/>
  <c r="IS326" i="14609"/>
  <c r="IT326" i="14609"/>
  <c r="IU326" i="14609"/>
  <c r="IV326" i="14609"/>
  <c r="A325" i="14609"/>
  <c r="B325" i="14609"/>
  <c r="C325" i="14609"/>
  <c r="D325" i="14609"/>
  <c r="E325" i="14609"/>
  <c r="F325" i="14609"/>
  <c r="G325" i="14609"/>
  <c r="H325" i="14609"/>
  <c r="I325" i="14609"/>
  <c r="J325" i="14609"/>
  <c r="K325" i="14609"/>
  <c r="L325" i="14609"/>
  <c r="M325" i="14609"/>
  <c r="N325" i="14609"/>
  <c r="O325" i="14609"/>
  <c r="P325" i="14609"/>
  <c r="Q325" i="14609"/>
  <c r="R325" i="14609"/>
  <c r="S325" i="14609"/>
  <c r="T325" i="14609"/>
  <c r="U325" i="14609"/>
  <c r="V325" i="14609"/>
  <c r="W325" i="14609"/>
  <c r="X325" i="14609"/>
  <c r="Y325" i="14609"/>
  <c r="Z325" i="14609"/>
  <c r="AA325" i="14609"/>
  <c r="AB325" i="14609"/>
  <c r="AC325" i="14609"/>
  <c r="AD325" i="14609"/>
  <c r="AE325" i="14609"/>
  <c r="AF325" i="14609"/>
  <c r="AG325" i="14609"/>
  <c r="AH325" i="14609"/>
  <c r="AI325" i="14609"/>
  <c r="AJ325" i="14609"/>
  <c r="AK325" i="14609"/>
  <c r="AL325" i="14609"/>
  <c r="AM325" i="14609"/>
  <c r="AN325" i="14609"/>
  <c r="AO325" i="14609"/>
  <c r="AP325" i="14609"/>
  <c r="AQ325" i="14609"/>
  <c r="AR325" i="14609"/>
  <c r="AS325" i="14609"/>
  <c r="AT325" i="14609"/>
  <c r="AU325" i="14609"/>
  <c r="AV325" i="14609"/>
  <c r="AW325" i="14609"/>
  <c r="AX325" i="14609"/>
  <c r="AY325" i="14609"/>
  <c r="AZ325" i="14609"/>
  <c r="BA325" i="14609"/>
  <c r="BB325" i="14609"/>
  <c r="BC325" i="14609"/>
  <c r="BD325" i="14609"/>
  <c r="BE325" i="14609"/>
  <c r="BF325" i="14609"/>
  <c r="BG325" i="14609"/>
  <c r="BH325" i="14609"/>
  <c r="BI325" i="14609"/>
  <c r="BJ325" i="14609"/>
  <c r="BK325" i="14609"/>
  <c r="BL325" i="14609"/>
  <c r="BM325" i="14609"/>
  <c r="BN325" i="14609"/>
  <c r="BO325" i="14609"/>
  <c r="BP325" i="14609"/>
  <c r="BQ325" i="14609"/>
  <c r="BR325" i="14609"/>
  <c r="BS325" i="14609"/>
  <c r="BT325" i="14609"/>
  <c r="BU325" i="14609"/>
  <c r="BV325" i="14609"/>
  <c r="BW325" i="14609"/>
  <c r="BX325" i="14609"/>
  <c r="BY325" i="14609"/>
  <c r="BZ325" i="14609"/>
  <c r="CA325" i="14609"/>
  <c r="CB325" i="14609"/>
  <c r="CC325" i="14609"/>
  <c r="CD325" i="14609"/>
  <c r="CE325" i="14609"/>
  <c r="CF325" i="14609"/>
  <c r="CG325" i="14609"/>
  <c r="CH325" i="14609"/>
  <c r="CI325" i="14609"/>
  <c r="CJ325" i="14609"/>
  <c r="CK325" i="14609"/>
  <c r="CL325" i="14609"/>
  <c r="CM325" i="14609"/>
  <c r="CN325" i="14609"/>
  <c r="CO325" i="14609"/>
  <c r="CP325" i="14609"/>
  <c r="CQ325" i="14609"/>
  <c r="CR325" i="14609"/>
  <c r="CS325" i="14609"/>
  <c r="CT325" i="14609"/>
  <c r="CU325" i="14609"/>
  <c r="CV325" i="14609"/>
  <c r="CW325" i="14609"/>
  <c r="CX325" i="14609"/>
  <c r="CY325" i="14609"/>
  <c r="CZ325" i="14609"/>
  <c r="DA325" i="14609"/>
  <c r="DB325" i="14609"/>
  <c r="DC325" i="14609"/>
  <c r="DD325" i="14609"/>
  <c r="DE325" i="14609"/>
  <c r="DF325" i="14609"/>
  <c r="DG325" i="14609"/>
  <c r="DH325" i="14609"/>
  <c r="DI325" i="14609"/>
  <c r="DJ325" i="14609"/>
  <c r="DK325" i="14609"/>
  <c r="DL325" i="14609"/>
  <c r="DM325" i="14609"/>
  <c r="DN325" i="14609"/>
  <c r="DO325" i="14609"/>
  <c r="DP325" i="14609"/>
  <c r="DQ325" i="14609"/>
  <c r="DR325" i="14609"/>
  <c r="DS325" i="14609"/>
  <c r="DT325" i="14609"/>
  <c r="DU325" i="14609"/>
  <c r="DV325" i="14609"/>
  <c r="DW325" i="14609"/>
  <c r="DX325" i="14609"/>
  <c r="DY325" i="14609"/>
  <c r="DZ325" i="14609"/>
  <c r="EA325" i="14609"/>
  <c r="EB325" i="14609"/>
  <c r="EC325" i="14609"/>
  <c r="ED325" i="14609"/>
  <c r="EE325" i="14609"/>
  <c r="EF325" i="14609"/>
  <c r="EG325" i="14609"/>
  <c r="EH325" i="14609"/>
  <c r="EI325" i="14609"/>
  <c r="EJ325" i="14609"/>
  <c r="EK325" i="14609"/>
  <c r="EL325" i="14609"/>
  <c r="EM325" i="14609"/>
  <c r="EN325" i="14609"/>
  <c r="EO325" i="14609"/>
  <c r="EP325" i="14609"/>
  <c r="EQ325" i="14609"/>
  <c r="ER325" i="14609"/>
  <c r="ES325" i="14609"/>
  <c r="ET325" i="14609"/>
  <c r="EU325" i="14609"/>
  <c r="EV325" i="14609"/>
  <c r="EW325" i="14609"/>
  <c r="EX325" i="14609"/>
  <c r="EY325" i="14609"/>
  <c r="EZ325" i="14609"/>
  <c r="FA325" i="14609"/>
  <c r="FB325" i="14609"/>
  <c r="FC325" i="14609"/>
  <c r="FD325" i="14609"/>
  <c r="FE325" i="14609"/>
  <c r="FF325" i="14609"/>
  <c r="FG325" i="14609"/>
  <c r="FH325" i="14609"/>
  <c r="FI325" i="14609"/>
  <c r="FJ325" i="14609"/>
  <c r="FK325" i="14609"/>
  <c r="FL325" i="14609"/>
  <c r="FM325" i="14609"/>
  <c r="FN325" i="14609"/>
  <c r="FO325" i="14609"/>
  <c r="FP325" i="14609"/>
  <c r="FQ325" i="14609"/>
  <c r="FR325" i="14609"/>
  <c r="FS325" i="14609"/>
  <c r="FT325" i="14609"/>
  <c r="FU325" i="14609"/>
  <c r="FV325" i="14609"/>
  <c r="FW325" i="14609"/>
  <c r="FX325" i="14609"/>
  <c r="FY325" i="14609"/>
  <c r="FZ325" i="14609"/>
  <c r="GA325" i="14609"/>
  <c r="GB325" i="14609"/>
  <c r="GC325" i="14609"/>
  <c r="GD325" i="14609"/>
  <c r="GE325" i="14609"/>
  <c r="GF325" i="14609"/>
  <c r="GG325" i="14609"/>
  <c r="GH325" i="14609"/>
  <c r="GI325" i="14609"/>
  <c r="GJ325" i="14609"/>
  <c r="GK325" i="14609"/>
  <c r="GL325" i="14609"/>
  <c r="GM325" i="14609"/>
  <c r="GN325" i="14609"/>
  <c r="GO325" i="14609"/>
  <c r="GP325" i="14609"/>
  <c r="GQ325" i="14609"/>
  <c r="GR325" i="14609"/>
  <c r="GS325" i="14609"/>
  <c r="GT325" i="14609"/>
  <c r="GU325" i="14609"/>
  <c r="GV325" i="14609"/>
  <c r="GW325" i="14609"/>
  <c r="GX325" i="14609"/>
  <c r="GY325" i="14609"/>
  <c r="GZ325" i="14609"/>
  <c r="HA325" i="14609"/>
  <c r="HB325" i="14609"/>
  <c r="HC325" i="14609"/>
  <c r="HD325" i="14609"/>
  <c r="HE325" i="14609"/>
  <c r="HF325" i="14609"/>
  <c r="HG325" i="14609"/>
  <c r="HH325" i="14609"/>
  <c r="HI325" i="14609"/>
  <c r="HJ325" i="14609"/>
  <c r="HK325" i="14609"/>
  <c r="HL325" i="14609"/>
  <c r="HM325" i="14609"/>
  <c r="HN325" i="14609"/>
  <c r="HO325" i="14609"/>
  <c r="HP325" i="14609"/>
  <c r="HQ325" i="14609"/>
  <c r="HR325" i="14609"/>
  <c r="HS325" i="14609"/>
  <c r="HT325" i="14609"/>
  <c r="HU325" i="14609"/>
  <c r="HV325" i="14609"/>
  <c r="HW325" i="14609"/>
  <c r="HX325" i="14609"/>
  <c r="HY325" i="14609"/>
  <c r="HZ325" i="14609"/>
  <c r="IA325" i="14609"/>
  <c r="IB325" i="14609"/>
  <c r="IC325" i="14609"/>
  <c r="ID325" i="14609"/>
  <c r="IE325" i="14609"/>
  <c r="IF325" i="14609"/>
  <c r="IG325" i="14609"/>
  <c r="IH325" i="14609"/>
  <c r="II325" i="14609"/>
  <c r="IJ325" i="14609"/>
  <c r="IK325" i="14609"/>
  <c r="IL325" i="14609"/>
  <c r="IM325" i="14609"/>
  <c r="IN325" i="14609"/>
  <c r="IO325" i="14609"/>
  <c r="IP325" i="14609"/>
  <c r="IQ325" i="14609"/>
  <c r="IR325" i="14609"/>
  <c r="IS325" i="14609"/>
  <c r="IT325" i="14609"/>
  <c r="IU325" i="14609"/>
  <c r="IV325" i="14609"/>
  <c r="A324" i="14609"/>
  <c r="B324" i="14609"/>
  <c r="C324" i="14609"/>
  <c r="D324" i="14609"/>
  <c r="E324" i="14609"/>
  <c r="F324" i="14609"/>
  <c r="G324" i="14609"/>
  <c r="H324" i="14609"/>
  <c r="I324" i="14609"/>
  <c r="J324" i="14609"/>
  <c r="K324" i="14609"/>
  <c r="L324" i="14609"/>
  <c r="M324" i="14609"/>
  <c r="N324" i="14609"/>
  <c r="O324" i="14609"/>
  <c r="P324" i="14609"/>
  <c r="Q324" i="14609"/>
  <c r="R324" i="14609"/>
  <c r="S324" i="14609"/>
  <c r="T324" i="14609"/>
  <c r="U324" i="14609"/>
  <c r="V324" i="14609"/>
  <c r="W324" i="14609"/>
  <c r="X324" i="14609"/>
  <c r="Y324" i="14609"/>
  <c r="Z324" i="14609"/>
  <c r="AA324" i="14609"/>
  <c r="AB324" i="14609"/>
  <c r="AC324" i="14609"/>
  <c r="AD324" i="14609"/>
  <c r="AE324" i="14609"/>
  <c r="AF324" i="14609"/>
  <c r="AG324" i="14609"/>
  <c r="AH324" i="14609"/>
  <c r="AI324" i="14609"/>
  <c r="AJ324" i="14609"/>
  <c r="AK324" i="14609"/>
  <c r="AL324" i="14609"/>
  <c r="AM324" i="14609"/>
  <c r="AN324" i="14609"/>
  <c r="AO324" i="14609"/>
  <c r="AP324" i="14609"/>
  <c r="AQ324" i="14609"/>
  <c r="AR324" i="14609"/>
  <c r="AS324" i="14609"/>
  <c r="AT324" i="14609"/>
  <c r="AU324" i="14609"/>
  <c r="AV324" i="14609"/>
  <c r="AW324" i="14609"/>
  <c r="AX324" i="14609"/>
  <c r="AY324" i="14609"/>
  <c r="AZ324" i="14609"/>
  <c r="BA324" i="14609"/>
  <c r="BB324" i="14609"/>
  <c r="BC324" i="14609"/>
  <c r="BD324" i="14609"/>
  <c r="BE324" i="14609"/>
  <c r="BF324" i="14609"/>
  <c r="BG324" i="14609"/>
  <c r="BH324" i="14609"/>
  <c r="BI324" i="14609"/>
  <c r="BJ324" i="14609"/>
  <c r="BK324" i="14609"/>
  <c r="BL324" i="14609"/>
  <c r="BM324" i="14609"/>
  <c r="BN324" i="14609"/>
  <c r="BO324" i="14609"/>
  <c r="BP324" i="14609"/>
  <c r="BQ324" i="14609"/>
  <c r="BR324" i="14609"/>
  <c r="BS324" i="14609"/>
  <c r="BT324" i="14609"/>
  <c r="BU324" i="14609"/>
  <c r="BV324" i="14609"/>
  <c r="BW324" i="14609"/>
  <c r="BX324" i="14609"/>
  <c r="BY324" i="14609"/>
  <c r="BZ324" i="14609"/>
  <c r="CA324" i="14609"/>
  <c r="CB324" i="14609"/>
  <c r="CC324" i="14609"/>
  <c r="CD324" i="14609"/>
  <c r="CE324" i="14609"/>
  <c r="CF324" i="14609"/>
  <c r="CG324" i="14609"/>
  <c r="CH324" i="14609"/>
  <c r="CI324" i="14609"/>
  <c r="CJ324" i="14609"/>
  <c r="CK324" i="14609"/>
  <c r="CL324" i="14609"/>
  <c r="CM324" i="14609"/>
  <c r="CN324" i="14609"/>
  <c r="CO324" i="14609"/>
  <c r="CP324" i="14609"/>
  <c r="CQ324" i="14609"/>
  <c r="CR324" i="14609"/>
  <c r="CS324" i="14609"/>
  <c r="CT324" i="14609"/>
  <c r="CU324" i="14609"/>
  <c r="CV324" i="14609"/>
  <c r="CW324" i="14609"/>
  <c r="CX324" i="14609"/>
  <c r="CY324" i="14609"/>
  <c r="CZ324" i="14609"/>
  <c r="DA324" i="14609"/>
  <c r="DB324" i="14609"/>
  <c r="DC324" i="14609"/>
  <c r="DD324" i="14609"/>
  <c r="DE324" i="14609"/>
  <c r="DF324" i="14609"/>
  <c r="DG324" i="14609"/>
  <c r="DH324" i="14609"/>
  <c r="DI324" i="14609"/>
  <c r="DJ324" i="14609"/>
  <c r="DK324" i="14609"/>
  <c r="DL324" i="14609"/>
  <c r="DM324" i="14609"/>
  <c r="DN324" i="14609"/>
  <c r="DO324" i="14609"/>
  <c r="DP324" i="14609"/>
  <c r="DQ324" i="14609"/>
  <c r="DR324" i="14609"/>
  <c r="DS324" i="14609"/>
  <c r="DT324" i="14609"/>
  <c r="DU324" i="14609"/>
  <c r="DV324" i="14609"/>
  <c r="DW324" i="14609"/>
  <c r="DX324" i="14609"/>
  <c r="DY324" i="14609"/>
  <c r="DZ324" i="14609"/>
  <c r="EA324" i="14609"/>
  <c r="EB324" i="14609"/>
  <c r="EC324" i="14609"/>
  <c r="ED324" i="14609"/>
  <c r="EE324" i="14609"/>
  <c r="EF324" i="14609"/>
  <c r="EG324" i="14609"/>
  <c r="EH324" i="14609"/>
  <c r="EI324" i="14609"/>
  <c r="EJ324" i="14609"/>
  <c r="EK324" i="14609"/>
  <c r="EL324" i="14609"/>
  <c r="EM324" i="14609"/>
  <c r="EN324" i="14609"/>
  <c r="EO324" i="14609"/>
  <c r="EP324" i="14609"/>
  <c r="EQ324" i="14609"/>
  <c r="ER324" i="14609"/>
  <c r="ES324" i="14609"/>
  <c r="ET324" i="14609"/>
  <c r="EU324" i="14609"/>
  <c r="EV324" i="14609"/>
  <c r="EW324" i="14609"/>
  <c r="EX324" i="14609"/>
  <c r="EY324" i="14609"/>
  <c r="EZ324" i="14609"/>
  <c r="FA324" i="14609"/>
  <c r="FB324" i="14609"/>
  <c r="FC324" i="14609"/>
  <c r="FD324" i="14609"/>
  <c r="FE324" i="14609"/>
  <c r="FF324" i="14609"/>
  <c r="FG324" i="14609"/>
  <c r="FH324" i="14609"/>
  <c r="FI324" i="14609"/>
  <c r="FJ324" i="14609"/>
  <c r="FK324" i="14609"/>
  <c r="FL324" i="14609"/>
  <c r="FM324" i="14609"/>
  <c r="FN324" i="14609"/>
  <c r="FO324" i="14609"/>
  <c r="FP324" i="14609"/>
  <c r="FQ324" i="14609"/>
  <c r="FR324" i="14609"/>
  <c r="FS324" i="14609"/>
  <c r="FT324" i="14609"/>
  <c r="FU324" i="14609"/>
  <c r="FV324" i="14609"/>
  <c r="FW324" i="14609"/>
  <c r="FX324" i="14609"/>
  <c r="FY324" i="14609"/>
  <c r="FZ324" i="14609"/>
  <c r="GA324" i="14609"/>
  <c r="GB324" i="14609"/>
  <c r="GC324" i="14609"/>
  <c r="GD324" i="14609"/>
  <c r="GE324" i="14609"/>
  <c r="GF324" i="14609"/>
  <c r="GG324" i="14609"/>
  <c r="GH324" i="14609"/>
  <c r="GI324" i="14609"/>
  <c r="GJ324" i="14609"/>
  <c r="GK324" i="14609"/>
  <c r="GL324" i="14609"/>
  <c r="GM324" i="14609"/>
  <c r="GN324" i="14609"/>
  <c r="GO324" i="14609"/>
  <c r="GP324" i="14609"/>
  <c r="GQ324" i="14609"/>
  <c r="GR324" i="14609"/>
  <c r="GS324" i="14609"/>
  <c r="GT324" i="14609"/>
  <c r="GU324" i="14609"/>
  <c r="GV324" i="14609"/>
  <c r="GW324" i="14609"/>
  <c r="GX324" i="14609"/>
  <c r="GY324" i="14609"/>
  <c r="GZ324" i="14609"/>
  <c r="HA324" i="14609"/>
  <c r="HB324" i="14609"/>
  <c r="HC324" i="14609"/>
  <c r="HD324" i="14609"/>
  <c r="HE324" i="14609"/>
  <c r="HF324" i="14609"/>
  <c r="HG324" i="14609"/>
  <c r="HH324" i="14609"/>
  <c r="HI324" i="14609"/>
  <c r="HJ324" i="14609"/>
  <c r="HK324" i="14609"/>
  <c r="HL324" i="14609"/>
  <c r="HM324" i="14609"/>
  <c r="HN324" i="14609"/>
  <c r="HO324" i="14609"/>
  <c r="HP324" i="14609"/>
  <c r="HQ324" i="14609"/>
  <c r="HR324" i="14609"/>
  <c r="HS324" i="14609"/>
  <c r="HT324" i="14609"/>
  <c r="HU324" i="14609"/>
  <c r="HV324" i="14609"/>
  <c r="HW324" i="14609"/>
  <c r="HX324" i="14609"/>
  <c r="HY324" i="14609"/>
  <c r="HZ324" i="14609"/>
  <c r="IA324" i="14609"/>
  <c r="IB324" i="14609"/>
  <c r="IC324" i="14609"/>
  <c r="ID324" i="14609"/>
  <c r="IE324" i="14609"/>
  <c r="IF324" i="14609"/>
  <c r="IG324" i="14609"/>
  <c r="IH324" i="14609"/>
  <c r="II324" i="14609"/>
  <c r="IJ324" i="14609"/>
  <c r="IK324" i="14609"/>
  <c r="IL324" i="14609"/>
  <c r="IM324" i="14609"/>
  <c r="IN324" i="14609"/>
  <c r="IO324" i="14609"/>
  <c r="IP324" i="14609"/>
  <c r="IQ324" i="14609"/>
  <c r="IR324" i="14609"/>
  <c r="IS324" i="14609"/>
  <c r="IT324" i="14609"/>
  <c r="IU324" i="14609"/>
  <c r="IV324" i="14609"/>
  <c r="A323" i="14609"/>
  <c r="B323" i="14609"/>
  <c r="C323" i="14609"/>
  <c r="D323" i="14609"/>
  <c r="E323" i="14609"/>
  <c r="F323" i="14609"/>
  <c r="G323" i="14609"/>
  <c r="H323" i="14609"/>
  <c r="I323" i="14609"/>
  <c r="J323" i="14609"/>
  <c r="K323" i="14609"/>
  <c r="L323" i="14609"/>
  <c r="M323" i="14609"/>
  <c r="N323" i="14609"/>
  <c r="O323" i="14609"/>
  <c r="P323" i="14609"/>
  <c r="Q323" i="14609"/>
  <c r="R323" i="14609"/>
  <c r="S323" i="14609"/>
  <c r="T323" i="14609"/>
  <c r="U323" i="14609"/>
  <c r="V323" i="14609"/>
  <c r="W323" i="14609"/>
  <c r="X323" i="14609"/>
  <c r="Y323" i="14609"/>
  <c r="Z323" i="14609"/>
  <c r="AA323" i="14609"/>
  <c r="AB323" i="14609"/>
  <c r="AC323" i="14609"/>
  <c r="AD323" i="14609"/>
  <c r="AE323" i="14609"/>
  <c r="AF323" i="14609"/>
  <c r="AG323" i="14609"/>
  <c r="AH323" i="14609"/>
  <c r="AI323" i="14609"/>
  <c r="AJ323" i="14609"/>
  <c r="AK323" i="14609"/>
  <c r="AL323" i="14609"/>
  <c r="AM323" i="14609"/>
  <c r="AN323" i="14609"/>
  <c r="AO323" i="14609"/>
  <c r="AP323" i="14609"/>
  <c r="AQ323" i="14609"/>
  <c r="AR323" i="14609"/>
  <c r="AS323" i="14609"/>
  <c r="AT323" i="14609"/>
  <c r="AU323" i="14609"/>
  <c r="AV323" i="14609"/>
  <c r="AW323" i="14609"/>
  <c r="AX323" i="14609"/>
  <c r="AY323" i="14609"/>
  <c r="AZ323" i="14609"/>
  <c r="BA323" i="14609"/>
  <c r="BB323" i="14609"/>
  <c r="BC323" i="14609"/>
  <c r="BD323" i="14609"/>
  <c r="BE323" i="14609"/>
  <c r="BF323" i="14609"/>
  <c r="BG323" i="14609"/>
  <c r="BH323" i="14609"/>
  <c r="BI323" i="14609"/>
  <c r="BJ323" i="14609"/>
  <c r="BK323" i="14609"/>
  <c r="BL323" i="14609"/>
  <c r="BM323" i="14609"/>
  <c r="BN323" i="14609"/>
  <c r="BO323" i="14609"/>
  <c r="BP323" i="14609"/>
  <c r="BQ323" i="14609"/>
  <c r="BR323" i="14609"/>
  <c r="BS323" i="14609"/>
  <c r="BT323" i="14609"/>
  <c r="BU323" i="14609"/>
  <c r="BV323" i="14609"/>
  <c r="BW323" i="14609"/>
  <c r="BX323" i="14609"/>
  <c r="BY323" i="14609"/>
  <c r="BZ323" i="14609"/>
  <c r="CA323" i="14609"/>
  <c r="CB323" i="14609"/>
  <c r="CC323" i="14609"/>
  <c r="CD323" i="14609"/>
  <c r="CE323" i="14609"/>
  <c r="CF323" i="14609"/>
  <c r="CG323" i="14609"/>
  <c r="CH323" i="14609"/>
  <c r="CI323" i="14609"/>
  <c r="CJ323" i="14609"/>
  <c r="CK323" i="14609"/>
  <c r="CL323" i="14609"/>
  <c r="CM323" i="14609"/>
  <c r="CN323" i="14609"/>
  <c r="CO323" i="14609"/>
  <c r="CP323" i="14609"/>
  <c r="CQ323" i="14609"/>
  <c r="CR323" i="14609"/>
  <c r="CS323" i="14609"/>
  <c r="CT323" i="14609"/>
  <c r="CU323" i="14609"/>
  <c r="CV323" i="14609"/>
  <c r="CW323" i="14609"/>
  <c r="CX323" i="14609"/>
  <c r="CY323" i="14609"/>
  <c r="CZ323" i="14609"/>
  <c r="DA323" i="14609"/>
  <c r="DB323" i="14609"/>
  <c r="DC323" i="14609"/>
  <c r="DD323" i="14609"/>
  <c r="DE323" i="14609"/>
  <c r="DF323" i="14609"/>
  <c r="DG323" i="14609"/>
  <c r="DH323" i="14609"/>
  <c r="DI323" i="14609"/>
  <c r="DJ323" i="14609"/>
  <c r="DK323" i="14609"/>
  <c r="DL323" i="14609"/>
  <c r="DM323" i="14609"/>
  <c r="DN323" i="14609"/>
  <c r="DO323" i="14609"/>
  <c r="DP323" i="14609"/>
  <c r="DQ323" i="14609"/>
  <c r="DR323" i="14609"/>
  <c r="DS323" i="14609"/>
  <c r="DT323" i="14609"/>
  <c r="DU323" i="14609"/>
  <c r="DV323" i="14609"/>
  <c r="DW323" i="14609"/>
  <c r="DX323" i="14609"/>
  <c r="DY323" i="14609"/>
  <c r="DZ323" i="14609"/>
  <c r="EA323" i="14609"/>
  <c r="EB323" i="14609"/>
  <c r="EC323" i="14609"/>
  <c r="ED323" i="14609"/>
  <c r="EE323" i="14609"/>
  <c r="EF323" i="14609"/>
  <c r="EG323" i="14609"/>
  <c r="EH323" i="14609"/>
  <c r="EI323" i="14609"/>
  <c r="EJ323" i="14609"/>
  <c r="EK323" i="14609"/>
  <c r="EL323" i="14609"/>
  <c r="EM323" i="14609"/>
  <c r="EN323" i="14609"/>
  <c r="EO323" i="14609"/>
  <c r="EP323" i="14609"/>
  <c r="EQ323" i="14609"/>
  <c r="ER323" i="14609"/>
  <c r="ES323" i="14609"/>
  <c r="ET323" i="14609"/>
  <c r="EU323" i="14609"/>
  <c r="EV323" i="14609"/>
  <c r="EW323" i="14609"/>
  <c r="EX323" i="14609"/>
  <c r="EY323" i="14609"/>
  <c r="EZ323" i="14609"/>
  <c r="FA323" i="14609"/>
  <c r="FB323" i="14609"/>
  <c r="FC323" i="14609"/>
  <c r="FD323" i="14609"/>
  <c r="FE323" i="14609"/>
  <c r="FF323" i="14609"/>
  <c r="FG323" i="14609"/>
  <c r="FH323" i="14609"/>
  <c r="FI323" i="14609"/>
  <c r="FJ323" i="14609"/>
  <c r="FK323" i="14609"/>
  <c r="FL323" i="14609"/>
  <c r="FM323" i="14609"/>
  <c r="FN323" i="14609"/>
  <c r="FO323" i="14609"/>
  <c r="FP323" i="14609"/>
  <c r="FQ323" i="14609"/>
  <c r="FR323" i="14609"/>
  <c r="FS323" i="14609"/>
  <c r="FT323" i="14609"/>
  <c r="FU323" i="14609"/>
  <c r="FV323" i="14609"/>
  <c r="FW323" i="14609"/>
  <c r="FX323" i="14609"/>
  <c r="FY323" i="14609"/>
  <c r="FZ323" i="14609"/>
  <c r="GA323" i="14609"/>
  <c r="GB323" i="14609"/>
  <c r="GC323" i="14609"/>
  <c r="GD323" i="14609"/>
  <c r="GE323" i="14609"/>
  <c r="GF323" i="14609"/>
  <c r="GG323" i="14609"/>
  <c r="GH323" i="14609"/>
  <c r="GI323" i="14609"/>
  <c r="GJ323" i="14609"/>
  <c r="GK323" i="14609"/>
  <c r="GL323" i="14609"/>
  <c r="GM323" i="14609"/>
  <c r="GN323" i="14609"/>
  <c r="GO323" i="14609"/>
  <c r="GP323" i="14609"/>
  <c r="GQ323" i="14609"/>
  <c r="GR323" i="14609"/>
  <c r="GS323" i="14609"/>
  <c r="GT323" i="14609"/>
  <c r="GU323" i="14609"/>
  <c r="GV323" i="14609"/>
  <c r="GW323" i="14609"/>
  <c r="GX323" i="14609"/>
  <c r="GY323" i="14609"/>
  <c r="GZ323" i="14609"/>
  <c r="HA323" i="14609"/>
  <c r="HB323" i="14609"/>
  <c r="HC323" i="14609"/>
  <c r="HD323" i="14609"/>
  <c r="HE323" i="14609"/>
  <c r="HF323" i="14609"/>
  <c r="HG323" i="14609"/>
  <c r="HH323" i="14609"/>
  <c r="HI323" i="14609"/>
  <c r="HJ323" i="14609"/>
  <c r="HK323" i="14609"/>
  <c r="HL323" i="14609"/>
  <c r="HM323" i="14609"/>
  <c r="HN323" i="14609"/>
  <c r="HO323" i="14609"/>
  <c r="HP323" i="14609"/>
  <c r="HQ323" i="14609"/>
  <c r="HR323" i="14609"/>
  <c r="HS323" i="14609"/>
  <c r="HT323" i="14609"/>
  <c r="HU323" i="14609"/>
  <c r="HV323" i="14609"/>
  <c r="HW323" i="14609"/>
  <c r="HX323" i="14609"/>
  <c r="HY323" i="14609"/>
  <c r="HZ323" i="14609"/>
  <c r="IA323" i="14609"/>
  <c r="IB323" i="14609"/>
  <c r="IC323" i="14609"/>
  <c r="ID323" i="14609"/>
  <c r="IE323" i="14609"/>
  <c r="IF323" i="14609"/>
  <c r="IG323" i="14609"/>
  <c r="IH323" i="14609"/>
  <c r="II323" i="14609"/>
  <c r="IJ323" i="14609"/>
  <c r="IK323" i="14609"/>
  <c r="IL323" i="14609"/>
  <c r="IM323" i="14609"/>
  <c r="IN323" i="14609"/>
  <c r="IO323" i="14609"/>
  <c r="IP323" i="14609"/>
  <c r="IQ323" i="14609"/>
  <c r="IR323" i="14609"/>
  <c r="IS323" i="14609"/>
  <c r="IT323" i="14609"/>
  <c r="IU323" i="14609"/>
  <c r="IV323" i="14609"/>
  <c r="A322" i="14609"/>
  <c r="B322" i="14609"/>
  <c r="C322" i="14609"/>
  <c r="D322" i="14609"/>
  <c r="E322" i="14609"/>
  <c r="F322" i="14609"/>
  <c r="G322" i="14609"/>
  <c r="H322" i="14609"/>
  <c r="I322" i="14609"/>
  <c r="J322" i="14609"/>
  <c r="K322" i="14609"/>
  <c r="L322" i="14609"/>
  <c r="M322" i="14609"/>
  <c r="N322" i="14609"/>
  <c r="O322" i="14609"/>
  <c r="P322" i="14609"/>
  <c r="Q322" i="14609"/>
  <c r="R322" i="14609"/>
  <c r="S322" i="14609"/>
  <c r="T322" i="14609"/>
  <c r="U322" i="14609"/>
  <c r="V322" i="14609"/>
  <c r="W322" i="14609"/>
  <c r="X322" i="14609"/>
  <c r="Y322" i="14609"/>
  <c r="Z322" i="14609"/>
  <c r="AA322" i="14609"/>
  <c r="AB322" i="14609"/>
  <c r="AC322" i="14609"/>
  <c r="AD322" i="14609"/>
  <c r="AE322" i="14609"/>
  <c r="AF322" i="14609"/>
  <c r="AG322" i="14609"/>
  <c r="AH322" i="14609"/>
  <c r="AI322" i="14609"/>
  <c r="AJ322" i="14609"/>
  <c r="AK322" i="14609"/>
  <c r="AL322" i="14609"/>
  <c r="AM322" i="14609"/>
  <c r="AN322" i="14609"/>
  <c r="AO322" i="14609"/>
  <c r="AP322" i="14609"/>
  <c r="AQ322" i="14609"/>
  <c r="AR322" i="14609"/>
  <c r="AS322" i="14609"/>
  <c r="AT322" i="14609"/>
  <c r="AU322" i="14609"/>
  <c r="AV322" i="14609"/>
  <c r="AW322" i="14609"/>
  <c r="AX322" i="14609"/>
  <c r="AY322" i="14609"/>
  <c r="AZ322" i="14609"/>
  <c r="BA322" i="14609"/>
  <c r="BB322" i="14609"/>
  <c r="BC322" i="14609"/>
  <c r="BD322" i="14609"/>
  <c r="BE322" i="14609"/>
  <c r="BF322" i="14609"/>
  <c r="BG322" i="14609"/>
  <c r="BH322" i="14609"/>
  <c r="BI322" i="14609"/>
  <c r="BJ322" i="14609"/>
  <c r="BK322" i="14609"/>
  <c r="BL322" i="14609"/>
  <c r="BM322" i="14609"/>
  <c r="BN322" i="14609"/>
  <c r="BO322" i="14609"/>
  <c r="BP322" i="14609"/>
  <c r="BQ322" i="14609"/>
  <c r="BR322" i="14609"/>
  <c r="BS322" i="14609"/>
  <c r="BT322" i="14609"/>
  <c r="BU322" i="14609"/>
  <c r="BV322" i="14609"/>
  <c r="BW322" i="14609"/>
  <c r="BX322" i="14609"/>
  <c r="BY322" i="14609"/>
  <c r="BZ322" i="14609"/>
  <c r="CA322" i="14609"/>
  <c r="CB322" i="14609"/>
  <c r="CC322" i="14609"/>
  <c r="CD322" i="14609"/>
  <c r="CE322" i="14609"/>
  <c r="CF322" i="14609"/>
  <c r="CG322" i="14609"/>
  <c r="CH322" i="14609"/>
  <c r="CI322" i="14609"/>
  <c r="CJ322" i="14609"/>
  <c r="CK322" i="14609"/>
  <c r="CL322" i="14609"/>
  <c r="CM322" i="14609"/>
  <c r="CN322" i="14609"/>
  <c r="CO322" i="14609"/>
  <c r="CP322" i="14609"/>
  <c r="CQ322" i="14609"/>
  <c r="CR322" i="14609"/>
  <c r="CS322" i="14609"/>
  <c r="CT322" i="14609"/>
  <c r="CU322" i="14609"/>
  <c r="CV322" i="14609"/>
  <c r="CW322" i="14609"/>
  <c r="CX322" i="14609"/>
  <c r="CY322" i="14609"/>
  <c r="CZ322" i="14609"/>
  <c r="DA322" i="14609"/>
  <c r="DB322" i="14609"/>
  <c r="DC322" i="14609"/>
  <c r="DD322" i="14609"/>
  <c r="DE322" i="14609"/>
  <c r="DF322" i="14609"/>
  <c r="DG322" i="14609"/>
  <c r="DH322" i="14609"/>
  <c r="DI322" i="14609"/>
  <c r="DJ322" i="14609"/>
  <c r="DK322" i="14609"/>
  <c r="DL322" i="14609"/>
  <c r="DM322" i="14609"/>
  <c r="DN322" i="14609"/>
  <c r="DO322" i="14609"/>
  <c r="DP322" i="14609"/>
  <c r="DQ322" i="14609"/>
  <c r="DR322" i="14609"/>
  <c r="DS322" i="14609"/>
  <c r="DT322" i="14609"/>
  <c r="DU322" i="14609"/>
  <c r="DV322" i="14609"/>
  <c r="DW322" i="14609"/>
  <c r="DX322" i="14609"/>
  <c r="DY322" i="14609"/>
  <c r="DZ322" i="14609"/>
  <c r="EA322" i="14609"/>
  <c r="EB322" i="14609"/>
  <c r="EC322" i="14609"/>
  <c r="ED322" i="14609"/>
  <c r="EE322" i="14609"/>
  <c r="EF322" i="14609"/>
  <c r="EG322" i="14609"/>
  <c r="EH322" i="14609"/>
  <c r="EI322" i="14609"/>
  <c r="EJ322" i="14609"/>
  <c r="EK322" i="14609"/>
  <c r="EL322" i="14609"/>
  <c r="EM322" i="14609"/>
  <c r="EN322" i="14609"/>
  <c r="EO322" i="14609"/>
  <c r="EP322" i="14609"/>
  <c r="EQ322" i="14609"/>
  <c r="ER322" i="14609"/>
  <c r="ES322" i="14609"/>
  <c r="ET322" i="14609"/>
  <c r="EU322" i="14609"/>
  <c r="EV322" i="14609"/>
  <c r="EW322" i="14609"/>
  <c r="EX322" i="14609"/>
  <c r="EY322" i="14609"/>
  <c r="EZ322" i="14609"/>
  <c r="FA322" i="14609"/>
  <c r="FB322" i="14609"/>
  <c r="FC322" i="14609"/>
  <c r="FD322" i="14609"/>
  <c r="FE322" i="14609"/>
  <c r="FF322" i="14609"/>
  <c r="FG322" i="14609"/>
  <c r="FH322" i="14609"/>
  <c r="FI322" i="14609"/>
  <c r="FJ322" i="14609"/>
  <c r="FK322" i="14609"/>
  <c r="FL322" i="14609"/>
  <c r="FM322" i="14609"/>
  <c r="FN322" i="14609"/>
  <c r="FO322" i="14609"/>
  <c r="FP322" i="14609"/>
  <c r="FQ322" i="14609"/>
  <c r="FR322" i="14609"/>
  <c r="FS322" i="14609"/>
  <c r="FT322" i="14609"/>
  <c r="FU322" i="14609"/>
  <c r="FV322" i="14609"/>
  <c r="FW322" i="14609"/>
  <c r="FX322" i="14609"/>
  <c r="FY322" i="14609"/>
  <c r="FZ322" i="14609"/>
  <c r="GA322" i="14609"/>
  <c r="GB322" i="14609"/>
  <c r="GC322" i="14609"/>
  <c r="GD322" i="14609"/>
  <c r="GE322" i="14609"/>
  <c r="GF322" i="14609"/>
  <c r="GG322" i="14609"/>
  <c r="GH322" i="14609"/>
  <c r="GI322" i="14609"/>
  <c r="GJ322" i="14609"/>
  <c r="GK322" i="14609"/>
  <c r="GL322" i="14609"/>
  <c r="GM322" i="14609"/>
  <c r="GN322" i="14609"/>
  <c r="GO322" i="14609"/>
  <c r="GP322" i="14609"/>
  <c r="GQ322" i="14609"/>
  <c r="GR322" i="14609"/>
  <c r="GS322" i="14609"/>
  <c r="GT322" i="14609"/>
  <c r="GU322" i="14609"/>
  <c r="GV322" i="14609"/>
  <c r="GW322" i="14609"/>
  <c r="GX322" i="14609"/>
  <c r="GY322" i="14609"/>
  <c r="GZ322" i="14609"/>
  <c r="HA322" i="14609"/>
  <c r="HB322" i="14609"/>
  <c r="HC322" i="14609"/>
  <c r="HD322" i="14609"/>
  <c r="HE322" i="14609"/>
  <c r="HF322" i="14609"/>
  <c r="HG322" i="14609"/>
  <c r="HH322" i="14609"/>
  <c r="HI322" i="14609"/>
  <c r="HJ322" i="14609"/>
  <c r="HK322" i="14609"/>
  <c r="HL322" i="14609"/>
  <c r="HM322" i="14609"/>
  <c r="HN322" i="14609"/>
  <c r="HO322" i="14609"/>
  <c r="HP322" i="14609"/>
  <c r="HQ322" i="14609"/>
  <c r="HR322" i="14609"/>
  <c r="HS322" i="14609"/>
  <c r="HT322" i="14609"/>
  <c r="HU322" i="14609"/>
  <c r="HV322" i="14609"/>
  <c r="HW322" i="14609"/>
  <c r="HX322" i="14609"/>
  <c r="HY322" i="14609"/>
  <c r="HZ322" i="14609"/>
  <c r="IA322" i="14609"/>
  <c r="IB322" i="14609"/>
  <c r="IC322" i="14609"/>
  <c r="ID322" i="14609"/>
  <c r="IE322" i="14609"/>
  <c r="IF322" i="14609"/>
  <c r="IG322" i="14609"/>
  <c r="IH322" i="14609"/>
  <c r="II322" i="14609"/>
  <c r="IJ322" i="14609"/>
  <c r="IK322" i="14609"/>
  <c r="IL322" i="14609"/>
  <c r="IM322" i="14609"/>
  <c r="IN322" i="14609"/>
  <c r="IO322" i="14609"/>
  <c r="IP322" i="14609"/>
  <c r="IQ322" i="14609"/>
  <c r="IR322" i="14609"/>
  <c r="IS322" i="14609"/>
  <c r="IT322" i="14609"/>
  <c r="IU322" i="14609"/>
  <c r="IV322" i="14609"/>
  <c r="A321" i="14609"/>
  <c r="B321" i="14609"/>
  <c r="C321" i="14609"/>
  <c r="D321" i="14609"/>
  <c r="E321" i="14609"/>
  <c r="F321" i="14609"/>
  <c r="G321" i="14609"/>
  <c r="H321" i="14609"/>
  <c r="I321" i="14609"/>
  <c r="J321" i="14609"/>
  <c r="K321" i="14609"/>
  <c r="L321" i="14609"/>
  <c r="M321" i="14609"/>
  <c r="N321" i="14609"/>
  <c r="O321" i="14609"/>
  <c r="P321" i="14609"/>
  <c r="Q321" i="14609"/>
  <c r="R321" i="14609"/>
  <c r="S321" i="14609"/>
  <c r="T321" i="14609"/>
  <c r="U321" i="14609"/>
  <c r="V321" i="14609"/>
  <c r="W321" i="14609"/>
  <c r="X321" i="14609"/>
  <c r="Y321" i="14609"/>
  <c r="Z321" i="14609"/>
  <c r="AA321" i="14609"/>
  <c r="AB321" i="14609"/>
  <c r="AC321" i="14609"/>
  <c r="AD321" i="14609"/>
  <c r="AE321" i="14609"/>
  <c r="AF321" i="14609"/>
  <c r="AG321" i="14609"/>
  <c r="AH321" i="14609"/>
  <c r="AI321" i="14609"/>
  <c r="AJ321" i="14609"/>
  <c r="AK321" i="14609"/>
  <c r="AL321" i="14609"/>
  <c r="AM321" i="14609"/>
  <c r="AN321" i="14609"/>
  <c r="AO321" i="14609"/>
  <c r="AP321" i="14609"/>
  <c r="AQ321" i="14609"/>
  <c r="AR321" i="14609"/>
  <c r="AS321" i="14609"/>
  <c r="AT321" i="14609"/>
  <c r="AU321" i="14609"/>
  <c r="AV321" i="14609"/>
  <c r="AW321" i="14609"/>
  <c r="AX321" i="14609"/>
  <c r="AY321" i="14609"/>
  <c r="AZ321" i="14609"/>
  <c r="BA321" i="14609"/>
  <c r="BB321" i="14609"/>
  <c r="BC321" i="14609"/>
  <c r="BD321" i="14609"/>
  <c r="BE321" i="14609"/>
  <c r="BF321" i="14609"/>
  <c r="BG321" i="14609"/>
  <c r="BH321" i="14609"/>
  <c r="BI321" i="14609"/>
  <c r="BJ321" i="14609"/>
  <c r="BK321" i="14609"/>
  <c r="BL321" i="14609"/>
  <c r="BM321" i="14609"/>
  <c r="BN321" i="14609"/>
  <c r="BO321" i="14609"/>
  <c r="BP321" i="14609"/>
  <c r="BQ321" i="14609"/>
  <c r="BR321" i="14609"/>
  <c r="BS321" i="14609"/>
  <c r="BT321" i="14609"/>
  <c r="BU321" i="14609"/>
  <c r="BV321" i="14609"/>
  <c r="BW321" i="14609"/>
  <c r="BX321" i="14609"/>
  <c r="BY321" i="14609"/>
  <c r="BZ321" i="14609"/>
  <c r="CA321" i="14609"/>
  <c r="CB321" i="14609"/>
  <c r="CC321" i="14609"/>
  <c r="CD321" i="14609"/>
  <c r="CE321" i="14609"/>
  <c r="CF321" i="14609"/>
  <c r="CG321" i="14609"/>
  <c r="CH321" i="14609"/>
  <c r="CI321" i="14609"/>
  <c r="CJ321" i="14609"/>
  <c r="CK321" i="14609"/>
  <c r="CL321" i="14609"/>
  <c r="CM321" i="14609"/>
  <c r="CN321" i="14609"/>
  <c r="CO321" i="14609"/>
  <c r="CP321" i="14609"/>
  <c r="CQ321" i="14609"/>
  <c r="CR321" i="14609"/>
  <c r="CS321" i="14609"/>
  <c r="CT321" i="14609"/>
  <c r="CU321" i="14609"/>
  <c r="CV321" i="14609"/>
  <c r="CW321" i="14609"/>
  <c r="CX321" i="14609"/>
  <c r="CY321" i="14609"/>
  <c r="CZ321" i="14609"/>
  <c r="DA321" i="14609"/>
  <c r="DB321" i="14609"/>
  <c r="DC321" i="14609"/>
  <c r="DD321" i="14609"/>
  <c r="DE321" i="14609"/>
  <c r="DF321" i="14609"/>
  <c r="DG321" i="14609"/>
  <c r="DH321" i="14609"/>
  <c r="DI321" i="14609"/>
  <c r="DJ321" i="14609"/>
  <c r="DK321" i="14609"/>
  <c r="DL321" i="14609"/>
  <c r="DM321" i="14609"/>
  <c r="DN321" i="14609"/>
  <c r="DO321" i="14609"/>
  <c r="DP321" i="14609"/>
  <c r="DQ321" i="14609"/>
  <c r="DR321" i="14609"/>
  <c r="DS321" i="14609"/>
  <c r="DT321" i="14609"/>
  <c r="DU321" i="14609"/>
  <c r="DV321" i="14609"/>
  <c r="DW321" i="14609"/>
  <c r="DX321" i="14609"/>
  <c r="DY321" i="14609"/>
  <c r="DZ321" i="14609"/>
  <c r="EA321" i="14609"/>
  <c r="EB321" i="14609"/>
  <c r="EC321" i="14609"/>
  <c r="ED321" i="14609"/>
  <c r="EE321" i="14609"/>
  <c r="EF321" i="14609"/>
  <c r="EG321" i="14609"/>
  <c r="EH321" i="14609"/>
  <c r="EI321" i="14609"/>
  <c r="EJ321" i="14609"/>
  <c r="EK321" i="14609"/>
  <c r="EL321" i="14609"/>
  <c r="EM321" i="14609"/>
  <c r="EN321" i="14609"/>
  <c r="EO321" i="14609"/>
  <c r="EP321" i="14609"/>
  <c r="EQ321" i="14609"/>
  <c r="ER321" i="14609"/>
  <c r="ES321" i="14609"/>
  <c r="ET321" i="14609"/>
  <c r="EU321" i="14609"/>
  <c r="EV321" i="14609"/>
  <c r="EW321" i="14609"/>
  <c r="EX321" i="14609"/>
  <c r="EY321" i="14609"/>
  <c r="EZ321" i="14609"/>
  <c r="FA321" i="14609"/>
  <c r="FB321" i="14609"/>
  <c r="FC321" i="14609"/>
  <c r="FD321" i="14609"/>
  <c r="FE321" i="14609"/>
  <c r="FF321" i="14609"/>
  <c r="FG321" i="14609"/>
  <c r="FH321" i="14609"/>
  <c r="FI321" i="14609"/>
  <c r="FJ321" i="14609"/>
  <c r="FK321" i="14609"/>
  <c r="FL321" i="14609"/>
  <c r="FM321" i="14609"/>
  <c r="FN321" i="14609"/>
  <c r="FO321" i="14609"/>
  <c r="FP321" i="14609"/>
  <c r="FQ321" i="14609"/>
  <c r="FR321" i="14609"/>
  <c r="FS321" i="14609"/>
  <c r="FT321" i="14609"/>
  <c r="FU321" i="14609"/>
  <c r="FV321" i="14609"/>
  <c r="FW321" i="14609"/>
  <c r="FX321" i="14609"/>
  <c r="FY321" i="14609"/>
  <c r="FZ321" i="14609"/>
  <c r="GA321" i="14609"/>
  <c r="GB321" i="14609"/>
  <c r="GC321" i="14609"/>
  <c r="GD321" i="14609"/>
  <c r="GE321" i="14609"/>
  <c r="GF321" i="14609"/>
  <c r="GG321" i="14609"/>
  <c r="GH321" i="14609"/>
  <c r="GI321" i="14609"/>
  <c r="GJ321" i="14609"/>
  <c r="GK321" i="14609"/>
  <c r="GL321" i="14609"/>
  <c r="GM321" i="14609"/>
  <c r="GN321" i="14609"/>
  <c r="GO321" i="14609"/>
  <c r="GP321" i="14609"/>
  <c r="GQ321" i="14609"/>
  <c r="GR321" i="14609"/>
  <c r="GS321" i="14609"/>
  <c r="GT321" i="14609"/>
  <c r="GU321" i="14609"/>
  <c r="GV321" i="14609"/>
  <c r="GW321" i="14609"/>
  <c r="GX321" i="14609"/>
  <c r="GY321" i="14609"/>
  <c r="GZ321" i="14609"/>
  <c r="HA321" i="14609"/>
  <c r="HB321" i="14609"/>
  <c r="HC321" i="14609"/>
  <c r="HD321" i="14609"/>
  <c r="HE321" i="14609"/>
  <c r="HF321" i="14609"/>
  <c r="HG321" i="14609"/>
  <c r="HH321" i="14609"/>
  <c r="HI321" i="14609"/>
  <c r="HJ321" i="14609"/>
  <c r="HK321" i="14609"/>
  <c r="HL321" i="14609"/>
  <c r="HM321" i="14609"/>
  <c r="HN321" i="14609"/>
  <c r="HO321" i="14609"/>
  <c r="HP321" i="14609"/>
  <c r="HQ321" i="14609"/>
  <c r="HR321" i="14609"/>
  <c r="HS321" i="14609"/>
  <c r="HT321" i="14609"/>
  <c r="HU321" i="14609"/>
  <c r="HV321" i="14609"/>
  <c r="HW321" i="14609"/>
  <c r="HX321" i="14609"/>
  <c r="HY321" i="14609"/>
  <c r="HZ321" i="14609"/>
  <c r="IA321" i="14609"/>
  <c r="IB321" i="14609"/>
  <c r="IC321" i="14609"/>
  <c r="ID321" i="14609"/>
  <c r="IE321" i="14609"/>
  <c r="IF321" i="14609"/>
  <c r="IG321" i="14609"/>
  <c r="IH321" i="14609"/>
  <c r="II321" i="14609"/>
  <c r="IJ321" i="14609"/>
  <c r="IK321" i="14609"/>
  <c r="IL321" i="14609"/>
  <c r="IM321" i="14609"/>
  <c r="IN321" i="14609"/>
  <c r="IO321" i="14609"/>
  <c r="IP321" i="14609"/>
  <c r="IQ321" i="14609"/>
  <c r="IR321" i="14609"/>
  <c r="IS321" i="14609"/>
  <c r="IT321" i="14609"/>
  <c r="IU321" i="14609"/>
  <c r="IV321" i="14609"/>
  <c r="A320" i="14609"/>
  <c r="B320" i="14609"/>
  <c r="C320" i="14609"/>
  <c r="D320" i="14609"/>
  <c r="E320" i="14609"/>
  <c r="F320" i="14609"/>
  <c r="G320" i="14609"/>
  <c r="H320" i="14609"/>
  <c r="I320" i="14609"/>
  <c r="J320" i="14609"/>
  <c r="K320" i="14609"/>
  <c r="L320" i="14609"/>
  <c r="M320" i="14609"/>
  <c r="N320" i="14609"/>
  <c r="O320" i="14609"/>
  <c r="P320" i="14609"/>
  <c r="Q320" i="14609"/>
  <c r="R320" i="14609"/>
  <c r="S320" i="14609"/>
  <c r="T320" i="14609"/>
  <c r="U320" i="14609"/>
  <c r="V320" i="14609"/>
  <c r="W320" i="14609"/>
  <c r="X320" i="14609"/>
  <c r="Y320" i="14609"/>
  <c r="Z320" i="14609"/>
  <c r="AA320" i="14609"/>
  <c r="AB320" i="14609"/>
  <c r="AC320" i="14609"/>
  <c r="AD320" i="14609"/>
  <c r="AE320" i="14609"/>
  <c r="AF320" i="14609"/>
  <c r="AG320" i="14609"/>
  <c r="AH320" i="14609"/>
  <c r="AI320" i="14609"/>
  <c r="AJ320" i="14609"/>
  <c r="AK320" i="14609"/>
  <c r="AL320" i="14609"/>
  <c r="AM320" i="14609"/>
  <c r="AN320" i="14609"/>
  <c r="AO320" i="14609"/>
  <c r="AP320" i="14609"/>
  <c r="AQ320" i="14609"/>
  <c r="AR320" i="14609"/>
  <c r="AS320" i="14609"/>
  <c r="AT320" i="14609"/>
  <c r="AU320" i="14609"/>
  <c r="AV320" i="14609"/>
  <c r="AW320" i="14609"/>
  <c r="AX320" i="14609"/>
  <c r="AY320" i="14609"/>
  <c r="AZ320" i="14609"/>
  <c r="BA320" i="14609"/>
  <c r="BB320" i="14609"/>
  <c r="BC320" i="14609"/>
  <c r="BD320" i="14609"/>
  <c r="BE320" i="14609"/>
  <c r="BF320" i="14609"/>
  <c r="BG320" i="14609"/>
  <c r="BH320" i="14609"/>
  <c r="BI320" i="14609"/>
  <c r="BJ320" i="14609"/>
  <c r="BK320" i="14609"/>
  <c r="BL320" i="14609"/>
  <c r="BM320" i="14609"/>
  <c r="BN320" i="14609"/>
  <c r="BO320" i="14609"/>
  <c r="BP320" i="14609"/>
  <c r="BQ320" i="14609"/>
  <c r="BR320" i="14609"/>
  <c r="BS320" i="14609"/>
  <c r="BT320" i="14609"/>
  <c r="BU320" i="14609"/>
  <c r="BV320" i="14609"/>
  <c r="BW320" i="14609"/>
  <c r="BX320" i="14609"/>
  <c r="BY320" i="14609"/>
  <c r="BZ320" i="14609"/>
  <c r="CA320" i="14609"/>
  <c r="CB320" i="14609"/>
  <c r="CC320" i="14609"/>
  <c r="CD320" i="14609"/>
  <c r="CE320" i="14609"/>
  <c r="CF320" i="14609"/>
  <c r="CG320" i="14609"/>
  <c r="CH320" i="14609"/>
  <c r="CI320" i="14609"/>
  <c r="CJ320" i="14609"/>
  <c r="CK320" i="14609"/>
  <c r="CL320" i="14609"/>
  <c r="CM320" i="14609"/>
  <c r="CN320" i="14609"/>
  <c r="CO320" i="14609"/>
  <c r="CP320" i="14609"/>
  <c r="CQ320" i="14609"/>
  <c r="CR320" i="14609"/>
  <c r="CS320" i="14609"/>
  <c r="CT320" i="14609"/>
  <c r="CU320" i="14609"/>
  <c r="CV320" i="14609"/>
  <c r="CW320" i="14609"/>
  <c r="CX320" i="14609"/>
  <c r="CY320" i="14609"/>
  <c r="CZ320" i="14609"/>
  <c r="DA320" i="14609"/>
  <c r="DB320" i="14609"/>
  <c r="DC320" i="14609"/>
  <c r="DD320" i="14609"/>
  <c r="DE320" i="14609"/>
  <c r="DF320" i="14609"/>
  <c r="DG320" i="14609"/>
  <c r="DH320" i="14609"/>
  <c r="DI320" i="14609"/>
  <c r="DJ320" i="14609"/>
  <c r="DK320" i="14609"/>
  <c r="DL320" i="14609"/>
  <c r="DM320" i="14609"/>
  <c r="DN320" i="14609"/>
  <c r="DO320" i="14609"/>
  <c r="DP320" i="14609"/>
  <c r="DQ320" i="14609"/>
  <c r="DR320" i="14609"/>
  <c r="DS320" i="14609"/>
  <c r="DT320" i="14609"/>
  <c r="DU320" i="14609"/>
  <c r="DV320" i="14609"/>
  <c r="DW320" i="14609"/>
  <c r="DX320" i="14609"/>
  <c r="DY320" i="14609"/>
  <c r="DZ320" i="14609"/>
  <c r="EA320" i="14609"/>
  <c r="EB320" i="14609"/>
  <c r="EC320" i="14609"/>
  <c r="ED320" i="14609"/>
  <c r="EE320" i="14609"/>
  <c r="EF320" i="14609"/>
  <c r="EG320" i="14609"/>
  <c r="EH320" i="14609"/>
  <c r="EI320" i="14609"/>
  <c r="EJ320" i="14609"/>
  <c r="EK320" i="14609"/>
  <c r="EL320" i="14609"/>
  <c r="EM320" i="14609"/>
  <c r="EN320" i="14609"/>
  <c r="EO320" i="14609"/>
  <c r="EP320" i="14609"/>
  <c r="EQ320" i="14609"/>
  <c r="ER320" i="14609"/>
  <c r="ES320" i="14609"/>
  <c r="ET320" i="14609"/>
  <c r="EU320" i="14609"/>
  <c r="EV320" i="14609"/>
  <c r="EW320" i="14609"/>
  <c r="EX320" i="14609"/>
  <c r="EY320" i="14609"/>
  <c r="EZ320" i="14609"/>
  <c r="FA320" i="14609"/>
  <c r="FB320" i="14609"/>
  <c r="FC320" i="14609"/>
  <c r="FD320" i="14609"/>
  <c r="FE320" i="14609"/>
  <c r="FF320" i="14609"/>
  <c r="FG320" i="14609"/>
  <c r="FH320" i="14609"/>
  <c r="FI320" i="14609"/>
  <c r="FJ320" i="14609"/>
  <c r="FK320" i="14609"/>
  <c r="FL320" i="14609"/>
  <c r="FM320" i="14609"/>
  <c r="FN320" i="14609"/>
  <c r="FO320" i="14609"/>
  <c r="FP320" i="14609"/>
  <c r="FQ320" i="14609"/>
  <c r="FR320" i="14609"/>
  <c r="FS320" i="14609"/>
  <c r="FT320" i="14609"/>
  <c r="FU320" i="14609"/>
  <c r="FV320" i="14609"/>
  <c r="FW320" i="14609"/>
  <c r="FX320" i="14609"/>
  <c r="FY320" i="14609"/>
  <c r="FZ320" i="14609"/>
  <c r="GA320" i="14609"/>
  <c r="GB320" i="14609"/>
  <c r="GC320" i="14609"/>
  <c r="GD320" i="14609"/>
  <c r="GE320" i="14609"/>
  <c r="GF320" i="14609"/>
  <c r="GG320" i="14609"/>
  <c r="GH320" i="14609"/>
  <c r="GI320" i="14609"/>
  <c r="GJ320" i="14609"/>
  <c r="GK320" i="14609"/>
  <c r="GL320" i="14609"/>
  <c r="GM320" i="14609"/>
  <c r="GN320" i="14609"/>
  <c r="GO320" i="14609"/>
  <c r="GP320" i="14609"/>
  <c r="GQ320" i="14609"/>
  <c r="GR320" i="14609"/>
  <c r="GS320" i="14609"/>
  <c r="GT320" i="14609"/>
  <c r="GU320" i="14609"/>
  <c r="GV320" i="14609"/>
  <c r="GW320" i="14609"/>
  <c r="GX320" i="14609"/>
  <c r="GY320" i="14609"/>
  <c r="GZ320" i="14609"/>
  <c r="HA320" i="14609"/>
  <c r="HB320" i="14609"/>
  <c r="HC320" i="14609"/>
  <c r="HD320" i="14609"/>
  <c r="HE320" i="14609"/>
  <c r="HF320" i="14609"/>
  <c r="HG320" i="14609"/>
  <c r="HH320" i="14609"/>
  <c r="HI320" i="14609"/>
  <c r="HJ320" i="14609"/>
  <c r="HK320" i="14609"/>
  <c r="HL320" i="14609"/>
  <c r="HM320" i="14609"/>
  <c r="HN320" i="14609"/>
  <c r="HO320" i="14609"/>
  <c r="HP320" i="14609"/>
  <c r="HQ320" i="14609"/>
  <c r="HR320" i="14609"/>
  <c r="HS320" i="14609"/>
  <c r="HT320" i="14609"/>
  <c r="HU320" i="14609"/>
  <c r="HV320" i="14609"/>
  <c r="HW320" i="14609"/>
  <c r="HX320" i="14609"/>
  <c r="HY320" i="14609"/>
  <c r="HZ320" i="14609"/>
  <c r="IA320" i="14609"/>
  <c r="IB320" i="14609"/>
  <c r="IC320" i="14609"/>
  <c r="ID320" i="14609"/>
  <c r="IE320" i="14609"/>
  <c r="IF320" i="14609"/>
  <c r="IG320" i="14609"/>
  <c r="IH320" i="14609"/>
  <c r="II320" i="14609"/>
  <c r="IJ320" i="14609"/>
  <c r="IK320" i="14609"/>
  <c r="IL320" i="14609"/>
  <c r="IM320" i="14609"/>
  <c r="IN320" i="14609"/>
  <c r="IO320" i="14609"/>
  <c r="IP320" i="14609"/>
  <c r="IQ320" i="14609"/>
  <c r="IR320" i="14609"/>
  <c r="IS320" i="14609"/>
  <c r="IT320" i="14609"/>
  <c r="IU320" i="14609"/>
  <c r="IV320" i="14609"/>
  <c r="A319" i="14609"/>
  <c r="B319" i="14609"/>
  <c r="C319" i="14609"/>
  <c r="D319" i="14609"/>
  <c r="E319" i="14609"/>
  <c r="F319" i="14609"/>
  <c r="G319" i="14609"/>
  <c r="H319" i="14609"/>
  <c r="I319" i="14609"/>
  <c r="J319" i="14609"/>
  <c r="K319" i="14609"/>
  <c r="L319" i="14609"/>
  <c r="M319" i="14609"/>
  <c r="N319" i="14609"/>
  <c r="O319" i="14609"/>
  <c r="P319" i="14609"/>
  <c r="Q319" i="14609"/>
  <c r="R319" i="14609"/>
  <c r="S319" i="14609"/>
  <c r="T319" i="14609"/>
  <c r="U319" i="14609"/>
  <c r="V319" i="14609"/>
  <c r="W319" i="14609"/>
  <c r="X319" i="14609"/>
  <c r="Y319" i="14609"/>
  <c r="Z319" i="14609"/>
  <c r="AA319" i="14609"/>
  <c r="AB319" i="14609"/>
  <c r="AC319" i="14609"/>
  <c r="AD319" i="14609"/>
  <c r="AE319" i="14609"/>
  <c r="AF319" i="14609"/>
  <c r="AG319" i="14609"/>
  <c r="AH319" i="14609"/>
  <c r="AI319" i="14609"/>
  <c r="AJ319" i="14609"/>
  <c r="AK319" i="14609"/>
  <c r="AL319" i="14609"/>
  <c r="AM319" i="14609"/>
  <c r="AN319" i="14609"/>
  <c r="AO319" i="14609"/>
  <c r="AP319" i="14609"/>
  <c r="AQ319" i="14609"/>
  <c r="AR319" i="14609"/>
  <c r="AS319" i="14609"/>
  <c r="AT319" i="14609"/>
  <c r="AU319" i="14609"/>
  <c r="AV319" i="14609"/>
  <c r="AW319" i="14609"/>
  <c r="AX319" i="14609"/>
  <c r="AY319" i="14609"/>
  <c r="AZ319" i="14609"/>
  <c r="BA319" i="14609"/>
  <c r="BB319" i="14609"/>
  <c r="BC319" i="14609"/>
  <c r="BD319" i="14609"/>
  <c r="BE319" i="14609"/>
  <c r="BF319" i="14609"/>
  <c r="BG319" i="14609"/>
  <c r="BH319" i="14609"/>
  <c r="BI319" i="14609"/>
  <c r="BJ319" i="14609"/>
  <c r="BK319" i="14609"/>
  <c r="BL319" i="14609"/>
  <c r="BM319" i="14609"/>
  <c r="BN319" i="14609"/>
  <c r="BO319" i="14609"/>
  <c r="BP319" i="14609"/>
  <c r="BQ319" i="14609"/>
  <c r="BR319" i="14609"/>
  <c r="BS319" i="14609"/>
  <c r="BT319" i="14609"/>
  <c r="BU319" i="14609"/>
  <c r="BV319" i="14609"/>
  <c r="BW319" i="14609"/>
  <c r="BX319" i="14609"/>
  <c r="BY319" i="14609"/>
  <c r="BZ319" i="14609"/>
  <c r="CA319" i="14609"/>
  <c r="CB319" i="14609"/>
  <c r="CC319" i="14609"/>
  <c r="CD319" i="14609"/>
  <c r="CE319" i="14609"/>
  <c r="CF319" i="14609"/>
  <c r="CG319" i="14609"/>
  <c r="CH319" i="14609"/>
  <c r="CI319" i="14609"/>
  <c r="CJ319" i="14609"/>
  <c r="CK319" i="14609"/>
  <c r="CL319" i="14609"/>
  <c r="CM319" i="14609"/>
  <c r="CN319" i="14609"/>
  <c r="CO319" i="14609"/>
  <c r="CP319" i="14609"/>
  <c r="CQ319" i="14609"/>
  <c r="CR319" i="14609"/>
  <c r="CS319" i="14609"/>
  <c r="CT319" i="14609"/>
  <c r="CU319" i="14609"/>
  <c r="CV319" i="14609"/>
  <c r="CW319" i="14609"/>
  <c r="CX319" i="14609"/>
  <c r="CY319" i="14609"/>
  <c r="CZ319" i="14609"/>
  <c r="DA319" i="14609"/>
  <c r="DB319" i="14609"/>
  <c r="DC319" i="14609"/>
  <c r="DD319" i="14609"/>
  <c r="DE319" i="14609"/>
  <c r="DF319" i="14609"/>
  <c r="DG319" i="14609"/>
  <c r="DH319" i="14609"/>
  <c r="DI319" i="14609"/>
  <c r="DJ319" i="14609"/>
  <c r="DK319" i="14609"/>
  <c r="DL319" i="14609"/>
  <c r="DM319" i="14609"/>
  <c r="DN319" i="14609"/>
  <c r="DO319" i="14609"/>
  <c r="DP319" i="14609"/>
  <c r="DQ319" i="14609"/>
  <c r="DR319" i="14609"/>
  <c r="DS319" i="14609"/>
  <c r="DT319" i="14609"/>
  <c r="DU319" i="14609"/>
  <c r="DV319" i="14609"/>
  <c r="DW319" i="14609"/>
  <c r="DX319" i="14609"/>
  <c r="DY319" i="14609"/>
  <c r="DZ319" i="14609"/>
  <c r="EA319" i="14609"/>
  <c r="EB319" i="14609"/>
  <c r="EC319" i="14609"/>
  <c r="ED319" i="14609"/>
  <c r="EE319" i="14609"/>
  <c r="EF319" i="14609"/>
  <c r="EG319" i="14609"/>
  <c r="EH319" i="14609"/>
  <c r="EI319" i="14609"/>
  <c r="EJ319" i="14609"/>
  <c r="EK319" i="14609"/>
  <c r="EL319" i="14609"/>
  <c r="EM319" i="14609"/>
  <c r="EN319" i="14609"/>
  <c r="EO319" i="14609"/>
  <c r="EP319" i="14609"/>
  <c r="EQ319" i="14609"/>
  <c r="ER319" i="14609"/>
  <c r="ES319" i="14609"/>
  <c r="ET319" i="14609"/>
  <c r="EU319" i="14609"/>
  <c r="EV319" i="14609"/>
  <c r="EW319" i="14609"/>
  <c r="EX319" i="14609"/>
  <c r="EY319" i="14609"/>
  <c r="EZ319" i="14609"/>
  <c r="FA319" i="14609"/>
  <c r="FB319" i="14609"/>
  <c r="FC319" i="14609"/>
  <c r="FD319" i="14609"/>
  <c r="FE319" i="14609"/>
  <c r="FF319" i="14609"/>
  <c r="FG319" i="14609"/>
  <c r="FH319" i="14609"/>
  <c r="FI319" i="14609"/>
  <c r="FJ319" i="14609"/>
  <c r="FK319" i="14609"/>
  <c r="FL319" i="14609"/>
  <c r="FM319" i="14609"/>
  <c r="FN319" i="14609"/>
  <c r="FO319" i="14609"/>
  <c r="FP319" i="14609"/>
  <c r="FQ319" i="14609"/>
  <c r="FR319" i="14609"/>
  <c r="FS319" i="14609"/>
  <c r="FT319" i="14609"/>
  <c r="FU319" i="14609"/>
  <c r="FV319" i="14609"/>
  <c r="FW319" i="14609"/>
  <c r="FX319" i="14609"/>
  <c r="FY319" i="14609"/>
  <c r="FZ319" i="14609"/>
  <c r="GA319" i="14609"/>
  <c r="GB319" i="14609"/>
  <c r="GC319" i="14609"/>
  <c r="GD319" i="14609"/>
  <c r="GE319" i="14609"/>
  <c r="GF319" i="14609"/>
  <c r="GG319" i="14609"/>
  <c r="GH319" i="14609"/>
  <c r="GI319" i="14609"/>
  <c r="GJ319" i="14609"/>
  <c r="GK319" i="14609"/>
  <c r="GL319" i="14609"/>
  <c r="GM319" i="14609"/>
  <c r="GN319" i="14609"/>
  <c r="GO319" i="14609"/>
  <c r="GP319" i="14609"/>
  <c r="GQ319" i="14609"/>
  <c r="GR319" i="14609"/>
  <c r="GS319" i="14609"/>
  <c r="GT319" i="14609"/>
  <c r="GU319" i="14609"/>
  <c r="GV319" i="14609"/>
  <c r="GW319" i="14609"/>
  <c r="GX319" i="14609"/>
  <c r="GY319" i="14609"/>
  <c r="GZ319" i="14609"/>
  <c r="HA319" i="14609"/>
  <c r="HB319" i="14609"/>
  <c r="HC319" i="14609"/>
  <c r="HD319" i="14609"/>
  <c r="HE319" i="14609"/>
  <c r="HF319" i="14609"/>
  <c r="HG319" i="14609"/>
  <c r="HH319" i="14609"/>
  <c r="HI319" i="14609"/>
  <c r="HJ319" i="14609"/>
  <c r="HK319" i="14609"/>
  <c r="HL319" i="14609"/>
  <c r="HM319" i="14609"/>
  <c r="HN319" i="14609"/>
  <c r="HO319" i="14609"/>
  <c r="HP319" i="14609"/>
  <c r="HQ319" i="14609"/>
  <c r="HR319" i="14609"/>
  <c r="HS319" i="14609"/>
  <c r="HT319" i="14609"/>
  <c r="HU319" i="14609"/>
  <c r="HV319" i="14609"/>
  <c r="HW319" i="14609"/>
  <c r="HX319" i="14609"/>
  <c r="HY319" i="14609"/>
  <c r="HZ319" i="14609"/>
  <c r="IA319" i="14609"/>
  <c r="IB319" i="14609"/>
  <c r="IC319" i="14609"/>
  <c r="ID319" i="14609"/>
  <c r="IE319" i="14609"/>
  <c r="IF319" i="14609"/>
  <c r="IG319" i="14609"/>
  <c r="IH319" i="14609"/>
  <c r="II319" i="14609"/>
  <c r="IJ319" i="14609"/>
  <c r="IK319" i="14609"/>
  <c r="IL319" i="14609"/>
  <c r="IM319" i="14609"/>
  <c r="IN319" i="14609"/>
  <c r="IO319" i="14609"/>
  <c r="IP319" i="14609"/>
  <c r="IQ319" i="14609"/>
  <c r="IR319" i="14609"/>
  <c r="IS319" i="14609"/>
  <c r="IT319" i="14609"/>
  <c r="IU319" i="14609"/>
  <c r="IV319" i="14609"/>
  <c r="A318" i="14609"/>
  <c r="B318" i="14609"/>
  <c r="C318" i="14609"/>
  <c r="D318" i="14609"/>
  <c r="E318" i="14609"/>
  <c r="F318" i="14609"/>
  <c r="G318" i="14609"/>
  <c r="H318" i="14609"/>
  <c r="I318" i="14609"/>
  <c r="J318" i="14609"/>
  <c r="K318" i="14609"/>
  <c r="L318" i="14609"/>
  <c r="M318" i="14609"/>
  <c r="N318" i="14609"/>
  <c r="O318" i="14609"/>
  <c r="P318" i="14609"/>
  <c r="Q318" i="14609"/>
  <c r="R318" i="14609"/>
  <c r="S318" i="14609"/>
  <c r="T318" i="14609"/>
  <c r="U318" i="14609"/>
  <c r="V318" i="14609"/>
  <c r="W318" i="14609"/>
  <c r="X318" i="14609"/>
  <c r="Y318" i="14609"/>
  <c r="Z318" i="14609"/>
  <c r="AA318" i="14609"/>
  <c r="AB318" i="14609"/>
  <c r="AC318" i="14609"/>
  <c r="AD318" i="14609"/>
  <c r="AE318" i="14609"/>
  <c r="AF318" i="14609"/>
  <c r="AG318" i="14609"/>
  <c r="AH318" i="14609"/>
  <c r="AI318" i="14609"/>
  <c r="AJ318" i="14609"/>
  <c r="AK318" i="14609"/>
  <c r="AL318" i="14609"/>
  <c r="AM318" i="14609"/>
  <c r="AN318" i="14609"/>
  <c r="AO318" i="14609"/>
  <c r="AP318" i="14609"/>
  <c r="AQ318" i="14609"/>
  <c r="AR318" i="14609"/>
  <c r="AS318" i="14609"/>
  <c r="AT318" i="14609"/>
  <c r="AU318" i="14609"/>
  <c r="AV318" i="14609"/>
  <c r="AW318" i="14609"/>
  <c r="AX318" i="14609"/>
  <c r="AY318" i="14609"/>
  <c r="AZ318" i="14609"/>
  <c r="BA318" i="14609"/>
  <c r="BB318" i="14609"/>
  <c r="BC318" i="14609"/>
  <c r="BD318" i="14609"/>
  <c r="BE318" i="14609"/>
  <c r="BF318" i="14609"/>
  <c r="BG318" i="14609"/>
  <c r="BH318" i="14609"/>
  <c r="BI318" i="14609"/>
  <c r="BJ318" i="14609"/>
  <c r="BK318" i="14609"/>
  <c r="BL318" i="14609"/>
  <c r="BM318" i="14609"/>
  <c r="BN318" i="14609"/>
  <c r="BO318" i="14609"/>
  <c r="BP318" i="14609"/>
  <c r="BQ318" i="14609"/>
  <c r="BR318" i="14609"/>
  <c r="BS318" i="14609"/>
  <c r="BT318" i="14609"/>
  <c r="BU318" i="14609"/>
  <c r="BV318" i="14609"/>
  <c r="BW318" i="14609"/>
  <c r="BX318" i="14609"/>
  <c r="BY318" i="14609"/>
  <c r="BZ318" i="14609"/>
  <c r="CA318" i="14609"/>
  <c r="CB318" i="14609"/>
  <c r="CC318" i="14609"/>
  <c r="CD318" i="14609"/>
  <c r="CE318" i="14609"/>
  <c r="CF318" i="14609"/>
  <c r="CG318" i="14609"/>
  <c r="CH318" i="14609"/>
  <c r="CI318" i="14609"/>
  <c r="CJ318" i="14609"/>
  <c r="CK318" i="14609"/>
  <c r="CL318" i="14609"/>
  <c r="CM318" i="14609"/>
  <c r="CN318" i="14609"/>
  <c r="CO318" i="14609"/>
  <c r="CP318" i="14609"/>
  <c r="CQ318" i="14609"/>
  <c r="CR318" i="14609"/>
  <c r="CS318" i="14609"/>
  <c r="CT318" i="14609"/>
  <c r="CU318" i="14609"/>
  <c r="CV318" i="14609"/>
  <c r="CW318" i="14609"/>
  <c r="CX318" i="14609"/>
  <c r="CY318" i="14609"/>
  <c r="CZ318" i="14609"/>
  <c r="DA318" i="14609"/>
  <c r="DB318" i="14609"/>
  <c r="DC318" i="14609"/>
  <c r="DD318" i="14609"/>
  <c r="DE318" i="14609"/>
  <c r="DF318" i="14609"/>
  <c r="DG318" i="14609"/>
  <c r="DH318" i="14609"/>
  <c r="DI318" i="14609"/>
  <c r="DJ318" i="14609"/>
  <c r="DK318" i="14609"/>
  <c r="DL318" i="14609"/>
  <c r="DM318" i="14609"/>
  <c r="DN318" i="14609"/>
  <c r="DO318" i="14609"/>
  <c r="DP318" i="14609"/>
  <c r="DQ318" i="14609"/>
  <c r="DR318" i="14609"/>
  <c r="DS318" i="14609"/>
  <c r="DT318" i="14609"/>
  <c r="DU318" i="14609"/>
  <c r="DV318" i="14609"/>
  <c r="DW318" i="14609"/>
  <c r="DX318" i="14609"/>
  <c r="DY318" i="14609"/>
  <c r="DZ318" i="14609"/>
  <c r="EA318" i="14609"/>
  <c r="EB318" i="14609"/>
  <c r="EC318" i="14609"/>
  <c r="ED318" i="14609"/>
  <c r="EE318" i="14609"/>
  <c r="EF318" i="14609"/>
  <c r="EG318" i="14609"/>
  <c r="EH318" i="14609"/>
  <c r="EI318" i="14609"/>
  <c r="EJ318" i="14609"/>
  <c r="EK318" i="14609"/>
  <c r="EL318" i="14609"/>
  <c r="EM318" i="14609"/>
  <c r="EN318" i="14609"/>
  <c r="EO318" i="14609"/>
  <c r="EP318" i="14609"/>
  <c r="EQ318" i="14609"/>
  <c r="ER318" i="14609"/>
  <c r="ES318" i="14609"/>
  <c r="ET318" i="14609"/>
  <c r="EU318" i="14609"/>
  <c r="EV318" i="14609"/>
  <c r="EW318" i="14609"/>
  <c r="EX318" i="14609"/>
  <c r="EY318" i="14609"/>
  <c r="EZ318" i="14609"/>
  <c r="FA318" i="14609"/>
  <c r="FB318" i="14609"/>
  <c r="FC318" i="14609"/>
  <c r="FD318" i="14609"/>
  <c r="FE318" i="14609"/>
  <c r="FF318" i="14609"/>
  <c r="FG318" i="14609"/>
  <c r="FH318" i="14609"/>
  <c r="FI318" i="14609"/>
  <c r="FJ318" i="14609"/>
  <c r="FK318" i="14609"/>
  <c r="FL318" i="14609"/>
  <c r="FM318" i="14609"/>
  <c r="FN318" i="14609"/>
  <c r="FO318" i="14609"/>
  <c r="FP318" i="14609"/>
  <c r="FQ318" i="14609"/>
  <c r="FR318" i="14609"/>
  <c r="FS318" i="14609"/>
  <c r="FT318" i="14609"/>
  <c r="FU318" i="14609"/>
  <c r="FV318" i="14609"/>
  <c r="FW318" i="14609"/>
  <c r="FX318" i="14609"/>
  <c r="FY318" i="14609"/>
  <c r="FZ318" i="14609"/>
  <c r="GA318" i="14609"/>
  <c r="GB318" i="14609"/>
  <c r="GC318" i="14609"/>
  <c r="GD318" i="14609"/>
  <c r="GE318" i="14609"/>
  <c r="GF318" i="14609"/>
  <c r="GG318" i="14609"/>
  <c r="GH318" i="14609"/>
  <c r="GI318" i="14609"/>
  <c r="GJ318" i="14609"/>
  <c r="GK318" i="14609"/>
  <c r="GL318" i="14609"/>
  <c r="GM318" i="14609"/>
  <c r="GN318" i="14609"/>
  <c r="GO318" i="14609"/>
  <c r="GP318" i="14609"/>
  <c r="GQ318" i="14609"/>
  <c r="GR318" i="14609"/>
  <c r="GS318" i="14609"/>
  <c r="GT318" i="14609"/>
  <c r="GU318" i="14609"/>
  <c r="GV318" i="14609"/>
  <c r="GW318" i="14609"/>
  <c r="GX318" i="14609"/>
  <c r="GY318" i="14609"/>
  <c r="GZ318" i="14609"/>
  <c r="HA318" i="14609"/>
  <c r="HB318" i="14609"/>
  <c r="HC318" i="14609"/>
  <c r="HD318" i="14609"/>
  <c r="HE318" i="14609"/>
  <c r="HF318" i="14609"/>
  <c r="HG318" i="14609"/>
  <c r="HH318" i="14609"/>
  <c r="HI318" i="14609"/>
  <c r="HJ318" i="14609"/>
  <c r="HK318" i="14609"/>
  <c r="HL318" i="14609"/>
  <c r="HM318" i="14609"/>
  <c r="HN318" i="14609"/>
  <c r="HO318" i="14609"/>
  <c r="HP318" i="14609"/>
  <c r="HQ318" i="14609"/>
  <c r="HR318" i="14609"/>
  <c r="HS318" i="14609"/>
  <c r="HT318" i="14609"/>
  <c r="HU318" i="14609"/>
  <c r="HV318" i="14609"/>
  <c r="HW318" i="14609"/>
  <c r="HX318" i="14609"/>
  <c r="HY318" i="14609"/>
  <c r="HZ318" i="14609"/>
  <c r="IA318" i="14609"/>
  <c r="IB318" i="14609"/>
  <c r="IC318" i="14609"/>
  <c r="ID318" i="14609"/>
  <c r="IE318" i="14609"/>
  <c r="IF318" i="14609"/>
  <c r="IG318" i="14609"/>
  <c r="IH318" i="14609"/>
  <c r="II318" i="14609"/>
  <c r="IJ318" i="14609"/>
  <c r="IK318" i="14609"/>
  <c r="IL318" i="14609"/>
  <c r="IM318" i="14609"/>
  <c r="IN318" i="14609"/>
  <c r="IO318" i="14609"/>
  <c r="IP318" i="14609"/>
  <c r="IQ318" i="14609"/>
  <c r="IR318" i="14609"/>
  <c r="IS318" i="14609"/>
  <c r="IT318" i="14609"/>
  <c r="IU318" i="14609"/>
  <c r="IV318" i="14609"/>
  <c r="A317" i="14609"/>
  <c r="B317" i="14609"/>
  <c r="C317" i="14609"/>
  <c r="D317" i="14609"/>
  <c r="E317" i="14609"/>
  <c r="F317" i="14609"/>
  <c r="G317" i="14609"/>
  <c r="H317" i="14609"/>
  <c r="I317" i="14609"/>
  <c r="J317" i="14609"/>
  <c r="K317" i="14609"/>
  <c r="L317" i="14609"/>
  <c r="M317" i="14609"/>
  <c r="N317" i="14609"/>
  <c r="O317" i="14609"/>
  <c r="P317" i="14609"/>
  <c r="Q317" i="14609"/>
  <c r="R317" i="14609"/>
  <c r="S317" i="14609"/>
  <c r="T317" i="14609"/>
  <c r="U317" i="14609"/>
  <c r="V317" i="14609"/>
  <c r="W317" i="14609"/>
  <c r="X317" i="14609"/>
  <c r="Y317" i="14609"/>
  <c r="Z317" i="14609"/>
  <c r="AA317" i="14609"/>
  <c r="AB317" i="14609"/>
  <c r="AC317" i="14609"/>
  <c r="AD317" i="14609"/>
  <c r="AE317" i="14609"/>
  <c r="AF317" i="14609"/>
  <c r="AG317" i="14609"/>
  <c r="AH317" i="14609"/>
  <c r="AI317" i="14609"/>
  <c r="AJ317" i="14609"/>
  <c r="AK317" i="14609"/>
  <c r="AL317" i="14609"/>
  <c r="AM317" i="14609"/>
  <c r="AN317" i="14609"/>
  <c r="AO317" i="14609"/>
  <c r="AP317" i="14609"/>
  <c r="AQ317" i="14609"/>
  <c r="AR317" i="14609"/>
  <c r="AS317" i="14609"/>
  <c r="AT317" i="14609"/>
  <c r="AU317" i="14609"/>
  <c r="AV317" i="14609"/>
  <c r="AW317" i="14609"/>
  <c r="AX317" i="14609"/>
  <c r="AY317" i="14609"/>
  <c r="AZ317" i="14609"/>
  <c r="BA317" i="14609"/>
  <c r="BB317" i="14609"/>
  <c r="BC317" i="14609"/>
  <c r="BD317" i="14609"/>
  <c r="BE317" i="14609"/>
  <c r="BF317" i="14609"/>
  <c r="BG317" i="14609"/>
  <c r="BH317" i="14609"/>
  <c r="BI317" i="14609"/>
  <c r="BJ317" i="14609"/>
  <c r="BK317" i="14609"/>
  <c r="BL317" i="14609"/>
  <c r="BM317" i="14609"/>
  <c r="BN317" i="14609"/>
  <c r="BO317" i="14609"/>
  <c r="BP317" i="14609"/>
  <c r="BQ317" i="14609"/>
  <c r="BR317" i="14609"/>
  <c r="BS317" i="14609"/>
  <c r="BT317" i="14609"/>
  <c r="BU317" i="14609"/>
  <c r="BV317" i="14609"/>
  <c r="BW317" i="14609"/>
  <c r="BX317" i="14609"/>
  <c r="BY317" i="14609"/>
  <c r="BZ317" i="14609"/>
  <c r="CA317" i="14609"/>
  <c r="CB317" i="14609"/>
  <c r="CC317" i="14609"/>
  <c r="CD317" i="14609"/>
  <c r="CE317" i="14609"/>
  <c r="CF317" i="14609"/>
  <c r="CG317" i="14609"/>
  <c r="CH317" i="14609"/>
  <c r="CI317" i="14609"/>
  <c r="CJ317" i="14609"/>
  <c r="CK317" i="14609"/>
  <c r="CL317" i="14609"/>
  <c r="CM317" i="14609"/>
  <c r="CN317" i="14609"/>
  <c r="CO317" i="14609"/>
  <c r="CP317" i="14609"/>
  <c r="CQ317" i="14609"/>
  <c r="CR317" i="14609"/>
  <c r="CS317" i="14609"/>
  <c r="CT317" i="14609"/>
  <c r="CU317" i="14609"/>
  <c r="CV317" i="14609"/>
  <c r="CW317" i="14609"/>
  <c r="CX317" i="14609"/>
  <c r="CY317" i="14609"/>
  <c r="CZ317" i="14609"/>
  <c r="DA317" i="14609"/>
  <c r="DB317" i="14609"/>
  <c r="DC317" i="14609"/>
  <c r="DD317" i="14609"/>
  <c r="DE317" i="14609"/>
  <c r="DF317" i="14609"/>
  <c r="DG317" i="14609"/>
  <c r="DH317" i="14609"/>
  <c r="DI317" i="14609"/>
  <c r="DJ317" i="14609"/>
  <c r="DK317" i="14609"/>
  <c r="DL317" i="14609"/>
  <c r="DM317" i="14609"/>
  <c r="DN317" i="14609"/>
  <c r="DO317" i="14609"/>
  <c r="DP317" i="14609"/>
  <c r="DQ317" i="14609"/>
  <c r="DR317" i="14609"/>
  <c r="DS317" i="14609"/>
  <c r="DT317" i="14609"/>
  <c r="DU317" i="14609"/>
  <c r="DV317" i="14609"/>
  <c r="DW317" i="14609"/>
  <c r="DX317" i="14609"/>
  <c r="DY317" i="14609"/>
  <c r="DZ317" i="14609"/>
  <c r="EA317" i="14609"/>
  <c r="EB317" i="14609"/>
  <c r="EC317" i="14609"/>
  <c r="ED317" i="14609"/>
  <c r="EE317" i="14609"/>
  <c r="EF317" i="14609"/>
  <c r="EG317" i="14609"/>
  <c r="EH317" i="14609"/>
  <c r="EI317" i="14609"/>
  <c r="EJ317" i="14609"/>
  <c r="EK317" i="14609"/>
  <c r="EL317" i="14609"/>
  <c r="EM317" i="14609"/>
  <c r="EN317" i="14609"/>
  <c r="EO317" i="14609"/>
  <c r="EP317" i="14609"/>
  <c r="EQ317" i="14609"/>
  <c r="ER317" i="14609"/>
  <c r="ES317" i="14609"/>
  <c r="ET317" i="14609"/>
  <c r="EU317" i="14609"/>
  <c r="EV317" i="14609"/>
  <c r="EW317" i="14609"/>
  <c r="EX317" i="14609"/>
  <c r="EY317" i="14609"/>
  <c r="EZ317" i="14609"/>
  <c r="FA317" i="14609"/>
  <c r="FB317" i="14609"/>
  <c r="FC317" i="14609"/>
  <c r="FD317" i="14609"/>
  <c r="FE317" i="14609"/>
  <c r="FF317" i="14609"/>
  <c r="FG317" i="14609"/>
  <c r="FH317" i="14609"/>
  <c r="FI317" i="14609"/>
  <c r="FJ317" i="14609"/>
  <c r="FK317" i="14609"/>
  <c r="FL317" i="14609"/>
  <c r="FM317" i="14609"/>
  <c r="FN317" i="14609"/>
  <c r="FO317" i="14609"/>
  <c r="FP317" i="14609"/>
  <c r="FQ317" i="14609"/>
  <c r="FR317" i="14609"/>
  <c r="FS317" i="14609"/>
  <c r="FT317" i="14609"/>
  <c r="FU317" i="14609"/>
  <c r="FV317" i="14609"/>
  <c r="FW317" i="14609"/>
  <c r="FX317" i="14609"/>
  <c r="FY317" i="14609"/>
  <c r="FZ317" i="14609"/>
  <c r="GA317" i="14609"/>
  <c r="GB317" i="14609"/>
  <c r="GC317" i="14609"/>
  <c r="GD317" i="14609"/>
  <c r="GE317" i="14609"/>
  <c r="GF317" i="14609"/>
  <c r="GG317" i="14609"/>
  <c r="GH317" i="14609"/>
  <c r="GI317" i="14609"/>
  <c r="GJ317" i="14609"/>
  <c r="GK317" i="14609"/>
  <c r="GL317" i="14609"/>
  <c r="GM317" i="14609"/>
  <c r="GN317" i="14609"/>
  <c r="GO317" i="14609"/>
  <c r="GP317" i="14609"/>
  <c r="GQ317" i="14609"/>
  <c r="GR317" i="14609"/>
  <c r="GS317" i="14609"/>
  <c r="GT317" i="14609"/>
  <c r="GU317" i="14609"/>
  <c r="GV317" i="14609"/>
  <c r="GW317" i="14609"/>
  <c r="GX317" i="14609"/>
  <c r="GY317" i="14609"/>
  <c r="GZ317" i="14609"/>
  <c r="HA317" i="14609"/>
  <c r="HB317" i="14609"/>
  <c r="HC317" i="14609"/>
  <c r="HD317" i="14609"/>
  <c r="HE317" i="14609"/>
  <c r="HF317" i="14609"/>
  <c r="HG317" i="14609"/>
  <c r="HH317" i="14609"/>
  <c r="HI317" i="14609"/>
  <c r="HJ317" i="14609"/>
  <c r="HK317" i="14609"/>
  <c r="HL317" i="14609"/>
  <c r="HM317" i="14609"/>
  <c r="HN317" i="14609"/>
  <c r="HO317" i="14609"/>
  <c r="HP317" i="14609"/>
  <c r="HQ317" i="14609"/>
  <c r="HR317" i="14609"/>
  <c r="HS317" i="14609"/>
  <c r="HT317" i="14609"/>
  <c r="HU317" i="14609"/>
  <c r="HV317" i="14609"/>
  <c r="HW317" i="14609"/>
  <c r="HX317" i="14609"/>
  <c r="HY317" i="14609"/>
  <c r="HZ317" i="14609"/>
  <c r="IA317" i="14609"/>
  <c r="IB317" i="14609"/>
  <c r="IC317" i="14609"/>
  <c r="ID317" i="14609"/>
  <c r="IE317" i="14609"/>
  <c r="IF317" i="14609"/>
  <c r="IG317" i="14609"/>
  <c r="IH317" i="14609"/>
  <c r="II317" i="14609"/>
  <c r="IJ317" i="14609"/>
  <c r="IK317" i="14609"/>
  <c r="IL317" i="14609"/>
  <c r="IM317" i="14609"/>
  <c r="IN317" i="14609"/>
  <c r="IO317" i="14609"/>
  <c r="IP317" i="14609"/>
  <c r="IQ317" i="14609"/>
  <c r="IR317" i="14609"/>
  <c r="IS317" i="14609"/>
  <c r="IT317" i="14609"/>
  <c r="IU317" i="14609"/>
  <c r="IV317" i="14609"/>
  <c r="A316" i="14609"/>
  <c r="B316" i="14609"/>
  <c r="C316" i="14609"/>
  <c r="D316" i="14609"/>
  <c r="E316" i="14609"/>
  <c r="F316" i="14609"/>
  <c r="G316" i="14609"/>
  <c r="H316" i="14609"/>
  <c r="I316" i="14609"/>
  <c r="J316" i="14609"/>
  <c r="K316" i="14609"/>
  <c r="L316" i="14609"/>
  <c r="M316" i="14609"/>
  <c r="N316" i="14609"/>
  <c r="O316" i="14609"/>
  <c r="P316" i="14609"/>
  <c r="Q316" i="14609"/>
  <c r="R316" i="14609"/>
  <c r="S316" i="14609"/>
  <c r="T316" i="14609"/>
  <c r="U316" i="14609"/>
  <c r="V316" i="14609"/>
  <c r="W316" i="14609"/>
  <c r="X316" i="14609"/>
  <c r="Y316" i="14609"/>
  <c r="Z316" i="14609"/>
  <c r="AA316" i="14609"/>
  <c r="AB316" i="14609"/>
  <c r="AC316" i="14609"/>
  <c r="AD316" i="14609"/>
  <c r="AE316" i="14609"/>
  <c r="AF316" i="14609"/>
  <c r="AG316" i="14609"/>
  <c r="AH316" i="14609"/>
  <c r="AI316" i="14609"/>
  <c r="AJ316" i="14609"/>
  <c r="AK316" i="14609"/>
  <c r="AL316" i="14609"/>
  <c r="AM316" i="14609"/>
  <c r="AN316" i="14609"/>
  <c r="AO316" i="14609"/>
  <c r="AP316" i="14609"/>
  <c r="AQ316" i="14609"/>
  <c r="AR316" i="14609"/>
  <c r="AS316" i="14609"/>
  <c r="AT316" i="14609"/>
  <c r="AU316" i="14609"/>
  <c r="AV316" i="14609"/>
  <c r="AW316" i="14609"/>
  <c r="AX316" i="14609"/>
  <c r="AY316" i="14609"/>
  <c r="AZ316" i="14609"/>
  <c r="BA316" i="14609"/>
  <c r="BB316" i="14609"/>
  <c r="BC316" i="14609"/>
  <c r="BD316" i="14609"/>
  <c r="BE316" i="14609"/>
  <c r="BF316" i="14609"/>
  <c r="BG316" i="14609"/>
  <c r="BH316" i="14609"/>
  <c r="BI316" i="14609"/>
  <c r="BJ316" i="14609"/>
  <c r="BK316" i="14609"/>
  <c r="BL316" i="14609"/>
  <c r="BM316" i="14609"/>
  <c r="BN316" i="14609"/>
  <c r="BO316" i="14609"/>
  <c r="BP316" i="14609"/>
  <c r="BQ316" i="14609"/>
  <c r="BR316" i="14609"/>
  <c r="BS316" i="14609"/>
  <c r="BT316" i="14609"/>
  <c r="BU316" i="14609"/>
  <c r="BV316" i="14609"/>
  <c r="BW316" i="14609"/>
  <c r="BX316" i="14609"/>
  <c r="BY316" i="14609"/>
  <c r="BZ316" i="14609"/>
  <c r="CA316" i="14609"/>
  <c r="CB316" i="14609"/>
  <c r="CC316" i="14609"/>
  <c r="CD316" i="14609"/>
  <c r="CE316" i="14609"/>
  <c r="CF316" i="14609"/>
  <c r="CG316" i="14609"/>
  <c r="CH316" i="14609"/>
  <c r="CI316" i="14609"/>
  <c r="CJ316" i="14609"/>
  <c r="CK316" i="14609"/>
  <c r="CL316" i="14609"/>
  <c r="CM316" i="14609"/>
  <c r="CN316" i="14609"/>
  <c r="CO316" i="14609"/>
  <c r="CP316" i="14609"/>
  <c r="CQ316" i="14609"/>
  <c r="CR316" i="14609"/>
  <c r="CS316" i="14609"/>
  <c r="CT316" i="14609"/>
  <c r="CU316" i="14609"/>
  <c r="CV316" i="14609"/>
  <c r="CW316" i="14609"/>
  <c r="CX316" i="14609"/>
  <c r="CY316" i="14609"/>
  <c r="CZ316" i="14609"/>
  <c r="DA316" i="14609"/>
  <c r="DB316" i="14609"/>
  <c r="DC316" i="14609"/>
  <c r="DD316" i="14609"/>
  <c r="DE316" i="14609"/>
  <c r="DF316" i="14609"/>
  <c r="DG316" i="14609"/>
  <c r="DH316" i="14609"/>
  <c r="DI316" i="14609"/>
  <c r="DJ316" i="14609"/>
  <c r="DK316" i="14609"/>
  <c r="DL316" i="14609"/>
  <c r="DM316" i="14609"/>
  <c r="DN316" i="14609"/>
  <c r="DO316" i="14609"/>
  <c r="DP316" i="14609"/>
  <c r="DQ316" i="14609"/>
  <c r="DR316" i="14609"/>
  <c r="DS316" i="14609"/>
  <c r="DT316" i="14609"/>
  <c r="DU316" i="14609"/>
  <c r="DV316" i="14609"/>
  <c r="DW316" i="14609"/>
  <c r="DX316" i="14609"/>
  <c r="DY316" i="14609"/>
  <c r="DZ316" i="14609"/>
  <c r="EA316" i="14609"/>
  <c r="EB316" i="14609"/>
  <c r="EC316" i="14609"/>
  <c r="ED316" i="14609"/>
  <c r="EE316" i="14609"/>
  <c r="EF316" i="14609"/>
  <c r="EG316" i="14609"/>
  <c r="EH316" i="14609"/>
  <c r="EI316" i="14609"/>
  <c r="EJ316" i="14609"/>
  <c r="EK316" i="14609"/>
  <c r="EL316" i="14609"/>
  <c r="EM316" i="14609"/>
  <c r="EN316" i="14609"/>
  <c r="EO316" i="14609"/>
  <c r="EP316" i="14609"/>
  <c r="EQ316" i="14609"/>
  <c r="ER316" i="14609"/>
  <c r="ES316" i="14609"/>
  <c r="ET316" i="14609"/>
  <c r="EU316" i="14609"/>
  <c r="EV316" i="14609"/>
  <c r="EW316" i="14609"/>
  <c r="EX316" i="14609"/>
  <c r="EY316" i="14609"/>
  <c r="EZ316" i="14609"/>
  <c r="FA316" i="14609"/>
  <c r="FB316" i="14609"/>
  <c r="FC316" i="14609"/>
  <c r="FD316" i="14609"/>
  <c r="FE316" i="14609"/>
  <c r="FF316" i="14609"/>
  <c r="FG316" i="14609"/>
  <c r="FH316" i="14609"/>
  <c r="FI316" i="14609"/>
  <c r="FJ316" i="14609"/>
  <c r="FK316" i="14609"/>
  <c r="FL316" i="14609"/>
  <c r="FM316" i="14609"/>
  <c r="FN316" i="14609"/>
  <c r="FO316" i="14609"/>
  <c r="FP316" i="14609"/>
  <c r="FQ316" i="14609"/>
  <c r="FR316" i="14609"/>
  <c r="FS316" i="14609"/>
  <c r="FT316" i="14609"/>
  <c r="FU316" i="14609"/>
  <c r="FV316" i="14609"/>
  <c r="FW316" i="14609"/>
  <c r="FX316" i="14609"/>
  <c r="FY316" i="14609"/>
  <c r="FZ316" i="14609"/>
  <c r="GA316" i="14609"/>
  <c r="GB316" i="14609"/>
  <c r="GC316" i="14609"/>
  <c r="GD316" i="14609"/>
  <c r="GE316" i="14609"/>
  <c r="GF316" i="14609"/>
  <c r="GG316" i="14609"/>
  <c r="GH316" i="14609"/>
  <c r="GI316" i="14609"/>
  <c r="GJ316" i="14609"/>
  <c r="GK316" i="14609"/>
  <c r="GL316" i="14609"/>
  <c r="GM316" i="14609"/>
  <c r="GN316" i="14609"/>
  <c r="GO316" i="14609"/>
  <c r="GP316" i="14609"/>
  <c r="GQ316" i="14609"/>
  <c r="GR316" i="14609"/>
  <c r="GS316" i="14609"/>
  <c r="GT316" i="14609"/>
  <c r="GU316" i="14609"/>
  <c r="GV316" i="14609"/>
  <c r="GW316" i="14609"/>
  <c r="GX316" i="14609"/>
  <c r="GY316" i="14609"/>
  <c r="GZ316" i="14609"/>
  <c r="HA316" i="14609"/>
  <c r="HB316" i="14609"/>
  <c r="HC316" i="14609"/>
  <c r="HD316" i="14609"/>
  <c r="HE316" i="14609"/>
  <c r="HF316" i="14609"/>
  <c r="HG316" i="14609"/>
  <c r="HH316" i="14609"/>
  <c r="HI316" i="14609"/>
  <c r="HJ316" i="14609"/>
  <c r="HK316" i="14609"/>
  <c r="HL316" i="14609"/>
  <c r="HM316" i="14609"/>
  <c r="HN316" i="14609"/>
  <c r="HO316" i="14609"/>
  <c r="HP316" i="14609"/>
  <c r="HQ316" i="14609"/>
  <c r="HR316" i="14609"/>
  <c r="HS316" i="14609"/>
  <c r="HT316" i="14609"/>
  <c r="HU316" i="14609"/>
  <c r="HV316" i="14609"/>
  <c r="HW316" i="14609"/>
  <c r="HX316" i="14609"/>
  <c r="HY316" i="14609"/>
  <c r="HZ316" i="14609"/>
  <c r="IA316" i="14609"/>
  <c r="IB316" i="14609"/>
  <c r="IC316" i="14609"/>
  <c r="ID316" i="14609"/>
  <c r="IE316" i="14609"/>
  <c r="IF316" i="14609"/>
  <c r="IG316" i="14609"/>
  <c r="IH316" i="14609"/>
  <c r="II316" i="14609"/>
  <c r="IJ316" i="14609"/>
  <c r="IK316" i="14609"/>
  <c r="IL316" i="14609"/>
  <c r="IM316" i="14609"/>
  <c r="IN316" i="14609"/>
  <c r="IO316" i="14609"/>
  <c r="IP316" i="14609"/>
  <c r="IQ316" i="14609"/>
  <c r="IR316" i="14609"/>
  <c r="IS316" i="14609"/>
  <c r="IT316" i="14609"/>
  <c r="IU316" i="14609"/>
  <c r="IV316" i="14609"/>
  <c r="A315" i="14609"/>
  <c r="B315" i="14609"/>
  <c r="C315" i="14609"/>
  <c r="D315" i="14609"/>
  <c r="E315" i="14609"/>
  <c r="F315" i="14609"/>
  <c r="G315" i="14609"/>
  <c r="H315" i="14609"/>
  <c r="I315" i="14609"/>
  <c r="J315" i="14609"/>
  <c r="K315" i="14609"/>
  <c r="L315" i="14609"/>
  <c r="M315" i="14609"/>
  <c r="N315" i="14609"/>
  <c r="O315" i="14609"/>
  <c r="P315" i="14609"/>
  <c r="Q315" i="14609"/>
  <c r="R315" i="14609"/>
  <c r="S315" i="14609"/>
  <c r="T315" i="14609"/>
  <c r="U315" i="14609"/>
  <c r="V315" i="14609"/>
  <c r="W315" i="14609"/>
  <c r="X315" i="14609"/>
  <c r="Y315" i="14609"/>
  <c r="Z315" i="14609"/>
  <c r="AA315" i="14609"/>
  <c r="AB315" i="14609"/>
  <c r="AC315" i="14609"/>
  <c r="AD315" i="14609"/>
  <c r="AE315" i="14609"/>
  <c r="AF315" i="14609"/>
  <c r="AG315" i="14609"/>
  <c r="AH315" i="14609"/>
  <c r="AI315" i="14609"/>
  <c r="AJ315" i="14609"/>
  <c r="AK315" i="14609"/>
  <c r="AL315" i="14609"/>
  <c r="AM315" i="14609"/>
  <c r="AN315" i="14609"/>
  <c r="AO315" i="14609"/>
  <c r="AP315" i="14609"/>
  <c r="AQ315" i="14609"/>
  <c r="AR315" i="14609"/>
  <c r="AS315" i="14609"/>
  <c r="AT315" i="14609"/>
  <c r="AU315" i="14609"/>
  <c r="AV315" i="14609"/>
  <c r="AW315" i="14609"/>
  <c r="AX315" i="14609"/>
  <c r="AY315" i="14609"/>
  <c r="AZ315" i="14609"/>
  <c r="BA315" i="14609"/>
  <c r="BB315" i="14609"/>
  <c r="BC315" i="14609"/>
  <c r="BD315" i="14609"/>
  <c r="BE315" i="14609"/>
  <c r="BF315" i="14609"/>
  <c r="BG315" i="14609"/>
  <c r="BH315" i="14609"/>
  <c r="BI315" i="14609"/>
  <c r="BJ315" i="14609"/>
  <c r="BK315" i="14609"/>
  <c r="BL315" i="14609"/>
  <c r="BM315" i="14609"/>
  <c r="BN315" i="14609"/>
  <c r="BO315" i="14609"/>
  <c r="BP315" i="14609"/>
  <c r="BQ315" i="14609"/>
  <c r="BR315" i="14609"/>
  <c r="BS315" i="14609"/>
  <c r="BT315" i="14609"/>
  <c r="BU315" i="14609"/>
  <c r="BV315" i="14609"/>
  <c r="BW315" i="14609"/>
  <c r="BX315" i="14609"/>
  <c r="BY315" i="14609"/>
  <c r="BZ315" i="14609"/>
  <c r="CA315" i="14609"/>
  <c r="CB315" i="14609"/>
  <c r="CC315" i="14609"/>
  <c r="CD315" i="14609"/>
  <c r="CE315" i="14609"/>
  <c r="CF315" i="14609"/>
  <c r="CG315" i="14609"/>
  <c r="CH315" i="14609"/>
  <c r="CI315" i="14609"/>
  <c r="CJ315" i="14609"/>
  <c r="CK315" i="14609"/>
  <c r="CL315" i="14609"/>
  <c r="CM315" i="14609"/>
  <c r="CN315" i="14609"/>
  <c r="CO315" i="14609"/>
  <c r="CP315" i="14609"/>
  <c r="CQ315" i="14609"/>
  <c r="CR315" i="14609"/>
  <c r="CS315" i="14609"/>
  <c r="CT315" i="14609"/>
  <c r="CU315" i="14609"/>
  <c r="CV315" i="14609"/>
  <c r="CW315" i="14609"/>
  <c r="CX315" i="14609"/>
  <c r="CY315" i="14609"/>
  <c r="CZ315" i="14609"/>
  <c r="DA315" i="14609"/>
  <c r="DB315" i="14609"/>
  <c r="DC315" i="14609"/>
  <c r="DD315" i="14609"/>
  <c r="DE315" i="14609"/>
  <c r="DF315" i="14609"/>
  <c r="DG315" i="14609"/>
  <c r="DH315" i="14609"/>
  <c r="DI315" i="14609"/>
  <c r="DJ315" i="14609"/>
  <c r="DK315" i="14609"/>
  <c r="DL315" i="14609"/>
  <c r="DM315" i="14609"/>
  <c r="DN315" i="14609"/>
  <c r="DO315" i="14609"/>
  <c r="DP315" i="14609"/>
  <c r="DQ315" i="14609"/>
  <c r="DR315" i="14609"/>
  <c r="DS315" i="14609"/>
  <c r="DT315" i="14609"/>
  <c r="DU315" i="14609"/>
  <c r="DV315" i="14609"/>
  <c r="DW315" i="14609"/>
  <c r="DX315" i="14609"/>
  <c r="DY315" i="14609"/>
  <c r="DZ315" i="14609"/>
  <c r="EA315" i="14609"/>
  <c r="EB315" i="14609"/>
  <c r="EC315" i="14609"/>
  <c r="ED315" i="14609"/>
  <c r="EE315" i="14609"/>
  <c r="EF315" i="14609"/>
  <c r="EG315" i="14609"/>
  <c r="EH315" i="14609"/>
  <c r="EI315" i="14609"/>
  <c r="EJ315" i="14609"/>
  <c r="EK315" i="14609"/>
  <c r="EL315" i="14609"/>
  <c r="EM315" i="14609"/>
  <c r="EN315" i="14609"/>
  <c r="EO315" i="14609"/>
  <c r="EP315" i="14609"/>
  <c r="EQ315" i="14609"/>
  <c r="ER315" i="14609"/>
  <c r="ES315" i="14609"/>
  <c r="ET315" i="14609"/>
  <c r="EU315" i="14609"/>
  <c r="EV315" i="14609"/>
  <c r="EW315" i="14609"/>
  <c r="EX315" i="14609"/>
  <c r="EY315" i="14609"/>
  <c r="EZ315" i="14609"/>
  <c r="FA315" i="14609"/>
  <c r="FB315" i="14609"/>
  <c r="FC315" i="14609"/>
  <c r="FD315" i="14609"/>
  <c r="FE315" i="14609"/>
  <c r="FF315" i="14609"/>
  <c r="FG315" i="14609"/>
  <c r="FH315" i="14609"/>
  <c r="FI315" i="14609"/>
  <c r="FJ315" i="14609"/>
  <c r="FK315" i="14609"/>
  <c r="FL315" i="14609"/>
  <c r="FM315" i="14609"/>
  <c r="FN315" i="14609"/>
  <c r="FO315" i="14609"/>
  <c r="FP315" i="14609"/>
  <c r="FQ315" i="14609"/>
  <c r="FR315" i="14609"/>
  <c r="FS315" i="14609"/>
  <c r="FT315" i="14609"/>
  <c r="FU315" i="14609"/>
  <c r="FV315" i="14609"/>
  <c r="FW315" i="14609"/>
  <c r="FX315" i="14609"/>
  <c r="FY315" i="14609"/>
  <c r="FZ315" i="14609"/>
  <c r="GA315" i="14609"/>
  <c r="GB315" i="14609"/>
  <c r="GC315" i="14609"/>
  <c r="GD315" i="14609"/>
  <c r="GE315" i="14609"/>
  <c r="GF315" i="14609"/>
  <c r="GG315" i="14609"/>
  <c r="GH315" i="14609"/>
  <c r="GI315" i="14609"/>
  <c r="GJ315" i="14609"/>
  <c r="GK315" i="14609"/>
  <c r="GL315" i="14609"/>
  <c r="GM315" i="14609"/>
  <c r="GN315" i="14609"/>
  <c r="GO315" i="14609"/>
  <c r="GP315" i="14609"/>
  <c r="GQ315" i="14609"/>
  <c r="GR315" i="14609"/>
  <c r="GS315" i="14609"/>
  <c r="GT315" i="14609"/>
  <c r="GU315" i="14609"/>
  <c r="GV315" i="14609"/>
  <c r="GW315" i="14609"/>
  <c r="GX315" i="14609"/>
  <c r="GY315" i="14609"/>
  <c r="GZ315" i="14609"/>
  <c r="HA315" i="14609"/>
  <c r="HB315" i="14609"/>
  <c r="HC315" i="14609"/>
  <c r="HD315" i="14609"/>
  <c r="HE315" i="14609"/>
  <c r="HF315" i="14609"/>
  <c r="HG315" i="14609"/>
  <c r="HH315" i="14609"/>
  <c r="HI315" i="14609"/>
  <c r="HJ315" i="14609"/>
  <c r="HK315" i="14609"/>
  <c r="HL315" i="14609"/>
  <c r="HM315" i="14609"/>
  <c r="HN315" i="14609"/>
  <c r="HO315" i="14609"/>
  <c r="HP315" i="14609"/>
  <c r="HQ315" i="14609"/>
  <c r="HR315" i="14609"/>
  <c r="HS315" i="14609"/>
  <c r="HT315" i="14609"/>
  <c r="HU315" i="14609"/>
  <c r="HV315" i="14609"/>
  <c r="HW315" i="14609"/>
  <c r="HX315" i="14609"/>
  <c r="HY315" i="14609"/>
  <c r="HZ315" i="14609"/>
  <c r="IA315" i="14609"/>
  <c r="IB315" i="14609"/>
  <c r="IC315" i="14609"/>
  <c r="ID315" i="14609"/>
  <c r="IE315" i="14609"/>
  <c r="IF315" i="14609"/>
  <c r="IG315" i="14609"/>
  <c r="IH315" i="14609"/>
  <c r="II315" i="14609"/>
  <c r="IJ315" i="14609"/>
  <c r="IK315" i="14609"/>
  <c r="IL315" i="14609"/>
  <c r="IM315" i="14609"/>
  <c r="IN315" i="14609"/>
  <c r="IO315" i="14609"/>
  <c r="IP315" i="14609"/>
  <c r="IQ315" i="14609"/>
  <c r="IR315" i="14609"/>
  <c r="IS315" i="14609"/>
  <c r="IT315" i="14609"/>
  <c r="IU315" i="14609"/>
  <c r="IV315" i="14609"/>
  <c r="A314" i="14609"/>
  <c r="B314" i="14609"/>
  <c r="C314" i="14609"/>
  <c r="D314" i="14609"/>
  <c r="E314" i="14609"/>
  <c r="F314" i="14609"/>
  <c r="G314" i="14609"/>
  <c r="H314" i="14609"/>
  <c r="I314" i="14609"/>
  <c r="J314" i="14609"/>
  <c r="K314" i="14609"/>
  <c r="L314" i="14609"/>
  <c r="M314" i="14609"/>
  <c r="N314" i="14609"/>
  <c r="O314" i="14609"/>
  <c r="P314" i="14609"/>
  <c r="Q314" i="14609"/>
  <c r="R314" i="14609"/>
  <c r="S314" i="14609"/>
  <c r="T314" i="14609"/>
  <c r="U314" i="14609"/>
  <c r="V314" i="14609"/>
  <c r="W314" i="14609"/>
  <c r="X314" i="14609"/>
  <c r="Y314" i="14609"/>
  <c r="Z314" i="14609"/>
  <c r="AA314" i="14609"/>
  <c r="AB314" i="14609"/>
  <c r="AC314" i="14609"/>
  <c r="AD314" i="14609"/>
  <c r="AE314" i="14609"/>
  <c r="AF314" i="14609"/>
  <c r="AG314" i="14609"/>
  <c r="AH314" i="14609"/>
  <c r="AI314" i="14609"/>
  <c r="AJ314" i="14609"/>
  <c r="AK314" i="14609"/>
  <c r="AL314" i="14609"/>
  <c r="AM314" i="14609"/>
  <c r="AN314" i="14609"/>
  <c r="AO314" i="14609"/>
  <c r="AP314" i="14609"/>
  <c r="AQ314" i="14609"/>
  <c r="AR314" i="14609"/>
  <c r="AS314" i="14609"/>
  <c r="AT314" i="14609"/>
  <c r="AU314" i="14609"/>
  <c r="AV314" i="14609"/>
  <c r="AW314" i="14609"/>
  <c r="AX314" i="14609"/>
  <c r="AY314" i="14609"/>
  <c r="AZ314" i="14609"/>
  <c r="BA314" i="14609"/>
  <c r="BB314" i="14609"/>
  <c r="BC314" i="14609"/>
  <c r="BD314" i="14609"/>
  <c r="BE314" i="14609"/>
  <c r="BF314" i="14609"/>
  <c r="BG314" i="14609"/>
  <c r="BH314" i="14609"/>
  <c r="BI314" i="14609"/>
  <c r="BJ314" i="14609"/>
  <c r="BK314" i="14609"/>
  <c r="BL314" i="14609"/>
  <c r="BM314" i="14609"/>
  <c r="BN314" i="14609"/>
  <c r="BO314" i="14609"/>
  <c r="BP314" i="14609"/>
  <c r="BQ314" i="14609"/>
  <c r="BR314" i="14609"/>
  <c r="BS314" i="14609"/>
  <c r="BT314" i="14609"/>
  <c r="BU314" i="14609"/>
  <c r="BV314" i="14609"/>
  <c r="BW314" i="14609"/>
  <c r="BX314" i="14609"/>
  <c r="BY314" i="14609"/>
  <c r="BZ314" i="14609"/>
  <c r="CA314" i="14609"/>
  <c r="CB314" i="14609"/>
  <c r="CC314" i="14609"/>
  <c r="CD314" i="14609"/>
  <c r="CE314" i="14609"/>
  <c r="CF314" i="14609"/>
  <c r="CG314" i="14609"/>
  <c r="CH314" i="14609"/>
  <c r="CI314" i="14609"/>
  <c r="CJ314" i="14609"/>
  <c r="CK314" i="14609"/>
  <c r="CL314" i="14609"/>
  <c r="CM314" i="14609"/>
  <c r="CN314" i="14609"/>
  <c r="CO314" i="14609"/>
  <c r="CP314" i="14609"/>
  <c r="CQ314" i="14609"/>
  <c r="CR314" i="14609"/>
  <c r="CS314" i="14609"/>
  <c r="CT314" i="14609"/>
  <c r="CU314" i="14609"/>
  <c r="CV314" i="14609"/>
  <c r="CW314" i="14609"/>
  <c r="CX314" i="14609"/>
  <c r="CY314" i="14609"/>
  <c r="CZ314" i="14609"/>
  <c r="DA314" i="14609"/>
  <c r="DB314" i="14609"/>
  <c r="DC314" i="14609"/>
  <c r="DD314" i="14609"/>
  <c r="DE314" i="14609"/>
  <c r="DF314" i="14609"/>
  <c r="DG314" i="14609"/>
  <c r="DH314" i="14609"/>
  <c r="DI314" i="14609"/>
  <c r="DJ314" i="14609"/>
  <c r="DK314" i="14609"/>
  <c r="DL314" i="14609"/>
  <c r="DM314" i="14609"/>
  <c r="DN314" i="14609"/>
  <c r="DO314" i="14609"/>
  <c r="DP314" i="14609"/>
  <c r="DQ314" i="14609"/>
  <c r="DR314" i="14609"/>
  <c r="DS314" i="14609"/>
  <c r="DT314" i="14609"/>
  <c r="DU314" i="14609"/>
  <c r="DV314" i="14609"/>
  <c r="DW314" i="14609"/>
  <c r="DX314" i="14609"/>
  <c r="DY314" i="14609"/>
  <c r="DZ314" i="14609"/>
  <c r="EA314" i="14609"/>
  <c r="EB314" i="14609"/>
  <c r="EC314" i="14609"/>
  <c r="ED314" i="14609"/>
  <c r="EE314" i="14609"/>
  <c r="EF314" i="14609"/>
  <c r="EG314" i="14609"/>
  <c r="EH314" i="14609"/>
  <c r="EI314" i="14609"/>
  <c r="EJ314" i="14609"/>
  <c r="EK314" i="14609"/>
  <c r="EL314" i="14609"/>
  <c r="EM314" i="14609"/>
  <c r="EN314" i="14609"/>
  <c r="EO314" i="14609"/>
  <c r="EP314" i="14609"/>
  <c r="EQ314" i="14609"/>
  <c r="ER314" i="14609"/>
  <c r="ES314" i="14609"/>
  <c r="ET314" i="14609"/>
  <c r="EU314" i="14609"/>
  <c r="EV314" i="14609"/>
  <c r="EW314" i="14609"/>
  <c r="EX314" i="14609"/>
  <c r="EY314" i="14609"/>
  <c r="EZ314" i="14609"/>
  <c r="FA314" i="14609"/>
  <c r="FB314" i="14609"/>
  <c r="FC314" i="14609"/>
  <c r="FD314" i="14609"/>
  <c r="FE314" i="14609"/>
  <c r="FF314" i="14609"/>
  <c r="FG314" i="14609"/>
  <c r="FH314" i="14609"/>
  <c r="FI314" i="14609"/>
  <c r="FJ314" i="14609"/>
  <c r="FK314" i="14609"/>
  <c r="FL314" i="14609"/>
  <c r="FM314" i="14609"/>
  <c r="FN314" i="14609"/>
  <c r="FO314" i="14609"/>
  <c r="FP314" i="14609"/>
  <c r="FQ314" i="14609"/>
  <c r="FR314" i="14609"/>
  <c r="FS314" i="14609"/>
  <c r="FT314" i="14609"/>
  <c r="FU314" i="14609"/>
  <c r="FV314" i="14609"/>
  <c r="FW314" i="14609"/>
  <c r="FX314" i="14609"/>
  <c r="FY314" i="14609"/>
  <c r="FZ314" i="14609"/>
  <c r="GA314" i="14609"/>
  <c r="GB314" i="14609"/>
  <c r="GC314" i="14609"/>
  <c r="GD314" i="14609"/>
  <c r="GE314" i="14609"/>
  <c r="GF314" i="14609"/>
  <c r="GG314" i="14609"/>
  <c r="GH314" i="14609"/>
  <c r="GI314" i="14609"/>
  <c r="GJ314" i="14609"/>
  <c r="GK314" i="14609"/>
  <c r="GL314" i="14609"/>
  <c r="GM314" i="14609"/>
  <c r="GN314" i="14609"/>
  <c r="GO314" i="14609"/>
  <c r="GP314" i="14609"/>
  <c r="GQ314" i="14609"/>
  <c r="GR314" i="14609"/>
  <c r="GS314" i="14609"/>
  <c r="GT314" i="14609"/>
  <c r="GU314" i="14609"/>
  <c r="GV314" i="14609"/>
  <c r="GW314" i="14609"/>
  <c r="GX314" i="14609"/>
  <c r="GY314" i="14609"/>
  <c r="GZ314" i="14609"/>
  <c r="HA314" i="14609"/>
  <c r="HB314" i="14609"/>
  <c r="HC314" i="14609"/>
  <c r="HD314" i="14609"/>
  <c r="HE314" i="14609"/>
  <c r="HF314" i="14609"/>
  <c r="HG314" i="14609"/>
  <c r="HH314" i="14609"/>
  <c r="HI314" i="14609"/>
  <c r="HJ314" i="14609"/>
  <c r="HK314" i="14609"/>
  <c r="HL314" i="14609"/>
  <c r="HM314" i="14609"/>
  <c r="HN314" i="14609"/>
  <c r="HO314" i="14609"/>
  <c r="HP314" i="14609"/>
  <c r="HQ314" i="14609"/>
  <c r="HR314" i="14609"/>
  <c r="HS314" i="14609"/>
  <c r="HT314" i="14609"/>
  <c r="HU314" i="14609"/>
  <c r="HV314" i="14609"/>
  <c r="HW314" i="14609"/>
  <c r="HX314" i="14609"/>
  <c r="HY314" i="14609"/>
  <c r="HZ314" i="14609"/>
  <c r="IA314" i="14609"/>
  <c r="IB314" i="14609"/>
  <c r="IC314" i="14609"/>
  <c r="ID314" i="14609"/>
  <c r="IE314" i="14609"/>
  <c r="IF314" i="14609"/>
  <c r="IG314" i="14609"/>
  <c r="IH314" i="14609"/>
  <c r="II314" i="14609"/>
  <c r="IJ314" i="14609"/>
  <c r="IK314" i="14609"/>
  <c r="IL314" i="14609"/>
  <c r="IM314" i="14609"/>
  <c r="IN314" i="14609"/>
  <c r="IO314" i="14609"/>
  <c r="IP314" i="14609"/>
  <c r="IQ314" i="14609"/>
  <c r="IR314" i="14609"/>
  <c r="IS314" i="14609"/>
  <c r="IT314" i="14609"/>
  <c r="IU314" i="14609"/>
  <c r="IV314" i="14609"/>
  <c r="A313" i="14609"/>
  <c r="B313" i="14609"/>
  <c r="C313" i="14609"/>
  <c r="D313" i="14609"/>
  <c r="E313" i="14609"/>
  <c r="F313" i="14609"/>
  <c r="G313" i="14609"/>
  <c r="H313" i="14609"/>
  <c r="I313" i="14609"/>
  <c r="J313" i="14609"/>
  <c r="K313" i="14609"/>
  <c r="L313" i="14609"/>
  <c r="M313" i="14609"/>
  <c r="N313" i="14609"/>
  <c r="O313" i="14609"/>
  <c r="P313" i="14609"/>
  <c r="Q313" i="14609"/>
  <c r="R313" i="14609"/>
  <c r="S313" i="14609"/>
  <c r="T313" i="14609"/>
  <c r="U313" i="14609"/>
  <c r="V313" i="14609"/>
  <c r="W313" i="14609"/>
  <c r="X313" i="14609"/>
  <c r="Y313" i="14609"/>
  <c r="Z313" i="14609"/>
  <c r="AA313" i="14609"/>
  <c r="AB313" i="14609"/>
  <c r="AC313" i="14609"/>
  <c r="AD313" i="14609"/>
  <c r="AE313" i="14609"/>
  <c r="AF313" i="14609"/>
  <c r="AG313" i="14609"/>
  <c r="AH313" i="14609"/>
  <c r="AI313" i="14609"/>
  <c r="AJ313" i="14609"/>
  <c r="AK313" i="14609"/>
  <c r="AL313" i="14609"/>
  <c r="AM313" i="14609"/>
  <c r="AN313" i="14609"/>
  <c r="AO313" i="14609"/>
  <c r="AP313" i="14609"/>
  <c r="AQ313" i="14609"/>
  <c r="AR313" i="14609"/>
  <c r="AS313" i="14609"/>
  <c r="AT313" i="14609"/>
  <c r="AU313" i="14609"/>
  <c r="AV313" i="14609"/>
  <c r="AW313" i="14609"/>
  <c r="AX313" i="14609"/>
  <c r="AY313" i="14609"/>
  <c r="AZ313" i="14609"/>
  <c r="BA313" i="14609"/>
  <c r="BB313" i="14609"/>
  <c r="BC313" i="14609"/>
  <c r="BD313" i="14609"/>
  <c r="BE313" i="14609"/>
  <c r="BF313" i="14609"/>
  <c r="BG313" i="14609"/>
  <c r="BH313" i="14609"/>
  <c r="BI313" i="14609"/>
  <c r="BJ313" i="14609"/>
  <c r="BK313" i="14609"/>
  <c r="BL313" i="14609"/>
  <c r="BM313" i="14609"/>
  <c r="BN313" i="14609"/>
  <c r="BO313" i="14609"/>
  <c r="BP313" i="14609"/>
  <c r="BQ313" i="14609"/>
  <c r="BR313" i="14609"/>
  <c r="BS313" i="14609"/>
  <c r="BT313" i="14609"/>
  <c r="BU313" i="14609"/>
  <c r="BV313" i="14609"/>
  <c r="BW313" i="14609"/>
  <c r="BX313" i="14609"/>
  <c r="BY313" i="14609"/>
  <c r="BZ313" i="14609"/>
  <c r="CA313" i="14609"/>
  <c r="CB313" i="14609"/>
  <c r="CC313" i="14609"/>
  <c r="CD313" i="14609"/>
  <c r="CE313" i="14609"/>
  <c r="CF313" i="14609"/>
  <c r="CG313" i="14609"/>
  <c r="CH313" i="14609"/>
  <c r="CI313" i="14609"/>
  <c r="CJ313" i="14609"/>
  <c r="CK313" i="14609"/>
  <c r="CL313" i="14609"/>
  <c r="CM313" i="14609"/>
  <c r="CN313" i="14609"/>
  <c r="CO313" i="14609"/>
  <c r="CP313" i="14609"/>
  <c r="CQ313" i="14609"/>
  <c r="CR313" i="14609"/>
  <c r="CS313" i="14609"/>
  <c r="CT313" i="14609"/>
  <c r="CU313" i="14609"/>
  <c r="CV313" i="14609"/>
  <c r="CW313" i="14609"/>
  <c r="CX313" i="14609"/>
  <c r="CY313" i="14609"/>
  <c r="CZ313" i="14609"/>
  <c r="DA313" i="14609"/>
  <c r="DB313" i="14609"/>
  <c r="DC313" i="14609"/>
  <c r="DD313" i="14609"/>
  <c r="DE313" i="14609"/>
  <c r="DF313" i="14609"/>
  <c r="DG313" i="14609"/>
  <c r="DH313" i="14609"/>
  <c r="DI313" i="14609"/>
  <c r="DJ313" i="14609"/>
  <c r="DK313" i="14609"/>
  <c r="DL313" i="14609"/>
  <c r="DM313" i="14609"/>
  <c r="DN313" i="14609"/>
  <c r="DO313" i="14609"/>
  <c r="DP313" i="14609"/>
  <c r="DQ313" i="14609"/>
  <c r="DR313" i="14609"/>
  <c r="DS313" i="14609"/>
  <c r="DT313" i="14609"/>
  <c r="DU313" i="14609"/>
  <c r="DV313" i="14609"/>
  <c r="DW313" i="14609"/>
  <c r="DX313" i="14609"/>
  <c r="DY313" i="14609"/>
  <c r="DZ313" i="14609"/>
  <c r="EA313" i="14609"/>
  <c r="EB313" i="14609"/>
  <c r="EC313" i="14609"/>
  <c r="ED313" i="14609"/>
  <c r="EE313" i="14609"/>
  <c r="EF313" i="14609"/>
  <c r="EG313" i="14609"/>
  <c r="EH313" i="14609"/>
  <c r="EI313" i="14609"/>
  <c r="EJ313" i="14609"/>
  <c r="EK313" i="14609"/>
  <c r="EL313" i="14609"/>
  <c r="EM313" i="14609"/>
  <c r="EN313" i="14609"/>
  <c r="EO313" i="14609"/>
  <c r="EP313" i="14609"/>
  <c r="EQ313" i="14609"/>
  <c r="ER313" i="14609"/>
  <c r="ES313" i="14609"/>
  <c r="ET313" i="14609"/>
  <c r="EU313" i="14609"/>
  <c r="EV313" i="14609"/>
  <c r="EW313" i="14609"/>
  <c r="EX313" i="14609"/>
  <c r="EY313" i="14609"/>
  <c r="EZ313" i="14609"/>
  <c r="FA313" i="14609"/>
  <c r="FB313" i="14609"/>
  <c r="FC313" i="14609"/>
  <c r="FD313" i="14609"/>
  <c r="FE313" i="14609"/>
  <c r="FF313" i="14609"/>
  <c r="FG313" i="14609"/>
  <c r="FH313" i="14609"/>
  <c r="FI313" i="14609"/>
  <c r="FJ313" i="14609"/>
  <c r="FK313" i="14609"/>
  <c r="FL313" i="14609"/>
  <c r="FM313" i="14609"/>
  <c r="FN313" i="14609"/>
  <c r="FO313" i="14609"/>
  <c r="FP313" i="14609"/>
  <c r="FQ313" i="14609"/>
  <c r="FR313" i="14609"/>
  <c r="FS313" i="14609"/>
  <c r="FT313" i="14609"/>
  <c r="FU313" i="14609"/>
  <c r="FV313" i="14609"/>
  <c r="FW313" i="14609"/>
  <c r="FX313" i="14609"/>
  <c r="FY313" i="14609"/>
  <c r="FZ313" i="14609"/>
  <c r="GA313" i="14609"/>
  <c r="GB313" i="14609"/>
  <c r="GC313" i="14609"/>
  <c r="GD313" i="14609"/>
  <c r="GE313" i="14609"/>
  <c r="GF313" i="14609"/>
  <c r="GG313" i="14609"/>
  <c r="GH313" i="14609"/>
  <c r="GI313" i="14609"/>
  <c r="GJ313" i="14609"/>
  <c r="GK313" i="14609"/>
  <c r="GL313" i="14609"/>
  <c r="GM313" i="14609"/>
  <c r="GN313" i="14609"/>
  <c r="GO313" i="14609"/>
  <c r="GP313" i="14609"/>
  <c r="GQ313" i="14609"/>
  <c r="GR313" i="14609"/>
  <c r="GS313" i="14609"/>
  <c r="GT313" i="14609"/>
  <c r="GU313" i="14609"/>
  <c r="GV313" i="14609"/>
  <c r="GW313" i="14609"/>
  <c r="GX313" i="14609"/>
  <c r="GY313" i="14609"/>
  <c r="GZ313" i="14609"/>
  <c r="HA313" i="14609"/>
  <c r="HB313" i="14609"/>
  <c r="HC313" i="14609"/>
  <c r="HD313" i="14609"/>
  <c r="HE313" i="14609"/>
  <c r="HF313" i="14609"/>
  <c r="HG313" i="14609"/>
  <c r="HH313" i="14609"/>
  <c r="HI313" i="14609"/>
  <c r="HJ313" i="14609"/>
  <c r="HK313" i="14609"/>
  <c r="HL313" i="14609"/>
  <c r="HM313" i="14609"/>
  <c r="HN313" i="14609"/>
  <c r="HO313" i="14609"/>
  <c r="HP313" i="14609"/>
  <c r="HQ313" i="14609"/>
  <c r="HR313" i="14609"/>
  <c r="HS313" i="14609"/>
  <c r="HT313" i="14609"/>
  <c r="HU313" i="14609"/>
  <c r="HV313" i="14609"/>
  <c r="HW313" i="14609"/>
  <c r="HX313" i="14609"/>
  <c r="HY313" i="14609"/>
  <c r="HZ313" i="14609"/>
  <c r="IA313" i="14609"/>
  <c r="IB313" i="14609"/>
  <c r="IC313" i="14609"/>
  <c r="ID313" i="14609"/>
  <c r="IE313" i="14609"/>
  <c r="IF313" i="14609"/>
  <c r="IG313" i="14609"/>
  <c r="IH313" i="14609"/>
  <c r="II313" i="14609"/>
  <c r="IJ313" i="14609"/>
  <c r="IK313" i="14609"/>
  <c r="IL313" i="14609"/>
  <c r="IM313" i="14609"/>
  <c r="IN313" i="14609"/>
  <c r="IO313" i="14609"/>
  <c r="IP313" i="14609"/>
  <c r="IQ313" i="14609"/>
  <c r="IR313" i="14609"/>
  <c r="IS313" i="14609"/>
  <c r="IT313" i="14609"/>
  <c r="IU313" i="14609"/>
  <c r="IV313" i="14609"/>
  <c r="A312" i="14609"/>
  <c r="B312" i="14609"/>
  <c r="C312" i="14609"/>
  <c r="D312" i="14609"/>
  <c r="E312" i="14609"/>
  <c r="F312" i="14609"/>
  <c r="G312" i="14609"/>
  <c r="H312" i="14609"/>
  <c r="I312" i="14609"/>
  <c r="J312" i="14609"/>
  <c r="K312" i="14609"/>
  <c r="L312" i="14609"/>
  <c r="M312" i="14609"/>
  <c r="N312" i="14609"/>
  <c r="O312" i="14609"/>
  <c r="P312" i="14609"/>
  <c r="Q312" i="14609"/>
  <c r="R312" i="14609"/>
  <c r="S312" i="14609"/>
  <c r="T312" i="14609"/>
  <c r="U312" i="14609"/>
  <c r="V312" i="14609"/>
  <c r="W312" i="14609"/>
  <c r="X312" i="14609"/>
  <c r="Y312" i="14609"/>
  <c r="Z312" i="14609"/>
  <c r="AA312" i="14609"/>
  <c r="AB312" i="14609"/>
  <c r="AC312" i="14609"/>
  <c r="AD312" i="14609"/>
  <c r="AE312" i="14609"/>
  <c r="AF312" i="14609"/>
  <c r="AG312" i="14609"/>
  <c r="AH312" i="14609"/>
  <c r="AI312" i="14609"/>
  <c r="AJ312" i="14609"/>
  <c r="AK312" i="14609"/>
  <c r="AL312" i="14609"/>
  <c r="AM312" i="14609"/>
  <c r="AN312" i="14609"/>
  <c r="AO312" i="14609"/>
  <c r="AP312" i="14609"/>
  <c r="AQ312" i="14609"/>
  <c r="AR312" i="14609"/>
  <c r="AS312" i="14609"/>
  <c r="AT312" i="14609"/>
  <c r="AU312" i="14609"/>
  <c r="AV312" i="14609"/>
  <c r="AW312" i="14609"/>
  <c r="AX312" i="14609"/>
  <c r="AY312" i="14609"/>
  <c r="AZ312" i="14609"/>
  <c r="BA312" i="14609"/>
  <c r="BB312" i="14609"/>
  <c r="BC312" i="14609"/>
  <c r="BD312" i="14609"/>
  <c r="BE312" i="14609"/>
  <c r="BF312" i="14609"/>
  <c r="BG312" i="14609"/>
  <c r="BH312" i="14609"/>
  <c r="BI312" i="14609"/>
  <c r="BJ312" i="14609"/>
  <c r="BK312" i="14609"/>
  <c r="BL312" i="14609"/>
  <c r="BM312" i="14609"/>
  <c r="BN312" i="14609"/>
  <c r="BO312" i="14609"/>
  <c r="BP312" i="14609"/>
  <c r="BQ312" i="14609"/>
  <c r="BR312" i="14609"/>
  <c r="BS312" i="14609"/>
  <c r="BT312" i="14609"/>
  <c r="BU312" i="14609"/>
  <c r="BV312" i="14609"/>
  <c r="BW312" i="14609"/>
  <c r="BX312" i="14609"/>
  <c r="BY312" i="14609"/>
  <c r="BZ312" i="14609"/>
  <c r="CA312" i="14609"/>
  <c r="CB312" i="14609"/>
  <c r="CC312" i="14609"/>
  <c r="CD312" i="14609"/>
  <c r="CE312" i="14609"/>
  <c r="CF312" i="14609"/>
  <c r="CG312" i="14609"/>
  <c r="CH312" i="14609"/>
  <c r="CI312" i="14609"/>
  <c r="CJ312" i="14609"/>
  <c r="CK312" i="14609"/>
  <c r="CL312" i="14609"/>
  <c r="CM312" i="14609"/>
  <c r="CN312" i="14609"/>
  <c r="CO312" i="14609"/>
  <c r="CP312" i="14609"/>
  <c r="CQ312" i="14609"/>
  <c r="CR312" i="14609"/>
  <c r="CS312" i="14609"/>
  <c r="CT312" i="14609"/>
  <c r="CU312" i="14609"/>
  <c r="CV312" i="14609"/>
  <c r="CW312" i="14609"/>
  <c r="CX312" i="14609"/>
  <c r="CY312" i="14609"/>
  <c r="CZ312" i="14609"/>
  <c r="DA312" i="14609"/>
  <c r="DB312" i="14609"/>
  <c r="DC312" i="14609"/>
  <c r="DD312" i="14609"/>
  <c r="DE312" i="14609"/>
  <c r="DF312" i="14609"/>
  <c r="DG312" i="14609"/>
  <c r="DH312" i="14609"/>
  <c r="DI312" i="14609"/>
  <c r="DJ312" i="14609"/>
  <c r="DK312" i="14609"/>
  <c r="DL312" i="14609"/>
  <c r="DM312" i="14609"/>
  <c r="DN312" i="14609"/>
  <c r="DO312" i="14609"/>
  <c r="DP312" i="14609"/>
  <c r="DQ312" i="14609"/>
  <c r="DR312" i="14609"/>
  <c r="DS312" i="14609"/>
  <c r="DT312" i="14609"/>
  <c r="DU312" i="14609"/>
  <c r="DV312" i="14609"/>
  <c r="DW312" i="14609"/>
  <c r="DX312" i="14609"/>
  <c r="DY312" i="14609"/>
  <c r="DZ312" i="14609"/>
  <c r="EA312" i="14609"/>
  <c r="EB312" i="14609"/>
  <c r="EC312" i="14609"/>
  <c r="ED312" i="14609"/>
  <c r="EE312" i="14609"/>
  <c r="EF312" i="14609"/>
  <c r="EG312" i="14609"/>
  <c r="EH312" i="14609"/>
  <c r="EI312" i="14609"/>
  <c r="EJ312" i="14609"/>
  <c r="EK312" i="14609"/>
  <c r="EL312" i="14609"/>
  <c r="EM312" i="14609"/>
  <c r="EN312" i="14609"/>
  <c r="EO312" i="14609"/>
  <c r="EP312" i="14609"/>
  <c r="EQ312" i="14609"/>
  <c r="ER312" i="14609"/>
  <c r="ES312" i="14609"/>
  <c r="ET312" i="14609"/>
  <c r="EU312" i="14609"/>
  <c r="EV312" i="14609"/>
  <c r="EW312" i="14609"/>
  <c r="EX312" i="14609"/>
  <c r="EY312" i="14609"/>
  <c r="EZ312" i="14609"/>
  <c r="FA312" i="14609"/>
  <c r="FB312" i="14609"/>
  <c r="FC312" i="14609"/>
  <c r="FD312" i="14609"/>
  <c r="FE312" i="14609"/>
  <c r="FF312" i="14609"/>
  <c r="FG312" i="14609"/>
  <c r="FH312" i="14609"/>
  <c r="FI312" i="14609"/>
  <c r="FJ312" i="14609"/>
  <c r="FK312" i="14609"/>
  <c r="FL312" i="14609"/>
  <c r="FM312" i="14609"/>
  <c r="FN312" i="14609"/>
  <c r="FO312" i="14609"/>
  <c r="FP312" i="14609"/>
  <c r="FQ312" i="14609"/>
  <c r="FR312" i="14609"/>
  <c r="FS312" i="14609"/>
  <c r="FT312" i="14609"/>
  <c r="FU312" i="14609"/>
  <c r="FV312" i="14609"/>
  <c r="FW312" i="14609"/>
  <c r="FX312" i="14609"/>
  <c r="FY312" i="14609"/>
  <c r="FZ312" i="14609"/>
  <c r="GA312" i="14609"/>
  <c r="GB312" i="14609"/>
  <c r="GC312" i="14609"/>
  <c r="GD312" i="14609"/>
  <c r="GE312" i="14609"/>
  <c r="GF312" i="14609"/>
  <c r="GG312" i="14609"/>
  <c r="GH312" i="14609"/>
  <c r="GI312" i="14609"/>
  <c r="GJ312" i="14609"/>
  <c r="GK312" i="14609"/>
  <c r="GL312" i="14609"/>
  <c r="GM312" i="14609"/>
  <c r="GN312" i="14609"/>
  <c r="GO312" i="14609"/>
  <c r="GP312" i="14609"/>
  <c r="GQ312" i="14609"/>
  <c r="GR312" i="14609"/>
  <c r="GS312" i="14609"/>
  <c r="GT312" i="14609"/>
  <c r="GU312" i="14609"/>
  <c r="GV312" i="14609"/>
  <c r="GW312" i="14609"/>
  <c r="GX312" i="14609"/>
  <c r="GY312" i="14609"/>
  <c r="GZ312" i="14609"/>
  <c r="HA312" i="14609"/>
  <c r="HB312" i="14609"/>
  <c r="HC312" i="14609"/>
  <c r="HD312" i="14609"/>
  <c r="HE312" i="14609"/>
  <c r="HF312" i="14609"/>
  <c r="HG312" i="14609"/>
  <c r="HH312" i="14609"/>
  <c r="HI312" i="14609"/>
  <c r="HJ312" i="14609"/>
  <c r="HK312" i="14609"/>
  <c r="HL312" i="14609"/>
  <c r="HM312" i="14609"/>
  <c r="HN312" i="14609"/>
  <c r="HO312" i="14609"/>
  <c r="HP312" i="14609"/>
  <c r="HQ312" i="14609"/>
  <c r="HR312" i="14609"/>
  <c r="HS312" i="14609"/>
  <c r="HT312" i="14609"/>
  <c r="HU312" i="14609"/>
  <c r="HV312" i="14609"/>
  <c r="HW312" i="14609"/>
  <c r="HX312" i="14609"/>
  <c r="HY312" i="14609"/>
  <c r="HZ312" i="14609"/>
  <c r="IA312" i="14609"/>
  <c r="IB312" i="14609"/>
  <c r="IC312" i="14609"/>
  <c r="ID312" i="14609"/>
  <c r="IE312" i="14609"/>
  <c r="IF312" i="14609"/>
  <c r="IG312" i="14609"/>
  <c r="IH312" i="14609"/>
  <c r="II312" i="14609"/>
  <c r="IJ312" i="14609"/>
  <c r="IK312" i="14609"/>
  <c r="IL312" i="14609"/>
  <c r="IM312" i="14609"/>
  <c r="IN312" i="14609"/>
  <c r="IO312" i="14609"/>
  <c r="IP312" i="14609"/>
  <c r="IQ312" i="14609"/>
  <c r="IR312" i="14609"/>
  <c r="IS312" i="14609"/>
  <c r="IT312" i="14609"/>
  <c r="IU312" i="14609"/>
  <c r="IV312" i="14609"/>
  <c r="A311" i="14609"/>
  <c r="B311" i="14609"/>
  <c r="C311" i="14609"/>
  <c r="D311" i="14609"/>
  <c r="E311" i="14609"/>
  <c r="F311" i="14609"/>
  <c r="G311" i="14609"/>
  <c r="H311" i="14609"/>
  <c r="I311" i="14609"/>
  <c r="J311" i="14609"/>
  <c r="K311" i="14609"/>
  <c r="L311" i="14609"/>
  <c r="M311" i="14609"/>
  <c r="N311" i="14609"/>
  <c r="O311" i="14609"/>
  <c r="P311" i="14609"/>
  <c r="Q311" i="14609"/>
  <c r="R311" i="14609"/>
  <c r="S311" i="14609"/>
  <c r="T311" i="14609"/>
  <c r="U311" i="14609"/>
  <c r="V311" i="14609"/>
  <c r="W311" i="14609"/>
  <c r="X311" i="14609"/>
  <c r="Y311" i="14609"/>
  <c r="Z311" i="14609"/>
  <c r="AA311" i="14609"/>
  <c r="AB311" i="14609"/>
  <c r="AC311" i="14609"/>
  <c r="AD311" i="14609"/>
  <c r="AE311" i="14609"/>
  <c r="AF311" i="14609"/>
  <c r="AG311" i="14609"/>
  <c r="AH311" i="14609"/>
  <c r="AI311" i="14609"/>
  <c r="AJ311" i="14609"/>
  <c r="AK311" i="14609"/>
  <c r="AL311" i="14609"/>
  <c r="AM311" i="14609"/>
  <c r="AN311" i="14609"/>
  <c r="AO311" i="14609"/>
  <c r="AP311" i="14609"/>
  <c r="AQ311" i="14609"/>
  <c r="AR311" i="14609"/>
  <c r="AS311" i="14609"/>
  <c r="AT311" i="14609"/>
  <c r="AU311" i="14609"/>
  <c r="AV311" i="14609"/>
  <c r="AW311" i="14609"/>
  <c r="AX311" i="14609"/>
  <c r="AY311" i="14609"/>
  <c r="AZ311" i="14609"/>
  <c r="BA311" i="14609"/>
  <c r="BB311" i="14609"/>
  <c r="BC311" i="14609"/>
  <c r="BD311" i="14609"/>
  <c r="BE311" i="14609"/>
  <c r="BF311" i="14609"/>
  <c r="BG311" i="14609"/>
  <c r="BH311" i="14609"/>
  <c r="BI311" i="14609"/>
  <c r="BJ311" i="14609"/>
  <c r="BK311" i="14609"/>
  <c r="BL311" i="14609"/>
  <c r="BM311" i="14609"/>
  <c r="BN311" i="14609"/>
  <c r="BO311" i="14609"/>
  <c r="BP311" i="14609"/>
  <c r="BQ311" i="14609"/>
  <c r="BR311" i="14609"/>
  <c r="BS311" i="14609"/>
  <c r="BT311" i="14609"/>
  <c r="BU311" i="14609"/>
  <c r="BV311" i="14609"/>
  <c r="BW311" i="14609"/>
  <c r="BX311" i="14609"/>
  <c r="BY311" i="14609"/>
  <c r="BZ311" i="14609"/>
  <c r="CA311" i="14609"/>
  <c r="CB311" i="14609"/>
  <c r="CC311" i="14609"/>
  <c r="CD311" i="14609"/>
  <c r="CE311" i="14609"/>
  <c r="CF311" i="14609"/>
  <c r="CG311" i="14609"/>
  <c r="CH311" i="14609"/>
  <c r="CI311" i="14609"/>
  <c r="CJ311" i="14609"/>
  <c r="CK311" i="14609"/>
  <c r="CL311" i="14609"/>
  <c r="CM311" i="14609"/>
  <c r="CN311" i="14609"/>
  <c r="CO311" i="14609"/>
  <c r="CP311" i="14609"/>
  <c r="CQ311" i="14609"/>
  <c r="CR311" i="14609"/>
  <c r="CS311" i="14609"/>
  <c r="CT311" i="14609"/>
  <c r="CU311" i="14609"/>
  <c r="CV311" i="14609"/>
  <c r="CW311" i="14609"/>
  <c r="CX311" i="14609"/>
  <c r="CY311" i="14609"/>
  <c r="CZ311" i="14609"/>
  <c r="DA311" i="14609"/>
  <c r="DB311" i="14609"/>
  <c r="DC311" i="14609"/>
  <c r="DD311" i="14609"/>
  <c r="DE311" i="14609"/>
  <c r="DF311" i="14609"/>
  <c r="DG311" i="14609"/>
  <c r="DH311" i="14609"/>
  <c r="DI311" i="14609"/>
  <c r="DJ311" i="14609"/>
  <c r="DK311" i="14609"/>
  <c r="DL311" i="14609"/>
  <c r="DM311" i="14609"/>
  <c r="DN311" i="14609"/>
  <c r="DO311" i="14609"/>
  <c r="DP311" i="14609"/>
  <c r="DQ311" i="14609"/>
  <c r="DR311" i="14609"/>
  <c r="DS311" i="14609"/>
  <c r="DT311" i="14609"/>
  <c r="DU311" i="14609"/>
  <c r="DV311" i="14609"/>
  <c r="DW311" i="14609"/>
  <c r="DX311" i="14609"/>
  <c r="DY311" i="14609"/>
  <c r="DZ311" i="14609"/>
  <c r="EA311" i="14609"/>
  <c r="EB311" i="14609"/>
  <c r="EC311" i="14609"/>
  <c r="ED311" i="14609"/>
  <c r="EE311" i="14609"/>
  <c r="EF311" i="14609"/>
  <c r="EG311" i="14609"/>
  <c r="EH311" i="14609"/>
  <c r="EI311" i="14609"/>
  <c r="EJ311" i="14609"/>
  <c r="EK311" i="14609"/>
  <c r="EL311" i="14609"/>
  <c r="EM311" i="14609"/>
  <c r="EN311" i="14609"/>
  <c r="EO311" i="14609"/>
  <c r="EP311" i="14609"/>
  <c r="EQ311" i="14609"/>
  <c r="ER311" i="14609"/>
  <c r="ES311" i="14609"/>
  <c r="ET311" i="14609"/>
  <c r="EU311" i="14609"/>
  <c r="EV311" i="14609"/>
  <c r="EW311" i="14609"/>
  <c r="EX311" i="14609"/>
  <c r="EY311" i="14609"/>
  <c r="EZ311" i="14609"/>
  <c r="FA311" i="14609"/>
  <c r="FB311" i="14609"/>
  <c r="FC311" i="14609"/>
  <c r="FD311" i="14609"/>
  <c r="FE311" i="14609"/>
  <c r="FF311" i="14609"/>
  <c r="FG311" i="14609"/>
  <c r="FH311" i="14609"/>
  <c r="FI311" i="14609"/>
  <c r="FJ311" i="14609"/>
  <c r="FK311" i="14609"/>
  <c r="FL311" i="14609"/>
  <c r="FM311" i="14609"/>
  <c r="FN311" i="14609"/>
  <c r="FO311" i="14609"/>
  <c r="FP311" i="14609"/>
  <c r="FQ311" i="14609"/>
  <c r="FR311" i="14609"/>
  <c r="FS311" i="14609"/>
  <c r="FT311" i="14609"/>
  <c r="FU311" i="14609"/>
  <c r="FV311" i="14609"/>
  <c r="FW311" i="14609"/>
  <c r="FX311" i="14609"/>
  <c r="FY311" i="14609"/>
  <c r="FZ311" i="14609"/>
  <c r="GA311" i="14609"/>
  <c r="GB311" i="14609"/>
  <c r="GC311" i="14609"/>
  <c r="GD311" i="14609"/>
  <c r="GE311" i="14609"/>
  <c r="GF311" i="14609"/>
  <c r="GG311" i="14609"/>
  <c r="GH311" i="14609"/>
  <c r="GI311" i="14609"/>
  <c r="GJ311" i="14609"/>
  <c r="GK311" i="14609"/>
  <c r="GL311" i="14609"/>
  <c r="GM311" i="14609"/>
  <c r="GN311" i="14609"/>
  <c r="GO311" i="14609"/>
  <c r="GP311" i="14609"/>
  <c r="GQ311" i="14609"/>
  <c r="GR311" i="14609"/>
  <c r="GS311" i="14609"/>
  <c r="GT311" i="14609"/>
  <c r="GU311" i="14609"/>
  <c r="GV311" i="14609"/>
  <c r="GW311" i="14609"/>
  <c r="GX311" i="14609"/>
  <c r="GY311" i="14609"/>
  <c r="GZ311" i="14609"/>
  <c r="HA311" i="14609"/>
  <c r="HB311" i="14609"/>
  <c r="HC311" i="14609"/>
  <c r="HD311" i="14609"/>
  <c r="HE311" i="14609"/>
  <c r="HF311" i="14609"/>
  <c r="HG311" i="14609"/>
  <c r="HH311" i="14609"/>
  <c r="HI311" i="14609"/>
  <c r="HJ311" i="14609"/>
  <c r="HK311" i="14609"/>
  <c r="HL311" i="14609"/>
  <c r="HM311" i="14609"/>
  <c r="HN311" i="14609"/>
  <c r="HO311" i="14609"/>
  <c r="HP311" i="14609"/>
  <c r="HQ311" i="14609"/>
  <c r="HR311" i="14609"/>
  <c r="HS311" i="14609"/>
  <c r="HT311" i="14609"/>
  <c r="HU311" i="14609"/>
  <c r="HV311" i="14609"/>
  <c r="HW311" i="14609"/>
  <c r="HX311" i="14609"/>
  <c r="HY311" i="14609"/>
  <c r="HZ311" i="14609"/>
  <c r="IA311" i="14609"/>
  <c r="IB311" i="14609"/>
  <c r="IC311" i="14609"/>
  <c r="ID311" i="14609"/>
  <c r="IE311" i="14609"/>
  <c r="IF311" i="14609"/>
  <c r="IG311" i="14609"/>
  <c r="IH311" i="14609"/>
  <c r="II311" i="14609"/>
  <c r="IJ311" i="14609"/>
  <c r="IK311" i="14609"/>
  <c r="IL311" i="14609"/>
  <c r="IM311" i="14609"/>
  <c r="IN311" i="14609"/>
  <c r="IO311" i="14609"/>
  <c r="IP311" i="14609"/>
  <c r="IQ311" i="14609"/>
  <c r="IR311" i="14609"/>
  <c r="IS311" i="14609"/>
  <c r="IT311" i="14609"/>
  <c r="IU311" i="14609"/>
  <c r="IV311" i="14609"/>
  <c r="A310" i="14609"/>
  <c r="B310" i="14609"/>
  <c r="C310" i="14609"/>
  <c r="D310" i="14609"/>
  <c r="E310" i="14609"/>
  <c r="F310" i="14609"/>
  <c r="G310" i="14609"/>
  <c r="H310" i="14609"/>
  <c r="I310" i="14609"/>
  <c r="J310" i="14609"/>
  <c r="K310" i="14609"/>
  <c r="L310" i="14609"/>
  <c r="M310" i="14609"/>
  <c r="N310" i="14609"/>
  <c r="O310" i="14609"/>
  <c r="P310" i="14609"/>
  <c r="Q310" i="14609"/>
  <c r="R310" i="14609"/>
  <c r="S310" i="14609"/>
  <c r="T310" i="14609"/>
  <c r="U310" i="14609"/>
  <c r="V310" i="14609"/>
  <c r="W310" i="14609"/>
  <c r="X310" i="14609"/>
  <c r="Y310" i="14609"/>
  <c r="Z310" i="14609"/>
  <c r="AA310" i="14609"/>
  <c r="AB310" i="14609"/>
  <c r="AC310" i="14609"/>
  <c r="AD310" i="14609"/>
  <c r="AE310" i="14609"/>
  <c r="AF310" i="14609"/>
  <c r="AG310" i="14609"/>
  <c r="AH310" i="14609"/>
  <c r="AI310" i="14609"/>
  <c r="AJ310" i="14609"/>
  <c r="AK310" i="14609"/>
  <c r="AL310" i="14609"/>
  <c r="AM310" i="14609"/>
  <c r="AN310" i="14609"/>
  <c r="AO310" i="14609"/>
  <c r="AP310" i="14609"/>
  <c r="AQ310" i="14609"/>
  <c r="AR310" i="14609"/>
  <c r="AS310" i="14609"/>
  <c r="AT310" i="14609"/>
  <c r="AU310" i="14609"/>
  <c r="AV310" i="14609"/>
  <c r="AW310" i="14609"/>
  <c r="AX310" i="14609"/>
  <c r="AY310" i="14609"/>
  <c r="AZ310" i="14609"/>
  <c r="BA310" i="14609"/>
  <c r="BB310" i="14609"/>
  <c r="BC310" i="14609"/>
  <c r="BD310" i="14609"/>
  <c r="BE310" i="14609"/>
  <c r="BF310" i="14609"/>
  <c r="BG310" i="14609"/>
  <c r="BH310" i="14609"/>
  <c r="BI310" i="14609"/>
  <c r="BJ310" i="14609"/>
  <c r="BK310" i="14609"/>
  <c r="BL310" i="14609"/>
  <c r="BM310" i="14609"/>
  <c r="BN310" i="14609"/>
  <c r="BO310" i="14609"/>
  <c r="BP310" i="14609"/>
  <c r="BQ310" i="14609"/>
  <c r="BR310" i="14609"/>
  <c r="BS310" i="14609"/>
  <c r="BT310" i="14609"/>
  <c r="BU310" i="14609"/>
  <c r="BV310" i="14609"/>
  <c r="BW310" i="14609"/>
  <c r="BX310" i="14609"/>
  <c r="BY310" i="14609"/>
  <c r="BZ310" i="14609"/>
  <c r="CA310" i="14609"/>
  <c r="CB310" i="14609"/>
  <c r="CC310" i="14609"/>
  <c r="CD310" i="14609"/>
  <c r="CE310" i="14609"/>
  <c r="CF310" i="14609"/>
  <c r="CG310" i="14609"/>
  <c r="CH310" i="14609"/>
  <c r="CI310" i="14609"/>
  <c r="CJ310" i="14609"/>
  <c r="CK310" i="14609"/>
  <c r="CL310" i="14609"/>
  <c r="CM310" i="14609"/>
  <c r="CN310" i="14609"/>
  <c r="CO310" i="14609"/>
  <c r="CP310" i="14609"/>
  <c r="CQ310" i="14609"/>
  <c r="CR310" i="14609"/>
  <c r="CS310" i="14609"/>
  <c r="CT310" i="14609"/>
  <c r="CU310" i="14609"/>
  <c r="CV310" i="14609"/>
  <c r="CW310" i="14609"/>
  <c r="CX310" i="14609"/>
  <c r="CY310" i="14609"/>
  <c r="CZ310" i="14609"/>
  <c r="DA310" i="14609"/>
  <c r="DB310" i="14609"/>
  <c r="DC310" i="14609"/>
  <c r="DD310" i="14609"/>
  <c r="DE310" i="14609"/>
  <c r="DF310" i="14609"/>
  <c r="DG310" i="14609"/>
  <c r="DH310" i="14609"/>
  <c r="DI310" i="14609"/>
  <c r="DJ310" i="14609"/>
  <c r="DK310" i="14609"/>
  <c r="DL310" i="14609"/>
  <c r="DM310" i="14609"/>
  <c r="DN310" i="14609"/>
  <c r="DO310" i="14609"/>
  <c r="DP310" i="14609"/>
  <c r="DQ310" i="14609"/>
  <c r="DR310" i="14609"/>
  <c r="DS310" i="14609"/>
  <c r="DT310" i="14609"/>
  <c r="DU310" i="14609"/>
  <c r="DV310" i="14609"/>
  <c r="DW310" i="14609"/>
  <c r="DX310" i="14609"/>
  <c r="DY310" i="14609"/>
  <c r="DZ310" i="14609"/>
  <c r="EA310" i="14609"/>
  <c r="EB310" i="14609"/>
  <c r="EC310" i="14609"/>
  <c r="ED310" i="14609"/>
  <c r="EE310" i="14609"/>
  <c r="EF310" i="14609"/>
  <c r="EG310" i="14609"/>
  <c r="EH310" i="14609"/>
  <c r="EI310" i="14609"/>
  <c r="EJ310" i="14609"/>
  <c r="EK310" i="14609"/>
  <c r="EL310" i="14609"/>
  <c r="EM310" i="14609"/>
  <c r="EN310" i="14609"/>
  <c r="EO310" i="14609"/>
  <c r="EP310" i="14609"/>
  <c r="EQ310" i="14609"/>
  <c r="ER310" i="14609"/>
  <c r="ES310" i="14609"/>
  <c r="ET310" i="14609"/>
  <c r="EU310" i="14609"/>
  <c r="EV310" i="14609"/>
  <c r="EW310" i="14609"/>
  <c r="EX310" i="14609"/>
  <c r="EY310" i="14609"/>
  <c r="EZ310" i="14609"/>
  <c r="FA310" i="14609"/>
  <c r="FB310" i="14609"/>
  <c r="FC310" i="14609"/>
  <c r="FD310" i="14609"/>
  <c r="FE310" i="14609"/>
  <c r="FF310" i="14609"/>
  <c r="FG310" i="14609"/>
  <c r="FH310" i="14609"/>
  <c r="FI310" i="14609"/>
  <c r="FJ310" i="14609"/>
  <c r="FK310" i="14609"/>
  <c r="FL310" i="14609"/>
  <c r="FM310" i="14609"/>
  <c r="FN310" i="14609"/>
  <c r="FO310" i="14609"/>
  <c r="FP310" i="14609"/>
  <c r="FQ310" i="14609"/>
  <c r="FR310" i="14609"/>
  <c r="FS310" i="14609"/>
  <c r="FT310" i="14609"/>
  <c r="FU310" i="14609"/>
  <c r="FV310" i="14609"/>
  <c r="FW310" i="14609"/>
  <c r="FX310" i="14609"/>
  <c r="FY310" i="14609"/>
  <c r="FZ310" i="14609"/>
  <c r="GA310" i="14609"/>
  <c r="GB310" i="14609"/>
  <c r="GC310" i="14609"/>
  <c r="GD310" i="14609"/>
  <c r="GE310" i="14609"/>
  <c r="GF310" i="14609"/>
  <c r="GG310" i="14609"/>
  <c r="GH310" i="14609"/>
  <c r="GI310" i="14609"/>
  <c r="GJ310" i="14609"/>
  <c r="GK310" i="14609"/>
  <c r="GL310" i="14609"/>
  <c r="GM310" i="14609"/>
  <c r="GN310" i="14609"/>
  <c r="GO310" i="14609"/>
  <c r="GP310" i="14609"/>
  <c r="GQ310" i="14609"/>
  <c r="GR310" i="14609"/>
  <c r="GS310" i="14609"/>
  <c r="GT310" i="14609"/>
  <c r="GU310" i="14609"/>
  <c r="GV310" i="14609"/>
  <c r="GW310" i="14609"/>
  <c r="GX310" i="14609"/>
  <c r="GY310" i="14609"/>
  <c r="GZ310" i="14609"/>
  <c r="HA310" i="14609"/>
  <c r="HB310" i="14609"/>
  <c r="HC310" i="14609"/>
  <c r="HD310" i="14609"/>
  <c r="HE310" i="14609"/>
  <c r="HF310" i="14609"/>
  <c r="HG310" i="14609"/>
  <c r="HH310" i="14609"/>
  <c r="HI310" i="14609"/>
  <c r="HJ310" i="14609"/>
  <c r="HK310" i="14609"/>
  <c r="HL310" i="14609"/>
  <c r="HM310" i="14609"/>
  <c r="HN310" i="14609"/>
  <c r="HO310" i="14609"/>
  <c r="HP310" i="14609"/>
  <c r="HQ310" i="14609"/>
  <c r="HR310" i="14609"/>
  <c r="HS310" i="14609"/>
  <c r="HT310" i="14609"/>
  <c r="HU310" i="14609"/>
  <c r="HV310" i="14609"/>
  <c r="HW310" i="14609"/>
  <c r="HX310" i="14609"/>
  <c r="HY310" i="14609"/>
  <c r="HZ310" i="14609"/>
  <c r="IA310" i="14609"/>
  <c r="IB310" i="14609"/>
  <c r="IC310" i="14609"/>
  <c r="ID310" i="14609"/>
  <c r="IE310" i="14609"/>
  <c r="IF310" i="14609"/>
  <c r="IG310" i="14609"/>
  <c r="IH310" i="14609"/>
  <c r="II310" i="14609"/>
  <c r="IJ310" i="14609"/>
  <c r="IK310" i="14609"/>
  <c r="IL310" i="14609"/>
  <c r="IM310" i="14609"/>
  <c r="IN310" i="14609"/>
  <c r="IO310" i="14609"/>
  <c r="IP310" i="14609"/>
  <c r="IQ310" i="14609"/>
  <c r="IR310" i="14609"/>
  <c r="IS310" i="14609"/>
  <c r="IT310" i="14609"/>
  <c r="IU310" i="14609"/>
  <c r="IV310" i="14609"/>
  <c r="A309" i="14609"/>
  <c r="B309" i="14609"/>
  <c r="C309" i="14609"/>
  <c r="D309" i="14609"/>
  <c r="E309" i="14609"/>
  <c r="F309" i="14609"/>
  <c r="G309" i="14609"/>
  <c r="H309" i="14609"/>
  <c r="I309" i="14609"/>
  <c r="J309" i="14609"/>
  <c r="K309" i="14609"/>
  <c r="L309" i="14609"/>
  <c r="M309" i="14609"/>
  <c r="N309" i="14609"/>
  <c r="O309" i="14609"/>
  <c r="P309" i="14609"/>
  <c r="Q309" i="14609"/>
  <c r="R309" i="14609"/>
  <c r="S309" i="14609"/>
  <c r="T309" i="14609"/>
  <c r="U309" i="14609"/>
  <c r="V309" i="14609"/>
  <c r="W309" i="14609"/>
  <c r="X309" i="14609"/>
  <c r="Y309" i="14609"/>
  <c r="Z309" i="14609"/>
  <c r="AA309" i="14609"/>
  <c r="AB309" i="14609"/>
  <c r="AC309" i="14609"/>
  <c r="AD309" i="14609"/>
  <c r="AE309" i="14609"/>
  <c r="AF309" i="14609"/>
  <c r="AG309" i="14609"/>
  <c r="AH309" i="14609"/>
  <c r="AI309" i="14609"/>
  <c r="AJ309" i="14609"/>
  <c r="AK309" i="14609"/>
  <c r="AL309" i="14609"/>
  <c r="AM309" i="14609"/>
  <c r="AN309" i="14609"/>
  <c r="AO309" i="14609"/>
  <c r="AP309" i="14609"/>
  <c r="AQ309" i="14609"/>
  <c r="AR309" i="14609"/>
  <c r="AS309" i="14609"/>
  <c r="AT309" i="14609"/>
  <c r="AU309" i="14609"/>
  <c r="AV309" i="14609"/>
  <c r="AW309" i="14609"/>
  <c r="AX309" i="14609"/>
  <c r="AY309" i="14609"/>
  <c r="AZ309" i="14609"/>
  <c r="BA309" i="14609"/>
  <c r="BB309" i="14609"/>
  <c r="BC309" i="14609"/>
  <c r="BD309" i="14609"/>
  <c r="BE309" i="14609"/>
  <c r="BF309" i="14609"/>
  <c r="BG309" i="14609"/>
  <c r="BH309" i="14609"/>
  <c r="BI309" i="14609"/>
  <c r="BJ309" i="14609"/>
  <c r="BK309" i="14609"/>
  <c r="BL309" i="14609"/>
  <c r="BM309" i="14609"/>
  <c r="BN309" i="14609"/>
  <c r="BO309" i="14609"/>
  <c r="BP309" i="14609"/>
  <c r="BQ309" i="14609"/>
  <c r="BR309" i="14609"/>
  <c r="BS309" i="14609"/>
  <c r="BT309" i="14609"/>
  <c r="BU309" i="14609"/>
  <c r="BV309" i="14609"/>
  <c r="BW309" i="14609"/>
  <c r="BX309" i="14609"/>
  <c r="BY309" i="14609"/>
  <c r="BZ309" i="14609"/>
  <c r="CA309" i="14609"/>
  <c r="CB309" i="14609"/>
  <c r="CC309" i="14609"/>
  <c r="CD309" i="14609"/>
  <c r="CE309" i="14609"/>
  <c r="CF309" i="14609"/>
  <c r="CG309" i="14609"/>
  <c r="CH309" i="14609"/>
  <c r="CI309" i="14609"/>
  <c r="CJ309" i="14609"/>
  <c r="CK309" i="14609"/>
  <c r="CL309" i="14609"/>
  <c r="CM309" i="14609"/>
  <c r="CN309" i="14609"/>
  <c r="CO309" i="14609"/>
  <c r="CP309" i="14609"/>
  <c r="CQ309" i="14609"/>
  <c r="CR309" i="14609"/>
  <c r="CS309" i="14609"/>
  <c r="CT309" i="14609"/>
  <c r="CU309" i="14609"/>
  <c r="CV309" i="14609"/>
  <c r="CW309" i="14609"/>
  <c r="CX309" i="14609"/>
  <c r="CY309" i="14609"/>
  <c r="CZ309" i="14609"/>
  <c r="DA309" i="14609"/>
  <c r="DB309" i="14609"/>
  <c r="DC309" i="14609"/>
  <c r="DD309" i="14609"/>
  <c r="DE309" i="14609"/>
  <c r="DF309" i="14609"/>
  <c r="DG309" i="14609"/>
  <c r="DH309" i="14609"/>
  <c r="DI309" i="14609"/>
  <c r="DJ309" i="14609"/>
  <c r="DK309" i="14609"/>
  <c r="DL309" i="14609"/>
  <c r="DM309" i="14609"/>
  <c r="DN309" i="14609"/>
  <c r="DO309" i="14609"/>
  <c r="DP309" i="14609"/>
  <c r="DQ309" i="14609"/>
  <c r="DR309" i="14609"/>
  <c r="DS309" i="14609"/>
  <c r="DT309" i="14609"/>
  <c r="DU309" i="14609"/>
  <c r="DV309" i="14609"/>
  <c r="DW309" i="14609"/>
  <c r="DX309" i="14609"/>
  <c r="DY309" i="14609"/>
  <c r="DZ309" i="14609"/>
  <c r="EA309" i="14609"/>
  <c r="EB309" i="14609"/>
  <c r="EC309" i="14609"/>
  <c r="ED309" i="14609"/>
  <c r="EE309" i="14609"/>
  <c r="EF309" i="14609"/>
  <c r="EG309" i="14609"/>
  <c r="EH309" i="14609"/>
  <c r="EI309" i="14609"/>
  <c r="EJ309" i="14609"/>
  <c r="EK309" i="14609"/>
  <c r="EL309" i="14609"/>
  <c r="EM309" i="14609"/>
  <c r="EN309" i="14609"/>
  <c r="EO309" i="14609"/>
  <c r="EP309" i="14609"/>
  <c r="EQ309" i="14609"/>
  <c r="ER309" i="14609"/>
  <c r="ES309" i="14609"/>
  <c r="ET309" i="14609"/>
  <c r="EU309" i="14609"/>
  <c r="EV309" i="14609"/>
  <c r="EW309" i="14609"/>
  <c r="EX309" i="14609"/>
  <c r="EY309" i="14609"/>
  <c r="EZ309" i="14609"/>
  <c r="FA309" i="14609"/>
  <c r="FB309" i="14609"/>
  <c r="FC309" i="14609"/>
  <c r="FD309" i="14609"/>
  <c r="FE309" i="14609"/>
  <c r="FF309" i="14609"/>
  <c r="FG309" i="14609"/>
  <c r="FH309" i="14609"/>
  <c r="FI309" i="14609"/>
  <c r="FJ309" i="14609"/>
  <c r="FK309" i="14609"/>
  <c r="FL309" i="14609"/>
  <c r="FM309" i="14609"/>
  <c r="FN309" i="14609"/>
  <c r="FO309" i="14609"/>
  <c r="FP309" i="14609"/>
  <c r="FQ309" i="14609"/>
  <c r="FR309" i="14609"/>
  <c r="FS309" i="14609"/>
  <c r="FT309" i="14609"/>
  <c r="FU309" i="14609"/>
  <c r="FV309" i="14609"/>
  <c r="FW309" i="14609"/>
  <c r="FX309" i="14609"/>
  <c r="FY309" i="14609"/>
  <c r="FZ309" i="14609"/>
  <c r="GA309" i="14609"/>
  <c r="GB309" i="14609"/>
  <c r="GC309" i="14609"/>
  <c r="GD309" i="14609"/>
  <c r="GE309" i="14609"/>
  <c r="GF309" i="14609"/>
  <c r="GG309" i="14609"/>
  <c r="GH309" i="14609"/>
  <c r="GI309" i="14609"/>
  <c r="GJ309" i="14609"/>
  <c r="GK309" i="14609"/>
  <c r="GL309" i="14609"/>
  <c r="GM309" i="14609"/>
  <c r="GN309" i="14609"/>
  <c r="GO309" i="14609"/>
  <c r="GP309" i="14609"/>
  <c r="GQ309" i="14609"/>
  <c r="GR309" i="14609"/>
  <c r="GS309" i="14609"/>
  <c r="GT309" i="14609"/>
  <c r="GU309" i="14609"/>
  <c r="GV309" i="14609"/>
  <c r="GW309" i="14609"/>
  <c r="GX309" i="14609"/>
  <c r="GY309" i="14609"/>
  <c r="GZ309" i="14609"/>
  <c r="HA309" i="14609"/>
  <c r="HB309" i="14609"/>
  <c r="HC309" i="14609"/>
  <c r="HD309" i="14609"/>
  <c r="HE309" i="14609"/>
  <c r="HF309" i="14609"/>
  <c r="HG309" i="14609"/>
  <c r="HH309" i="14609"/>
  <c r="HI309" i="14609"/>
  <c r="HJ309" i="14609"/>
  <c r="HK309" i="14609"/>
  <c r="HL309" i="14609"/>
  <c r="HM309" i="14609"/>
  <c r="HN309" i="14609"/>
  <c r="HO309" i="14609"/>
  <c r="HP309" i="14609"/>
  <c r="HQ309" i="14609"/>
  <c r="HR309" i="14609"/>
  <c r="HS309" i="14609"/>
  <c r="HT309" i="14609"/>
  <c r="HU309" i="14609"/>
  <c r="HV309" i="14609"/>
  <c r="HW309" i="14609"/>
  <c r="HX309" i="14609"/>
  <c r="HY309" i="14609"/>
  <c r="HZ309" i="14609"/>
  <c r="IA309" i="14609"/>
  <c r="IB309" i="14609"/>
  <c r="IC309" i="14609"/>
  <c r="ID309" i="14609"/>
  <c r="IE309" i="14609"/>
  <c r="IF309" i="14609"/>
  <c r="IG309" i="14609"/>
  <c r="IH309" i="14609"/>
  <c r="II309" i="14609"/>
  <c r="IJ309" i="14609"/>
  <c r="IK309" i="14609"/>
  <c r="IL309" i="14609"/>
  <c r="IM309" i="14609"/>
  <c r="IN309" i="14609"/>
  <c r="IO309" i="14609"/>
  <c r="IP309" i="14609"/>
  <c r="IQ309" i="14609"/>
  <c r="IR309" i="14609"/>
  <c r="IS309" i="14609"/>
  <c r="IT309" i="14609"/>
  <c r="IU309" i="14609"/>
  <c r="IV309" i="14609"/>
  <c r="A308" i="14609"/>
  <c r="B308" i="14609"/>
  <c r="C308" i="14609"/>
  <c r="D308" i="14609"/>
  <c r="E308" i="14609"/>
  <c r="F308" i="14609"/>
  <c r="G308" i="14609"/>
  <c r="H308" i="14609"/>
  <c r="I308" i="14609"/>
  <c r="J308" i="14609"/>
  <c r="K308" i="14609"/>
  <c r="L308" i="14609"/>
  <c r="M308" i="14609"/>
  <c r="N308" i="14609"/>
  <c r="O308" i="14609"/>
  <c r="P308" i="14609"/>
  <c r="Q308" i="14609"/>
  <c r="R308" i="14609"/>
  <c r="S308" i="14609"/>
  <c r="T308" i="14609"/>
  <c r="U308" i="14609"/>
  <c r="V308" i="14609"/>
  <c r="W308" i="14609"/>
  <c r="X308" i="14609"/>
  <c r="Y308" i="14609"/>
  <c r="Z308" i="14609"/>
  <c r="AA308" i="14609"/>
  <c r="AB308" i="14609"/>
  <c r="AC308" i="14609"/>
  <c r="AD308" i="14609"/>
  <c r="AE308" i="14609"/>
  <c r="AF308" i="14609"/>
  <c r="AG308" i="14609"/>
  <c r="AH308" i="14609"/>
  <c r="AI308" i="14609"/>
  <c r="AJ308" i="14609"/>
  <c r="AK308" i="14609"/>
  <c r="AL308" i="14609"/>
  <c r="AM308" i="14609"/>
  <c r="AN308" i="14609"/>
  <c r="AO308" i="14609"/>
  <c r="AP308" i="14609"/>
  <c r="AQ308" i="14609"/>
  <c r="AR308" i="14609"/>
  <c r="AS308" i="14609"/>
  <c r="AT308" i="14609"/>
  <c r="AU308" i="14609"/>
  <c r="AV308" i="14609"/>
  <c r="AW308" i="14609"/>
  <c r="AX308" i="14609"/>
  <c r="AY308" i="14609"/>
  <c r="AZ308" i="14609"/>
  <c r="BA308" i="14609"/>
  <c r="BB308" i="14609"/>
  <c r="BC308" i="14609"/>
  <c r="BD308" i="14609"/>
  <c r="BE308" i="14609"/>
  <c r="BF308" i="14609"/>
  <c r="BG308" i="14609"/>
  <c r="BH308" i="14609"/>
  <c r="BI308" i="14609"/>
  <c r="BJ308" i="14609"/>
  <c r="BK308" i="14609"/>
  <c r="BL308" i="14609"/>
  <c r="BM308" i="14609"/>
  <c r="BN308" i="14609"/>
  <c r="BO308" i="14609"/>
  <c r="BP308" i="14609"/>
  <c r="BQ308" i="14609"/>
  <c r="BR308" i="14609"/>
  <c r="BS308" i="14609"/>
  <c r="BT308" i="14609"/>
  <c r="BU308" i="14609"/>
  <c r="BV308" i="14609"/>
  <c r="BW308" i="14609"/>
  <c r="BX308" i="14609"/>
  <c r="BY308" i="14609"/>
  <c r="BZ308" i="14609"/>
  <c r="CA308" i="14609"/>
  <c r="CB308" i="14609"/>
  <c r="CC308" i="14609"/>
  <c r="CD308" i="14609"/>
  <c r="CE308" i="14609"/>
  <c r="CF308" i="14609"/>
  <c r="CG308" i="14609"/>
  <c r="CH308" i="14609"/>
  <c r="CI308" i="14609"/>
  <c r="CJ308" i="14609"/>
  <c r="CK308" i="14609"/>
  <c r="CL308" i="14609"/>
  <c r="CM308" i="14609"/>
  <c r="CN308" i="14609"/>
  <c r="CO308" i="14609"/>
  <c r="CP308" i="14609"/>
  <c r="CQ308" i="14609"/>
  <c r="CR308" i="14609"/>
  <c r="CS308" i="14609"/>
  <c r="CT308" i="14609"/>
  <c r="CU308" i="14609"/>
  <c r="CV308" i="14609"/>
  <c r="CW308" i="14609"/>
  <c r="CX308" i="14609"/>
  <c r="CY308" i="14609"/>
  <c r="CZ308" i="14609"/>
  <c r="DA308" i="14609"/>
  <c r="DB308" i="14609"/>
  <c r="DC308" i="14609"/>
  <c r="DD308" i="14609"/>
  <c r="DE308" i="14609"/>
  <c r="DF308" i="14609"/>
  <c r="DG308" i="14609"/>
  <c r="DH308" i="14609"/>
  <c r="DI308" i="14609"/>
  <c r="DJ308" i="14609"/>
  <c r="DK308" i="14609"/>
  <c r="DL308" i="14609"/>
  <c r="DM308" i="14609"/>
  <c r="DN308" i="14609"/>
  <c r="DO308" i="14609"/>
  <c r="DP308" i="14609"/>
  <c r="DQ308" i="14609"/>
  <c r="DR308" i="14609"/>
  <c r="DS308" i="14609"/>
  <c r="DT308" i="14609"/>
  <c r="DU308" i="14609"/>
  <c r="DV308" i="14609"/>
  <c r="DW308" i="14609"/>
  <c r="DX308" i="14609"/>
  <c r="DY308" i="14609"/>
  <c r="DZ308" i="14609"/>
  <c r="EA308" i="14609"/>
  <c r="EB308" i="14609"/>
  <c r="EC308" i="14609"/>
  <c r="ED308" i="14609"/>
  <c r="EE308" i="14609"/>
  <c r="EF308" i="14609"/>
  <c r="EG308" i="14609"/>
  <c r="EH308" i="14609"/>
  <c r="EI308" i="14609"/>
  <c r="EJ308" i="14609"/>
  <c r="EK308" i="14609"/>
  <c r="EL308" i="14609"/>
  <c r="EM308" i="14609"/>
  <c r="EN308" i="14609"/>
  <c r="EO308" i="14609"/>
  <c r="EP308" i="14609"/>
  <c r="EQ308" i="14609"/>
  <c r="ER308" i="14609"/>
  <c r="ES308" i="14609"/>
  <c r="ET308" i="14609"/>
  <c r="EU308" i="14609"/>
  <c r="EV308" i="14609"/>
  <c r="EW308" i="14609"/>
  <c r="EX308" i="14609"/>
  <c r="EY308" i="14609"/>
  <c r="EZ308" i="14609"/>
  <c r="FA308" i="14609"/>
  <c r="FB308" i="14609"/>
  <c r="FC308" i="14609"/>
  <c r="FD308" i="14609"/>
  <c r="FE308" i="14609"/>
  <c r="FF308" i="14609"/>
  <c r="FG308" i="14609"/>
  <c r="FH308" i="14609"/>
  <c r="FI308" i="14609"/>
  <c r="FJ308" i="14609"/>
  <c r="FK308" i="14609"/>
  <c r="FL308" i="14609"/>
  <c r="FM308" i="14609"/>
  <c r="FN308" i="14609"/>
  <c r="FO308" i="14609"/>
  <c r="FP308" i="14609"/>
  <c r="FQ308" i="14609"/>
  <c r="FR308" i="14609"/>
  <c r="FS308" i="14609"/>
  <c r="FT308" i="14609"/>
  <c r="FU308" i="14609"/>
  <c r="FV308" i="14609"/>
  <c r="FW308" i="14609"/>
  <c r="FX308" i="14609"/>
  <c r="FY308" i="14609"/>
  <c r="FZ308" i="14609"/>
  <c r="GA308" i="14609"/>
  <c r="GB308" i="14609"/>
  <c r="GC308" i="14609"/>
  <c r="GD308" i="14609"/>
  <c r="GE308" i="14609"/>
  <c r="GF308" i="14609"/>
  <c r="GG308" i="14609"/>
  <c r="GH308" i="14609"/>
  <c r="GI308" i="14609"/>
  <c r="GJ308" i="14609"/>
  <c r="GK308" i="14609"/>
  <c r="GL308" i="14609"/>
  <c r="GM308" i="14609"/>
  <c r="GN308" i="14609"/>
  <c r="GO308" i="14609"/>
  <c r="GP308" i="14609"/>
  <c r="GQ308" i="14609"/>
  <c r="GR308" i="14609"/>
  <c r="GS308" i="14609"/>
  <c r="GT308" i="14609"/>
  <c r="GU308" i="14609"/>
  <c r="GV308" i="14609"/>
  <c r="GW308" i="14609"/>
  <c r="GX308" i="14609"/>
  <c r="GY308" i="14609"/>
  <c r="GZ308" i="14609"/>
  <c r="HA308" i="14609"/>
  <c r="HB308" i="14609"/>
  <c r="HC308" i="14609"/>
  <c r="HD308" i="14609"/>
  <c r="HE308" i="14609"/>
  <c r="HF308" i="14609"/>
  <c r="HG308" i="14609"/>
  <c r="HH308" i="14609"/>
  <c r="HI308" i="14609"/>
  <c r="HJ308" i="14609"/>
  <c r="HK308" i="14609"/>
  <c r="HL308" i="14609"/>
  <c r="HM308" i="14609"/>
  <c r="HN308" i="14609"/>
  <c r="HO308" i="14609"/>
  <c r="HP308" i="14609"/>
  <c r="HQ308" i="14609"/>
  <c r="HR308" i="14609"/>
  <c r="HS308" i="14609"/>
  <c r="HT308" i="14609"/>
  <c r="HU308" i="14609"/>
  <c r="HV308" i="14609"/>
  <c r="HW308" i="14609"/>
  <c r="HX308" i="14609"/>
  <c r="HY308" i="14609"/>
  <c r="HZ308" i="14609"/>
  <c r="IA308" i="14609"/>
  <c r="IB308" i="14609"/>
  <c r="IC308" i="14609"/>
  <c r="ID308" i="14609"/>
  <c r="IE308" i="14609"/>
  <c r="IF308" i="14609"/>
  <c r="IG308" i="14609"/>
  <c r="IH308" i="14609"/>
  <c r="II308" i="14609"/>
  <c r="IJ308" i="14609"/>
  <c r="IK308" i="14609"/>
  <c r="IL308" i="14609"/>
  <c r="IM308" i="14609"/>
  <c r="IN308" i="14609"/>
  <c r="IO308" i="14609"/>
  <c r="IP308" i="14609"/>
  <c r="IQ308" i="14609"/>
  <c r="IR308" i="14609"/>
  <c r="IS308" i="14609"/>
  <c r="IT308" i="14609"/>
  <c r="IU308" i="14609"/>
  <c r="IV308" i="14609"/>
  <c r="A307" i="14609"/>
  <c r="B307" i="14609"/>
  <c r="C307" i="14609"/>
  <c r="D307" i="14609"/>
  <c r="E307" i="14609"/>
  <c r="F307" i="14609"/>
  <c r="G307" i="14609"/>
  <c r="H307" i="14609"/>
  <c r="I307" i="14609"/>
  <c r="J307" i="14609"/>
  <c r="K307" i="14609"/>
  <c r="L307" i="14609"/>
  <c r="M307" i="14609"/>
  <c r="N307" i="14609"/>
  <c r="O307" i="14609"/>
  <c r="P307" i="14609"/>
  <c r="Q307" i="14609"/>
  <c r="R307" i="14609"/>
  <c r="S307" i="14609"/>
  <c r="T307" i="14609"/>
  <c r="U307" i="14609"/>
  <c r="V307" i="14609"/>
  <c r="W307" i="14609"/>
  <c r="X307" i="14609"/>
  <c r="Y307" i="14609"/>
  <c r="Z307" i="14609"/>
  <c r="AA307" i="14609"/>
  <c r="AB307" i="14609"/>
  <c r="AC307" i="14609"/>
  <c r="AD307" i="14609"/>
  <c r="AE307" i="14609"/>
  <c r="AF307" i="14609"/>
  <c r="AG307" i="14609"/>
  <c r="AH307" i="14609"/>
  <c r="AI307" i="14609"/>
  <c r="AJ307" i="14609"/>
  <c r="AK307" i="14609"/>
  <c r="AL307" i="14609"/>
  <c r="AM307" i="14609"/>
  <c r="AN307" i="14609"/>
  <c r="AO307" i="14609"/>
  <c r="AP307" i="14609"/>
  <c r="AQ307" i="14609"/>
  <c r="AR307" i="14609"/>
  <c r="AS307" i="14609"/>
  <c r="AT307" i="14609"/>
  <c r="AU307" i="14609"/>
  <c r="AV307" i="14609"/>
  <c r="AW307" i="14609"/>
  <c r="AX307" i="14609"/>
  <c r="AY307" i="14609"/>
  <c r="AZ307" i="14609"/>
  <c r="BA307" i="14609"/>
  <c r="BB307" i="14609"/>
  <c r="BC307" i="14609"/>
  <c r="BD307" i="14609"/>
  <c r="BE307" i="14609"/>
  <c r="BF307" i="14609"/>
  <c r="BG307" i="14609"/>
  <c r="BH307" i="14609"/>
  <c r="BI307" i="14609"/>
  <c r="BJ307" i="14609"/>
  <c r="BK307" i="14609"/>
  <c r="BL307" i="14609"/>
  <c r="BM307" i="14609"/>
  <c r="BN307" i="14609"/>
  <c r="BO307" i="14609"/>
  <c r="BP307" i="14609"/>
  <c r="BQ307" i="14609"/>
  <c r="BR307" i="14609"/>
  <c r="BS307" i="14609"/>
  <c r="BT307" i="14609"/>
  <c r="BU307" i="14609"/>
  <c r="BV307" i="14609"/>
  <c r="BW307" i="14609"/>
  <c r="BX307" i="14609"/>
  <c r="BY307" i="14609"/>
  <c r="BZ307" i="14609"/>
  <c r="CA307" i="14609"/>
  <c r="CB307" i="14609"/>
  <c r="CC307" i="14609"/>
  <c r="CD307" i="14609"/>
  <c r="CE307" i="14609"/>
  <c r="CF307" i="14609"/>
  <c r="CG307" i="14609"/>
  <c r="CH307" i="14609"/>
  <c r="CI307" i="14609"/>
  <c r="CJ307" i="14609"/>
  <c r="CK307" i="14609"/>
  <c r="CL307" i="14609"/>
  <c r="CM307" i="14609"/>
  <c r="CN307" i="14609"/>
  <c r="CO307" i="14609"/>
  <c r="CP307" i="14609"/>
  <c r="CQ307" i="14609"/>
  <c r="CR307" i="14609"/>
  <c r="CS307" i="14609"/>
  <c r="CT307" i="14609"/>
  <c r="CU307" i="14609"/>
  <c r="CV307" i="14609"/>
  <c r="CW307" i="14609"/>
  <c r="CX307" i="14609"/>
  <c r="CY307" i="14609"/>
  <c r="CZ307" i="14609"/>
  <c r="DA307" i="14609"/>
  <c r="DB307" i="14609"/>
  <c r="DC307" i="14609"/>
  <c r="DD307" i="14609"/>
  <c r="DE307" i="14609"/>
  <c r="DF307" i="14609"/>
  <c r="DG307" i="14609"/>
  <c r="DH307" i="14609"/>
  <c r="DI307" i="14609"/>
  <c r="DJ307" i="14609"/>
  <c r="DK307" i="14609"/>
  <c r="DL307" i="14609"/>
  <c r="DM307" i="14609"/>
  <c r="DN307" i="14609"/>
  <c r="DO307" i="14609"/>
  <c r="DP307" i="14609"/>
  <c r="DQ307" i="14609"/>
  <c r="DR307" i="14609"/>
  <c r="DS307" i="14609"/>
  <c r="DT307" i="14609"/>
  <c r="DU307" i="14609"/>
  <c r="DV307" i="14609"/>
  <c r="DW307" i="14609"/>
  <c r="DX307" i="14609"/>
  <c r="DY307" i="14609"/>
  <c r="DZ307" i="14609"/>
  <c r="EA307" i="14609"/>
  <c r="EB307" i="14609"/>
  <c r="EC307" i="14609"/>
  <c r="ED307" i="14609"/>
  <c r="EE307" i="14609"/>
  <c r="EF307" i="14609"/>
  <c r="EG307" i="14609"/>
  <c r="EH307" i="14609"/>
  <c r="EI307" i="14609"/>
  <c r="EJ307" i="14609"/>
  <c r="EK307" i="14609"/>
  <c r="EL307" i="14609"/>
  <c r="EM307" i="14609"/>
  <c r="EN307" i="14609"/>
  <c r="EO307" i="14609"/>
  <c r="EP307" i="14609"/>
  <c r="EQ307" i="14609"/>
  <c r="ER307" i="14609"/>
  <c r="ES307" i="14609"/>
  <c r="ET307" i="14609"/>
  <c r="EU307" i="14609"/>
  <c r="EV307" i="14609"/>
  <c r="EW307" i="14609"/>
  <c r="EX307" i="14609"/>
  <c r="EY307" i="14609"/>
  <c r="EZ307" i="14609"/>
  <c r="FA307" i="14609"/>
  <c r="FB307" i="14609"/>
  <c r="FC307" i="14609"/>
  <c r="FD307" i="14609"/>
  <c r="FE307" i="14609"/>
  <c r="FF307" i="14609"/>
  <c r="FG307" i="14609"/>
  <c r="FH307" i="14609"/>
  <c r="FI307" i="14609"/>
  <c r="FJ307" i="14609"/>
  <c r="FK307" i="14609"/>
  <c r="FL307" i="14609"/>
  <c r="FM307" i="14609"/>
  <c r="FN307" i="14609"/>
  <c r="FO307" i="14609"/>
  <c r="FP307" i="14609"/>
  <c r="FQ307" i="14609"/>
  <c r="FR307" i="14609"/>
  <c r="FS307" i="14609"/>
  <c r="FT307" i="14609"/>
  <c r="FU307" i="14609"/>
  <c r="FV307" i="14609"/>
  <c r="FW307" i="14609"/>
  <c r="FX307" i="14609"/>
  <c r="FY307" i="14609"/>
  <c r="FZ307" i="14609"/>
  <c r="GA307" i="14609"/>
  <c r="GB307" i="14609"/>
  <c r="GC307" i="14609"/>
  <c r="GD307" i="14609"/>
  <c r="GE307" i="14609"/>
  <c r="GF307" i="14609"/>
  <c r="GG307" i="14609"/>
  <c r="GH307" i="14609"/>
  <c r="GI307" i="14609"/>
  <c r="GJ307" i="14609"/>
  <c r="GK307" i="14609"/>
  <c r="GL307" i="14609"/>
  <c r="GM307" i="14609"/>
  <c r="GN307" i="14609"/>
  <c r="GO307" i="14609"/>
  <c r="GP307" i="14609"/>
  <c r="GQ307" i="14609"/>
  <c r="GR307" i="14609"/>
  <c r="GS307" i="14609"/>
  <c r="GT307" i="14609"/>
  <c r="GU307" i="14609"/>
  <c r="GV307" i="14609"/>
  <c r="GW307" i="14609"/>
  <c r="GX307" i="14609"/>
  <c r="GY307" i="14609"/>
  <c r="GZ307" i="14609"/>
  <c r="HA307" i="14609"/>
  <c r="HB307" i="14609"/>
  <c r="HC307" i="14609"/>
  <c r="HD307" i="14609"/>
  <c r="HE307" i="14609"/>
  <c r="HF307" i="14609"/>
  <c r="HG307" i="14609"/>
  <c r="HH307" i="14609"/>
  <c r="HI307" i="14609"/>
  <c r="HJ307" i="14609"/>
  <c r="HK307" i="14609"/>
  <c r="HL307" i="14609"/>
  <c r="HM307" i="14609"/>
  <c r="HN307" i="14609"/>
  <c r="HO307" i="14609"/>
  <c r="HP307" i="14609"/>
  <c r="HQ307" i="14609"/>
  <c r="HR307" i="14609"/>
  <c r="HS307" i="14609"/>
  <c r="HT307" i="14609"/>
  <c r="HU307" i="14609"/>
  <c r="HV307" i="14609"/>
  <c r="HW307" i="14609"/>
  <c r="HX307" i="14609"/>
  <c r="HY307" i="14609"/>
  <c r="HZ307" i="14609"/>
  <c r="IA307" i="14609"/>
  <c r="IB307" i="14609"/>
  <c r="IC307" i="14609"/>
  <c r="ID307" i="14609"/>
  <c r="IE307" i="14609"/>
  <c r="IF307" i="14609"/>
  <c r="IG307" i="14609"/>
  <c r="IH307" i="14609"/>
  <c r="II307" i="14609"/>
  <c r="IJ307" i="14609"/>
  <c r="IK307" i="14609"/>
  <c r="IL307" i="14609"/>
  <c r="IM307" i="14609"/>
  <c r="IN307" i="14609"/>
  <c r="IO307" i="14609"/>
  <c r="IP307" i="14609"/>
  <c r="IQ307" i="14609"/>
  <c r="IR307" i="14609"/>
  <c r="IS307" i="14609"/>
  <c r="IT307" i="14609"/>
  <c r="IU307" i="14609"/>
  <c r="IV307" i="14609"/>
  <c r="A306" i="14609"/>
  <c r="B306" i="14609"/>
  <c r="C306" i="14609"/>
  <c r="D306" i="14609"/>
  <c r="E306" i="14609"/>
  <c r="F306" i="14609"/>
  <c r="G306" i="14609"/>
  <c r="H306" i="14609"/>
  <c r="I306" i="14609"/>
  <c r="J306" i="14609"/>
  <c r="K306" i="14609"/>
  <c r="L306" i="14609"/>
  <c r="M306" i="14609"/>
  <c r="N306" i="14609"/>
  <c r="O306" i="14609"/>
  <c r="P306" i="14609"/>
  <c r="Q306" i="14609"/>
  <c r="R306" i="14609"/>
  <c r="S306" i="14609"/>
  <c r="T306" i="14609"/>
  <c r="U306" i="14609"/>
  <c r="V306" i="14609"/>
  <c r="W306" i="14609"/>
  <c r="X306" i="14609"/>
  <c r="Y306" i="14609"/>
  <c r="Z306" i="14609"/>
  <c r="AA306" i="14609"/>
  <c r="AB306" i="14609"/>
  <c r="AC306" i="14609"/>
  <c r="AD306" i="14609"/>
  <c r="AE306" i="14609"/>
  <c r="AF306" i="14609"/>
  <c r="AG306" i="14609"/>
  <c r="AH306" i="14609"/>
  <c r="AI306" i="14609"/>
  <c r="AJ306" i="14609"/>
  <c r="AK306" i="14609"/>
  <c r="AL306" i="14609"/>
  <c r="AM306" i="14609"/>
  <c r="AN306" i="14609"/>
  <c r="AO306" i="14609"/>
  <c r="AP306" i="14609"/>
  <c r="AQ306" i="14609"/>
  <c r="AR306" i="14609"/>
  <c r="AS306" i="14609"/>
  <c r="AT306" i="14609"/>
  <c r="AU306" i="14609"/>
  <c r="AV306" i="14609"/>
  <c r="AW306" i="14609"/>
  <c r="AX306" i="14609"/>
  <c r="AY306" i="14609"/>
  <c r="AZ306" i="14609"/>
  <c r="BA306" i="14609"/>
  <c r="BB306" i="14609"/>
  <c r="BC306" i="14609"/>
  <c r="BD306" i="14609"/>
  <c r="BE306" i="14609"/>
  <c r="BF306" i="14609"/>
  <c r="BG306" i="14609"/>
  <c r="BH306" i="14609"/>
  <c r="BI306" i="14609"/>
  <c r="BJ306" i="14609"/>
  <c r="BK306" i="14609"/>
  <c r="BL306" i="14609"/>
  <c r="BM306" i="14609"/>
  <c r="BN306" i="14609"/>
  <c r="BO306" i="14609"/>
  <c r="BP306" i="14609"/>
  <c r="BQ306" i="14609"/>
  <c r="BR306" i="14609"/>
  <c r="BS306" i="14609"/>
  <c r="BT306" i="14609"/>
  <c r="BU306" i="14609"/>
  <c r="BV306" i="14609"/>
  <c r="BW306" i="14609"/>
  <c r="BX306" i="14609"/>
  <c r="BY306" i="14609"/>
  <c r="BZ306" i="14609"/>
  <c r="CA306" i="14609"/>
  <c r="CB306" i="14609"/>
  <c r="CC306" i="14609"/>
  <c r="CD306" i="14609"/>
  <c r="CE306" i="14609"/>
  <c r="CF306" i="14609"/>
  <c r="CG306" i="14609"/>
  <c r="CH306" i="14609"/>
  <c r="CI306" i="14609"/>
  <c r="CJ306" i="14609"/>
  <c r="CK306" i="14609"/>
  <c r="CL306" i="14609"/>
  <c r="CM306" i="14609"/>
  <c r="CN306" i="14609"/>
  <c r="CO306" i="14609"/>
  <c r="CP306" i="14609"/>
  <c r="CQ306" i="14609"/>
  <c r="CR306" i="14609"/>
  <c r="CS306" i="14609"/>
  <c r="CT306" i="14609"/>
  <c r="CU306" i="14609"/>
  <c r="CV306" i="14609"/>
  <c r="CW306" i="14609"/>
  <c r="CX306" i="14609"/>
  <c r="CY306" i="14609"/>
  <c r="CZ306" i="14609"/>
  <c r="DA306" i="14609"/>
  <c r="DB306" i="14609"/>
  <c r="DC306" i="14609"/>
  <c r="DD306" i="14609"/>
  <c r="DE306" i="14609"/>
  <c r="DF306" i="14609"/>
  <c r="DG306" i="14609"/>
  <c r="DH306" i="14609"/>
  <c r="DI306" i="14609"/>
  <c r="DJ306" i="14609"/>
  <c r="DK306" i="14609"/>
  <c r="DL306" i="14609"/>
  <c r="DM306" i="14609"/>
  <c r="DN306" i="14609"/>
  <c r="DO306" i="14609"/>
  <c r="DP306" i="14609"/>
  <c r="DQ306" i="14609"/>
  <c r="DR306" i="14609"/>
  <c r="DS306" i="14609"/>
  <c r="DT306" i="14609"/>
  <c r="DU306" i="14609"/>
  <c r="DV306" i="14609"/>
  <c r="DW306" i="14609"/>
  <c r="DX306" i="14609"/>
  <c r="DY306" i="14609"/>
  <c r="DZ306" i="14609"/>
  <c r="EA306" i="14609"/>
  <c r="EB306" i="14609"/>
  <c r="EC306" i="14609"/>
  <c r="ED306" i="14609"/>
  <c r="EE306" i="14609"/>
  <c r="EF306" i="14609"/>
  <c r="EG306" i="14609"/>
  <c r="EH306" i="14609"/>
  <c r="EI306" i="14609"/>
  <c r="EJ306" i="14609"/>
  <c r="EK306" i="14609"/>
  <c r="EL306" i="14609"/>
  <c r="EM306" i="14609"/>
  <c r="EN306" i="14609"/>
  <c r="EO306" i="14609"/>
  <c r="EP306" i="14609"/>
  <c r="EQ306" i="14609"/>
  <c r="ER306" i="14609"/>
  <c r="ES306" i="14609"/>
  <c r="ET306" i="14609"/>
  <c r="EU306" i="14609"/>
  <c r="EV306" i="14609"/>
  <c r="EW306" i="14609"/>
  <c r="EX306" i="14609"/>
  <c r="EY306" i="14609"/>
  <c r="EZ306" i="14609"/>
  <c r="FA306" i="14609"/>
  <c r="FB306" i="14609"/>
  <c r="FC306" i="14609"/>
  <c r="FD306" i="14609"/>
  <c r="FE306" i="14609"/>
  <c r="FF306" i="14609"/>
  <c r="FG306" i="14609"/>
  <c r="FH306" i="14609"/>
  <c r="FI306" i="14609"/>
  <c r="FJ306" i="14609"/>
  <c r="FK306" i="14609"/>
  <c r="FL306" i="14609"/>
  <c r="FM306" i="14609"/>
  <c r="FN306" i="14609"/>
  <c r="FO306" i="14609"/>
  <c r="FP306" i="14609"/>
  <c r="FQ306" i="14609"/>
  <c r="FR306" i="14609"/>
  <c r="FS306" i="14609"/>
  <c r="FT306" i="14609"/>
  <c r="FU306" i="14609"/>
  <c r="FV306" i="14609"/>
  <c r="FW306" i="14609"/>
  <c r="FX306" i="14609"/>
  <c r="FY306" i="14609"/>
  <c r="FZ306" i="14609"/>
  <c r="GA306" i="14609"/>
  <c r="GB306" i="14609"/>
  <c r="GC306" i="14609"/>
  <c r="GD306" i="14609"/>
  <c r="GE306" i="14609"/>
  <c r="GF306" i="14609"/>
  <c r="GG306" i="14609"/>
  <c r="GH306" i="14609"/>
  <c r="GI306" i="14609"/>
  <c r="GJ306" i="14609"/>
  <c r="GK306" i="14609"/>
  <c r="GL306" i="14609"/>
  <c r="GM306" i="14609"/>
  <c r="GN306" i="14609"/>
  <c r="GO306" i="14609"/>
  <c r="GP306" i="14609"/>
  <c r="GQ306" i="14609"/>
  <c r="GR306" i="14609"/>
  <c r="GS306" i="14609"/>
  <c r="GT306" i="14609"/>
  <c r="GU306" i="14609"/>
  <c r="GV306" i="14609"/>
  <c r="GW306" i="14609"/>
  <c r="GX306" i="14609"/>
  <c r="GY306" i="14609"/>
  <c r="GZ306" i="14609"/>
  <c r="HA306" i="14609"/>
  <c r="HB306" i="14609"/>
  <c r="HC306" i="14609"/>
  <c r="HD306" i="14609"/>
  <c r="HE306" i="14609"/>
  <c r="HF306" i="14609"/>
  <c r="HG306" i="14609"/>
  <c r="HH306" i="14609"/>
  <c r="HI306" i="14609"/>
  <c r="HJ306" i="14609"/>
  <c r="HK306" i="14609"/>
  <c r="HL306" i="14609"/>
  <c r="HM306" i="14609"/>
  <c r="HN306" i="14609"/>
  <c r="HO306" i="14609"/>
  <c r="HP306" i="14609"/>
  <c r="HQ306" i="14609"/>
  <c r="HR306" i="14609"/>
  <c r="HS306" i="14609"/>
  <c r="HT306" i="14609"/>
  <c r="HU306" i="14609"/>
  <c r="HV306" i="14609"/>
  <c r="HW306" i="14609"/>
  <c r="HX306" i="14609"/>
  <c r="HY306" i="14609"/>
  <c r="HZ306" i="14609"/>
  <c r="IA306" i="14609"/>
  <c r="IB306" i="14609"/>
  <c r="IC306" i="14609"/>
  <c r="ID306" i="14609"/>
  <c r="IE306" i="14609"/>
  <c r="IF306" i="14609"/>
  <c r="IG306" i="14609"/>
  <c r="IH306" i="14609"/>
  <c r="II306" i="14609"/>
  <c r="IJ306" i="14609"/>
  <c r="IK306" i="14609"/>
  <c r="IL306" i="14609"/>
  <c r="IM306" i="14609"/>
  <c r="IN306" i="14609"/>
  <c r="IO306" i="14609"/>
  <c r="IP306" i="14609"/>
  <c r="IQ306" i="14609"/>
  <c r="IR306" i="14609"/>
  <c r="IS306" i="14609"/>
  <c r="IT306" i="14609"/>
  <c r="IU306" i="14609"/>
  <c r="IV306" i="14609"/>
  <c r="A305" i="14609"/>
  <c r="B305" i="14609"/>
  <c r="C305" i="14609"/>
  <c r="D305" i="14609"/>
  <c r="E305" i="14609"/>
  <c r="F305" i="14609"/>
  <c r="G305" i="14609"/>
  <c r="H305" i="14609"/>
  <c r="I305" i="14609"/>
  <c r="J305" i="14609"/>
  <c r="K305" i="14609"/>
  <c r="L305" i="14609"/>
  <c r="M305" i="14609"/>
  <c r="N305" i="14609"/>
  <c r="O305" i="14609"/>
  <c r="P305" i="14609"/>
  <c r="Q305" i="14609"/>
  <c r="R305" i="14609"/>
  <c r="S305" i="14609"/>
  <c r="T305" i="14609"/>
  <c r="U305" i="14609"/>
  <c r="V305" i="14609"/>
  <c r="W305" i="14609"/>
  <c r="X305" i="14609"/>
  <c r="Y305" i="14609"/>
  <c r="Z305" i="14609"/>
  <c r="AA305" i="14609"/>
  <c r="AB305" i="14609"/>
  <c r="AC305" i="14609"/>
  <c r="AD305" i="14609"/>
  <c r="AE305" i="14609"/>
  <c r="AF305" i="14609"/>
  <c r="AG305" i="14609"/>
  <c r="AH305" i="14609"/>
  <c r="AI305" i="14609"/>
  <c r="AJ305" i="14609"/>
  <c r="AK305" i="14609"/>
  <c r="AL305" i="14609"/>
  <c r="AM305" i="14609"/>
  <c r="AN305" i="14609"/>
  <c r="AO305" i="14609"/>
  <c r="AP305" i="14609"/>
  <c r="AQ305" i="14609"/>
  <c r="AR305" i="14609"/>
  <c r="AS305" i="14609"/>
  <c r="AT305" i="14609"/>
  <c r="AU305" i="14609"/>
  <c r="AV305" i="14609"/>
  <c r="AW305" i="14609"/>
  <c r="AX305" i="14609"/>
  <c r="AY305" i="14609"/>
  <c r="AZ305" i="14609"/>
  <c r="BA305" i="14609"/>
  <c r="BB305" i="14609"/>
  <c r="BC305" i="14609"/>
  <c r="BD305" i="14609"/>
  <c r="BE305" i="14609"/>
  <c r="BF305" i="14609"/>
  <c r="BG305" i="14609"/>
  <c r="BH305" i="14609"/>
  <c r="BI305" i="14609"/>
  <c r="BJ305" i="14609"/>
  <c r="BK305" i="14609"/>
  <c r="BL305" i="14609"/>
  <c r="BM305" i="14609"/>
  <c r="BN305" i="14609"/>
  <c r="BO305" i="14609"/>
  <c r="BP305" i="14609"/>
  <c r="BQ305" i="14609"/>
  <c r="BR305" i="14609"/>
  <c r="BS305" i="14609"/>
  <c r="BT305" i="14609"/>
  <c r="BU305" i="14609"/>
  <c r="BV305" i="14609"/>
  <c r="BW305" i="14609"/>
  <c r="BX305" i="14609"/>
  <c r="BY305" i="14609"/>
  <c r="BZ305" i="14609"/>
  <c r="CA305" i="14609"/>
  <c r="CB305" i="14609"/>
  <c r="CC305" i="14609"/>
  <c r="CD305" i="14609"/>
  <c r="CE305" i="14609"/>
  <c r="CF305" i="14609"/>
  <c r="CG305" i="14609"/>
  <c r="CH305" i="14609"/>
  <c r="CI305" i="14609"/>
  <c r="CJ305" i="14609"/>
  <c r="CK305" i="14609"/>
  <c r="CL305" i="14609"/>
  <c r="CM305" i="14609"/>
  <c r="CN305" i="14609"/>
  <c r="CO305" i="14609"/>
  <c r="CP305" i="14609"/>
  <c r="CQ305" i="14609"/>
  <c r="CR305" i="14609"/>
  <c r="CS305" i="14609"/>
  <c r="CT305" i="14609"/>
  <c r="CU305" i="14609"/>
  <c r="CV305" i="14609"/>
  <c r="CW305" i="14609"/>
  <c r="CX305" i="14609"/>
  <c r="CY305" i="14609"/>
  <c r="CZ305" i="14609"/>
  <c r="DA305" i="14609"/>
  <c r="DB305" i="14609"/>
  <c r="DC305" i="14609"/>
  <c r="DD305" i="14609"/>
  <c r="DE305" i="14609"/>
  <c r="DF305" i="14609"/>
  <c r="DG305" i="14609"/>
  <c r="DH305" i="14609"/>
  <c r="DI305" i="14609"/>
  <c r="DJ305" i="14609"/>
  <c r="DK305" i="14609"/>
  <c r="DL305" i="14609"/>
  <c r="DM305" i="14609"/>
  <c r="DN305" i="14609"/>
  <c r="DO305" i="14609"/>
  <c r="DP305" i="14609"/>
  <c r="DQ305" i="14609"/>
  <c r="DR305" i="14609"/>
  <c r="DS305" i="14609"/>
  <c r="DT305" i="14609"/>
  <c r="DU305" i="14609"/>
  <c r="DV305" i="14609"/>
  <c r="DW305" i="14609"/>
  <c r="DX305" i="14609"/>
  <c r="DY305" i="14609"/>
  <c r="DZ305" i="14609"/>
  <c r="EA305" i="14609"/>
  <c r="EB305" i="14609"/>
  <c r="EC305" i="14609"/>
  <c r="ED305" i="14609"/>
  <c r="EE305" i="14609"/>
  <c r="EF305" i="14609"/>
  <c r="EG305" i="14609"/>
  <c r="EH305" i="14609"/>
  <c r="EI305" i="14609"/>
  <c r="EJ305" i="14609"/>
  <c r="EK305" i="14609"/>
  <c r="EL305" i="14609"/>
  <c r="EM305" i="14609"/>
  <c r="EN305" i="14609"/>
  <c r="EO305" i="14609"/>
  <c r="EP305" i="14609"/>
  <c r="EQ305" i="14609"/>
  <c r="ER305" i="14609"/>
  <c r="ES305" i="14609"/>
  <c r="ET305" i="14609"/>
  <c r="EU305" i="14609"/>
  <c r="EV305" i="14609"/>
  <c r="EW305" i="14609"/>
  <c r="EX305" i="14609"/>
  <c r="EY305" i="14609"/>
  <c r="EZ305" i="14609"/>
  <c r="FA305" i="14609"/>
  <c r="FB305" i="14609"/>
  <c r="FC305" i="14609"/>
  <c r="FD305" i="14609"/>
  <c r="FE305" i="14609"/>
  <c r="FF305" i="14609"/>
  <c r="FG305" i="14609"/>
  <c r="FH305" i="14609"/>
  <c r="FI305" i="14609"/>
  <c r="FJ305" i="14609"/>
  <c r="FK305" i="14609"/>
  <c r="FL305" i="14609"/>
  <c r="FM305" i="14609"/>
  <c r="FN305" i="14609"/>
  <c r="FO305" i="14609"/>
  <c r="FP305" i="14609"/>
  <c r="FQ305" i="14609"/>
  <c r="FR305" i="14609"/>
  <c r="FS305" i="14609"/>
  <c r="FT305" i="14609"/>
  <c r="FU305" i="14609"/>
  <c r="FV305" i="14609"/>
  <c r="FW305" i="14609"/>
  <c r="FX305" i="14609"/>
  <c r="FY305" i="14609"/>
  <c r="FZ305" i="14609"/>
  <c r="GA305" i="14609"/>
  <c r="GB305" i="14609"/>
  <c r="GC305" i="14609"/>
  <c r="GD305" i="14609"/>
  <c r="GE305" i="14609"/>
  <c r="GF305" i="14609"/>
  <c r="GG305" i="14609"/>
  <c r="GH305" i="14609"/>
  <c r="GI305" i="14609"/>
  <c r="GJ305" i="14609"/>
  <c r="GK305" i="14609"/>
  <c r="GL305" i="14609"/>
  <c r="GM305" i="14609"/>
  <c r="GN305" i="14609"/>
  <c r="GO305" i="14609"/>
  <c r="GP305" i="14609"/>
  <c r="GQ305" i="14609"/>
  <c r="GR305" i="14609"/>
  <c r="GS305" i="14609"/>
  <c r="GT305" i="14609"/>
  <c r="GU305" i="14609"/>
  <c r="GV305" i="14609"/>
  <c r="GW305" i="14609"/>
  <c r="GX305" i="14609"/>
  <c r="GY305" i="14609"/>
  <c r="GZ305" i="14609"/>
  <c r="HA305" i="14609"/>
  <c r="HB305" i="14609"/>
  <c r="HC305" i="14609"/>
  <c r="HD305" i="14609"/>
  <c r="HE305" i="14609"/>
  <c r="HF305" i="14609"/>
  <c r="HG305" i="14609"/>
  <c r="HH305" i="14609"/>
  <c r="HI305" i="14609"/>
  <c r="HJ305" i="14609"/>
  <c r="HK305" i="14609"/>
  <c r="HL305" i="14609"/>
  <c r="HM305" i="14609"/>
  <c r="HN305" i="14609"/>
  <c r="HO305" i="14609"/>
  <c r="HP305" i="14609"/>
  <c r="HQ305" i="14609"/>
  <c r="HR305" i="14609"/>
  <c r="HS305" i="14609"/>
  <c r="HT305" i="14609"/>
  <c r="HU305" i="14609"/>
  <c r="HV305" i="14609"/>
  <c r="HW305" i="14609"/>
  <c r="HX305" i="14609"/>
  <c r="HY305" i="14609"/>
  <c r="HZ305" i="14609"/>
  <c r="IA305" i="14609"/>
  <c r="IB305" i="14609"/>
  <c r="IC305" i="14609"/>
  <c r="ID305" i="14609"/>
  <c r="IE305" i="14609"/>
  <c r="IF305" i="14609"/>
  <c r="IG305" i="14609"/>
  <c r="IH305" i="14609"/>
  <c r="II305" i="14609"/>
  <c r="IJ305" i="14609"/>
  <c r="IK305" i="14609"/>
  <c r="IL305" i="14609"/>
  <c r="IM305" i="14609"/>
  <c r="IN305" i="14609"/>
  <c r="IO305" i="14609"/>
  <c r="IP305" i="14609"/>
  <c r="IQ305" i="14609"/>
  <c r="IR305" i="14609"/>
  <c r="IS305" i="14609"/>
  <c r="IT305" i="14609"/>
  <c r="IU305" i="14609"/>
  <c r="IV305" i="14609"/>
  <c r="A304" i="14609"/>
  <c r="B304" i="14609"/>
  <c r="C304" i="14609"/>
  <c r="D304" i="14609"/>
  <c r="E304" i="14609"/>
  <c r="F304" i="14609"/>
  <c r="G304" i="14609"/>
  <c r="H304" i="14609"/>
  <c r="I304" i="14609"/>
  <c r="J304" i="14609"/>
  <c r="K304" i="14609"/>
  <c r="L304" i="14609"/>
  <c r="M304" i="14609"/>
  <c r="N304" i="14609"/>
  <c r="O304" i="14609"/>
  <c r="P304" i="14609"/>
  <c r="Q304" i="14609"/>
  <c r="R304" i="14609"/>
  <c r="S304" i="14609"/>
  <c r="T304" i="14609"/>
  <c r="U304" i="14609"/>
  <c r="V304" i="14609"/>
  <c r="W304" i="14609"/>
  <c r="X304" i="14609"/>
  <c r="Y304" i="14609"/>
  <c r="Z304" i="14609"/>
  <c r="AA304" i="14609"/>
  <c r="AB304" i="14609"/>
  <c r="AC304" i="14609"/>
  <c r="AD304" i="14609"/>
  <c r="AE304" i="14609"/>
  <c r="AF304" i="14609"/>
  <c r="AG304" i="14609"/>
  <c r="AH304" i="14609"/>
  <c r="AI304" i="14609"/>
  <c r="AJ304" i="14609"/>
  <c r="AK304" i="14609"/>
  <c r="AL304" i="14609"/>
  <c r="AM304" i="14609"/>
  <c r="AN304" i="14609"/>
  <c r="AO304" i="14609"/>
  <c r="AP304" i="14609"/>
  <c r="AQ304" i="14609"/>
  <c r="AR304" i="14609"/>
  <c r="AS304" i="14609"/>
  <c r="AT304" i="14609"/>
  <c r="AU304" i="14609"/>
  <c r="AV304" i="14609"/>
  <c r="AW304" i="14609"/>
  <c r="AX304" i="14609"/>
  <c r="AY304" i="14609"/>
  <c r="AZ304" i="14609"/>
  <c r="BA304" i="14609"/>
  <c r="BB304" i="14609"/>
  <c r="BC304" i="14609"/>
  <c r="BD304" i="14609"/>
  <c r="BE304" i="14609"/>
  <c r="BF304" i="14609"/>
  <c r="BG304" i="14609"/>
  <c r="BH304" i="14609"/>
  <c r="BI304" i="14609"/>
  <c r="BJ304" i="14609"/>
  <c r="BK304" i="14609"/>
  <c r="BL304" i="14609"/>
  <c r="BM304" i="14609"/>
  <c r="BN304" i="14609"/>
  <c r="BO304" i="14609"/>
  <c r="BP304" i="14609"/>
  <c r="BQ304" i="14609"/>
  <c r="BR304" i="14609"/>
  <c r="BS304" i="14609"/>
  <c r="BT304" i="14609"/>
  <c r="BU304" i="14609"/>
  <c r="BV304" i="14609"/>
  <c r="BW304" i="14609"/>
  <c r="BX304" i="14609"/>
  <c r="BY304" i="14609"/>
  <c r="BZ304" i="14609"/>
  <c r="CA304" i="14609"/>
  <c r="CB304" i="14609"/>
  <c r="CC304" i="14609"/>
  <c r="CD304" i="14609"/>
  <c r="CE304" i="14609"/>
  <c r="CF304" i="14609"/>
  <c r="CG304" i="14609"/>
  <c r="CH304" i="14609"/>
  <c r="CI304" i="14609"/>
  <c r="CJ304" i="14609"/>
  <c r="CK304" i="14609"/>
  <c r="CL304" i="14609"/>
  <c r="CM304" i="14609"/>
  <c r="CN304" i="14609"/>
  <c r="CO304" i="14609"/>
  <c r="CP304" i="14609"/>
  <c r="CQ304" i="14609"/>
  <c r="CR304" i="14609"/>
  <c r="CS304" i="14609"/>
  <c r="CT304" i="14609"/>
  <c r="CU304" i="14609"/>
  <c r="CV304" i="14609"/>
  <c r="CW304" i="14609"/>
  <c r="CX304" i="14609"/>
  <c r="CY304" i="14609"/>
  <c r="CZ304" i="14609"/>
  <c r="DA304" i="14609"/>
  <c r="DB304" i="14609"/>
  <c r="DC304" i="14609"/>
  <c r="DD304" i="14609"/>
  <c r="DE304" i="14609"/>
  <c r="DF304" i="14609"/>
  <c r="DG304" i="14609"/>
  <c r="DH304" i="14609"/>
  <c r="DI304" i="14609"/>
  <c r="DJ304" i="14609"/>
  <c r="DK304" i="14609"/>
  <c r="DL304" i="14609"/>
  <c r="DM304" i="14609"/>
  <c r="DN304" i="14609"/>
  <c r="DO304" i="14609"/>
  <c r="DP304" i="14609"/>
  <c r="DQ304" i="14609"/>
  <c r="DR304" i="14609"/>
  <c r="DS304" i="14609"/>
  <c r="DT304" i="14609"/>
  <c r="DU304" i="14609"/>
  <c r="DV304" i="14609"/>
  <c r="DW304" i="14609"/>
  <c r="DX304" i="14609"/>
  <c r="DY304" i="14609"/>
  <c r="DZ304" i="14609"/>
  <c r="EA304" i="14609"/>
  <c r="EB304" i="14609"/>
  <c r="EC304" i="14609"/>
  <c r="ED304" i="14609"/>
  <c r="EE304" i="14609"/>
  <c r="EF304" i="14609"/>
  <c r="EG304" i="14609"/>
  <c r="EH304" i="14609"/>
  <c r="EI304" i="14609"/>
  <c r="EJ304" i="14609"/>
  <c r="EK304" i="14609"/>
  <c r="EL304" i="14609"/>
  <c r="EM304" i="14609"/>
  <c r="EN304" i="14609"/>
  <c r="EO304" i="14609"/>
  <c r="EP304" i="14609"/>
  <c r="EQ304" i="14609"/>
  <c r="ER304" i="14609"/>
  <c r="ES304" i="14609"/>
  <c r="ET304" i="14609"/>
  <c r="EU304" i="14609"/>
  <c r="EV304" i="14609"/>
  <c r="EW304" i="14609"/>
  <c r="EX304" i="14609"/>
  <c r="EY304" i="14609"/>
  <c r="EZ304" i="14609"/>
  <c r="FA304" i="14609"/>
  <c r="FB304" i="14609"/>
  <c r="FC304" i="14609"/>
  <c r="FD304" i="14609"/>
  <c r="FE304" i="14609"/>
  <c r="FF304" i="14609"/>
  <c r="FG304" i="14609"/>
  <c r="FH304" i="14609"/>
  <c r="FI304" i="14609"/>
  <c r="FJ304" i="14609"/>
  <c r="FK304" i="14609"/>
  <c r="FL304" i="14609"/>
  <c r="FM304" i="14609"/>
  <c r="FN304" i="14609"/>
  <c r="FO304" i="14609"/>
  <c r="FP304" i="14609"/>
  <c r="FQ304" i="14609"/>
  <c r="FR304" i="14609"/>
  <c r="FS304" i="14609"/>
  <c r="FT304" i="14609"/>
  <c r="FU304" i="14609"/>
  <c r="FV304" i="14609"/>
  <c r="FW304" i="14609"/>
  <c r="FX304" i="14609"/>
  <c r="FY304" i="14609"/>
  <c r="FZ304" i="14609"/>
  <c r="GA304" i="14609"/>
  <c r="GB304" i="14609"/>
  <c r="GC304" i="14609"/>
  <c r="GD304" i="14609"/>
  <c r="GE304" i="14609"/>
  <c r="GF304" i="14609"/>
  <c r="GG304" i="14609"/>
  <c r="GH304" i="14609"/>
  <c r="GI304" i="14609"/>
  <c r="GJ304" i="14609"/>
  <c r="GK304" i="14609"/>
  <c r="GL304" i="14609"/>
  <c r="GM304" i="14609"/>
  <c r="GN304" i="14609"/>
  <c r="GO304" i="14609"/>
  <c r="GP304" i="14609"/>
  <c r="GQ304" i="14609"/>
  <c r="GR304" i="14609"/>
  <c r="GS304" i="14609"/>
  <c r="GT304" i="14609"/>
  <c r="GU304" i="14609"/>
  <c r="GV304" i="14609"/>
  <c r="GW304" i="14609"/>
  <c r="GX304" i="14609"/>
  <c r="GY304" i="14609"/>
  <c r="GZ304" i="14609"/>
  <c r="HA304" i="14609"/>
  <c r="HB304" i="14609"/>
  <c r="HC304" i="14609"/>
  <c r="HD304" i="14609"/>
  <c r="HE304" i="14609"/>
  <c r="HF304" i="14609"/>
  <c r="HG304" i="14609"/>
  <c r="HH304" i="14609"/>
  <c r="HI304" i="14609"/>
  <c r="HJ304" i="14609"/>
  <c r="HK304" i="14609"/>
  <c r="HL304" i="14609"/>
  <c r="HM304" i="14609"/>
  <c r="HN304" i="14609"/>
  <c r="HO304" i="14609"/>
  <c r="HP304" i="14609"/>
  <c r="HQ304" i="14609"/>
  <c r="HR304" i="14609"/>
  <c r="HS304" i="14609"/>
  <c r="HT304" i="14609"/>
  <c r="HU304" i="14609"/>
  <c r="HV304" i="14609"/>
  <c r="HW304" i="14609"/>
  <c r="HX304" i="14609"/>
  <c r="HY304" i="14609"/>
  <c r="HZ304" i="14609"/>
  <c r="IA304" i="14609"/>
  <c r="IB304" i="14609"/>
  <c r="IC304" i="14609"/>
  <c r="ID304" i="14609"/>
  <c r="IE304" i="14609"/>
  <c r="IF304" i="14609"/>
  <c r="IG304" i="14609"/>
  <c r="IH304" i="14609"/>
  <c r="II304" i="14609"/>
  <c r="IJ304" i="14609"/>
  <c r="IK304" i="14609"/>
  <c r="IL304" i="14609"/>
  <c r="IM304" i="14609"/>
  <c r="IN304" i="14609"/>
  <c r="IO304" i="14609"/>
  <c r="IP304" i="14609"/>
  <c r="IQ304" i="14609"/>
  <c r="IR304" i="14609"/>
  <c r="IS304" i="14609"/>
  <c r="IT304" i="14609"/>
  <c r="IU304" i="14609"/>
  <c r="IV304" i="14609"/>
  <c r="A303" i="14609"/>
  <c r="B303" i="14609"/>
  <c r="C303" i="14609"/>
  <c r="D303" i="14609"/>
  <c r="E303" i="14609"/>
  <c r="F303" i="14609"/>
  <c r="G303" i="14609"/>
  <c r="H303" i="14609"/>
  <c r="I303" i="14609"/>
  <c r="J303" i="14609"/>
  <c r="K303" i="14609"/>
  <c r="L303" i="14609"/>
  <c r="M303" i="14609"/>
  <c r="N303" i="14609"/>
  <c r="O303" i="14609"/>
  <c r="P303" i="14609"/>
  <c r="Q303" i="14609"/>
  <c r="R303" i="14609"/>
  <c r="S303" i="14609"/>
  <c r="T303" i="14609"/>
  <c r="U303" i="14609"/>
  <c r="V303" i="14609"/>
  <c r="W303" i="14609"/>
  <c r="X303" i="14609"/>
  <c r="Y303" i="14609"/>
  <c r="Z303" i="14609"/>
  <c r="AA303" i="14609"/>
  <c r="AB303" i="14609"/>
  <c r="AC303" i="14609"/>
  <c r="AD303" i="14609"/>
  <c r="AE303" i="14609"/>
  <c r="AF303" i="14609"/>
  <c r="AG303" i="14609"/>
  <c r="AH303" i="14609"/>
  <c r="AI303" i="14609"/>
  <c r="AJ303" i="14609"/>
  <c r="AK303" i="14609"/>
  <c r="AL303" i="14609"/>
  <c r="AM303" i="14609"/>
  <c r="AN303" i="14609"/>
  <c r="AO303" i="14609"/>
  <c r="AP303" i="14609"/>
  <c r="AQ303" i="14609"/>
  <c r="AR303" i="14609"/>
  <c r="AS303" i="14609"/>
  <c r="AT303" i="14609"/>
  <c r="AU303" i="14609"/>
  <c r="AV303" i="14609"/>
  <c r="AW303" i="14609"/>
  <c r="AX303" i="14609"/>
  <c r="AY303" i="14609"/>
  <c r="AZ303" i="14609"/>
  <c r="BA303" i="14609"/>
  <c r="BB303" i="14609"/>
  <c r="BC303" i="14609"/>
  <c r="BD303" i="14609"/>
  <c r="BE303" i="14609"/>
  <c r="BF303" i="14609"/>
  <c r="BG303" i="14609"/>
  <c r="BH303" i="14609"/>
  <c r="BI303" i="14609"/>
  <c r="BJ303" i="14609"/>
  <c r="BK303" i="14609"/>
  <c r="BL303" i="14609"/>
  <c r="BM303" i="14609"/>
  <c r="BN303" i="14609"/>
  <c r="BO303" i="14609"/>
  <c r="BP303" i="14609"/>
  <c r="BQ303" i="14609"/>
  <c r="BR303" i="14609"/>
  <c r="BS303" i="14609"/>
  <c r="BT303" i="14609"/>
  <c r="BU303" i="14609"/>
  <c r="BV303" i="14609"/>
  <c r="BW303" i="14609"/>
  <c r="BX303" i="14609"/>
  <c r="BY303" i="14609"/>
  <c r="BZ303" i="14609"/>
  <c r="CA303" i="14609"/>
  <c r="CB303" i="14609"/>
  <c r="CC303" i="14609"/>
  <c r="CD303" i="14609"/>
  <c r="CE303" i="14609"/>
  <c r="CF303" i="14609"/>
  <c r="CG303" i="14609"/>
  <c r="CH303" i="14609"/>
  <c r="CI303" i="14609"/>
  <c r="CJ303" i="14609"/>
  <c r="CK303" i="14609"/>
  <c r="CL303" i="14609"/>
  <c r="CM303" i="14609"/>
  <c r="CN303" i="14609"/>
  <c r="CO303" i="14609"/>
  <c r="CP303" i="14609"/>
  <c r="CQ303" i="14609"/>
  <c r="CR303" i="14609"/>
  <c r="CS303" i="14609"/>
  <c r="CT303" i="14609"/>
  <c r="CU303" i="14609"/>
  <c r="CV303" i="14609"/>
  <c r="CW303" i="14609"/>
  <c r="CX303" i="14609"/>
  <c r="CY303" i="14609"/>
  <c r="CZ303" i="14609"/>
  <c r="DA303" i="14609"/>
  <c r="DB303" i="14609"/>
  <c r="DC303" i="14609"/>
  <c r="DD303" i="14609"/>
  <c r="DE303" i="14609"/>
  <c r="DF303" i="14609"/>
  <c r="DG303" i="14609"/>
  <c r="DH303" i="14609"/>
  <c r="DI303" i="14609"/>
  <c r="DJ303" i="14609"/>
  <c r="DK303" i="14609"/>
  <c r="DL303" i="14609"/>
  <c r="DM303" i="14609"/>
  <c r="DN303" i="14609"/>
  <c r="DO303" i="14609"/>
  <c r="DP303" i="14609"/>
  <c r="DQ303" i="14609"/>
  <c r="DR303" i="14609"/>
  <c r="DS303" i="14609"/>
  <c r="DT303" i="14609"/>
  <c r="DU303" i="14609"/>
  <c r="DV303" i="14609"/>
  <c r="DW303" i="14609"/>
  <c r="DX303" i="14609"/>
  <c r="DY303" i="14609"/>
  <c r="DZ303" i="14609"/>
  <c r="EA303" i="14609"/>
  <c r="EB303" i="14609"/>
  <c r="EC303" i="14609"/>
  <c r="ED303" i="14609"/>
  <c r="EE303" i="14609"/>
  <c r="EF303" i="14609"/>
  <c r="EG303" i="14609"/>
  <c r="EH303" i="14609"/>
  <c r="EI303" i="14609"/>
  <c r="EJ303" i="14609"/>
  <c r="EK303" i="14609"/>
  <c r="EL303" i="14609"/>
  <c r="EM303" i="14609"/>
  <c r="EN303" i="14609"/>
  <c r="EO303" i="14609"/>
  <c r="EP303" i="14609"/>
  <c r="EQ303" i="14609"/>
  <c r="ER303" i="14609"/>
  <c r="ES303" i="14609"/>
  <c r="ET303" i="14609"/>
  <c r="EU303" i="14609"/>
  <c r="EV303" i="14609"/>
  <c r="EW303" i="14609"/>
  <c r="EX303" i="14609"/>
  <c r="EY303" i="14609"/>
  <c r="EZ303" i="14609"/>
  <c r="FA303" i="14609"/>
  <c r="FB303" i="14609"/>
  <c r="FC303" i="14609"/>
  <c r="FD303" i="14609"/>
  <c r="FE303" i="14609"/>
  <c r="FF303" i="14609"/>
  <c r="FG303" i="14609"/>
  <c r="FH303" i="14609"/>
  <c r="FI303" i="14609"/>
  <c r="FJ303" i="14609"/>
  <c r="FK303" i="14609"/>
  <c r="FL303" i="14609"/>
  <c r="FM303" i="14609"/>
  <c r="FN303" i="14609"/>
  <c r="FO303" i="14609"/>
  <c r="FP303" i="14609"/>
  <c r="FQ303" i="14609"/>
  <c r="FR303" i="14609"/>
  <c r="FS303" i="14609"/>
  <c r="FT303" i="14609"/>
  <c r="FU303" i="14609"/>
  <c r="FV303" i="14609"/>
  <c r="FW303" i="14609"/>
  <c r="FX303" i="14609"/>
  <c r="FY303" i="14609"/>
  <c r="FZ303" i="14609"/>
  <c r="GA303" i="14609"/>
  <c r="GB303" i="14609"/>
  <c r="GC303" i="14609"/>
  <c r="GD303" i="14609"/>
  <c r="GE303" i="14609"/>
  <c r="GF303" i="14609"/>
  <c r="GG303" i="14609"/>
  <c r="GH303" i="14609"/>
  <c r="GI303" i="14609"/>
  <c r="GJ303" i="14609"/>
  <c r="GK303" i="14609"/>
  <c r="GL303" i="14609"/>
  <c r="GM303" i="14609"/>
  <c r="GN303" i="14609"/>
  <c r="GO303" i="14609"/>
  <c r="GP303" i="14609"/>
  <c r="GQ303" i="14609"/>
  <c r="GR303" i="14609"/>
  <c r="GS303" i="14609"/>
  <c r="GT303" i="14609"/>
  <c r="GU303" i="14609"/>
  <c r="GV303" i="14609"/>
  <c r="GW303" i="14609"/>
  <c r="GX303" i="14609"/>
  <c r="GY303" i="14609"/>
  <c r="GZ303" i="14609"/>
  <c r="HA303" i="14609"/>
  <c r="HB303" i="14609"/>
  <c r="HC303" i="14609"/>
  <c r="HD303" i="14609"/>
  <c r="HE303" i="14609"/>
  <c r="HF303" i="14609"/>
  <c r="HG303" i="14609"/>
  <c r="HH303" i="14609"/>
  <c r="HI303" i="14609"/>
  <c r="HJ303" i="14609"/>
  <c r="HK303" i="14609"/>
  <c r="HL303" i="14609"/>
  <c r="HM303" i="14609"/>
  <c r="HN303" i="14609"/>
  <c r="HO303" i="14609"/>
  <c r="HP303" i="14609"/>
  <c r="HQ303" i="14609"/>
  <c r="HR303" i="14609"/>
  <c r="HS303" i="14609"/>
  <c r="HT303" i="14609"/>
  <c r="HU303" i="14609"/>
  <c r="HV303" i="14609"/>
  <c r="HW303" i="14609"/>
  <c r="HX303" i="14609"/>
  <c r="HY303" i="14609"/>
  <c r="HZ303" i="14609"/>
  <c r="IA303" i="14609"/>
  <c r="IB303" i="14609"/>
  <c r="IC303" i="14609"/>
  <c r="ID303" i="14609"/>
  <c r="IE303" i="14609"/>
  <c r="IF303" i="14609"/>
  <c r="IG303" i="14609"/>
  <c r="IH303" i="14609"/>
  <c r="II303" i="14609"/>
  <c r="IJ303" i="14609"/>
  <c r="IK303" i="14609"/>
  <c r="IL303" i="14609"/>
  <c r="IM303" i="14609"/>
  <c r="IN303" i="14609"/>
  <c r="IO303" i="14609"/>
  <c r="IP303" i="14609"/>
  <c r="IQ303" i="14609"/>
  <c r="IR303" i="14609"/>
  <c r="IS303" i="14609"/>
  <c r="IT303" i="14609"/>
  <c r="IU303" i="14609"/>
  <c r="IV303" i="14609"/>
  <c r="A302" i="14609"/>
  <c r="B302" i="14609"/>
  <c r="C302" i="14609"/>
  <c r="D302" i="14609"/>
  <c r="E302" i="14609"/>
  <c r="F302" i="14609"/>
  <c r="G302" i="14609"/>
  <c r="H302" i="14609"/>
  <c r="I302" i="14609"/>
  <c r="J302" i="14609"/>
  <c r="K302" i="14609"/>
  <c r="L302" i="14609"/>
  <c r="M302" i="14609"/>
  <c r="N302" i="14609"/>
  <c r="O302" i="14609"/>
  <c r="P302" i="14609"/>
  <c r="Q302" i="14609"/>
  <c r="R302" i="14609"/>
  <c r="S302" i="14609"/>
  <c r="T302" i="14609"/>
  <c r="U302" i="14609"/>
  <c r="V302" i="14609"/>
  <c r="W302" i="14609"/>
  <c r="X302" i="14609"/>
  <c r="Y302" i="14609"/>
  <c r="Z302" i="14609"/>
  <c r="AA302" i="14609"/>
  <c r="AB302" i="14609"/>
  <c r="AC302" i="14609"/>
  <c r="AD302" i="14609"/>
  <c r="AE302" i="14609"/>
  <c r="AF302" i="14609"/>
  <c r="AG302" i="14609"/>
  <c r="AH302" i="14609"/>
  <c r="AI302" i="14609"/>
  <c r="AJ302" i="14609"/>
  <c r="AK302" i="14609"/>
  <c r="AL302" i="14609"/>
  <c r="AM302" i="14609"/>
  <c r="AN302" i="14609"/>
  <c r="AO302" i="14609"/>
  <c r="AP302" i="14609"/>
  <c r="AQ302" i="14609"/>
  <c r="AR302" i="14609"/>
  <c r="AS302" i="14609"/>
  <c r="AT302" i="14609"/>
  <c r="AU302" i="14609"/>
  <c r="AV302" i="14609"/>
  <c r="AW302" i="14609"/>
  <c r="AX302" i="14609"/>
  <c r="AY302" i="14609"/>
  <c r="AZ302" i="14609"/>
  <c r="BA302" i="14609"/>
  <c r="BB302" i="14609"/>
  <c r="BC302" i="14609"/>
  <c r="BD302" i="14609"/>
  <c r="BE302" i="14609"/>
  <c r="BF302" i="14609"/>
  <c r="BG302" i="14609"/>
  <c r="BH302" i="14609"/>
  <c r="BI302" i="14609"/>
  <c r="BJ302" i="14609"/>
  <c r="BK302" i="14609"/>
  <c r="BL302" i="14609"/>
  <c r="BM302" i="14609"/>
  <c r="BN302" i="14609"/>
  <c r="BO302" i="14609"/>
  <c r="BP302" i="14609"/>
  <c r="BQ302" i="14609"/>
  <c r="BR302" i="14609"/>
  <c r="BS302" i="14609"/>
  <c r="BT302" i="14609"/>
  <c r="BU302" i="14609"/>
  <c r="BV302" i="14609"/>
  <c r="BW302" i="14609"/>
  <c r="BX302" i="14609"/>
  <c r="BY302" i="14609"/>
  <c r="BZ302" i="14609"/>
  <c r="CA302" i="14609"/>
  <c r="CB302" i="14609"/>
  <c r="CC302" i="14609"/>
  <c r="CD302" i="14609"/>
  <c r="CE302" i="14609"/>
  <c r="CF302" i="14609"/>
  <c r="CG302" i="14609"/>
  <c r="CH302" i="14609"/>
  <c r="CI302" i="14609"/>
  <c r="CJ302" i="14609"/>
  <c r="CK302" i="14609"/>
  <c r="CL302" i="14609"/>
  <c r="CM302" i="14609"/>
  <c r="CN302" i="14609"/>
  <c r="CO302" i="14609"/>
  <c r="CP302" i="14609"/>
  <c r="CQ302" i="14609"/>
  <c r="CR302" i="14609"/>
  <c r="CS302" i="14609"/>
  <c r="CT302" i="14609"/>
  <c r="CU302" i="14609"/>
  <c r="CV302" i="14609"/>
  <c r="CW302" i="14609"/>
  <c r="CX302" i="14609"/>
  <c r="CY302" i="14609"/>
  <c r="CZ302" i="14609"/>
  <c r="DA302" i="14609"/>
  <c r="DB302" i="14609"/>
  <c r="DC302" i="14609"/>
  <c r="DD302" i="14609"/>
  <c r="DE302" i="14609"/>
  <c r="DF302" i="14609"/>
  <c r="DG302" i="14609"/>
  <c r="DH302" i="14609"/>
  <c r="DI302" i="14609"/>
  <c r="DJ302" i="14609"/>
  <c r="DK302" i="14609"/>
  <c r="DL302" i="14609"/>
  <c r="DM302" i="14609"/>
  <c r="DN302" i="14609"/>
  <c r="DO302" i="14609"/>
  <c r="DP302" i="14609"/>
  <c r="DQ302" i="14609"/>
  <c r="DR302" i="14609"/>
  <c r="DS302" i="14609"/>
  <c r="DT302" i="14609"/>
  <c r="DU302" i="14609"/>
  <c r="DV302" i="14609"/>
  <c r="DW302" i="14609"/>
  <c r="DX302" i="14609"/>
  <c r="DY302" i="14609"/>
  <c r="DZ302" i="14609"/>
  <c r="EA302" i="14609"/>
  <c r="EB302" i="14609"/>
  <c r="EC302" i="14609"/>
  <c r="ED302" i="14609"/>
  <c r="EE302" i="14609"/>
  <c r="EF302" i="14609"/>
  <c r="EG302" i="14609"/>
  <c r="EH302" i="14609"/>
  <c r="EI302" i="14609"/>
  <c r="EJ302" i="14609"/>
  <c r="EK302" i="14609"/>
  <c r="EL302" i="14609"/>
  <c r="EM302" i="14609"/>
  <c r="EN302" i="14609"/>
  <c r="EO302" i="14609"/>
  <c r="EP302" i="14609"/>
  <c r="EQ302" i="14609"/>
  <c r="ER302" i="14609"/>
  <c r="ES302" i="14609"/>
  <c r="ET302" i="14609"/>
  <c r="EU302" i="14609"/>
  <c r="EV302" i="14609"/>
  <c r="EW302" i="14609"/>
  <c r="EX302" i="14609"/>
  <c r="EY302" i="14609"/>
  <c r="EZ302" i="14609"/>
  <c r="FA302" i="14609"/>
  <c r="FB302" i="14609"/>
  <c r="FC302" i="14609"/>
  <c r="FD302" i="14609"/>
  <c r="FE302" i="14609"/>
  <c r="FF302" i="14609"/>
  <c r="FG302" i="14609"/>
  <c r="FH302" i="14609"/>
  <c r="FI302" i="14609"/>
  <c r="FJ302" i="14609"/>
  <c r="FK302" i="14609"/>
  <c r="FL302" i="14609"/>
  <c r="FM302" i="14609"/>
  <c r="FN302" i="14609"/>
  <c r="FO302" i="14609"/>
  <c r="FP302" i="14609"/>
  <c r="FQ302" i="14609"/>
  <c r="FR302" i="14609"/>
  <c r="FS302" i="14609"/>
  <c r="FT302" i="14609"/>
  <c r="FU302" i="14609"/>
  <c r="FV302" i="14609"/>
  <c r="FW302" i="14609"/>
  <c r="FX302" i="14609"/>
  <c r="FY302" i="14609"/>
  <c r="FZ302" i="14609"/>
  <c r="GA302" i="14609"/>
  <c r="GB302" i="14609"/>
  <c r="GC302" i="14609"/>
  <c r="GD302" i="14609"/>
  <c r="GE302" i="14609"/>
  <c r="GF302" i="14609"/>
  <c r="GG302" i="14609"/>
  <c r="GH302" i="14609"/>
  <c r="GI302" i="14609"/>
  <c r="GJ302" i="14609"/>
  <c r="GK302" i="14609"/>
  <c r="GL302" i="14609"/>
  <c r="GM302" i="14609"/>
  <c r="GN302" i="14609"/>
  <c r="GO302" i="14609"/>
  <c r="GP302" i="14609"/>
  <c r="GQ302" i="14609"/>
  <c r="GR302" i="14609"/>
  <c r="GS302" i="14609"/>
  <c r="GT302" i="14609"/>
  <c r="GU302" i="14609"/>
  <c r="GV302" i="14609"/>
  <c r="GW302" i="14609"/>
  <c r="GX302" i="14609"/>
  <c r="GY302" i="14609"/>
  <c r="GZ302" i="14609"/>
  <c r="HA302" i="14609"/>
  <c r="HB302" i="14609"/>
  <c r="HC302" i="14609"/>
  <c r="HD302" i="14609"/>
  <c r="HE302" i="14609"/>
  <c r="HF302" i="14609"/>
  <c r="HG302" i="14609"/>
  <c r="HH302" i="14609"/>
  <c r="HI302" i="14609"/>
  <c r="HJ302" i="14609"/>
  <c r="HK302" i="14609"/>
  <c r="HL302" i="14609"/>
  <c r="HM302" i="14609"/>
  <c r="HN302" i="14609"/>
  <c r="HO302" i="14609"/>
  <c r="HP302" i="14609"/>
  <c r="HQ302" i="14609"/>
  <c r="HR302" i="14609"/>
  <c r="HS302" i="14609"/>
  <c r="HT302" i="14609"/>
  <c r="HU302" i="14609"/>
  <c r="HV302" i="14609"/>
  <c r="HW302" i="14609"/>
  <c r="HX302" i="14609"/>
  <c r="HY302" i="14609"/>
  <c r="HZ302" i="14609"/>
  <c r="IA302" i="14609"/>
  <c r="IB302" i="14609"/>
  <c r="IC302" i="14609"/>
  <c r="ID302" i="14609"/>
  <c r="IE302" i="14609"/>
  <c r="IF302" i="14609"/>
  <c r="IG302" i="14609"/>
  <c r="IH302" i="14609"/>
  <c r="II302" i="14609"/>
  <c r="IJ302" i="14609"/>
  <c r="IK302" i="14609"/>
  <c r="IL302" i="14609"/>
  <c r="IM302" i="14609"/>
  <c r="IN302" i="14609"/>
  <c r="IO302" i="14609"/>
  <c r="IP302" i="14609"/>
  <c r="IQ302" i="14609"/>
  <c r="IR302" i="14609"/>
  <c r="IS302" i="14609"/>
  <c r="IT302" i="14609"/>
  <c r="IU302" i="14609"/>
  <c r="IV302" i="14609"/>
  <c r="A301" i="14609"/>
  <c r="B301" i="14609"/>
  <c r="C301" i="14609"/>
  <c r="D301" i="14609"/>
  <c r="E301" i="14609"/>
  <c r="F301" i="14609"/>
  <c r="G301" i="14609"/>
  <c r="H301" i="14609"/>
  <c r="I301" i="14609"/>
  <c r="J301" i="14609"/>
  <c r="K301" i="14609"/>
  <c r="L301" i="14609"/>
  <c r="M301" i="14609"/>
  <c r="N301" i="14609"/>
  <c r="O301" i="14609"/>
  <c r="P301" i="14609"/>
  <c r="Q301" i="14609"/>
  <c r="R301" i="14609"/>
  <c r="S301" i="14609"/>
  <c r="T301" i="14609"/>
  <c r="U301" i="14609"/>
  <c r="V301" i="14609"/>
  <c r="W301" i="14609"/>
  <c r="X301" i="14609"/>
  <c r="Y301" i="14609"/>
  <c r="Z301" i="14609"/>
  <c r="AA301" i="14609"/>
  <c r="AB301" i="14609"/>
  <c r="AC301" i="14609"/>
  <c r="AD301" i="14609"/>
  <c r="AE301" i="14609"/>
  <c r="AF301" i="14609"/>
  <c r="AG301" i="14609"/>
  <c r="AH301" i="14609"/>
  <c r="AI301" i="14609"/>
  <c r="AJ301" i="14609"/>
  <c r="AK301" i="14609"/>
  <c r="AL301" i="14609"/>
  <c r="AM301" i="14609"/>
  <c r="AN301" i="14609"/>
  <c r="AO301" i="14609"/>
  <c r="AP301" i="14609"/>
  <c r="AQ301" i="14609"/>
  <c r="AR301" i="14609"/>
  <c r="AS301" i="14609"/>
  <c r="AT301" i="14609"/>
  <c r="AU301" i="14609"/>
  <c r="AV301" i="14609"/>
  <c r="AW301" i="14609"/>
  <c r="AX301" i="14609"/>
  <c r="AY301" i="14609"/>
  <c r="AZ301" i="14609"/>
  <c r="BA301" i="14609"/>
  <c r="BB301" i="14609"/>
  <c r="BC301" i="14609"/>
  <c r="BD301" i="14609"/>
  <c r="BE301" i="14609"/>
  <c r="BF301" i="14609"/>
  <c r="BG301" i="14609"/>
  <c r="BH301" i="14609"/>
  <c r="BI301" i="14609"/>
  <c r="BJ301" i="14609"/>
  <c r="BK301" i="14609"/>
  <c r="BL301" i="14609"/>
  <c r="BM301" i="14609"/>
  <c r="BN301" i="14609"/>
  <c r="BO301" i="14609"/>
  <c r="BP301" i="14609"/>
  <c r="BQ301" i="14609"/>
  <c r="BR301" i="14609"/>
  <c r="BS301" i="14609"/>
  <c r="BT301" i="14609"/>
  <c r="BU301" i="14609"/>
  <c r="BV301" i="14609"/>
  <c r="BW301" i="14609"/>
  <c r="BX301" i="14609"/>
  <c r="BY301" i="14609"/>
  <c r="BZ301" i="14609"/>
  <c r="CA301" i="14609"/>
  <c r="CB301" i="14609"/>
  <c r="CC301" i="14609"/>
  <c r="CD301" i="14609"/>
  <c r="CE301" i="14609"/>
  <c r="CF301" i="14609"/>
  <c r="CG301" i="14609"/>
  <c r="CH301" i="14609"/>
  <c r="CI301" i="14609"/>
  <c r="CJ301" i="14609"/>
  <c r="CK301" i="14609"/>
  <c r="CL301" i="14609"/>
  <c r="CM301" i="14609"/>
  <c r="CN301" i="14609"/>
  <c r="CO301" i="14609"/>
  <c r="CP301" i="14609"/>
  <c r="CQ301" i="14609"/>
  <c r="CR301" i="14609"/>
  <c r="CS301" i="14609"/>
  <c r="CT301" i="14609"/>
  <c r="CU301" i="14609"/>
  <c r="CV301" i="14609"/>
  <c r="CW301" i="14609"/>
  <c r="CX301" i="14609"/>
  <c r="CY301" i="14609"/>
  <c r="CZ301" i="14609"/>
  <c r="DA301" i="14609"/>
  <c r="DB301" i="14609"/>
  <c r="DC301" i="14609"/>
  <c r="DD301" i="14609"/>
  <c r="DE301" i="14609"/>
  <c r="DF301" i="14609"/>
  <c r="DG301" i="14609"/>
  <c r="DH301" i="14609"/>
  <c r="DI301" i="14609"/>
  <c r="DJ301" i="14609"/>
  <c r="DK301" i="14609"/>
  <c r="DL301" i="14609"/>
  <c r="DM301" i="14609"/>
  <c r="DN301" i="14609"/>
  <c r="DO301" i="14609"/>
  <c r="DP301" i="14609"/>
  <c r="DQ301" i="14609"/>
  <c r="DR301" i="14609"/>
  <c r="DS301" i="14609"/>
  <c r="DT301" i="14609"/>
  <c r="DU301" i="14609"/>
  <c r="DV301" i="14609"/>
  <c r="DW301" i="14609"/>
  <c r="DX301" i="14609"/>
  <c r="DY301" i="14609"/>
  <c r="DZ301" i="14609"/>
  <c r="EA301" i="14609"/>
  <c r="EB301" i="14609"/>
  <c r="EC301" i="14609"/>
  <c r="ED301" i="14609"/>
  <c r="EE301" i="14609"/>
  <c r="EF301" i="14609"/>
  <c r="EG301" i="14609"/>
  <c r="EH301" i="14609"/>
  <c r="EI301" i="14609"/>
  <c r="EJ301" i="14609"/>
  <c r="EK301" i="14609"/>
  <c r="EL301" i="14609"/>
  <c r="EM301" i="14609"/>
  <c r="EN301" i="14609"/>
  <c r="EO301" i="14609"/>
  <c r="EP301" i="14609"/>
  <c r="EQ301" i="14609"/>
  <c r="ER301" i="14609"/>
  <c r="ES301" i="14609"/>
  <c r="ET301" i="14609"/>
  <c r="EU301" i="14609"/>
  <c r="EV301" i="14609"/>
  <c r="EW301" i="14609"/>
  <c r="EX301" i="14609"/>
  <c r="EY301" i="14609"/>
  <c r="EZ301" i="14609"/>
  <c r="FA301" i="14609"/>
  <c r="FB301" i="14609"/>
  <c r="FC301" i="14609"/>
  <c r="FD301" i="14609"/>
  <c r="FE301" i="14609"/>
  <c r="FF301" i="14609"/>
  <c r="FG301" i="14609"/>
  <c r="FH301" i="14609"/>
  <c r="FI301" i="14609"/>
  <c r="FJ301" i="14609"/>
  <c r="FK301" i="14609"/>
  <c r="FL301" i="14609"/>
  <c r="FM301" i="14609"/>
  <c r="FN301" i="14609"/>
  <c r="FO301" i="14609"/>
  <c r="FP301" i="14609"/>
  <c r="FQ301" i="14609"/>
  <c r="FR301" i="14609"/>
  <c r="FS301" i="14609"/>
  <c r="FT301" i="14609"/>
  <c r="FU301" i="14609"/>
  <c r="FV301" i="14609"/>
  <c r="FW301" i="14609"/>
  <c r="FX301" i="14609"/>
  <c r="FY301" i="14609"/>
  <c r="FZ301" i="14609"/>
  <c r="GA301" i="14609"/>
  <c r="GB301" i="14609"/>
  <c r="GC301" i="14609"/>
  <c r="GD301" i="14609"/>
  <c r="GE301" i="14609"/>
  <c r="GF301" i="14609"/>
  <c r="GG301" i="14609"/>
  <c r="GH301" i="14609"/>
  <c r="GI301" i="14609"/>
  <c r="GJ301" i="14609"/>
  <c r="GK301" i="14609"/>
  <c r="GL301" i="14609"/>
  <c r="GM301" i="14609"/>
  <c r="GN301" i="14609"/>
  <c r="GO301" i="14609"/>
  <c r="GP301" i="14609"/>
  <c r="GQ301" i="14609"/>
  <c r="GR301" i="14609"/>
  <c r="GS301" i="14609"/>
  <c r="GT301" i="14609"/>
  <c r="GU301" i="14609"/>
  <c r="GV301" i="14609"/>
  <c r="GW301" i="14609"/>
  <c r="GX301" i="14609"/>
  <c r="GY301" i="14609"/>
  <c r="GZ301" i="14609"/>
  <c r="HA301" i="14609"/>
  <c r="HB301" i="14609"/>
  <c r="HC301" i="14609"/>
  <c r="HD301" i="14609"/>
  <c r="HE301" i="14609"/>
  <c r="HF301" i="14609"/>
  <c r="HG301" i="14609"/>
  <c r="HH301" i="14609"/>
  <c r="HI301" i="14609"/>
  <c r="HJ301" i="14609"/>
  <c r="HK301" i="14609"/>
  <c r="HL301" i="14609"/>
  <c r="HM301" i="14609"/>
  <c r="HN301" i="14609"/>
  <c r="HO301" i="14609"/>
  <c r="HP301" i="14609"/>
  <c r="HQ301" i="14609"/>
  <c r="HR301" i="14609"/>
  <c r="HS301" i="14609"/>
  <c r="HT301" i="14609"/>
  <c r="HU301" i="14609"/>
  <c r="HV301" i="14609"/>
  <c r="HW301" i="14609"/>
  <c r="HX301" i="14609"/>
  <c r="HY301" i="14609"/>
  <c r="HZ301" i="14609"/>
  <c r="IA301" i="14609"/>
  <c r="IB301" i="14609"/>
  <c r="IC301" i="14609"/>
  <c r="ID301" i="14609"/>
  <c r="IE301" i="14609"/>
  <c r="IF301" i="14609"/>
  <c r="IG301" i="14609"/>
  <c r="IH301" i="14609"/>
  <c r="II301" i="14609"/>
  <c r="IJ301" i="14609"/>
  <c r="IK301" i="14609"/>
  <c r="IL301" i="14609"/>
  <c r="IM301" i="14609"/>
  <c r="IN301" i="14609"/>
  <c r="IO301" i="14609"/>
  <c r="IP301" i="14609"/>
  <c r="IQ301" i="14609"/>
  <c r="IR301" i="14609"/>
  <c r="IS301" i="14609"/>
  <c r="IT301" i="14609"/>
  <c r="IU301" i="14609"/>
  <c r="IV301" i="14609"/>
  <c r="A300" i="14609"/>
  <c r="B300" i="14609"/>
  <c r="C300" i="14609"/>
  <c r="D300" i="14609"/>
  <c r="E300" i="14609"/>
  <c r="F300" i="14609"/>
  <c r="G300" i="14609"/>
  <c r="H300" i="14609"/>
  <c r="I300" i="14609"/>
  <c r="J300" i="14609"/>
  <c r="K300" i="14609"/>
  <c r="L300" i="14609"/>
  <c r="M300" i="14609"/>
  <c r="N300" i="14609"/>
  <c r="O300" i="14609"/>
  <c r="P300" i="14609"/>
  <c r="Q300" i="14609"/>
  <c r="R300" i="14609"/>
  <c r="S300" i="14609"/>
  <c r="T300" i="14609"/>
  <c r="U300" i="14609"/>
  <c r="V300" i="14609"/>
  <c r="W300" i="14609"/>
  <c r="X300" i="14609"/>
  <c r="Y300" i="14609"/>
  <c r="Z300" i="14609"/>
  <c r="AA300" i="14609"/>
  <c r="AB300" i="14609"/>
  <c r="AC300" i="14609"/>
  <c r="AD300" i="14609"/>
  <c r="AE300" i="14609"/>
  <c r="AF300" i="14609"/>
  <c r="AG300" i="14609"/>
  <c r="AH300" i="14609"/>
  <c r="AI300" i="14609"/>
  <c r="AJ300" i="14609"/>
  <c r="AK300" i="14609"/>
  <c r="AL300" i="14609"/>
  <c r="AM300" i="14609"/>
  <c r="AN300" i="14609"/>
  <c r="AO300" i="14609"/>
  <c r="AP300" i="14609"/>
  <c r="AQ300" i="14609"/>
  <c r="AR300" i="14609"/>
  <c r="AS300" i="14609"/>
  <c r="AT300" i="14609"/>
  <c r="AU300" i="14609"/>
  <c r="AV300" i="14609"/>
  <c r="AW300" i="14609"/>
  <c r="AX300" i="14609"/>
  <c r="AY300" i="14609"/>
  <c r="AZ300" i="14609"/>
  <c r="BA300" i="14609"/>
  <c r="BB300" i="14609"/>
  <c r="BC300" i="14609"/>
  <c r="BD300" i="14609"/>
  <c r="BE300" i="14609"/>
  <c r="BF300" i="14609"/>
  <c r="BG300" i="14609"/>
  <c r="BH300" i="14609"/>
  <c r="BI300" i="14609"/>
  <c r="BJ300" i="14609"/>
  <c r="BK300" i="14609"/>
  <c r="BL300" i="14609"/>
  <c r="BM300" i="14609"/>
  <c r="BN300" i="14609"/>
  <c r="BO300" i="14609"/>
  <c r="BP300" i="14609"/>
  <c r="BQ300" i="14609"/>
  <c r="BR300" i="14609"/>
  <c r="BS300" i="14609"/>
  <c r="BT300" i="14609"/>
  <c r="BU300" i="14609"/>
  <c r="BV300" i="14609"/>
  <c r="BW300" i="14609"/>
  <c r="BX300" i="14609"/>
  <c r="BY300" i="14609"/>
  <c r="BZ300" i="14609"/>
  <c r="CA300" i="14609"/>
  <c r="CB300" i="14609"/>
  <c r="CC300" i="14609"/>
  <c r="CD300" i="14609"/>
  <c r="CE300" i="14609"/>
  <c r="CF300" i="14609"/>
  <c r="CG300" i="14609"/>
  <c r="CH300" i="14609"/>
  <c r="CI300" i="14609"/>
  <c r="CJ300" i="14609"/>
  <c r="CK300" i="14609"/>
  <c r="CL300" i="14609"/>
  <c r="CM300" i="14609"/>
  <c r="CN300" i="14609"/>
  <c r="CO300" i="14609"/>
  <c r="CP300" i="14609"/>
  <c r="CQ300" i="14609"/>
  <c r="CR300" i="14609"/>
  <c r="CS300" i="14609"/>
  <c r="CT300" i="14609"/>
  <c r="CU300" i="14609"/>
  <c r="CV300" i="14609"/>
  <c r="CW300" i="14609"/>
  <c r="CX300" i="14609"/>
  <c r="CY300" i="14609"/>
  <c r="CZ300" i="14609"/>
  <c r="DA300" i="14609"/>
  <c r="DB300" i="14609"/>
  <c r="DC300" i="14609"/>
  <c r="DD300" i="14609"/>
  <c r="DE300" i="14609"/>
  <c r="DF300" i="14609"/>
  <c r="DG300" i="14609"/>
  <c r="DH300" i="14609"/>
  <c r="DI300" i="14609"/>
  <c r="DJ300" i="14609"/>
  <c r="DK300" i="14609"/>
  <c r="DL300" i="14609"/>
  <c r="DM300" i="14609"/>
  <c r="DN300" i="14609"/>
  <c r="DO300" i="14609"/>
  <c r="DP300" i="14609"/>
  <c r="DQ300" i="14609"/>
  <c r="DR300" i="14609"/>
  <c r="DS300" i="14609"/>
  <c r="DT300" i="14609"/>
  <c r="DU300" i="14609"/>
  <c r="DV300" i="14609"/>
  <c r="DW300" i="14609"/>
  <c r="DX300" i="14609"/>
  <c r="DY300" i="14609"/>
  <c r="DZ300" i="14609"/>
  <c r="EA300" i="14609"/>
  <c r="EB300" i="14609"/>
  <c r="EC300" i="14609"/>
  <c r="ED300" i="14609"/>
  <c r="EE300" i="14609"/>
  <c r="EF300" i="14609"/>
  <c r="EG300" i="14609"/>
  <c r="EH300" i="14609"/>
  <c r="EI300" i="14609"/>
  <c r="EJ300" i="14609"/>
  <c r="EK300" i="14609"/>
  <c r="EL300" i="14609"/>
  <c r="EM300" i="14609"/>
  <c r="EN300" i="14609"/>
  <c r="EO300" i="14609"/>
  <c r="EP300" i="14609"/>
  <c r="EQ300" i="14609"/>
  <c r="ER300" i="14609"/>
  <c r="ES300" i="14609"/>
  <c r="ET300" i="14609"/>
  <c r="EU300" i="14609"/>
  <c r="EV300" i="14609"/>
  <c r="EW300" i="14609"/>
  <c r="EX300" i="14609"/>
  <c r="EY300" i="14609"/>
  <c r="EZ300" i="14609"/>
  <c r="FA300" i="14609"/>
  <c r="FB300" i="14609"/>
  <c r="FC300" i="14609"/>
  <c r="FD300" i="14609"/>
  <c r="FE300" i="14609"/>
  <c r="FF300" i="14609"/>
  <c r="FG300" i="14609"/>
  <c r="FH300" i="14609"/>
  <c r="FI300" i="14609"/>
  <c r="FJ300" i="14609"/>
  <c r="FK300" i="14609"/>
  <c r="FL300" i="14609"/>
  <c r="FM300" i="14609"/>
  <c r="FN300" i="14609"/>
  <c r="FO300" i="14609"/>
  <c r="FP300" i="14609"/>
  <c r="FQ300" i="14609"/>
  <c r="FR300" i="14609"/>
  <c r="FS300" i="14609"/>
  <c r="FT300" i="14609"/>
  <c r="FU300" i="14609"/>
  <c r="FV300" i="14609"/>
  <c r="FW300" i="14609"/>
  <c r="FX300" i="14609"/>
  <c r="FY300" i="14609"/>
  <c r="FZ300" i="14609"/>
  <c r="GA300" i="14609"/>
  <c r="GB300" i="14609"/>
  <c r="GC300" i="14609"/>
  <c r="GD300" i="14609"/>
  <c r="GE300" i="14609"/>
  <c r="GF300" i="14609"/>
  <c r="GG300" i="14609"/>
  <c r="GH300" i="14609"/>
  <c r="GI300" i="14609"/>
  <c r="GJ300" i="14609"/>
  <c r="GK300" i="14609"/>
  <c r="GL300" i="14609"/>
  <c r="GM300" i="14609"/>
  <c r="GN300" i="14609"/>
  <c r="GO300" i="14609"/>
  <c r="GP300" i="14609"/>
  <c r="GQ300" i="14609"/>
  <c r="GR300" i="14609"/>
  <c r="GS300" i="14609"/>
  <c r="GT300" i="14609"/>
  <c r="GU300" i="14609"/>
  <c r="GV300" i="14609"/>
  <c r="GW300" i="14609"/>
  <c r="GX300" i="14609"/>
  <c r="GY300" i="14609"/>
  <c r="GZ300" i="14609"/>
  <c r="HA300" i="14609"/>
  <c r="HB300" i="14609"/>
  <c r="HC300" i="14609"/>
  <c r="HD300" i="14609"/>
  <c r="HE300" i="14609"/>
  <c r="HF300" i="14609"/>
  <c r="HG300" i="14609"/>
  <c r="HH300" i="14609"/>
  <c r="HI300" i="14609"/>
  <c r="HJ300" i="14609"/>
  <c r="HK300" i="14609"/>
  <c r="HL300" i="14609"/>
  <c r="HM300" i="14609"/>
  <c r="HN300" i="14609"/>
  <c r="HO300" i="14609"/>
  <c r="HP300" i="14609"/>
  <c r="HQ300" i="14609"/>
  <c r="HR300" i="14609"/>
  <c r="HS300" i="14609"/>
  <c r="HT300" i="14609"/>
  <c r="HU300" i="14609"/>
  <c r="HV300" i="14609"/>
  <c r="HW300" i="14609"/>
  <c r="HX300" i="14609"/>
  <c r="HY300" i="14609"/>
  <c r="HZ300" i="14609"/>
  <c r="IA300" i="14609"/>
  <c r="IB300" i="14609"/>
  <c r="IC300" i="14609"/>
  <c r="ID300" i="14609"/>
  <c r="IE300" i="14609"/>
  <c r="IF300" i="14609"/>
  <c r="IG300" i="14609"/>
  <c r="IH300" i="14609"/>
  <c r="II300" i="14609"/>
  <c r="IJ300" i="14609"/>
  <c r="IK300" i="14609"/>
  <c r="IL300" i="14609"/>
  <c r="IM300" i="14609"/>
  <c r="IN300" i="14609"/>
  <c r="IO300" i="14609"/>
  <c r="IP300" i="14609"/>
  <c r="IQ300" i="14609"/>
  <c r="IR300" i="14609"/>
  <c r="IS300" i="14609"/>
  <c r="IT300" i="14609"/>
  <c r="IU300" i="14609"/>
  <c r="IV300" i="14609"/>
  <c r="A299" i="14609"/>
  <c r="B299" i="14609"/>
  <c r="C299" i="14609"/>
  <c r="D299" i="14609"/>
  <c r="E299" i="14609"/>
  <c r="F299" i="14609"/>
  <c r="G299" i="14609"/>
  <c r="H299" i="14609"/>
  <c r="I299" i="14609"/>
  <c r="J299" i="14609"/>
  <c r="K299" i="14609"/>
  <c r="L299" i="14609"/>
  <c r="M299" i="14609"/>
  <c r="N299" i="14609"/>
  <c r="O299" i="14609"/>
  <c r="P299" i="14609"/>
  <c r="Q299" i="14609"/>
  <c r="R299" i="14609"/>
  <c r="S299" i="14609"/>
  <c r="T299" i="14609"/>
  <c r="U299" i="14609"/>
  <c r="V299" i="14609"/>
  <c r="W299" i="14609"/>
  <c r="X299" i="14609"/>
  <c r="Y299" i="14609"/>
  <c r="Z299" i="14609"/>
  <c r="AA299" i="14609"/>
  <c r="AB299" i="14609"/>
  <c r="AC299" i="14609"/>
  <c r="AD299" i="14609"/>
  <c r="AE299" i="14609"/>
  <c r="AF299" i="14609"/>
  <c r="AG299" i="14609"/>
  <c r="AH299" i="14609"/>
  <c r="AI299" i="14609"/>
  <c r="AJ299" i="14609"/>
  <c r="AK299" i="14609"/>
  <c r="AL299" i="14609"/>
  <c r="AM299" i="14609"/>
  <c r="AN299" i="14609"/>
  <c r="AO299" i="14609"/>
  <c r="AP299" i="14609"/>
  <c r="AQ299" i="14609"/>
  <c r="AR299" i="14609"/>
  <c r="AS299" i="14609"/>
  <c r="AT299" i="14609"/>
  <c r="AU299" i="14609"/>
  <c r="AV299" i="14609"/>
  <c r="AW299" i="14609"/>
  <c r="AX299" i="14609"/>
  <c r="AY299" i="14609"/>
  <c r="AZ299" i="14609"/>
  <c r="BA299" i="14609"/>
  <c r="BB299" i="14609"/>
  <c r="BC299" i="14609"/>
  <c r="BD299" i="14609"/>
  <c r="BE299" i="14609"/>
  <c r="BF299" i="14609"/>
  <c r="BG299" i="14609"/>
  <c r="BH299" i="14609"/>
  <c r="BI299" i="14609"/>
  <c r="BJ299" i="14609"/>
  <c r="BK299" i="14609"/>
  <c r="BL299" i="14609"/>
  <c r="BM299" i="14609"/>
  <c r="BN299" i="14609"/>
  <c r="BO299" i="14609"/>
  <c r="BP299" i="14609"/>
  <c r="BQ299" i="14609"/>
  <c r="BR299" i="14609"/>
  <c r="BS299" i="14609"/>
  <c r="BT299" i="14609"/>
  <c r="BU299" i="14609"/>
  <c r="BV299" i="14609"/>
  <c r="BW299" i="14609"/>
  <c r="BX299" i="14609"/>
  <c r="BY299" i="14609"/>
  <c r="BZ299" i="14609"/>
  <c r="CA299" i="14609"/>
  <c r="CB299" i="14609"/>
  <c r="CC299" i="14609"/>
  <c r="CD299" i="14609"/>
  <c r="CE299" i="14609"/>
  <c r="CF299" i="14609"/>
  <c r="CG299" i="14609"/>
  <c r="CH299" i="14609"/>
  <c r="CI299" i="14609"/>
  <c r="CJ299" i="14609"/>
  <c r="CK299" i="14609"/>
  <c r="CL299" i="14609"/>
  <c r="CM299" i="14609"/>
  <c r="CN299" i="14609"/>
  <c r="CO299" i="14609"/>
  <c r="CP299" i="14609"/>
  <c r="CQ299" i="14609"/>
  <c r="CR299" i="14609"/>
  <c r="CS299" i="14609"/>
  <c r="CT299" i="14609"/>
  <c r="CU299" i="14609"/>
  <c r="CV299" i="14609"/>
  <c r="CW299" i="14609"/>
  <c r="CX299" i="14609"/>
  <c r="CY299" i="14609"/>
  <c r="CZ299" i="14609"/>
  <c r="DA299" i="14609"/>
  <c r="DB299" i="14609"/>
  <c r="DC299" i="14609"/>
  <c r="DD299" i="14609"/>
  <c r="DE299" i="14609"/>
  <c r="DF299" i="14609"/>
  <c r="DG299" i="14609"/>
  <c r="DH299" i="14609"/>
  <c r="DI299" i="14609"/>
  <c r="DJ299" i="14609"/>
  <c r="DK299" i="14609"/>
  <c r="DL299" i="14609"/>
  <c r="DM299" i="14609"/>
  <c r="DN299" i="14609"/>
  <c r="DO299" i="14609"/>
  <c r="DP299" i="14609"/>
  <c r="DQ299" i="14609"/>
  <c r="DR299" i="14609"/>
  <c r="DS299" i="14609"/>
  <c r="DT299" i="14609"/>
  <c r="DU299" i="14609"/>
  <c r="DV299" i="14609"/>
  <c r="DW299" i="14609"/>
  <c r="DX299" i="14609"/>
  <c r="DY299" i="14609"/>
  <c r="DZ299" i="14609"/>
  <c r="EA299" i="14609"/>
  <c r="EB299" i="14609"/>
  <c r="EC299" i="14609"/>
  <c r="ED299" i="14609"/>
  <c r="EE299" i="14609"/>
  <c r="EF299" i="14609"/>
  <c r="EG299" i="14609"/>
  <c r="EH299" i="14609"/>
  <c r="EI299" i="14609"/>
  <c r="EJ299" i="14609"/>
  <c r="EK299" i="14609"/>
  <c r="EL299" i="14609"/>
  <c r="EM299" i="14609"/>
  <c r="EN299" i="14609"/>
  <c r="EO299" i="14609"/>
  <c r="EP299" i="14609"/>
  <c r="EQ299" i="14609"/>
  <c r="ER299" i="14609"/>
  <c r="ES299" i="14609"/>
  <c r="ET299" i="14609"/>
  <c r="EU299" i="14609"/>
  <c r="EV299" i="14609"/>
  <c r="EW299" i="14609"/>
  <c r="EX299" i="14609"/>
  <c r="EY299" i="14609"/>
  <c r="EZ299" i="14609"/>
  <c r="FA299" i="14609"/>
  <c r="FB299" i="14609"/>
  <c r="FC299" i="14609"/>
  <c r="FD299" i="14609"/>
  <c r="FE299" i="14609"/>
  <c r="FF299" i="14609"/>
  <c r="FG299" i="14609"/>
  <c r="FH299" i="14609"/>
  <c r="FI299" i="14609"/>
  <c r="FJ299" i="14609"/>
  <c r="FK299" i="14609"/>
  <c r="FL299" i="14609"/>
  <c r="FM299" i="14609"/>
  <c r="FN299" i="14609"/>
  <c r="FO299" i="14609"/>
  <c r="FP299" i="14609"/>
  <c r="FQ299" i="14609"/>
  <c r="FR299" i="14609"/>
  <c r="FS299" i="14609"/>
  <c r="FT299" i="14609"/>
  <c r="FU299" i="14609"/>
  <c r="FV299" i="14609"/>
  <c r="FW299" i="14609"/>
  <c r="FX299" i="14609"/>
  <c r="FY299" i="14609"/>
  <c r="FZ299" i="14609"/>
  <c r="GA299" i="14609"/>
  <c r="GB299" i="14609"/>
  <c r="GC299" i="14609"/>
  <c r="GD299" i="14609"/>
  <c r="GE299" i="14609"/>
  <c r="GF299" i="14609"/>
  <c r="GG299" i="14609"/>
  <c r="GH299" i="14609"/>
  <c r="GI299" i="14609"/>
  <c r="GJ299" i="14609"/>
  <c r="GK299" i="14609"/>
  <c r="GL299" i="14609"/>
  <c r="GM299" i="14609"/>
  <c r="GN299" i="14609"/>
  <c r="GO299" i="14609"/>
  <c r="GP299" i="14609"/>
  <c r="GQ299" i="14609"/>
  <c r="GR299" i="14609"/>
  <c r="GS299" i="14609"/>
  <c r="GT299" i="14609"/>
  <c r="GU299" i="14609"/>
  <c r="GV299" i="14609"/>
  <c r="GW299" i="14609"/>
  <c r="GX299" i="14609"/>
  <c r="GY299" i="14609"/>
  <c r="GZ299" i="14609"/>
  <c r="HA299" i="14609"/>
  <c r="HB299" i="14609"/>
  <c r="HC299" i="14609"/>
  <c r="HD299" i="14609"/>
  <c r="HE299" i="14609"/>
  <c r="HF299" i="14609"/>
  <c r="HG299" i="14609"/>
  <c r="HH299" i="14609"/>
  <c r="HI299" i="14609"/>
  <c r="HJ299" i="14609"/>
  <c r="HK299" i="14609"/>
  <c r="HL299" i="14609"/>
  <c r="HM299" i="14609"/>
  <c r="HN299" i="14609"/>
  <c r="HO299" i="14609"/>
  <c r="HP299" i="14609"/>
  <c r="HQ299" i="14609"/>
  <c r="HR299" i="14609"/>
  <c r="HS299" i="14609"/>
  <c r="HT299" i="14609"/>
  <c r="HU299" i="14609"/>
  <c r="HV299" i="14609"/>
  <c r="HW299" i="14609"/>
  <c r="HX299" i="14609"/>
  <c r="HY299" i="14609"/>
  <c r="HZ299" i="14609"/>
  <c r="IA299" i="14609"/>
  <c r="IB299" i="14609"/>
  <c r="IC299" i="14609"/>
  <c r="ID299" i="14609"/>
  <c r="IE299" i="14609"/>
  <c r="IF299" i="14609"/>
  <c r="IG299" i="14609"/>
  <c r="IH299" i="14609"/>
  <c r="II299" i="14609"/>
  <c r="IJ299" i="14609"/>
  <c r="IK299" i="14609"/>
  <c r="IL299" i="14609"/>
  <c r="IM299" i="14609"/>
  <c r="IN299" i="14609"/>
  <c r="IO299" i="14609"/>
  <c r="IP299" i="14609"/>
  <c r="IQ299" i="14609"/>
  <c r="IR299" i="14609"/>
  <c r="IS299" i="14609"/>
  <c r="IT299" i="14609"/>
  <c r="IU299" i="14609"/>
  <c r="IV299" i="14609"/>
  <c r="A298" i="14609"/>
  <c r="B298" i="14609"/>
  <c r="C298" i="14609"/>
  <c r="D298" i="14609"/>
  <c r="E298" i="14609"/>
  <c r="F298" i="14609"/>
  <c r="G298" i="14609"/>
  <c r="H298" i="14609"/>
  <c r="I298" i="14609"/>
  <c r="J298" i="14609"/>
  <c r="K298" i="14609"/>
  <c r="L298" i="14609"/>
  <c r="M298" i="14609"/>
  <c r="N298" i="14609"/>
  <c r="O298" i="14609"/>
  <c r="P298" i="14609"/>
  <c r="Q298" i="14609"/>
  <c r="R298" i="14609"/>
  <c r="S298" i="14609"/>
  <c r="T298" i="14609"/>
  <c r="U298" i="14609"/>
  <c r="V298" i="14609"/>
  <c r="W298" i="14609"/>
  <c r="X298" i="14609"/>
  <c r="Y298" i="14609"/>
  <c r="Z298" i="14609"/>
  <c r="AA298" i="14609"/>
  <c r="AB298" i="14609"/>
  <c r="AC298" i="14609"/>
  <c r="AD298" i="14609"/>
  <c r="AE298" i="14609"/>
  <c r="AF298" i="14609"/>
  <c r="AG298" i="14609"/>
  <c r="AH298" i="14609"/>
  <c r="AI298" i="14609"/>
  <c r="AJ298" i="14609"/>
  <c r="AK298" i="14609"/>
  <c r="AL298" i="14609"/>
  <c r="AM298" i="14609"/>
  <c r="AN298" i="14609"/>
  <c r="AO298" i="14609"/>
  <c r="AP298" i="14609"/>
  <c r="AQ298" i="14609"/>
  <c r="AR298" i="14609"/>
  <c r="AS298" i="14609"/>
  <c r="AT298" i="14609"/>
  <c r="AU298" i="14609"/>
  <c r="AV298" i="14609"/>
  <c r="AW298" i="14609"/>
  <c r="AX298" i="14609"/>
  <c r="AY298" i="14609"/>
  <c r="AZ298" i="14609"/>
  <c r="BA298" i="14609"/>
  <c r="BB298" i="14609"/>
  <c r="BC298" i="14609"/>
  <c r="BD298" i="14609"/>
  <c r="BE298" i="14609"/>
  <c r="BF298" i="14609"/>
  <c r="BG298" i="14609"/>
  <c r="BH298" i="14609"/>
  <c r="BI298" i="14609"/>
  <c r="BJ298" i="14609"/>
  <c r="BK298" i="14609"/>
  <c r="BL298" i="14609"/>
  <c r="BM298" i="14609"/>
  <c r="BN298" i="14609"/>
  <c r="BO298" i="14609"/>
  <c r="BP298" i="14609"/>
  <c r="BQ298" i="14609"/>
  <c r="BR298" i="14609"/>
  <c r="BS298" i="14609"/>
  <c r="BT298" i="14609"/>
  <c r="BU298" i="14609"/>
  <c r="BV298" i="14609"/>
  <c r="BW298" i="14609"/>
  <c r="BX298" i="14609"/>
  <c r="BY298" i="14609"/>
  <c r="BZ298" i="14609"/>
  <c r="CA298" i="14609"/>
  <c r="CB298" i="14609"/>
  <c r="CC298" i="14609"/>
  <c r="CD298" i="14609"/>
  <c r="CE298" i="14609"/>
  <c r="CF298" i="14609"/>
  <c r="CG298" i="14609"/>
  <c r="CH298" i="14609"/>
  <c r="CI298" i="14609"/>
  <c r="CJ298" i="14609"/>
  <c r="CK298" i="14609"/>
  <c r="CL298" i="14609"/>
  <c r="CM298" i="14609"/>
  <c r="CN298" i="14609"/>
  <c r="CO298" i="14609"/>
  <c r="CP298" i="14609"/>
  <c r="CQ298" i="14609"/>
  <c r="CR298" i="14609"/>
  <c r="CS298" i="14609"/>
  <c r="CT298" i="14609"/>
  <c r="CU298" i="14609"/>
  <c r="CV298" i="14609"/>
  <c r="CW298" i="14609"/>
  <c r="CX298" i="14609"/>
  <c r="CY298" i="14609"/>
  <c r="CZ298" i="14609"/>
  <c r="DA298" i="14609"/>
  <c r="DB298" i="14609"/>
  <c r="DC298" i="14609"/>
  <c r="DD298" i="14609"/>
  <c r="DE298" i="14609"/>
  <c r="DF298" i="14609"/>
  <c r="DG298" i="14609"/>
  <c r="DH298" i="14609"/>
  <c r="DI298" i="14609"/>
  <c r="DJ298" i="14609"/>
  <c r="DK298" i="14609"/>
  <c r="DL298" i="14609"/>
  <c r="DM298" i="14609"/>
  <c r="DN298" i="14609"/>
  <c r="DO298" i="14609"/>
  <c r="DP298" i="14609"/>
  <c r="DQ298" i="14609"/>
  <c r="DR298" i="14609"/>
  <c r="DS298" i="14609"/>
  <c r="DT298" i="14609"/>
  <c r="DU298" i="14609"/>
  <c r="DV298" i="14609"/>
  <c r="DW298" i="14609"/>
  <c r="DX298" i="14609"/>
  <c r="DY298" i="14609"/>
  <c r="DZ298" i="14609"/>
  <c r="EA298" i="14609"/>
  <c r="EB298" i="14609"/>
  <c r="EC298" i="14609"/>
  <c r="ED298" i="14609"/>
  <c r="EE298" i="14609"/>
  <c r="EF298" i="14609"/>
  <c r="EG298" i="14609"/>
  <c r="EH298" i="14609"/>
  <c r="EI298" i="14609"/>
  <c r="EJ298" i="14609"/>
  <c r="EK298" i="14609"/>
  <c r="EL298" i="14609"/>
  <c r="EM298" i="14609"/>
  <c r="EN298" i="14609"/>
  <c r="EO298" i="14609"/>
  <c r="EP298" i="14609"/>
  <c r="EQ298" i="14609"/>
  <c r="ER298" i="14609"/>
  <c r="ES298" i="14609"/>
  <c r="ET298" i="14609"/>
  <c r="EU298" i="14609"/>
  <c r="EV298" i="14609"/>
  <c r="EW298" i="14609"/>
  <c r="EX298" i="14609"/>
  <c r="EY298" i="14609"/>
  <c r="EZ298" i="14609"/>
  <c r="FA298" i="14609"/>
  <c r="FB298" i="14609"/>
  <c r="FC298" i="14609"/>
  <c r="FD298" i="14609"/>
  <c r="FE298" i="14609"/>
  <c r="FF298" i="14609"/>
  <c r="FG298" i="14609"/>
  <c r="FH298" i="14609"/>
  <c r="FI298" i="14609"/>
  <c r="FJ298" i="14609"/>
  <c r="FK298" i="14609"/>
  <c r="FL298" i="14609"/>
  <c r="FM298" i="14609"/>
  <c r="FN298" i="14609"/>
  <c r="FO298" i="14609"/>
  <c r="FP298" i="14609"/>
  <c r="FQ298" i="14609"/>
  <c r="FR298" i="14609"/>
  <c r="FS298" i="14609"/>
  <c r="FT298" i="14609"/>
  <c r="FU298" i="14609"/>
  <c r="FV298" i="14609"/>
  <c r="FW298" i="14609"/>
  <c r="FX298" i="14609"/>
  <c r="FY298" i="14609"/>
  <c r="FZ298" i="14609"/>
  <c r="GA298" i="14609"/>
  <c r="GB298" i="14609"/>
  <c r="GC298" i="14609"/>
  <c r="GD298" i="14609"/>
  <c r="GE298" i="14609"/>
  <c r="GF298" i="14609"/>
  <c r="GG298" i="14609"/>
  <c r="GH298" i="14609"/>
  <c r="GI298" i="14609"/>
  <c r="GJ298" i="14609"/>
  <c r="GK298" i="14609"/>
  <c r="GL298" i="14609"/>
  <c r="GM298" i="14609"/>
  <c r="GN298" i="14609"/>
  <c r="GO298" i="14609"/>
  <c r="GP298" i="14609"/>
  <c r="GQ298" i="14609"/>
  <c r="GR298" i="14609"/>
  <c r="GS298" i="14609"/>
  <c r="GT298" i="14609"/>
  <c r="GU298" i="14609"/>
  <c r="GV298" i="14609"/>
  <c r="GW298" i="14609"/>
  <c r="GX298" i="14609"/>
  <c r="GY298" i="14609"/>
  <c r="GZ298" i="14609"/>
  <c r="HA298" i="14609"/>
  <c r="HB298" i="14609"/>
  <c r="HC298" i="14609"/>
  <c r="HD298" i="14609"/>
  <c r="HE298" i="14609"/>
  <c r="HF298" i="14609"/>
  <c r="HG298" i="14609"/>
  <c r="HH298" i="14609"/>
  <c r="HI298" i="14609"/>
  <c r="HJ298" i="14609"/>
  <c r="HK298" i="14609"/>
  <c r="HL298" i="14609"/>
  <c r="HM298" i="14609"/>
  <c r="HN298" i="14609"/>
  <c r="HO298" i="14609"/>
  <c r="HP298" i="14609"/>
  <c r="HQ298" i="14609"/>
  <c r="HR298" i="14609"/>
  <c r="HS298" i="14609"/>
  <c r="HT298" i="14609"/>
  <c r="HU298" i="14609"/>
  <c r="HV298" i="14609"/>
  <c r="HW298" i="14609"/>
  <c r="HX298" i="14609"/>
  <c r="HY298" i="14609"/>
  <c r="HZ298" i="14609"/>
  <c r="IA298" i="14609"/>
  <c r="IB298" i="14609"/>
  <c r="IC298" i="14609"/>
  <c r="ID298" i="14609"/>
  <c r="IE298" i="14609"/>
  <c r="IF298" i="14609"/>
  <c r="IG298" i="14609"/>
  <c r="IH298" i="14609"/>
  <c r="II298" i="14609"/>
  <c r="IJ298" i="14609"/>
  <c r="IK298" i="14609"/>
  <c r="IL298" i="14609"/>
  <c r="IM298" i="14609"/>
  <c r="IN298" i="14609"/>
  <c r="IO298" i="14609"/>
  <c r="IP298" i="14609"/>
  <c r="IQ298" i="14609"/>
  <c r="IR298" i="14609"/>
  <c r="IS298" i="14609"/>
  <c r="IT298" i="14609"/>
  <c r="IU298" i="14609"/>
  <c r="IV298" i="14609"/>
  <c r="A297" i="14609"/>
  <c r="B297" i="14609"/>
  <c r="C297" i="14609"/>
  <c r="D297" i="14609"/>
  <c r="E297" i="14609"/>
  <c r="F297" i="14609"/>
  <c r="G297" i="14609"/>
  <c r="H297" i="14609"/>
  <c r="I297" i="14609"/>
  <c r="J297" i="14609"/>
  <c r="K297" i="14609"/>
  <c r="L297" i="14609"/>
  <c r="M297" i="14609"/>
  <c r="N297" i="14609"/>
  <c r="O297" i="14609"/>
  <c r="P297" i="14609"/>
  <c r="Q297" i="14609"/>
  <c r="R297" i="14609"/>
  <c r="S297" i="14609"/>
  <c r="T297" i="14609"/>
  <c r="U297" i="14609"/>
  <c r="V297" i="14609"/>
  <c r="W297" i="14609"/>
  <c r="X297" i="14609"/>
  <c r="Y297" i="14609"/>
  <c r="Z297" i="14609"/>
  <c r="AA297" i="14609"/>
  <c r="AB297" i="14609"/>
  <c r="AC297" i="14609"/>
  <c r="AD297" i="14609"/>
  <c r="AE297" i="14609"/>
  <c r="AF297" i="14609"/>
  <c r="AG297" i="14609"/>
  <c r="AH297" i="14609"/>
  <c r="AI297" i="14609"/>
  <c r="AJ297" i="14609"/>
  <c r="AK297" i="14609"/>
  <c r="AL297" i="14609"/>
  <c r="AM297" i="14609"/>
  <c r="AN297" i="14609"/>
  <c r="AO297" i="14609"/>
  <c r="AP297" i="14609"/>
  <c r="AQ297" i="14609"/>
  <c r="AR297" i="14609"/>
  <c r="AS297" i="14609"/>
  <c r="AT297" i="14609"/>
  <c r="AU297" i="14609"/>
  <c r="AV297" i="14609"/>
  <c r="AW297" i="14609"/>
  <c r="AX297" i="14609"/>
  <c r="AY297" i="14609"/>
  <c r="AZ297" i="14609"/>
  <c r="BA297" i="14609"/>
  <c r="BB297" i="14609"/>
  <c r="BC297" i="14609"/>
  <c r="BD297" i="14609"/>
  <c r="BE297" i="14609"/>
  <c r="BF297" i="14609"/>
  <c r="BG297" i="14609"/>
  <c r="BH297" i="14609"/>
  <c r="BI297" i="14609"/>
  <c r="BJ297" i="14609"/>
  <c r="BK297" i="14609"/>
  <c r="BL297" i="14609"/>
  <c r="BM297" i="14609"/>
  <c r="BN297" i="14609"/>
  <c r="BO297" i="14609"/>
  <c r="BP297" i="14609"/>
  <c r="BQ297" i="14609"/>
  <c r="BR297" i="14609"/>
  <c r="BS297" i="14609"/>
  <c r="BT297" i="14609"/>
  <c r="BU297" i="14609"/>
  <c r="BV297" i="14609"/>
  <c r="BW297" i="14609"/>
  <c r="BX297" i="14609"/>
  <c r="BY297" i="14609"/>
  <c r="BZ297" i="14609"/>
  <c r="CA297" i="14609"/>
  <c r="CB297" i="14609"/>
  <c r="CC297" i="14609"/>
  <c r="CD297" i="14609"/>
  <c r="CE297" i="14609"/>
  <c r="CF297" i="14609"/>
  <c r="CG297" i="14609"/>
  <c r="CH297" i="14609"/>
  <c r="CI297" i="14609"/>
  <c r="CJ297" i="14609"/>
  <c r="CK297" i="14609"/>
  <c r="CL297" i="14609"/>
  <c r="CM297" i="14609"/>
  <c r="CN297" i="14609"/>
  <c r="CO297" i="14609"/>
  <c r="CP297" i="14609"/>
  <c r="CQ297" i="14609"/>
  <c r="CR297" i="14609"/>
  <c r="CS297" i="14609"/>
  <c r="CT297" i="14609"/>
  <c r="CU297" i="14609"/>
  <c r="CV297" i="14609"/>
  <c r="CW297" i="14609"/>
  <c r="CX297" i="14609"/>
  <c r="CY297" i="14609"/>
  <c r="CZ297" i="14609"/>
  <c r="DA297" i="14609"/>
  <c r="DB297" i="14609"/>
  <c r="DC297" i="14609"/>
  <c r="DD297" i="14609"/>
  <c r="DE297" i="14609"/>
  <c r="DF297" i="14609"/>
  <c r="DG297" i="14609"/>
  <c r="DH297" i="14609"/>
  <c r="DI297" i="14609"/>
  <c r="DJ297" i="14609"/>
  <c r="DK297" i="14609"/>
  <c r="DL297" i="14609"/>
  <c r="DM297" i="14609"/>
  <c r="DN297" i="14609"/>
  <c r="DO297" i="14609"/>
  <c r="DP297" i="14609"/>
  <c r="DQ297" i="14609"/>
  <c r="DR297" i="14609"/>
  <c r="DS297" i="14609"/>
  <c r="DT297" i="14609"/>
  <c r="DU297" i="14609"/>
  <c r="DV297" i="14609"/>
  <c r="DW297" i="14609"/>
  <c r="DX297" i="14609"/>
  <c r="DY297" i="14609"/>
  <c r="DZ297" i="14609"/>
  <c r="EA297" i="14609"/>
  <c r="EB297" i="14609"/>
  <c r="EC297" i="14609"/>
  <c r="ED297" i="14609"/>
  <c r="EE297" i="14609"/>
  <c r="EF297" i="14609"/>
  <c r="EG297" i="14609"/>
  <c r="EH297" i="14609"/>
  <c r="EI297" i="14609"/>
  <c r="EJ297" i="14609"/>
  <c r="EK297" i="14609"/>
  <c r="EL297" i="14609"/>
  <c r="EM297" i="14609"/>
  <c r="EN297" i="14609"/>
  <c r="EO297" i="14609"/>
  <c r="EP297" i="14609"/>
  <c r="EQ297" i="14609"/>
  <c r="ER297" i="14609"/>
  <c r="ES297" i="14609"/>
  <c r="ET297" i="14609"/>
  <c r="EU297" i="14609"/>
  <c r="EV297" i="14609"/>
  <c r="EW297" i="14609"/>
  <c r="EX297" i="14609"/>
  <c r="EY297" i="14609"/>
  <c r="EZ297" i="14609"/>
  <c r="FA297" i="14609"/>
  <c r="FB297" i="14609"/>
  <c r="FC297" i="14609"/>
  <c r="FD297" i="14609"/>
  <c r="FE297" i="14609"/>
  <c r="FF297" i="14609"/>
  <c r="FG297" i="14609"/>
  <c r="FH297" i="14609"/>
  <c r="FI297" i="14609"/>
  <c r="FJ297" i="14609"/>
  <c r="FK297" i="14609"/>
  <c r="FL297" i="14609"/>
  <c r="FM297" i="14609"/>
  <c r="FN297" i="14609"/>
  <c r="FO297" i="14609"/>
  <c r="FP297" i="14609"/>
  <c r="FQ297" i="14609"/>
  <c r="FR297" i="14609"/>
  <c r="FS297" i="14609"/>
  <c r="FT297" i="14609"/>
  <c r="FU297" i="14609"/>
  <c r="FV297" i="14609"/>
  <c r="FW297" i="14609"/>
  <c r="FX297" i="14609"/>
  <c r="FY297" i="14609"/>
  <c r="FZ297" i="14609"/>
  <c r="GA297" i="14609"/>
  <c r="GB297" i="14609"/>
  <c r="GC297" i="14609"/>
  <c r="GD297" i="14609"/>
  <c r="GE297" i="14609"/>
  <c r="GF297" i="14609"/>
  <c r="GG297" i="14609"/>
  <c r="GH297" i="14609"/>
  <c r="GI297" i="14609"/>
  <c r="GJ297" i="14609"/>
  <c r="GK297" i="14609"/>
  <c r="GL297" i="14609"/>
  <c r="GM297" i="14609"/>
  <c r="GN297" i="14609"/>
  <c r="GO297" i="14609"/>
  <c r="GP297" i="14609"/>
  <c r="GQ297" i="14609"/>
  <c r="GR297" i="14609"/>
  <c r="GS297" i="14609"/>
  <c r="GT297" i="14609"/>
  <c r="GU297" i="14609"/>
  <c r="GV297" i="14609"/>
  <c r="GW297" i="14609"/>
  <c r="GX297" i="14609"/>
  <c r="GY297" i="14609"/>
  <c r="GZ297" i="14609"/>
  <c r="HA297" i="14609"/>
  <c r="HB297" i="14609"/>
  <c r="HC297" i="14609"/>
  <c r="HD297" i="14609"/>
  <c r="HE297" i="14609"/>
  <c r="HF297" i="14609"/>
  <c r="HG297" i="14609"/>
  <c r="HH297" i="14609"/>
  <c r="HI297" i="14609"/>
  <c r="HJ297" i="14609"/>
  <c r="HK297" i="14609"/>
  <c r="HL297" i="14609"/>
  <c r="HM297" i="14609"/>
  <c r="HN297" i="14609"/>
  <c r="HO297" i="14609"/>
  <c r="HP297" i="14609"/>
  <c r="HQ297" i="14609"/>
  <c r="HR297" i="14609"/>
  <c r="HS297" i="14609"/>
  <c r="HT297" i="14609"/>
  <c r="HU297" i="14609"/>
  <c r="HV297" i="14609"/>
  <c r="HW297" i="14609"/>
  <c r="HX297" i="14609"/>
  <c r="HY297" i="14609"/>
  <c r="HZ297" i="14609"/>
  <c r="IA297" i="14609"/>
  <c r="IB297" i="14609"/>
  <c r="IC297" i="14609"/>
  <c r="ID297" i="14609"/>
  <c r="IE297" i="14609"/>
  <c r="IF297" i="14609"/>
  <c r="IG297" i="14609"/>
  <c r="IH297" i="14609"/>
  <c r="II297" i="14609"/>
  <c r="IJ297" i="14609"/>
  <c r="IK297" i="14609"/>
  <c r="IL297" i="14609"/>
  <c r="IM297" i="14609"/>
  <c r="IN297" i="14609"/>
  <c r="IO297" i="14609"/>
  <c r="IP297" i="14609"/>
  <c r="IQ297" i="14609"/>
  <c r="IR297" i="14609"/>
  <c r="IS297" i="14609"/>
  <c r="IT297" i="14609"/>
  <c r="IU297" i="14609"/>
  <c r="IV297" i="14609"/>
  <c r="A296" i="14609"/>
  <c r="B296" i="14609"/>
  <c r="C296" i="14609"/>
  <c r="D296" i="14609"/>
  <c r="E296" i="14609"/>
  <c r="F296" i="14609"/>
  <c r="G296" i="14609"/>
  <c r="H296" i="14609"/>
  <c r="I296" i="14609"/>
  <c r="J296" i="14609"/>
  <c r="K296" i="14609"/>
  <c r="L296" i="14609"/>
  <c r="M296" i="14609"/>
  <c r="N296" i="14609"/>
  <c r="O296" i="14609"/>
  <c r="P296" i="14609"/>
  <c r="Q296" i="14609"/>
  <c r="R296" i="14609"/>
  <c r="S296" i="14609"/>
  <c r="T296" i="14609"/>
  <c r="U296" i="14609"/>
  <c r="V296" i="14609"/>
  <c r="W296" i="14609"/>
  <c r="X296" i="14609"/>
  <c r="Y296" i="14609"/>
  <c r="Z296" i="14609"/>
  <c r="AA296" i="14609"/>
  <c r="AB296" i="14609"/>
  <c r="AC296" i="14609"/>
  <c r="AD296" i="14609"/>
  <c r="AE296" i="14609"/>
  <c r="AF296" i="14609"/>
  <c r="AG296" i="14609"/>
  <c r="AH296" i="14609"/>
  <c r="AI296" i="14609"/>
  <c r="AJ296" i="14609"/>
  <c r="AK296" i="14609"/>
  <c r="AL296" i="14609"/>
  <c r="AM296" i="14609"/>
  <c r="AN296" i="14609"/>
  <c r="AO296" i="14609"/>
  <c r="AP296" i="14609"/>
  <c r="AQ296" i="14609"/>
  <c r="AR296" i="14609"/>
  <c r="AS296" i="14609"/>
  <c r="AT296" i="14609"/>
  <c r="AU296" i="14609"/>
  <c r="AV296" i="14609"/>
  <c r="AW296" i="14609"/>
  <c r="AX296" i="14609"/>
  <c r="AY296" i="14609"/>
  <c r="AZ296" i="14609"/>
  <c r="BA296" i="14609"/>
  <c r="BB296" i="14609"/>
  <c r="BC296" i="14609"/>
  <c r="BD296" i="14609"/>
  <c r="BE296" i="14609"/>
  <c r="BF296" i="14609"/>
  <c r="BG296" i="14609"/>
  <c r="BH296" i="14609"/>
  <c r="BI296" i="14609"/>
  <c r="BJ296" i="14609"/>
  <c r="BK296" i="14609"/>
  <c r="BL296" i="14609"/>
  <c r="BM296" i="14609"/>
  <c r="BN296" i="14609"/>
  <c r="BO296" i="14609"/>
  <c r="BP296" i="14609"/>
  <c r="BQ296" i="14609"/>
  <c r="BR296" i="14609"/>
  <c r="BS296" i="14609"/>
  <c r="BT296" i="14609"/>
  <c r="BU296" i="14609"/>
  <c r="BV296" i="14609"/>
  <c r="BW296" i="14609"/>
  <c r="BX296" i="14609"/>
  <c r="BY296" i="14609"/>
  <c r="BZ296" i="14609"/>
  <c r="CA296" i="14609"/>
  <c r="CB296" i="14609"/>
  <c r="CC296" i="14609"/>
  <c r="CD296" i="14609"/>
  <c r="CE296" i="14609"/>
  <c r="CF296" i="14609"/>
  <c r="CG296" i="14609"/>
  <c r="CH296" i="14609"/>
  <c r="CI296" i="14609"/>
  <c r="CJ296" i="14609"/>
  <c r="CK296" i="14609"/>
  <c r="CL296" i="14609"/>
  <c r="CM296" i="14609"/>
  <c r="CN296" i="14609"/>
  <c r="CO296" i="14609"/>
  <c r="CP296" i="14609"/>
  <c r="CQ296" i="14609"/>
  <c r="CR296" i="14609"/>
  <c r="CS296" i="14609"/>
  <c r="CT296" i="14609"/>
  <c r="CU296" i="14609"/>
  <c r="CV296" i="14609"/>
  <c r="CW296" i="14609"/>
  <c r="CX296" i="14609"/>
  <c r="CY296" i="14609"/>
  <c r="CZ296" i="14609"/>
  <c r="DA296" i="14609"/>
  <c r="DB296" i="14609"/>
  <c r="DC296" i="14609"/>
  <c r="DD296" i="14609"/>
  <c r="DE296" i="14609"/>
  <c r="DF296" i="14609"/>
  <c r="DG296" i="14609"/>
  <c r="DH296" i="14609"/>
  <c r="DI296" i="14609"/>
  <c r="DJ296" i="14609"/>
  <c r="DK296" i="14609"/>
  <c r="DL296" i="14609"/>
  <c r="DM296" i="14609"/>
  <c r="DN296" i="14609"/>
  <c r="DO296" i="14609"/>
  <c r="DP296" i="14609"/>
  <c r="DQ296" i="14609"/>
  <c r="DR296" i="14609"/>
  <c r="DS296" i="14609"/>
  <c r="DT296" i="14609"/>
  <c r="DU296" i="14609"/>
  <c r="DV296" i="14609"/>
  <c r="DW296" i="14609"/>
  <c r="DX296" i="14609"/>
  <c r="DY296" i="14609"/>
  <c r="DZ296" i="14609"/>
  <c r="EA296" i="14609"/>
  <c r="EB296" i="14609"/>
  <c r="EC296" i="14609"/>
  <c r="ED296" i="14609"/>
  <c r="EE296" i="14609"/>
  <c r="EF296" i="14609"/>
  <c r="EG296" i="14609"/>
  <c r="EH296" i="14609"/>
  <c r="EI296" i="14609"/>
  <c r="EJ296" i="14609"/>
  <c r="EK296" i="14609"/>
  <c r="EL296" i="14609"/>
  <c r="EM296" i="14609"/>
  <c r="EN296" i="14609"/>
  <c r="EO296" i="14609"/>
  <c r="EP296" i="14609"/>
  <c r="EQ296" i="14609"/>
  <c r="ER296" i="14609"/>
  <c r="ES296" i="14609"/>
  <c r="ET296" i="14609"/>
  <c r="EU296" i="14609"/>
  <c r="EV296" i="14609"/>
  <c r="EW296" i="14609"/>
  <c r="EX296" i="14609"/>
  <c r="EY296" i="14609"/>
  <c r="EZ296" i="14609"/>
  <c r="FA296" i="14609"/>
  <c r="FB296" i="14609"/>
  <c r="FC296" i="14609"/>
  <c r="FD296" i="14609"/>
  <c r="FE296" i="14609"/>
  <c r="FF296" i="14609"/>
  <c r="FG296" i="14609"/>
  <c r="FH296" i="14609"/>
  <c r="FI296" i="14609"/>
  <c r="FJ296" i="14609"/>
  <c r="FK296" i="14609"/>
  <c r="FL296" i="14609"/>
  <c r="FM296" i="14609"/>
  <c r="FN296" i="14609"/>
  <c r="FO296" i="14609"/>
  <c r="FP296" i="14609"/>
  <c r="FQ296" i="14609"/>
  <c r="FR296" i="14609"/>
  <c r="FS296" i="14609"/>
  <c r="FT296" i="14609"/>
  <c r="FU296" i="14609"/>
  <c r="FV296" i="14609"/>
  <c r="FW296" i="14609"/>
  <c r="FX296" i="14609"/>
  <c r="FY296" i="14609"/>
  <c r="FZ296" i="14609"/>
  <c r="GA296" i="14609"/>
  <c r="GB296" i="14609"/>
  <c r="GC296" i="14609"/>
  <c r="GD296" i="14609"/>
  <c r="GE296" i="14609"/>
  <c r="GF296" i="14609"/>
  <c r="GG296" i="14609"/>
  <c r="GH296" i="14609"/>
  <c r="GI296" i="14609"/>
  <c r="GJ296" i="14609"/>
  <c r="GK296" i="14609"/>
  <c r="GL296" i="14609"/>
  <c r="GM296" i="14609"/>
  <c r="GN296" i="14609"/>
  <c r="GO296" i="14609"/>
  <c r="GP296" i="14609"/>
  <c r="GQ296" i="14609"/>
  <c r="GR296" i="14609"/>
  <c r="GS296" i="14609"/>
  <c r="GT296" i="14609"/>
  <c r="GU296" i="14609"/>
  <c r="GV296" i="14609"/>
  <c r="GW296" i="14609"/>
  <c r="GX296" i="14609"/>
  <c r="GY296" i="14609"/>
  <c r="GZ296" i="14609"/>
  <c r="HA296" i="14609"/>
  <c r="HB296" i="14609"/>
  <c r="HC296" i="14609"/>
  <c r="HD296" i="14609"/>
  <c r="HE296" i="14609"/>
  <c r="HF296" i="14609"/>
  <c r="HG296" i="14609"/>
  <c r="HH296" i="14609"/>
  <c r="HI296" i="14609"/>
  <c r="HJ296" i="14609"/>
  <c r="HK296" i="14609"/>
  <c r="HL296" i="14609"/>
  <c r="HM296" i="14609"/>
  <c r="HN296" i="14609"/>
  <c r="HO296" i="14609"/>
  <c r="HP296" i="14609"/>
  <c r="HQ296" i="14609"/>
  <c r="HR296" i="14609"/>
  <c r="HS296" i="14609"/>
  <c r="HT296" i="14609"/>
  <c r="HU296" i="14609"/>
  <c r="HV296" i="14609"/>
  <c r="HW296" i="14609"/>
  <c r="HX296" i="14609"/>
  <c r="HY296" i="14609"/>
  <c r="HZ296" i="14609"/>
  <c r="IA296" i="14609"/>
  <c r="IB296" i="14609"/>
  <c r="IC296" i="14609"/>
  <c r="ID296" i="14609"/>
  <c r="IE296" i="14609"/>
  <c r="IF296" i="14609"/>
  <c r="IG296" i="14609"/>
  <c r="IH296" i="14609"/>
  <c r="II296" i="14609"/>
  <c r="IJ296" i="14609"/>
  <c r="IK296" i="14609"/>
  <c r="IL296" i="14609"/>
  <c r="IM296" i="14609"/>
  <c r="IN296" i="14609"/>
  <c r="IO296" i="14609"/>
  <c r="IP296" i="14609"/>
  <c r="IQ296" i="14609"/>
  <c r="IR296" i="14609"/>
  <c r="IS296" i="14609"/>
  <c r="IT296" i="14609"/>
  <c r="IU296" i="14609"/>
  <c r="IV296" i="14609"/>
  <c r="A295" i="14609"/>
  <c r="B295" i="14609"/>
  <c r="C295" i="14609"/>
  <c r="D295" i="14609"/>
  <c r="E295" i="14609"/>
  <c r="F295" i="14609"/>
  <c r="G295" i="14609"/>
  <c r="H295" i="14609"/>
  <c r="I295" i="14609"/>
  <c r="J295" i="14609"/>
  <c r="K295" i="14609"/>
  <c r="L295" i="14609"/>
  <c r="M295" i="14609"/>
  <c r="N295" i="14609"/>
  <c r="O295" i="14609"/>
  <c r="P295" i="14609"/>
  <c r="Q295" i="14609"/>
  <c r="R295" i="14609"/>
  <c r="S295" i="14609"/>
  <c r="T295" i="14609"/>
  <c r="U295" i="14609"/>
  <c r="V295" i="14609"/>
  <c r="W295" i="14609"/>
  <c r="X295" i="14609"/>
  <c r="Y295" i="14609"/>
  <c r="Z295" i="14609"/>
  <c r="AA295" i="14609"/>
  <c r="AB295" i="14609"/>
  <c r="AC295" i="14609"/>
  <c r="AD295" i="14609"/>
  <c r="AE295" i="14609"/>
  <c r="AF295" i="14609"/>
  <c r="AG295" i="14609"/>
  <c r="AH295" i="14609"/>
  <c r="AI295" i="14609"/>
  <c r="AJ295" i="14609"/>
  <c r="AK295" i="14609"/>
  <c r="AL295" i="14609"/>
  <c r="AM295" i="14609"/>
  <c r="AN295" i="14609"/>
  <c r="AO295" i="14609"/>
  <c r="AP295" i="14609"/>
  <c r="AQ295" i="14609"/>
  <c r="AR295" i="14609"/>
  <c r="AS295" i="14609"/>
  <c r="AT295" i="14609"/>
  <c r="AU295" i="14609"/>
  <c r="AV295" i="14609"/>
  <c r="AW295" i="14609"/>
  <c r="AX295" i="14609"/>
  <c r="AY295" i="14609"/>
  <c r="AZ295" i="14609"/>
  <c r="BA295" i="14609"/>
  <c r="BB295" i="14609"/>
  <c r="BC295" i="14609"/>
  <c r="BD295" i="14609"/>
  <c r="BE295" i="14609"/>
  <c r="BF295" i="14609"/>
  <c r="BG295" i="14609"/>
  <c r="BH295" i="14609"/>
  <c r="BI295" i="14609"/>
  <c r="BJ295" i="14609"/>
  <c r="BK295" i="14609"/>
  <c r="BL295" i="14609"/>
  <c r="BM295" i="14609"/>
  <c r="BN295" i="14609"/>
  <c r="BO295" i="14609"/>
  <c r="BP295" i="14609"/>
  <c r="BQ295" i="14609"/>
  <c r="BR295" i="14609"/>
  <c r="BS295" i="14609"/>
  <c r="BT295" i="14609"/>
  <c r="BU295" i="14609"/>
  <c r="BV295" i="14609"/>
  <c r="BW295" i="14609"/>
  <c r="BX295" i="14609"/>
  <c r="BY295" i="14609"/>
  <c r="BZ295" i="14609"/>
  <c r="CA295" i="14609"/>
  <c r="CB295" i="14609"/>
  <c r="CC295" i="14609"/>
  <c r="CD295" i="14609"/>
  <c r="CE295" i="14609"/>
  <c r="CF295" i="14609"/>
  <c r="CG295" i="14609"/>
  <c r="CH295" i="14609"/>
  <c r="CI295" i="14609"/>
  <c r="CJ295" i="14609"/>
  <c r="CK295" i="14609"/>
  <c r="CL295" i="14609"/>
  <c r="CM295" i="14609"/>
  <c r="CN295" i="14609"/>
  <c r="CO295" i="14609"/>
  <c r="CP295" i="14609"/>
  <c r="CQ295" i="14609"/>
  <c r="CR295" i="14609"/>
  <c r="CS295" i="14609"/>
  <c r="CT295" i="14609"/>
  <c r="CU295" i="14609"/>
  <c r="CV295" i="14609"/>
  <c r="CW295" i="14609"/>
  <c r="CX295" i="14609"/>
  <c r="CY295" i="14609"/>
  <c r="CZ295" i="14609"/>
  <c r="DA295" i="14609"/>
  <c r="DB295" i="14609"/>
  <c r="DC295" i="14609"/>
  <c r="DD295" i="14609"/>
  <c r="DE295" i="14609"/>
  <c r="DF295" i="14609"/>
  <c r="DG295" i="14609"/>
  <c r="DH295" i="14609"/>
  <c r="DI295" i="14609"/>
  <c r="DJ295" i="14609"/>
  <c r="DK295" i="14609"/>
  <c r="DL295" i="14609"/>
  <c r="DM295" i="14609"/>
  <c r="DN295" i="14609"/>
  <c r="DO295" i="14609"/>
  <c r="DP295" i="14609"/>
  <c r="DQ295" i="14609"/>
  <c r="DR295" i="14609"/>
  <c r="DS295" i="14609"/>
  <c r="DT295" i="14609"/>
  <c r="DU295" i="14609"/>
  <c r="DV295" i="14609"/>
  <c r="DW295" i="14609"/>
  <c r="DX295" i="14609"/>
  <c r="DY295" i="14609"/>
  <c r="DZ295" i="14609"/>
  <c r="EA295" i="14609"/>
  <c r="EB295" i="14609"/>
  <c r="EC295" i="14609"/>
  <c r="ED295" i="14609"/>
  <c r="EE295" i="14609"/>
  <c r="EF295" i="14609"/>
  <c r="EG295" i="14609"/>
  <c r="EH295" i="14609"/>
  <c r="EI295" i="14609"/>
  <c r="EJ295" i="14609"/>
  <c r="EK295" i="14609"/>
  <c r="EL295" i="14609"/>
  <c r="EM295" i="14609"/>
  <c r="EN295" i="14609"/>
  <c r="EO295" i="14609"/>
  <c r="EP295" i="14609"/>
  <c r="EQ295" i="14609"/>
  <c r="ER295" i="14609"/>
  <c r="ES295" i="14609"/>
  <c r="ET295" i="14609"/>
  <c r="EU295" i="14609"/>
  <c r="EV295" i="14609"/>
  <c r="EW295" i="14609"/>
  <c r="EX295" i="14609"/>
  <c r="EY295" i="14609"/>
  <c r="EZ295" i="14609"/>
  <c r="FA295" i="14609"/>
  <c r="FB295" i="14609"/>
  <c r="FC295" i="14609"/>
  <c r="FD295" i="14609"/>
  <c r="FE295" i="14609"/>
  <c r="FF295" i="14609"/>
  <c r="FG295" i="14609"/>
  <c r="FH295" i="14609"/>
  <c r="FI295" i="14609"/>
  <c r="FJ295" i="14609"/>
  <c r="FK295" i="14609"/>
  <c r="FL295" i="14609"/>
  <c r="FM295" i="14609"/>
  <c r="FN295" i="14609"/>
  <c r="FO295" i="14609"/>
  <c r="FP295" i="14609"/>
  <c r="FQ295" i="14609"/>
  <c r="FR295" i="14609"/>
  <c r="FS295" i="14609"/>
  <c r="FT295" i="14609"/>
  <c r="FU295" i="14609"/>
  <c r="FV295" i="14609"/>
  <c r="FW295" i="14609"/>
  <c r="FX295" i="14609"/>
  <c r="FY295" i="14609"/>
  <c r="FZ295" i="14609"/>
  <c r="GA295" i="14609"/>
  <c r="GB295" i="14609"/>
  <c r="GC295" i="14609"/>
  <c r="GD295" i="14609"/>
  <c r="GE295" i="14609"/>
  <c r="GF295" i="14609"/>
  <c r="GG295" i="14609"/>
  <c r="GH295" i="14609"/>
  <c r="GI295" i="14609"/>
  <c r="GJ295" i="14609"/>
  <c r="GK295" i="14609"/>
  <c r="GL295" i="14609"/>
  <c r="GM295" i="14609"/>
  <c r="GN295" i="14609"/>
  <c r="GO295" i="14609"/>
  <c r="GP295" i="14609"/>
  <c r="GQ295" i="14609"/>
  <c r="GR295" i="14609"/>
  <c r="GS295" i="14609"/>
  <c r="GT295" i="14609"/>
  <c r="GU295" i="14609"/>
  <c r="GV295" i="14609"/>
  <c r="GW295" i="14609"/>
  <c r="GX295" i="14609"/>
  <c r="GY295" i="14609"/>
  <c r="GZ295" i="14609"/>
  <c r="HA295" i="14609"/>
  <c r="HB295" i="14609"/>
  <c r="HC295" i="14609"/>
  <c r="HD295" i="14609"/>
  <c r="HE295" i="14609"/>
  <c r="HF295" i="14609"/>
  <c r="HG295" i="14609"/>
  <c r="HH295" i="14609"/>
  <c r="HI295" i="14609"/>
  <c r="HJ295" i="14609"/>
  <c r="HK295" i="14609"/>
  <c r="HL295" i="14609"/>
  <c r="HM295" i="14609"/>
  <c r="HN295" i="14609"/>
  <c r="HO295" i="14609"/>
  <c r="HP295" i="14609"/>
  <c r="HQ295" i="14609"/>
  <c r="HR295" i="14609"/>
  <c r="HS295" i="14609"/>
  <c r="HT295" i="14609"/>
  <c r="HU295" i="14609"/>
  <c r="HV295" i="14609"/>
  <c r="HW295" i="14609"/>
  <c r="HX295" i="14609"/>
  <c r="HY295" i="14609"/>
  <c r="HZ295" i="14609"/>
  <c r="IA295" i="14609"/>
  <c r="IB295" i="14609"/>
  <c r="IC295" i="14609"/>
  <c r="ID295" i="14609"/>
  <c r="IE295" i="14609"/>
  <c r="IF295" i="14609"/>
  <c r="IG295" i="14609"/>
  <c r="IH295" i="14609"/>
  <c r="II295" i="14609"/>
  <c r="IJ295" i="14609"/>
  <c r="IK295" i="14609"/>
  <c r="IL295" i="14609"/>
  <c r="IM295" i="14609"/>
  <c r="IN295" i="14609"/>
  <c r="IO295" i="14609"/>
  <c r="IP295" i="14609"/>
  <c r="IQ295" i="14609"/>
  <c r="IR295" i="14609"/>
  <c r="IS295" i="14609"/>
  <c r="IT295" i="14609"/>
  <c r="IU295" i="14609"/>
  <c r="IV295" i="14609"/>
  <c r="A294" i="14609"/>
  <c r="B294" i="14609"/>
  <c r="C294" i="14609"/>
  <c r="D294" i="14609"/>
  <c r="E294" i="14609"/>
  <c r="F294" i="14609"/>
  <c r="G294" i="14609"/>
  <c r="H294" i="14609"/>
  <c r="I294" i="14609"/>
  <c r="J294" i="14609"/>
  <c r="K294" i="14609"/>
  <c r="L294" i="14609"/>
  <c r="M294" i="14609"/>
  <c r="N294" i="14609"/>
  <c r="O294" i="14609"/>
  <c r="P294" i="14609"/>
  <c r="Q294" i="14609"/>
  <c r="R294" i="14609"/>
  <c r="S294" i="14609"/>
  <c r="T294" i="14609"/>
  <c r="U294" i="14609"/>
  <c r="V294" i="14609"/>
  <c r="W294" i="14609"/>
  <c r="X294" i="14609"/>
  <c r="Y294" i="14609"/>
  <c r="Z294" i="14609"/>
  <c r="AA294" i="14609"/>
  <c r="AB294" i="14609"/>
  <c r="AC294" i="14609"/>
  <c r="AD294" i="14609"/>
  <c r="AE294" i="14609"/>
  <c r="AF294" i="14609"/>
  <c r="AG294" i="14609"/>
  <c r="AH294" i="14609"/>
  <c r="AI294" i="14609"/>
  <c r="AJ294" i="14609"/>
  <c r="AK294" i="14609"/>
  <c r="AL294" i="14609"/>
  <c r="AM294" i="14609"/>
  <c r="AN294" i="14609"/>
  <c r="AO294" i="14609"/>
  <c r="AP294" i="14609"/>
  <c r="AQ294" i="14609"/>
  <c r="AR294" i="14609"/>
  <c r="AS294" i="14609"/>
  <c r="AT294" i="14609"/>
  <c r="AU294" i="14609"/>
  <c r="AV294" i="14609"/>
  <c r="AW294" i="14609"/>
  <c r="AX294" i="14609"/>
  <c r="AY294" i="14609"/>
  <c r="AZ294" i="14609"/>
  <c r="BA294" i="14609"/>
  <c r="BB294" i="14609"/>
  <c r="BC294" i="14609"/>
  <c r="BD294" i="14609"/>
  <c r="BE294" i="14609"/>
  <c r="BF294" i="14609"/>
  <c r="BG294" i="14609"/>
  <c r="BH294" i="14609"/>
  <c r="BI294" i="14609"/>
  <c r="BJ294" i="14609"/>
  <c r="BK294" i="14609"/>
  <c r="BL294" i="14609"/>
  <c r="BM294" i="14609"/>
  <c r="BN294" i="14609"/>
  <c r="BO294" i="14609"/>
  <c r="BP294" i="14609"/>
  <c r="BQ294" i="14609"/>
  <c r="BR294" i="14609"/>
  <c r="BS294" i="14609"/>
  <c r="BT294" i="14609"/>
  <c r="BU294" i="14609"/>
  <c r="BV294" i="14609"/>
  <c r="BW294" i="14609"/>
  <c r="BX294" i="14609"/>
  <c r="BY294" i="14609"/>
  <c r="BZ294" i="14609"/>
  <c r="CA294" i="14609"/>
  <c r="CB294" i="14609"/>
  <c r="CC294" i="14609"/>
  <c r="CD294" i="14609"/>
  <c r="CE294" i="14609"/>
  <c r="CF294" i="14609"/>
  <c r="CG294" i="14609"/>
  <c r="CH294" i="14609"/>
  <c r="CI294" i="14609"/>
  <c r="CJ294" i="14609"/>
  <c r="CK294" i="14609"/>
  <c r="CL294" i="14609"/>
  <c r="CM294" i="14609"/>
  <c r="CN294" i="14609"/>
  <c r="CO294" i="14609"/>
  <c r="CP294" i="14609"/>
  <c r="CQ294" i="14609"/>
  <c r="CR294" i="14609"/>
  <c r="CS294" i="14609"/>
  <c r="CT294" i="14609"/>
  <c r="CU294" i="14609"/>
  <c r="CV294" i="14609"/>
  <c r="CW294" i="14609"/>
  <c r="CX294" i="14609"/>
  <c r="CY294" i="14609"/>
  <c r="CZ294" i="14609"/>
  <c r="DA294" i="14609"/>
  <c r="DB294" i="14609"/>
  <c r="DC294" i="14609"/>
  <c r="DD294" i="14609"/>
  <c r="DE294" i="14609"/>
  <c r="DF294" i="14609"/>
  <c r="DG294" i="14609"/>
  <c r="DH294" i="14609"/>
  <c r="DI294" i="14609"/>
  <c r="DJ294" i="14609"/>
  <c r="DK294" i="14609"/>
  <c r="DL294" i="14609"/>
  <c r="DM294" i="14609"/>
  <c r="DN294" i="14609"/>
  <c r="DO294" i="14609"/>
  <c r="DP294" i="14609"/>
  <c r="DQ294" i="14609"/>
  <c r="DR294" i="14609"/>
  <c r="DS294" i="14609"/>
  <c r="DT294" i="14609"/>
  <c r="DU294" i="14609"/>
  <c r="DV294" i="14609"/>
  <c r="DW294" i="14609"/>
  <c r="DX294" i="14609"/>
  <c r="DY294" i="14609"/>
  <c r="DZ294" i="14609"/>
  <c r="EA294" i="14609"/>
  <c r="EB294" i="14609"/>
  <c r="EC294" i="14609"/>
  <c r="ED294" i="14609"/>
  <c r="EE294" i="14609"/>
  <c r="EF294" i="14609"/>
  <c r="EG294" i="14609"/>
  <c r="EH294" i="14609"/>
  <c r="EI294" i="14609"/>
  <c r="EJ294" i="14609"/>
  <c r="EK294" i="14609"/>
  <c r="EL294" i="14609"/>
  <c r="EM294" i="14609"/>
  <c r="EN294" i="14609"/>
  <c r="EO294" i="14609"/>
  <c r="EP294" i="14609"/>
  <c r="EQ294" i="14609"/>
  <c r="ER294" i="14609"/>
  <c r="ES294" i="14609"/>
  <c r="ET294" i="14609"/>
  <c r="EU294" i="14609"/>
  <c r="EV294" i="14609"/>
  <c r="EW294" i="14609"/>
  <c r="EX294" i="14609"/>
  <c r="EY294" i="14609"/>
  <c r="EZ294" i="14609"/>
  <c r="FA294" i="14609"/>
  <c r="FB294" i="14609"/>
  <c r="FC294" i="14609"/>
  <c r="FD294" i="14609"/>
  <c r="FE294" i="14609"/>
  <c r="FF294" i="14609"/>
  <c r="FG294" i="14609"/>
  <c r="FH294" i="14609"/>
  <c r="FI294" i="14609"/>
  <c r="FJ294" i="14609"/>
  <c r="FK294" i="14609"/>
  <c r="FL294" i="14609"/>
  <c r="FM294" i="14609"/>
  <c r="FN294" i="14609"/>
  <c r="FO294" i="14609"/>
  <c r="FP294" i="14609"/>
  <c r="FQ294" i="14609"/>
  <c r="FR294" i="14609"/>
  <c r="FS294" i="14609"/>
  <c r="FT294" i="14609"/>
  <c r="FU294" i="14609"/>
  <c r="FV294" i="14609"/>
  <c r="FW294" i="14609"/>
  <c r="FX294" i="14609"/>
  <c r="FY294" i="14609"/>
  <c r="FZ294" i="14609"/>
  <c r="GA294" i="14609"/>
  <c r="GB294" i="14609"/>
  <c r="GC294" i="14609"/>
  <c r="GD294" i="14609"/>
  <c r="GE294" i="14609"/>
  <c r="GF294" i="14609"/>
  <c r="GG294" i="14609"/>
  <c r="GH294" i="14609"/>
  <c r="GI294" i="14609"/>
  <c r="GJ294" i="14609"/>
  <c r="GK294" i="14609"/>
  <c r="GL294" i="14609"/>
  <c r="GM294" i="14609"/>
  <c r="GN294" i="14609"/>
  <c r="GO294" i="14609"/>
  <c r="GP294" i="14609"/>
  <c r="GQ294" i="14609"/>
  <c r="GR294" i="14609"/>
  <c r="GS294" i="14609"/>
  <c r="GT294" i="14609"/>
  <c r="GU294" i="14609"/>
  <c r="GV294" i="14609"/>
  <c r="GW294" i="14609"/>
  <c r="GX294" i="14609"/>
  <c r="GY294" i="14609"/>
  <c r="GZ294" i="14609"/>
  <c r="HA294" i="14609"/>
  <c r="HB294" i="14609"/>
  <c r="HC294" i="14609"/>
  <c r="HD294" i="14609"/>
  <c r="HE294" i="14609"/>
  <c r="HF294" i="14609"/>
  <c r="HG294" i="14609"/>
  <c r="HH294" i="14609"/>
  <c r="HI294" i="14609"/>
  <c r="HJ294" i="14609"/>
  <c r="HK294" i="14609"/>
  <c r="HL294" i="14609"/>
  <c r="HM294" i="14609"/>
  <c r="HN294" i="14609"/>
  <c r="HO294" i="14609"/>
  <c r="HP294" i="14609"/>
  <c r="HQ294" i="14609"/>
  <c r="HR294" i="14609"/>
  <c r="HS294" i="14609"/>
  <c r="HT294" i="14609"/>
  <c r="HU294" i="14609"/>
  <c r="HV294" i="14609"/>
  <c r="HW294" i="14609"/>
  <c r="HX294" i="14609"/>
  <c r="HY294" i="14609"/>
  <c r="HZ294" i="14609"/>
  <c r="IA294" i="14609"/>
  <c r="IB294" i="14609"/>
  <c r="IC294" i="14609"/>
  <c r="ID294" i="14609"/>
  <c r="IE294" i="14609"/>
  <c r="IF294" i="14609"/>
  <c r="IG294" i="14609"/>
  <c r="IH294" i="14609"/>
  <c r="II294" i="14609"/>
  <c r="IJ294" i="14609"/>
  <c r="IK294" i="14609"/>
  <c r="IL294" i="14609"/>
  <c r="IM294" i="14609"/>
  <c r="IN294" i="14609"/>
  <c r="IO294" i="14609"/>
  <c r="IP294" i="14609"/>
  <c r="IQ294" i="14609"/>
  <c r="IR294" i="14609"/>
  <c r="IS294" i="14609"/>
  <c r="IT294" i="14609"/>
  <c r="IU294" i="14609"/>
  <c r="IV294" i="14609"/>
  <c r="A293" i="14609"/>
  <c r="B293" i="14609"/>
  <c r="C293" i="14609"/>
  <c r="D293" i="14609"/>
  <c r="E293" i="14609"/>
  <c r="F293" i="14609"/>
  <c r="G293" i="14609"/>
  <c r="H293" i="14609"/>
  <c r="I293" i="14609"/>
  <c r="J293" i="14609"/>
  <c r="K293" i="14609"/>
  <c r="L293" i="14609"/>
  <c r="M293" i="14609"/>
  <c r="N293" i="14609"/>
  <c r="O293" i="14609"/>
  <c r="P293" i="14609"/>
  <c r="Q293" i="14609"/>
  <c r="R293" i="14609"/>
  <c r="S293" i="14609"/>
  <c r="T293" i="14609"/>
  <c r="U293" i="14609"/>
  <c r="V293" i="14609"/>
  <c r="W293" i="14609"/>
  <c r="X293" i="14609"/>
  <c r="Y293" i="14609"/>
  <c r="Z293" i="14609"/>
  <c r="AA293" i="14609"/>
  <c r="AB293" i="14609"/>
  <c r="AC293" i="14609"/>
  <c r="AD293" i="14609"/>
  <c r="AE293" i="14609"/>
  <c r="AF293" i="14609"/>
  <c r="AG293" i="14609"/>
  <c r="AH293" i="14609"/>
  <c r="AI293" i="14609"/>
  <c r="AJ293" i="14609"/>
  <c r="AK293" i="14609"/>
  <c r="AL293" i="14609"/>
  <c r="AM293" i="14609"/>
  <c r="AN293" i="14609"/>
  <c r="AO293" i="14609"/>
  <c r="AP293" i="14609"/>
  <c r="AQ293" i="14609"/>
  <c r="AR293" i="14609"/>
  <c r="AS293" i="14609"/>
  <c r="AT293" i="14609"/>
  <c r="AU293" i="14609"/>
  <c r="AV293" i="14609"/>
  <c r="AW293" i="14609"/>
  <c r="AX293" i="14609"/>
  <c r="AY293" i="14609"/>
  <c r="AZ293" i="14609"/>
  <c r="BA293" i="14609"/>
  <c r="BB293" i="14609"/>
  <c r="BC293" i="14609"/>
  <c r="BD293" i="14609"/>
  <c r="BE293" i="14609"/>
  <c r="BF293" i="14609"/>
  <c r="BG293" i="14609"/>
  <c r="BH293" i="14609"/>
  <c r="BI293" i="14609"/>
  <c r="BJ293" i="14609"/>
  <c r="BK293" i="14609"/>
  <c r="BL293" i="14609"/>
  <c r="BM293" i="14609"/>
  <c r="BN293" i="14609"/>
  <c r="BO293" i="14609"/>
  <c r="BP293" i="14609"/>
  <c r="BQ293" i="14609"/>
  <c r="BR293" i="14609"/>
  <c r="BS293" i="14609"/>
  <c r="BT293" i="14609"/>
  <c r="BU293" i="14609"/>
  <c r="BV293" i="14609"/>
  <c r="BW293" i="14609"/>
  <c r="BX293" i="14609"/>
  <c r="BY293" i="14609"/>
  <c r="BZ293" i="14609"/>
  <c r="CA293" i="14609"/>
  <c r="CB293" i="14609"/>
  <c r="CC293" i="14609"/>
  <c r="CD293" i="14609"/>
  <c r="CE293" i="14609"/>
  <c r="CF293" i="14609"/>
  <c r="CG293" i="14609"/>
  <c r="CH293" i="14609"/>
  <c r="CI293" i="14609"/>
  <c r="CJ293" i="14609"/>
  <c r="CK293" i="14609"/>
  <c r="CL293" i="14609"/>
  <c r="CM293" i="14609"/>
  <c r="CN293" i="14609"/>
  <c r="CO293" i="14609"/>
  <c r="CP293" i="14609"/>
  <c r="CQ293" i="14609"/>
  <c r="CR293" i="14609"/>
  <c r="CS293" i="14609"/>
  <c r="CT293" i="14609"/>
  <c r="CU293" i="14609"/>
  <c r="CV293" i="14609"/>
  <c r="CW293" i="14609"/>
  <c r="CX293" i="14609"/>
  <c r="CY293" i="14609"/>
  <c r="CZ293" i="14609"/>
  <c r="DA293" i="14609"/>
  <c r="DB293" i="14609"/>
  <c r="DC293" i="14609"/>
  <c r="DD293" i="14609"/>
  <c r="DE293" i="14609"/>
  <c r="DF293" i="14609"/>
  <c r="DG293" i="14609"/>
  <c r="DH293" i="14609"/>
  <c r="DI293" i="14609"/>
  <c r="DJ293" i="14609"/>
  <c r="DK293" i="14609"/>
  <c r="DL293" i="14609"/>
  <c r="DM293" i="14609"/>
  <c r="DN293" i="14609"/>
  <c r="DO293" i="14609"/>
  <c r="DP293" i="14609"/>
  <c r="DQ293" i="14609"/>
  <c r="DR293" i="14609"/>
  <c r="DS293" i="14609"/>
  <c r="DT293" i="14609"/>
  <c r="DU293" i="14609"/>
  <c r="DV293" i="14609"/>
  <c r="DW293" i="14609"/>
  <c r="DX293" i="14609"/>
  <c r="DY293" i="14609"/>
  <c r="DZ293" i="14609"/>
  <c r="EA293" i="14609"/>
  <c r="EB293" i="14609"/>
  <c r="EC293" i="14609"/>
  <c r="ED293" i="14609"/>
  <c r="EE293" i="14609"/>
  <c r="EF293" i="14609"/>
  <c r="EG293" i="14609"/>
  <c r="EH293" i="14609"/>
  <c r="EI293" i="14609"/>
  <c r="EJ293" i="14609"/>
  <c r="EK293" i="14609"/>
  <c r="EL293" i="14609"/>
  <c r="EM293" i="14609"/>
  <c r="EN293" i="14609"/>
  <c r="EO293" i="14609"/>
  <c r="EP293" i="14609"/>
  <c r="EQ293" i="14609"/>
  <c r="ER293" i="14609"/>
  <c r="ES293" i="14609"/>
  <c r="ET293" i="14609"/>
  <c r="EU293" i="14609"/>
  <c r="EV293" i="14609"/>
  <c r="EW293" i="14609"/>
  <c r="EX293" i="14609"/>
  <c r="EY293" i="14609"/>
  <c r="EZ293" i="14609"/>
  <c r="FA293" i="14609"/>
  <c r="FB293" i="14609"/>
  <c r="FC293" i="14609"/>
  <c r="FD293" i="14609"/>
  <c r="FE293" i="14609"/>
  <c r="FF293" i="14609"/>
  <c r="FG293" i="14609"/>
  <c r="FH293" i="14609"/>
  <c r="FI293" i="14609"/>
  <c r="FJ293" i="14609"/>
  <c r="FK293" i="14609"/>
  <c r="FL293" i="14609"/>
  <c r="FM293" i="14609"/>
  <c r="FN293" i="14609"/>
  <c r="FO293" i="14609"/>
  <c r="FP293" i="14609"/>
  <c r="FQ293" i="14609"/>
  <c r="FR293" i="14609"/>
  <c r="FS293" i="14609"/>
  <c r="FT293" i="14609"/>
  <c r="FU293" i="14609"/>
  <c r="FV293" i="14609"/>
  <c r="FW293" i="14609"/>
  <c r="FX293" i="14609"/>
  <c r="FY293" i="14609"/>
  <c r="FZ293" i="14609"/>
  <c r="GA293" i="14609"/>
  <c r="GB293" i="14609"/>
  <c r="GC293" i="14609"/>
  <c r="GD293" i="14609"/>
  <c r="GE293" i="14609"/>
  <c r="GF293" i="14609"/>
  <c r="GG293" i="14609"/>
  <c r="GH293" i="14609"/>
  <c r="GI293" i="14609"/>
  <c r="GJ293" i="14609"/>
  <c r="GK293" i="14609"/>
  <c r="GL293" i="14609"/>
  <c r="GM293" i="14609"/>
  <c r="GN293" i="14609"/>
  <c r="GO293" i="14609"/>
  <c r="GP293" i="14609"/>
  <c r="GQ293" i="14609"/>
  <c r="GR293" i="14609"/>
  <c r="GS293" i="14609"/>
  <c r="GT293" i="14609"/>
  <c r="GU293" i="14609"/>
  <c r="GV293" i="14609"/>
  <c r="GW293" i="14609"/>
  <c r="GX293" i="14609"/>
  <c r="GY293" i="14609"/>
  <c r="GZ293" i="14609"/>
  <c r="HA293" i="14609"/>
  <c r="HB293" i="14609"/>
  <c r="HC293" i="14609"/>
  <c r="HD293" i="14609"/>
  <c r="HE293" i="14609"/>
  <c r="HF293" i="14609"/>
  <c r="HG293" i="14609"/>
  <c r="HH293" i="14609"/>
  <c r="HI293" i="14609"/>
  <c r="HJ293" i="14609"/>
  <c r="HK293" i="14609"/>
  <c r="HL293" i="14609"/>
  <c r="HM293" i="14609"/>
  <c r="HN293" i="14609"/>
  <c r="HO293" i="14609"/>
  <c r="HP293" i="14609"/>
  <c r="HQ293" i="14609"/>
  <c r="HR293" i="14609"/>
  <c r="HS293" i="14609"/>
  <c r="HT293" i="14609"/>
  <c r="HU293" i="14609"/>
  <c r="HV293" i="14609"/>
  <c r="HW293" i="14609"/>
  <c r="HX293" i="14609"/>
  <c r="HY293" i="14609"/>
  <c r="HZ293" i="14609"/>
  <c r="IA293" i="14609"/>
  <c r="IB293" i="14609"/>
  <c r="IC293" i="14609"/>
  <c r="ID293" i="14609"/>
  <c r="IE293" i="14609"/>
  <c r="IF293" i="14609"/>
  <c r="IG293" i="14609"/>
  <c r="IH293" i="14609"/>
  <c r="II293" i="14609"/>
  <c r="IJ293" i="14609"/>
  <c r="IK293" i="14609"/>
  <c r="IL293" i="14609"/>
  <c r="IM293" i="14609"/>
  <c r="IN293" i="14609"/>
  <c r="IO293" i="14609"/>
  <c r="IP293" i="14609"/>
  <c r="IQ293" i="14609"/>
  <c r="IR293" i="14609"/>
  <c r="IS293" i="14609"/>
  <c r="IT293" i="14609"/>
  <c r="IU293" i="14609"/>
  <c r="IV293" i="14609"/>
  <c r="A292" i="14609"/>
  <c r="B292" i="14609"/>
  <c r="C292" i="14609"/>
  <c r="D292" i="14609"/>
  <c r="E292" i="14609"/>
  <c r="F292" i="14609"/>
  <c r="G292" i="14609"/>
  <c r="H292" i="14609"/>
  <c r="I292" i="14609"/>
  <c r="J292" i="14609"/>
  <c r="K292" i="14609"/>
  <c r="L292" i="14609"/>
  <c r="M292" i="14609"/>
  <c r="N292" i="14609"/>
  <c r="O292" i="14609"/>
  <c r="P292" i="14609"/>
  <c r="Q292" i="14609"/>
  <c r="R292" i="14609"/>
  <c r="S292" i="14609"/>
  <c r="T292" i="14609"/>
  <c r="U292" i="14609"/>
  <c r="V292" i="14609"/>
  <c r="W292" i="14609"/>
  <c r="X292" i="14609"/>
  <c r="Y292" i="14609"/>
  <c r="Z292" i="14609"/>
  <c r="AA292" i="14609"/>
  <c r="AB292" i="14609"/>
  <c r="AC292" i="14609"/>
  <c r="AD292" i="14609"/>
  <c r="AE292" i="14609"/>
  <c r="AF292" i="14609"/>
  <c r="AG292" i="14609"/>
  <c r="AH292" i="14609"/>
  <c r="AI292" i="14609"/>
  <c r="AJ292" i="14609"/>
  <c r="AK292" i="14609"/>
  <c r="AL292" i="14609"/>
  <c r="AM292" i="14609"/>
  <c r="AN292" i="14609"/>
  <c r="AO292" i="14609"/>
  <c r="AP292" i="14609"/>
  <c r="AQ292" i="14609"/>
  <c r="AR292" i="14609"/>
  <c r="AS292" i="14609"/>
  <c r="AT292" i="14609"/>
  <c r="AU292" i="14609"/>
  <c r="AV292" i="14609"/>
  <c r="AW292" i="14609"/>
  <c r="AX292" i="14609"/>
  <c r="AY292" i="14609"/>
  <c r="AZ292" i="14609"/>
  <c r="BA292" i="14609"/>
  <c r="BB292" i="14609"/>
  <c r="BC292" i="14609"/>
  <c r="BD292" i="14609"/>
  <c r="BE292" i="14609"/>
  <c r="BF292" i="14609"/>
  <c r="BG292" i="14609"/>
  <c r="BH292" i="14609"/>
  <c r="BI292" i="14609"/>
  <c r="BJ292" i="14609"/>
  <c r="BK292" i="14609"/>
  <c r="BL292" i="14609"/>
  <c r="BM292" i="14609"/>
  <c r="BN292" i="14609"/>
  <c r="BO292" i="14609"/>
  <c r="BP292" i="14609"/>
  <c r="BQ292" i="14609"/>
  <c r="BR292" i="14609"/>
  <c r="BS292" i="14609"/>
  <c r="BT292" i="14609"/>
  <c r="BU292" i="14609"/>
  <c r="BV292" i="14609"/>
  <c r="BW292" i="14609"/>
  <c r="BX292" i="14609"/>
  <c r="BY292" i="14609"/>
  <c r="BZ292" i="14609"/>
  <c r="CA292" i="14609"/>
  <c r="CB292" i="14609"/>
  <c r="CC292" i="14609"/>
  <c r="CD292" i="14609"/>
  <c r="CE292" i="14609"/>
  <c r="CF292" i="14609"/>
  <c r="CG292" i="14609"/>
  <c r="CH292" i="14609"/>
  <c r="CI292" i="14609"/>
  <c r="CJ292" i="14609"/>
  <c r="CK292" i="14609"/>
  <c r="CL292" i="14609"/>
  <c r="CM292" i="14609"/>
  <c r="CN292" i="14609"/>
  <c r="CO292" i="14609"/>
  <c r="CP292" i="14609"/>
  <c r="CQ292" i="14609"/>
  <c r="CR292" i="14609"/>
  <c r="CS292" i="14609"/>
  <c r="CT292" i="14609"/>
  <c r="CU292" i="14609"/>
  <c r="CV292" i="14609"/>
  <c r="CW292" i="14609"/>
  <c r="CX292" i="14609"/>
  <c r="CY292" i="14609"/>
  <c r="CZ292" i="14609"/>
  <c r="DA292" i="14609"/>
  <c r="DB292" i="14609"/>
  <c r="DC292" i="14609"/>
  <c r="DD292" i="14609"/>
  <c r="DE292" i="14609"/>
  <c r="DF292" i="14609"/>
  <c r="DG292" i="14609"/>
  <c r="DH292" i="14609"/>
  <c r="DI292" i="14609"/>
  <c r="DJ292" i="14609"/>
  <c r="DK292" i="14609"/>
  <c r="DL292" i="14609"/>
  <c r="DM292" i="14609"/>
  <c r="DN292" i="14609"/>
  <c r="DO292" i="14609"/>
  <c r="DP292" i="14609"/>
  <c r="DQ292" i="14609"/>
  <c r="DR292" i="14609"/>
  <c r="DS292" i="14609"/>
  <c r="DT292" i="14609"/>
  <c r="DU292" i="14609"/>
  <c r="DV292" i="14609"/>
  <c r="DW292" i="14609"/>
  <c r="DX292" i="14609"/>
  <c r="DY292" i="14609"/>
  <c r="DZ292" i="14609"/>
  <c r="EA292" i="14609"/>
  <c r="EB292" i="14609"/>
  <c r="EC292" i="14609"/>
  <c r="ED292" i="14609"/>
  <c r="EE292" i="14609"/>
  <c r="EF292" i="14609"/>
  <c r="EG292" i="14609"/>
  <c r="EH292" i="14609"/>
  <c r="EI292" i="14609"/>
  <c r="EJ292" i="14609"/>
  <c r="EK292" i="14609"/>
  <c r="EL292" i="14609"/>
  <c r="EM292" i="14609"/>
  <c r="EN292" i="14609"/>
  <c r="EO292" i="14609"/>
  <c r="EP292" i="14609"/>
  <c r="EQ292" i="14609"/>
  <c r="ER292" i="14609"/>
  <c r="ES292" i="14609"/>
  <c r="ET292" i="14609"/>
  <c r="EU292" i="14609"/>
  <c r="EV292" i="14609"/>
  <c r="EW292" i="14609"/>
  <c r="EX292" i="14609"/>
  <c r="EY292" i="14609"/>
  <c r="EZ292" i="14609"/>
  <c r="FA292" i="14609"/>
  <c r="FB292" i="14609"/>
  <c r="FC292" i="14609"/>
  <c r="FD292" i="14609"/>
  <c r="FE292" i="14609"/>
  <c r="FF292" i="14609"/>
  <c r="FG292" i="14609"/>
  <c r="FH292" i="14609"/>
  <c r="FI292" i="14609"/>
  <c r="FJ292" i="14609"/>
  <c r="FK292" i="14609"/>
  <c r="FL292" i="14609"/>
  <c r="FM292" i="14609"/>
  <c r="FN292" i="14609"/>
  <c r="FO292" i="14609"/>
  <c r="FP292" i="14609"/>
  <c r="FQ292" i="14609"/>
  <c r="FR292" i="14609"/>
  <c r="FS292" i="14609"/>
  <c r="FT292" i="14609"/>
  <c r="FU292" i="14609"/>
  <c r="FV292" i="14609"/>
  <c r="FW292" i="14609"/>
  <c r="FX292" i="14609"/>
  <c r="FY292" i="14609"/>
  <c r="FZ292" i="14609"/>
  <c r="GA292" i="14609"/>
  <c r="GB292" i="14609"/>
  <c r="GC292" i="14609"/>
  <c r="GD292" i="14609"/>
  <c r="GE292" i="14609"/>
  <c r="GF292" i="14609"/>
  <c r="GG292" i="14609"/>
  <c r="GH292" i="14609"/>
  <c r="GI292" i="14609"/>
  <c r="GJ292" i="14609"/>
  <c r="GK292" i="14609"/>
  <c r="GL292" i="14609"/>
  <c r="GM292" i="14609"/>
  <c r="GN292" i="14609"/>
  <c r="GO292" i="14609"/>
  <c r="GP292" i="14609"/>
  <c r="GQ292" i="14609"/>
  <c r="GR292" i="14609"/>
  <c r="GS292" i="14609"/>
  <c r="GT292" i="14609"/>
  <c r="GU292" i="14609"/>
  <c r="GV292" i="14609"/>
  <c r="GW292" i="14609"/>
  <c r="GX292" i="14609"/>
  <c r="GY292" i="14609"/>
  <c r="GZ292" i="14609"/>
  <c r="HA292" i="14609"/>
  <c r="HB292" i="14609"/>
  <c r="HC292" i="14609"/>
  <c r="HD292" i="14609"/>
  <c r="HE292" i="14609"/>
  <c r="HF292" i="14609"/>
  <c r="HG292" i="14609"/>
  <c r="HH292" i="14609"/>
  <c r="HI292" i="14609"/>
  <c r="HJ292" i="14609"/>
  <c r="HK292" i="14609"/>
  <c r="HL292" i="14609"/>
  <c r="HM292" i="14609"/>
  <c r="HN292" i="14609"/>
  <c r="HO292" i="14609"/>
  <c r="HP292" i="14609"/>
  <c r="HQ292" i="14609"/>
  <c r="HR292" i="14609"/>
  <c r="HS292" i="14609"/>
  <c r="HT292" i="14609"/>
  <c r="HU292" i="14609"/>
  <c r="HV292" i="14609"/>
  <c r="HW292" i="14609"/>
  <c r="HX292" i="14609"/>
  <c r="HY292" i="14609"/>
  <c r="HZ292" i="14609"/>
  <c r="IA292" i="14609"/>
  <c r="IB292" i="14609"/>
  <c r="IC292" i="14609"/>
  <c r="ID292" i="14609"/>
  <c r="IE292" i="14609"/>
  <c r="IF292" i="14609"/>
  <c r="IG292" i="14609"/>
  <c r="IH292" i="14609"/>
  <c r="II292" i="14609"/>
  <c r="IJ292" i="14609"/>
  <c r="IK292" i="14609"/>
  <c r="IL292" i="14609"/>
  <c r="IM292" i="14609"/>
  <c r="IN292" i="14609"/>
  <c r="IO292" i="14609"/>
  <c r="IP292" i="14609"/>
  <c r="IQ292" i="14609"/>
  <c r="IR292" i="14609"/>
  <c r="IS292" i="14609"/>
  <c r="IT292" i="14609"/>
  <c r="IU292" i="14609"/>
  <c r="IV292" i="14609"/>
  <c r="A291" i="14609"/>
  <c r="B291" i="14609"/>
  <c r="C291" i="14609"/>
  <c r="D291" i="14609"/>
  <c r="E291" i="14609"/>
  <c r="F291" i="14609"/>
  <c r="G291" i="14609"/>
  <c r="H291" i="14609"/>
  <c r="I291" i="14609"/>
  <c r="J291" i="14609"/>
  <c r="K291" i="14609"/>
  <c r="L291" i="14609"/>
  <c r="M291" i="14609"/>
  <c r="N291" i="14609"/>
  <c r="O291" i="14609"/>
  <c r="P291" i="14609"/>
  <c r="Q291" i="14609"/>
  <c r="R291" i="14609"/>
  <c r="S291" i="14609"/>
  <c r="T291" i="14609"/>
  <c r="U291" i="14609"/>
  <c r="V291" i="14609"/>
  <c r="W291" i="14609"/>
  <c r="X291" i="14609"/>
  <c r="Y291" i="14609"/>
  <c r="Z291" i="14609"/>
  <c r="AA291" i="14609"/>
  <c r="AB291" i="14609"/>
  <c r="AC291" i="14609"/>
  <c r="AD291" i="14609"/>
  <c r="AE291" i="14609"/>
  <c r="AF291" i="14609"/>
  <c r="AG291" i="14609"/>
  <c r="AH291" i="14609"/>
  <c r="AI291" i="14609"/>
  <c r="AJ291" i="14609"/>
  <c r="AK291" i="14609"/>
  <c r="AL291" i="14609"/>
  <c r="AM291" i="14609"/>
  <c r="AN291" i="14609"/>
  <c r="AO291" i="14609"/>
  <c r="AP291" i="14609"/>
  <c r="AQ291" i="14609"/>
  <c r="AR291" i="14609"/>
  <c r="AS291" i="14609"/>
  <c r="AT291" i="14609"/>
  <c r="AU291" i="14609"/>
  <c r="AV291" i="14609"/>
  <c r="AW291" i="14609"/>
  <c r="AX291" i="14609"/>
  <c r="AY291" i="14609"/>
  <c r="AZ291" i="14609"/>
  <c r="BA291" i="14609"/>
  <c r="BB291" i="14609"/>
  <c r="BC291" i="14609"/>
  <c r="BD291" i="14609"/>
  <c r="BE291" i="14609"/>
  <c r="BF291" i="14609"/>
  <c r="BG291" i="14609"/>
  <c r="BH291" i="14609"/>
  <c r="BI291" i="14609"/>
  <c r="BJ291" i="14609"/>
  <c r="BK291" i="14609"/>
  <c r="BL291" i="14609"/>
  <c r="BM291" i="14609"/>
  <c r="BN291" i="14609"/>
  <c r="BO291" i="14609"/>
  <c r="BP291" i="14609"/>
  <c r="BQ291" i="14609"/>
  <c r="BR291" i="14609"/>
  <c r="BS291" i="14609"/>
  <c r="BT291" i="14609"/>
  <c r="BU291" i="14609"/>
  <c r="BV291" i="14609"/>
  <c r="BW291" i="14609"/>
  <c r="BX291" i="14609"/>
  <c r="BY291" i="14609"/>
  <c r="BZ291" i="14609"/>
  <c r="CA291" i="14609"/>
  <c r="CB291" i="14609"/>
  <c r="CC291" i="14609"/>
  <c r="CD291" i="14609"/>
  <c r="CE291" i="14609"/>
  <c r="CF291" i="14609"/>
  <c r="CG291" i="14609"/>
  <c r="CH291" i="14609"/>
  <c r="CI291" i="14609"/>
  <c r="CJ291" i="14609"/>
  <c r="CK291" i="14609"/>
  <c r="CL291" i="14609"/>
  <c r="CM291" i="14609"/>
  <c r="CN291" i="14609"/>
  <c r="CO291" i="14609"/>
  <c r="CP291" i="14609"/>
  <c r="CQ291" i="14609"/>
  <c r="CR291" i="14609"/>
  <c r="CS291" i="14609"/>
  <c r="CT291" i="14609"/>
  <c r="CU291" i="14609"/>
  <c r="CV291" i="14609"/>
  <c r="CW291" i="14609"/>
  <c r="CX291" i="14609"/>
  <c r="CY291" i="14609"/>
  <c r="CZ291" i="14609"/>
  <c r="DA291" i="14609"/>
  <c r="DB291" i="14609"/>
  <c r="DC291" i="14609"/>
  <c r="DD291" i="14609"/>
  <c r="DE291" i="14609"/>
  <c r="DF291" i="14609"/>
  <c r="DG291" i="14609"/>
  <c r="DH291" i="14609"/>
  <c r="DI291" i="14609"/>
  <c r="DJ291" i="14609"/>
  <c r="DK291" i="14609"/>
  <c r="DL291" i="14609"/>
  <c r="DM291" i="14609"/>
  <c r="DN291" i="14609"/>
  <c r="DO291" i="14609"/>
  <c r="DP291" i="14609"/>
  <c r="DQ291" i="14609"/>
  <c r="DR291" i="14609"/>
  <c r="DS291" i="14609"/>
  <c r="DT291" i="14609"/>
  <c r="DU291" i="14609"/>
  <c r="DV291" i="14609"/>
  <c r="DW291" i="14609"/>
  <c r="DX291" i="14609"/>
  <c r="DY291" i="14609"/>
  <c r="DZ291" i="14609"/>
  <c r="EA291" i="14609"/>
  <c r="EB291" i="14609"/>
  <c r="EC291" i="14609"/>
  <c r="ED291" i="14609"/>
  <c r="EE291" i="14609"/>
  <c r="EF291" i="14609"/>
  <c r="EG291" i="14609"/>
  <c r="EH291" i="14609"/>
  <c r="EI291" i="14609"/>
  <c r="EJ291" i="14609"/>
  <c r="EK291" i="14609"/>
  <c r="EL291" i="14609"/>
  <c r="EM291" i="14609"/>
  <c r="EN291" i="14609"/>
  <c r="EO291" i="14609"/>
  <c r="EP291" i="14609"/>
  <c r="EQ291" i="14609"/>
  <c r="ER291" i="14609"/>
  <c r="ES291" i="14609"/>
  <c r="ET291" i="14609"/>
  <c r="EU291" i="14609"/>
  <c r="EV291" i="14609"/>
  <c r="EW291" i="14609"/>
  <c r="EX291" i="14609"/>
  <c r="EY291" i="14609"/>
  <c r="EZ291" i="14609"/>
  <c r="FA291" i="14609"/>
  <c r="FB291" i="14609"/>
  <c r="FC291" i="14609"/>
  <c r="FD291" i="14609"/>
  <c r="FE291" i="14609"/>
  <c r="FF291" i="14609"/>
  <c r="FG291" i="14609"/>
  <c r="FH291" i="14609"/>
  <c r="FI291" i="14609"/>
  <c r="FJ291" i="14609"/>
  <c r="FK291" i="14609"/>
  <c r="FL291" i="14609"/>
  <c r="FM291" i="14609"/>
  <c r="FN291" i="14609"/>
  <c r="FO291" i="14609"/>
  <c r="FP291" i="14609"/>
  <c r="FQ291" i="14609"/>
  <c r="FR291" i="14609"/>
  <c r="FS291" i="14609"/>
  <c r="FT291" i="14609"/>
  <c r="FU291" i="14609"/>
  <c r="FV291" i="14609"/>
  <c r="FW291" i="14609"/>
  <c r="FX291" i="14609"/>
  <c r="FY291" i="14609"/>
  <c r="FZ291" i="14609"/>
  <c r="GA291" i="14609"/>
  <c r="GB291" i="14609"/>
  <c r="GC291" i="14609"/>
  <c r="GD291" i="14609"/>
  <c r="GE291" i="14609"/>
  <c r="GF291" i="14609"/>
  <c r="GG291" i="14609"/>
  <c r="GH291" i="14609"/>
  <c r="GI291" i="14609"/>
  <c r="GJ291" i="14609"/>
  <c r="GK291" i="14609"/>
  <c r="GL291" i="14609"/>
  <c r="GM291" i="14609"/>
  <c r="GN291" i="14609"/>
  <c r="GO291" i="14609"/>
  <c r="GP291" i="14609"/>
  <c r="GQ291" i="14609"/>
  <c r="GR291" i="14609"/>
  <c r="GS291" i="14609"/>
  <c r="GT291" i="14609"/>
  <c r="GU291" i="14609"/>
  <c r="GV291" i="14609"/>
  <c r="GW291" i="14609"/>
  <c r="GX291" i="14609"/>
  <c r="GY291" i="14609"/>
  <c r="GZ291" i="14609"/>
  <c r="HA291" i="14609"/>
  <c r="HB291" i="14609"/>
  <c r="HC291" i="14609"/>
  <c r="HD291" i="14609"/>
  <c r="HE291" i="14609"/>
  <c r="HF291" i="14609"/>
  <c r="HG291" i="14609"/>
  <c r="HH291" i="14609"/>
  <c r="HI291" i="14609"/>
  <c r="HJ291" i="14609"/>
  <c r="HK291" i="14609"/>
  <c r="HL291" i="14609"/>
  <c r="HM291" i="14609"/>
  <c r="HN291" i="14609"/>
  <c r="HO291" i="14609"/>
  <c r="HP291" i="14609"/>
  <c r="HQ291" i="14609"/>
  <c r="HR291" i="14609"/>
  <c r="HS291" i="14609"/>
  <c r="HT291" i="14609"/>
  <c r="HU291" i="14609"/>
  <c r="HV291" i="14609"/>
  <c r="HW291" i="14609"/>
  <c r="HX291" i="14609"/>
  <c r="HY291" i="14609"/>
  <c r="HZ291" i="14609"/>
  <c r="IA291" i="14609"/>
  <c r="IB291" i="14609"/>
  <c r="IC291" i="14609"/>
  <c r="ID291" i="14609"/>
  <c r="IE291" i="14609"/>
  <c r="IF291" i="14609"/>
  <c r="IG291" i="14609"/>
  <c r="IH291" i="14609"/>
  <c r="II291" i="14609"/>
  <c r="IJ291" i="14609"/>
  <c r="IK291" i="14609"/>
  <c r="IL291" i="14609"/>
  <c r="IM291" i="14609"/>
  <c r="IN291" i="14609"/>
  <c r="IO291" i="14609"/>
  <c r="IP291" i="14609"/>
  <c r="IQ291" i="14609"/>
  <c r="IR291" i="14609"/>
  <c r="IS291" i="14609"/>
  <c r="IT291" i="14609"/>
  <c r="IU291" i="14609"/>
  <c r="IV291" i="14609"/>
  <c r="A290" i="14609"/>
  <c r="B290" i="14609"/>
  <c r="C290" i="14609"/>
  <c r="D290" i="14609"/>
  <c r="E290" i="14609"/>
  <c r="F290" i="14609"/>
  <c r="G290" i="14609"/>
  <c r="H290" i="14609"/>
  <c r="I290" i="14609"/>
  <c r="J290" i="14609"/>
  <c r="K290" i="14609"/>
  <c r="L290" i="14609"/>
  <c r="M290" i="14609"/>
  <c r="N290" i="14609"/>
  <c r="O290" i="14609"/>
  <c r="P290" i="14609"/>
  <c r="Q290" i="14609"/>
  <c r="R290" i="14609"/>
  <c r="S290" i="14609"/>
  <c r="T290" i="14609"/>
  <c r="U290" i="14609"/>
  <c r="V290" i="14609"/>
  <c r="W290" i="14609"/>
  <c r="X290" i="14609"/>
  <c r="Y290" i="14609"/>
  <c r="Z290" i="14609"/>
  <c r="AA290" i="14609"/>
  <c r="AB290" i="14609"/>
  <c r="AC290" i="14609"/>
  <c r="AD290" i="14609"/>
  <c r="AE290" i="14609"/>
  <c r="AF290" i="14609"/>
  <c r="AG290" i="14609"/>
  <c r="AH290" i="14609"/>
  <c r="AI290" i="14609"/>
  <c r="AJ290" i="14609"/>
  <c r="AK290" i="14609"/>
  <c r="AL290" i="14609"/>
  <c r="AM290" i="14609"/>
  <c r="AN290" i="14609"/>
  <c r="AO290" i="14609"/>
  <c r="AP290" i="14609"/>
  <c r="AQ290" i="14609"/>
  <c r="AR290" i="14609"/>
  <c r="AS290" i="14609"/>
  <c r="AT290" i="14609"/>
  <c r="AU290" i="14609"/>
  <c r="AV290" i="14609"/>
  <c r="AW290" i="14609"/>
  <c r="AX290" i="14609"/>
  <c r="AY290" i="14609"/>
  <c r="AZ290" i="14609"/>
  <c r="BA290" i="14609"/>
  <c r="BB290" i="14609"/>
  <c r="BC290" i="14609"/>
  <c r="BD290" i="14609"/>
  <c r="BE290" i="14609"/>
  <c r="BF290" i="14609"/>
  <c r="BG290" i="14609"/>
  <c r="BH290" i="14609"/>
  <c r="BI290" i="14609"/>
  <c r="BJ290" i="14609"/>
  <c r="BK290" i="14609"/>
  <c r="BL290" i="14609"/>
  <c r="BM290" i="14609"/>
  <c r="BN290" i="14609"/>
  <c r="BO290" i="14609"/>
  <c r="BP290" i="14609"/>
  <c r="BQ290" i="14609"/>
  <c r="BR290" i="14609"/>
  <c r="BS290" i="14609"/>
  <c r="BT290" i="14609"/>
  <c r="BU290" i="14609"/>
  <c r="BV290" i="14609"/>
  <c r="BW290" i="14609"/>
  <c r="BX290" i="14609"/>
  <c r="BY290" i="14609"/>
  <c r="BZ290" i="14609"/>
  <c r="CA290" i="14609"/>
  <c r="CB290" i="14609"/>
  <c r="CC290" i="14609"/>
  <c r="CD290" i="14609"/>
  <c r="CE290" i="14609"/>
  <c r="CF290" i="14609"/>
  <c r="CG290" i="14609"/>
  <c r="CH290" i="14609"/>
  <c r="CI290" i="14609"/>
  <c r="CJ290" i="14609"/>
  <c r="CK290" i="14609"/>
  <c r="CL290" i="14609"/>
  <c r="CM290" i="14609"/>
  <c r="CN290" i="14609"/>
  <c r="CO290" i="14609"/>
  <c r="CP290" i="14609"/>
  <c r="CQ290" i="14609"/>
  <c r="CR290" i="14609"/>
  <c r="CS290" i="14609"/>
  <c r="CT290" i="14609"/>
  <c r="CU290" i="14609"/>
  <c r="CV290" i="14609"/>
  <c r="CW290" i="14609"/>
  <c r="CX290" i="14609"/>
  <c r="CY290" i="14609"/>
  <c r="CZ290" i="14609"/>
  <c r="DA290" i="14609"/>
  <c r="DB290" i="14609"/>
  <c r="DC290" i="14609"/>
  <c r="DD290" i="14609"/>
  <c r="DE290" i="14609"/>
  <c r="DF290" i="14609"/>
  <c r="DG290" i="14609"/>
  <c r="DH290" i="14609"/>
  <c r="DI290" i="14609"/>
  <c r="DJ290" i="14609"/>
  <c r="DK290" i="14609"/>
  <c r="DL290" i="14609"/>
  <c r="DM290" i="14609"/>
  <c r="DN290" i="14609"/>
  <c r="DO290" i="14609"/>
  <c r="DP290" i="14609"/>
  <c r="DQ290" i="14609"/>
  <c r="DR290" i="14609"/>
  <c r="DS290" i="14609"/>
  <c r="DT290" i="14609"/>
  <c r="DU290" i="14609"/>
  <c r="DV290" i="14609"/>
  <c r="DW290" i="14609"/>
  <c r="DX290" i="14609"/>
  <c r="DY290" i="14609"/>
  <c r="DZ290" i="14609"/>
  <c r="EA290" i="14609"/>
  <c r="EB290" i="14609"/>
  <c r="EC290" i="14609"/>
  <c r="ED290" i="14609"/>
  <c r="EE290" i="14609"/>
  <c r="EF290" i="14609"/>
  <c r="EG290" i="14609"/>
  <c r="EH290" i="14609"/>
  <c r="EI290" i="14609"/>
  <c r="EJ290" i="14609"/>
  <c r="EK290" i="14609"/>
  <c r="EL290" i="14609"/>
  <c r="EM290" i="14609"/>
  <c r="EN290" i="14609"/>
  <c r="EO290" i="14609"/>
  <c r="EP290" i="14609"/>
  <c r="EQ290" i="14609"/>
  <c r="ER290" i="14609"/>
  <c r="ES290" i="14609"/>
  <c r="ET290" i="14609"/>
  <c r="EU290" i="14609"/>
  <c r="EV290" i="14609"/>
  <c r="EW290" i="14609"/>
  <c r="EX290" i="14609"/>
  <c r="EY290" i="14609"/>
  <c r="EZ290" i="14609"/>
  <c r="FA290" i="14609"/>
  <c r="FB290" i="14609"/>
  <c r="FC290" i="14609"/>
  <c r="FD290" i="14609"/>
  <c r="FE290" i="14609"/>
  <c r="FF290" i="14609"/>
  <c r="FG290" i="14609"/>
  <c r="FH290" i="14609"/>
  <c r="FI290" i="14609"/>
  <c r="FJ290" i="14609"/>
  <c r="FK290" i="14609"/>
  <c r="FL290" i="14609"/>
  <c r="FM290" i="14609"/>
  <c r="FN290" i="14609"/>
  <c r="FO290" i="14609"/>
  <c r="FP290" i="14609"/>
  <c r="FQ290" i="14609"/>
  <c r="FR290" i="14609"/>
  <c r="FS290" i="14609"/>
  <c r="FT290" i="14609"/>
  <c r="FU290" i="14609"/>
  <c r="FV290" i="14609"/>
  <c r="FW290" i="14609"/>
  <c r="FX290" i="14609"/>
  <c r="FY290" i="14609"/>
  <c r="FZ290" i="14609"/>
  <c r="GA290" i="14609"/>
  <c r="GB290" i="14609"/>
  <c r="GC290" i="14609"/>
  <c r="GD290" i="14609"/>
  <c r="GE290" i="14609"/>
  <c r="GF290" i="14609"/>
  <c r="GG290" i="14609"/>
  <c r="GH290" i="14609"/>
  <c r="GI290" i="14609"/>
  <c r="GJ290" i="14609"/>
  <c r="GK290" i="14609"/>
  <c r="GL290" i="14609"/>
  <c r="GM290" i="14609"/>
  <c r="GN290" i="14609"/>
  <c r="GO290" i="14609"/>
  <c r="GP290" i="14609"/>
  <c r="GQ290" i="14609"/>
  <c r="GR290" i="14609"/>
  <c r="GS290" i="14609"/>
  <c r="GT290" i="14609"/>
  <c r="GU290" i="14609"/>
  <c r="GV290" i="14609"/>
  <c r="GW290" i="14609"/>
  <c r="GX290" i="14609"/>
  <c r="GY290" i="14609"/>
  <c r="GZ290" i="14609"/>
  <c r="HA290" i="14609"/>
  <c r="HB290" i="14609"/>
  <c r="HC290" i="14609"/>
  <c r="HD290" i="14609"/>
  <c r="HE290" i="14609"/>
  <c r="HF290" i="14609"/>
  <c r="HG290" i="14609"/>
  <c r="HH290" i="14609"/>
  <c r="HI290" i="14609"/>
  <c r="HJ290" i="14609"/>
  <c r="HK290" i="14609"/>
  <c r="HL290" i="14609"/>
  <c r="HM290" i="14609"/>
  <c r="HN290" i="14609"/>
  <c r="HO290" i="14609"/>
  <c r="HP290" i="14609"/>
  <c r="HQ290" i="14609"/>
  <c r="HR290" i="14609"/>
  <c r="HS290" i="14609"/>
  <c r="HT290" i="14609"/>
  <c r="HU290" i="14609"/>
  <c r="HV290" i="14609"/>
  <c r="HW290" i="14609"/>
  <c r="HX290" i="14609"/>
  <c r="HY290" i="14609"/>
  <c r="HZ290" i="14609"/>
  <c r="IA290" i="14609"/>
  <c r="IB290" i="14609"/>
  <c r="IC290" i="14609"/>
  <c r="ID290" i="14609"/>
  <c r="IE290" i="14609"/>
  <c r="IF290" i="14609"/>
  <c r="IG290" i="14609"/>
  <c r="IH290" i="14609"/>
  <c r="II290" i="14609"/>
  <c r="IJ290" i="14609"/>
  <c r="IK290" i="14609"/>
  <c r="IL290" i="14609"/>
  <c r="IM290" i="14609"/>
  <c r="IN290" i="14609"/>
  <c r="IO290" i="14609"/>
  <c r="IP290" i="14609"/>
  <c r="IQ290" i="14609"/>
  <c r="IR290" i="14609"/>
  <c r="IS290" i="14609"/>
  <c r="IT290" i="14609"/>
  <c r="IU290" i="14609"/>
  <c r="IV290" i="14609"/>
  <c r="A289" i="14609"/>
  <c r="B289" i="14609"/>
  <c r="C289" i="14609"/>
  <c r="D289" i="14609"/>
  <c r="E289" i="14609"/>
  <c r="F289" i="14609"/>
  <c r="G289" i="14609"/>
  <c r="H289" i="14609"/>
  <c r="I289" i="14609"/>
  <c r="J289" i="14609"/>
  <c r="K289" i="14609"/>
  <c r="L289" i="14609"/>
  <c r="M289" i="14609"/>
  <c r="N289" i="14609"/>
  <c r="O289" i="14609"/>
  <c r="P289" i="14609"/>
  <c r="Q289" i="14609"/>
  <c r="R289" i="14609"/>
  <c r="S289" i="14609"/>
  <c r="T289" i="14609"/>
  <c r="U289" i="14609"/>
  <c r="V289" i="14609"/>
  <c r="W289" i="14609"/>
  <c r="X289" i="14609"/>
  <c r="Y289" i="14609"/>
  <c r="Z289" i="14609"/>
  <c r="AA289" i="14609"/>
  <c r="AB289" i="14609"/>
  <c r="AC289" i="14609"/>
  <c r="AD289" i="14609"/>
  <c r="AE289" i="14609"/>
  <c r="AF289" i="14609"/>
  <c r="AG289" i="14609"/>
  <c r="AH289" i="14609"/>
  <c r="AI289" i="14609"/>
  <c r="AJ289" i="14609"/>
  <c r="AK289" i="14609"/>
  <c r="AL289" i="14609"/>
  <c r="AM289" i="14609"/>
  <c r="AN289" i="14609"/>
  <c r="AO289" i="14609"/>
  <c r="AP289" i="14609"/>
  <c r="AQ289" i="14609"/>
  <c r="AR289" i="14609"/>
  <c r="AS289" i="14609"/>
  <c r="AT289" i="14609"/>
  <c r="AU289" i="14609"/>
  <c r="AV289" i="14609"/>
  <c r="AW289" i="14609"/>
  <c r="AX289" i="14609"/>
  <c r="AY289" i="14609"/>
  <c r="AZ289" i="14609"/>
  <c r="BA289" i="14609"/>
  <c r="BB289" i="14609"/>
  <c r="BC289" i="14609"/>
  <c r="BD289" i="14609"/>
  <c r="BE289" i="14609"/>
  <c r="BF289" i="14609"/>
  <c r="BG289" i="14609"/>
  <c r="BH289" i="14609"/>
  <c r="BI289" i="14609"/>
  <c r="BJ289" i="14609"/>
  <c r="BK289" i="14609"/>
  <c r="BL289" i="14609"/>
  <c r="BM289" i="14609"/>
  <c r="BN289" i="14609"/>
  <c r="BO289" i="14609"/>
  <c r="BP289" i="14609"/>
  <c r="BQ289" i="14609"/>
  <c r="BR289" i="14609"/>
  <c r="BS289" i="14609"/>
  <c r="BT289" i="14609"/>
  <c r="BU289" i="14609"/>
  <c r="BV289" i="14609"/>
  <c r="BW289" i="14609"/>
  <c r="BX289" i="14609"/>
  <c r="BY289" i="14609"/>
  <c r="BZ289" i="14609"/>
  <c r="CA289" i="14609"/>
  <c r="CB289" i="14609"/>
  <c r="CC289" i="14609"/>
  <c r="CD289" i="14609"/>
  <c r="CE289" i="14609"/>
  <c r="CF289" i="14609"/>
  <c r="CG289" i="14609"/>
  <c r="CH289" i="14609"/>
  <c r="CI289" i="14609"/>
  <c r="CJ289" i="14609"/>
  <c r="CK289" i="14609"/>
  <c r="CL289" i="14609"/>
  <c r="CM289" i="14609"/>
  <c r="CN289" i="14609"/>
  <c r="CO289" i="14609"/>
  <c r="CP289" i="14609"/>
  <c r="CQ289" i="14609"/>
  <c r="CR289" i="14609"/>
  <c r="CS289" i="14609"/>
  <c r="CT289" i="14609"/>
  <c r="CU289" i="14609"/>
  <c r="CV289" i="14609"/>
  <c r="CW289" i="14609"/>
  <c r="CX289" i="14609"/>
  <c r="CY289" i="14609"/>
  <c r="CZ289" i="14609"/>
  <c r="DA289" i="14609"/>
  <c r="DB289" i="14609"/>
  <c r="DC289" i="14609"/>
  <c r="DD289" i="14609"/>
  <c r="DE289" i="14609"/>
  <c r="DF289" i="14609"/>
  <c r="DG289" i="14609"/>
  <c r="DH289" i="14609"/>
  <c r="DI289" i="14609"/>
  <c r="DJ289" i="14609"/>
  <c r="DK289" i="14609"/>
  <c r="DL289" i="14609"/>
  <c r="DM289" i="14609"/>
  <c r="DN289" i="14609"/>
  <c r="DO289" i="14609"/>
  <c r="DP289" i="14609"/>
  <c r="DQ289" i="14609"/>
  <c r="DR289" i="14609"/>
  <c r="DS289" i="14609"/>
  <c r="DT289" i="14609"/>
  <c r="DU289" i="14609"/>
  <c r="DV289" i="14609"/>
  <c r="DW289" i="14609"/>
  <c r="DX289" i="14609"/>
  <c r="DY289" i="14609"/>
  <c r="DZ289" i="14609"/>
  <c r="EA289" i="14609"/>
  <c r="EB289" i="14609"/>
  <c r="EC289" i="14609"/>
  <c r="ED289" i="14609"/>
  <c r="EE289" i="14609"/>
  <c r="EF289" i="14609"/>
  <c r="EG289" i="14609"/>
  <c r="EH289" i="14609"/>
  <c r="EI289" i="14609"/>
  <c r="EJ289" i="14609"/>
  <c r="EK289" i="14609"/>
  <c r="EL289" i="14609"/>
  <c r="EM289" i="14609"/>
  <c r="EN289" i="14609"/>
  <c r="EO289" i="14609"/>
  <c r="EP289" i="14609"/>
  <c r="EQ289" i="14609"/>
  <c r="ER289" i="14609"/>
  <c r="ES289" i="14609"/>
  <c r="ET289" i="14609"/>
  <c r="EU289" i="14609"/>
  <c r="EV289" i="14609"/>
  <c r="EW289" i="14609"/>
  <c r="EX289" i="14609"/>
  <c r="EY289" i="14609"/>
  <c r="EZ289" i="14609"/>
  <c r="FA289" i="14609"/>
  <c r="FB289" i="14609"/>
  <c r="FC289" i="14609"/>
  <c r="FD289" i="14609"/>
  <c r="FE289" i="14609"/>
  <c r="FF289" i="14609"/>
  <c r="FG289" i="14609"/>
  <c r="FH289" i="14609"/>
  <c r="FI289" i="14609"/>
  <c r="FJ289" i="14609"/>
  <c r="FK289" i="14609"/>
  <c r="FL289" i="14609"/>
  <c r="FM289" i="14609"/>
  <c r="FN289" i="14609"/>
  <c r="FO289" i="14609"/>
  <c r="FP289" i="14609"/>
  <c r="FQ289" i="14609"/>
  <c r="FR289" i="14609"/>
  <c r="FS289" i="14609"/>
  <c r="FT289" i="14609"/>
  <c r="FU289" i="14609"/>
  <c r="FV289" i="14609"/>
  <c r="FW289" i="14609"/>
  <c r="FX289" i="14609"/>
  <c r="FY289" i="14609"/>
  <c r="FZ289" i="14609"/>
  <c r="GA289" i="14609"/>
  <c r="GB289" i="14609"/>
  <c r="GC289" i="14609"/>
  <c r="GD289" i="14609"/>
  <c r="GE289" i="14609"/>
  <c r="GF289" i="14609"/>
  <c r="GG289" i="14609"/>
  <c r="GH289" i="14609"/>
  <c r="GI289" i="14609"/>
  <c r="GJ289" i="14609"/>
  <c r="GK289" i="14609"/>
  <c r="GL289" i="14609"/>
  <c r="GM289" i="14609"/>
  <c r="GN289" i="14609"/>
  <c r="GO289" i="14609"/>
  <c r="GP289" i="14609"/>
  <c r="GQ289" i="14609"/>
  <c r="GR289" i="14609"/>
  <c r="GS289" i="14609"/>
  <c r="GT289" i="14609"/>
  <c r="GU289" i="14609"/>
  <c r="GV289" i="14609"/>
  <c r="GW289" i="14609"/>
  <c r="GX289" i="14609"/>
  <c r="GY289" i="14609"/>
  <c r="GZ289" i="14609"/>
  <c r="HA289" i="14609"/>
  <c r="HB289" i="14609"/>
  <c r="HC289" i="14609"/>
  <c r="HD289" i="14609"/>
  <c r="HE289" i="14609"/>
  <c r="HF289" i="14609"/>
  <c r="HG289" i="14609"/>
  <c r="HH289" i="14609"/>
  <c r="HI289" i="14609"/>
  <c r="HJ289" i="14609"/>
  <c r="HK289" i="14609"/>
  <c r="HL289" i="14609"/>
  <c r="HM289" i="14609"/>
  <c r="HN289" i="14609"/>
  <c r="HO289" i="14609"/>
  <c r="HP289" i="14609"/>
  <c r="HQ289" i="14609"/>
  <c r="HR289" i="14609"/>
  <c r="HS289" i="14609"/>
  <c r="HT289" i="14609"/>
  <c r="HU289" i="14609"/>
  <c r="HV289" i="14609"/>
  <c r="HW289" i="14609"/>
  <c r="HX289" i="14609"/>
  <c r="HY289" i="14609"/>
  <c r="HZ289" i="14609"/>
  <c r="IA289" i="14609"/>
  <c r="IB289" i="14609"/>
  <c r="IC289" i="14609"/>
  <c r="ID289" i="14609"/>
  <c r="IE289" i="14609"/>
  <c r="IF289" i="14609"/>
  <c r="IG289" i="14609"/>
  <c r="IH289" i="14609"/>
  <c r="II289" i="14609"/>
  <c r="IJ289" i="14609"/>
  <c r="IK289" i="14609"/>
  <c r="IL289" i="14609"/>
  <c r="IM289" i="14609"/>
  <c r="IN289" i="14609"/>
  <c r="IO289" i="14609"/>
  <c r="IP289" i="14609"/>
  <c r="IQ289" i="14609"/>
  <c r="IR289" i="14609"/>
  <c r="IS289" i="14609"/>
  <c r="IT289" i="14609"/>
  <c r="IU289" i="14609"/>
  <c r="IV289" i="14609"/>
  <c r="A288" i="14609"/>
  <c r="B288" i="14609"/>
  <c r="C288" i="14609"/>
  <c r="D288" i="14609"/>
  <c r="E288" i="14609"/>
  <c r="F288" i="14609"/>
  <c r="G288" i="14609"/>
  <c r="H288" i="14609"/>
  <c r="I288" i="14609"/>
  <c r="J288" i="14609"/>
  <c r="K288" i="14609"/>
  <c r="L288" i="14609"/>
  <c r="M288" i="14609"/>
  <c r="N288" i="14609"/>
  <c r="O288" i="14609"/>
  <c r="P288" i="14609"/>
  <c r="Q288" i="14609"/>
  <c r="R288" i="14609"/>
  <c r="S288" i="14609"/>
  <c r="T288" i="14609"/>
  <c r="U288" i="14609"/>
  <c r="V288" i="14609"/>
  <c r="W288" i="14609"/>
  <c r="X288" i="14609"/>
  <c r="Y288" i="14609"/>
  <c r="Z288" i="14609"/>
  <c r="AA288" i="14609"/>
  <c r="AB288" i="14609"/>
  <c r="AC288" i="14609"/>
  <c r="AD288" i="14609"/>
  <c r="AE288" i="14609"/>
  <c r="AF288" i="14609"/>
  <c r="AG288" i="14609"/>
  <c r="AH288" i="14609"/>
  <c r="AI288" i="14609"/>
  <c r="AJ288" i="14609"/>
  <c r="AK288" i="14609"/>
  <c r="AL288" i="14609"/>
  <c r="AM288" i="14609"/>
  <c r="AN288" i="14609"/>
  <c r="AO288" i="14609"/>
  <c r="AP288" i="14609"/>
  <c r="AQ288" i="14609"/>
  <c r="AR288" i="14609"/>
  <c r="AS288" i="14609"/>
  <c r="AT288" i="14609"/>
  <c r="AU288" i="14609"/>
  <c r="AV288" i="14609"/>
  <c r="AW288" i="14609"/>
  <c r="AX288" i="14609"/>
  <c r="AY288" i="14609"/>
  <c r="AZ288" i="14609"/>
  <c r="BA288" i="14609"/>
  <c r="BB288" i="14609"/>
  <c r="BC288" i="14609"/>
  <c r="BD288" i="14609"/>
  <c r="BE288" i="14609"/>
  <c r="BF288" i="14609"/>
  <c r="BG288" i="14609"/>
  <c r="BH288" i="14609"/>
  <c r="BI288" i="14609"/>
  <c r="BJ288" i="14609"/>
  <c r="BK288" i="14609"/>
  <c r="BL288" i="14609"/>
  <c r="BM288" i="14609"/>
  <c r="BN288" i="14609"/>
  <c r="BO288" i="14609"/>
  <c r="BP288" i="14609"/>
  <c r="BQ288" i="14609"/>
  <c r="BR288" i="14609"/>
  <c r="BS288" i="14609"/>
  <c r="BT288" i="14609"/>
  <c r="BU288" i="14609"/>
  <c r="BV288" i="14609"/>
  <c r="BW288" i="14609"/>
  <c r="BX288" i="14609"/>
  <c r="BY288" i="14609"/>
  <c r="BZ288" i="14609"/>
  <c r="CA288" i="14609"/>
  <c r="CB288" i="14609"/>
  <c r="CC288" i="14609"/>
  <c r="CD288" i="14609"/>
  <c r="CE288" i="14609"/>
  <c r="CF288" i="14609"/>
  <c r="CG288" i="14609"/>
  <c r="CH288" i="14609"/>
  <c r="CI288" i="14609"/>
  <c r="CJ288" i="14609"/>
  <c r="CK288" i="14609"/>
  <c r="CL288" i="14609"/>
  <c r="CM288" i="14609"/>
  <c r="CN288" i="14609"/>
  <c r="CO288" i="14609"/>
  <c r="CP288" i="14609"/>
  <c r="CQ288" i="14609"/>
  <c r="CR288" i="14609"/>
  <c r="CS288" i="14609"/>
  <c r="CT288" i="14609"/>
  <c r="CU288" i="14609"/>
  <c r="CV288" i="14609"/>
  <c r="CW288" i="14609"/>
  <c r="CX288" i="14609"/>
  <c r="CY288" i="14609"/>
  <c r="CZ288" i="14609"/>
  <c r="DA288" i="14609"/>
  <c r="DB288" i="14609"/>
  <c r="DC288" i="14609"/>
  <c r="DD288" i="14609"/>
  <c r="DE288" i="14609"/>
  <c r="DF288" i="14609"/>
  <c r="DG288" i="14609"/>
  <c r="DH288" i="14609"/>
  <c r="DI288" i="14609"/>
  <c r="DJ288" i="14609"/>
  <c r="DK288" i="14609"/>
  <c r="DL288" i="14609"/>
  <c r="DM288" i="14609"/>
  <c r="DN288" i="14609"/>
  <c r="DO288" i="14609"/>
  <c r="DP288" i="14609"/>
  <c r="DQ288" i="14609"/>
  <c r="DR288" i="14609"/>
  <c r="DS288" i="14609"/>
  <c r="DT288" i="14609"/>
  <c r="DU288" i="14609"/>
  <c r="DV288" i="14609"/>
  <c r="DW288" i="14609"/>
  <c r="DX288" i="14609"/>
  <c r="DY288" i="14609"/>
  <c r="DZ288" i="14609"/>
  <c r="EA288" i="14609"/>
  <c r="EB288" i="14609"/>
  <c r="EC288" i="14609"/>
  <c r="ED288" i="14609"/>
  <c r="EE288" i="14609"/>
  <c r="EF288" i="14609"/>
  <c r="EG288" i="14609"/>
  <c r="EH288" i="14609"/>
  <c r="EI288" i="14609"/>
  <c r="EJ288" i="14609"/>
  <c r="EK288" i="14609"/>
  <c r="EL288" i="14609"/>
  <c r="EM288" i="14609"/>
  <c r="EN288" i="14609"/>
  <c r="EO288" i="14609"/>
  <c r="EP288" i="14609"/>
  <c r="EQ288" i="14609"/>
  <c r="ER288" i="14609"/>
  <c r="ES288" i="14609"/>
  <c r="ET288" i="14609"/>
  <c r="EU288" i="14609"/>
  <c r="EV288" i="14609"/>
  <c r="EW288" i="14609"/>
  <c r="EX288" i="14609"/>
  <c r="EY288" i="14609"/>
  <c r="EZ288" i="14609"/>
  <c r="FA288" i="14609"/>
  <c r="FB288" i="14609"/>
  <c r="FC288" i="14609"/>
  <c r="FD288" i="14609"/>
  <c r="FE288" i="14609"/>
  <c r="FF288" i="14609"/>
  <c r="FG288" i="14609"/>
  <c r="FH288" i="14609"/>
  <c r="FI288" i="14609"/>
  <c r="FJ288" i="14609"/>
  <c r="FK288" i="14609"/>
  <c r="FL288" i="14609"/>
  <c r="FM288" i="14609"/>
  <c r="FN288" i="14609"/>
  <c r="FO288" i="14609"/>
  <c r="FP288" i="14609"/>
  <c r="FQ288" i="14609"/>
  <c r="FR288" i="14609"/>
  <c r="FS288" i="14609"/>
  <c r="FT288" i="14609"/>
  <c r="FU288" i="14609"/>
  <c r="FV288" i="14609"/>
  <c r="FW288" i="14609"/>
  <c r="FX288" i="14609"/>
  <c r="FY288" i="14609"/>
  <c r="FZ288" i="14609"/>
  <c r="GA288" i="14609"/>
  <c r="GB288" i="14609"/>
  <c r="GC288" i="14609"/>
  <c r="GD288" i="14609"/>
  <c r="GE288" i="14609"/>
  <c r="GF288" i="14609"/>
  <c r="GG288" i="14609"/>
  <c r="GH288" i="14609"/>
  <c r="GI288" i="14609"/>
  <c r="GJ288" i="14609"/>
  <c r="GK288" i="14609"/>
  <c r="GL288" i="14609"/>
  <c r="GM288" i="14609"/>
  <c r="GN288" i="14609"/>
  <c r="GO288" i="14609"/>
  <c r="GP288" i="14609"/>
  <c r="GQ288" i="14609"/>
  <c r="GR288" i="14609"/>
  <c r="GS288" i="14609"/>
  <c r="GT288" i="14609"/>
  <c r="GU288" i="14609"/>
  <c r="GV288" i="14609"/>
  <c r="GW288" i="14609"/>
  <c r="GX288" i="14609"/>
  <c r="GY288" i="14609"/>
  <c r="GZ288" i="14609"/>
  <c r="HA288" i="14609"/>
  <c r="HB288" i="14609"/>
  <c r="HC288" i="14609"/>
  <c r="HD288" i="14609"/>
  <c r="HE288" i="14609"/>
  <c r="HF288" i="14609"/>
  <c r="HG288" i="14609"/>
  <c r="HH288" i="14609"/>
  <c r="HI288" i="14609"/>
  <c r="HJ288" i="14609"/>
  <c r="HK288" i="14609"/>
  <c r="HL288" i="14609"/>
  <c r="HM288" i="14609"/>
  <c r="HN288" i="14609"/>
  <c r="HO288" i="14609"/>
  <c r="HP288" i="14609"/>
  <c r="HQ288" i="14609"/>
  <c r="HR288" i="14609"/>
  <c r="HS288" i="14609"/>
  <c r="HT288" i="14609"/>
  <c r="HU288" i="14609"/>
  <c r="HV288" i="14609"/>
  <c r="HW288" i="14609"/>
  <c r="HX288" i="14609"/>
  <c r="HY288" i="14609"/>
  <c r="HZ288" i="14609"/>
  <c r="IA288" i="14609"/>
  <c r="IB288" i="14609"/>
  <c r="IC288" i="14609"/>
  <c r="ID288" i="14609"/>
  <c r="IE288" i="14609"/>
  <c r="IF288" i="14609"/>
  <c r="IG288" i="14609"/>
  <c r="IH288" i="14609"/>
  <c r="II288" i="14609"/>
  <c r="IJ288" i="14609"/>
  <c r="IK288" i="14609"/>
  <c r="IL288" i="14609"/>
  <c r="IM288" i="14609"/>
  <c r="IN288" i="14609"/>
  <c r="IO288" i="14609"/>
  <c r="IP288" i="14609"/>
  <c r="IQ288" i="14609"/>
  <c r="IR288" i="14609"/>
  <c r="IS288" i="14609"/>
  <c r="IT288" i="14609"/>
  <c r="IU288" i="14609"/>
  <c r="IV288" i="14609"/>
  <c r="A287" i="14609"/>
  <c r="B287" i="14609"/>
  <c r="C287" i="14609"/>
  <c r="D287" i="14609"/>
  <c r="E287" i="14609"/>
  <c r="F287" i="14609"/>
  <c r="G287" i="14609"/>
  <c r="H287" i="14609"/>
  <c r="I287" i="14609"/>
  <c r="J287" i="14609"/>
  <c r="K287" i="14609"/>
  <c r="L287" i="14609"/>
  <c r="M287" i="14609"/>
  <c r="N287" i="14609"/>
  <c r="O287" i="14609"/>
  <c r="P287" i="14609"/>
  <c r="Q287" i="14609"/>
  <c r="R287" i="14609"/>
  <c r="S287" i="14609"/>
  <c r="T287" i="14609"/>
  <c r="U287" i="14609"/>
  <c r="V287" i="14609"/>
  <c r="W287" i="14609"/>
  <c r="X287" i="14609"/>
  <c r="Y287" i="14609"/>
  <c r="Z287" i="14609"/>
  <c r="AA287" i="14609"/>
  <c r="AB287" i="14609"/>
  <c r="AC287" i="14609"/>
  <c r="AD287" i="14609"/>
  <c r="AE287" i="14609"/>
  <c r="AF287" i="14609"/>
  <c r="AG287" i="14609"/>
  <c r="AH287" i="14609"/>
  <c r="AI287" i="14609"/>
  <c r="AJ287" i="14609"/>
  <c r="AK287" i="14609"/>
  <c r="AL287" i="14609"/>
  <c r="AM287" i="14609"/>
  <c r="AN287" i="14609"/>
  <c r="AO287" i="14609"/>
  <c r="AP287" i="14609"/>
  <c r="AQ287" i="14609"/>
  <c r="AR287" i="14609"/>
  <c r="AS287" i="14609"/>
  <c r="AT287" i="14609"/>
  <c r="AU287" i="14609"/>
  <c r="AV287" i="14609"/>
  <c r="AW287" i="14609"/>
  <c r="AX287" i="14609"/>
  <c r="AY287" i="14609"/>
  <c r="AZ287" i="14609"/>
  <c r="BA287" i="14609"/>
  <c r="BB287" i="14609"/>
  <c r="BC287" i="14609"/>
  <c r="BD287" i="14609"/>
  <c r="BE287" i="14609"/>
  <c r="BF287" i="14609"/>
  <c r="BG287" i="14609"/>
  <c r="BH287" i="14609"/>
  <c r="BI287" i="14609"/>
  <c r="BJ287" i="14609"/>
  <c r="BK287" i="14609"/>
  <c r="BL287" i="14609"/>
  <c r="BM287" i="14609"/>
  <c r="BN287" i="14609"/>
  <c r="BO287" i="14609"/>
  <c r="BP287" i="14609"/>
  <c r="BQ287" i="14609"/>
  <c r="BR287" i="14609"/>
  <c r="BS287" i="14609"/>
  <c r="BT287" i="14609"/>
  <c r="BU287" i="14609"/>
  <c r="BV287" i="14609"/>
  <c r="BW287" i="14609"/>
  <c r="BX287" i="14609"/>
  <c r="BY287" i="14609"/>
  <c r="BZ287" i="14609"/>
  <c r="CA287" i="14609"/>
  <c r="CB287" i="14609"/>
  <c r="CC287" i="14609"/>
  <c r="CD287" i="14609"/>
  <c r="CE287" i="14609"/>
  <c r="CF287" i="14609"/>
  <c r="CG287" i="14609"/>
  <c r="CH287" i="14609"/>
  <c r="CI287" i="14609"/>
  <c r="CJ287" i="14609"/>
  <c r="CK287" i="14609"/>
  <c r="CL287" i="14609"/>
  <c r="CM287" i="14609"/>
  <c r="CN287" i="14609"/>
  <c r="CO287" i="14609"/>
  <c r="CP287" i="14609"/>
  <c r="CQ287" i="14609"/>
  <c r="CR287" i="14609"/>
  <c r="CS287" i="14609"/>
  <c r="CT287" i="14609"/>
  <c r="CU287" i="14609"/>
  <c r="CV287" i="14609"/>
  <c r="CW287" i="14609"/>
  <c r="CX287" i="14609"/>
  <c r="CY287" i="14609"/>
  <c r="CZ287" i="14609"/>
  <c r="DA287" i="14609"/>
  <c r="DB287" i="14609"/>
  <c r="DC287" i="14609"/>
  <c r="DD287" i="14609"/>
  <c r="DE287" i="14609"/>
  <c r="DF287" i="14609"/>
  <c r="DG287" i="14609"/>
  <c r="DH287" i="14609"/>
  <c r="DI287" i="14609"/>
  <c r="DJ287" i="14609"/>
  <c r="DK287" i="14609"/>
  <c r="DL287" i="14609"/>
  <c r="DM287" i="14609"/>
  <c r="DN287" i="14609"/>
  <c r="DO287" i="14609"/>
  <c r="DP287" i="14609"/>
  <c r="DQ287" i="14609"/>
  <c r="DR287" i="14609"/>
  <c r="DS287" i="14609"/>
  <c r="DT287" i="14609"/>
  <c r="DU287" i="14609"/>
  <c r="DV287" i="14609"/>
  <c r="DW287" i="14609"/>
  <c r="DX287" i="14609"/>
  <c r="DY287" i="14609"/>
  <c r="DZ287" i="14609"/>
  <c r="EA287" i="14609"/>
  <c r="EB287" i="14609"/>
  <c r="EC287" i="14609"/>
  <c r="ED287" i="14609"/>
  <c r="EE287" i="14609"/>
  <c r="EF287" i="14609"/>
  <c r="EG287" i="14609"/>
  <c r="EH287" i="14609"/>
  <c r="EI287" i="14609"/>
  <c r="EJ287" i="14609"/>
  <c r="EK287" i="14609"/>
  <c r="EL287" i="14609"/>
  <c r="EM287" i="14609"/>
  <c r="EN287" i="14609"/>
  <c r="EO287" i="14609"/>
  <c r="EP287" i="14609"/>
  <c r="EQ287" i="14609"/>
  <c r="ER287" i="14609"/>
  <c r="ES287" i="14609"/>
  <c r="ET287" i="14609"/>
  <c r="EU287" i="14609"/>
  <c r="EV287" i="14609"/>
  <c r="EW287" i="14609"/>
  <c r="EX287" i="14609"/>
  <c r="EY287" i="14609"/>
  <c r="EZ287" i="14609"/>
  <c r="FA287" i="14609"/>
  <c r="FB287" i="14609"/>
  <c r="FC287" i="14609"/>
  <c r="FD287" i="14609"/>
  <c r="FE287" i="14609"/>
  <c r="FF287" i="14609"/>
  <c r="FG287" i="14609"/>
  <c r="FH287" i="14609"/>
  <c r="FI287" i="14609"/>
  <c r="FJ287" i="14609"/>
  <c r="FK287" i="14609"/>
  <c r="FL287" i="14609"/>
  <c r="FM287" i="14609"/>
  <c r="FN287" i="14609"/>
  <c r="FO287" i="14609"/>
  <c r="FP287" i="14609"/>
  <c r="FQ287" i="14609"/>
  <c r="FR287" i="14609"/>
  <c r="FS287" i="14609"/>
  <c r="FT287" i="14609"/>
  <c r="FU287" i="14609"/>
  <c r="FV287" i="14609"/>
  <c r="FW287" i="14609"/>
  <c r="FX287" i="14609"/>
  <c r="FY287" i="14609"/>
  <c r="FZ287" i="14609"/>
  <c r="GA287" i="14609"/>
  <c r="GB287" i="14609"/>
  <c r="GC287" i="14609"/>
  <c r="GD287" i="14609"/>
  <c r="GE287" i="14609"/>
  <c r="GF287" i="14609"/>
  <c r="GG287" i="14609"/>
  <c r="GH287" i="14609"/>
  <c r="GI287" i="14609"/>
  <c r="GJ287" i="14609"/>
  <c r="GK287" i="14609"/>
  <c r="GL287" i="14609"/>
  <c r="GM287" i="14609"/>
  <c r="GN287" i="14609"/>
  <c r="GO287" i="14609"/>
  <c r="GP287" i="14609"/>
  <c r="GQ287" i="14609"/>
  <c r="GR287" i="14609"/>
  <c r="GS287" i="14609"/>
  <c r="GT287" i="14609"/>
  <c r="GU287" i="14609"/>
  <c r="GV287" i="14609"/>
  <c r="GW287" i="14609"/>
  <c r="GX287" i="14609"/>
  <c r="GY287" i="14609"/>
  <c r="GZ287" i="14609"/>
  <c r="HA287" i="14609"/>
  <c r="HB287" i="14609"/>
  <c r="HC287" i="14609"/>
  <c r="HD287" i="14609"/>
  <c r="HE287" i="14609"/>
  <c r="HF287" i="14609"/>
  <c r="HG287" i="14609"/>
  <c r="HH287" i="14609"/>
  <c r="HI287" i="14609"/>
  <c r="HJ287" i="14609"/>
  <c r="HK287" i="14609"/>
  <c r="HL287" i="14609"/>
  <c r="HM287" i="14609"/>
  <c r="HN287" i="14609"/>
  <c r="HO287" i="14609"/>
  <c r="HP287" i="14609"/>
  <c r="HQ287" i="14609"/>
  <c r="HR287" i="14609"/>
  <c r="HS287" i="14609"/>
  <c r="HT287" i="14609"/>
  <c r="HU287" i="14609"/>
  <c r="HV287" i="14609"/>
  <c r="HW287" i="14609"/>
  <c r="HX287" i="14609"/>
  <c r="HY287" i="14609"/>
  <c r="HZ287" i="14609"/>
  <c r="IA287" i="14609"/>
  <c r="IB287" i="14609"/>
  <c r="IC287" i="14609"/>
  <c r="ID287" i="14609"/>
  <c r="IE287" i="14609"/>
  <c r="IF287" i="14609"/>
  <c r="IG287" i="14609"/>
  <c r="IH287" i="14609"/>
  <c r="II287" i="14609"/>
  <c r="IJ287" i="14609"/>
  <c r="IK287" i="14609"/>
  <c r="IL287" i="14609"/>
  <c r="IM287" i="14609"/>
  <c r="IN287" i="14609"/>
  <c r="IO287" i="14609"/>
  <c r="IP287" i="14609"/>
  <c r="IQ287" i="14609"/>
  <c r="IR287" i="14609"/>
  <c r="IS287" i="14609"/>
  <c r="IT287" i="14609"/>
  <c r="IU287" i="14609"/>
  <c r="IV287" i="14609"/>
  <c r="A286" i="14609"/>
  <c r="B286" i="14609"/>
  <c r="C286" i="14609"/>
  <c r="D286" i="14609"/>
  <c r="E286" i="14609"/>
  <c r="F286" i="14609"/>
  <c r="G286" i="14609"/>
  <c r="H286" i="14609"/>
  <c r="I286" i="14609"/>
  <c r="J286" i="14609"/>
  <c r="K286" i="14609"/>
  <c r="L286" i="14609"/>
  <c r="M286" i="14609"/>
  <c r="N286" i="14609"/>
  <c r="O286" i="14609"/>
  <c r="P286" i="14609"/>
  <c r="Q286" i="14609"/>
  <c r="R286" i="14609"/>
  <c r="S286" i="14609"/>
  <c r="T286" i="14609"/>
  <c r="U286" i="14609"/>
  <c r="V286" i="14609"/>
  <c r="W286" i="14609"/>
  <c r="X286" i="14609"/>
  <c r="Y286" i="14609"/>
  <c r="Z286" i="14609"/>
  <c r="AA286" i="14609"/>
  <c r="AB286" i="14609"/>
  <c r="AC286" i="14609"/>
  <c r="AD286" i="14609"/>
  <c r="AE286" i="14609"/>
  <c r="AF286" i="14609"/>
  <c r="AG286" i="14609"/>
  <c r="AH286" i="14609"/>
  <c r="AI286" i="14609"/>
  <c r="AJ286" i="14609"/>
  <c r="AK286" i="14609"/>
  <c r="AL286" i="14609"/>
  <c r="AM286" i="14609"/>
  <c r="AN286" i="14609"/>
  <c r="AO286" i="14609"/>
  <c r="AP286" i="14609"/>
  <c r="AQ286" i="14609"/>
  <c r="AR286" i="14609"/>
  <c r="AS286" i="14609"/>
  <c r="AT286" i="14609"/>
  <c r="AU286" i="14609"/>
  <c r="AV286" i="14609"/>
  <c r="AW286" i="14609"/>
  <c r="AX286" i="14609"/>
  <c r="AY286" i="14609"/>
  <c r="AZ286" i="14609"/>
  <c r="BA286" i="14609"/>
  <c r="BB286" i="14609"/>
  <c r="BC286" i="14609"/>
  <c r="BD286" i="14609"/>
  <c r="BE286" i="14609"/>
  <c r="BF286" i="14609"/>
  <c r="BG286" i="14609"/>
  <c r="BH286" i="14609"/>
  <c r="BI286" i="14609"/>
  <c r="BJ286" i="14609"/>
  <c r="BK286" i="14609"/>
  <c r="BL286" i="14609"/>
  <c r="BM286" i="14609"/>
  <c r="BN286" i="14609"/>
  <c r="BO286" i="14609"/>
  <c r="BP286" i="14609"/>
  <c r="BQ286" i="14609"/>
  <c r="BR286" i="14609"/>
  <c r="BS286" i="14609"/>
  <c r="BT286" i="14609"/>
  <c r="BU286" i="14609"/>
  <c r="BV286" i="14609"/>
  <c r="BW286" i="14609"/>
  <c r="BX286" i="14609"/>
  <c r="BY286" i="14609"/>
  <c r="BZ286" i="14609"/>
  <c r="CA286" i="14609"/>
  <c r="CB286" i="14609"/>
  <c r="CC286" i="14609"/>
  <c r="CD286" i="14609"/>
  <c r="CE286" i="14609"/>
  <c r="CF286" i="14609"/>
  <c r="CG286" i="14609"/>
  <c r="CH286" i="14609"/>
  <c r="CI286" i="14609"/>
  <c r="CJ286" i="14609"/>
  <c r="CK286" i="14609"/>
  <c r="CL286" i="14609"/>
  <c r="CM286" i="14609"/>
  <c r="CN286" i="14609"/>
  <c r="CO286" i="14609"/>
  <c r="CP286" i="14609"/>
  <c r="CQ286" i="14609"/>
  <c r="CR286" i="14609"/>
  <c r="CS286" i="14609"/>
  <c r="CT286" i="14609"/>
  <c r="CU286" i="14609"/>
  <c r="CV286" i="14609"/>
  <c r="CW286" i="14609"/>
  <c r="CX286" i="14609"/>
  <c r="CY286" i="14609"/>
  <c r="CZ286" i="14609"/>
  <c r="DA286" i="14609"/>
  <c r="DB286" i="14609"/>
  <c r="DC286" i="14609"/>
  <c r="DD286" i="14609"/>
  <c r="DE286" i="14609"/>
  <c r="DF286" i="14609"/>
  <c r="DG286" i="14609"/>
  <c r="DH286" i="14609"/>
  <c r="DI286" i="14609"/>
  <c r="DJ286" i="14609"/>
  <c r="DK286" i="14609"/>
  <c r="DL286" i="14609"/>
  <c r="DM286" i="14609"/>
  <c r="DN286" i="14609"/>
  <c r="DO286" i="14609"/>
  <c r="DP286" i="14609"/>
  <c r="DQ286" i="14609"/>
  <c r="DR286" i="14609"/>
  <c r="DS286" i="14609"/>
  <c r="DT286" i="14609"/>
  <c r="DU286" i="14609"/>
  <c r="DV286" i="14609"/>
  <c r="DW286" i="14609"/>
  <c r="DX286" i="14609"/>
  <c r="DY286" i="14609"/>
  <c r="DZ286" i="14609"/>
  <c r="EA286" i="14609"/>
  <c r="EB286" i="14609"/>
  <c r="EC286" i="14609"/>
  <c r="ED286" i="14609"/>
  <c r="EE286" i="14609"/>
  <c r="EF286" i="14609"/>
  <c r="EG286" i="14609"/>
  <c r="EH286" i="14609"/>
  <c r="EI286" i="14609"/>
  <c r="EJ286" i="14609"/>
  <c r="EK286" i="14609"/>
  <c r="EL286" i="14609"/>
  <c r="EM286" i="14609"/>
  <c r="EN286" i="14609"/>
  <c r="EO286" i="14609"/>
  <c r="EP286" i="14609"/>
  <c r="EQ286" i="14609"/>
  <c r="ER286" i="14609"/>
  <c r="ES286" i="14609"/>
  <c r="ET286" i="14609"/>
  <c r="EU286" i="14609"/>
  <c r="EV286" i="14609"/>
  <c r="EW286" i="14609"/>
  <c r="EX286" i="14609"/>
  <c r="EY286" i="14609"/>
  <c r="EZ286" i="14609"/>
  <c r="FA286" i="14609"/>
  <c r="FB286" i="14609"/>
  <c r="FC286" i="14609"/>
  <c r="FD286" i="14609"/>
  <c r="FE286" i="14609"/>
  <c r="FF286" i="14609"/>
  <c r="FG286" i="14609"/>
  <c r="FH286" i="14609"/>
  <c r="FI286" i="14609"/>
  <c r="FJ286" i="14609"/>
  <c r="FK286" i="14609"/>
  <c r="FL286" i="14609"/>
  <c r="FM286" i="14609"/>
  <c r="FN286" i="14609"/>
  <c r="FO286" i="14609"/>
  <c r="FP286" i="14609"/>
  <c r="FQ286" i="14609"/>
  <c r="FR286" i="14609"/>
  <c r="FS286" i="14609"/>
  <c r="FT286" i="14609"/>
  <c r="FU286" i="14609"/>
  <c r="FV286" i="14609"/>
  <c r="FW286" i="14609"/>
  <c r="FX286" i="14609"/>
  <c r="FY286" i="14609"/>
  <c r="FZ286" i="14609"/>
  <c r="GA286" i="14609"/>
  <c r="GB286" i="14609"/>
  <c r="GC286" i="14609"/>
  <c r="GD286" i="14609"/>
  <c r="GE286" i="14609"/>
  <c r="GF286" i="14609"/>
  <c r="GG286" i="14609"/>
  <c r="GH286" i="14609"/>
  <c r="GI286" i="14609"/>
  <c r="GJ286" i="14609"/>
  <c r="GK286" i="14609"/>
  <c r="GL286" i="14609"/>
  <c r="GM286" i="14609"/>
  <c r="GN286" i="14609"/>
  <c r="GO286" i="14609"/>
  <c r="GP286" i="14609"/>
  <c r="GQ286" i="14609"/>
  <c r="GR286" i="14609"/>
  <c r="GS286" i="14609"/>
  <c r="GT286" i="14609"/>
  <c r="GU286" i="14609"/>
  <c r="GV286" i="14609"/>
  <c r="GW286" i="14609"/>
  <c r="GX286" i="14609"/>
  <c r="GY286" i="14609"/>
  <c r="GZ286" i="14609"/>
  <c r="HA286" i="14609"/>
  <c r="HB286" i="14609"/>
  <c r="HC286" i="14609"/>
  <c r="HD286" i="14609"/>
  <c r="HE286" i="14609"/>
  <c r="HF286" i="14609"/>
  <c r="HG286" i="14609"/>
  <c r="HH286" i="14609"/>
  <c r="HI286" i="14609"/>
  <c r="HJ286" i="14609"/>
  <c r="HK286" i="14609"/>
  <c r="HL286" i="14609"/>
  <c r="HM286" i="14609"/>
  <c r="HN286" i="14609"/>
  <c r="HO286" i="14609"/>
  <c r="HP286" i="14609"/>
  <c r="HQ286" i="14609"/>
  <c r="HR286" i="14609"/>
  <c r="HS286" i="14609"/>
  <c r="HT286" i="14609"/>
  <c r="HU286" i="14609"/>
  <c r="HV286" i="14609"/>
  <c r="HW286" i="14609"/>
  <c r="HX286" i="14609"/>
  <c r="HY286" i="14609"/>
  <c r="HZ286" i="14609"/>
  <c r="IA286" i="14609"/>
  <c r="IB286" i="14609"/>
  <c r="IC286" i="14609"/>
  <c r="ID286" i="14609"/>
  <c r="IE286" i="14609"/>
  <c r="IF286" i="14609"/>
  <c r="IG286" i="14609"/>
  <c r="IH286" i="14609"/>
  <c r="II286" i="14609"/>
  <c r="IJ286" i="14609"/>
  <c r="IK286" i="14609"/>
  <c r="IL286" i="14609"/>
  <c r="IM286" i="14609"/>
  <c r="IN286" i="14609"/>
  <c r="IO286" i="14609"/>
  <c r="IP286" i="14609"/>
  <c r="IQ286" i="14609"/>
  <c r="IR286" i="14609"/>
  <c r="IS286" i="14609"/>
  <c r="IT286" i="14609"/>
  <c r="IU286" i="14609"/>
  <c r="IV286" i="14609"/>
  <c r="A285" i="14609"/>
  <c r="B285" i="14609"/>
  <c r="C285" i="14609"/>
  <c r="D285" i="14609"/>
  <c r="E285" i="14609"/>
  <c r="F285" i="14609"/>
  <c r="G285" i="14609"/>
  <c r="H285" i="14609"/>
  <c r="I285" i="14609"/>
  <c r="J285" i="14609"/>
  <c r="K285" i="14609"/>
  <c r="L285" i="14609"/>
  <c r="M285" i="14609"/>
  <c r="N285" i="14609"/>
  <c r="O285" i="14609"/>
  <c r="P285" i="14609"/>
  <c r="Q285" i="14609"/>
  <c r="R285" i="14609"/>
  <c r="S285" i="14609"/>
  <c r="T285" i="14609"/>
  <c r="U285" i="14609"/>
  <c r="V285" i="14609"/>
  <c r="W285" i="14609"/>
  <c r="X285" i="14609"/>
  <c r="Y285" i="14609"/>
  <c r="Z285" i="14609"/>
  <c r="AA285" i="14609"/>
  <c r="AB285" i="14609"/>
  <c r="AC285" i="14609"/>
  <c r="AD285" i="14609"/>
  <c r="AE285" i="14609"/>
  <c r="AF285" i="14609"/>
  <c r="AG285" i="14609"/>
  <c r="AH285" i="14609"/>
  <c r="AI285" i="14609"/>
  <c r="AJ285" i="14609"/>
  <c r="AK285" i="14609"/>
  <c r="AL285" i="14609"/>
  <c r="AM285" i="14609"/>
  <c r="AN285" i="14609"/>
  <c r="AO285" i="14609"/>
  <c r="AP285" i="14609"/>
  <c r="AQ285" i="14609"/>
  <c r="AR285" i="14609"/>
  <c r="AS285" i="14609"/>
  <c r="AT285" i="14609"/>
  <c r="AU285" i="14609"/>
  <c r="AV285" i="14609"/>
  <c r="AW285" i="14609"/>
  <c r="AX285" i="14609"/>
  <c r="AY285" i="14609"/>
  <c r="AZ285" i="14609"/>
  <c r="BA285" i="14609"/>
  <c r="BB285" i="14609"/>
  <c r="BC285" i="14609"/>
  <c r="BD285" i="14609"/>
  <c r="BE285" i="14609"/>
  <c r="BF285" i="14609"/>
  <c r="BG285" i="14609"/>
  <c r="BH285" i="14609"/>
  <c r="BI285" i="14609"/>
  <c r="BJ285" i="14609"/>
  <c r="BK285" i="14609"/>
  <c r="BL285" i="14609"/>
  <c r="BM285" i="14609"/>
  <c r="BN285" i="14609"/>
  <c r="BO285" i="14609"/>
  <c r="BP285" i="14609"/>
  <c r="BQ285" i="14609"/>
  <c r="BR285" i="14609"/>
  <c r="BS285" i="14609"/>
  <c r="BT285" i="14609"/>
  <c r="BU285" i="14609"/>
  <c r="BV285" i="14609"/>
  <c r="BW285" i="14609"/>
  <c r="BX285" i="14609"/>
  <c r="BY285" i="14609"/>
  <c r="BZ285" i="14609"/>
  <c r="CA285" i="14609"/>
  <c r="CB285" i="14609"/>
  <c r="CC285" i="14609"/>
  <c r="CD285" i="14609"/>
  <c r="CE285" i="14609"/>
  <c r="CF285" i="14609"/>
  <c r="CG285" i="14609"/>
  <c r="CH285" i="14609"/>
  <c r="CI285" i="14609"/>
  <c r="CJ285" i="14609"/>
  <c r="CK285" i="14609"/>
  <c r="CL285" i="14609"/>
  <c r="CM285" i="14609"/>
  <c r="CN285" i="14609"/>
  <c r="CO285" i="14609"/>
  <c r="CP285" i="14609"/>
  <c r="CQ285" i="14609"/>
  <c r="CR285" i="14609"/>
  <c r="CS285" i="14609"/>
  <c r="CT285" i="14609"/>
  <c r="CU285" i="14609"/>
  <c r="CV285" i="14609"/>
  <c r="CW285" i="14609"/>
  <c r="CX285" i="14609"/>
  <c r="CY285" i="14609"/>
  <c r="CZ285" i="14609"/>
  <c r="DA285" i="14609"/>
  <c r="DB285" i="14609"/>
  <c r="DC285" i="14609"/>
  <c r="DD285" i="14609"/>
  <c r="DE285" i="14609"/>
  <c r="DF285" i="14609"/>
  <c r="DG285" i="14609"/>
  <c r="DH285" i="14609"/>
  <c r="DI285" i="14609"/>
  <c r="DJ285" i="14609"/>
  <c r="DK285" i="14609"/>
  <c r="DL285" i="14609"/>
  <c r="DM285" i="14609"/>
  <c r="DN285" i="14609"/>
  <c r="DO285" i="14609"/>
  <c r="DP285" i="14609"/>
  <c r="DQ285" i="14609"/>
  <c r="DR285" i="14609"/>
  <c r="DS285" i="14609"/>
  <c r="DT285" i="14609"/>
  <c r="DU285" i="14609"/>
  <c r="DV285" i="14609"/>
  <c r="DW285" i="14609"/>
  <c r="DX285" i="14609"/>
  <c r="DY285" i="14609"/>
  <c r="DZ285" i="14609"/>
  <c r="EA285" i="14609"/>
  <c r="EB285" i="14609"/>
  <c r="EC285" i="14609"/>
  <c r="ED285" i="14609"/>
  <c r="EE285" i="14609"/>
  <c r="EF285" i="14609"/>
  <c r="EG285" i="14609"/>
  <c r="EH285" i="14609"/>
  <c r="EI285" i="14609"/>
  <c r="EJ285" i="14609"/>
  <c r="EK285" i="14609"/>
  <c r="EL285" i="14609"/>
  <c r="EM285" i="14609"/>
  <c r="EN285" i="14609"/>
  <c r="EO285" i="14609"/>
  <c r="EP285" i="14609"/>
  <c r="EQ285" i="14609"/>
  <c r="ER285" i="14609"/>
  <c r="ES285" i="14609"/>
  <c r="ET285" i="14609"/>
  <c r="EU285" i="14609"/>
  <c r="EV285" i="14609"/>
  <c r="EW285" i="14609"/>
  <c r="EX285" i="14609"/>
  <c r="EY285" i="14609"/>
  <c r="EZ285" i="14609"/>
  <c r="FA285" i="14609"/>
  <c r="FB285" i="14609"/>
  <c r="FC285" i="14609"/>
  <c r="FD285" i="14609"/>
  <c r="FE285" i="14609"/>
  <c r="FF285" i="14609"/>
  <c r="FG285" i="14609"/>
  <c r="FH285" i="14609"/>
  <c r="FI285" i="14609"/>
  <c r="FJ285" i="14609"/>
  <c r="FK285" i="14609"/>
  <c r="FL285" i="14609"/>
  <c r="FM285" i="14609"/>
  <c r="FN285" i="14609"/>
  <c r="FO285" i="14609"/>
  <c r="FP285" i="14609"/>
  <c r="FQ285" i="14609"/>
  <c r="FR285" i="14609"/>
  <c r="FS285" i="14609"/>
  <c r="FT285" i="14609"/>
  <c r="FU285" i="14609"/>
  <c r="FV285" i="14609"/>
  <c r="FW285" i="14609"/>
  <c r="FX285" i="14609"/>
  <c r="FY285" i="14609"/>
  <c r="FZ285" i="14609"/>
  <c r="GA285" i="14609"/>
  <c r="GB285" i="14609"/>
  <c r="GC285" i="14609"/>
  <c r="GD285" i="14609"/>
  <c r="GE285" i="14609"/>
  <c r="GF285" i="14609"/>
  <c r="GG285" i="14609"/>
  <c r="GH285" i="14609"/>
  <c r="GI285" i="14609"/>
  <c r="GJ285" i="14609"/>
  <c r="GK285" i="14609"/>
  <c r="GL285" i="14609"/>
  <c r="GM285" i="14609"/>
  <c r="GN285" i="14609"/>
  <c r="GO285" i="14609"/>
  <c r="GP285" i="14609"/>
  <c r="GQ285" i="14609"/>
  <c r="GR285" i="14609"/>
  <c r="GS285" i="14609"/>
  <c r="GT285" i="14609"/>
  <c r="GU285" i="14609"/>
  <c r="GV285" i="14609"/>
  <c r="GW285" i="14609"/>
  <c r="GX285" i="14609"/>
  <c r="GY285" i="14609"/>
  <c r="GZ285" i="14609"/>
  <c r="HA285" i="14609"/>
  <c r="HB285" i="14609"/>
  <c r="HC285" i="14609"/>
  <c r="HD285" i="14609"/>
  <c r="HE285" i="14609"/>
  <c r="HF285" i="14609"/>
  <c r="HG285" i="14609"/>
  <c r="HH285" i="14609"/>
  <c r="HI285" i="14609"/>
  <c r="HJ285" i="14609"/>
  <c r="HK285" i="14609"/>
  <c r="HL285" i="14609"/>
  <c r="HM285" i="14609"/>
  <c r="HN285" i="14609"/>
  <c r="HO285" i="14609"/>
  <c r="HP285" i="14609"/>
  <c r="HQ285" i="14609"/>
  <c r="HR285" i="14609"/>
  <c r="HS285" i="14609"/>
  <c r="HT285" i="14609"/>
  <c r="HU285" i="14609"/>
  <c r="HV285" i="14609"/>
  <c r="HW285" i="14609"/>
  <c r="HX285" i="14609"/>
  <c r="HY285" i="14609"/>
  <c r="HZ285" i="14609"/>
  <c r="IA285" i="14609"/>
  <c r="IB285" i="14609"/>
  <c r="IC285" i="14609"/>
  <c r="ID285" i="14609"/>
  <c r="IE285" i="14609"/>
  <c r="IF285" i="14609"/>
  <c r="IG285" i="14609"/>
  <c r="IH285" i="14609"/>
  <c r="II285" i="14609"/>
  <c r="IJ285" i="14609"/>
  <c r="IK285" i="14609"/>
  <c r="IL285" i="14609"/>
  <c r="IM285" i="14609"/>
  <c r="IN285" i="14609"/>
  <c r="IO285" i="14609"/>
  <c r="IP285" i="14609"/>
  <c r="IQ285" i="14609"/>
  <c r="IR285" i="14609"/>
  <c r="IS285" i="14609"/>
  <c r="IT285" i="14609"/>
  <c r="IU285" i="14609"/>
  <c r="IV285" i="14609"/>
  <c r="A284" i="14609"/>
  <c r="B284" i="14609"/>
  <c r="C284" i="14609"/>
  <c r="D284" i="14609"/>
  <c r="E284" i="14609"/>
  <c r="F284" i="14609"/>
  <c r="G284" i="14609"/>
  <c r="H284" i="14609"/>
  <c r="I284" i="14609"/>
  <c r="J284" i="14609"/>
  <c r="K284" i="14609"/>
  <c r="L284" i="14609"/>
  <c r="M284" i="14609"/>
  <c r="N284" i="14609"/>
  <c r="O284" i="14609"/>
  <c r="P284" i="14609"/>
  <c r="Q284" i="14609"/>
  <c r="R284" i="14609"/>
  <c r="S284" i="14609"/>
  <c r="T284" i="14609"/>
  <c r="U284" i="14609"/>
  <c r="V284" i="14609"/>
  <c r="W284" i="14609"/>
  <c r="X284" i="14609"/>
  <c r="Y284" i="14609"/>
  <c r="Z284" i="14609"/>
  <c r="AA284" i="14609"/>
  <c r="AB284" i="14609"/>
  <c r="AC284" i="14609"/>
  <c r="AD284" i="14609"/>
  <c r="AE284" i="14609"/>
  <c r="AF284" i="14609"/>
  <c r="AG284" i="14609"/>
  <c r="AH284" i="14609"/>
  <c r="AI284" i="14609"/>
  <c r="AJ284" i="14609"/>
  <c r="AK284" i="14609"/>
  <c r="AL284" i="14609"/>
  <c r="AM284" i="14609"/>
  <c r="AN284" i="14609"/>
  <c r="AO284" i="14609"/>
  <c r="AP284" i="14609"/>
  <c r="AQ284" i="14609"/>
  <c r="AR284" i="14609"/>
  <c r="AS284" i="14609"/>
  <c r="AT284" i="14609"/>
  <c r="AU284" i="14609"/>
  <c r="AV284" i="14609"/>
  <c r="AW284" i="14609"/>
  <c r="AX284" i="14609"/>
  <c r="AY284" i="14609"/>
  <c r="AZ284" i="14609"/>
  <c r="BA284" i="14609"/>
  <c r="BB284" i="14609"/>
  <c r="BC284" i="14609"/>
  <c r="BD284" i="14609"/>
  <c r="BE284" i="14609"/>
  <c r="BF284" i="14609"/>
  <c r="BG284" i="14609"/>
  <c r="BH284" i="14609"/>
  <c r="BI284" i="14609"/>
  <c r="BJ284" i="14609"/>
  <c r="BK284" i="14609"/>
  <c r="BL284" i="14609"/>
  <c r="BM284" i="14609"/>
  <c r="BN284" i="14609"/>
  <c r="BO284" i="14609"/>
  <c r="BP284" i="14609"/>
  <c r="BQ284" i="14609"/>
  <c r="BR284" i="14609"/>
  <c r="BS284" i="14609"/>
  <c r="BT284" i="14609"/>
  <c r="BU284" i="14609"/>
  <c r="BV284" i="14609"/>
  <c r="BW284" i="14609"/>
  <c r="BX284" i="14609"/>
  <c r="BY284" i="14609"/>
  <c r="BZ284" i="14609"/>
  <c r="CA284" i="14609"/>
  <c r="CB284" i="14609"/>
  <c r="CC284" i="14609"/>
  <c r="CD284" i="14609"/>
  <c r="CE284" i="14609"/>
  <c r="CF284" i="14609"/>
  <c r="CG284" i="14609"/>
  <c r="CH284" i="14609"/>
  <c r="CI284" i="14609"/>
  <c r="CJ284" i="14609"/>
  <c r="CK284" i="14609"/>
  <c r="CL284" i="14609"/>
  <c r="CM284" i="14609"/>
  <c r="CN284" i="14609"/>
  <c r="CO284" i="14609"/>
  <c r="CP284" i="14609"/>
  <c r="CQ284" i="14609"/>
  <c r="CR284" i="14609"/>
  <c r="CS284" i="14609"/>
  <c r="CT284" i="14609"/>
  <c r="CU284" i="14609"/>
  <c r="CV284" i="14609"/>
  <c r="CW284" i="14609"/>
  <c r="CX284" i="14609"/>
  <c r="CY284" i="14609"/>
  <c r="CZ284" i="14609"/>
  <c r="DA284" i="14609"/>
  <c r="DB284" i="14609"/>
  <c r="DC284" i="14609"/>
  <c r="DD284" i="14609"/>
  <c r="DE284" i="14609"/>
  <c r="DF284" i="14609"/>
  <c r="DG284" i="14609"/>
  <c r="DH284" i="14609"/>
  <c r="DI284" i="14609"/>
  <c r="DJ284" i="14609"/>
  <c r="DK284" i="14609"/>
  <c r="DL284" i="14609"/>
  <c r="DM284" i="14609"/>
  <c r="DN284" i="14609"/>
  <c r="DO284" i="14609"/>
  <c r="DP284" i="14609"/>
  <c r="DQ284" i="14609"/>
  <c r="DR284" i="14609"/>
  <c r="DS284" i="14609"/>
  <c r="DT284" i="14609"/>
  <c r="DU284" i="14609"/>
  <c r="DV284" i="14609"/>
  <c r="DW284" i="14609"/>
  <c r="DX284" i="14609"/>
  <c r="DY284" i="14609"/>
  <c r="DZ284" i="14609"/>
  <c r="EA284" i="14609"/>
  <c r="EB284" i="14609"/>
  <c r="EC284" i="14609"/>
  <c r="ED284" i="14609"/>
  <c r="EE284" i="14609"/>
  <c r="EF284" i="14609"/>
  <c r="EG284" i="14609"/>
  <c r="EH284" i="14609"/>
  <c r="EI284" i="14609"/>
  <c r="EJ284" i="14609"/>
  <c r="EK284" i="14609"/>
  <c r="EL284" i="14609"/>
  <c r="EM284" i="14609"/>
  <c r="EN284" i="14609"/>
  <c r="EO284" i="14609"/>
  <c r="EP284" i="14609"/>
  <c r="EQ284" i="14609"/>
  <c r="ER284" i="14609"/>
  <c r="ES284" i="14609"/>
  <c r="ET284" i="14609"/>
  <c r="EU284" i="14609"/>
  <c r="EV284" i="14609"/>
  <c r="EW284" i="14609"/>
  <c r="EX284" i="14609"/>
  <c r="EY284" i="14609"/>
  <c r="EZ284" i="14609"/>
  <c r="FA284" i="14609"/>
  <c r="FB284" i="14609"/>
  <c r="FC284" i="14609"/>
  <c r="FD284" i="14609"/>
  <c r="FE284" i="14609"/>
  <c r="FF284" i="14609"/>
  <c r="FG284" i="14609"/>
  <c r="FH284" i="14609"/>
  <c r="FI284" i="14609"/>
  <c r="FJ284" i="14609"/>
  <c r="FK284" i="14609"/>
  <c r="FL284" i="14609"/>
  <c r="FM284" i="14609"/>
  <c r="FN284" i="14609"/>
  <c r="FO284" i="14609"/>
  <c r="FP284" i="14609"/>
  <c r="FQ284" i="14609"/>
  <c r="FR284" i="14609"/>
  <c r="FS284" i="14609"/>
  <c r="FT284" i="14609"/>
  <c r="FU284" i="14609"/>
  <c r="FV284" i="14609"/>
  <c r="FW284" i="14609"/>
  <c r="FX284" i="14609"/>
  <c r="FY284" i="14609"/>
  <c r="FZ284" i="14609"/>
  <c r="GA284" i="14609"/>
  <c r="GB284" i="14609"/>
  <c r="GC284" i="14609"/>
  <c r="GD284" i="14609"/>
  <c r="GE284" i="14609"/>
  <c r="GF284" i="14609"/>
  <c r="GG284" i="14609"/>
  <c r="GH284" i="14609"/>
  <c r="GI284" i="14609"/>
  <c r="GJ284" i="14609"/>
  <c r="GK284" i="14609"/>
  <c r="GL284" i="14609"/>
  <c r="GM284" i="14609"/>
  <c r="GN284" i="14609"/>
  <c r="GO284" i="14609"/>
  <c r="GP284" i="14609"/>
  <c r="GQ284" i="14609"/>
  <c r="GR284" i="14609"/>
  <c r="GS284" i="14609"/>
  <c r="GT284" i="14609"/>
  <c r="GU284" i="14609"/>
  <c r="GV284" i="14609"/>
  <c r="GW284" i="14609"/>
  <c r="GX284" i="14609"/>
  <c r="GY284" i="14609"/>
  <c r="GZ284" i="14609"/>
  <c r="HA284" i="14609"/>
  <c r="HB284" i="14609"/>
  <c r="HC284" i="14609"/>
  <c r="HD284" i="14609"/>
  <c r="HE284" i="14609"/>
  <c r="HF284" i="14609"/>
  <c r="HG284" i="14609"/>
  <c r="HH284" i="14609"/>
  <c r="HI284" i="14609"/>
  <c r="HJ284" i="14609"/>
  <c r="HK284" i="14609"/>
  <c r="HL284" i="14609"/>
  <c r="HM284" i="14609"/>
  <c r="HN284" i="14609"/>
  <c r="HO284" i="14609"/>
  <c r="HP284" i="14609"/>
  <c r="HQ284" i="14609"/>
  <c r="HR284" i="14609"/>
  <c r="HS284" i="14609"/>
  <c r="HT284" i="14609"/>
  <c r="HU284" i="14609"/>
  <c r="HV284" i="14609"/>
  <c r="HW284" i="14609"/>
  <c r="HX284" i="14609"/>
  <c r="HY284" i="14609"/>
  <c r="HZ284" i="14609"/>
  <c r="IA284" i="14609"/>
  <c r="IB284" i="14609"/>
  <c r="IC284" i="14609"/>
  <c r="ID284" i="14609"/>
  <c r="IE284" i="14609"/>
  <c r="IF284" i="14609"/>
  <c r="IG284" i="14609"/>
  <c r="IH284" i="14609"/>
  <c r="II284" i="14609"/>
  <c r="IJ284" i="14609"/>
  <c r="IK284" i="14609"/>
  <c r="IL284" i="14609"/>
  <c r="IM284" i="14609"/>
  <c r="IN284" i="14609"/>
  <c r="IO284" i="14609"/>
  <c r="IP284" i="14609"/>
  <c r="IQ284" i="14609"/>
  <c r="IR284" i="14609"/>
  <c r="IS284" i="14609"/>
  <c r="IT284" i="14609"/>
  <c r="IU284" i="14609"/>
  <c r="IV284" i="14609"/>
  <c r="A283" i="14609"/>
  <c r="B283" i="14609"/>
  <c r="C283" i="14609"/>
  <c r="D283" i="14609"/>
  <c r="E283" i="14609"/>
  <c r="F283" i="14609"/>
  <c r="G283" i="14609"/>
  <c r="H283" i="14609"/>
  <c r="I283" i="14609"/>
  <c r="J283" i="14609"/>
  <c r="K283" i="14609"/>
  <c r="L283" i="14609"/>
  <c r="M283" i="14609"/>
  <c r="N283" i="14609"/>
  <c r="O283" i="14609"/>
  <c r="P283" i="14609"/>
  <c r="Q283" i="14609"/>
  <c r="R283" i="14609"/>
  <c r="S283" i="14609"/>
  <c r="T283" i="14609"/>
  <c r="U283" i="14609"/>
  <c r="V283" i="14609"/>
  <c r="W283" i="14609"/>
  <c r="X283" i="14609"/>
  <c r="Y283" i="14609"/>
  <c r="Z283" i="14609"/>
  <c r="AA283" i="14609"/>
  <c r="AB283" i="14609"/>
  <c r="AC283" i="14609"/>
  <c r="AD283" i="14609"/>
  <c r="AE283" i="14609"/>
  <c r="AF283" i="14609"/>
  <c r="AG283" i="14609"/>
  <c r="AH283" i="14609"/>
  <c r="AI283" i="14609"/>
  <c r="AJ283" i="14609"/>
  <c r="AK283" i="14609"/>
  <c r="AL283" i="14609"/>
  <c r="AM283" i="14609"/>
  <c r="AN283" i="14609"/>
  <c r="AO283" i="14609"/>
  <c r="AP283" i="14609"/>
  <c r="AQ283" i="14609"/>
  <c r="AR283" i="14609"/>
  <c r="AS283" i="14609"/>
  <c r="AT283" i="14609"/>
  <c r="AU283" i="14609"/>
  <c r="AV283" i="14609"/>
  <c r="AW283" i="14609"/>
  <c r="AX283" i="14609"/>
  <c r="AY283" i="14609"/>
  <c r="AZ283" i="14609"/>
  <c r="BA283" i="14609"/>
  <c r="BB283" i="14609"/>
  <c r="BC283" i="14609"/>
  <c r="BD283" i="14609"/>
  <c r="BE283" i="14609"/>
  <c r="BF283" i="14609"/>
  <c r="BG283" i="14609"/>
  <c r="BH283" i="14609"/>
  <c r="BI283" i="14609"/>
  <c r="BJ283" i="14609"/>
  <c r="BK283" i="14609"/>
  <c r="BL283" i="14609"/>
  <c r="BM283" i="14609"/>
  <c r="BN283" i="14609"/>
  <c r="BO283" i="14609"/>
  <c r="BP283" i="14609"/>
  <c r="BQ283" i="14609"/>
  <c r="BR283" i="14609"/>
  <c r="BS283" i="14609"/>
  <c r="BT283" i="14609"/>
  <c r="BU283" i="14609"/>
  <c r="BV283" i="14609"/>
  <c r="BW283" i="14609"/>
  <c r="BX283" i="14609"/>
  <c r="BY283" i="14609"/>
  <c r="BZ283" i="14609"/>
  <c r="CA283" i="14609"/>
  <c r="CB283" i="14609"/>
  <c r="CC283" i="14609"/>
  <c r="CD283" i="14609"/>
  <c r="CE283" i="14609"/>
  <c r="CF283" i="14609"/>
  <c r="CG283" i="14609"/>
  <c r="CH283" i="14609"/>
  <c r="CI283" i="14609"/>
  <c r="CJ283" i="14609"/>
  <c r="CK283" i="14609"/>
  <c r="CL283" i="14609"/>
  <c r="CM283" i="14609"/>
  <c r="CN283" i="14609"/>
  <c r="CO283" i="14609"/>
  <c r="CP283" i="14609"/>
  <c r="CQ283" i="14609"/>
  <c r="CR283" i="14609"/>
  <c r="CS283" i="14609"/>
  <c r="CT283" i="14609"/>
  <c r="CU283" i="14609"/>
  <c r="CV283" i="14609"/>
  <c r="CW283" i="14609"/>
  <c r="CX283" i="14609"/>
  <c r="CY283" i="14609"/>
  <c r="CZ283" i="14609"/>
  <c r="DA283" i="14609"/>
  <c r="DB283" i="14609"/>
  <c r="DC283" i="14609"/>
  <c r="DD283" i="14609"/>
  <c r="DE283" i="14609"/>
  <c r="DF283" i="14609"/>
  <c r="DG283" i="14609"/>
  <c r="DH283" i="14609"/>
  <c r="DI283" i="14609"/>
  <c r="DJ283" i="14609"/>
  <c r="DK283" i="14609"/>
  <c r="DL283" i="14609"/>
  <c r="DM283" i="14609"/>
  <c r="DN283" i="14609"/>
  <c r="DO283" i="14609"/>
  <c r="DP283" i="14609"/>
  <c r="DQ283" i="14609"/>
  <c r="DR283" i="14609"/>
  <c r="DS283" i="14609"/>
  <c r="DT283" i="14609"/>
  <c r="DU283" i="14609"/>
  <c r="DV283" i="14609"/>
  <c r="DW283" i="14609"/>
  <c r="DX283" i="14609"/>
  <c r="DY283" i="14609"/>
  <c r="DZ283" i="14609"/>
  <c r="EA283" i="14609"/>
  <c r="EB283" i="14609"/>
  <c r="EC283" i="14609"/>
  <c r="ED283" i="14609"/>
  <c r="EE283" i="14609"/>
  <c r="EF283" i="14609"/>
  <c r="EG283" i="14609"/>
  <c r="EH283" i="14609"/>
  <c r="EI283" i="14609"/>
  <c r="EJ283" i="14609"/>
  <c r="EK283" i="14609"/>
  <c r="EL283" i="14609"/>
  <c r="EM283" i="14609"/>
  <c r="EN283" i="14609"/>
  <c r="EO283" i="14609"/>
  <c r="EP283" i="14609"/>
  <c r="EQ283" i="14609"/>
  <c r="ER283" i="14609"/>
  <c r="ES283" i="14609"/>
  <c r="ET283" i="14609"/>
  <c r="EU283" i="14609"/>
  <c r="EV283" i="14609"/>
  <c r="EW283" i="14609"/>
  <c r="EX283" i="14609"/>
  <c r="EY283" i="14609"/>
  <c r="EZ283" i="14609"/>
  <c r="FA283" i="14609"/>
  <c r="FB283" i="14609"/>
  <c r="FC283" i="14609"/>
  <c r="FD283" i="14609"/>
  <c r="FE283" i="14609"/>
  <c r="FF283" i="14609"/>
  <c r="FG283" i="14609"/>
  <c r="FH283" i="14609"/>
  <c r="FI283" i="14609"/>
  <c r="FJ283" i="14609"/>
  <c r="FK283" i="14609"/>
  <c r="FL283" i="14609"/>
  <c r="FM283" i="14609"/>
  <c r="FN283" i="14609"/>
  <c r="FO283" i="14609"/>
  <c r="FP283" i="14609"/>
  <c r="FQ283" i="14609"/>
  <c r="FR283" i="14609"/>
  <c r="FS283" i="14609"/>
  <c r="FT283" i="14609"/>
  <c r="FU283" i="14609"/>
  <c r="FV283" i="14609"/>
  <c r="FW283" i="14609"/>
  <c r="FX283" i="14609"/>
  <c r="FY283" i="14609"/>
  <c r="FZ283" i="14609"/>
  <c r="GA283" i="14609"/>
  <c r="GB283" i="14609"/>
  <c r="GC283" i="14609"/>
  <c r="GD283" i="14609"/>
  <c r="GE283" i="14609"/>
  <c r="GF283" i="14609"/>
  <c r="GG283" i="14609"/>
  <c r="GH283" i="14609"/>
  <c r="GI283" i="14609"/>
  <c r="GJ283" i="14609"/>
  <c r="GK283" i="14609"/>
  <c r="GL283" i="14609"/>
  <c r="GM283" i="14609"/>
  <c r="GN283" i="14609"/>
  <c r="GO283" i="14609"/>
  <c r="GP283" i="14609"/>
  <c r="GQ283" i="14609"/>
  <c r="GR283" i="14609"/>
  <c r="GS283" i="14609"/>
  <c r="GT283" i="14609"/>
  <c r="GU283" i="14609"/>
  <c r="GV283" i="14609"/>
  <c r="GW283" i="14609"/>
  <c r="GX283" i="14609"/>
  <c r="GY283" i="14609"/>
  <c r="GZ283" i="14609"/>
  <c r="HA283" i="14609"/>
  <c r="HB283" i="14609"/>
  <c r="HC283" i="14609"/>
  <c r="HD283" i="14609"/>
  <c r="HE283" i="14609"/>
  <c r="HF283" i="14609"/>
  <c r="HG283" i="14609"/>
  <c r="HH283" i="14609"/>
  <c r="HI283" i="14609"/>
  <c r="HJ283" i="14609"/>
  <c r="HK283" i="14609"/>
  <c r="HL283" i="14609"/>
  <c r="HM283" i="14609"/>
  <c r="HN283" i="14609"/>
  <c r="HO283" i="14609"/>
  <c r="HP283" i="14609"/>
  <c r="HQ283" i="14609"/>
  <c r="HR283" i="14609"/>
  <c r="HS283" i="14609"/>
  <c r="HT283" i="14609"/>
  <c r="HU283" i="14609"/>
  <c r="HV283" i="14609"/>
  <c r="HW283" i="14609"/>
  <c r="HX283" i="14609"/>
  <c r="HY283" i="14609"/>
  <c r="HZ283" i="14609"/>
  <c r="IA283" i="14609"/>
  <c r="IB283" i="14609"/>
  <c r="IC283" i="14609"/>
  <c r="ID283" i="14609"/>
  <c r="IE283" i="14609"/>
  <c r="IF283" i="14609"/>
  <c r="IG283" i="14609"/>
  <c r="IH283" i="14609"/>
  <c r="II283" i="14609"/>
  <c r="IJ283" i="14609"/>
  <c r="IK283" i="14609"/>
  <c r="IL283" i="14609"/>
  <c r="IM283" i="14609"/>
  <c r="IN283" i="14609"/>
  <c r="IO283" i="14609"/>
  <c r="IP283" i="14609"/>
  <c r="IQ283" i="14609"/>
  <c r="IR283" i="14609"/>
  <c r="IS283" i="14609"/>
  <c r="IT283" i="14609"/>
  <c r="IU283" i="14609"/>
  <c r="IV283" i="14609"/>
  <c r="A282" i="14609"/>
  <c r="B282" i="14609"/>
  <c r="C282" i="14609"/>
  <c r="D282" i="14609"/>
  <c r="E282" i="14609"/>
  <c r="F282" i="14609"/>
  <c r="G282" i="14609"/>
  <c r="H282" i="14609"/>
  <c r="I282" i="14609"/>
  <c r="J282" i="14609"/>
  <c r="K282" i="14609"/>
  <c r="L282" i="14609"/>
  <c r="M282" i="14609"/>
  <c r="N282" i="14609"/>
  <c r="O282" i="14609"/>
  <c r="P282" i="14609"/>
  <c r="Q282" i="14609"/>
  <c r="R282" i="14609"/>
  <c r="S282" i="14609"/>
  <c r="T282" i="14609"/>
  <c r="U282" i="14609"/>
  <c r="V282" i="14609"/>
  <c r="W282" i="14609"/>
  <c r="X282" i="14609"/>
  <c r="Y282" i="14609"/>
  <c r="Z282" i="14609"/>
  <c r="AA282" i="14609"/>
  <c r="AB282" i="14609"/>
  <c r="AC282" i="14609"/>
  <c r="AD282" i="14609"/>
  <c r="AE282" i="14609"/>
  <c r="AF282" i="14609"/>
  <c r="AG282" i="14609"/>
  <c r="AH282" i="14609"/>
  <c r="AI282" i="14609"/>
  <c r="AJ282" i="14609"/>
  <c r="AK282" i="14609"/>
  <c r="AL282" i="14609"/>
  <c r="AM282" i="14609"/>
  <c r="AN282" i="14609"/>
  <c r="AO282" i="14609"/>
  <c r="AP282" i="14609"/>
  <c r="AQ282" i="14609"/>
  <c r="AR282" i="14609"/>
  <c r="AS282" i="14609"/>
  <c r="AT282" i="14609"/>
  <c r="AU282" i="14609"/>
  <c r="AV282" i="14609"/>
  <c r="AW282" i="14609"/>
  <c r="AX282" i="14609"/>
  <c r="AY282" i="14609"/>
  <c r="AZ282" i="14609"/>
  <c r="BA282" i="14609"/>
  <c r="BB282" i="14609"/>
  <c r="BC282" i="14609"/>
  <c r="BD282" i="14609"/>
  <c r="BE282" i="14609"/>
  <c r="BF282" i="14609"/>
  <c r="BG282" i="14609"/>
  <c r="BH282" i="14609"/>
  <c r="BI282" i="14609"/>
  <c r="BJ282" i="14609"/>
  <c r="BK282" i="14609"/>
  <c r="BL282" i="14609"/>
  <c r="BM282" i="14609"/>
  <c r="BN282" i="14609"/>
  <c r="BO282" i="14609"/>
  <c r="BP282" i="14609"/>
  <c r="BQ282" i="14609"/>
  <c r="BR282" i="14609"/>
  <c r="BS282" i="14609"/>
  <c r="BT282" i="14609"/>
  <c r="BU282" i="14609"/>
  <c r="BV282" i="14609"/>
  <c r="BW282" i="14609"/>
  <c r="BX282" i="14609"/>
  <c r="BY282" i="14609"/>
  <c r="BZ282" i="14609"/>
  <c r="CA282" i="14609"/>
  <c r="CB282" i="14609"/>
  <c r="CC282" i="14609"/>
  <c r="CD282" i="14609"/>
  <c r="CE282" i="14609"/>
  <c r="CF282" i="14609"/>
  <c r="CG282" i="14609"/>
  <c r="CH282" i="14609"/>
  <c r="CI282" i="14609"/>
  <c r="CJ282" i="14609"/>
  <c r="CK282" i="14609"/>
  <c r="CL282" i="14609"/>
  <c r="CM282" i="14609"/>
  <c r="CN282" i="14609"/>
  <c r="CO282" i="14609"/>
  <c r="CP282" i="14609"/>
  <c r="CQ282" i="14609"/>
  <c r="CR282" i="14609"/>
  <c r="CS282" i="14609"/>
  <c r="CT282" i="14609"/>
  <c r="CU282" i="14609"/>
  <c r="CV282" i="14609"/>
  <c r="CW282" i="14609"/>
  <c r="CX282" i="14609"/>
  <c r="CY282" i="14609"/>
  <c r="CZ282" i="14609"/>
  <c r="DA282" i="14609"/>
  <c r="DB282" i="14609"/>
  <c r="DC282" i="14609"/>
  <c r="DD282" i="14609"/>
  <c r="DE282" i="14609"/>
  <c r="DF282" i="14609"/>
  <c r="DG282" i="14609"/>
  <c r="DH282" i="14609"/>
  <c r="DI282" i="14609"/>
  <c r="DJ282" i="14609"/>
  <c r="DK282" i="14609"/>
  <c r="DL282" i="14609"/>
  <c r="DM282" i="14609"/>
  <c r="DN282" i="14609"/>
  <c r="DO282" i="14609"/>
  <c r="DP282" i="14609"/>
  <c r="DQ282" i="14609"/>
  <c r="DR282" i="14609"/>
  <c r="DS282" i="14609"/>
  <c r="DT282" i="14609"/>
  <c r="DU282" i="14609"/>
  <c r="DV282" i="14609"/>
  <c r="DW282" i="14609"/>
  <c r="DX282" i="14609"/>
  <c r="DY282" i="14609"/>
  <c r="DZ282" i="14609"/>
  <c r="EA282" i="14609"/>
  <c r="EB282" i="14609"/>
  <c r="EC282" i="14609"/>
  <c r="ED282" i="14609"/>
  <c r="EE282" i="14609"/>
  <c r="EF282" i="14609"/>
  <c r="EG282" i="14609"/>
  <c r="EH282" i="14609"/>
  <c r="EI282" i="14609"/>
  <c r="EJ282" i="14609"/>
  <c r="EK282" i="14609"/>
  <c r="EL282" i="14609"/>
  <c r="EM282" i="14609"/>
  <c r="EN282" i="14609"/>
  <c r="EO282" i="14609"/>
  <c r="EP282" i="14609"/>
  <c r="EQ282" i="14609"/>
  <c r="ER282" i="14609"/>
  <c r="ES282" i="14609"/>
  <c r="ET282" i="14609"/>
  <c r="EU282" i="14609"/>
  <c r="EV282" i="14609"/>
  <c r="EW282" i="14609"/>
  <c r="EX282" i="14609"/>
  <c r="EY282" i="14609"/>
  <c r="EZ282" i="14609"/>
  <c r="FA282" i="14609"/>
  <c r="FB282" i="14609"/>
  <c r="FC282" i="14609"/>
  <c r="FD282" i="14609"/>
  <c r="FE282" i="14609"/>
  <c r="FF282" i="14609"/>
  <c r="FG282" i="14609"/>
  <c r="FH282" i="14609"/>
  <c r="FI282" i="14609"/>
  <c r="FJ282" i="14609"/>
  <c r="FK282" i="14609"/>
  <c r="FL282" i="14609"/>
  <c r="FM282" i="14609"/>
  <c r="FN282" i="14609"/>
  <c r="FO282" i="14609"/>
  <c r="FP282" i="14609"/>
  <c r="FQ282" i="14609"/>
  <c r="FR282" i="14609"/>
  <c r="FS282" i="14609"/>
  <c r="FT282" i="14609"/>
  <c r="FU282" i="14609"/>
  <c r="FV282" i="14609"/>
  <c r="FW282" i="14609"/>
  <c r="FX282" i="14609"/>
  <c r="FY282" i="14609"/>
  <c r="FZ282" i="14609"/>
  <c r="GA282" i="14609"/>
  <c r="GB282" i="14609"/>
  <c r="GC282" i="14609"/>
  <c r="GD282" i="14609"/>
  <c r="GE282" i="14609"/>
  <c r="GF282" i="14609"/>
  <c r="GG282" i="14609"/>
  <c r="GH282" i="14609"/>
  <c r="GI282" i="14609"/>
  <c r="GJ282" i="14609"/>
  <c r="GK282" i="14609"/>
  <c r="GL282" i="14609"/>
  <c r="GM282" i="14609"/>
  <c r="GN282" i="14609"/>
  <c r="GO282" i="14609"/>
  <c r="GP282" i="14609"/>
  <c r="GQ282" i="14609"/>
  <c r="GR282" i="14609"/>
  <c r="GS282" i="14609"/>
  <c r="GT282" i="14609"/>
  <c r="GU282" i="14609"/>
  <c r="GV282" i="14609"/>
  <c r="GW282" i="14609"/>
  <c r="GX282" i="14609"/>
  <c r="GY282" i="14609"/>
  <c r="GZ282" i="14609"/>
  <c r="HA282" i="14609"/>
  <c r="HB282" i="14609"/>
  <c r="HC282" i="14609"/>
  <c r="HD282" i="14609"/>
  <c r="HE282" i="14609"/>
  <c r="HF282" i="14609"/>
  <c r="HG282" i="14609"/>
  <c r="HH282" i="14609"/>
  <c r="HI282" i="14609"/>
  <c r="HJ282" i="14609"/>
  <c r="HK282" i="14609"/>
  <c r="HL282" i="14609"/>
  <c r="HM282" i="14609"/>
  <c r="HN282" i="14609"/>
  <c r="HO282" i="14609"/>
  <c r="HP282" i="14609"/>
  <c r="HQ282" i="14609"/>
  <c r="HR282" i="14609"/>
  <c r="HS282" i="14609"/>
  <c r="HT282" i="14609"/>
  <c r="HU282" i="14609"/>
  <c r="HV282" i="14609"/>
  <c r="HW282" i="14609"/>
  <c r="HX282" i="14609"/>
  <c r="HY282" i="14609"/>
  <c r="HZ282" i="14609"/>
  <c r="IA282" i="14609"/>
  <c r="IB282" i="14609"/>
  <c r="IC282" i="14609"/>
  <c r="ID282" i="14609"/>
  <c r="IE282" i="14609"/>
  <c r="IF282" i="14609"/>
  <c r="IG282" i="14609"/>
  <c r="IH282" i="14609"/>
  <c r="II282" i="14609"/>
  <c r="IJ282" i="14609"/>
  <c r="IK282" i="14609"/>
  <c r="IL282" i="14609"/>
  <c r="IM282" i="14609"/>
  <c r="IN282" i="14609"/>
  <c r="IO282" i="14609"/>
  <c r="IP282" i="14609"/>
  <c r="IQ282" i="14609"/>
  <c r="IR282" i="14609"/>
  <c r="IS282" i="14609"/>
  <c r="IT282" i="14609"/>
  <c r="IU282" i="14609"/>
  <c r="IV282" i="14609"/>
  <c r="A281" i="14609"/>
  <c r="B281" i="14609"/>
  <c r="C281" i="14609"/>
  <c r="D281" i="14609"/>
  <c r="E281" i="14609"/>
  <c r="F281" i="14609"/>
  <c r="G281" i="14609"/>
  <c r="H281" i="14609"/>
  <c r="I281" i="14609"/>
  <c r="J281" i="14609"/>
  <c r="K281" i="14609"/>
  <c r="L281" i="14609"/>
  <c r="M281" i="14609"/>
  <c r="N281" i="14609"/>
  <c r="O281" i="14609"/>
  <c r="P281" i="14609"/>
  <c r="Q281" i="14609"/>
  <c r="R281" i="14609"/>
  <c r="S281" i="14609"/>
  <c r="T281" i="14609"/>
  <c r="U281" i="14609"/>
  <c r="V281" i="14609"/>
  <c r="W281" i="14609"/>
  <c r="X281" i="14609"/>
  <c r="Y281" i="14609"/>
  <c r="Z281" i="14609"/>
  <c r="AA281" i="14609"/>
  <c r="AB281" i="14609"/>
  <c r="AC281" i="14609"/>
  <c r="AD281" i="14609"/>
  <c r="AE281" i="14609"/>
  <c r="AF281" i="14609"/>
  <c r="AG281" i="14609"/>
  <c r="AH281" i="14609"/>
  <c r="AI281" i="14609"/>
  <c r="AJ281" i="14609"/>
  <c r="AK281" i="14609"/>
  <c r="AL281" i="14609"/>
  <c r="AM281" i="14609"/>
  <c r="AN281" i="14609"/>
  <c r="AO281" i="14609"/>
  <c r="AP281" i="14609"/>
  <c r="AQ281" i="14609"/>
  <c r="AR281" i="14609"/>
  <c r="AS281" i="14609"/>
  <c r="AT281" i="14609"/>
  <c r="AU281" i="14609"/>
  <c r="AV281" i="14609"/>
  <c r="AW281" i="14609"/>
  <c r="AX281" i="14609"/>
  <c r="AY281" i="14609"/>
  <c r="AZ281" i="14609"/>
  <c r="BA281" i="14609"/>
  <c r="BB281" i="14609"/>
  <c r="BC281" i="14609"/>
  <c r="BD281" i="14609"/>
  <c r="BE281" i="14609"/>
  <c r="BF281" i="14609"/>
  <c r="BG281" i="14609"/>
  <c r="BH281" i="14609"/>
  <c r="BI281" i="14609"/>
  <c r="BJ281" i="14609"/>
  <c r="BK281" i="14609"/>
  <c r="BL281" i="14609"/>
  <c r="BM281" i="14609"/>
  <c r="BN281" i="14609"/>
  <c r="BO281" i="14609"/>
  <c r="BP281" i="14609"/>
  <c r="BQ281" i="14609"/>
  <c r="BR281" i="14609"/>
  <c r="BS281" i="14609"/>
  <c r="BT281" i="14609"/>
  <c r="BU281" i="14609"/>
  <c r="BV281" i="14609"/>
  <c r="BW281" i="14609"/>
  <c r="BX281" i="14609"/>
  <c r="BY281" i="14609"/>
  <c r="BZ281" i="14609"/>
  <c r="CA281" i="14609"/>
  <c r="CB281" i="14609"/>
  <c r="CC281" i="14609"/>
  <c r="CD281" i="14609"/>
  <c r="CE281" i="14609"/>
  <c r="CF281" i="14609"/>
  <c r="CG281" i="14609"/>
  <c r="CH281" i="14609"/>
  <c r="CI281" i="14609"/>
  <c r="CJ281" i="14609"/>
  <c r="CK281" i="14609"/>
  <c r="CL281" i="14609"/>
  <c r="CM281" i="14609"/>
  <c r="CN281" i="14609"/>
  <c r="CO281" i="14609"/>
  <c r="CP281" i="14609"/>
  <c r="CQ281" i="14609"/>
  <c r="CR281" i="14609"/>
  <c r="CS281" i="14609"/>
  <c r="CT281" i="14609"/>
  <c r="CU281" i="14609"/>
  <c r="CV281" i="14609"/>
  <c r="CW281" i="14609"/>
  <c r="CX281" i="14609"/>
  <c r="CY281" i="14609"/>
  <c r="CZ281" i="14609"/>
  <c r="DA281" i="14609"/>
  <c r="DB281" i="14609"/>
  <c r="DC281" i="14609"/>
  <c r="DD281" i="14609"/>
  <c r="DE281" i="14609"/>
  <c r="DF281" i="14609"/>
  <c r="DG281" i="14609"/>
  <c r="DH281" i="14609"/>
  <c r="DI281" i="14609"/>
  <c r="DJ281" i="14609"/>
  <c r="DK281" i="14609"/>
  <c r="DL281" i="14609"/>
  <c r="DM281" i="14609"/>
  <c r="DN281" i="14609"/>
  <c r="DO281" i="14609"/>
  <c r="DP281" i="14609"/>
  <c r="DQ281" i="14609"/>
  <c r="DR281" i="14609"/>
  <c r="DS281" i="14609"/>
  <c r="DT281" i="14609"/>
  <c r="DU281" i="14609"/>
  <c r="DV281" i="14609"/>
  <c r="DW281" i="14609"/>
  <c r="DX281" i="14609"/>
  <c r="DY281" i="14609"/>
  <c r="DZ281" i="14609"/>
  <c r="EA281" i="14609"/>
  <c r="EB281" i="14609"/>
  <c r="EC281" i="14609"/>
  <c r="ED281" i="14609"/>
  <c r="EE281" i="14609"/>
  <c r="EF281" i="14609"/>
  <c r="EG281" i="14609"/>
  <c r="EH281" i="14609"/>
  <c r="EI281" i="14609"/>
  <c r="EJ281" i="14609"/>
  <c r="EK281" i="14609"/>
  <c r="EL281" i="14609"/>
  <c r="EM281" i="14609"/>
  <c r="EN281" i="14609"/>
  <c r="EO281" i="14609"/>
  <c r="EP281" i="14609"/>
  <c r="EQ281" i="14609"/>
  <c r="ER281" i="14609"/>
  <c r="ES281" i="14609"/>
  <c r="ET281" i="14609"/>
  <c r="EU281" i="14609"/>
  <c r="EV281" i="14609"/>
  <c r="EW281" i="14609"/>
  <c r="EX281" i="14609"/>
  <c r="EY281" i="14609"/>
  <c r="EZ281" i="14609"/>
  <c r="FA281" i="14609"/>
  <c r="FB281" i="14609"/>
  <c r="FC281" i="14609"/>
  <c r="FD281" i="14609"/>
  <c r="FE281" i="14609"/>
  <c r="FF281" i="14609"/>
  <c r="FG281" i="14609"/>
  <c r="FH281" i="14609"/>
  <c r="FI281" i="14609"/>
  <c r="FJ281" i="14609"/>
  <c r="FK281" i="14609"/>
  <c r="FL281" i="14609"/>
  <c r="FM281" i="14609"/>
  <c r="FN281" i="14609"/>
  <c r="FO281" i="14609"/>
  <c r="FP281" i="14609"/>
  <c r="FQ281" i="14609"/>
  <c r="FR281" i="14609"/>
  <c r="FS281" i="14609"/>
  <c r="FT281" i="14609"/>
  <c r="FU281" i="14609"/>
  <c r="FV281" i="14609"/>
  <c r="FW281" i="14609"/>
  <c r="FX281" i="14609"/>
  <c r="FY281" i="14609"/>
  <c r="FZ281" i="14609"/>
  <c r="GA281" i="14609"/>
  <c r="GB281" i="14609"/>
  <c r="GC281" i="14609"/>
  <c r="GD281" i="14609"/>
  <c r="GE281" i="14609"/>
  <c r="GF281" i="14609"/>
  <c r="GG281" i="14609"/>
  <c r="GH281" i="14609"/>
  <c r="GI281" i="14609"/>
  <c r="GJ281" i="14609"/>
  <c r="GK281" i="14609"/>
  <c r="GL281" i="14609"/>
  <c r="GM281" i="14609"/>
  <c r="GN281" i="14609"/>
  <c r="GO281" i="14609"/>
  <c r="GP281" i="14609"/>
  <c r="GQ281" i="14609"/>
  <c r="GR281" i="14609"/>
  <c r="GS281" i="14609"/>
  <c r="GT281" i="14609"/>
  <c r="GU281" i="14609"/>
  <c r="GV281" i="14609"/>
  <c r="GW281" i="14609"/>
  <c r="GX281" i="14609"/>
  <c r="GY281" i="14609"/>
  <c r="GZ281" i="14609"/>
  <c r="HA281" i="14609"/>
  <c r="HB281" i="14609"/>
  <c r="HC281" i="14609"/>
  <c r="HD281" i="14609"/>
  <c r="HE281" i="14609"/>
  <c r="HF281" i="14609"/>
  <c r="HG281" i="14609"/>
  <c r="HH281" i="14609"/>
  <c r="HI281" i="14609"/>
  <c r="HJ281" i="14609"/>
  <c r="HK281" i="14609"/>
  <c r="HL281" i="14609"/>
  <c r="HM281" i="14609"/>
  <c r="HN281" i="14609"/>
  <c r="HO281" i="14609"/>
  <c r="HP281" i="14609"/>
  <c r="HQ281" i="14609"/>
  <c r="HR281" i="14609"/>
  <c r="HS281" i="14609"/>
  <c r="HT281" i="14609"/>
  <c r="HU281" i="14609"/>
  <c r="HV281" i="14609"/>
  <c r="HW281" i="14609"/>
  <c r="HX281" i="14609"/>
  <c r="HY281" i="14609"/>
  <c r="HZ281" i="14609"/>
  <c r="IA281" i="14609"/>
  <c r="IB281" i="14609"/>
  <c r="IC281" i="14609"/>
  <c r="ID281" i="14609"/>
  <c r="IE281" i="14609"/>
  <c r="IF281" i="14609"/>
  <c r="IG281" i="14609"/>
  <c r="IH281" i="14609"/>
  <c r="II281" i="14609"/>
  <c r="IJ281" i="14609"/>
  <c r="IK281" i="14609"/>
  <c r="IL281" i="14609"/>
  <c r="IM281" i="14609"/>
  <c r="IN281" i="14609"/>
  <c r="IO281" i="14609"/>
  <c r="IP281" i="14609"/>
  <c r="IQ281" i="14609"/>
  <c r="IR281" i="14609"/>
  <c r="IS281" i="14609"/>
  <c r="IT281" i="14609"/>
  <c r="IU281" i="14609"/>
  <c r="IV281" i="14609"/>
  <c r="A280" i="14609"/>
  <c r="B280" i="14609"/>
  <c r="C280" i="14609"/>
  <c r="D280" i="14609"/>
  <c r="E280" i="14609"/>
  <c r="F280" i="14609"/>
  <c r="G280" i="14609"/>
  <c r="H280" i="14609"/>
  <c r="I280" i="14609"/>
  <c r="J280" i="14609"/>
  <c r="K280" i="14609"/>
  <c r="L280" i="14609"/>
  <c r="M280" i="14609"/>
  <c r="N280" i="14609"/>
  <c r="O280" i="14609"/>
  <c r="P280" i="14609"/>
  <c r="Q280" i="14609"/>
  <c r="R280" i="14609"/>
  <c r="S280" i="14609"/>
  <c r="T280" i="14609"/>
  <c r="U280" i="14609"/>
  <c r="V280" i="14609"/>
  <c r="W280" i="14609"/>
  <c r="X280" i="14609"/>
  <c r="Y280" i="14609"/>
  <c r="Z280" i="14609"/>
  <c r="AA280" i="14609"/>
  <c r="AB280" i="14609"/>
  <c r="AC280" i="14609"/>
  <c r="AD280" i="14609"/>
  <c r="AE280" i="14609"/>
  <c r="AF280" i="14609"/>
  <c r="AG280" i="14609"/>
  <c r="AH280" i="14609"/>
  <c r="AI280" i="14609"/>
  <c r="AJ280" i="14609"/>
  <c r="AK280" i="14609"/>
  <c r="AL280" i="14609"/>
  <c r="AM280" i="14609"/>
  <c r="AN280" i="14609"/>
  <c r="AO280" i="14609"/>
  <c r="AP280" i="14609"/>
  <c r="AQ280" i="14609"/>
  <c r="AR280" i="14609"/>
  <c r="AS280" i="14609"/>
  <c r="AT280" i="14609"/>
  <c r="AU280" i="14609"/>
  <c r="AV280" i="14609"/>
  <c r="AW280" i="14609"/>
  <c r="AX280" i="14609"/>
  <c r="AY280" i="14609"/>
  <c r="AZ280" i="14609"/>
  <c r="BA280" i="14609"/>
  <c r="BB280" i="14609"/>
  <c r="BC280" i="14609"/>
  <c r="BD280" i="14609"/>
  <c r="BE280" i="14609"/>
  <c r="BF280" i="14609"/>
  <c r="BG280" i="14609"/>
  <c r="BH280" i="14609"/>
  <c r="BI280" i="14609"/>
  <c r="BJ280" i="14609"/>
  <c r="BK280" i="14609"/>
  <c r="BL280" i="14609"/>
  <c r="BM280" i="14609"/>
  <c r="BN280" i="14609"/>
  <c r="BO280" i="14609"/>
  <c r="BP280" i="14609"/>
  <c r="BQ280" i="14609"/>
  <c r="BR280" i="14609"/>
  <c r="BS280" i="14609"/>
  <c r="BT280" i="14609"/>
  <c r="BU280" i="14609"/>
  <c r="BV280" i="14609"/>
  <c r="BW280" i="14609"/>
  <c r="BX280" i="14609"/>
  <c r="BY280" i="14609"/>
  <c r="BZ280" i="14609"/>
  <c r="CA280" i="14609"/>
  <c r="CB280" i="14609"/>
  <c r="CC280" i="14609"/>
  <c r="CD280" i="14609"/>
  <c r="CE280" i="14609"/>
  <c r="CF280" i="14609"/>
  <c r="CG280" i="14609"/>
  <c r="CH280" i="14609"/>
  <c r="CI280" i="14609"/>
  <c r="CJ280" i="14609"/>
  <c r="CK280" i="14609"/>
  <c r="CL280" i="14609"/>
  <c r="CM280" i="14609"/>
  <c r="CN280" i="14609"/>
  <c r="CO280" i="14609"/>
  <c r="CP280" i="14609"/>
  <c r="CQ280" i="14609"/>
  <c r="CR280" i="14609"/>
  <c r="CS280" i="14609"/>
  <c r="CT280" i="14609"/>
  <c r="CU280" i="14609"/>
  <c r="CV280" i="14609"/>
  <c r="CW280" i="14609"/>
  <c r="CX280" i="14609"/>
  <c r="CY280" i="14609"/>
  <c r="CZ280" i="14609"/>
  <c r="DA280" i="14609"/>
  <c r="DB280" i="14609"/>
  <c r="DC280" i="14609"/>
  <c r="DD280" i="14609"/>
  <c r="DE280" i="14609"/>
  <c r="DF280" i="14609"/>
  <c r="DG280" i="14609"/>
  <c r="DH280" i="14609"/>
  <c r="DI280" i="14609"/>
  <c r="DJ280" i="14609"/>
  <c r="DK280" i="14609"/>
  <c r="DL280" i="14609"/>
  <c r="DM280" i="14609"/>
  <c r="DN280" i="14609"/>
  <c r="DO280" i="14609"/>
  <c r="DP280" i="14609"/>
  <c r="DQ280" i="14609"/>
  <c r="DR280" i="14609"/>
  <c r="DS280" i="14609"/>
  <c r="DT280" i="14609"/>
  <c r="DU280" i="14609"/>
  <c r="DV280" i="14609"/>
  <c r="DW280" i="14609"/>
  <c r="DX280" i="14609"/>
  <c r="DY280" i="14609"/>
  <c r="DZ280" i="14609"/>
  <c r="EA280" i="14609"/>
  <c r="EB280" i="14609"/>
  <c r="EC280" i="14609"/>
  <c r="ED280" i="14609"/>
  <c r="EE280" i="14609"/>
  <c r="EF280" i="14609"/>
  <c r="EG280" i="14609"/>
  <c r="EH280" i="14609"/>
  <c r="EI280" i="14609"/>
  <c r="EJ280" i="14609"/>
  <c r="EK280" i="14609"/>
  <c r="EL280" i="14609"/>
  <c r="EM280" i="14609"/>
  <c r="EN280" i="14609"/>
  <c r="EO280" i="14609"/>
  <c r="EP280" i="14609"/>
  <c r="EQ280" i="14609"/>
  <c r="ER280" i="14609"/>
  <c r="ES280" i="14609"/>
  <c r="ET280" i="14609"/>
  <c r="EU280" i="14609"/>
  <c r="EV280" i="14609"/>
  <c r="EW280" i="14609"/>
  <c r="EX280" i="14609"/>
  <c r="EY280" i="14609"/>
  <c r="EZ280" i="14609"/>
  <c r="FA280" i="14609"/>
  <c r="FB280" i="14609"/>
  <c r="FC280" i="14609"/>
  <c r="FD280" i="14609"/>
  <c r="FE280" i="14609"/>
  <c r="FF280" i="14609"/>
  <c r="FG280" i="14609"/>
  <c r="FH280" i="14609"/>
  <c r="FI280" i="14609"/>
  <c r="FJ280" i="14609"/>
  <c r="FK280" i="14609"/>
  <c r="FL280" i="14609"/>
  <c r="FM280" i="14609"/>
  <c r="FN280" i="14609"/>
  <c r="FO280" i="14609"/>
  <c r="FP280" i="14609"/>
  <c r="FQ280" i="14609"/>
  <c r="FR280" i="14609"/>
  <c r="FS280" i="14609"/>
  <c r="FT280" i="14609"/>
  <c r="FU280" i="14609"/>
  <c r="FV280" i="14609"/>
  <c r="FW280" i="14609"/>
  <c r="FX280" i="14609"/>
  <c r="FY280" i="14609"/>
  <c r="FZ280" i="14609"/>
  <c r="GA280" i="14609"/>
  <c r="GB280" i="14609"/>
  <c r="GC280" i="14609"/>
  <c r="GD280" i="14609"/>
  <c r="GE280" i="14609"/>
  <c r="GF280" i="14609"/>
  <c r="GG280" i="14609"/>
  <c r="GH280" i="14609"/>
  <c r="GI280" i="14609"/>
  <c r="GJ280" i="14609"/>
  <c r="GK280" i="14609"/>
  <c r="GL280" i="14609"/>
  <c r="GM280" i="14609"/>
  <c r="GN280" i="14609"/>
  <c r="GO280" i="14609"/>
  <c r="GP280" i="14609"/>
  <c r="GQ280" i="14609"/>
  <c r="GR280" i="14609"/>
  <c r="GS280" i="14609"/>
  <c r="GT280" i="14609"/>
  <c r="GU280" i="14609"/>
  <c r="GV280" i="14609"/>
  <c r="GW280" i="14609"/>
  <c r="GX280" i="14609"/>
  <c r="GY280" i="14609"/>
  <c r="GZ280" i="14609"/>
  <c r="HA280" i="14609"/>
  <c r="HB280" i="14609"/>
  <c r="HC280" i="14609"/>
  <c r="HD280" i="14609"/>
  <c r="HE280" i="14609"/>
  <c r="HF280" i="14609"/>
  <c r="HG280" i="14609"/>
  <c r="HH280" i="14609"/>
  <c r="HI280" i="14609"/>
  <c r="HJ280" i="14609"/>
  <c r="HK280" i="14609"/>
  <c r="HL280" i="14609"/>
  <c r="HM280" i="14609"/>
  <c r="HN280" i="14609"/>
  <c r="HO280" i="14609"/>
  <c r="HP280" i="14609"/>
  <c r="HQ280" i="14609"/>
  <c r="HR280" i="14609"/>
  <c r="HS280" i="14609"/>
  <c r="HT280" i="14609"/>
  <c r="HU280" i="14609"/>
  <c r="HV280" i="14609"/>
  <c r="HW280" i="14609"/>
  <c r="HX280" i="14609"/>
  <c r="HY280" i="14609"/>
  <c r="HZ280" i="14609"/>
  <c r="IA280" i="14609"/>
  <c r="IB280" i="14609"/>
  <c r="IC280" i="14609"/>
  <c r="ID280" i="14609"/>
  <c r="IE280" i="14609"/>
  <c r="IF280" i="14609"/>
  <c r="IG280" i="14609"/>
  <c r="IH280" i="14609"/>
  <c r="II280" i="14609"/>
  <c r="IJ280" i="14609"/>
  <c r="IK280" i="14609"/>
  <c r="IL280" i="14609"/>
  <c r="IM280" i="14609"/>
  <c r="IN280" i="14609"/>
  <c r="IO280" i="14609"/>
  <c r="IP280" i="14609"/>
  <c r="IQ280" i="14609"/>
  <c r="IR280" i="14609"/>
  <c r="IS280" i="14609"/>
  <c r="IT280" i="14609"/>
  <c r="IU280" i="14609"/>
  <c r="IV280" i="14609"/>
  <c r="A279" i="14609"/>
  <c r="B279" i="14609"/>
  <c r="C279" i="14609"/>
  <c r="D279" i="14609"/>
  <c r="E279" i="14609"/>
  <c r="F279" i="14609"/>
  <c r="G279" i="14609"/>
  <c r="H279" i="14609"/>
  <c r="I279" i="14609"/>
  <c r="J279" i="14609"/>
  <c r="K279" i="14609"/>
  <c r="L279" i="14609"/>
  <c r="M279" i="14609"/>
  <c r="N279" i="14609"/>
  <c r="O279" i="14609"/>
  <c r="P279" i="14609"/>
  <c r="Q279" i="14609"/>
  <c r="R279" i="14609"/>
  <c r="S279" i="14609"/>
  <c r="T279" i="14609"/>
  <c r="U279" i="14609"/>
  <c r="V279" i="14609"/>
  <c r="W279" i="14609"/>
  <c r="X279" i="14609"/>
  <c r="Y279" i="14609"/>
  <c r="Z279" i="14609"/>
  <c r="AA279" i="14609"/>
  <c r="AB279" i="14609"/>
  <c r="AC279" i="14609"/>
  <c r="AD279" i="14609"/>
  <c r="AE279" i="14609"/>
  <c r="AF279" i="14609"/>
  <c r="AG279" i="14609"/>
  <c r="AH279" i="14609"/>
  <c r="AI279" i="14609"/>
  <c r="AJ279" i="14609"/>
  <c r="AK279" i="14609"/>
  <c r="AL279" i="14609"/>
  <c r="AM279" i="14609"/>
  <c r="AN279" i="14609"/>
  <c r="AO279" i="14609"/>
  <c r="AP279" i="14609"/>
  <c r="AQ279" i="14609"/>
  <c r="AR279" i="14609"/>
  <c r="AS279" i="14609"/>
  <c r="AT279" i="14609"/>
  <c r="AU279" i="14609"/>
  <c r="AV279" i="14609"/>
  <c r="AW279" i="14609"/>
  <c r="AX279" i="14609"/>
  <c r="AY279" i="14609"/>
  <c r="AZ279" i="14609"/>
  <c r="BA279" i="14609"/>
  <c r="BB279" i="14609"/>
  <c r="BC279" i="14609"/>
  <c r="BD279" i="14609"/>
  <c r="BE279" i="14609"/>
  <c r="BF279" i="14609"/>
  <c r="BG279" i="14609"/>
  <c r="BH279" i="14609"/>
  <c r="BI279" i="14609"/>
  <c r="BJ279" i="14609"/>
  <c r="BK279" i="14609"/>
  <c r="BL279" i="14609"/>
  <c r="BM279" i="14609"/>
  <c r="BN279" i="14609"/>
  <c r="BO279" i="14609"/>
  <c r="BP279" i="14609"/>
  <c r="BQ279" i="14609"/>
  <c r="BR279" i="14609"/>
  <c r="BS279" i="14609"/>
  <c r="BT279" i="14609"/>
  <c r="BU279" i="14609"/>
  <c r="BV279" i="14609"/>
  <c r="BW279" i="14609"/>
  <c r="BX279" i="14609"/>
  <c r="BY279" i="14609"/>
  <c r="BZ279" i="14609"/>
  <c r="CA279" i="14609"/>
  <c r="CB279" i="14609"/>
  <c r="CC279" i="14609"/>
  <c r="CD279" i="14609"/>
  <c r="CE279" i="14609"/>
  <c r="CF279" i="14609"/>
  <c r="CG279" i="14609"/>
  <c r="CH279" i="14609"/>
  <c r="CI279" i="14609"/>
  <c r="CJ279" i="14609"/>
  <c r="CK279" i="14609"/>
  <c r="CL279" i="14609"/>
  <c r="CM279" i="14609"/>
  <c r="CN279" i="14609"/>
  <c r="CO279" i="14609"/>
  <c r="CP279" i="14609"/>
  <c r="CQ279" i="14609"/>
  <c r="CR279" i="14609"/>
  <c r="CS279" i="14609"/>
  <c r="CT279" i="14609"/>
  <c r="CU279" i="14609"/>
  <c r="CV279" i="14609"/>
  <c r="CW279" i="14609"/>
  <c r="CX279" i="14609"/>
  <c r="CY279" i="14609"/>
  <c r="CZ279" i="14609"/>
  <c r="DA279" i="14609"/>
  <c r="DB279" i="14609"/>
  <c r="DC279" i="14609"/>
  <c r="DD279" i="14609"/>
  <c r="DE279" i="14609"/>
  <c r="DF279" i="14609"/>
  <c r="DG279" i="14609"/>
  <c r="DH279" i="14609"/>
  <c r="DI279" i="14609"/>
  <c r="DJ279" i="14609"/>
  <c r="DK279" i="14609"/>
  <c r="DL279" i="14609"/>
  <c r="DM279" i="14609"/>
  <c r="DN279" i="14609"/>
  <c r="DO279" i="14609"/>
  <c r="DP279" i="14609"/>
  <c r="DQ279" i="14609"/>
  <c r="DR279" i="14609"/>
  <c r="DS279" i="14609"/>
  <c r="DT279" i="14609"/>
  <c r="DU279" i="14609"/>
  <c r="DV279" i="14609"/>
  <c r="DW279" i="14609"/>
  <c r="DX279" i="14609"/>
  <c r="DY279" i="14609"/>
  <c r="DZ279" i="14609"/>
  <c r="EA279" i="14609"/>
  <c r="EB279" i="14609"/>
  <c r="EC279" i="14609"/>
  <c r="ED279" i="14609"/>
  <c r="EE279" i="14609"/>
  <c r="EF279" i="14609"/>
  <c r="EG279" i="14609"/>
  <c r="EH279" i="14609"/>
  <c r="EI279" i="14609"/>
  <c r="EJ279" i="14609"/>
  <c r="EK279" i="14609"/>
  <c r="EL279" i="14609"/>
  <c r="EM279" i="14609"/>
  <c r="EN279" i="14609"/>
  <c r="EO279" i="14609"/>
  <c r="EP279" i="14609"/>
  <c r="EQ279" i="14609"/>
  <c r="ER279" i="14609"/>
  <c r="ES279" i="14609"/>
  <c r="ET279" i="14609"/>
  <c r="EU279" i="14609"/>
  <c r="EV279" i="14609"/>
  <c r="EW279" i="14609"/>
  <c r="EX279" i="14609"/>
  <c r="EY279" i="14609"/>
  <c r="EZ279" i="14609"/>
  <c r="FA279" i="14609"/>
  <c r="FB279" i="14609"/>
  <c r="FC279" i="14609"/>
  <c r="FD279" i="14609"/>
  <c r="FE279" i="14609"/>
  <c r="FF279" i="14609"/>
  <c r="FG279" i="14609"/>
  <c r="FH279" i="14609"/>
  <c r="FI279" i="14609"/>
  <c r="FJ279" i="14609"/>
  <c r="FK279" i="14609"/>
  <c r="FL279" i="14609"/>
  <c r="FM279" i="14609"/>
  <c r="FN279" i="14609"/>
  <c r="FO279" i="14609"/>
  <c r="FP279" i="14609"/>
  <c r="FQ279" i="14609"/>
  <c r="FR279" i="14609"/>
  <c r="FS279" i="14609"/>
  <c r="FT279" i="14609"/>
  <c r="FU279" i="14609"/>
  <c r="FV279" i="14609"/>
  <c r="FW279" i="14609"/>
  <c r="FX279" i="14609"/>
  <c r="FY279" i="14609"/>
  <c r="FZ279" i="14609"/>
  <c r="GA279" i="14609"/>
  <c r="GB279" i="14609"/>
  <c r="GC279" i="14609"/>
  <c r="GD279" i="14609"/>
  <c r="GE279" i="14609"/>
  <c r="GF279" i="14609"/>
  <c r="GG279" i="14609"/>
  <c r="GH279" i="14609"/>
  <c r="GI279" i="14609"/>
  <c r="GJ279" i="14609"/>
  <c r="GK279" i="14609"/>
  <c r="GL279" i="14609"/>
  <c r="GM279" i="14609"/>
  <c r="GN279" i="14609"/>
  <c r="GO279" i="14609"/>
  <c r="GP279" i="14609"/>
  <c r="GQ279" i="14609"/>
  <c r="GR279" i="14609"/>
  <c r="GS279" i="14609"/>
  <c r="GT279" i="14609"/>
  <c r="GU279" i="14609"/>
  <c r="GV279" i="14609"/>
  <c r="GW279" i="14609"/>
  <c r="GX279" i="14609"/>
  <c r="GY279" i="14609"/>
  <c r="GZ279" i="14609"/>
  <c r="HA279" i="14609"/>
  <c r="HB279" i="14609"/>
  <c r="HC279" i="14609"/>
  <c r="HD279" i="14609"/>
  <c r="HE279" i="14609"/>
  <c r="HF279" i="14609"/>
  <c r="HG279" i="14609"/>
  <c r="HH279" i="14609"/>
  <c r="HI279" i="14609"/>
  <c r="HJ279" i="14609"/>
  <c r="HK279" i="14609"/>
  <c r="HL279" i="14609"/>
  <c r="HM279" i="14609"/>
  <c r="HN279" i="14609"/>
  <c r="HO279" i="14609"/>
  <c r="HP279" i="14609"/>
  <c r="HQ279" i="14609"/>
  <c r="HR279" i="14609"/>
  <c r="HS279" i="14609"/>
  <c r="HT279" i="14609"/>
  <c r="HU279" i="14609"/>
  <c r="HV279" i="14609"/>
  <c r="HW279" i="14609"/>
  <c r="HX279" i="14609"/>
  <c r="HY279" i="14609"/>
  <c r="HZ279" i="14609"/>
  <c r="IA279" i="14609"/>
  <c r="IB279" i="14609"/>
  <c r="IC279" i="14609"/>
  <c r="ID279" i="14609"/>
  <c r="IE279" i="14609"/>
  <c r="IF279" i="14609"/>
  <c r="IG279" i="14609"/>
  <c r="IH279" i="14609"/>
  <c r="II279" i="14609"/>
  <c r="IJ279" i="14609"/>
  <c r="IK279" i="14609"/>
  <c r="IL279" i="14609"/>
  <c r="IM279" i="14609"/>
  <c r="IN279" i="14609"/>
  <c r="IO279" i="14609"/>
  <c r="IP279" i="14609"/>
  <c r="IQ279" i="14609"/>
  <c r="IR279" i="14609"/>
  <c r="IS279" i="14609"/>
  <c r="IT279" i="14609"/>
  <c r="IU279" i="14609"/>
  <c r="IV279" i="14609"/>
  <c r="A278" i="14609"/>
  <c r="B278" i="14609"/>
  <c r="C278" i="14609"/>
  <c r="D278" i="14609"/>
  <c r="E278" i="14609"/>
  <c r="F278" i="14609"/>
  <c r="G278" i="14609"/>
  <c r="H278" i="14609"/>
  <c r="I278" i="14609"/>
  <c r="J278" i="14609"/>
  <c r="K278" i="14609"/>
  <c r="L278" i="14609"/>
  <c r="M278" i="14609"/>
  <c r="N278" i="14609"/>
  <c r="O278" i="14609"/>
  <c r="P278" i="14609"/>
  <c r="Q278" i="14609"/>
  <c r="R278" i="14609"/>
  <c r="S278" i="14609"/>
  <c r="T278" i="14609"/>
  <c r="U278" i="14609"/>
  <c r="V278" i="14609"/>
  <c r="W278" i="14609"/>
  <c r="X278" i="14609"/>
  <c r="Y278" i="14609"/>
  <c r="Z278" i="14609"/>
  <c r="AA278" i="14609"/>
  <c r="AB278" i="14609"/>
  <c r="AC278" i="14609"/>
  <c r="AD278" i="14609"/>
  <c r="AE278" i="14609"/>
  <c r="AF278" i="14609"/>
  <c r="AG278" i="14609"/>
  <c r="AH278" i="14609"/>
  <c r="AI278" i="14609"/>
  <c r="AJ278" i="14609"/>
  <c r="AK278" i="14609"/>
  <c r="AL278" i="14609"/>
  <c r="AM278" i="14609"/>
  <c r="AN278" i="14609"/>
  <c r="AO278" i="14609"/>
  <c r="AP278" i="14609"/>
  <c r="AQ278" i="14609"/>
  <c r="AR278" i="14609"/>
  <c r="AS278" i="14609"/>
  <c r="AT278" i="14609"/>
  <c r="AU278" i="14609"/>
  <c r="AV278" i="14609"/>
  <c r="AW278" i="14609"/>
  <c r="AX278" i="14609"/>
  <c r="AY278" i="14609"/>
  <c r="AZ278" i="14609"/>
  <c r="BA278" i="14609"/>
  <c r="BB278" i="14609"/>
  <c r="BC278" i="14609"/>
  <c r="BD278" i="14609"/>
  <c r="BE278" i="14609"/>
  <c r="BF278" i="14609"/>
  <c r="BG278" i="14609"/>
  <c r="BH278" i="14609"/>
  <c r="BI278" i="14609"/>
  <c r="BJ278" i="14609"/>
  <c r="BK278" i="14609"/>
  <c r="BL278" i="14609"/>
  <c r="BM278" i="14609"/>
  <c r="BN278" i="14609"/>
  <c r="BO278" i="14609"/>
  <c r="BP278" i="14609"/>
  <c r="BQ278" i="14609"/>
  <c r="BR278" i="14609"/>
  <c r="BS278" i="14609"/>
  <c r="BT278" i="14609"/>
  <c r="BU278" i="14609"/>
  <c r="BV278" i="14609"/>
  <c r="BW278" i="14609"/>
  <c r="BX278" i="14609"/>
  <c r="BY278" i="14609"/>
  <c r="BZ278" i="14609"/>
  <c r="CA278" i="14609"/>
  <c r="CB278" i="14609"/>
  <c r="CC278" i="14609"/>
  <c r="CD278" i="14609"/>
  <c r="CE278" i="14609"/>
  <c r="CF278" i="14609"/>
  <c r="CG278" i="14609"/>
  <c r="CH278" i="14609"/>
  <c r="CI278" i="14609"/>
  <c r="CJ278" i="14609"/>
  <c r="CK278" i="14609"/>
  <c r="CL278" i="14609"/>
  <c r="CM278" i="14609"/>
  <c r="CN278" i="14609"/>
  <c r="CO278" i="14609"/>
  <c r="CP278" i="14609"/>
  <c r="CQ278" i="14609"/>
  <c r="CR278" i="14609"/>
  <c r="CS278" i="14609"/>
  <c r="CT278" i="14609"/>
  <c r="CU278" i="14609"/>
  <c r="CV278" i="14609"/>
  <c r="CW278" i="14609"/>
  <c r="CX278" i="14609"/>
  <c r="CY278" i="14609"/>
  <c r="CZ278" i="14609"/>
  <c r="DA278" i="14609"/>
  <c r="DB278" i="14609"/>
  <c r="DC278" i="14609"/>
  <c r="DD278" i="14609"/>
  <c r="DE278" i="14609"/>
  <c r="DF278" i="14609"/>
  <c r="DG278" i="14609"/>
  <c r="DH278" i="14609"/>
  <c r="DI278" i="14609"/>
  <c r="DJ278" i="14609"/>
  <c r="DK278" i="14609"/>
  <c r="DL278" i="14609"/>
  <c r="DM278" i="14609"/>
  <c r="DN278" i="14609"/>
  <c r="DO278" i="14609"/>
  <c r="DP278" i="14609"/>
  <c r="DQ278" i="14609"/>
  <c r="DR278" i="14609"/>
  <c r="DS278" i="14609"/>
  <c r="DT278" i="14609"/>
  <c r="DU278" i="14609"/>
  <c r="DV278" i="14609"/>
  <c r="DW278" i="14609"/>
  <c r="DX278" i="14609"/>
  <c r="DY278" i="14609"/>
  <c r="DZ278" i="14609"/>
  <c r="EA278" i="14609"/>
  <c r="EB278" i="14609"/>
  <c r="EC278" i="14609"/>
  <c r="ED278" i="14609"/>
  <c r="EE278" i="14609"/>
  <c r="EF278" i="14609"/>
  <c r="EG278" i="14609"/>
  <c r="EH278" i="14609"/>
  <c r="EI278" i="14609"/>
  <c r="EJ278" i="14609"/>
  <c r="EK278" i="14609"/>
  <c r="EL278" i="14609"/>
  <c r="EM278" i="14609"/>
  <c r="EN278" i="14609"/>
  <c r="EO278" i="14609"/>
  <c r="EP278" i="14609"/>
  <c r="EQ278" i="14609"/>
  <c r="ER278" i="14609"/>
  <c r="ES278" i="14609"/>
  <c r="ET278" i="14609"/>
  <c r="EU278" i="14609"/>
  <c r="EV278" i="14609"/>
  <c r="EW278" i="14609"/>
  <c r="EX278" i="14609"/>
  <c r="EY278" i="14609"/>
  <c r="EZ278" i="14609"/>
  <c r="FA278" i="14609"/>
  <c r="FB278" i="14609"/>
  <c r="FC278" i="14609"/>
  <c r="FD278" i="14609"/>
  <c r="FE278" i="14609"/>
  <c r="FF278" i="14609"/>
  <c r="FG278" i="14609"/>
  <c r="FH278" i="14609"/>
  <c r="FI278" i="14609"/>
  <c r="FJ278" i="14609"/>
  <c r="FK278" i="14609"/>
  <c r="FL278" i="14609"/>
  <c r="FM278" i="14609"/>
  <c r="FN278" i="14609"/>
  <c r="FO278" i="14609"/>
  <c r="FP278" i="14609"/>
  <c r="FQ278" i="14609"/>
  <c r="FR278" i="14609"/>
  <c r="FS278" i="14609"/>
  <c r="FT278" i="14609"/>
  <c r="FU278" i="14609"/>
  <c r="FV278" i="14609"/>
  <c r="FW278" i="14609"/>
  <c r="FX278" i="14609"/>
  <c r="FY278" i="14609"/>
  <c r="FZ278" i="14609"/>
  <c r="GA278" i="14609"/>
  <c r="GB278" i="14609"/>
  <c r="GC278" i="14609"/>
  <c r="GD278" i="14609"/>
  <c r="GE278" i="14609"/>
  <c r="GF278" i="14609"/>
  <c r="GG278" i="14609"/>
  <c r="GH278" i="14609"/>
  <c r="GI278" i="14609"/>
  <c r="GJ278" i="14609"/>
  <c r="GK278" i="14609"/>
  <c r="GL278" i="14609"/>
  <c r="GM278" i="14609"/>
  <c r="GN278" i="14609"/>
  <c r="GO278" i="14609"/>
  <c r="GP278" i="14609"/>
  <c r="GQ278" i="14609"/>
  <c r="GR278" i="14609"/>
  <c r="GS278" i="14609"/>
  <c r="GT278" i="14609"/>
  <c r="GU278" i="14609"/>
  <c r="GV278" i="14609"/>
  <c r="GW278" i="14609"/>
  <c r="GX278" i="14609"/>
  <c r="GY278" i="14609"/>
  <c r="GZ278" i="14609"/>
  <c r="HA278" i="14609"/>
  <c r="HB278" i="14609"/>
  <c r="HC278" i="14609"/>
  <c r="HD278" i="14609"/>
  <c r="HE278" i="14609"/>
  <c r="HF278" i="14609"/>
  <c r="HG278" i="14609"/>
  <c r="HH278" i="14609"/>
  <c r="HI278" i="14609"/>
  <c r="HJ278" i="14609"/>
  <c r="HK278" i="14609"/>
  <c r="HL278" i="14609"/>
  <c r="HM278" i="14609"/>
  <c r="HN278" i="14609"/>
  <c r="HO278" i="14609"/>
  <c r="HP278" i="14609"/>
  <c r="HQ278" i="14609"/>
  <c r="HR278" i="14609"/>
  <c r="HS278" i="14609"/>
  <c r="HT278" i="14609"/>
  <c r="HU278" i="14609"/>
  <c r="HV278" i="14609"/>
  <c r="HW278" i="14609"/>
  <c r="HX278" i="14609"/>
  <c r="HY278" i="14609"/>
  <c r="HZ278" i="14609"/>
  <c r="IA278" i="14609"/>
  <c r="IB278" i="14609"/>
  <c r="IC278" i="14609"/>
  <c r="ID278" i="14609"/>
  <c r="IE278" i="14609"/>
  <c r="IF278" i="14609"/>
  <c r="IG278" i="14609"/>
  <c r="IH278" i="14609"/>
  <c r="II278" i="14609"/>
  <c r="IJ278" i="14609"/>
  <c r="IK278" i="14609"/>
  <c r="IL278" i="14609"/>
  <c r="IM278" i="14609"/>
  <c r="IN278" i="14609"/>
  <c r="IO278" i="14609"/>
  <c r="IP278" i="14609"/>
  <c r="IQ278" i="14609"/>
  <c r="IR278" i="14609"/>
  <c r="IS278" i="14609"/>
  <c r="IT278" i="14609"/>
  <c r="IU278" i="14609"/>
  <c r="IV278" i="14609"/>
  <c r="A277" i="14609"/>
  <c r="B277" i="14609"/>
  <c r="C277" i="14609"/>
  <c r="D277" i="14609"/>
  <c r="E277" i="14609"/>
  <c r="F277" i="14609"/>
  <c r="G277" i="14609"/>
  <c r="H277" i="14609"/>
  <c r="I277" i="14609"/>
  <c r="J277" i="14609"/>
  <c r="K277" i="14609"/>
  <c r="L277" i="14609"/>
  <c r="M277" i="14609"/>
  <c r="N277" i="14609"/>
  <c r="O277" i="14609"/>
  <c r="P277" i="14609"/>
  <c r="Q277" i="14609"/>
  <c r="R277" i="14609"/>
  <c r="S277" i="14609"/>
  <c r="T277" i="14609"/>
  <c r="U277" i="14609"/>
  <c r="V277" i="14609"/>
  <c r="W277" i="14609"/>
  <c r="X277" i="14609"/>
  <c r="Y277" i="14609"/>
  <c r="Z277" i="14609"/>
  <c r="AA277" i="14609"/>
  <c r="AB277" i="14609"/>
  <c r="AC277" i="14609"/>
  <c r="AD277" i="14609"/>
  <c r="AE277" i="14609"/>
  <c r="AF277" i="14609"/>
  <c r="AG277" i="14609"/>
  <c r="AH277" i="14609"/>
  <c r="AI277" i="14609"/>
  <c r="AJ277" i="14609"/>
  <c r="AK277" i="14609"/>
  <c r="AL277" i="14609"/>
  <c r="AM277" i="14609"/>
  <c r="AN277" i="14609"/>
  <c r="AO277" i="14609"/>
  <c r="AP277" i="14609"/>
  <c r="AQ277" i="14609"/>
  <c r="AR277" i="14609"/>
  <c r="AS277" i="14609"/>
  <c r="AT277" i="14609"/>
  <c r="AU277" i="14609"/>
  <c r="AV277" i="14609"/>
  <c r="AW277" i="14609"/>
  <c r="AX277" i="14609"/>
  <c r="AY277" i="14609"/>
  <c r="AZ277" i="14609"/>
  <c r="BA277" i="14609"/>
  <c r="BB277" i="14609"/>
  <c r="BC277" i="14609"/>
  <c r="BD277" i="14609"/>
  <c r="BE277" i="14609"/>
  <c r="BF277" i="14609"/>
  <c r="BG277" i="14609"/>
  <c r="BH277" i="14609"/>
  <c r="BI277" i="14609"/>
  <c r="BJ277" i="14609"/>
  <c r="BK277" i="14609"/>
  <c r="BL277" i="14609"/>
  <c r="BM277" i="14609"/>
  <c r="BN277" i="14609"/>
  <c r="BO277" i="14609"/>
  <c r="BP277" i="14609"/>
  <c r="BQ277" i="14609"/>
  <c r="BR277" i="14609"/>
  <c r="BS277" i="14609"/>
  <c r="BT277" i="14609"/>
  <c r="BU277" i="14609"/>
  <c r="BV277" i="14609"/>
  <c r="BW277" i="14609"/>
  <c r="BX277" i="14609"/>
  <c r="BY277" i="14609"/>
  <c r="BZ277" i="14609"/>
  <c r="CA277" i="14609"/>
  <c r="CB277" i="14609"/>
  <c r="CC277" i="14609"/>
  <c r="CD277" i="14609"/>
  <c r="CE277" i="14609"/>
  <c r="CF277" i="14609"/>
  <c r="CG277" i="14609"/>
  <c r="CH277" i="14609"/>
  <c r="CI277" i="14609"/>
  <c r="CJ277" i="14609"/>
  <c r="CK277" i="14609"/>
  <c r="CL277" i="14609"/>
  <c r="CM277" i="14609"/>
  <c r="CN277" i="14609"/>
  <c r="CO277" i="14609"/>
  <c r="CP277" i="14609"/>
  <c r="CQ277" i="14609"/>
  <c r="CR277" i="14609"/>
  <c r="CS277" i="14609"/>
  <c r="CT277" i="14609"/>
  <c r="CU277" i="14609"/>
  <c r="CV277" i="14609"/>
  <c r="CW277" i="14609"/>
  <c r="CX277" i="14609"/>
  <c r="CY277" i="14609"/>
  <c r="CZ277" i="14609"/>
  <c r="DA277" i="14609"/>
  <c r="DB277" i="14609"/>
  <c r="DC277" i="14609"/>
  <c r="DD277" i="14609"/>
  <c r="DE277" i="14609"/>
  <c r="DF277" i="14609"/>
  <c r="DG277" i="14609"/>
  <c r="DH277" i="14609"/>
  <c r="DI277" i="14609"/>
  <c r="DJ277" i="14609"/>
  <c r="DK277" i="14609"/>
  <c r="DL277" i="14609"/>
  <c r="DM277" i="14609"/>
  <c r="DN277" i="14609"/>
  <c r="DO277" i="14609"/>
  <c r="DP277" i="14609"/>
  <c r="DQ277" i="14609"/>
  <c r="DR277" i="14609"/>
  <c r="DS277" i="14609"/>
  <c r="DT277" i="14609"/>
  <c r="DU277" i="14609"/>
  <c r="DV277" i="14609"/>
  <c r="DW277" i="14609"/>
  <c r="DX277" i="14609"/>
  <c r="DY277" i="14609"/>
  <c r="DZ277" i="14609"/>
  <c r="EA277" i="14609"/>
  <c r="EB277" i="14609"/>
  <c r="EC277" i="14609"/>
  <c r="ED277" i="14609"/>
  <c r="EE277" i="14609"/>
  <c r="EF277" i="14609"/>
  <c r="EG277" i="14609"/>
  <c r="EH277" i="14609"/>
  <c r="EI277" i="14609"/>
  <c r="EJ277" i="14609"/>
  <c r="EK277" i="14609"/>
  <c r="EL277" i="14609"/>
  <c r="EM277" i="14609"/>
  <c r="EN277" i="14609"/>
  <c r="EO277" i="14609"/>
  <c r="EP277" i="14609"/>
  <c r="EQ277" i="14609"/>
  <c r="ER277" i="14609"/>
  <c r="ES277" i="14609"/>
  <c r="ET277" i="14609"/>
  <c r="EU277" i="14609"/>
  <c r="EV277" i="14609"/>
  <c r="EW277" i="14609"/>
  <c r="EX277" i="14609"/>
  <c r="EY277" i="14609"/>
  <c r="EZ277" i="14609"/>
  <c r="FA277" i="14609"/>
  <c r="FB277" i="14609"/>
  <c r="FC277" i="14609"/>
  <c r="FD277" i="14609"/>
  <c r="FE277" i="14609"/>
  <c r="FF277" i="14609"/>
  <c r="FG277" i="14609"/>
  <c r="FH277" i="14609"/>
  <c r="FI277" i="14609"/>
  <c r="FJ277" i="14609"/>
  <c r="FK277" i="14609"/>
  <c r="FL277" i="14609"/>
  <c r="FM277" i="14609"/>
  <c r="FN277" i="14609"/>
  <c r="FO277" i="14609"/>
  <c r="FP277" i="14609"/>
  <c r="FQ277" i="14609"/>
  <c r="FR277" i="14609"/>
  <c r="FS277" i="14609"/>
  <c r="FT277" i="14609"/>
  <c r="FU277" i="14609"/>
  <c r="FV277" i="14609"/>
  <c r="FW277" i="14609"/>
  <c r="FX277" i="14609"/>
  <c r="FY277" i="14609"/>
  <c r="FZ277" i="14609"/>
  <c r="GA277" i="14609"/>
  <c r="GB277" i="14609"/>
  <c r="GC277" i="14609"/>
  <c r="GD277" i="14609"/>
  <c r="GE277" i="14609"/>
  <c r="GF277" i="14609"/>
  <c r="GG277" i="14609"/>
  <c r="GH277" i="14609"/>
  <c r="GI277" i="14609"/>
  <c r="GJ277" i="14609"/>
  <c r="GK277" i="14609"/>
  <c r="GL277" i="14609"/>
  <c r="GM277" i="14609"/>
  <c r="GN277" i="14609"/>
  <c r="GO277" i="14609"/>
  <c r="GP277" i="14609"/>
  <c r="GQ277" i="14609"/>
  <c r="GR277" i="14609"/>
  <c r="GS277" i="14609"/>
  <c r="GT277" i="14609"/>
  <c r="GU277" i="14609"/>
  <c r="GV277" i="14609"/>
  <c r="GW277" i="14609"/>
  <c r="GX277" i="14609"/>
  <c r="GY277" i="14609"/>
  <c r="GZ277" i="14609"/>
  <c r="HA277" i="14609"/>
  <c r="HB277" i="14609"/>
  <c r="HC277" i="14609"/>
  <c r="HD277" i="14609"/>
  <c r="HE277" i="14609"/>
  <c r="HF277" i="14609"/>
  <c r="HG277" i="14609"/>
  <c r="HH277" i="14609"/>
  <c r="HI277" i="14609"/>
  <c r="HJ277" i="14609"/>
  <c r="HK277" i="14609"/>
  <c r="HL277" i="14609"/>
  <c r="HM277" i="14609"/>
  <c r="HN277" i="14609"/>
  <c r="HO277" i="14609"/>
  <c r="HP277" i="14609"/>
  <c r="HQ277" i="14609"/>
  <c r="HR277" i="14609"/>
  <c r="HS277" i="14609"/>
  <c r="HT277" i="14609"/>
  <c r="HU277" i="14609"/>
  <c r="HV277" i="14609"/>
  <c r="HW277" i="14609"/>
  <c r="HX277" i="14609"/>
  <c r="HY277" i="14609"/>
  <c r="HZ277" i="14609"/>
  <c r="IA277" i="14609"/>
  <c r="IB277" i="14609"/>
  <c r="IC277" i="14609"/>
  <c r="ID277" i="14609"/>
  <c r="IE277" i="14609"/>
  <c r="IF277" i="14609"/>
  <c r="IG277" i="14609"/>
  <c r="IH277" i="14609"/>
  <c r="II277" i="14609"/>
  <c r="IJ277" i="14609"/>
  <c r="IK277" i="14609"/>
  <c r="IL277" i="14609"/>
  <c r="IM277" i="14609"/>
  <c r="IN277" i="14609"/>
  <c r="IO277" i="14609"/>
  <c r="IP277" i="14609"/>
  <c r="IQ277" i="14609"/>
  <c r="IR277" i="14609"/>
  <c r="IS277" i="14609"/>
  <c r="IT277" i="14609"/>
  <c r="IU277" i="14609"/>
  <c r="IV277" i="14609"/>
  <c r="A276" i="14609"/>
  <c r="B276" i="14609"/>
  <c r="C276" i="14609"/>
  <c r="D276" i="14609"/>
  <c r="E276" i="14609"/>
  <c r="F276" i="14609"/>
  <c r="G276" i="14609"/>
  <c r="H276" i="14609"/>
  <c r="I276" i="14609"/>
  <c r="J276" i="14609"/>
  <c r="K276" i="14609"/>
  <c r="L276" i="14609"/>
  <c r="M276" i="14609"/>
  <c r="N276" i="14609"/>
  <c r="O276" i="14609"/>
  <c r="P276" i="14609"/>
  <c r="Q276" i="14609"/>
  <c r="R276" i="14609"/>
  <c r="S276" i="14609"/>
  <c r="T276" i="14609"/>
  <c r="U276" i="14609"/>
  <c r="V276" i="14609"/>
  <c r="W276" i="14609"/>
  <c r="X276" i="14609"/>
  <c r="Y276" i="14609"/>
  <c r="Z276" i="14609"/>
  <c r="AA276" i="14609"/>
  <c r="AB276" i="14609"/>
  <c r="AC276" i="14609"/>
  <c r="AD276" i="14609"/>
  <c r="AE276" i="14609"/>
  <c r="AF276" i="14609"/>
  <c r="AG276" i="14609"/>
  <c r="AH276" i="14609"/>
  <c r="AI276" i="14609"/>
  <c r="AJ276" i="14609"/>
  <c r="AK276" i="14609"/>
  <c r="AL276" i="14609"/>
  <c r="AM276" i="14609"/>
  <c r="AN276" i="14609"/>
  <c r="AO276" i="14609"/>
  <c r="AP276" i="14609"/>
  <c r="AQ276" i="14609"/>
  <c r="AR276" i="14609"/>
  <c r="AS276" i="14609"/>
  <c r="AT276" i="14609"/>
  <c r="AU276" i="14609"/>
  <c r="AV276" i="14609"/>
  <c r="AW276" i="14609"/>
  <c r="AX276" i="14609"/>
  <c r="AY276" i="14609"/>
  <c r="AZ276" i="14609"/>
  <c r="BA276" i="14609"/>
  <c r="BB276" i="14609"/>
  <c r="BC276" i="14609"/>
  <c r="BD276" i="14609"/>
  <c r="BE276" i="14609"/>
  <c r="BF276" i="14609"/>
  <c r="BG276" i="14609"/>
  <c r="BH276" i="14609"/>
  <c r="BI276" i="14609"/>
  <c r="BJ276" i="14609"/>
  <c r="BK276" i="14609"/>
  <c r="BL276" i="14609"/>
  <c r="BM276" i="14609"/>
  <c r="BN276" i="14609"/>
  <c r="BO276" i="14609"/>
  <c r="BP276" i="14609"/>
  <c r="BQ276" i="14609"/>
  <c r="BR276" i="14609"/>
  <c r="BS276" i="14609"/>
  <c r="BT276" i="14609"/>
  <c r="BU276" i="14609"/>
  <c r="BV276" i="14609"/>
  <c r="BW276" i="14609"/>
  <c r="BX276" i="14609"/>
  <c r="BY276" i="14609"/>
  <c r="BZ276" i="14609"/>
  <c r="CA276" i="14609"/>
  <c r="CB276" i="14609"/>
  <c r="CC276" i="14609"/>
  <c r="CD276" i="14609"/>
  <c r="CE276" i="14609"/>
  <c r="CF276" i="14609"/>
  <c r="CG276" i="14609"/>
  <c r="CH276" i="14609"/>
  <c r="CI276" i="14609"/>
  <c r="CJ276" i="14609"/>
  <c r="CK276" i="14609"/>
  <c r="CL276" i="14609"/>
  <c r="CM276" i="14609"/>
  <c r="CN276" i="14609"/>
  <c r="CO276" i="14609"/>
  <c r="CP276" i="14609"/>
  <c r="CQ276" i="14609"/>
  <c r="CR276" i="14609"/>
  <c r="CS276" i="14609"/>
  <c r="CT276" i="14609"/>
  <c r="CU276" i="14609"/>
  <c r="CV276" i="14609"/>
  <c r="CW276" i="14609"/>
  <c r="CX276" i="14609"/>
  <c r="CY276" i="14609"/>
  <c r="CZ276" i="14609"/>
  <c r="DA276" i="14609"/>
  <c r="DB276" i="14609"/>
  <c r="DC276" i="14609"/>
  <c r="DD276" i="14609"/>
  <c r="DE276" i="14609"/>
  <c r="DF276" i="14609"/>
  <c r="DG276" i="14609"/>
  <c r="DH276" i="14609"/>
  <c r="DI276" i="14609"/>
  <c r="DJ276" i="14609"/>
  <c r="DK276" i="14609"/>
  <c r="DL276" i="14609"/>
  <c r="DM276" i="14609"/>
  <c r="DN276" i="14609"/>
  <c r="DO276" i="14609"/>
  <c r="DP276" i="14609"/>
  <c r="DQ276" i="14609"/>
  <c r="DR276" i="14609"/>
  <c r="DS276" i="14609"/>
  <c r="DT276" i="14609"/>
  <c r="DU276" i="14609"/>
  <c r="DV276" i="14609"/>
  <c r="DW276" i="14609"/>
  <c r="DX276" i="14609"/>
  <c r="DY276" i="14609"/>
  <c r="DZ276" i="14609"/>
  <c r="EA276" i="14609"/>
  <c r="EB276" i="14609"/>
  <c r="EC276" i="14609"/>
  <c r="ED276" i="14609"/>
  <c r="EE276" i="14609"/>
  <c r="EF276" i="14609"/>
  <c r="EG276" i="14609"/>
  <c r="EH276" i="14609"/>
  <c r="EI276" i="14609"/>
  <c r="EJ276" i="14609"/>
  <c r="EK276" i="14609"/>
  <c r="EL276" i="14609"/>
  <c r="EM276" i="14609"/>
  <c r="EN276" i="14609"/>
  <c r="EO276" i="14609"/>
  <c r="EP276" i="14609"/>
  <c r="EQ276" i="14609"/>
  <c r="ER276" i="14609"/>
  <c r="ES276" i="14609"/>
  <c r="ET276" i="14609"/>
  <c r="EU276" i="14609"/>
  <c r="EV276" i="14609"/>
  <c r="EW276" i="14609"/>
  <c r="EX276" i="14609"/>
  <c r="EY276" i="14609"/>
  <c r="EZ276" i="14609"/>
  <c r="FA276" i="14609"/>
  <c r="FB276" i="14609"/>
  <c r="FC276" i="14609"/>
  <c r="FD276" i="14609"/>
  <c r="FE276" i="14609"/>
  <c r="FF276" i="14609"/>
  <c r="FG276" i="14609"/>
  <c r="FH276" i="14609"/>
  <c r="FI276" i="14609"/>
  <c r="FJ276" i="14609"/>
  <c r="FK276" i="14609"/>
  <c r="FL276" i="14609"/>
  <c r="FM276" i="14609"/>
  <c r="FN276" i="14609"/>
  <c r="FO276" i="14609"/>
  <c r="FP276" i="14609"/>
  <c r="FQ276" i="14609"/>
  <c r="FR276" i="14609"/>
  <c r="FS276" i="14609"/>
  <c r="FT276" i="14609"/>
  <c r="FU276" i="14609"/>
  <c r="FV276" i="14609"/>
  <c r="FW276" i="14609"/>
  <c r="FX276" i="14609"/>
  <c r="FY276" i="14609"/>
  <c r="FZ276" i="14609"/>
  <c r="GA276" i="14609"/>
  <c r="GB276" i="14609"/>
  <c r="GC276" i="14609"/>
  <c r="GD276" i="14609"/>
  <c r="GE276" i="14609"/>
  <c r="GF276" i="14609"/>
  <c r="GG276" i="14609"/>
  <c r="GH276" i="14609"/>
  <c r="GI276" i="14609"/>
  <c r="GJ276" i="14609"/>
  <c r="GK276" i="14609"/>
  <c r="GL276" i="14609"/>
  <c r="GM276" i="14609"/>
  <c r="GN276" i="14609"/>
  <c r="GO276" i="14609"/>
  <c r="GP276" i="14609"/>
  <c r="GQ276" i="14609"/>
  <c r="GR276" i="14609"/>
  <c r="GS276" i="14609"/>
  <c r="GT276" i="14609"/>
  <c r="GU276" i="14609"/>
  <c r="GV276" i="14609"/>
  <c r="GW276" i="14609"/>
  <c r="GX276" i="14609"/>
  <c r="GY276" i="14609"/>
  <c r="GZ276" i="14609"/>
  <c r="HA276" i="14609"/>
  <c r="HB276" i="14609"/>
  <c r="HC276" i="14609"/>
  <c r="HD276" i="14609"/>
  <c r="HE276" i="14609"/>
  <c r="HF276" i="14609"/>
  <c r="HG276" i="14609"/>
  <c r="HH276" i="14609"/>
  <c r="HI276" i="14609"/>
  <c r="HJ276" i="14609"/>
  <c r="HK276" i="14609"/>
  <c r="HL276" i="14609"/>
  <c r="HM276" i="14609"/>
  <c r="HN276" i="14609"/>
  <c r="HO276" i="14609"/>
  <c r="HP276" i="14609"/>
  <c r="HQ276" i="14609"/>
  <c r="HR276" i="14609"/>
  <c r="HS276" i="14609"/>
  <c r="HT276" i="14609"/>
  <c r="HU276" i="14609"/>
  <c r="HV276" i="14609"/>
  <c r="HW276" i="14609"/>
  <c r="HX276" i="14609"/>
  <c r="HY276" i="14609"/>
  <c r="HZ276" i="14609"/>
  <c r="IA276" i="14609"/>
  <c r="IB276" i="14609"/>
  <c r="IC276" i="14609"/>
  <c r="ID276" i="14609"/>
  <c r="IE276" i="14609"/>
  <c r="IF276" i="14609"/>
  <c r="IG276" i="14609"/>
  <c r="IH276" i="14609"/>
  <c r="II276" i="14609"/>
  <c r="IJ276" i="14609"/>
  <c r="IK276" i="14609"/>
  <c r="IL276" i="14609"/>
  <c r="IM276" i="14609"/>
  <c r="IN276" i="14609"/>
  <c r="IO276" i="14609"/>
  <c r="IP276" i="14609"/>
  <c r="IQ276" i="14609"/>
  <c r="IR276" i="14609"/>
  <c r="IS276" i="14609"/>
  <c r="IT276" i="14609"/>
  <c r="IU276" i="14609"/>
  <c r="IV276" i="14609"/>
  <c r="A275" i="14609"/>
  <c r="B275" i="14609"/>
  <c r="C275" i="14609"/>
  <c r="D275" i="14609"/>
  <c r="E275" i="14609"/>
  <c r="F275" i="14609"/>
  <c r="G275" i="14609"/>
  <c r="H275" i="14609"/>
  <c r="I275" i="14609"/>
  <c r="J275" i="14609"/>
  <c r="K275" i="14609"/>
  <c r="L275" i="14609"/>
  <c r="M275" i="14609"/>
  <c r="N275" i="14609"/>
  <c r="O275" i="14609"/>
  <c r="P275" i="14609"/>
  <c r="Q275" i="14609"/>
  <c r="R275" i="14609"/>
  <c r="S275" i="14609"/>
  <c r="T275" i="14609"/>
  <c r="U275" i="14609"/>
  <c r="V275" i="14609"/>
  <c r="W275" i="14609"/>
  <c r="X275" i="14609"/>
  <c r="Y275" i="14609"/>
  <c r="Z275" i="14609"/>
  <c r="AA275" i="14609"/>
  <c r="AB275" i="14609"/>
  <c r="AC275" i="14609"/>
  <c r="AD275" i="14609"/>
  <c r="AE275" i="14609"/>
  <c r="AF275" i="14609"/>
  <c r="AG275" i="14609"/>
  <c r="AH275" i="14609"/>
  <c r="AI275" i="14609"/>
  <c r="AJ275" i="14609"/>
  <c r="AK275" i="14609"/>
  <c r="AL275" i="14609"/>
  <c r="AM275" i="14609"/>
  <c r="AN275" i="14609"/>
  <c r="AO275" i="14609"/>
  <c r="AP275" i="14609"/>
  <c r="AQ275" i="14609"/>
  <c r="AR275" i="14609"/>
  <c r="AS275" i="14609"/>
  <c r="AT275" i="14609"/>
  <c r="AU275" i="14609"/>
  <c r="AV275" i="14609"/>
  <c r="AW275" i="14609"/>
  <c r="AX275" i="14609"/>
  <c r="AY275" i="14609"/>
  <c r="AZ275" i="14609"/>
  <c r="BA275" i="14609"/>
  <c r="BB275" i="14609"/>
  <c r="BC275" i="14609"/>
  <c r="BD275" i="14609"/>
  <c r="BE275" i="14609"/>
  <c r="BF275" i="14609"/>
  <c r="BG275" i="14609"/>
  <c r="BH275" i="14609"/>
  <c r="BI275" i="14609"/>
  <c r="BJ275" i="14609"/>
  <c r="BK275" i="14609"/>
  <c r="BL275" i="14609"/>
  <c r="BM275" i="14609"/>
  <c r="BN275" i="14609"/>
  <c r="BO275" i="14609"/>
  <c r="BP275" i="14609"/>
  <c r="BQ275" i="14609"/>
  <c r="BR275" i="14609"/>
  <c r="BS275" i="14609"/>
  <c r="BT275" i="14609"/>
  <c r="BU275" i="14609"/>
  <c r="BV275" i="14609"/>
  <c r="BW275" i="14609"/>
  <c r="BX275" i="14609"/>
  <c r="BY275" i="14609"/>
  <c r="BZ275" i="14609"/>
  <c r="CA275" i="14609"/>
  <c r="CB275" i="14609"/>
  <c r="CC275" i="14609"/>
  <c r="CD275" i="14609"/>
  <c r="CE275" i="14609"/>
  <c r="CF275" i="14609"/>
  <c r="CG275" i="14609"/>
  <c r="CH275" i="14609"/>
  <c r="CI275" i="14609"/>
  <c r="CJ275" i="14609"/>
  <c r="CK275" i="14609"/>
  <c r="CL275" i="14609"/>
  <c r="CM275" i="14609"/>
  <c r="CN275" i="14609"/>
  <c r="CO275" i="14609"/>
  <c r="CP275" i="14609"/>
  <c r="CQ275" i="14609"/>
  <c r="CR275" i="14609"/>
  <c r="CS275" i="14609"/>
  <c r="CT275" i="14609"/>
  <c r="CU275" i="14609"/>
  <c r="CV275" i="14609"/>
  <c r="CW275" i="14609"/>
  <c r="CX275" i="14609"/>
  <c r="CY275" i="14609"/>
  <c r="CZ275" i="14609"/>
  <c r="DA275" i="14609"/>
  <c r="DB275" i="14609"/>
  <c r="DC275" i="14609"/>
  <c r="DD275" i="14609"/>
  <c r="DE275" i="14609"/>
  <c r="DF275" i="14609"/>
  <c r="DG275" i="14609"/>
  <c r="DH275" i="14609"/>
  <c r="DI275" i="14609"/>
  <c r="DJ275" i="14609"/>
  <c r="DK275" i="14609"/>
  <c r="DL275" i="14609"/>
  <c r="DM275" i="14609"/>
  <c r="DN275" i="14609"/>
  <c r="DO275" i="14609"/>
  <c r="DP275" i="14609"/>
  <c r="DQ275" i="14609"/>
  <c r="DR275" i="14609"/>
  <c r="DS275" i="14609"/>
  <c r="DT275" i="14609"/>
  <c r="DU275" i="14609"/>
  <c r="DV275" i="14609"/>
  <c r="DW275" i="14609"/>
  <c r="DX275" i="14609"/>
  <c r="DY275" i="14609"/>
  <c r="DZ275" i="14609"/>
  <c r="EA275" i="14609"/>
  <c r="EB275" i="14609"/>
  <c r="EC275" i="14609"/>
  <c r="ED275" i="14609"/>
  <c r="EE275" i="14609"/>
  <c r="EF275" i="14609"/>
  <c r="EG275" i="14609"/>
  <c r="EH275" i="14609"/>
  <c r="EI275" i="14609"/>
  <c r="EJ275" i="14609"/>
  <c r="EK275" i="14609"/>
  <c r="EL275" i="14609"/>
  <c r="EM275" i="14609"/>
  <c r="EN275" i="14609"/>
  <c r="EO275" i="14609"/>
  <c r="EP275" i="14609"/>
  <c r="EQ275" i="14609"/>
  <c r="ER275" i="14609"/>
  <c r="ES275" i="14609"/>
  <c r="ET275" i="14609"/>
  <c r="EU275" i="14609"/>
  <c r="EV275" i="14609"/>
  <c r="EW275" i="14609"/>
  <c r="EX275" i="14609"/>
  <c r="EY275" i="14609"/>
  <c r="EZ275" i="14609"/>
  <c r="FA275" i="14609"/>
  <c r="FB275" i="14609"/>
  <c r="FC275" i="14609"/>
  <c r="FD275" i="14609"/>
  <c r="FE275" i="14609"/>
  <c r="FF275" i="14609"/>
  <c r="FG275" i="14609"/>
  <c r="FH275" i="14609"/>
  <c r="FI275" i="14609"/>
  <c r="FJ275" i="14609"/>
  <c r="FK275" i="14609"/>
  <c r="FL275" i="14609"/>
  <c r="FM275" i="14609"/>
  <c r="FN275" i="14609"/>
  <c r="FO275" i="14609"/>
  <c r="FP275" i="14609"/>
  <c r="FQ275" i="14609"/>
  <c r="FR275" i="14609"/>
  <c r="FS275" i="14609"/>
  <c r="FT275" i="14609"/>
  <c r="FU275" i="14609"/>
  <c r="FV275" i="14609"/>
  <c r="FW275" i="14609"/>
  <c r="FX275" i="14609"/>
  <c r="FY275" i="14609"/>
  <c r="FZ275" i="14609"/>
  <c r="GA275" i="14609"/>
  <c r="GB275" i="14609"/>
  <c r="GC275" i="14609"/>
  <c r="GD275" i="14609"/>
  <c r="GE275" i="14609"/>
  <c r="GF275" i="14609"/>
  <c r="GG275" i="14609"/>
  <c r="GH275" i="14609"/>
  <c r="GI275" i="14609"/>
  <c r="GJ275" i="14609"/>
  <c r="GK275" i="14609"/>
  <c r="GL275" i="14609"/>
  <c r="GM275" i="14609"/>
  <c r="GN275" i="14609"/>
  <c r="GO275" i="14609"/>
  <c r="GP275" i="14609"/>
  <c r="GQ275" i="14609"/>
  <c r="GR275" i="14609"/>
  <c r="GS275" i="14609"/>
  <c r="GT275" i="14609"/>
  <c r="GU275" i="14609"/>
  <c r="GV275" i="14609"/>
  <c r="GW275" i="14609"/>
  <c r="GX275" i="14609"/>
  <c r="GY275" i="14609"/>
  <c r="GZ275" i="14609"/>
  <c r="HA275" i="14609"/>
  <c r="HB275" i="14609"/>
  <c r="HC275" i="14609"/>
  <c r="HD275" i="14609"/>
  <c r="HE275" i="14609"/>
  <c r="HF275" i="14609"/>
  <c r="HG275" i="14609"/>
  <c r="HH275" i="14609"/>
  <c r="HI275" i="14609"/>
  <c r="HJ275" i="14609"/>
  <c r="HK275" i="14609"/>
  <c r="HL275" i="14609"/>
  <c r="HM275" i="14609"/>
  <c r="HN275" i="14609"/>
  <c r="HO275" i="14609"/>
  <c r="HP275" i="14609"/>
  <c r="HQ275" i="14609"/>
  <c r="HR275" i="14609"/>
  <c r="HS275" i="14609"/>
  <c r="HT275" i="14609"/>
  <c r="HU275" i="14609"/>
  <c r="HV275" i="14609"/>
  <c r="HW275" i="14609"/>
  <c r="HX275" i="14609"/>
  <c r="HY275" i="14609"/>
  <c r="HZ275" i="14609"/>
  <c r="IA275" i="14609"/>
  <c r="IB275" i="14609"/>
  <c r="IC275" i="14609"/>
  <c r="ID275" i="14609"/>
  <c r="IE275" i="14609"/>
  <c r="IF275" i="14609"/>
  <c r="IG275" i="14609"/>
  <c r="IH275" i="14609"/>
  <c r="II275" i="14609"/>
  <c r="IJ275" i="14609"/>
  <c r="IK275" i="14609"/>
  <c r="IL275" i="14609"/>
  <c r="IM275" i="14609"/>
  <c r="IN275" i="14609"/>
  <c r="IO275" i="14609"/>
  <c r="IP275" i="14609"/>
  <c r="IQ275" i="14609"/>
  <c r="IR275" i="14609"/>
  <c r="IS275" i="14609"/>
  <c r="IT275" i="14609"/>
  <c r="IU275" i="14609"/>
  <c r="IV275" i="14609"/>
  <c r="A274" i="14609"/>
  <c r="B274" i="14609"/>
  <c r="C274" i="14609"/>
  <c r="D274" i="14609"/>
  <c r="E274" i="14609"/>
  <c r="F274" i="14609"/>
  <c r="G274" i="14609"/>
  <c r="H274" i="14609"/>
  <c r="I274" i="14609"/>
  <c r="J274" i="14609"/>
  <c r="K274" i="14609"/>
  <c r="L274" i="14609"/>
  <c r="M274" i="14609"/>
  <c r="N274" i="14609"/>
  <c r="O274" i="14609"/>
  <c r="P274" i="14609"/>
  <c r="Q274" i="14609"/>
  <c r="R274" i="14609"/>
  <c r="S274" i="14609"/>
  <c r="T274" i="14609"/>
  <c r="U274" i="14609"/>
  <c r="V274" i="14609"/>
  <c r="W274" i="14609"/>
  <c r="X274" i="14609"/>
  <c r="Y274" i="14609"/>
  <c r="Z274" i="14609"/>
  <c r="AA274" i="14609"/>
  <c r="AB274" i="14609"/>
  <c r="AC274" i="14609"/>
  <c r="AD274" i="14609"/>
  <c r="AE274" i="14609"/>
  <c r="AF274" i="14609"/>
  <c r="AG274" i="14609"/>
  <c r="AH274" i="14609"/>
  <c r="AI274" i="14609"/>
  <c r="AJ274" i="14609"/>
  <c r="AK274" i="14609"/>
  <c r="AL274" i="14609"/>
  <c r="AM274" i="14609"/>
  <c r="AN274" i="14609"/>
  <c r="AO274" i="14609"/>
  <c r="AP274" i="14609"/>
  <c r="AQ274" i="14609"/>
  <c r="AR274" i="14609"/>
  <c r="AS274" i="14609"/>
  <c r="AT274" i="14609"/>
  <c r="AU274" i="14609"/>
  <c r="AV274" i="14609"/>
  <c r="AW274" i="14609"/>
  <c r="AX274" i="14609"/>
  <c r="AY274" i="14609"/>
  <c r="AZ274" i="14609"/>
  <c r="BA274" i="14609"/>
  <c r="BB274" i="14609"/>
  <c r="BC274" i="14609"/>
  <c r="BD274" i="14609"/>
  <c r="BE274" i="14609"/>
  <c r="BF274" i="14609"/>
  <c r="BG274" i="14609"/>
  <c r="BH274" i="14609"/>
  <c r="BI274" i="14609"/>
  <c r="BJ274" i="14609"/>
  <c r="BK274" i="14609"/>
  <c r="BL274" i="14609"/>
  <c r="BM274" i="14609"/>
  <c r="BN274" i="14609"/>
  <c r="BO274" i="14609"/>
  <c r="BP274" i="14609"/>
  <c r="BQ274" i="14609"/>
  <c r="BR274" i="14609"/>
  <c r="BS274" i="14609"/>
  <c r="BT274" i="14609"/>
  <c r="BU274" i="14609"/>
  <c r="BV274" i="14609"/>
  <c r="BW274" i="14609"/>
  <c r="BX274" i="14609"/>
  <c r="BY274" i="14609"/>
  <c r="BZ274" i="14609"/>
  <c r="CA274" i="14609"/>
  <c r="CB274" i="14609"/>
  <c r="CC274" i="14609"/>
  <c r="CD274" i="14609"/>
  <c r="CE274" i="14609"/>
  <c r="CF274" i="14609"/>
  <c r="CG274" i="14609"/>
  <c r="CH274" i="14609"/>
  <c r="CI274" i="14609"/>
  <c r="CJ274" i="14609"/>
  <c r="CK274" i="14609"/>
  <c r="CL274" i="14609"/>
  <c r="CM274" i="14609"/>
  <c r="CN274" i="14609"/>
  <c r="CO274" i="14609"/>
  <c r="CP274" i="14609"/>
  <c r="CQ274" i="14609"/>
  <c r="CR274" i="14609"/>
  <c r="CS274" i="14609"/>
  <c r="CT274" i="14609"/>
  <c r="CU274" i="14609"/>
  <c r="CV274" i="14609"/>
  <c r="CW274" i="14609"/>
  <c r="CX274" i="14609"/>
  <c r="CY274" i="14609"/>
  <c r="CZ274" i="14609"/>
  <c r="DA274" i="14609"/>
  <c r="DB274" i="14609"/>
  <c r="DC274" i="14609"/>
  <c r="DD274" i="14609"/>
  <c r="DE274" i="14609"/>
  <c r="DF274" i="14609"/>
  <c r="DG274" i="14609"/>
  <c r="DH274" i="14609"/>
  <c r="DI274" i="14609"/>
  <c r="DJ274" i="14609"/>
  <c r="DK274" i="14609"/>
  <c r="DL274" i="14609"/>
  <c r="DM274" i="14609"/>
  <c r="DN274" i="14609"/>
  <c r="DO274" i="14609"/>
  <c r="DP274" i="14609"/>
  <c r="DQ274" i="14609"/>
  <c r="DR274" i="14609"/>
  <c r="DS274" i="14609"/>
  <c r="DT274" i="14609"/>
  <c r="DU274" i="14609"/>
  <c r="DV274" i="14609"/>
  <c r="DW274" i="14609"/>
  <c r="DX274" i="14609"/>
  <c r="DY274" i="14609"/>
  <c r="DZ274" i="14609"/>
  <c r="EA274" i="14609"/>
  <c r="EB274" i="14609"/>
  <c r="EC274" i="14609"/>
  <c r="ED274" i="14609"/>
  <c r="EE274" i="14609"/>
  <c r="EF274" i="14609"/>
  <c r="EG274" i="14609"/>
  <c r="EH274" i="14609"/>
  <c r="EI274" i="14609"/>
  <c r="EJ274" i="14609"/>
  <c r="EK274" i="14609"/>
  <c r="EL274" i="14609"/>
  <c r="EM274" i="14609"/>
  <c r="EN274" i="14609"/>
  <c r="EO274" i="14609"/>
  <c r="EP274" i="14609"/>
  <c r="EQ274" i="14609"/>
  <c r="ER274" i="14609"/>
  <c r="ES274" i="14609"/>
  <c r="ET274" i="14609"/>
  <c r="EU274" i="14609"/>
  <c r="EV274" i="14609"/>
  <c r="EW274" i="14609"/>
  <c r="EX274" i="14609"/>
  <c r="EY274" i="14609"/>
  <c r="EZ274" i="14609"/>
  <c r="FA274" i="14609"/>
  <c r="FB274" i="14609"/>
  <c r="FC274" i="14609"/>
  <c r="FD274" i="14609"/>
  <c r="FE274" i="14609"/>
  <c r="FF274" i="14609"/>
  <c r="FG274" i="14609"/>
  <c r="FH274" i="14609"/>
  <c r="FI274" i="14609"/>
  <c r="FJ274" i="14609"/>
  <c r="FK274" i="14609"/>
  <c r="FL274" i="14609"/>
  <c r="FM274" i="14609"/>
  <c r="FN274" i="14609"/>
  <c r="FO274" i="14609"/>
  <c r="FP274" i="14609"/>
  <c r="FQ274" i="14609"/>
  <c r="FR274" i="14609"/>
  <c r="FS274" i="14609"/>
  <c r="FT274" i="14609"/>
  <c r="FU274" i="14609"/>
  <c r="FV274" i="14609"/>
  <c r="FW274" i="14609"/>
  <c r="FX274" i="14609"/>
  <c r="FY274" i="14609"/>
  <c r="FZ274" i="14609"/>
  <c r="GA274" i="14609"/>
  <c r="GB274" i="14609"/>
  <c r="GC274" i="14609"/>
  <c r="GD274" i="14609"/>
  <c r="GE274" i="14609"/>
  <c r="GF274" i="14609"/>
  <c r="GG274" i="14609"/>
  <c r="GH274" i="14609"/>
  <c r="GI274" i="14609"/>
  <c r="GJ274" i="14609"/>
  <c r="GK274" i="14609"/>
  <c r="GL274" i="14609"/>
  <c r="GM274" i="14609"/>
  <c r="GN274" i="14609"/>
  <c r="GO274" i="14609"/>
  <c r="GP274" i="14609"/>
  <c r="GQ274" i="14609"/>
  <c r="GR274" i="14609"/>
  <c r="GS274" i="14609"/>
  <c r="GT274" i="14609"/>
  <c r="GU274" i="14609"/>
  <c r="GV274" i="14609"/>
  <c r="GW274" i="14609"/>
  <c r="GX274" i="14609"/>
  <c r="GY274" i="14609"/>
  <c r="GZ274" i="14609"/>
  <c r="HA274" i="14609"/>
  <c r="HB274" i="14609"/>
  <c r="HC274" i="14609"/>
  <c r="HD274" i="14609"/>
  <c r="HE274" i="14609"/>
  <c r="HF274" i="14609"/>
  <c r="HG274" i="14609"/>
  <c r="HH274" i="14609"/>
  <c r="HI274" i="14609"/>
  <c r="HJ274" i="14609"/>
  <c r="HK274" i="14609"/>
  <c r="HL274" i="14609"/>
  <c r="HM274" i="14609"/>
  <c r="HN274" i="14609"/>
  <c r="HO274" i="14609"/>
  <c r="HP274" i="14609"/>
  <c r="HQ274" i="14609"/>
  <c r="HR274" i="14609"/>
  <c r="HS274" i="14609"/>
  <c r="HT274" i="14609"/>
  <c r="HU274" i="14609"/>
  <c r="HV274" i="14609"/>
  <c r="HW274" i="14609"/>
  <c r="HX274" i="14609"/>
  <c r="HY274" i="14609"/>
  <c r="HZ274" i="14609"/>
  <c r="IA274" i="14609"/>
  <c r="IB274" i="14609"/>
  <c r="IC274" i="14609"/>
  <c r="ID274" i="14609"/>
  <c r="IE274" i="14609"/>
  <c r="IF274" i="14609"/>
  <c r="IG274" i="14609"/>
  <c r="IH274" i="14609"/>
  <c r="II274" i="14609"/>
  <c r="IJ274" i="14609"/>
  <c r="IK274" i="14609"/>
  <c r="IL274" i="14609"/>
  <c r="IM274" i="14609"/>
  <c r="IN274" i="14609"/>
  <c r="IO274" i="14609"/>
  <c r="IP274" i="14609"/>
  <c r="IQ274" i="14609"/>
  <c r="IR274" i="14609"/>
  <c r="IS274" i="14609"/>
  <c r="IT274" i="14609"/>
  <c r="IU274" i="14609"/>
  <c r="IV274" i="14609"/>
  <c r="A273" i="14609"/>
  <c r="B273" i="14609"/>
  <c r="C273" i="14609"/>
  <c r="D273" i="14609"/>
  <c r="E273" i="14609"/>
  <c r="F273" i="14609"/>
  <c r="G273" i="14609"/>
  <c r="H273" i="14609"/>
  <c r="I273" i="14609"/>
  <c r="J273" i="14609"/>
  <c r="K273" i="14609"/>
  <c r="L273" i="14609"/>
  <c r="M273" i="14609"/>
  <c r="N273" i="14609"/>
  <c r="O273" i="14609"/>
  <c r="P273" i="14609"/>
  <c r="Q273" i="14609"/>
  <c r="R273" i="14609"/>
  <c r="S273" i="14609"/>
  <c r="T273" i="14609"/>
  <c r="U273" i="14609"/>
  <c r="V273" i="14609"/>
  <c r="W273" i="14609"/>
  <c r="X273" i="14609"/>
  <c r="Y273" i="14609"/>
  <c r="Z273" i="14609"/>
  <c r="AA273" i="14609"/>
  <c r="AB273" i="14609"/>
  <c r="AC273" i="14609"/>
  <c r="AD273" i="14609"/>
  <c r="AE273" i="14609"/>
  <c r="AF273" i="14609"/>
  <c r="AG273" i="14609"/>
  <c r="AH273" i="14609"/>
  <c r="AI273" i="14609"/>
  <c r="AJ273" i="14609"/>
  <c r="AK273" i="14609"/>
  <c r="AL273" i="14609"/>
  <c r="AM273" i="14609"/>
  <c r="AN273" i="14609"/>
  <c r="AO273" i="14609"/>
  <c r="AP273" i="14609"/>
  <c r="AQ273" i="14609"/>
  <c r="AR273" i="14609"/>
  <c r="AS273" i="14609"/>
  <c r="AT273" i="14609"/>
  <c r="AU273" i="14609"/>
  <c r="AV273" i="14609"/>
  <c r="AW273" i="14609"/>
  <c r="AX273" i="14609"/>
  <c r="AY273" i="14609"/>
  <c r="AZ273" i="14609"/>
  <c r="BA273" i="14609"/>
  <c r="BB273" i="14609"/>
  <c r="BC273" i="14609"/>
  <c r="BD273" i="14609"/>
  <c r="BE273" i="14609"/>
  <c r="BF273" i="14609"/>
  <c r="BG273" i="14609"/>
  <c r="BH273" i="14609"/>
  <c r="BI273" i="14609"/>
  <c r="BJ273" i="14609"/>
  <c r="BK273" i="14609"/>
  <c r="BL273" i="14609"/>
  <c r="BM273" i="14609"/>
  <c r="BN273" i="14609"/>
  <c r="BO273" i="14609"/>
  <c r="BP273" i="14609"/>
  <c r="BQ273" i="14609"/>
  <c r="BR273" i="14609"/>
  <c r="BS273" i="14609"/>
  <c r="BT273" i="14609"/>
  <c r="BU273" i="14609"/>
  <c r="BV273" i="14609"/>
  <c r="BW273" i="14609"/>
  <c r="BX273" i="14609"/>
  <c r="BY273" i="14609"/>
  <c r="BZ273" i="14609"/>
  <c r="CA273" i="14609"/>
  <c r="CB273" i="14609"/>
  <c r="CC273" i="14609"/>
  <c r="CD273" i="14609"/>
  <c r="CE273" i="14609"/>
  <c r="CF273" i="14609"/>
  <c r="CG273" i="14609"/>
  <c r="CH273" i="14609"/>
  <c r="CI273" i="14609"/>
  <c r="CJ273" i="14609"/>
  <c r="CK273" i="14609"/>
  <c r="CL273" i="14609"/>
  <c r="CM273" i="14609"/>
  <c r="CN273" i="14609"/>
  <c r="CO273" i="14609"/>
  <c r="CP273" i="14609"/>
  <c r="CQ273" i="14609"/>
  <c r="CR273" i="14609"/>
  <c r="CS273" i="14609"/>
  <c r="CT273" i="14609"/>
  <c r="CU273" i="14609"/>
  <c r="CV273" i="14609"/>
  <c r="CW273" i="14609"/>
  <c r="CX273" i="14609"/>
  <c r="CY273" i="14609"/>
  <c r="CZ273" i="14609"/>
  <c r="DA273" i="14609"/>
  <c r="DB273" i="14609"/>
  <c r="DC273" i="14609"/>
  <c r="DD273" i="14609"/>
  <c r="DE273" i="14609"/>
  <c r="DF273" i="14609"/>
  <c r="DG273" i="14609"/>
  <c r="DH273" i="14609"/>
  <c r="DI273" i="14609"/>
  <c r="DJ273" i="14609"/>
  <c r="DK273" i="14609"/>
  <c r="DL273" i="14609"/>
  <c r="DM273" i="14609"/>
  <c r="DN273" i="14609"/>
  <c r="DO273" i="14609"/>
  <c r="DP273" i="14609"/>
  <c r="DQ273" i="14609"/>
  <c r="DR273" i="14609"/>
  <c r="DS273" i="14609"/>
  <c r="DT273" i="14609"/>
  <c r="DU273" i="14609"/>
  <c r="DV273" i="14609"/>
  <c r="DW273" i="14609"/>
  <c r="DX273" i="14609"/>
  <c r="DY273" i="14609"/>
  <c r="DZ273" i="14609"/>
  <c r="EA273" i="14609"/>
  <c r="EB273" i="14609"/>
  <c r="EC273" i="14609"/>
  <c r="ED273" i="14609"/>
  <c r="EE273" i="14609"/>
  <c r="EF273" i="14609"/>
  <c r="EG273" i="14609"/>
  <c r="EH273" i="14609"/>
  <c r="EI273" i="14609"/>
  <c r="EJ273" i="14609"/>
  <c r="EK273" i="14609"/>
  <c r="EL273" i="14609"/>
  <c r="EM273" i="14609"/>
  <c r="EN273" i="14609"/>
  <c r="EO273" i="14609"/>
  <c r="EP273" i="14609"/>
  <c r="EQ273" i="14609"/>
  <c r="ER273" i="14609"/>
  <c r="ES273" i="14609"/>
  <c r="ET273" i="14609"/>
  <c r="EU273" i="14609"/>
  <c r="EV273" i="14609"/>
  <c r="EW273" i="14609"/>
  <c r="EX273" i="14609"/>
  <c r="EY273" i="14609"/>
  <c r="EZ273" i="14609"/>
  <c r="FA273" i="14609"/>
  <c r="FB273" i="14609"/>
  <c r="FC273" i="14609"/>
  <c r="FD273" i="14609"/>
  <c r="FE273" i="14609"/>
  <c r="FF273" i="14609"/>
  <c r="FG273" i="14609"/>
  <c r="FH273" i="14609"/>
  <c r="FI273" i="14609"/>
  <c r="FJ273" i="14609"/>
  <c r="FK273" i="14609"/>
  <c r="FL273" i="14609"/>
  <c r="FM273" i="14609"/>
  <c r="FN273" i="14609"/>
  <c r="FO273" i="14609"/>
  <c r="FP273" i="14609"/>
  <c r="FQ273" i="14609"/>
  <c r="FR273" i="14609"/>
  <c r="FS273" i="14609"/>
  <c r="FT273" i="14609"/>
  <c r="FU273" i="14609"/>
  <c r="FV273" i="14609"/>
  <c r="FW273" i="14609"/>
  <c r="FX273" i="14609"/>
  <c r="FY273" i="14609"/>
  <c r="FZ273" i="14609"/>
  <c r="GA273" i="14609"/>
  <c r="GB273" i="14609"/>
  <c r="GC273" i="14609"/>
  <c r="GD273" i="14609"/>
  <c r="GE273" i="14609"/>
  <c r="GF273" i="14609"/>
  <c r="GG273" i="14609"/>
  <c r="GH273" i="14609"/>
  <c r="GI273" i="14609"/>
  <c r="GJ273" i="14609"/>
  <c r="GK273" i="14609"/>
  <c r="GL273" i="14609"/>
  <c r="GM273" i="14609"/>
  <c r="GN273" i="14609"/>
  <c r="GO273" i="14609"/>
  <c r="GP273" i="14609"/>
  <c r="GQ273" i="14609"/>
  <c r="GR273" i="14609"/>
  <c r="GS273" i="14609"/>
  <c r="GT273" i="14609"/>
  <c r="GU273" i="14609"/>
  <c r="GV273" i="14609"/>
  <c r="GW273" i="14609"/>
  <c r="GX273" i="14609"/>
  <c r="GY273" i="14609"/>
  <c r="GZ273" i="14609"/>
  <c r="HA273" i="14609"/>
  <c r="HB273" i="14609"/>
  <c r="HC273" i="14609"/>
  <c r="HD273" i="14609"/>
  <c r="HE273" i="14609"/>
  <c r="HF273" i="14609"/>
  <c r="HG273" i="14609"/>
  <c r="HH273" i="14609"/>
  <c r="HI273" i="14609"/>
  <c r="HJ273" i="14609"/>
  <c r="HK273" i="14609"/>
  <c r="HL273" i="14609"/>
  <c r="HM273" i="14609"/>
  <c r="HN273" i="14609"/>
  <c r="HO273" i="14609"/>
  <c r="HP273" i="14609"/>
  <c r="HQ273" i="14609"/>
  <c r="HR273" i="14609"/>
  <c r="HS273" i="14609"/>
  <c r="HT273" i="14609"/>
  <c r="HU273" i="14609"/>
  <c r="HV273" i="14609"/>
  <c r="HW273" i="14609"/>
  <c r="HX273" i="14609"/>
  <c r="HY273" i="14609"/>
  <c r="HZ273" i="14609"/>
  <c r="IA273" i="14609"/>
  <c r="IB273" i="14609"/>
  <c r="IC273" i="14609"/>
  <c r="ID273" i="14609"/>
  <c r="IE273" i="14609"/>
  <c r="IF273" i="14609"/>
  <c r="IG273" i="14609"/>
  <c r="IH273" i="14609"/>
  <c r="II273" i="14609"/>
  <c r="IJ273" i="14609"/>
  <c r="IK273" i="14609"/>
  <c r="IL273" i="14609"/>
  <c r="IM273" i="14609"/>
  <c r="IN273" i="14609"/>
  <c r="IO273" i="14609"/>
  <c r="IP273" i="14609"/>
  <c r="IQ273" i="14609"/>
  <c r="IR273" i="14609"/>
  <c r="IS273" i="14609"/>
  <c r="IT273" i="14609"/>
  <c r="IU273" i="14609"/>
  <c r="IV273" i="14609"/>
  <c r="A272" i="14609"/>
  <c r="B272" i="14609"/>
  <c r="C272" i="14609"/>
  <c r="D272" i="14609"/>
  <c r="E272" i="14609"/>
  <c r="F272" i="14609"/>
  <c r="G272" i="14609"/>
  <c r="H272" i="14609"/>
  <c r="I272" i="14609"/>
  <c r="J272" i="14609"/>
  <c r="K272" i="14609"/>
  <c r="L272" i="14609"/>
  <c r="M272" i="14609"/>
  <c r="N272" i="14609"/>
  <c r="O272" i="14609"/>
  <c r="P272" i="14609"/>
  <c r="Q272" i="14609"/>
  <c r="R272" i="14609"/>
  <c r="S272" i="14609"/>
  <c r="T272" i="14609"/>
  <c r="U272" i="14609"/>
  <c r="V272" i="14609"/>
  <c r="W272" i="14609"/>
  <c r="X272" i="14609"/>
  <c r="Y272" i="14609"/>
  <c r="Z272" i="14609"/>
  <c r="AA272" i="14609"/>
  <c r="AB272" i="14609"/>
  <c r="AC272" i="14609"/>
  <c r="AD272" i="14609"/>
  <c r="AE272" i="14609"/>
  <c r="AF272" i="14609"/>
  <c r="AG272" i="14609"/>
  <c r="AH272" i="14609"/>
  <c r="AI272" i="14609"/>
  <c r="AJ272" i="14609"/>
  <c r="AK272" i="14609"/>
  <c r="AL272" i="14609"/>
  <c r="AM272" i="14609"/>
  <c r="AN272" i="14609"/>
  <c r="AO272" i="14609"/>
  <c r="AP272" i="14609"/>
  <c r="AQ272" i="14609"/>
  <c r="AR272" i="14609"/>
  <c r="AS272" i="14609"/>
  <c r="AT272" i="14609"/>
  <c r="AU272" i="14609"/>
  <c r="AV272" i="14609"/>
  <c r="AW272" i="14609"/>
  <c r="AX272" i="14609"/>
  <c r="AY272" i="14609"/>
  <c r="AZ272" i="14609"/>
  <c r="BA272" i="14609"/>
  <c r="BB272" i="14609"/>
  <c r="BC272" i="14609"/>
  <c r="BD272" i="14609"/>
  <c r="BE272" i="14609"/>
  <c r="BF272" i="14609"/>
  <c r="BG272" i="14609"/>
  <c r="BH272" i="14609"/>
  <c r="BI272" i="14609"/>
  <c r="BJ272" i="14609"/>
  <c r="BK272" i="14609"/>
  <c r="BL272" i="14609"/>
  <c r="BM272" i="14609"/>
  <c r="BN272" i="14609"/>
  <c r="BO272" i="14609"/>
  <c r="BP272" i="14609"/>
  <c r="BQ272" i="14609"/>
  <c r="BR272" i="14609"/>
  <c r="BS272" i="14609"/>
  <c r="BT272" i="14609"/>
  <c r="BU272" i="14609"/>
  <c r="BV272" i="14609"/>
  <c r="BW272" i="14609"/>
  <c r="BX272" i="14609"/>
  <c r="BY272" i="14609"/>
  <c r="BZ272" i="14609"/>
  <c r="CA272" i="14609"/>
  <c r="CB272" i="14609"/>
  <c r="CC272" i="14609"/>
  <c r="CD272" i="14609"/>
  <c r="CE272" i="14609"/>
  <c r="CF272" i="14609"/>
  <c r="CG272" i="14609"/>
  <c r="CH272" i="14609"/>
  <c r="CI272" i="14609"/>
  <c r="CJ272" i="14609"/>
  <c r="CK272" i="14609"/>
  <c r="CL272" i="14609"/>
  <c r="CM272" i="14609"/>
  <c r="CN272" i="14609"/>
  <c r="CO272" i="14609"/>
  <c r="CP272" i="14609"/>
  <c r="CQ272" i="14609"/>
  <c r="CR272" i="14609"/>
  <c r="CS272" i="14609"/>
  <c r="CT272" i="14609"/>
  <c r="CU272" i="14609"/>
  <c r="CV272" i="14609"/>
  <c r="CW272" i="14609"/>
  <c r="CX272" i="14609"/>
  <c r="CY272" i="14609"/>
  <c r="CZ272" i="14609"/>
  <c r="DA272" i="14609"/>
  <c r="DB272" i="14609"/>
  <c r="DC272" i="14609"/>
  <c r="DD272" i="14609"/>
  <c r="DE272" i="14609"/>
  <c r="DF272" i="14609"/>
  <c r="DG272" i="14609"/>
  <c r="DH272" i="14609"/>
  <c r="DI272" i="14609"/>
  <c r="DJ272" i="14609"/>
  <c r="DK272" i="14609"/>
  <c r="DL272" i="14609"/>
  <c r="DM272" i="14609"/>
  <c r="DN272" i="14609"/>
  <c r="DO272" i="14609"/>
  <c r="DP272" i="14609"/>
  <c r="DQ272" i="14609"/>
  <c r="DR272" i="14609"/>
  <c r="DS272" i="14609"/>
  <c r="DT272" i="14609"/>
  <c r="DU272" i="14609"/>
  <c r="DV272" i="14609"/>
  <c r="DW272" i="14609"/>
  <c r="DX272" i="14609"/>
  <c r="DY272" i="14609"/>
  <c r="DZ272" i="14609"/>
  <c r="EA272" i="14609"/>
  <c r="EB272" i="14609"/>
  <c r="EC272" i="14609"/>
  <c r="ED272" i="14609"/>
  <c r="EE272" i="14609"/>
  <c r="EF272" i="14609"/>
  <c r="EG272" i="14609"/>
  <c r="EH272" i="14609"/>
  <c r="EI272" i="14609"/>
  <c r="EJ272" i="14609"/>
  <c r="EK272" i="14609"/>
  <c r="EL272" i="14609"/>
  <c r="EM272" i="14609"/>
  <c r="EN272" i="14609"/>
  <c r="EO272" i="14609"/>
  <c r="EP272" i="14609"/>
  <c r="EQ272" i="14609"/>
  <c r="ER272" i="14609"/>
  <c r="ES272" i="14609"/>
  <c r="ET272" i="14609"/>
  <c r="EU272" i="14609"/>
  <c r="EV272" i="14609"/>
  <c r="EW272" i="14609"/>
  <c r="EX272" i="14609"/>
  <c r="EY272" i="14609"/>
  <c r="EZ272" i="14609"/>
  <c r="FA272" i="14609"/>
  <c r="FB272" i="14609"/>
  <c r="FC272" i="14609"/>
  <c r="FD272" i="14609"/>
  <c r="FE272" i="14609"/>
  <c r="FF272" i="14609"/>
  <c r="FG272" i="14609"/>
  <c r="FH272" i="14609"/>
  <c r="FI272" i="14609"/>
  <c r="FJ272" i="14609"/>
  <c r="FK272" i="14609"/>
  <c r="FL272" i="14609"/>
  <c r="FM272" i="14609"/>
  <c r="FN272" i="14609"/>
  <c r="FO272" i="14609"/>
  <c r="FP272" i="14609"/>
  <c r="FQ272" i="14609"/>
  <c r="FR272" i="14609"/>
  <c r="FS272" i="14609"/>
  <c r="FT272" i="14609"/>
  <c r="FU272" i="14609"/>
  <c r="FV272" i="14609"/>
  <c r="FW272" i="14609"/>
  <c r="FX272" i="14609"/>
  <c r="FY272" i="14609"/>
  <c r="FZ272" i="14609"/>
  <c r="GA272" i="14609"/>
  <c r="GB272" i="14609"/>
  <c r="GC272" i="14609"/>
  <c r="GD272" i="14609"/>
  <c r="GE272" i="14609"/>
  <c r="GF272" i="14609"/>
  <c r="GG272" i="14609"/>
  <c r="GH272" i="14609"/>
  <c r="GI272" i="14609"/>
  <c r="GJ272" i="14609"/>
  <c r="GK272" i="14609"/>
  <c r="GL272" i="14609"/>
  <c r="GM272" i="14609"/>
  <c r="GN272" i="14609"/>
  <c r="GO272" i="14609"/>
  <c r="GP272" i="14609"/>
  <c r="GQ272" i="14609"/>
  <c r="GR272" i="14609"/>
  <c r="GS272" i="14609"/>
  <c r="GT272" i="14609"/>
  <c r="GU272" i="14609"/>
  <c r="GV272" i="14609"/>
  <c r="GW272" i="14609"/>
  <c r="GX272" i="14609"/>
  <c r="GY272" i="14609"/>
  <c r="GZ272" i="14609"/>
  <c r="HA272" i="14609"/>
  <c r="HB272" i="14609"/>
  <c r="HC272" i="14609"/>
  <c r="HD272" i="14609"/>
  <c r="HE272" i="14609"/>
  <c r="HF272" i="14609"/>
  <c r="HG272" i="14609"/>
  <c r="HH272" i="14609"/>
  <c r="HI272" i="14609"/>
  <c r="HJ272" i="14609"/>
  <c r="HK272" i="14609"/>
  <c r="HL272" i="14609"/>
  <c r="HM272" i="14609"/>
  <c r="HN272" i="14609"/>
  <c r="HO272" i="14609"/>
  <c r="HP272" i="14609"/>
  <c r="HQ272" i="14609"/>
  <c r="HR272" i="14609"/>
  <c r="HS272" i="14609"/>
  <c r="HT272" i="14609"/>
  <c r="HU272" i="14609"/>
  <c r="HV272" i="14609"/>
  <c r="HW272" i="14609"/>
  <c r="HX272" i="14609"/>
  <c r="HY272" i="14609"/>
  <c r="HZ272" i="14609"/>
  <c r="IA272" i="14609"/>
  <c r="IB272" i="14609"/>
  <c r="IC272" i="14609"/>
  <c r="ID272" i="14609"/>
  <c r="IE272" i="14609"/>
  <c r="IF272" i="14609"/>
  <c r="IG272" i="14609"/>
  <c r="IH272" i="14609"/>
  <c r="II272" i="14609"/>
  <c r="IJ272" i="14609"/>
  <c r="IK272" i="14609"/>
  <c r="IL272" i="14609"/>
  <c r="IM272" i="14609"/>
  <c r="IN272" i="14609"/>
  <c r="IO272" i="14609"/>
  <c r="IP272" i="14609"/>
  <c r="IQ272" i="14609"/>
  <c r="IR272" i="14609"/>
  <c r="IS272" i="14609"/>
  <c r="IT272" i="14609"/>
  <c r="IU272" i="14609"/>
  <c r="IV272" i="14609"/>
  <c r="A271" i="14609"/>
  <c r="B271" i="14609"/>
  <c r="C271" i="14609"/>
  <c r="D271" i="14609"/>
  <c r="E271" i="14609"/>
  <c r="F271" i="14609"/>
  <c r="G271" i="14609"/>
  <c r="H271" i="14609"/>
  <c r="I271" i="14609"/>
  <c r="J271" i="14609"/>
  <c r="K271" i="14609"/>
  <c r="L271" i="14609"/>
  <c r="M271" i="14609"/>
  <c r="N271" i="14609"/>
  <c r="O271" i="14609"/>
  <c r="P271" i="14609"/>
  <c r="Q271" i="14609"/>
  <c r="R271" i="14609"/>
  <c r="S271" i="14609"/>
  <c r="T271" i="14609"/>
  <c r="U271" i="14609"/>
  <c r="V271" i="14609"/>
  <c r="W271" i="14609"/>
  <c r="X271" i="14609"/>
  <c r="Y271" i="14609"/>
  <c r="Z271" i="14609"/>
  <c r="AA271" i="14609"/>
  <c r="AB271" i="14609"/>
  <c r="AC271" i="14609"/>
  <c r="AD271" i="14609"/>
  <c r="AE271" i="14609"/>
  <c r="AF271" i="14609"/>
  <c r="AG271" i="14609"/>
  <c r="AH271" i="14609"/>
  <c r="AI271" i="14609"/>
  <c r="AJ271" i="14609"/>
  <c r="AK271" i="14609"/>
  <c r="AL271" i="14609"/>
  <c r="AM271" i="14609"/>
  <c r="AN271" i="14609"/>
  <c r="AO271" i="14609"/>
  <c r="AP271" i="14609"/>
  <c r="AQ271" i="14609"/>
  <c r="AR271" i="14609"/>
  <c r="AS271" i="14609"/>
  <c r="AT271" i="14609"/>
  <c r="AU271" i="14609"/>
  <c r="AV271" i="14609"/>
  <c r="AW271" i="14609"/>
  <c r="AX271" i="14609"/>
  <c r="AY271" i="14609"/>
  <c r="AZ271" i="14609"/>
  <c r="BA271" i="14609"/>
  <c r="BB271" i="14609"/>
  <c r="BC271" i="14609"/>
  <c r="BD271" i="14609"/>
  <c r="BE271" i="14609"/>
  <c r="BF271" i="14609"/>
  <c r="BG271" i="14609"/>
  <c r="BH271" i="14609"/>
  <c r="BI271" i="14609"/>
  <c r="BJ271" i="14609"/>
  <c r="BK271" i="14609"/>
  <c r="BL271" i="14609"/>
  <c r="BM271" i="14609"/>
  <c r="BN271" i="14609"/>
  <c r="BO271" i="14609"/>
  <c r="BP271" i="14609"/>
  <c r="BQ271" i="14609"/>
  <c r="BR271" i="14609"/>
  <c r="BS271" i="14609"/>
  <c r="BT271" i="14609"/>
  <c r="BU271" i="14609"/>
  <c r="BV271" i="14609"/>
  <c r="BW271" i="14609"/>
  <c r="BX271" i="14609"/>
  <c r="BY271" i="14609"/>
  <c r="BZ271" i="14609"/>
  <c r="CA271" i="14609"/>
  <c r="CB271" i="14609"/>
  <c r="CC271" i="14609"/>
  <c r="CD271" i="14609"/>
  <c r="CE271" i="14609"/>
  <c r="CF271" i="14609"/>
  <c r="CG271" i="14609"/>
  <c r="CH271" i="14609"/>
  <c r="CI271" i="14609"/>
  <c r="CJ271" i="14609"/>
  <c r="CK271" i="14609"/>
  <c r="CL271" i="14609"/>
  <c r="CM271" i="14609"/>
  <c r="CN271" i="14609"/>
  <c r="CO271" i="14609"/>
  <c r="CP271" i="14609"/>
  <c r="CQ271" i="14609"/>
  <c r="CR271" i="14609"/>
  <c r="CS271" i="14609"/>
  <c r="CT271" i="14609"/>
  <c r="CU271" i="14609"/>
  <c r="CV271" i="14609"/>
  <c r="CW271" i="14609"/>
  <c r="CX271" i="14609"/>
  <c r="CY271" i="14609"/>
  <c r="CZ271" i="14609"/>
  <c r="DA271" i="14609"/>
  <c r="DB271" i="14609"/>
  <c r="DC271" i="14609"/>
  <c r="DD271" i="14609"/>
  <c r="DE271" i="14609"/>
  <c r="DF271" i="14609"/>
  <c r="DG271" i="14609"/>
  <c r="DH271" i="14609"/>
  <c r="DI271" i="14609"/>
  <c r="DJ271" i="14609"/>
  <c r="DK271" i="14609"/>
  <c r="DL271" i="14609"/>
  <c r="DM271" i="14609"/>
  <c r="DN271" i="14609"/>
  <c r="DO271" i="14609"/>
  <c r="DP271" i="14609"/>
  <c r="DQ271" i="14609"/>
  <c r="DR271" i="14609"/>
  <c r="DS271" i="14609"/>
  <c r="DT271" i="14609"/>
  <c r="DU271" i="14609"/>
  <c r="DV271" i="14609"/>
  <c r="DW271" i="14609"/>
  <c r="DX271" i="14609"/>
  <c r="DY271" i="14609"/>
  <c r="DZ271" i="14609"/>
  <c r="EA271" i="14609"/>
  <c r="EB271" i="14609"/>
  <c r="EC271" i="14609"/>
  <c r="ED271" i="14609"/>
  <c r="EE271" i="14609"/>
  <c r="EF271" i="14609"/>
  <c r="EG271" i="14609"/>
  <c r="EH271" i="14609"/>
  <c r="EI271" i="14609"/>
  <c r="EJ271" i="14609"/>
  <c r="EK271" i="14609"/>
  <c r="EL271" i="14609"/>
  <c r="EM271" i="14609"/>
  <c r="EN271" i="14609"/>
  <c r="EO271" i="14609"/>
  <c r="EP271" i="14609"/>
  <c r="EQ271" i="14609"/>
  <c r="ER271" i="14609"/>
  <c r="ES271" i="14609"/>
  <c r="ET271" i="14609"/>
  <c r="EU271" i="14609"/>
  <c r="EV271" i="14609"/>
  <c r="EW271" i="14609"/>
  <c r="EX271" i="14609"/>
  <c r="EY271" i="14609"/>
  <c r="EZ271" i="14609"/>
  <c r="FA271" i="14609"/>
  <c r="FB271" i="14609"/>
  <c r="FC271" i="14609"/>
  <c r="FD271" i="14609"/>
  <c r="FE271" i="14609"/>
  <c r="FF271" i="14609"/>
  <c r="FG271" i="14609"/>
  <c r="FH271" i="14609"/>
  <c r="FI271" i="14609"/>
  <c r="FJ271" i="14609"/>
  <c r="FK271" i="14609"/>
  <c r="FL271" i="14609"/>
  <c r="FM271" i="14609"/>
  <c r="FN271" i="14609"/>
  <c r="FO271" i="14609"/>
  <c r="FP271" i="14609"/>
  <c r="FQ271" i="14609"/>
  <c r="FR271" i="14609"/>
  <c r="FS271" i="14609"/>
  <c r="FT271" i="14609"/>
  <c r="FU271" i="14609"/>
  <c r="FV271" i="14609"/>
  <c r="FW271" i="14609"/>
  <c r="FX271" i="14609"/>
  <c r="FY271" i="14609"/>
  <c r="FZ271" i="14609"/>
  <c r="GA271" i="14609"/>
  <c r="GB271" i="14609"/>
  <c r="GC271" i="14609"/>
  <c r="GD271" i="14609"/>
  <c r="GE271" i="14609"/>
  <c r="GF271" i="14609"/>
  <c r="GG271" i="14609"/>
  <c r="GH271" i="14609"/>
  <c r="GI271" i="14609"/>
  <c r="GJ271" i="14609"/>
  <c r="GK271" i="14609"/>
  <c r="GL271" i="14609"/>
  <c r="GM271" i="14609"/>
  <c r="GN271" i="14609"/>
  <c r="GO271" i="14609"/>
  <c r="GP271" i="14609"/>
  <c r="GQ271" i="14609"/>
  <c r="GR271" i="14609"/>
  <c r="GS271" i="14609"/>
  <c r="GT271" i="14609"/>
  <c r="GU271" i="14609"/>
  <c r="GV271" i="14609"/>
  <c r="GW271" i="14609"/>
  <c r="GX271" i="14609"/>
  <c r="GY271" i="14609"/>
  <c r="GZ271" i="14609"/>
  <c r="HA271" i="14609"/>
  <c r="HB271" i="14609"/>
  <c r="HC271" i="14609"/>
  <c r="HD271" i="14609"/>
  <c r="HE271" i="14609"/>
  <c r="HF271" i="14609"/>
  <c r="HG271" i="14609"/>
  <c r="HH271" i="14609"/>
  <c r="HI271" i="14609"/>
  <c r="HJ271" i="14609"/>
  <c r="HK271" i="14609"/>
  <c r="HL271" i="14609"/>
  <c r="HM271" i="14609"/>
  <c r="HN271" i="14609"/>
  <c r="HO271" i="14609"/>
  <c r="HP271" i="14609"/>
  <c r="HQ271" i="14609"/>
  <c r="HR271" i="14609"/>
  <c r="HS271" i="14609"/>
  <c r="HT271" i="14609"/>
  <c r="HU271" i="14609"/>
  <c r="HV271" i="14609"/>
  <c r="HW271" i="14609"/>
  <c r="HX271" i="14609"/>
  <c r="HY271" i="14609"/>
  <c r="HZ271" i="14609"/>
  <c r="IA271" i="14609"/>
  <c r="IB271" i="14609"/>
  <c r="IC271" i="14609"/>
  <c r="ID271" i="14609"/>
  <c r="IE271" i="14609"/>
  <c r="IF271" i="14609"/>
  <c r="IG271" i="14609"/>
  <c r="IH271" i="14609"/>
  <c r="II271" i="14609"/>
  <c r="IJ271" i="14609"/>
  <c r="IK271" i="14609"/>
  <c r="IL271" i="14609"/>
  <c r="IM271" i="14609"/>
  <c r="IN271" i="14609"/>
  <c r="IO271" i="14609"/>
  <c r="IP271" i="14609"/>
  <c r="IQ271" i="14609"/>
  <c r="IR271" i="14609"/>
  <c r="IS271" i="14609"/>
  <c r="IT271" i="14609"/>
  <c r="IU271" i="14609"/>
  <c r="IV271" i="14609"/>
  <c r="A270" i="14609"/>
  <c r="B270" i="14609"/>
  <c r="C270" i="14609"/>
  <c r="D270" i="14609"/>
  <c r="E270" i="14609"/>
  <c r="F270" i="14609"/>
  <c r="G270" i="14609"/>
  <c r="H270" i="14609"/>
  <c r="I270" i="14609"/>
  <c r="J270" i="14609"/>
  <c r="K270" i="14609"/>
  <c r="L270" i="14609"/>
  <c r="M270" i="14609"/>
  <c r="N270" i="14609"/>
  <c r="O270" i="14609"/>
  <c r="P270" i="14609"/>
  <c r="Q270" i="14609"/>
  <c r="R270" i="14609"/>
  <c r="S270" i="14609"/>
  <c r="T270" i="14609"/>
  <c r="U270" i="14609"/>
  <c r="V270" i="14609"/>
  <c r="W270" i="14609"/>
  <c r="X270" i="14609"/>
  <c r="Y270" i="14609"/>
  <c r="Z270" i="14609"/>
  <c r="AA270" i="14609"/>
  <c r="AB270" i="14609"/>
  <c r="AC270" i="14609"/>
  <c r="AD270" i="14609"/>
  <c r="AE270" i="14609"/>
  <c r="AF270" i="14609"/>
  <c r="AG270" i="14609"/>
  <c r="AH270" i="14609"/>
  <c r="AI270" i="14609"/>
  <c r="AJ270" i="14609"/>
  <c r="AK270" i="14609"/>
  <c r="AL270" i="14609"/>
  <c r="AM270" i="14609"/>
  <c r="AN270" i="14609"/>
  <c r="AO270" i="14609"/>
  <c r="AP270" i="14609"/>
  <c r="AQ270" i="14609"/>
  <c r="AR270" i="14609"/>
  <c r="AS270" i="14609"/>
  <c r="AT270" i="14609"/>
  <c r="AU270" i="14609"/>
  <c r="AV270" i="14609"/>
  <c r="AW270" i="14609"/>
  <c r="AX270" i="14609"/>
  <c r="AY270" i="14609"/>
  <c r="AZ270" i="14609"/>
  <c r="BA270" i="14609"/>
  <c r="BB270" i="14609"/>
  <c r="BC270" i="14609"/>
  <c r="BD270" i="14609"/>
  <c r="BE270" i="14609"/>
  <c r="BF270" i="14609"/>
  <c r="BG270" i="14609"/>
  <c r="BH270" i="14609"/>
  <c r="BI270" i="14609"/>
  <c r="BJ270" i="14609"/>
  <c r="BK270" i="14609"/>
  <c r="BL270" i="14609"/>
  <c r="BM270" i="14609"/>
  <c r="BN270" i="14609"/>
  <c r="BO270" i="14609"/>
  <c r="BP270" i="14609"/>
  <c r="BQ270" i="14609"/>
  <c r="BR270" i="14609"/>
  <c r="BS270" i="14609"/>
  <c r="BT270" i="14609"/>
  <c r="BU270" i="14609"/>
  <c r="BV270" i="14609"/>
  <c r="BW270" i="14609"/>
  <c r="BX270" i="14609"/>
  <c r="BY270" i="14609"/>
  <c r="BZ270" i="14609"/>
  <c r="CA270" i="14609"/>
  <c r="CB270" i="14609"/>
  <c r="CC270" i="14609"/>
  <c r="CD270" i="14609"/>
  <c r="CE270" i="14609"/>
  <c r="CF270" i="14609"/>
  <c r="CG270" i="14609"/>
  <c r="CH270" i="14609"/>
  <c r="CI270" i="14609"/>
  <c r="CJ270" i="14609"/>
  <c r="CK270" i="14609"/>
  <c r="CL270" i="14609"/>
  <c r="CM270" i="14609"/>
  <c r="CN270" i="14609"/>
  <c r="CO270" i="14609"/>
  <c r="CP270" i="14609"/>
  <c r="CQ270" i="14609"/>
  <c r="CR270" i="14609"/>
  <c r="CS270" i="14609"/>
  <c r="CT270" i="14609"/>
  <c r="CU270" i="14609"/>
  <c r="CV270" i="14609"/>
  <c r="CW270" i="14609"/>
  <c r="CX270" i="14609"/>
  <c r="CY270" i="14609"/>
  <c r="CZ270" i="14609"/>
  <c r="DA270" i="14609"/>
  <c r="DB270" i="14609"/>
  <c r="DC270" i="14609"/>
  <c r="DD270" i="14609"/>
  <c r="DE270" i="14609"/>
  <c r="DF270" i="14609"/>
  <c r="DG270" i="14609"/>
  <c r="DH270" i="14609"/>
  <c r="DI270" i="14609"/>
  <c r="DJ270" i="14609"/>
  <c r="DK270" i="14609"/>
  <c r="DL270" i="14609"/>
  <c r="DM270" i="14609"/>
  <c r="DN270" i="14609"/>
  <c r="DO270" i="14609"/>
  <c r="DP270" i="14609"/>
  <c r="DQ270" i="14609"/>
  <c r="DR270" i="14609"/>
  <c r="DS270" i="14609"/>
  <c r="DT270" i="14609"/>
  <c r="DU270" i="14609"/>
  <c r="DV270" i="14609"/>
  <c r="DW270" i="14609"/>
  <c r="DX270" i="14609"/>
  <c r="DY270" i="14609"/>
  <c r="DZ270" i="14609"/>
  <c r="EA270" i="14609"/>
  <c r="EB270" i="14609"/>
  <c r="EC270" i="14609"/>
  <c r="ED270" i="14609"/>
  <c r="EE270" i="14609"/>
  <c r="EF270" i="14609"/>
  <c r="EG270" i="14609"/>
  <c r="EH270" i="14609"/>
  <c r="EI270" i="14609"/>
  <c r="EJ270" i="14609"/>
  <c r="EK270" i="14609"/>
  <c r="EL270" i="14609"/>
  <c r="EM270" i="14609"/>
  <c r="EN270" i="14609"/>
  <c r="EO270" i="14609"/>
  <c r="EP270" i="14609"/>
  <c r="EQ270" i="14609"/>
  <c r="ER270" i="14609"/>
  <c r="ES270" i="14609"/>
  <c r="ET270" i="14609"/>
  <c r="EU270" i="14609"/>
  <c r="EV270" i="14609"/>
  <c r="EW270" i="14609"/>
  <c r="EX270" i="14609"/>
  <c r="EY270" i="14609"/>
  <c r="EZ270" i="14609"/>
  <c r="FA270" i="14609"/>
  <c r="FB270" i="14609"/>
  <c r="FC270" i="14609"/>
  <c r="FD270" i="14609"/>
  <c r="FE270" i="14609"/>
  <c r="FF270" i="14609"/>
  <c r="FG270" i="14609"/>
  <c r="FH270" i="14609"/>
  <c r="FI270" i="14609"/>
  <c r="FJ270" i="14609"/>
  <c r="FK270" i="14609"/>
  <c r="FL270" i="14609"/>
  <c r="FM270" i="14609"/>
  <c r="FN270" i="14609"/>
  <c r="FO270" i="14609"/>
  <c r="FP270" i="14609"/>
  <c r="FQ270" i="14609"/>
  <c r="FR270" i="14609"/>
  <c r="FS270" i="14609"/>
  <c r="FT270" i="14609"/>
  <c r="FU270" i="14609"/>
  <c r="FV270" i="14609"/>
  <c r="FW270" i="14609"/>
  <c r="FX270" i="14609"/>
  <c r="FY270" i="14609"/>
  <c r="FZ270" i="14609"/>
  <c r="GA270" i="14609"/>
  <c r="GB270" i="14609"/>
  <c r="GC270" i="14609"/>
  <c r="GD270" i="14609"/>
  <c r="GE270" i="14609"/>
  <c r="GF270" i="14609"/>
  <c r="GG270" i="14609"/>
  <c r="GH270" i="14609"/>
  <c r="GI270" i="14609"/>
  <c r="GJ270" i="14609"/>
  <c r="GK270" i="14609"/>
  <c r="GL270" i="14609"/>
  <c r="GM270" i="14609"/>
  <c r="GN270" i="14609"/>
  <c r="GO270" i="14609"/>
  <c r="GP270" i="14609"/>
  <c r="GQ270" i="14609"/>
  <c r="GR270" i="14609"/>
  <c r="GS270" i="14609"/>
  <c r="GT270" i="14609"/>
  <c r="GU270" i="14609"/>
  <c r="GV270" i="14609"/>
  <c r="GW270" i="14609"/>
  <c r="GX270" i="14609"/>
  <c r="GY270" i="14609"/>
  <c r="GZ270" i="14609"/>
  <c r="HA270" i="14609"/>
  <c r="HB270" i="14609"/>
  <c r="HC270" i="14609"/>
  <c r="HD270" i="14609"/>
  <c r="HE270" i="14609"/>
  <c r="HF270" i="14609"/>
  <c r="HG270" i="14609"/>
  <c r="HH270" i="14609"/>
  <c r="HI270" i="14609"/>
  <c r="HJ270" i="14609"/>
  <c r="HK270" i="14609"/>
  <c r="HL270" i="14609"/>
  <c r="HM270" i="14609"/>
  <c r="HN270" i="14609"/>
  <c r="HO270" i="14609"/>
  <c r="HP270" i="14609"/>
  <c r="HQ270" i="14609"/>
  <c r="HR270" i="14609"/>
  <c r="HS270" i="14609"/>
  <c r="HT270" i="14609"/>
  <c r="HU270" i="14609"/>
  <c r="HV270" i="14609"/>
  <c r="HW270" i="14609"/>
  <c r="HX270" i="14609"/>
  <c r="HY270" i="14609"/>
  <c r="HZ270" i="14609"/>
  <c r="IA270" i="14609"/>
  <c r="IB270" i="14609"/>
  <c r="IC270" i="14609"/>
  <c r="ID270" i="14609"/>
  <c r="IE270" i="14609"/>
  <c r="IF270" i="14609"/>
  <c r="IG270" i="14609"/>
  <c r="IH270" i="14609"/>
  <c r="II270" i="14609"/>
  <c r="IJ270" i="14609"/>
  <c r="IK270" i="14609"/>
  <c r="IL270" i="14609"/>
  <c r="IM270" i="14609"/>
  <c r="IN270" i="14609"/>
  <c r="IO270" i="14609"/>
  <c r="IP270" i="14609"/>
  <c r="IQ270" i="14609"/>
  <c r="IR270" i="14609"/>
  <c r="IS270" i="14609"/>
  <c r="IT270" i="14609"/>
  <c r="IU270" i="14609"/>
  <c r="IV270" i="14609"/>
  <c r="A269" i="14609"/>
  <c r="B269" i="14609"/>
  <c r="C269" i="14609"/>
  <c r="D269" i="14609"/>
  <c r="E269" i="14609"/>
  <c r="F269" i="14609"/>
  <c r="G269" i="14609"/>
  <c r="H269" i="14609"/>
  <c r="I269" i="14609"/>
  <c r="J269" i="14609"/>
  <c r="K269" i="14609"/>
  <c r="L269" i="14609"/>
  <c r="M269" i="14609"/>
  <c r="N269" i="14609"/>
  <c r="O269" i="14609"/>
  <c r="P269" i="14609"/>
  <c r="Q269" i="14609"/>
  <c r="R269" i="14609"/>
  <c r="S269" i="14609"/>
  <c r="T269" i="14609"/>
  <c r="U269" i="14609"/>
  <c r="V269" i="14609"/>
  <c r="W269" i="14609"/>
  <c r="X269" i="14609"/>
  <c r="Y269" i="14609"/>
  <c r="Z269" i="14609"/>
  <c r="AA269" i="14609"/>
  <c r="AB269" i="14609"/>
  <c r="AC269" i="14609"/>
  <c r="AD269" i="14609"/>
  <c r="AE269" i="14609"/>
  <c r="AF269" i="14609"/>
  <c r="AG269" i="14609"/>
  <c r="AH269" i="14609"/>
  <c r="AI269" i="14609"/>
  <c r="AJ269" i="14609"/>
  <c r="AK269" i="14609"/>
  <c r="AL269" i="14609"/>
  <c r="AM269" i="14609"/>
  <c r="AN269" i="14609"/>
  <c r="AO269" i="14609"/>
  <c r="AP269" i="14609"/>
  <c r="AQ269" i="14609"/>
  <c r="AR269" i="14609"/>
  <c r="AS269" i="14609"/>
  <c r="AT269" i="14609"/>
  <c r="AU269" i="14609"/>
  <c r="AV269" i="14609"/>
  <c r="AW269" i="14609"/>
  <c r="AX269" i="14609"/>
  <c r="AY269" i="14609"/>
  <c r="AZ269" i="14609"/>
  <c r="BA269" i="14609"/>
  <c r="BB269" i="14609"/>
  <c r="BC269" i="14609"/>
  <c r="BD269" i="14609"/>
  <c r="BE269" i="14609"/>
  <c r="BF269" i="14609"/>
  <c r="BG269" i="14609"/>
  <c r="BH269" i="14609"/>
  <c r="BI269" i="14609"/>
  <c r="BJ269" i="14609"/>
  <c r="BK269" i="14609"/>
  <c r="BL269" i="14609"/>
  <c r="BM269" i="14609"/>
  <c r="BN269" i="14609"/>
  <c r="BO269" i="14609"/>
  <c r="BP269" i="14609"/>
  <c r="BQ269" i="14609"/>
  <c r="BR269" i="14609"/>
  <c r="BS269" i="14609"/>
  <c r="BT269" i="14609"/>
  <c r="BU269" i="14609"/>
  <c r="BV269" i="14609"/>
  <c r="BW269" i="14609"/>
  <c r="BX269" i="14609"/>
  <c r="BY269" i="14609"/>
  <c r="BZ269" i="14609"/>
  <c r="CA269" i="14609"/>
  <c r="CB269" i="14609"/>
  <c r="CC269" i="14609"/>
  <c r="CD269" i="14609"/>
  <c r="CE269" i="14609"/>
  <c r="CF269" i="14609"/>
  <c r="CG269" i="14609"/>
  <c r="CH269" i="14609"/>
  <c r="CI269" i="14609"/>
  <c r="CJ269" i="14609"/>
  <c r="CK269" i="14609"/>
  <c r="CL269" i="14609"/>
  <c r="CM269" i="14609"/>
  <c r="CN269" i="14609"/>
  <c r="CO269" i="14609"/>
  <c r="CP269" i="14609"/>
  <c r="CQ269" i="14609"/>
  <c r="CR269" i="14609"/>
  <c r="CS269" i="14609"/>
  <c r="CT269" i="14609"/>
  <c r="CU269" i="14609"/>
  <c r="CV269" i="14609"/>
  <c r="CW269" i="14609"/>
  <c r="CX269" i="14609"/>
  <c r="CY269" i="14609"/>
  <c r="CZ269" i="14609"/>
  <c r="DA269" i="14609"/>
  <c r="DB269" i="14609"/>
  <c r="DC269" i="14609"/>
  <c r="DD269" i="14609"/>
  <c r="DE269" i="14609"/>
  <c r="DF269" i="14609"/>
  <c r="DG269" i="14609"/>
  <c r="DH269" i="14609"/>
  <c r="DI269" i="14609"/>
  <c r="DJ269" i="14609"/>
  <c r="DK269" i="14609"/>
  <c r="DL269" i="14609"/>
  <c r="DM269" i="14609"/>
  <c r="DN269" i="14609"/>
  <c r="DO269" i="14609"/>
  <c r="DP269" i="14609"/>
  <c r="DQ269" i="14609"/>
  <c r="DR269" i="14609"/>
  <c r="DS269" i="14609"/>
  <c r="DT269" i="14609"/>
  <c r="DU269" i="14609"/>
  <c r="DV269" i="14609"/>
  <c r="DW269" i="14609"/>
  <c r="DX269" i="14609"/>
  <c r="DY269" i="14609"/>
  <c r="DZ269" i="14609"/>
  <c r="EA269" i="14609"/>
  <c r="EB269" i="14609"/>
  <c r="EC269" i="14609"/>
  <c r="ED269" i="14609"/>
  <c r="EE269" i="14609"/>
  <c r="EF269" i="14609"/>
  <c r="EG269" i="14609"/>
  <c r="EH269" i="14609"/>
  <c r="EI269" i="14609"/>
  <c r="EJ269" i="14609"/>
  <c r="EK269" i="14609"/>
  <c r="EL269" i="14609"/>
  <c r="EM269" i="14609"/>
  <c r="EN269" i="14609"/>
  <c r="EO269" i="14609"/>
  <c r="EP269" i="14609"/>
  <c r="EQ269" i="14609"/>
  <c r="ER269" i="14609"/>
  <c r="ES269" i="14609"/>
  <c r="ET269" i="14609"/>
  <c r="EU269" i="14609"/>
  <c r="EV269" i="14609"/>
  <c r="EW269" i="14609"/>
  <c r="EX269" i="14609"/>
  <c r="EY269" i="14609"/>
  <c r="EZ269" i="14609"/>
  <c r="FA269" i="14609"/>
  <c r="FB269" i="14609"/>
  <c r="FC269" i="14609"/>
  <c r="FD269" i="14609"/>
  <c r="FE269" i="14609"/>
  <c r="FF269" i="14609"/>
  <c r="FG269" i="14609"/>
  <c r="FH269" i="14609"/>
  <c r="FI269" i="14609"/>
  <c r="FJ269" i="14609"/>
  <c r="FK269" i="14609"/>
  <c r="FL269" i="14609"/>
  <c r="FM269" i="14609"/>
  <c r="FN269" i="14609"/>
  <c r="FO269" i="14609"/>
  <c r="FP269" i="14609"/>
  <c r="FQ269" i="14609"/>
  <c r="FR269" i="14609"/>
  <c r="FS269" i="14609"/>
  <c r="FT269" i="14609"/>
  <c r="FU269" i="14609"/>
  <c r="FV269" i="14609"/>
  <c r="FW269" i="14609"/>
  <c r="FX269" i="14609"/>
  <c r="FY269" i="14609"/>
  <c r="FZ269" i="14609"/>
  <c r="GA269" i="14609"/>
  <c r="GB269" i="14609"/>
  <c r="GC269" i="14609"/>
  <c r="GD269" i="14609"/>
  <c r="GE269" i="14609"/>
  <c r="GF269" i="14609"/>
  <c r="GG269" i="14609"/>
  <c r="GH269" i="14609"/>
  <c r="GI269" i="14609"/>
  <c r="GJ269" i="14609"/>
  <c r="GK269" i="14609"/>
  <c r="GL269" i="14609"/>
  <c r="GM269" i="14609"/>
  <c r="GN269" i="14609"/>
  <c r="GO269" i="14609"/>
  <c r="GP269" i="14609"/>
  <c r="GQ269" i="14609"/>
  <c r="GR269" i="14609"/>
  <c r="GS269" i="14609"/>
  <c r="GT269" i="14609"/>
  <c r="GU269" i="14609"/>
  <c r="GV269" i="14609"/>
  <c r="GW269" i="14609"/>
  <c r="GX269" i="14609"/>
  <c r="GY269" i="14609"/>
  <c r="GZ269" i="14609"/>
  <c r="HA269" i="14609"/>
  <c r="HB269" i="14609"/>
  <c r="HC269" i="14609"/>
  <c r="HD269" i="14609"/>
  <c r="HE269" i="14609"/>
  <c r="HF269" i="14609"/>
  <c r="HG269" i="14609"/>
  <c r="HH269" i="14609"/>
  <c r="HI269" i="14609"/>
  <c r="HJ269" i="14609"/>
  <c r="HK269" i="14609"/>
  <c r="HL269" i="14609"/>
  <c r="HM269" i="14609"/>
  <c r="HN269" i="14609"/>
  <c r="HO269" i="14609"/>
  <c r="HP269" i="14609"/>
  <c r="HQ269" i="14609"/>
  <c r="HR269" i="14609"/>
  <c r="HS269" i="14609"/>
  <c r="HT269" i="14609"/>
  <c r="HU269" i="14609"/>
  <c r="HV269" i="14609"/>
  <c r="HW269" i="14609"/>
  <c r="HX269" i="14609"/>
  <c r="HY269" i="14609"/>
  <c r="HZ269" i="14609"/>
  <c r="IA269" i="14609"/>
  <c r="IB269" i="14609"/>
  <c r="IC269" i="14609"/>
  <c r="ID269" i="14609"/>
  <c r="IE269" i="14609"/>
  <c r="IF269" i="14609"/>
  <c r="IG269" i="14609"/>
  <c r="IH269" i="14609"/>
  <c r="II269" i="14609"/>
  <c r="IJ269" i="14609"/>
  <c r="IK269" i="14609"/>
  <c r="IL269" i="14609"/>
  <c r="IM269" i="14609"/>
  <c r="IN269" i="14609"/>
  <c r="IO269" i="14609"/>
  <c r="IP269" i="14609"/>
  <c r="IQ269" i="14609"/>
  <c r="IR269" i="14609"/>
  <c r="IS269" i="14609"/>
  <c r="IT269" i="14609"/>
  <c r="IU269" i="14609"/>
  <c r="IV269" i="14609"/>
  <c r="A268" i="14609"/>
  <c r="B268" i="14609"/>
  <c r="C268" i="14609"/>
  <c r="D268" i="14609"/>
  <c r="E268" i="14609"/>
  <c r="F268" i="14609"/>
  <c r="G268" i="14609"/>
  <c r="H268" i="14609"/>
  <c r="I268" i="14609"/>
  <c r="J268" i="14609"/>
  <c r="K268" i="14609"/>
  <c r="L268" i="14609"/>
  <c r="M268" i="14609"/>
  <c r="N268" i="14609"/>
  <c r="O268" i="14609"/>
  <c r="P268" i="14609"/>
  <c r="Q268" i="14609"/>
  <c r="R268" i="14609"/>
  <c r="S268" i="14609"/>
  <c r="T268" i="14609"/>
  <c r="U268" i="14609"/>
  <c r="V268" i="14609"/>
  <c r="W268" i="14609"/>
  <c r="X268" i="14609"/>
  <c r="Y268" i="14609"/>
  <c r="Z268" i="14609"/>
  <c r="AA268" i="14609"/>
  <c r="AB268" i="14609"/>
  <c r="AC268" i="14609"/>
  <c r="AD268" i="14609"/>
  <c r="AE268" i="14609"/>
  <c r="AF268" i="14609"/>
  <c r="AG268" i="14609"/>
  <c r="AH268" i="14609"/>
  <c r="AI268" i="14609"/>
  <c r="AJ268" i="14609"/>
  <c r="AK268" i="14609"/>
  <c r="AL268" i="14609"/>
  <c r="AM268" i="14609"/>
  <c r="AN268" i="14609"/>
  <c r="AO268" i="14609"/>
  <c r="AP268" i="14609"/>
  <c r="AQ268" i="14609"/>
  <c r="AR268" i="14609"/>
  <c r="AS268" i="14609"/>
  <c r="AT268" i="14609"/>
  <c r="AU268" i="14609"/>
  <c r="AV268" i="14609"/>
  <c r="AW268" i="14609"/>
  <c r="AX268" i="14609"/>
  <c r="AY268" i="14609"/>
  <c r="AZ268" i="14609"/>
  <c r="BA268" i="14609"/>
  <c r="BB268" i="14609"/>
  <c r="BC268" i="14609"/>
  <c r="BD268" i="14609"/>
  <c r="BE268" i="14609"/>
  <c r="BF268" i="14609"/>
  <c r="BG268" i="14609"/>
  <c r="BH268" i="14609"/>
  <c r="BI268" i="14609"/>
  <c r="BJ268" i="14609"/>
  <c r="BK268" i="14609"/>
  <c r="BL268" i="14609"/>
  <c r="BM268" i="14609"/>
  <c r="BN268" i="14609"/>
  <c r="BO268" i="14609"/>
  <c r="BP268" i="14609"/>
  <c r="BQ268" i="14609"/>
  <c r="BR268" i="14609"/>
  <c r="BS268" i="14609"/>
  <c r="BT268" i="14609"/>
  <c r="BU268" i="14609"/>
  <c r="BV268" i="14609"/>
  <c r="BW268" i="14609"/>
  <c r="BX268" i="14609"/>
  <c r="BY268" i="14609"/>
  <c r="BZ268" i="14609"/>
  <c r="CA268" i="14609"/>
  <c r="CB268" i="14609"/>
  <c r="CC268" i="14609"/>
  <c r="CD268" i="14609"/>
  <c r="CE268" i="14609"/>
  <c r="CF268" i="14609"/>
  <c r="CG268" i="14609"/>
  <c r="CH268" i="14609"/>
  <c r="CI268" i="14609"/>
  <c r="CJ268" i="14609"/>
  <c r="CK268" i="14609"/>
  <c r="CL268" i="14609"/>
  <c r="CM268" i="14609"/>
  <c r="CN268" i="14609"/>
  <c r="CO268" i="14609"/>
  <c r="CP268" i="14609"/>
  <c r="CQ268" i="14609"/>
  <c r="CR268" i="14609"/>
  <c r="CS268" i="14609"/>
  <c r="CT268" i="14609"/>
  <c r="CU268" i="14609"/>
  <c r="CV268" i="14609"/>
  <c r="CW268" i="14609"/>
  <c r="CX268" i="14609"/>
  <c r="CY268" i="14609"/>
  <c r="CZ268" i="14609"/>
  <c r="DA268" i="14609"/>
  <c r="DB268" i="14609"/>
  <c r="DC268" i="14609"/>
  <c r="DD268" i="14609"/>
  <c r="DE268" i="14609"/>
  <c r="DF268" i="14609"/>
  <c r="DG268" i="14609"/>
  <c r="DH268" i="14609"/>
  <c r="DI268" i="14609"/>
  <c r="DJ268" i="14609"/>
  <c r="DK268" i="14609"/>
  <c r="DL268" i="14609"/>
  <c r="DM268" i="14609"/>
  <c r="DN268" i="14609"/>
  <c r="DO268" i="14609"/>
  <c r="DP268" i="14609"/>
  <c r="DQ268" i="14609"/>
  <c r="DR268" i="14609"/>
  <c r="DS268" i="14609"/>
  <c r="DT268" i="14609"/>
  <c r="DU268" i="14609"/>
  <c r="DV268" i="14609"/>
  <c r="DW268" i="14609"/>
  <c r="DX268" i="14609"/>
  <c r="DY268" i="14609"/>
  <c r="DZ268" i="14609"/>
  <c r="EA268" i="14609"/>
  <c r="EB268" i="14609"/>
  <c r="EC268" i="14609"/>
  <c r="ED268" i="14609"/>
  <c r="EE268" i="14609"/>
  <c r="EF268" i="14609"/>
  <c r="EG268" i="14609"/>
  <c r="EH268" i="14609"/>
  <c r="EI268" i="14609"/>
  <c r="EJ268" i="14609"/>
  <c r="EK268" i="14609"/>
  <c r="EL268" i="14609"/>
  <c r="EM268" i="14609"/>
  <c r="EN268" i="14609"/>
  <c r="EO268" i="14609"/>
  <c r="EP268" i="14609"/>
  <c r="EQ268" i="14609"/>
  <c r="ER268" i="14609"/>
  <c r="ES268" i="14609"/>
  <c r="ET268" i="14609"/>
  <c r="EU268" i="14609"/>
  <c r="EV268" i="14609"/>
  <c r="EW268" i="14609"/>
  <c r="EX268" i="14609"/>
  <c r="EY268" i="14609"/>
  <c r="EZ268" i="14609"/>
  <c r="FA268" i="14609"/>
  <c r="FB268" i="14609"/>
  <c r="FC268" i="14609"/>
  <c r="FD268" i="14609"/>
  <c r="FE268" i="14609"/>
  <c r="FF268" i="14609"/>
  <c r="FG268" i="14609"/>
  <c r="FH268" i="14609"/>
  <c r="FI268" i="14609"/>
  <c r="FJ268" i="14609"/>
  <c r="FK268" i="14609"/>
  <c r="FL268" i="14609"/>
  <c r="FM268" i="14609"/>
  <c r="FN268" i="14609"/>
  <c r="FO268" i="14609"/>
  <c r="FP268" i="14609"/>
  <c r="FQ268" i="14609"/>
  <c r="FR268" i="14609"/>
  <c r="FS268" i="14609"/>
  <c r="FT268" i="14609"/>
  <c r="FU268" i="14609"/>
  <c r="FV268" i="14609"/>
  <c r="FW268" i="14609"/>
  <c r="FX268" i="14609"/>
  <c r="FY268" i="14609"/>
  <c r="FZ268" i="14609"/>
  <c r="GA268" i="14609"/>
  <c r="GB268" i="14609"/>
  <c r="GC268" i="14609"/>
  <c r="GD268" i="14609"/>
  <c r="GE268" i="14609"/>
  <c r="GF268" i="14609"/>
  <c r="GG268" i="14609"/>
  <c r="GH268" i="14609"/>
  <c r="GI268" i="14609"/>
  <c r="GJ268" i="14609"/>
  <c r="GK268" i="14609"/>
  <c r="GL268" i="14609"/>
  <c r="GM268" i="14609"/>
  <c r="GN268" i="14609"/>
  <c r="GO268" i="14609"/>
  <c r="GP268" i="14609"/>
  <c r="GQ268" i="14609"/>
  <c r="GR268" i="14609"/>
  <c r="GS268" i="14609"/>
  <c r="GT268" i="14609"/>
  <c r="GU268" i="14609"/>
  <c r="GV268" i="14609"/>
  <c r="GW268" i="14609"/>
  <c r="GX268" i="14609"/>
  <c r="GY268" i="14609"/>
  <c r="GZ268" i="14609"/>
  <c r="HA268" i="14609"/>
  <c r="HB268" i="14609"/>
  <c r="HC268" i="14609"/>
  <c r="HD268" i="14609"/>
  <c r="HE268" i="14609"/>
  <c r="HF268" i="14609"/>
  <c r="HG268" i="14609"/>
  <c r="HH268" i="14609"/>
  <c r="HI268" i="14609"/>
  <c r="HJ268" i="14609"/>
  <c r="HK268" i="14609"/>
  <c r="HL268" i="14609"/>
  <c r="HM268" i="14609"/>
  <c r="HN268" i="14609"/>
  <c r="HO268" i="14609"/>
  <c r="HP268" i="14609"/>
  <c r="HQ268" i="14609"/>
  <c r="HR268" i="14609"/>
  <c r="HS268" i="14609"/>
  <c r="HT268" i="14609"/>
  <c r="HU268" i="14609"/>
  <c r="HV268" i="14609"/>
  <c r="HW268" i="14609"/>
  <c r="HX268" i="14609"/>
  <c r="HY268" i="14609"/>
  <c r="HZ268" i="14609"/>
  <c r="IA268" i="14609"/>
  <c r="IB268" i="14609"/>
  <c r="IC268" i="14609"/>
  <c r="ID268" i="14609"/>
  <c r="IE268" i="14609"/>
  <c r="IF268" i="14609"/>
  <c r="IG268" i="14609"/>
  <c r="IH268" i="14609"/>
  <c r="II268" i="14609"/>
  <c r="IJ268" i="14609"/>
  <c r="IK268" i="14609"/>
  <c r="IL268" i="14609"/>
  <c r="IM268" i="14609"/>
  <c r="IN268" i="14609"/>
  <c r="IO268" i="14609"/>
  <c r="IP268" i="14609"/>
  <c r="IQ268" i="14609"/>
  <c r="IR268" i="14609"/>
  <c r="IS268" i="14609"/>
  <c r="IT268" i="14609"/>
  <c r="IU268" i="14609"/>
  <c r="IV268" i="14609"/>
  <c r="A267" i="14609"/>
  <c r="B267" i="14609"/>
  <c r="C267" i="14609"/>
  <c r="D267" i="14609"/>
  <c r="E267" i="14609"/>
  <c r="F267" i="14609"/>
  <c r="G267" i="14609"/>
  <c r="H267" i="14609"/>
  <c r="I267" i="14609"/>
  <c r="J267" i="14609"/>
  <c r="K267" i="14609"/>
  <c r="L267" i="14609"/>
  <c r="M267" i="14609"/>
  <c r="N267" i="14609"/>
  <c r="O267" i="14609"/>
  <c r="P267" i="14609"/>
  <c r="Q267" i="14609"/>
  <c r="R267" i="14609"/>
  <c r="S267" i="14609"/>
  <c r="T267" i="14609"/>
  <c r="U267" i="14609"/>
  <c r="V267" i="14609"/>
  <c r="W267" i="14609"/>
  <c r="X267" i="14609"/>
  <c r="Y267" i="14609"/>
  <c r="Z267" i="14609"/>
  <c r="AA267" i="14609"/>
  <c r="AB267" i="14609"/>
  <c r="AC267" i="14609"/>
  <c r="AD267" i="14609"/>
  <c r="AE267" i="14609"/>
  <c r="AF267" i="14609"/>
  <c r="AG267" i="14609"/>
  <c r="AH267" i="14609"/>
  <c r="AI267" i="14609"/>
  <c r="AJ267" i="14609"/>
  <c r="AK267" i="14609"/>
  <c r="AL267" i="14609"/>
  <c r="AM267" i="14609"/>
  <c r="AN267" i="14609"/>
  <c r="AO267" i="14609"/>
  <c r="AP267" i="14609"/>
  <c r="AQ267" i="14609"/>
  <c r="AR267" i="14609"/>
  <c r="AS267" i="14609"/>
  <c r="AT267" i="14609"/>
  <c r="AU267" i="14609"/>
  <c r="AV267" i="14609"/>
  <c r="AW267" i="14609"/>
  <c r="AX267" i="14609"/>
  <c r="AY267" i="14609"/>
  <c r="AZ267" i="14609"/>
  <c r="BA267" i="14609"/>
  <c r="BB267" i="14609"/>
  <c r="BC267" i="14609"/>
  <c r="BD267" i="14609"/>
  <c r="BE267" i="14609"/>
  <c r="BF267" i="14609"/>
  <c r="BG267" i="14609"/>
  <c r="BH267" i="14609"/>
  <c r="BI267" i="14609"/>
  <c r="BJ267" i="14609"/>
  <c r="BK267" i="14609"/>
  <c r="BL267" i="14609"/>
  <c r="BM267" i="14609"/>
  <c r="BN267" i="14609"/>
  <c r="BO267" i="14609"/>
  <c r="BP267" i="14609"/>
  <c r="BQ267" i="14609"/>
  <c r="BR267" i="14609"/>
  <c r="BS267" i="14609"/>
  <c r="BT267" i="14609"/>
  <c r="BU267" i="14609"/>
  <c r="BV267" i="14609"/>
  <c r="BW267" i="14609"/>
  <c r="BX267" i="14609"/>
  <c r="BY267" i="14609"/>
  <c r="BZ267" i="14609"/>
  <c r="CA267" i="14609"/>
  <c r="CB267" i="14609"/>
  <c r="CC267" i="14609"/>
  <c r="CD267" i="14609"/>
  <c r="CE267" i="14609"/>
  <c r="CF267" i="14609"/>
  <c r="CG267" i="14609"/>
  <c r="CH267" i="14609"/>
  <c r="CI267" i="14609"/>
  <c r="CJ267" i="14609"/>
  <c r="CK267" i="14609"/>
  <c r="CL267" i="14609"/>
  <c r="CM267" i="14609"/>
  <c r="CN267" i="14609"/>
  <c r="CO267" i="14609"/>
  <c r="CP267" i="14609"/>
  <c r="CQ267" i="14609"/>
  <c r="CR267" i="14609"/>
  <c r="CS267" i="14609"/>
  <c r="CT267" i="14609"/>
  <c r="CU267" i="14609"/>
  <c r="CV267" i="14609"/>
  <c r="CW267" i="14609"/>
  <c r="CX267" i="14609"/>
  <c r="CY267" i="14609"/>
  <c r="CZ267" i="14609"/>
  <c r="DA267" i="14609"/>
  <c r="DB267" i="14609"/>
  <c r="DC267" i="14609"/>
  <c r="DD267" i="14609"/>
  <c r="DE267" i="14609"/>
  <c r="DF267" i="14609"/>
  <c r="DG267" i="14609"/>
  <c r="DH267" i="14609"/>
  <c r="DI267" i="14609"/>
  <c r="DJ267" i="14609"/>
  <c r="DK267" i="14609"/>
  <c r="DL267" i="14609"/>
  <c r="DM267" i="14609"/>
  <c r="DN267" i="14609"/>
  <c r="DO267" i="14609"/>
  <c r="DP267" i="14609"/>
  <c r="DQ267" i="14609"/>
  <c r="DR267" i="14609"/>
  <c r="DS267" i="14609"/>
  <c r="DT267" i="14609"/>
  <c r="DU267" i="14609"/>
  <c r="DV267" i="14609"/>
  <c r="DW267" i="14609"/>
  <c r="DX267" i="14609"/>
  <c r="DY267" i="14609"/>
  <c r="DZ267" i="14609"/>
  <c r="EA267" i="14609"/>
  <c r="EB267" i="14609"/>
  <c r="EC267" i="14609"/>
  <c r="ED267" i="14609"/>
  <c r="EE267" i="14609"/>
  <c r="EF267" i="14609"/>
  <c r="EG267" i="14609"/>
  <c r="EH267" i="14609"/>
  <c r="EI267" i="14609"/>
  <c r="EJ267" i="14609"/>
  <c r="EK267" i="14609"/>
  <c r="EL267" i="14609"/>
  <c r="EM267" i="14609"/>
  <c r="EN267" i="14609"/>
  <c r="EO267" i="14609"/>
  <c r="EP267" i="14609"/>
  <c r="EQ267" i="14609"/>
  <c r="ER267" i="14609"/>
  <c r="ES267" i="14609"/>
  <c r="ET267" i="14609"/>
  <c r="EU267" i="14609"/>
  <c r="EV267" i="14609"/>
  <c r="EW267" i="14609"/>
  <c r="EX267" i="14609"/>
  <c r="EY267" i="14609"/>
  <c r="EZ267" i="14609"/>
  <c r="FA267" i="14609"/>
  <c r="FB267" i="14609"/>
  <c r="FC267" i="14609"/>
  <c r="FD267" i="14609"/>
  <c r="FE267" i="14609"/>
  <c r="FF267" i="14609"/>
  <c r="FG267" i="14609"/>
  <c r="FH267" i="14609"/>
  <c r="FI267" i="14609"/>
  <c r="FJ267" i="14609"/>
  <c r="FK267" i="14609"/>
  <c r="FL267" i="14609"/>
  <c r="FM267" i="14609"/>
  <c r="FN267" i="14609"/>
  <c r="FO267" i="14609"/>
  <c r="FP267" i="14609"/>
  <c r="FQ267" i="14609"/>
  <c r="FR267" i="14609"/>
  <c r="FS267" i="14609"/>
  <c r="FT267" i="14609"/>
  <c r="FU267" i="14609"/>
  <c r="FV267" i="14609"/>
  <c r="FW267" i="14609"/>
  <c r="FX267" i="14609"/>
  <c r="FY267" i="14609"/>
  <c r="FZ267" i="14609"/>
  <c r="GA267" i="14609"/>
  <c r="GB267" i="14609"/>
  <c r="GC267" i="14609"/>
  <c r="GD267" i="14609"/>
  <c r="GE267" i="14609"/>
  <c r="GF267" i="14609"/>
  <c r="GG267" i="14609"/>
  <c r="GH267" i="14609"/>
  <c r="GI267" i="14609"/>
  <c r="GJ267" i="14609"/>
  <c r="GK267" i="14609"/>
  <c r="GL267" i="14609"/>
  <c r="GM267" i="14609"/>
  <c r="GN267" i="14609"/>
  <c r="GO267" i="14609"/>
  <c r="GP267" i="14609"/>
  <c r="GQ267" i="14609"/>
  <c r="GR267" i="14609"/>
  <c r="GS267" i="14609"/>
  <c r="GT267" i="14609"/>
  <c r="GU267" i="14609"/>
  <c r="GV267" i="14609"/>
  <c r="GW267" i="14609"/>
  <c r="GX267" i="14609"/>
  <c r="GY267" i="14609"/>
  <c r="GZ267" i="14609"/>
  <c r="HA267" i="14609"/>
  <c r="HB267" i="14609"/>
  <c r="HC267" i="14609"/>
  <c r="HD267" i="14609"/>
  <c r="HE267" i="14609"/>
  <c r="HF267" i="14609"/>
  <c r="HG267" i="14609"/>
  <c r="HH267" i="14609"/>
  <c r="HI267" i="14609"/>
  <c r="HJ267" i="14609"/>
  <c r="HK267" i="14609"/>
  <c r="HL267" i="14609"/>
  <c r="HM267" i="14609"/>
  <c r="HN267" i="14609"/>
  <c r="HO267" i="14609"/>
  <c r="HP267" i="14609"/>
  <c r="HQ267" i="14609"/>
  <c r="HR267" i="14609"/>
  <c r="HS267" i="14609"/>
  <c r="HT267" i="14609"/>
  <c r="HU267" i="14609"/>
  <c r="HV267" i="14609"/>
  <c r="HW267" i="14609"/>
  <c r="HX267" i="14609"/>
  <c r="HY267" i="14609"/>
  <c r="HZ267" i="14609"/>
  <c r="IA267" i="14609"/>
  <c r="IB267" i="14609"/>
  <c r="IC267" i="14609"/>
  <c r="ID267" i="14609"/>
  <c r="IE267" i="14609"/>
  <c r="IF267" i="14609"/>
  <c r="IG267" i="14609"/>
  <c r="IH267" i="14609"/>
  <c r="II267" i="14609"/>
  <c r="IJ267" i="14609"/>
  <c r="IK267" i="14609"/>
  <c r="IL267" i="14609"/>
  <c r="IM267" i="14609"/>
  <c r="IN267" i="14609"/>
  <c r="IO267" i="14609"/>
  <c r="IP267" i="14609"/>
  <c r="IQ267" i="14609"/>
  <c r="IR267" i="14609"/>
  <c r="IS267" i="14609"/>
  <c r="IT267" i="14609"/>
  <c r="IU267" i="14609"/>
  <c r="IV267" i="14609"/>
  <c r="A266" i="14609"/>
  <c r="B266" i="14609"/>
  <c r="C266" i="14609"/>
  <c r="D266" i="14609"/>
  <c r="E266" i="14609"/>
  <c r="F266" i="14609"/>
  <c r="G266" i="14609"/>
  <c r="H266" i="14609"/>
  <c r="I266" i="14609"/>
  <c r="J266" i="14609"/>
  <c r="K266" i="14609"/>
  <c r="L266" i="14609"/>
  <c r="M266" i="14609"/>
  <c r="N266" i="14609"/>
  <c r="O266" i="14609"/>
  <c r="P266" i="14609"/>
  <c r="Q266" i="14609"/>
  <c r="R266" i="14609"/>
  <c r="S266" i="14609"/>
  <c r="T266" i="14609"/>
  <c r="U266" i="14609"/>
  <c r="V266" i="14609"/>
  <c r="W266" i="14609"/>
  <c r="X266" i="14609"/>
  <c r="Y266" i="14609"/>
  <c r="Z266" i="14609"/>
  <c r="AA266" i="14609"/>
  <c r="AB266" i="14609"/>
  <c r="AC266" i="14609"/>
  <c r="AD266" i="14609"/>
  <c r="AE266" i="14609"/>
  <c r="AF266" i="14609"/>
  <c r="AG266" i="14609"/>
  <c r="AH266" i="14609"/>
  <c r="AI266" i="14609"/>
  <c r="AJ266" i="14609"/>
  <c r="AK266" i="14609"/>
  <c r="AL266" i="14609"/>
  <c r="AM266" i="14609"/>
  <c r="AN266" i="14609"/>
  <c r="AO266" i="14609"/>
  <c r="AP266" i="14609"/>
  <c r="AQ266" i="14609"/>
  <c r="AR266" i="14609"/>
  <c r="AS266" i="14609"/>
  <c r="AT266" i="14609"/>
  <c r="AU266" i="14609"/>
  <c r="AV266" i="14609"/>
  <c r="AW266" i="14609"/>
  <c r="AX266" i="14609"/>
  <c r="AY266" i="14609"/>
  <c r="AZ266" i="14609"/>
  <c r="BA266" i="14609"/>
  <c r="BB266" i="14609"/>
  <c r="BC266" i="14609"/>
  <c r="BD266" i="14609"/>
  <c r="BE266" i="14609"/>
  <c r="BF266" i="14609"/>
  <c r="BG266" i="14609"/>
  <c r="BH266" i="14609"/>
  <c r="BI266" i="14609"/>
  <c r="BJ266" i="14609"/>
  <c r="BK266" i="14609"/>
  <c r="BL266" i="14609"/>
  <c r="BM266" i="14609"/>
  <c r="BN266" i="14609"/>
  <c r="BO266" i="14609"/>
  <c r="BP266" i="14609"/>
  <c r="BQ266" i="14609"/>
  <c r="BR266" i="14609"/>
  <c r="BS266" i="14609"/>
  <c r="BT266" i="14609"/>
  <c r="BU266" i="14609"/>
  <c r="BV266" i="14609"/>
  <c r="BW266" i="14609"/>
  <c r="BX266" i="14609"/>
  <c r="BY266" i="14609"/>
  <c r="BZ266" i="14609"/>
  <c r="CA266" i="14609"/>
  <c r="CB266" i="14609"/>
  <c r="CC266" i="14609"/>
  <c r="CD266" i="14609"/>
  <c r="CE266" i="14609"/>
  <c r="CF266" i="14609"/>
  <c r="CG266" i="14609"/>
  <c r="CH266" i="14609"/>
  <c r="CI266" i="14609"/>
  <c r="CJ266" i="14609"/>
  <c r="CK266" i="14609"/>
  <c r="CL266" i="14609"/>
  <c r="CM266" i="14609"/>
  <c r="CN266" i="14609"/>
  <c r="CO266" i="14609"/>
  <c r="CP266" i="14609"/>
  <c r="CQ266" i="14609"/>
  <c r="CR266" i="14609"/>
  <c r="CS266" i="14609"/>
  <c r="CT266" i="14609"/>
  <c r="CU266" i="14609"/>
  <c r="CV266" i="14609"/>
  <c r="CW266" i="14609"/>
  <c r="CX266" i="14609"/>
  <c r="CY266" i="14609"/>
  <c r="CZ266" i="14609"/>
  <c r="DA266" i="14609"/>
  <c r="DB266" i="14609"/>
  <c r="DC266" i="14609"/>
  <c r="DD266" i="14609"/>
  <c r="DE266" i="14609"/>
  <c r="DF266" i="14609"/>
  <c r="DG266" i="14609"/>
  <c r="DH266" i="14609"/>
  <c r="DI266" i="14609"/>
  <c r="DJ266" i="14609"/>
  <c r="DK266" i="14609"/>
  <c r="DL266" i="14609"/>
  <c r="DM266" i="14609"/>
  <c r="DN266" i="14609"/>
  <c r="DO266" i="14609"/>
  <c r="DP266" i="14609"/>
  <c r="DQ266" i="14609"/>
  <c r="DR266" i="14609"/>
  <c r="DS266" i="14609"/>
  <c r="DT266" i="14609"/>
  <c r="DU266" i="14609"/>
  <c r="DV266" i="14609"/>
  <c r="DW266" i="14609"/>
  <c r="DX266" i="14609"/>
  <c r="DY266" i="14609"/>
  <c r="DZ266" i="14609"/>
  <c r="EA266" i="14609"/>
  <c r="EB266" i="14609"/>
  <c r="EC266" i="14609"/>
  <c r="ED266" i="14609"/>
  <c r="EE266" i="14609"/>
  <c r="EF266" i="14609"/>
  <c r="EG266" i="14609"/>
  <c r="EH266" i="14609"/>
  <c r="EI266" i="14609"/>
  <c r="EJ266" i="14609"/>
  <c r="EK266" i="14609"/>
  <c r="EL266" i="14609"/>
  <c r="EM266" i="14609"/>
  <c r="EN266" i="14609"/>
  <c r="EO266" i="14609"/>
  <c r="EP266" i="14609"/>
  <c r="EQ266" i="14609"/>
  <c r="ER266" i="14609"/>
  <c r="ES266" i="14609"/>
  <c r="ET266" i="14609"/>
  <c r="EU266" i="14609"/>
  <c r="EV266" i="14609"/>
  <c r="EW266" i="14609"/>
  <c r="EX266" i="14609"/>
  <c r="EY266" i="14609"/>
  <c r="EZ266" i="14609"/>
  <c r="FA266" i="14609"/>
  <c r="FB266" i="14609"/>
  <c r="FC266" i="14609"/>
  <c r="FD266" i="14609"/>
  <c r="FE266" i="14609"/>
  <c r="FF266" i="14609"/>
  <c r="FG266" i="14609"/>
  <c r="FH266" i="14609"/>
  <c r="FI266" i="14609"/>
  <c r="FJ266" i="14609"/>
  <c r="FK266" i="14609"/>
  <c r="FL266" i="14609"/>
  <c r="FM266" i="14609"/>
  <c r="FN266" i="14609"/>
  <c r="FO266" i="14609"/>
  <c r="FP266" i="14609"/>
  <c r="FQ266" i="14609"/>
  <c r="FR266" i="14609"/>
  <c r="FS266" i="14609"/>
  <c r="FT266" i="14609"/>
  <c r="FU266" i="14609"/>
  <c r="FV266" i="14609"/>
  <c r="FW266" i="14609"/>
  <c r="FX266" i="14609"/>
  <c r="FY266" i="14609"/>
  <c r="FZ266" i="14609"/>
  <c r="GA266" i="14609"/>
  <c r="GB266" i="14609"/>
  <c r="GC266" i="14609"/>
  <c r="GD266" i="14609"/>
  <c r="GE266" i="14609"/>
  <c r="GF266" i="14609"/>
  <c r="GG266" i="14609"/>
  <c r="GH266" i="14609"/>
  <c r="GI266" i="14609"/>
  <c r="GJ266" i="14609"/>
  <c r="GK266" i="14609"/>
  <c r="GL266" i="14609"/>
  <c r="GM266" i="14609"/>
  <c r="GN266" i="14609"/>
  <c r="GO266" i="14609"/>
  <c r="GP266" i="14609"/>
  <c r="GQ266" i="14609"/>
  <c r="GR266" i="14609"/>
  <c r="GS266" i="14609"/>
  <c r="GT266" i="14609"/>
  <c r="GU266" i="14609"/>
  <c r="GV266" i="14609"/>
  <c r="GW266" i="14609"/>
  <c r="GX266" i="14609"/>
  <c r="GY266" i="14609"/>
  <c r="GZ266" i="14609"/>
  <c r="HA266" i="14609"/>
  <c r="HB266" i="14609"/>
  <c r="HC266" i="14609"/>
  <c r="HD266" i="14609"/>
  <c r="HE266" i="14609"/>
  <c r="HF266" i="14609"/>
  <c r="HG266" i="14609"/>
  <c r="HH266" i="14609"/>
  <c r="HI266" i="14609"/>
  <c r="HJ266" i="14609"/>
  <c r="HK266" i="14609"/>
  <c r="HL266" i="14609"/>
  <c r="HM266" i="14609"/>
  <c r="HN266" i="14609"/>
  <c r="HO266" i="14609"/>
  <c r="HP266" i="14609"/>
  <c r="HQ266" i="14609"/>
  <c r="HR266" i="14609"/>
  <c r="HS266" i="14609"/>
  <c r="HT266" i="14609"/>
  <c r="HU266" i="14609"/>
  <c r="HV266" i="14609"/>
  <c r="HW266" i="14609"/>
  <c r="HX266" i="14609"/>
  <c r="HY266" i="14609"/>
  <c r="HZ266" i="14609"/>
  <c r="IA266" i="14609"/>
  <c r="IB266" i="14609"/>
  <c r="IC266" i="14609"/>
  <c r="ID266" i="14609"/>
  <c r="IE266" i="14609"/>
  <c r="IF266" i="14609"/>
  <c r="IG266" i="14609"/>
  <c r="IH266" i="14609"/>
  <c r="II266" i="14609"/>
  <c r="IJ266" i="14609"/>
  <c r="IK266" i="14609"/>
  <c r="IL266" i="14609"/>
  <c r="IM266" i="14609"/>
  <c r="IN266" i="14609"/>
  <c r="IO266" i="14609"/>
  <c r="IP266" i="14609"/>
  <c r="IQ266" i="14609"/>
  <c r="IR266" i="14609"/>
  <c r="IS266" i="14609"/>
  <c r="IT266" i="14609"/>
  <c r="IU266" i="14609"/>
  <c r="IV266" i="14609"/>
  <c r="A265" i="14609"/>
  <c r="B265" i="14609"/>
  <c r="C265" i="14609"/>
  <c r="D265" i="14609"/>
  <c r="E265" i="14609"/>
  <c r="F265" i="14609"/>
  <c r="G265" i="14609"/>
  <c r="H265" i="14609"/>
  <c r="I265" i="14609"/>
  <c r="J265" i="14609"/>
  <c r="K265" i="14609"/>
  <c r="L265" i="14609"/>
  <c r="M265" i="14609"/>
  <c r="N265" i="14609"/>
  <c r="O265" i="14609"/>
  <c r="P265" i="14609"/>
  <c r="Q265" i="14609"/>
  <c r="R265" i="14609"/>
  <c r="S265" i="14609"/>
  <c r="T265" i="14609"/>
  <c r="U265" i="14609"/>
  <c r="V265" i="14609"/>
  <c r="W265" i="14609"/>
  <c r="X265" i="14609"/>
  <c r="Y265" i="14609"/>
  <c r="Z265" i="14609"/>
  <c r="AA265" i="14609"/>
  <c r="AB265" i="14609"/>
  <c r="AC265" i="14609"/>
  <c r="AD265" i="14609"/>
  <c r="AE265" i="14609"/>
  <c r="AF265" i="14609"/>
  <c r="AG265" i="14609"/>
  <c r="AH265" i="14609"/>
  <c r="AI265" i="14609"/>
  <c r="AJ265" i="14609"/>
  <c r="AK265" i="14609"/>
  <c r="AL265" i="14609"/>
  <c r="AM265" i="14609"/>
  <c r="AN265" i="14609"/>
  <c r="AO265" i="14609"/>
  <c r="AP265" i="14609"/>
  <c r="AQ265" i="14609"/>
  <c r="AR265" i="14609"/>
  <c r="AS265" i="14609"/>
  <c r="AT265" i="14609"/>
  <c r="AU265" i="14609"/>
  <c r="AV265" i="14609"/>
  <c r="AW265" i="14609"/>
  <c r="AX265" i="14609"/>
  <c r="AY265" i="14609"/>
  <c r="AZ265" i="14609"/>
  <c r="BA265" i="14609"/>
  <c r="BB265" i="14609"/>
  <c r="BC265" i="14609"/>
  <c r="BD265" i="14609"/>
  <c r="BE265" i="14609"/>
  <c r="BF265" i="14609"/>
  <c r="BG265" i="14609"/>
  <c r="BH265" i="14609"/>
  <c r="BI265" i="14609"/>
  <c r="BJ265" i="14609"/>
  <c r="BK265" i="14609"/>
  <c r="BL265" i="14609"/>
  <c r="BM265" i="14609"/>
  <c r="BN265" i="14609"/>
  <c r="BO265" i="14609"/>
  <c r="BP265" i="14609"/>
  <c r="BQ265" i="14609"/>
  <c r="BR265" i="14609"/>
  <c r="BS265" i="14609"/>
  <c r="BT265" i="14609"/>
  <c r="BU265" i="14609"/>
  <c r="BV265" i="14609"/>
  <c r="BW265" i="14609"/>
  <c r="BX265" i="14609"/>
  <c r="BY265" i="14609"/>
  <c r="BZ265" i="14609"/>
  <c r="CA265" i="14609"/>
  <c r="CB265" i="14609"/>
  <c r="CC265" i="14609"/>
  <c r="CD265" i="14609"/>
  <c r="CE265" i="14609"/>
  <c r="CF265" i="14609"/>
  <c r="CG265" i="14609"/>
  <c r="CH265" i="14609"/>
  <c r="CI265" i="14609"/>
  <c r="CJ265" i="14609"/>
  <c r="CK265" i="14609"/>
  <c r="CL265" i="14609"/>
  <c r="CM265" i="14609"/>
  <c r="CN265" i="14609"/>
  <c r="CO265" i="14609"/>
  <c r="CP265" i="14609"/>
  <c r="CQ265" i="14609"/>
  <c r="CR265" i="14609"/>
  <c r="CS265" i="14609"/>
  <c r="CT265" i="14609"/>
  <c r="CU265" i="14609"/>
  <c r="CV265" i="14609"/>
  <c r="CW265" i="14609"/>
  <c r="CX265" i="14609"/>
  <c r="CY265" i="14609"/>
  <c r="CZ265" i="14609"/>
  <c r="DA265" i="14609"/>
  <c r="DB265" i="14609"/>
  <c r="DC265" i="14609"/>
  <c r="DD265" i="14609"/>
  <c r="DE265" i="14609"/>
  <c r="DF265" i="14609"/>
  <c r="DG265" i="14609"/>
  <c r="DH265" i="14609"/>
  <c r="DI265" i="14609"/>
  <c r="DJ265" i="14609"/>
  <c r="DK265" i="14609"/>
  <c r="DL265" i="14609"/>
  <c r="DM265" i="14609"/>
  <c r="DN265" i="14609"/>
  <c r="DO265" i="14609"/>
  <c r="DP265" i="14609"/>
  <c r="DQ265" i="14609"/>
  <c r="DR265" i="14609"/>
  <c r="DS265" i="14609"/>
  <c r="DT265" i="14609"/>
  <c r="DU265" i="14609"/>
  <c r="DV265" i="14609"/>
  <c r="DW265" i="14609"/>
  <c r="DX265" i="14609"/>
  <c r="DY265" i="14609"/>
  <c r="DZ265" i="14609"/>
  <c r="EA265" i="14609"/>
  <c r="EB265" i="14609"/>
  <c r="EC265" i="14609"/>
  <c r="ED265" i="14609"/>
  <c r="EE265" i="14609"/>
  <c r="EF265" i="14609"/>
  <c r="EG265" i="14609"/>
  <c r="EH265" i="14609"/>
  <c r="EI265" i="14609"/>
  <c r="EJ265" i="14609"/>
  <c r="EK265" i="14609"/>
  <c r="EL265" i="14609"/>
  <c r="EM265" i="14609"/>
  <c r="EN265" i="14609"/>
  <c r="EO265" i="14609"/>
  <c r="EP265" i="14609"/>
  <c r="EQ265" i="14609"/>
  <c r="ER265" i="14609"/>
  <c r="ES265" i="14609"/>
  <c r="ET265" i="14609"/>
  <c r="EU265" i="14609"/>
  <c r="EV265" i="14609"/>
  <c r="EW265" i="14609"/>
  <c r="EX265" i="14609"/>
  <c r="EY265" i="14609"/>
  <c r="EZ265" i="14609"/>
  <c r="FA265" i="14609"/>
  <c r="FB265" i="14609"/>
  <c r="FC265" i="14609"/>
  <c r="FD265" i="14609"/>
  <c r="FE265" i="14609"/>
  <c r="FF265" i="14609"/>
  <c r="FG265" i="14609"/>
  <c r="FH265" i="14609"/>
  <c r="FI265" i="14609"/>
  <c r="FJ265" i="14609"/>
  <c r="FK265" i="14609"/>
  <c r="FL265" i="14609"/>
  <c r="FM265" i="14609"/>
  <c r="FN265" i="14609"/>
  <c r="FO265" i="14609"/>
  <c r="FP265" i="14609"/>
  <c r="FQ265" i="14609"/>
  <c r="FR265" i="14609"/>
  <c r="FS265" i="14609"/>
  <c r="FT265" i="14609"/>
  <c r="FU265" i="14609"/>
  <c r="FV265" i="14609"/>
  <c r="FW265" i="14609"/>
  <c r="FX265" i="14609"/>
  <c r="FY265" i="14609"/>
  <c r="FZ265" i="14609"/>
  <c r="GA265" i="14609"/>
  <c r="GB265" i="14609"/>
  <c r="GC265" i="14609"/>
  <c r="GD265" i="14609"/>
  <c r="GE265" i="14609"/>
  <c r="GF265" i="14609"/>
  <c r="GG265" i="14609"/>
  <c r="GH265" i="14609"/>
  <c r="GI265" i="14609"/>
  <c r="GJ265" i="14609"/>
  <c r="GK265" i="14609"/>
  <c r="GL265" i="14609"/>
  <c r="GM265" i="14609"/>
  <c r="GN265" i="14609"/>
  <c r="GO265" i="14609"/>
  <c r="GP265" i="14609"/>
  <c r="GQ265" i="14609"/>
  <c r="GR265" i="14609"/>
  <c r="GS265" i="14609"/>
  <c r="GT265" i="14609"/>
  <c r="GU265" i="14609"/>
  <c r="GV265" i="14609"/>
  <c r="GW265" i="14609"/>
  <c r="GX265" i="14609"/>
  <c r="GY265" i="14609"/>
  <c r="GZ265" i="14609"/>
  <c r="HA265" i="14609"/>
  <c r="HB265" i="14609"/>
  <c r="HC265" i="14609"/>
  <c r="HD265" i="14609"/>
  <c r="HE265" i="14609"/>
  <c r="HF265" i="14609"/>
  <c r="HG265" i="14609"/>
  <c r="HH265" i="14609"/>
  <c r="HI265" i="14609"/>
  <c r="HJ265" i="14609"/>
  <c r="HK265" i="14609"/>
  <c r="HL265" i="14609"/>
  <c r="HM265" i="14609"/>
  <c r="HN265" i="14609"/>
  <c r="HO265" i="14609"/>
  <c r="HP265" i="14609"/>
  <c r="HQ265" i="14609"/>
  <c r="HR265" i="14609"/>
  <c r="HS265" i="14609"/>
  <c r="HT265" i="14609"/>
  <c r="HU265" i="14609"/>
  <c r="HV265" i="14609"/>
  <c r="HW265" i="14609"/>
  <c r="HX265" i="14609"/>
  <c r="HY265" i="14609"/>
  <c r="HZ265" i="14609"/>
  <c r="IA265" i="14609"/>
  <c r="IB265" i="14609"/>
  <c r="IC265" i="14609"/>
  <c r="ID265" i="14609"/>
  <c r="IE265" i="14609"/>
  <c r="IF265" i="14609"/>
  <c r="IG265" i="14609"/>
  <c r="IH265" i="14609"/>
  <c r="II265" i="14609"/>
  <c r="IJ265" i="14609"/>
  <c r="IK265" i="14609"/>
  <c r="IL265" i="14609"/>
  <c r="IM265" i="14609"/>
  <c r="IN265" i="14609"/>
  <c r="IO265" i="14609"/>
  <c r="IP265" i="14609"/>
  <c r="IQ265" i="14609"/>
  <c r="IR265" i="14609"/>
  <c r="IS265" i="14609"/>
  <c r="IT265" i="14609"/>
  <c r="IU265" i="14609"/>
  <c r="IV265" i="14609"/>
  <c r="A264" i="14609"/>
  <c r="B264" i="14609"/>
  <c r="C264" i="14609"/>
  <c r="D264" i="14609"/>
  <c r="E264" i="14609"/>
  <c r="F264" i="14609"/>
  <c r="G264" i="14609"/>
  <c r="H264" i="14609"/>
  <c r="I264" i="14609"/>
  <c r="J264" i="14609"/>
  <c r="K264" i="14609"/>
  <c r="L264" i="14609"/>
  <c r="M264" i="14609"/>
  <c r="N264" i="14609"/>
  <c r="O264" i="14609"/>
  <c r="P264" i="14609"/>
  <c r="Q264" i="14609"/>
  <c r="R264" i="14609"/>
  <c r="S264" i="14609"/>
  <c r="T264" i="14609"/>
  <c r="U264" i="14609"/>
  <c r="V264" i="14609"/>
  <c r="W264" i="14609"/>
  <c r="X264" i="14609"/>
  <c r="Y264" i="14609"/>
  <c r="Z264" i="14609"/>
  <c r="AA264" i="14609"/>
  <c r="AB264" i="14609"/>
  <c r="AC264" i="14609"/>
  <c r="AD264" i="14609"/>
  <c r="AE264" i="14609"/>
  <c r="AF264" i="14609"/>
  <c r="AG264" i="14609"/>
  <c r="AH264" i="14609"/>
  <c r="AI264" i="14609"/>
  <c r="AJ264" i="14609"/>
  <c r="AK264" i="14609"/>
  <c r="AL264" i="14609"/>
  <c r="AM264" i="14609"/>
  <c r="AN264" i="14609"/>
  <c r="AO264" i="14609"/>
  <c r="AP264" i="14609"/>
  <c r="AQ264" i="14609"/>
  <c r="AR264" i="14609"/>
  <c r="AS264" i="14609"/>
  <c r="AT264" i="14609"/>
  <c r="AU264" i="14609"/>
  <c r="AV264" i="14609"/>
  <c r="AW264" i="14609"/>
  <c r="AX264" i="14609"/>
  <c r="AY264" i="14609"/>
  <c r="AZ264" i="14609"/>
  <c r="BA264" i="14609"/>
  <c r="BB264" i="14609"/>
  <c r="BC264" i="14609"/>
  <c r="BD264" i="14609"/>
  <c r="BE264" i="14609"/>
  <c r="BF264" i="14609"/>
  <c r="BG264" i="14609"/>
  <c r="BH264" i="14609"/>
  <c r="BI264" i="14609"/>
  <c r="BJ264" i="14609"/>
  <c r="BK264" i="14609"/>
  <c r="BL264" i="14609"/>
  <c r="BM264" i="14609"/>
  <c r="BN264" i="14609"/>
  <c r="BO264" i="14609"/>
  <c r="BP264" i="14609"/>
  <c r="BQ264" i="14609"/>
  <c r="BR264" i="14609"/>
  <c r="BS264" i="14609"/>
  <c r="BT264" i="14609"/>
  <c r="BU264" i="14609"/>
  <c r="BV264" i="14609"/>
  <c r="BW264" i="14609"/>
  <c r="BX264" i="14609"/>
  <c r="BY264" i="14609"/>
  <c r="BZ264" i="14609"/>
  <c r="CA264" i="14609"/>
  <c r="CB264" i="14609"/>
  <c r="CC264" i="14609"/>
  <c r="CD264" i="14609"/>
  <c r="CE264" i="14609"/>
  <c r="CF264" i="14609"/>
  <c r="CG264" i="14609"/>
  <c r="CH264" i="14609"/>
  <c r="CI264" i="14609"/>
  <c r="CJ264" i="14609"/>
  <c r="CK264" i="14609"/>
  <c r="CL264" i="14609"/>
  <c r="CM264" i="14609"/>
  <c r="CN264" i="14609"/>
  <c r="CO264" i="14609"/>
  <c r="CP264" i="14609"/>
  <c r="CQ264" i="14609"/>
  <c r="CR264" i="14609"/>
  <c r="CS264" i="14609"/>
  <c r="CT264" i="14609"/>
  <c r="CU264" i="14609"/>
  <c r="CV264" i="14609"/>
  <c r="CW264" i="14609"/>
  <c r="CX264" i="14609"/>
  <c r="CY264" i="14609"/>
  <c r="CZ264" i="14609"/>
  <c r="DA264" i="14609"/>
  <c r="DB264" i="14609"/>
  <c r="DC264" i="14609"/>
  <c r="DD264" i="14609"/>
  <c r="DE264" i="14609"/>
  <c r="DF264" i="14609"/>
  <c r="DG264" i="14609"/>
  <c r="DH264" i="14609"/>
  <c r="DI264" i="14609"/>
  <c r="DJ264" i="14609"/>
  <c r="DK264" i="14609"/>
  <c r="DL264" i="14609"/>
  <c r="DM264" i="14609"/>
  <c r="DN264" i="14609"/>
  <c r="DO264" i="14609"/>
  <c r="DP264" i="14609"/>
  <c r="DQ264" i="14609"/>
  <c r="DR264" i="14609"/>
  <c r="DS264" i="14609"/>
  <c r="DT264" i="14609"/>
  <c r="DU264" i="14609"/>
  <c r="DV264" i="14609"/>
  <c r="DW264" i="14609"/>
  <c r="DX264" i="14609"/>
  <c r="DY264" i="14609"/>
  <c r="DZ264" i="14609"/>
  <c r="EA264" i="14609"/>
  <c r="EB264" i="14609"/>
  <c r="EC264" i="14609"/>
  <c r="ED264" i="14609"/>
  <c r="EE264" i="14609"/>
  <c r="EF264" i="14609"/>
  <c r="EG264" i="14609"/>
  <c r="EH264" i="14609"/>
  <c r="EI264" i="14609"/>
  <c r="EJ264" i="14609"/>
  <c r="EK264" i="14609"/>
  <c r="EL264" i="14609"/>
  <c r="EM264" i="14609"/>
  <c r="EN264" i="14609"/>
  <c r="EO264" i="14609"/>
  <c r="EP264" i="14609"/>
  <c r="EQ264" i="14609"/>
  <c r="ER264" i="14609"/>
  <c r="ES264" i="14609"/>
  <c r="ET264" i="14609"/>
  <c r="EU264" i="14609"/>
  <c r="EV264" i="14609"/>
  <c r="EW264" i="14609"/>
  <c r="EX264" i="14609"/>
  <c r="EY264" i="14609"/>
  <c r="EZ264" i="14609"/>
  <c r="FA264" i="14609"/>
  <c r="FB264" i="14609"/>
  <c r="FC264" i="14609"/>
  <c r="FD264" i="14609"/>
  <c r="FE264" i="14609"/>
  <c r="FF264" i="14609"/>
  <c r="FG264" i="14609"/>
  <c r="FH264" i="14609"/>
  <c r="FI264" i="14609"/>
  <c r="FJ264" i="14609"/>
  <c r="FK264" i="14609"/>
  <c r="FL264" i="14609"/>
  <c r="FM264" i="14609"/>
  <c r="FN264" i="14609"/>
  <c r="FO264" i="14609"/>
  <c r="FP264" i="14609"/>
  <c r="FQ264" i="14609"/>
  <c r="FR264" i="14609"/>
  <c r="FS264" i="14609"/>
  <c r="FT264" i="14609"/>
  <c r="FU264" i="14609"/>
  <c r="FV264" i="14609"/>
  <c r="FW264" i="14609"/>
  <c r="FX264" i="14609"/>
  <c r="FY264" i="14609"/>
  <c r="FZ264" i="14609"/>
  <c r="GA264" i="14609"/>
  <c r="GB264" i="14609"/>
  <c r="GC264" i="14609"/>
  <c r="GD264" i="14609"/>
  <c r="GE264" i="14609"/>
  <c r="GF264" i="14609"/>
  <c r="GG264" i="14609"/>
  <c r="GH264" i="14609"/>
  <c r="GI264" i="14609"/>
  <c r="GJ264" i="14609"/>
  <c r="GK264" i="14609"/>
  <c r="GL264" i="14609"/>
  <c r="GM264" i="14609"/>
  <c r="GN264" i="14609"/>
  <c r="GO264" i="14609"/>
  <c r="GP264" i="14609"/>
  <c r="GQ264" i="14609"/>
  <c r="GR264" i="14609"/>
  <c r="GS264" i="14609"/>
  <c r="GT264" i="14609"/>
  <c r="GU264" i="14609"/>
  <c r="GV264" i="14609"/>
  <c r="GW264" i="14609"/>
  <c r="GX264" i="14609"/>
  <c r="GY264" i="14609"/>
  <c r="GZ264" i="14609"/>
  <c r="HA264" i="14609"/>
  <c r="HB264" i="14609"/>
  <c r="HC264" i="14609"/>
  <c r="HD264" i="14609"/>
  <c r="HE264" i="14609"/>
  <c r="HF264" i="14609"/>
  <c r="HG264" i="14609"/>
  <c r="HH264" i="14609"/>
  <c r="HI264" i="14609"/>
  <c r="HJ264" i="14609"/>
  <c r="HK264" i="14609"/>
  <c r="HL264" i="14609"/>
  <c r="HM264" i="14609"/>
  <c r="HN264" i="14609"/>
  <c r="HO264" i="14609"/>
  <c r="HP264" i="14609"/>
  <c r="HQ264" i="14609"/>
  <c r="HR264" i="14609"/>
  <c r="HS264" i="14609"/>
  <c r="HT264" i="14609"/>
  <c r="HU264" i="14609"/>
  <c r="HV264" i="14609"/>
  <c r="HW264" i="14609"/>
  <c r="HX264" i="14609"/>
  <c r="HY264" i="14609"/>
  <c r="HZ264" i="14609"/>
  <c r="IA264" i="14609"/>
  <c r="IB264" i="14609"/>
  <c r="IC264" i="14609"/>
  <c r="ID264" i="14609"/>
  <c r="IE264" i="14609"/>
  <c r="IF264" i="14609"/>
  <c r="IG264" i="14609"/>
  <c r="IH264" i="14609"/>
  <c r="II264" i="14609"/>
  <c r="IJ264" i="14609"/>
  <c r="IK264" i="14609"/>
  <c r="IL264" i="14609"/>
  <c r="IM264" i="14609"/>
  <c r="IN264" i="14609"/>
  <c r="IO264" i="14609"/>
  <c r="IP264" i="14609"/>
  <c r="IQ264" i="14609"/>
  <c r="IR264" i="14609"/>
  <c r="IS264" i="14609"/>
  <c r="IT264" i="14609"/>
  <c r="IU264" i="14609"/>
  <c r="IV264" i="14609"/>
  <c r="A263" i="14609"/>
  <c r="B263" i="14609"/>
  <c r="C263" i="14609"/>
  <c r="D263" i="14609"/>
  <c r="E263" i="14609"/>
  <c r="F263" i="14609"/>
  <c r="G263" i="14609"/>
  <c r="H263" i="14609"/>
  <c r="I263" i="14609"/>
  <c r="J263" i="14609"/>
  <c r="K263" i="14609"/>
  <c r="L263" i="14609"/>
  <c r="M263" i="14609"/>
  <c r="N263" i="14609"/>
  <c r="O263" i="14609"/>
  <c r="P263" i="14609"/>
  <c r="Q263" i="14609"/>
  <c r="R263" i="14609"/>
  <c r="S263" i="14609"/>
  <c r="T263" i="14609"/>
  <c r="U263" i="14609"/>
  <c r="V263" i="14609"/>
  <c r="W263" i="14609"/>
  <c r="X263" i="14609"/>
  <c r="Y263" i="14609"/>
  <c r="Z263" i="14609"/>
  <c r="AA263" i="14609"/>
  <c r="AB263" i="14609"/>
  <c r="AC263" i="14609"/>
  <c r="AD263" i="14609"/>
  <c r="AE263" i="14609"/>
  <c r="AF263" i="14609"/>
  <c r="AG263" i="14609"/>
  <c r="AH263" i="14609"/>
  <c r="AI263" i="14609"/>
  <c r="AJ263" i="14609"/>
  <c r="AK263" i="14609"/>
  <c r="AL263" i="14609"/>
  <c r="AM263" i="14609"/>
  <c r="AN263" i="14609"/>
  <c r="AO263" i="14609"/>
  <c r="AP263" i="14609"/>
  <c r="AQ263" i="14609"/>
  <c r="AR263" i="14609"/>
  <c r="AS263" i="14609"/>
  <c r="AT263" i="14609"/>
  <c r="AU263" i="14609"/>
  <c r="AV263" i="14609"/>
  <c r="AW263" i="14609"/>
  <c r="AX263" i="14609"/>
  <c r="AY263" i="14609"/>
  <c r="AZ263" i="14609"/>
  <c r="BA263" i="14609"/>
  <c r="BB263" i="14609"/>
  <c r="BC263" i="14609"/>
  <c r="BD263" i="14609"/>
  <c r="BE263" i="14609"/>
  <c r="BF263" i="14609"/>
  <c r="BG263" i="14609"/>
  <c r="BH263" i="14609"/>
  <c r="BI263" i="14609"/>
  <c r="BJ263" i="14609"/>
  <c r="BK263" i="14609"/>
  <c r="BL263" i="14609"/>
  <c r="BM263" i="14609"/>
  <c r="BN263" i="14609"/>
  <c r="BO263" i="14609"/>
  <c r="BP263" i="14609"/>
  <c r="BQ263" i="14609"/>
  <c r="BR263" i="14609"/>
  <c r="BS263" i="14609"/>
  <c r="BT263" i="14609"/>
  <c r="BU263" i="14609"/>
  <c r="BV263" i="14609"/>
  <c r="BW263" i="14609"/>
  <c r="BX263" i="14609"/>
  <c r="BY263" i="14609"/>
  <c r="BZ263" i="14609"/>
  <c r="CA263" i="14609"/>
  <c r="CB263" i="14609"/>
  <c r="CC263" i="14609"/>
  <c r="CD263" i="14609"/>
  <c r="CE263" i="14609"/>
  <c r="CF263" i="14609"/>
  <c r="CG263" i="14609"/>
  <c r="CH263" i="14609"/>
  <c r="CI263" i="14609"/>
  <c r="CJ263" i="14609"/>
  <c r="CK263" i="14609"/>
  <c r="CL263" i="14609"/>
  <c r="CM263" i="14609"/>
  <c r="CN263" i="14609"/>
  <c r="CO263" i="14609"/>
  <c r="CP263" i="14609"/>
  <c r="CQ263" i="14609"/>
  <c r="CR263" i="14609"/>
  <c r="CS263" i="14609"/>
  <c r="CT263" i="14609"/>
  <c r="CU263" i="14609"/>
  <c r="CV263" i="14609"/>
  <c r="CW263" i="14609"/>
  <c r="CX263" i="14609"/>
  <c r="CY263" i="14609"/>
  <c r="CZ263" i="14609"/>
  <c r="DA263" i="14609"/>
  <c r="DB263" i="14609"/>
  <c r="DC263" i="14609"/>
  <c r="DD263" i="14609"/>
  <c r="DE263" i="14609"/>
  <c r="DF263" i="14609"/>
  <c r="DG263" i="14609"/>
  <c r="DH263" i="14609"/>
  <c r="DI263" i="14609"/>
  <c r="DJ263" i="14609"/>
  <c r="DK263" i="14609"/>
  <c r="DL263" i="14609"/>
  <c r="DM263" i="14609"/>
  <c r="DN263" i="14609"/>
  <c r="DO263" i="14609"/>
  <c r="DP263" i="14609"/>
  <c r="DQ263" i="14609"/>
  <c r="DR263" i="14609"/>
  <c r="DS263" i="14609"/>
  <c r="DT263" i="14609"/>
  <c r="DU263" i="14609"/>
  <c r="DV263" i="14609"/>
  <c r="DW263" i="14609"/>
  <c r="DX263" i="14609"/>
  <c r="DY263" i="14609"/>
  <c r="DZ263" i="14609"/>
  <c r="EA263" i="14609"/>
  <c r="EB263" i="14609"/>
  <c r="EC263" i="14609"/>
  <c r="ED263" i="14609"/>
  <c r="EE263" i="14609"/>
  <c r="EF263" i="14609"/>
  <c r="EG263" i="14609"/>
  <c r="EH263" i="14609"/>
  <c r="EI263" i="14609"/>
  <c r="EJ263" i="14609"/>
  <c r="EK263" i="14609"/>
  <c r="EL263" i="14609"/>
  <c r="EM263" i="14609"/>
  <c r="EN263" i="14609"/>
  <c r="EO263" i="14609"/>
  <c r="EP263" i="14609"/>
  <c r="EQ263" i="14609"/>
  <c r="ER263" i="14609"/>
  <c r="ES263" i="14609"/>
  <c r="ET263" i="14609"/>
  <c r="EU263" i="14609"/>
  <c r="EV263" i="14609"/>
  <c r="EW263" i="14609"/>
  <c r="EX263" i="14609"/>
  <c r="EY263" i="14609"/>
  <c r="EZ263" i="14609"/>
  <c r="FA263" i="14609"/>
  <c r="FB263" i="14609"/>
  <c r="FC263" i="14609"/>
  <c r="FD263" i="14609"/>
  <c r="FE263" i="14609"/>
  <c r="FF263" i="14609"/>
  <c r="FG263" i="14609"/>
  <c r="FH263" i="14609"/>
  <c r="FI263" i="14609"/>
  <c r="FJ263" i="14609"/>
  <c r="FK263" i="14609"/>
  <c r="FL263" i="14609"/>
  <c r="FM263" i="14609"/>
  <c r="FN263" i="14609"/>
  <c r="FO263" i="14609"/>
  <c r="FP263" i="14609"/>
  <c r="FQ263" i="14609"/>
  <c r="FR263" i="14609"/>
  <c r="FS263" i="14609"/>
  <c r="FT263" i="14609"/>
  <c r="FU263" i="14609"/>
  <c r="FV263" i="14609"/>
  <c r="FW263" i="14609"/>
  <c r="FX263" i="14609"/>
  <c r="FY263" i="14609"/>
  <c r="FZ263" i="14609"/>
  <c r="GA263" i="14609"/>
  <c r="GB263" i="14609"/>
  <c r="GC263" i="14609"/>
  <c r="GD263" i="14609"/>
  <c r="GE263" i="14609"/>
  <c r="GF263" i="14609"/>
  <c r="GG263" i="14609"/>
  <c r="GH263" i="14609"/>
  <c r="GI263" i="14609"/>
  <c r="GJ263" i="14609"/>
  <c r="GK263" i="14609"/>
  <c r="GL263" i="14609"/>
  <c r="GM263" i="14609"/>
  <c r="GN263" i="14609"/>
  <c r="GO263" i="14609"/>
  <c r="GP263" i="14609"/>
  <c r="GQ263" i="14609"/>
  <c r="GR263" i="14609"/>
  <c r="GS263" i="14609"/>
  <c r="GT263" i="14609"/>
  <c r="GU263" i="14609"/>
  <c r="GV263" i="14609"/>
  <c r="GW263" i="14609"/>
  <c r="GX263" i="14609"/>
  <c r="GY263" i="14609"/>
  <c r="GZ263" i="14609"/>
  <c r="HA263" i="14609"/>
  <c r="HB263" i="14609"/>
  <c r="HC263" i="14609"/>
  <c r="HD263" i="14609"/>
  <c r="HE263" i="14609"/>
  <c r="HF263" i="14609"/>
  <c r="HG263" i="14609"/>
  <c r="HH263" i="14609"/>
  <c r="HI263" i="14609"/>
  <c r="HJ263" i="14609"/>
  <c r="HK263" i="14609"/>
  <c r="HL263" i="14609"/>
  <c r="HM263" i="14609"/>
  <c r="HN263" i="14609"/>
  <c r="HO263" i="14609"/>
  <c r="HP263" i="14609"/>
  <c r="HQ263" i="14609"/>
  <c r="HR263" i="14609"/>
  <c r="HS263" i="14609"/>
  <c r="HT263" i="14609"/>
  <c r="HU263" i="14609"/>
  <c r="HV263" i="14609"/>
  <c r="HW263" i="14609"/>
  <c r="HX263" i="14609"/>
  <c r="HY263" i="14609"/>
  <c r="HZ263" i="14609"/>
  <c r="IA263" i="14609"/>
  <c r="IB263" i="14609"/>
  <c r="IC263" i="14609"/>
  <c r="ID263" i="14609"/>
  <c r="IE263" i="14609"/>
  <c r="IF263" i="14609"/>
  <c r="IG263" i="14609"/>
  <c r="IH263" i="14609"/>
  <c r="II263" i="14609"/>
  <c r="IJ263" i="14609"/>
  <c r="IK263" i="14609"/>
  <c r="IL263" i="14609"/>
  <c r="IM263" i="14609"/>
  <c r="IN263" i="14609"/>
  <c r="IO263" i="14609"/>
  <c r="IP263" i="14609"/>
  <c r="IQ263" i="14609"/>
  <c r="IR263" i="14609"/>
  <c r="IS263" i="14609"/>
  <c r="IT263" i="14609"/>
  <c r="IU263" i="14609"/>
  <c r="IV263" i="14609"/>
  <c r="A262" i="14609"/>
  <c r="B262" i="14609"/>
  <c r="C262" i="14609"/>
  <c r="D262" i="14609"/>
  <c r="E262" i="14609"/>
  <c r="F262" i="14609"/>
  <c r="G262" i="14609"/>
  <c r="H262" i="14609"/>
  <c r="I262" i="14609"/>
  <c r="J262" i="14609"/>
  <c r="K262" i="14609"/>
  <c r="L262" i="14609"/>
  <c r="M262" i="14609"/>
  <c r="N262" i="14609"/>
  <c r="O262" i="14609"/>
  <c r="P262" i="14609"/>
  <c r="Q262" i="14609"/>
  <c r="R262" i="14609"/>
  <c r="S262" i="14609"/>
  <c r="T262" i="14609"/>
  <c r="U262" i="14609"/>
  <c r="V262" i="14609"/>
  <c r="W262" i="14609"/>
  <c r="X262" i="14609"/>
  <c r="Y262" i="14609"/>
  <c r="Z262" i="14609"/>
  <c r="AA262" i="14609"/>
  <c r="AB262" i="14609"/>
  <c r="AC262" i="14609"/>
  <c r="AD262" i="14609"/>
  <c r="AE262" i="14609"/>
  <c r="AF262" i="14609"/>
  <c r="AG262" i="14609"/>
  <c r="AH262" i="14609"/>
  <c r="AI262" i="14609"/>
  <c r="AJ262" i="14609"/>
  <c r="AK262" i="14609"/>
  <c r="AL262" i="14609"/>
  <c r="AM262" i="14609"/>
  <c r="AN262" i="14609"/>
  <c r="AO262" i="14609"/>
  <c r="AP262" i="14609"/>
  <c r="AQ262" i="14609"/>
  <c r="AR262" i="14609"/>
  <c r="AS262" i="14609"/>
  <c r="AT262" i="14609"/>
  <c r="AU262" i="14609"/>
  <c r="AV262" i="14609"/>
  <c r="AW262" i="14609"/>
  <c r="AX262" i="14609"/>
  <c r="AY262" i="14609"/>
  <c r="AZ262" i="14609"/>
  <c r="BA262" i="14609"/>
  <c r="BB262" i="14609"/>
  <c r="BC262" i="14609"/>
  <c r="BD262" i="14609"/>
  <c r="BE262" i="14609"/>
  <c r="BF262" i="14609"/>
  <c r="BG262" i="14609"/>
  <c r="BH262" i="14609"/>
  <c r="BI262" i="14609"/>
  <c r="BJ262" i="14609"/>
  <c r="BK262" i="14609"/>
  <c r="BL262" i="14609"/>
  <c r="BM262" i="14609"/>
  <c r="BN262" i="14609"/>
  <c r="BO262" i="14609"/>
  <c r="BP262" i="14609"/>
  <c r="BQ262" i="14609"/>
  <c r="BR262" i="14609"/>
  <c r="BS262" i="14609"/>
  <c r="BT262" i="14609"/>
  <c r="BU262" i="14609"/>
  <c r="BV262" i="14609"/>
  <c r="BW262" i="14609"/>
  <c r="BX262" i="14609"/>
  <c r="BY262" i="14609"/>
  <c r="BZ262" i="14609"/>
  <c r="CA262" i="14609"/>
  <c r="CB262" i="14609"/>
  <c r="CC262" i="14609"/>
  <c r="CD262" i="14609"/>
  <c r="CE262" i="14609"/>
  <c r="CF262" i="14609"/>
  <c r="CG262" i="14609"/>
  <c r="CH262" i="14609"/>
  <c r="CI262" i="14609"/>
  <c r="CJ262" i="14609"/>
  <c r="CK262" i="14609"/>
  <c r="CL262" i="14609"/>
  <c r="CM262" i="14609"/>
  <c r="CN262" i="14609"/>
  <c r="CO262" i="14609"/>
  <c r="CP262" i="14609"/>
  <c r="CQ262" i="14609"/>
  <c r="CR262" i="14609"/>
  <c r="CS262" i="14609"/>
  <c r="CT262" i="14609"/>
  <c r="CU262" i="14609"/>
  <c r="CV262" i="14609"/>
  <c r="CW262" i="14609"/>
  <c r="CX262" i="14609"/>
  <c r="CY262" i="14609"/>
  <c r="CZ262" i="14609"/>
  <c r="DA262" i="14609"/>
  <c r="DB262" i="14609"/>
  <c r="DC262" i="14609"/>
  <c r="DD262" i="14609"/>
  <c r="DE262" i="14609"/>
  <c r="DF262" i="14609"/>
  <c r="DG262" i="14609"/>
  <c r="DH262" i="14609"/>
  <c r="DI262" i="14609"/>
  <c r="DJ262" i="14609"/>
  <c r="DK262" i="14609"/>
  <c r="DL262" i="14609"/>
  <c r="DM262" i="14609"/>
  <c r="DN262" i="14609"/>
  <c r="DO262" i="14609"/>
  <c r="DP262" i="14609"/>
  <c r="DQ262" i="14609"/>
  <c r="DR262" i="14609"/>
  <c r="DS262" i="14609"/>
  <c r="DT262" i="14609"/>
  <c r="DU262" i="14609"/>
  <c r="DV262" i="14609"/>
  <c r="DW262" i="14609"/>
  <c r="DX262" i="14609"/>
  <c r="DY262" i="14609"/>
  <c r="DZ262" i="14609"/>
  <c r="EA262" i="14609"/>
  <c r="EB262" i="14609"/>
  <c r="EC262" i="14609"/>
  <c r="ED262" i="14609"/>
  <c r="EE262" i="14609"/>
  <c r="EF262" i="14609"/>
  <c r="EG262" i="14609"/>
  <c r="EH262" i="14609"/>
  <c r="EI262" i="14609"/>
  <c r="EJ262" i="14609"/>
  <c r="EK262" i="14609"/>
  <c r="EL262" i="14609"/>
  <c r="EM262" i="14609"/>
  <c r="EN262" i="14609"/>
  <c r="EO262" i="14609"/>
  <c r="EP262" i="14609"/>
  <c r="EQ262" i="14609"/>
  <c r="ER262" i="14609"/>
  <c r="ES262" i="14609"/>
  <c r="ET262" i="14609"/>
  <c r="EU262" i="14609"/>
  <c r="EV262" i="14609"/>
  <c r="EW262" i="14609"/>
  <c r="EX262" i="14609"/>
  <c r="EY262" i="14609"/>
  <c r="EZ262" i="14609"/>
  <c r="FA262" i="14609"/>
  <c r="FB262" i="14609"/>
  <c r="FC262" i="14609"/>
  <c r="FD262" i="14609"/>
  <c r="FE262" i="14609"/>
  <c r="FF262" i="14609"/>
  <c r="FG262" i="14609"/>
  <c r="FH262" i="14609"/>
  <c r="FI262" i="14609"/>
  <c r="FJ262" i="14609"/>
  <c r="FK262" i="14609"/>
  <c r="FL262" i="14609"/>
  <c r="FM262" i="14609"/>
  <c r="FN262" i="14609"/>
  <c r="FO262" i="14609"/>
  <c r="FP262" i="14609"/>
  <c r="FQ262" i="14609"/>
  <c r="FR262" i="14609"/>
  <c r="FS262" i="14609"/>
  <c r="FT262" i="14609"/>
  <c r="FU262" i="14609"/>
  <c r="FV262" i="14609"/>
  <c r="FW262" i="14609"/>
  <c r="FX262" i="14609"/>
  <c r="FY262" i="14609"/>
  <c r="FZ262" i="14609"/>
  <c r="GA262" i="14609"/>
  <c r="GB262" i="14609"/>
  <c r="GC262" i="14609"/>
  <c r="GD262" i="14609"/>
  <c r="GE262" i="14609"/>
  <c r="GF262" i="14609"/>
  <c r="GG262" i="14609"/>
  <c r="GH262" i="14609"/>
  <c r="GI262" i="14609"/>
  <c r="GJ262" i="14609"/>
  <c r="GK262" i="14609"/>
  <c r="GL262" i="14609"/>
  <c r="GM262" i="14609"/>
  <c r="GN262" i="14609"/>
  <c r="GO262" i="14609"/>
  <c r="GP262" i="14609"/>
  <c r="GQ262" i="14609"/>
  <c r="GR262" i="14609"/>
  <c r="GS262" i="14609"/>
  <c r="GT262" i="14609"/>
  <c r="GU262" i="14609"/>
  <c r="GV262" i="14609"/>
  <c r="GW262" i="14609"/>
  <c r="GX262" i="14609"/>
  <c r="GY262" i="14609"/>
  <c r="GZ262" i="14609"/>
  <c r="HA262" i="14609"/>
  <c r="HB262" i="14609"/>
  <c r="HC262" i="14609"/>
  <c r="HD262" i="14609"/>
  <c r="HE262" i="14609"/>
  <c r="HF262" i="14609"/>
  <c r="HG262" i="14609"/>
  <c r="HH262" i="14609"/>
  <c r="HI262" i="14609"/>
  <c r="HJ262" i="14609"/>
  <c r="HK262" i="14609"/>
  <c r="HL262" i="14609"/>
  <c r="HM262" i="14609"/>
  <c r="HN262" i="14609"/>
  <c r="HO262" i="14609"/>
  <c r="HP262" i="14609"/>
  <c r="HQ262" i="14609"/>
  <c r="HR262" i="14609"/>
  <c r="HS262" i="14609"/>
  <c r="HT262" i="14609"/>
  <c r="HU262" i="14609"/>
  <c r="HV262" i="14609"/>
  <c r="HW262" i="14609"/>
  <c r="HX262" i="14609"/>
  <c r="HY262" i="14609"/>
  <c r="HZ262" i="14609"/>
  <c r="IA262" i="14609"/>
  <c r="IB262" i="14609"/>
  <c r="IC262" i="14609"/>
  <c r="ID262" i="14609"/>
  <c r="IE262" i="14609"/>
  <c r="IF262" i="14609"/>
  <c r="IG262" i="14609"/>
  <c r="IH262" i="14609"/>
  <c r="II262" i="14609"/>
  <c r="IJ262" i="14609"/>
  <c r="IK262" i="14609"/>
  <c r="IL262" i="14609"/>
  <c r="IM262" i="14609"/>
  <c r="IN262" i="14609"/>
  <c r="IO262" i="14609"/>
  <c r="IP262" i="14609"/>
  <c r="IQ262" i="14609"/>
  <c r="IR262" i="14609"/>
  <c r="IS262" i="14609"/>
  <c r="IT262" i="14609"/>
  <c r="IU262" i="14609"/>
  <c r="IV262" i="14609"/>
  <c r="A261" i="14609"/>
  <c r="B261" i="14609"/>
  <c r="C261" i="14609"/>
  <c r="D261" i="14609"/>
  <c r="E261" i="14609"/>
  <c r="F261" i="14609"/>
  <c r="G261" i="14609"/>
  <c r="H261" i="14609"/>
  <c r="I261" i="14609"/>
  <c r="J261" i="14609"/>
  <c r="K261" i="14609"/>
  <c r="L261" i="14609"/>
  <c r="M261" i="14609"/>
  <c r="N261" i="14609"/>
  <c r="O261" i="14609"/>
  <c r="P261" i="14609"/>
  <c r="Q261" i="14609"/>
  <c r="R261" i="14609"/>
  <c r="S261" i="14609"/>
  <c r="T261" i="14609"/>
  <c r="U261" i="14609"/>
  <c r="V261" i="14609"/>
  <c r="W261" i="14609"/>
  <c r="X261" i="14609"/>
  <c r="Y261" i="14609"/>
  <c r="Z261" i="14609"/>
  <c r="AA261" i="14609"/>
  <c r="AB261" i="14609"/>
  <c r="AC261" i="14609"/>
  <c r="AD261" i="14609"/>
  <c r="AE261" i="14609"/>
  <c r="AF261" i="14609"/>
  <c r="AG261" i="14609"/>
  <c r="AH261" i="14609"/>
  <c r="AI261" i="14609"/>
  <c r="AJ261" i="14609"/>
  <c r="AK261" i="14609"/>
  <c r="AL261" i="14609"/>
  <c r="AM261" i="14609"/>
  <c r="AN261" i="14609"/>
  <c r="AO261" i="14609"/>
  <c r="AP261" i="14609"/>
  <c r="AQ261" i="14609"/>
  <c r="AR261" i="14609"/>
  <c r="AS261" i="14609"/>
  <c r="AT261" i="14609"/>
  <c r="AU261" i="14609"/>
  <c r="AV261" i="14609"/>
  <c r="AW261" i="14609"/>
  <c r="AX261" i="14609"/>
  <c r="AY261" i="14609"/>
  <c r="AZ261" i="14609"/>
  <c r="BA261" i="14609"/>
  <c r="BB261" i="14609"/>
  <c r="BC261" i="14609"/>
  <c r="BD261" i="14609"/>
  <c r="BE261" i="14609"/>
  <c r="BF261" i="14609"/>
  <c r="BG261" i="14609"/>
  <c r="BH261" i="14609"/>
  <c r="BI261" i="14609"/>
  <c r="BJ261" i="14609"/>
  <c r="BK261" i="14609"/>
  <c r="BL261" i="14609"/>
  <c r="BM261" i="14609"/>
  <c r="BN261" i="14609"/>
  <c r="BO261" i="14609"/>
  <c r="BP261" i="14609"/>
  <c r="BQ261" i="14609"/>
  <c r="BR261" i="14609"/>
  <c r="BS261" i="14609"/>
  <c r="BT261" i="14609"/>
  <c r="BU261" i="14609"/>
  <c r="BV261" i="14609"/>
  <c r="BW261" i="14609"/>
  <c r="BX261" i="14609"/>
  <c r="BY261" i="14609"/>
  <c r="BZ261" i="14609"/>
  <c r="CA261" i="14609"/>
  <c r="CB261" i="14609"/>
  <c r="CC261" i="14609"/>
  <c r="CD261" i="14609"/>
  <c r="CE261" i="14609"/>
  <c r="CF261" i="14609"/>
  <c r="CG261" i="14609"/>
  <c r="CH261" i="14609"/>
  <c r="CI261" i="14609"/>
  <c r="CJ261" i="14609"/>
  <c r="CK261" i="14609"/>
  <c r="CL261" i="14609"/>
  <c r="CM261" i="14609"/>
  <c r="CN261" i="14609"/>
  <c r="CO261" i="14609"/>
  <c r="CP261" i="14609"/>
  <c r="CQ261" i="14609"/>
  <c r="CR261" i="14609"/>
  <c r="CS261" i="14609"/>
  <c r="CT261" i="14609"/>
  <c r="CU261" i="14609"/>
  <c r="CV261" i="14609"/>
  <c r="CW261" i="14609"/>
  <c r="CX261" i="14609"/>
  <c r="CY261" i="14609"/>
  <c r="CZ261" i="14609"/>
  <c r="DA261" i="14609"/>
  <c r="DB261" i="14609"/>
  <c r="DC261" i="14609"/>
  <c r="DD261" i="14609"/>
  <c r="DE261" i="14609"/>
  <c r="DF261" i="14609"/>
  <c r="DG261" i="14609"/>
  <c r="DH261" i="14609"/>
  <c r="DI261" i="14609"/>
  <c r="DJ261" i="14609"/>
  <c r="DK261" i="14609"/>
  <c r="DL261" i="14609"/>
  <c r="DM261" i="14609"/>
  <c r="DN261" i="14609"/>
  <c r="DO261" i="14609"/>
  <c r="DP261" i="14609"/>
  <c r="DQ261" i="14609"/>
  <c r="DR261" i="14609"/>
  <c r="DS261" i="14609"/>
  <c r="DT261" i="14609"/>
  <c r="DU261" i="14609"/>
  <c r="DV261" i="14609"/>
  <c r="DW261" i="14609"/>
  <c r="DX261" i="14609"/>
  <c r="DY261" i="14609"/>
  <c r="DZ261" i="14609"/>
  <c r="EA261" i="14609"/>
  <c r="EB261" i="14609"/>
  <c r="EC261" i="14609"/>
  <c r="ED261" i="14609"/>
  <c r="EE261" i="14609"/>
  <c r="EF261" i="14609"/>
  <c r="EG261" i="14609"/>
  <c r="EH261" i="14609"/>
  <c r="EI261" i="14609"/>
  <c r="EJ261" i="14609"/>
  <c r="EK261" i="14609"/>
  <c r="EL261" i="14609"/>
  <c r="EM261" i="14609"/>
  <c r="EN261" i="14609"/>
  <c r="EO261" i="14609"/>
  <c r="EP261" i="14609"/>
  <c r="EQ261" i="14609"/>
  <c r="ER261" i="14609"/>
  <c r="ES261" i="14609"/>
  <c r="ET261" i="14609"/>
  <c r="EU261" i="14609"/>
  <c r="EV261" i="14609"/>
  <c r="EW261" i="14609"/>
  <c r="EX261" i="14609"/>
  <c r="EY261" i="14609"/>
  <c r="EZ261" i="14609"/>
  <c r="FA261" i="14609"/>
  <c r="FB261" i="14609"/>
  <c r="FC261" i="14609"/>
  <c r="FD261" i="14609"/>
  <c r="FE261" i="14609"/>
  <c r="FF261" i="14609"/>
  <c r="FG261" i="14609"/>
  <c r="FH261" i="14609"/>
  <c r="FI261" i="14609"/>
  <c r="FJ261" i="14609"/>
  <c r="FK261" i="14609"/>
  <c r="FL261" i="14609"/>
  <c r="FM261" i="14609"/>
  <c r="FN261" i="14609"/>
  <c r="FO261" i="14609"/>
  <c r="FP261" i="14609"/>
  <c r="FQ261" i="14609"/>
  <c r="FR261" i="14609"/>
  <c r="FS261" i="14609"/>
  <c r="FT261" i="14609"/>
  <c r="FU261" i="14609"/>
  <c r="FV261" i="14609"/>
  <c r="FW261" i="14609"/>
  <c r="FX261" i="14609"/>
  <c r="FY261" i="14609"/>
  <c r="FZ261" i="14609"/>
  <c r="GA261" i="14609"/>
  <c r="GB261" i="14609"/>
  <c r="GC261" i="14609"/>
  <c r="GD261" i="14609"/>
  <c r="GE261" i="14609"/>
  <c r="GF261" i="14609"/>
  <c r="GG261" i="14609"/>
  <c r="GH261" i="14609"/>
  <c r="GI261" i="14609"/>
  <c r="GJ261" i="14609"/>
  <c r="GK261" i="14609"/>
  <c r="GL261" i="14609"/>
  <c r="GM261" i="14609"/>
  <c r="GN261" i="14609"/>
  <c r="GO261" i="14609"/>
  <c r="GP261" i="14609"/>
  <c r="GQ261" i="14609"/>
  <c r="GR261" i="14609"/>
  <c r="GS261" i="14609"/>
  <c r="GT261" i="14609"/>
  <c r="GU261" i="14609"/>
  <c r="GV261" i="14609"/>
  <c r="GW261" i="14609"/>
  <c r="GX261" i="14609"/>
  <c r="GY261" i="14609"/>
  <c r="GZ261" i="14609"/>
  <c r="HA261" i="14609"/>
  <c r="HB261" i="14609"/>
  <c r="HC261" i="14609"/>
  <c r="HD261" i="14609"/>
  <c r="HE261" i="14609"/>
  <c r="HF261" i="14609"/>
  <c r="HG261" i="14609"/>
  <c r="HH261" i="14609"/>
  <c r="HI261" i="14609"/>
  <c r="HJ261" i="14609"/>
  <c r="HK261" i="14609"/>
  <c r="HL261" i="14609"/>
  <c r="HM261" i="14609"/>
  <c r="HN261" i="14609"/>
  <c r="HO261" i="14609"/>
  <c r="HP261" i="14609"/>
  <c r="HQ261" i="14609"/>
  <c r="HR261" i="14609"/>
  <c r="HS261" i="14609"/>
  <c r="HT261" i="14609"/>
  <c r="HU261" i="14609"/>
  <c r="HV261" i="14609"/>
  <c r="HW261" i="14609"/>
  <c r="HX261" i="14609"/>
  <c r="HY261" i="14609"/>
  <c r="HZ261" i="14609"/>
  <c r="IA261" i="14609"/>
  <c r="IB261" i="14609"/>
  <c r="IC261" i="14609"/>
  <c r="ID261" i="14609"/>
  <c r="IE261" i="14609"/>
  <c r="IF261" i="14609"/>
  <c r="IG261" i="14609"/>
  <c r="IH261" i="14609"/>
  <c r="II261" i="14609"/>
  <c r="IJ261" i="14609"/>
  <c r="IK261" i="14609"/>
  <c r="IL261" i="14609"/>
  <c r="IM261" i="14609"/>
  <c r="IN261" i="14609"/>
  <c r="IO261" i="14609"/>
  <c r="IP261" i="14609"/>
  <c r="IQ261" i="14609"/>
  <c r="IR261" i="14609"/>
  <c r="IS261" i="14609"/>
  <c r="IT261" i="14609"/>
  <c r="IU261" i="14609"/>
  <c r="IV261" i="14609"/>
  <c r="A260" i="14609"/>
  <c r="B260" i="14609"/>
  <c r="C260" i="14609"/>
  <c r="D260" i="14609"/>
  <c r="E260" i="14609"/>
  <c r="F260" i="14609"/>
  <c r="G260" i="14609"/>
  <c r="H260" i="14609"/>
  <c r="I260" i="14609"/>
  <c r="J260" i="14609"/>
  <c r="K260" i="14609"/>
  <c r="L260" i="14609"/>
  <c r="M260" i="14609"/>
  <c r="N260" i="14609"/>
  <c r="O260" i="14609"/>
  <c r="P260" i="14609"/>
  <c r="Q260" i="14609"/>
  <c r="R260" i="14609"/>
  <c r="S260" i="14609"/>
  <c r="T260" i="14609"/>
  <c r="U260" i="14609"/>
  <c r="V260" i="14609"/>
  <c r="W260" i="14609"/>
  <c r="X260" i="14609"/>
  <c r="Y260" i="14609"/>
  <c r="Z260" i="14609"/>
  <c r="AA260" i="14609"/>
  <c r="AB260" i="14609"/>
  <c r="AC260" i="14609"/>
  <c r="AD260" i="14609"/>
  <c r="AE260" i="14609"/>
  <c r="AF260" i="14609"/>
  <c r="AG260" i="14609"/>
  <c r="AH260" i="14609"/>
  <c r="AI260" i="14609"/>
  <c r="AJ260" i="14609"/>
  <c r="AK260" i="14609"/>
  <c r="AL260" i="14609"/>
  <c r="AM260" i="14609"/>
  <c r="AN260" i="14609"/>
  <c r="AO260" i="14609"/>
  <c r="AP260" i="14609"/>
  <c r="AQ260" i="14609"/>
  <c r="AR260" i="14609"/>
  <c r="AS260" i="14609"/>
  <c r="AT260" i="14609"/>
  <c r="AU260" i="14609"/>
  <c r="AV260" i="14609"/>
  <c r="AW260" i="14609"/>
  <c r="AX260" i="14609"/>
  <c r="AY260" i="14609"/>
  <c r="AZ260" i="14609"/>
  <c r="BA260" i="14609"/>
  <c r="BB260" i="14609"/>
  <c r="BC260" i="14609"/>
  <c r="BD260" i="14609"/>
  <c r="BE260" i="14609"/>
  <c r="BF260" i="14609"/>
  <c r="BG260" i="14609"/>
  <c r="BH260" i="14609"/>
  <c r="BI260" i="14609"/>
  <c r="BJ260" i="14609"/>
  <c r="BK260" i="14609"/>
  <c r="BL260" i="14609"/>
  <c r="BM260" i="14609"/>
  <c r="BN260" i="14609"/>
  <c r="BO260" i="14609"/>
  <c r="BP260" i="14609"/>
  <c r="BQ260" i="14609"/>
  <c r="BR260" i="14609"/>
  <c r="BS260" i="14609"/>
  <c r="BT260" i="14609"/>
  <c r="BU260" i="14609"/>
  <c r="BV260" i="14609"/>
  <c r="BW260" i="14609"/>
  <c r="BX260" i="14609"/>
  <c r="BY260" i="14609"/>
  <c r="BZ260" i="14609"/>
  <c r="CA260" i="14609"/>
  <c r="CB260" i="14609"/>
  <c r="CC260" i="14609"/>
  <c r="CD260" i="14609"/>
  <c r="CE260" i="14609"/>
  <c r="CF260" i="14609"/>
  <c r="CG260" i="14609"/>
  <c r="CH260" i="14609"/>
  <c r="CI260" i="14609"/>
  <c r="CJ260" i="14609"/>
  <c r="CK260" i="14609"/>
  <c r="CL260" i="14609"/>
  <c r="CM260" i="14609"/>
  <c r="CN260" i="14609"/>
  <c r="CO260" i="14609"/>
  <c r="CP260" i="14609"/>
  <c r="CQ260" i="14609"/>
  <c r="CR260" i="14609"/>
  <c r="CS260" i="14609"/>
  <c r="CT260" i="14609"/>
  <c r="CU260" i="14609"/>
  <c r="CV260" i="14609"/>
  <c r="CW260" i="14609"/>
  <c r="CX260" i="14609"/>
  <c r="CY260" i="14609"/>
  <c r="CZ260" i="14609"/>
  <c r="DA260" i="14609"/>
  <c r="DB260" i="14609"/>
  <c r="DC260" i="14609"/>
  <c r="DD260" i="14609"/>
  <c r="DE260" i="14609"/>
  <c r="DF260" i="14609"/>
  <c r="DG260" i="14609"/>
  <c r="DH260" i="14609"/>
  <c r="DI260" i="14609"/>
  <c r="DJ260" i="14609"/>
  <c r="DK260" i="14609"/>
  <c r="DL260" i="14609"/>
  <c r="DM260" i="14609"/>
  <c r="DN260" i="14609"/>
  <c r="DO260" i="14609"/>
  <c r="DP260" i="14609"/>
  <c r="DQ260" i="14609"/>
  <c r="DR260" i="14609"/>
  <c r="DS260" i="14609"/>
  <c r="DT260" i="14609"/>
  <c r="DU260" i="14609"/>
  <c r="DV260" i="14609"/>
  <c r="DW260" i="14609"/>
  <c r="DX260" i="14609"/>
  <c r="DY260" i="14609"/>
  <c r="DZ260" i="14609"/>
  <c r="EA260" i="14609"/>
  <c r="EB260" i="14609"/>
  <c r="EC260" i="14609"/>
  <c r="ED260" i="14609"/>
  <c r="EE260" i="14609"/>
  <c r="EF260" i="14609"/>
  <c r="EG260" i="14609"/>
  <c r="EH260" i="14609"/>
  <c r="EI260" i="14609"/>
  <c r="EJ260" i="14609"/>
  <c r="EK260" i="14609"/>
  <c r="EL260" i="14609"/>
  <c r="EM260" i="14609"/>
  <c r="EN260" i="14609"/>
  <c r="EO260" i="14609"/>
  <c r="EP260" i="14609"/>
  <c r="EQ260" i="14609"/>
  <c r="ER260" i="14609"/>
  <c r="ES260" i="14609"/>
  <c r="ET260" i="14609"/>
  <c r="EU260" i="14609"/>
  <c r="EV260" i="14609"/>
  <c r="EW260" i="14609"/>
  <c r="EX260" i="14609"/>
  <c r="EY260" i="14609"/>
  <c r="EZ260" i="14609"/>
  <c r="FA260" i="14609"/>
  <c r="FB260" i="14609"/>
  <c r="FC260" i="14609"/>
  <c r="FD260" i="14609"/>
  <c r="FE260" i="14609"/>
  <c r="FF260" i="14609"/>
  <c r="FG260" i="14609"/>
  <c r="FH260" i="14609"/>
  <c r="FI260" i="14609"/>
  <c r="FJ260" i="14609"/>
  <c r="FK260" i="14609"/>
  <c r="FL260" i="14609"/>
  <c r="FM260" i="14609"/>
  <c r="FN260" i="14609"/>
  <c r="FO260" i="14609"/>
  <c r="FP260" i="14609"/>
  <c r="FQ260" i="14609"/>
  <c r="FR260" i="14609"/>
  <c r="FS260" i="14609"/>
  <c r="FT260" i="14609"/>
  <c r="FU260" i="14609"/>
  <c r="FV260" i="14609"/>
  <c r="FW260" i="14609"/>
  <c r="FX260" i="14609"/>
  <c r="FY260" i="14609"/>
  <c r="FZ260" i="14609"/>
  <c r="GA260" i="14609"/>
  <c r="GB260" i="14609"/>
  <c r="GC260" i="14609"/>
  <c r="GD260" i="14609"/>
  <c r="GE260" i="14609"/>
  <c r="GF260" i="14609"/>
  <c r="GG260" i="14609"/>
  <c r="GH260" i="14609"/>
  <c r="GI260" i="14609"/>
  <c r="GJ260" i="14609"/>
  <c r="GK260" i="14609"/>
  <c r="GL260" i="14609"/>
  <c r="GM260" i="14609"/>
  <c r="GN260" i="14609"/>
  <c r="GO260" i="14609"/>
  <c r="GP260" i="14609"/>
  <c r="GQ260" i="14609"/>
  <c r="GR260" i="14609"/>
  <c r="GS260" i="14609"/>
  <c r="GT260" i="14609"/>
  <c r="GU260" i="14609"/>
  <c r="GV260" i="14609"/>
  <c r="GW260" i="14609"/>
  <c r="GX260" i="14609"/>
  <c r="GY260" i="14609"/>
  <c r="GZ260" i="14609"/>
  <c r="HA260" i="14609"/>
  <c r="HB260" i="14609"/>
  <c r="HC260" i="14609"/>
  <c r="HD260" i="14609"/>
  <c r="HE260" i="14609"/>
  <c r="HF260" i="14609"/>
  <c r="HG260" i="14609"/>
  <c r="HH260" i="14609"/>
  <c r="HI260" i="14609"/>
  <c r="HJ260" i="14609"/>
  <c r="HK260" i="14609"/>
  <c r="HL260" i="14609"/>
  <c r="HM260" i="14609"/>
  <c r="HN260" i="14609"/>
  <c r="HO260" i="14609"/>
  <c r="HP260" i="14609"/>
  <c r="HQ260" i="14609"/>
  <c r="HR260" i="14609"/>
  <c r="HS260" i="14609"/>
  <c r="HT260" i="14609"/>
  <c r="HU260" i="14609"/>
  <c r="HV260" i="14609"/>
  <c r="HW260" i="14609"/>
  <c r="HX260" i="14609"/>
  <c r="HY260" i="14609"/>
  <c r="HZ260" i="14609"/>
  <c r="IA260" i="14609"/>
  <c r="IB260" i="14609"/>
  <c r="IC260" i="14609"/>
  <c r="ID260" i="14609"/>
  <c r="IE260" i="14609"/>
  <c r="IF260" i="14609"/>
  <c r="IG260" i="14609"/>
  <c r="IH260" i="14609"/>
  <c r="II260" i="14609"/>
  <c r="IJ260" i="14609"/>
  <c r="IK260" i="14609"/>
  <c r="IL260" i="14609"/>
  <c r="IM260" i="14609"/>
  <c r="IN260" i="14609"/>
  <c r="IO260" i="14609"/>
  <c r="IP260" i="14609"/>
  <c r="IQ260" i="14609"/>
  <c r="IR260" i="14609"/>
  <c r="IS260" i="14609"/>
  <c r="IT260" i="14609"/>
  <c r="IU260" i="14609"/>
  <c r="IV260" i="14609"/>
  <c r="A259" i="14609"/>
  <c r="B259" i="14609"/>
  <c r="C259" i="14609"/>
  <c r="D259" i="14609"/>
  <c r="E259" i="14609"/>
  <c r="F259" i="14609"/>
  <c r="G259" i="14609"/>
  <c r="H259" i="14609"/>
  <c r="I259" i="14609"/>
  <c r="J259" i="14609"/>
  <c r="K259" i="14609"/>
  <c r="L259" i="14609"/>
  <c r="M259" i="14609"/>
  <c r="N259" i="14609"/>
  <c r="O259" i="14609"/>
  <c r="P259" i="14609"/>
  <c r="Q259" i="14609"/>
  <c r="R259" i="14609"/>
  <c r="S259" i="14609"/>
  <c r="T259" i="14609"/>
  <c r="U259" i="14609"/>
  <c r="V259" i="14609"/>
  <c r="W259" i="14609"/>
  <c r="X259" i="14609"/>
  <c r="Y259" i="14609"/>
  <c r="Z259" i="14609"/>
  <c r="AA259" i="14609"/>
  <c r="AB259" i="14609"/>
  <c r="AC259" i="14609"/>
  <c r="AD259" i="14609"/>
  <c r="AE259" i="14609"/>
  <c r="AF259" i="14609"/>
  <c r="AG259" i="14609"/>
  <c r="AH259" i="14609"/>
  <c r="AI259" i="14609"/>
  <c r="AJ259" i="14609"/>
  <c r="AK259" i="14609"/>
  <c r="AL259" i="14609"/>
  <c r="AM259" i="14609"/>
  <c r="AN259" i="14609"/>
  <c r="AO259" i="14609"/>
  <c r="AP259" i="14609"/>
  <c r="AQ259" i="14609"/>
  <c r="AR259" i="14609"/>
  <c r="AS259" i="14609"/>
  <c r="AT259" i="14609"/>
  <c r="AU259" i="14609"/>
  <c r="AV259" i="14609"/>
  <c r="AW259" i="14609"/>
  <c r="AX259" i="14609"/>
  <c r="AY259" i="14609"/>
  <c r="AZ259" i="14609"/>
  <c r="BA259" i="14609"/>
  <c r="BB259" i="14609"/>
  <c r="BC259" i="14609"/>
  <c r="BD259" i="14609"/>
  <c r="BE259" i="14609"/>
  <c r="BF259" i="14609"/>
  <c r="BG259" i="14609"/>
  <c r="BH259" i="14609"/>
  <c r="BI259" i="14609"/>
  <c r="BJ259" i="14609"/>
  <c r="BK259" i="14609"/>
  <c r="BL259" i="14609"/>
  <c r="BM259" i="14609"/>
  <c r="BN259" i="14609"/>
  <c r="BO259" i="14609"/>
  <c r="BP259" i="14609"/>
  <c r="BQ259" i="14609"/>
  <c r="BR259" i="14609"/>
  <c r="BS259" i="14609"/>
  <c r="BT259" i="14609"/>
  <c r="BU259" i="14609"/>
  <c r="BV259" i="14609"/>
  <c r="BW259" i="14609"/>
  <c r="BX259" i="14609"/>
  <c r="BY259" i="14609"/>
  <c r="BZ259" i="14609"/>
  <c r="CA259" i="14609"/>
  <c r="CB259" i="14609"/>
  <c r="CC259" i="14609"/>
  <c r="CD259" i="14609"/>
  <c r="CE259" i="14609"/>
  <c r="CF259" i="14609"/>
  <c r="CG259" i="14609"/>
  <c r="CH259" i="14609"/>
  <c r="CI259" i="14609"/>
  <c r="CJ259" i="14609"/>
  <c r="CK259" i="14609"/>
  <c r="CL259" i="14609"/>
  <c r="CM259" i="14609"/>
  <c r="CN259" i="14609"/>
  <c r="CO259" i="14609"/>
  <c r="CP259" i="14609"/>
  <c r="CQ259" i="14609"/>
  <c r="CR259" i="14609"/>
  <c r="CS259" i="14609"/>
  <c r="CT259" i="14609"/>
  <c r="CU259" i="14609"/>
  <c r="CV259" i="14609"/>
  <c r="CW259" i="14609"/>
  <c r="CX259" i="14609"/>
  <c r="CY259" i="14609"/>
  <c r="CZ259" i="14609"/>
  <c r="DA259" i="14609"/>
  <c r="DB259" i="14609"/>
  <c r="DC259" i="14609"/>
  <c r="DD259" i="14609"/>
  <c r="DE259" i="14609"/>
  <c r="DF259" i="14609"/>
  <c r="DG259" i="14609"/>
  <c r="DH259" i="14609"/>
  <c r="DI259" i="14609"/>
  <c r="DJ259" i="14609"/>
  <c r="DK259" i="14609"/>
  <c r="DL259" i="14609"/>
  <c r="DM259" i="14609"/>
  <c r="DN259" i="14609"/>
  <c r="DO259" i="14609"/>
  <c r="DP259" i="14609"/>
  <c r="DQ259" i="14609"/>
  <c r="DR259" i="14609"/>
  <c r="DS259" i="14609"/>
  <c r="DT259" i="14609"/>
  <c r="DU259" i="14609"/>
  <c r="DV259" i="14609"/>
  <c r="DW259" i="14609"/>
  <c r="DX259" i="14609"/>
  <c r="DY259" i="14609"/>
  <c r="DZ259" i="14609"/>
  <c r="EA259" i="14609"/>
  <c r="EB259" i="14609"/>
  <c r="EC259" i="14609"/>
  <c r="ED259" i="14609"/>
  <c r="EE259" i="14609"/>
  <c r="EF259" i="14609"/>
  <c r="EG259" i="14609"/>
  <c r="EH259" i="14609"/>
  <c r="EI259" i="14609"/>
  <c r="EJ259" i="14609"/>
  <c r="EK259" i="14609"/>
  <c r="EL259" i="14609"/>
  <c r="EM259" i="14609"/>
  <c r="EN259" i="14609"/>
  <c r="EO259" i="14609"/>
  <c r="EP259" i="14609"/>
  <c r="EQ259" i="14609"/>
  <c r="ER259" i="14609"/>
  <c r="ES259" i="14609"/>
  <c r="ET259" i="14609"/>
  <c r="EU259" i="14609"/>
  <c r="EV259" i="14609"/>
  <c r="EW259" i="14609"/>
  <c r="EX259" i="14609"/>
  <c r="EY259" i="14609"/>
  <c r="EZ259" i="14609"/>
  <c r="FA259" i="14609"/>
  <c r="FB259" i="14609"/>
  <c r="FC259" i="14609"/>
  <c r="FD259" i="14609"/>
  <c r="FE259" i="14609"/>
  <c r="FF259" i="14609"/>
  <c r="FG259" i="14609"/>
  <c r="FH259" i="14609"/>
  <c r="FI259" i="14609"/>
  <c r="FJ259" i="14609"/>
  <c r="FK259" i="14609"/>
  <c r="FL259" i="14609"/>
  <c r="FM259" i="14609"/>
  <c r="FN259" i="14609"/>
  <c r="FO259" i="14609"/>
  <c r="FP259" i="14609"/>
  <c r="FQ259" i="14609"/>
  <c r="FR259" i="14609"/>
  <c r="FS259" i="14609"/>
  <c r="FT259" i="14609"/>
  <c r="FU259" i="14609"/>
  <c r="FV259" i="14609"/>
  <c r="FW259" i="14609"/>
  <c r="FX259" i="14609"/>
  <c r="FY259" i="14609"/>
  <c r="FZ259" i="14609"/>
  <c r="GA259" i="14609"/>
  <c r="GB259" i="14609"/>
  <c r="GC259" i="14609"/>
  <c r="GD259" i="14609"/>
  <c r="GE259" i="14609"/>
  <c r="GF259" i="14609"/>
  <c r="GG259" i="14609"/>
  <c r="GH259" i="14609"/>
  <c r="GI259" i="14609"/>
  <c r="GJ259" i="14609"/>
  <c r="GK259" i="14609"/>
  <c r="GL259" i="14609"/>
  <c r="GM259" i="14609"/>
  <c r="GN259" i="14609"/>
  <c r="GO259" i="14609"/>
  <c r="GP259" i="14609"/>
  <c r="GQ259" i="14609"/>
  <c r="GR259" i="14609"/>
  <c r="GS259" i="14609"/>
  <c r="GT259" i="14609"/>
  <c r="GU259" i="14609"/>
  <c r="GV259" i="14609"/>
  <c r="GW259" i="14609"/>
  <c r="GX259" i="14609"/>
  <c r="GY259" i="14609"/>
  <c r="GZ259" i="14609"/>
  <c r="HA259" i="14609"/>
  <c r="HB259" i="14609"/>
  <c r="HC259" i="14609"/>
  <c r="HD259" i="14609"/>
  <c r="HE259" i="14609"/>
  <c r="HF259" i="14609"/>
  <c r="HG259" i="14609"/>
  <c r="HH259" i="14609"/>
  <c r="HI259" i="14609"/>
  <c r="HJ259" i="14609"/>
  <c r="HK259" i="14609"/>
  <c r="HL259" i="14609"/>
  <c r="HM259" i="14609"/>
  <c r="HN259" i="14609"/>
  <c r="HO259" i="14609"/>
  <c r="HP259" i="14609"/>
  <c r="HQ259" i="14609"/>
  <c r="HR259" i="14609"/>
  <c r="HS259" i="14609"/>
  <c r="HT259" i="14609"/>
  <c r="HU259" i="14609"/>
  <c r="HV259" i="14609"/>
  <c r="HW259" i="14609"/>
  <c r="HX259" i="14609"/>
  <c r="HY259" i="14609"/>
  <c r="HZ259" i="14609"/>
  <c r="IA259" i="14609"/>
  <c r="IB259" i="14609"/>
  <c r="IC259" i="14609"/>
  <c r="ID259" i="14609"/>
  <c r="IE259" i="14609"/>
  <c r="IF259" i="14609"/>
  <c r="IG259" i="14609"/>
  <c r="IH259" i="14609"/>
  <c r="II259" i="14609"/>
  <c r="IJ259" i="14609"/>
  <c r="IK259" i="14609"/>
  <c r="IL259" i="14609"/>
  <c r="IM259" i="14609"/>
  <c r="IN259" i="14609"/>
  <c r="IO259" i="14609"/>
  <c r="IP259" i="14609"/>
  <c r="IQ259" i="14609"/>
  <c r="IR259" i="14609"/>
  <c r="IS259" i="14609"/>
  <c r="IT259" i="14609"/>
  <c r="IU259" i="14609"/>
  <c r="IV259" i="14609"/>
  <c r="A258" i="14609"/>
  <c r="B258" i="14609"/>
  <c r="C258" i="14609"/>
  <c r="D258" i="14609"/>
  <c r="E258" i="14609"/>
  <c r="F258" i="14609"/>
  <c r="G258" i="14609"/>
  <c r="H258" i="14609"/>
  <c r="I258" i="14609"/>
  <c r="J258" i="14609"/>
  <c r="K258" i="14609"/>
  <c r="L258" i="14609"/>
  <c r="M258" i="14609"/>
  <c r="N258" i="14609"/>
  <c r="O258" i="14609"/>
  <c r="P258" i="14609"/>
  <c r="Q258" i="14609"/>
  <c r="R258" i="14609"/>
  <c r="S258" i="14609"/>
  <c r="T258" i="14609"/>
  <c r="U258" i="14609"/>
  <c r="V258" i="14609"/>
  <c r="W258" i="14609"/>
  <c r="X258" i="14609"/>
  <c r="Y258" i="14609"/>
  <c r="Z258" i="14609"/>
  <c r="AA258" i="14609"/>
  <c r="AB258" i="14609"/>
  <c r="AC258" i="14609"/>
  <c r="AD258" i="14609"/>
  <c r="AE258" i="14609"/>
  <c r="AF258" i="14609"/>
  <c r="AG258" i="14609"/>
  <c r="AH258" i="14609"/>
  <c r="AI258" i="14609"/>
  <c r="AJ258" i="14609"/>
  <c r="AK258" i="14609"/>
  <c r="AL258" i="14609"/>
  <c r="AM258" i="14609"/>
  <c r="AN258" i="14609"/>
  <c r="AO258" i="14609"/>
  <c r="AP258" i="14609"/>
  <c r="AQ258" i="14609"/>
  <c r="AR258" i="14609"/>
  <c r="AS258" i="14609"/>
  <c r="AT258" i="14609"/>
  <c r="AU258" i="14609"/>
  <c r="AV258" i="14609"/>
  <c r="AW258" i="14609"/>
  <c r="AX258" i="14609"/>
  <c r="AY258" i="14609"/>
  <c r="AZ258" i="14609"/>
  <c r="BA258" i="14609"/>
  <c r="BB258" i="14609"/>
  <c r="BC258" i="14609"/>
  <c r="BD258" i="14609"/>
  <c r="BE258" i="14609"/>
  <c r="BF258" i="14609"/>
  <c r="BG258" i="14609"/>
  <c r="BH258" i="14609"/>
  <c r="BI258" i="14609"/>
  <c r="BJ258" i="14609"/>
  <c r="BK258" i="14609"/>
  <c r="BL258" i="14609"/>
  <c r="BM258" i="14609"/>
  <c r="BN258" i="14609"/>
  <c r="BO258" i="14609"/>
  <c r="BP258" i="14609"/>
  <c r="BQ258" i="14609"/>
  <c r="BR258" i="14609"/>
  <c r="BS258" i="14609"/>
  <c r="BT258" i="14609"/>
  <c r="BU258" i="14609"/>
  <c r="BV258" i="14609"/>
  <c r="BW258" i="14609"/>
  <c r="BX258" i="14609"/>
  <c r="BY258" i="14609"/>
  <c r="BZ258" i="14609"/>
  <c r="CA258" i="14609"/>
  <c r="CB258" i="14609"/>
  <c r="CC258" i="14609"/>
  <c r="CD258" i="14609"/>
  <c r="CE258" i="14609"/>
  <c r="CF258" i="14609"/>
  <c r="CG258" i="14609"/>
  <c r="CH258" i="14609"/>
  <c r="CI258" i="14609"/>
  <c r="CJ258" i="14609"/>
  <c r="CK258" i="14609"/>
  <c r="CL258" i="14609"/>
  <c r="CM258" i="14609"/>
  <c r="CN258" i="14609"/>
  <c r="CO258" i="14609"/>
  <c r="CP258" i="14609"/>
  <c r="CQ258" i="14609"/>
  <c r="CR258" i="14609"/>
  <c r="CS258" i="14609"/>
  <c r="CT258" i="14609"/>
  <c r="CU258" i="14609"/>
  <c r="CV258" i="14609"/>
  <c r="CW258" i="14609"/>
  <c r="CX258" i="14609"/>
  <c r="CY258" i="14609"/>
  <c r="CZ258" i="14609"/>
  <c r="DA258" i="14609"/>
  <c r="DB258" i="14609"/>
  <c r="DC258" i="14609"/>
  <c r="DD258" i="14609"/>
  <c r="DE258" i="14609"/>
  <c r="DF258" i="14609"/>
  <c r="DG258" i="14609"/>
  <c r="DH258" i="14609"/>
  <c r="DI258" i="14609"/>
  <c r="DJ258" i="14609"/>
  <c r="DK258" i="14609"/>
  <c r="DL258" i="14609"/>
  <c r="DM258" i="14609"/>
  <c r="DN258" i="14609"/>
  <c r="DO258" i="14609"/>
  <c r="DP258" i="14609"/>
  <c r="DQ258" i="14609"/>
  <c r="DR258" i="14609"/>
  <c r="DS258" i="14609"/>
  <c r="DT258" i="14609"/>
  <c r="DU258" i="14609"/>
  <c r="DV258" i="14609"/>
  <c r="DW258" i="14609"/>
  <c r="DX258" i="14609"/>
  <c r="DY258" i="14609"/>
  <c r="DZ258" i="14609"/>
  <c r="EA258" i="14609"/>
  <c r="EB258" i="14609"/>
  <c r="EC258" i="14609"/>
  <c r="ED258" i="14609"/>
  <c r="EE258" i="14609"/>
  <c r="EF258" i="14609"/>
  <c r="EG258" i="14609"/>
  <c r="EH258" i="14609"/>
  <c r="EI258" i="14609"/>
  <c r="EJ258" i="14609"/>
  <c r="EK258" i="14609"/>
  <c r="EL258" i="14609"/>
  <c r="EM258" i="14609"/>
  <c r="EN258" i="14609"/>
  <c r="EO258" i="14609"/>
  <c r="EP258" i="14609"/>
  <c r="EQ258" i="14609"/>
  <c r="ER258" i="14609"/>
  <c r="ES258" i="14609"/>
  <c r="ET258" i="14609"/>
  <c r="EU258" i="14609"/>
  <c r="EV258" i="14609"/>
  <c r="EW258" i="14609"/>
  <c r="EX258" i="14609"/>
  <c r="EY258" i="14609"/>
  <c r="EZ258" i="14609"/>
  <c r="FA258" i="14609"/>
  <c r="FB258" i="14609"/>
  <c r="FC258" i="14609"/>
  <c r="FD258" i="14609"/>
  <c r="FE258" i="14609"/>
  <c r="FF258" i="14609"/>
  <c r="FG258" i="14609"/>
  <c r="FH258" i="14609"/>
  <c r="FI258" i="14609"/>
  <c r="FJ258" i="14609"/>
  <c r="FK258" i="14609"/>
  <c r="FL258" i="14609"/>
  <c r="FM258" i="14609"/>
  <c r="FN258" i="14609"/>
  <c r="FO258" i="14609"/>
  <c r="FP258" i="14609"/>
  <c r="FQ258" i="14609"/>
  <c r="FR258" i="14609"/>
  <c r="FS258" i="14609"/>
  <c r="FT258" i="14609"/>
  <c r="FU258" i="14609"/>
  <c r="FV258" i="14609"/>
  <c r="FW258" i="14609"/>
  <c r="FX258" i="14609"/>
  <c r="FY258" i="14609"/>
  <c r="FZ258" i="14609"/>
  <c r="GA258" i="14609"/>
  <c r="GB258" i="14609"/>
  <c r="GC258" i="14609"/>
  <c r="GD258" i="14609"/>
  <c r="GE258" i="14609"/>
  <c r="GF258" i="14609"/>
  <c r="GG258" i="14609"/>
  <c r="GH258" i="14609"/>
  <c r="GI258" i="14609"/>
  <c r="GJ258" i="14609"/>
  <c r="GK258" i="14609"/>
  <c r="GL258" i="14609"/>
  <c r="GM258" i="14609"/>
  <c r="GN258" i="14609"/>
  <c r="GO258" i="14609"/>
  <c r="GP258" i="14609"/>
  <c r="GQ258" i="14609"/>
  <c r="GR258" i="14609"/>
  <c r="GS258" i="14609"/>
  <c r="GT258" i="14609"/>
  <c r="GU258" i="14609"/>
  <c r="GV258" i="14609"/>
  <c r="GW258" i="14609"/>
  <c r="GX258" i="14609"/>
  <c r="GY258" i="14609"/>
  <c r="GZ258" i="14609"/>
  <c r="HA258" i="14609"/>
  <c r="HB258" i="14609"/>
  <c r="HC258" i="14609"/>
  <c r="HD258" i="14609"/>
  <c r="HE258" i="14609"/>
  <c r="HF258" i="14609"/>
  <c r="HG258" i="14609"/>
  <c r="HH258" i="14609"/>
  <c r="HI258" i="14609"/>
  <c r="HJ258" i="14609"/>
  <c r="HK258" i="14609"/>
  <c r="HL258" i="14609"/>
  <c r="HM258" i="14609"/>
  <c r="HN258" i="14609"/>
  <c r="HO258" i="14609"/>
  <c r="HP258" i="14609"/>
  <c r="HQ258" i="14609"/>
  <c r="HR258" i="14609"/>
  <c r="HS258" i="14609"/>
  <c r="HT258" i="14609"/>
  <c r="HU258" i="14609"/>
  <c r="HV258" i="14609"/>
  <c r="HW258" i="14609"/>
  <c r="HX258" i="14609"/>
  <c r="HY258" i="14609"/>
  <c r="HZ258" i="14609"/>
  <c r="IA258" i="14609"/>
  <c r="IB258" i="14609"/>
  <c r="IC258" i="14609"/>
  <c r="ID258" i="14609"/>
  <c r="IE258" i="14609"/>
  <c r="IF258" i="14609"/>
  <c r="IG258" i="14609"/>
  <c r="IH258" i="14609"/>
  <c r="II258" i="14609"/>
  <c r="IJ258" i="14609"/>
  <c r="IK258" i="14609"/>
  <c r="IL258" i="14609"/>
  <c r="IM258" i="14609"/>
  <c r="IN258" i="14609"/>
  <c r="IO258" i="14609"/>
  <c r="IP258" i="14609"/>
  <c r="IQ258" i="14609"/>
  <c r="IR258" i="14609"/>
  <c r="IS258" i="14609"/>
  <c r="IT258" i="14609"/>
  <c r="IU258" i="14609"/>
  <c r="IV258" i="14609"/>
  <c r="A257" i="14609"/>
  <c r="B257" i="14609"/>
  <c r="C257" i="14609"/>
  <c r="D257" i="14609"/>
  <c r="E257" i="14609"/>
  <c r="F257" i="14609"/>
  <c r="G257" i="14609"/>
  <c r="H257" i="14609"/>
  <c r="I257" i="14609"/>
  <c r="J257" i="14609"/>
  <c r="K257" i="14609"/>
  <c r="L257" i="14609"/>
  <c r="M257" i="14609"/>
  <c r="N257" i="14609"/>
  <c r="O257" i="14609"/>
  <c r="P257" i="14609"/>
  <c r="Q257" i="14609"/>
  <c r="R257" i="14609"/>
  <c r="S257" i="14609"/>
  <c r="T257" i="14609"/>
  <c r="U257" i="14609"/>
  <c r="V257" i="14609"/>
  <c r="W257" i="14609"/>
  <c r="X257" i="14609"/>
  <c r="Y257" i="14609"/>
  <c r="Z257" i="14609"/>
  <c r="AA257" i="14609"/>
  <c r="AB257" i="14609"/>
  <c r="AC257" i="14609"/>
  <c r="AD257" i="14609"/>
  <c r="AE257" i="14609"/>
  <c r="AF257" i="14609"/>
  <c r="AG257" i="14609"/>
  <c r="AH257" i="14609"/>
  <c r="AI257" i="14609"/>
  <c r="AJ257" i="14609"/>
  <c r="AK257" i="14609"/>
  <c r="AL257" i="14609"/>
  <c r="AM257" i="14609"/>
  <c r="AN257" i="14609"/>
  <c r="AO257" i="14609"/>
  <c r="AP257" i="14609"/>
  <c r="AQ257" i="14609"/>
  <c r="AR257" i="14609"/>
  <c r="AS257" i="14609"/>
  <c r="AT257" i="14609"/>
  <c r="AU257" i="14609"/>
  <c r="AV257" i="14609"/>
  <c r="AW257" i="14609"/>
  <c r="AX257" i="14609"/>
  <c r="AY257" i="14609"/>
  <c r="AZ257" i="14609"/>
  <c r="BA257" i="14609"/>
  <c r="BB257" i="14609"/>
  <c r="BC257" i="14609"/>
  <c r="BD257" i="14609"/>
  <c r="BE257" i="14609"/>
  <c r="BF257" i="14609"/>
  <c r="BG257" i="14609"/>
  <c r="BH257" i="14609"/>
  <c r="BI257" i="14609"/>
  <c r="BJ257" i="14609"/>
  <c r="BK257" i="14609"/>
  <c r="BL257" i="14609"/>
  <c r="BM257" i="14609"/>
  <c r="BN257" i="14609"/>
  <c r="BO257" i="14609"/>
  <c r="BP257" i="14609"/>
  <c r="BQ257" i="14609"/>
  <c r="BR257" i="14609"/>
  <c r="BS257" i="14609"/>
  <c r="BT257" i="14609"/>
  <c r="BU257" i="14609"/>
  <c r="BV257" i="14609"/>
  <c r="BW257" i="14609"/>
  <c r="BX257" i="14609"/>
  <c r="BY257" i="14609"/>
  <c r="BZ257" i="14609"/>
  <c r="CA257" i="14609"/>
  <c r="CB257" i="14609"/>
  <c r="CC257" i="14609"/>
  <c r="CD257" i="14609"/>
  <c r="CE257" i="14609"/>
  <c r="CF257" i="14609"/>
  <c r="CG257" i="14609"/>
  <c r="CH257" i="14609"/>
  <c r="CI257" i="14609"/>
  <c r="CJ257" i="14609"/>
  <c r="CK257" i="14609"/>
  <c r="CL257" i="14609"/>
  <c r="CM257" i="14609"/>
  <c r="CN257" i="14609"/>
  <c r="CO257" i="14609"/>
  <c r="CP257" i="14609"/>
  <c r="CQ257" i="14609"/>
  <c r="CR257" i="14609"/>
  <c r="CS257" i="14609"/>
  <c r="CT257" i="14609"/>
  <c r="CU257" i="14609"/>
  <c r="CV257" i="14609"/>
  <c r="CW257" i="14609"/>
  <c r="CX257" i="14609"/>
  <c r="CY257" i="14609"/>
  <c r="CZ257" i="14609"/>
  <c r="DA257" i="14609"/>
  <c r="DB257" i="14609"/>
  <c r="DC257" i="14609"/>
  <c r="DD257" i="14609"/>
  <c r="DE257" i="14609"/>
  <c r="DF257" i="14609"/>
  <c r="DG257" i="14609"/>
  <c r="DH257" i="14609"/>
  <c r="DI257" i="14609"/>
  <c r="DJ257" i="14609"/>
  <c r="DK257" i="14609"/>
  <c r="DL257" i="14609"/>
  <c r="DM257" i="14609"/>
  <c r="DN257" i="14609"/>
  <c r="DO257" i="14609"/>
  <c r="DP257" i="14609"/>
  <c r="DQ257" i="14609"/>
  <c r="DR257" i="14609"/>
  <c r="DS257" i="14609"/>
  <c r="DT257" i="14609"/>
  <c r="DU257" i="14609"/>
  <c r="DV257" i="14609"/>
  <c r="DW257" i="14609"/>
  <c r="DX257" i="14609"/>
  <c r="DY257" i="14609"/>
  <c r="DZ257" i="14609"/>
  <c r="EA257" i="14609"/>
  <c r="EB257" i="14609"/>
  <c r="EC257" i="14609"/>
  <c r="ED257" i="14609"/>
  <c r="EE257" i="14609"/>
  <c r="EF257" i="14609"/>
  <c r="EG257" i="14609"/>
  <c r="EH257" i="14609"/>
  <c r="EI257" i="14609"/>
  <c r="EJ257" i="14609"/>
  <c r="EK257" i="14609"/>
  <c r="EL257" i="14609"/>
  <c r="EM257" i="14609"/>
  <c r="EN257" i="14609"/>
  <c r="EO257" i="14609"/>
  <c r="EP257" i="14609"/>
  <c r="EQ257" i="14609"/>
  <c r="ER257" i="14609"/>
  <c r="ES257" i="14609"/>
  <c r="ET257" i="14609"/>
  <c r="EU257" i="14609"/>
  <c r="EV257" i="14609"/>
  <c r="EW257" i="14609"/>
  <c r="EX257" i="14609"/>
  <c r="EY257" i="14609"/>
  <c r="EZ257" i="14609"/>
  <c r="FA257" i="14609"/>
  <c r="FB257" i="14609"/>
  <c r="FC257" i="14609"/>
  <c r="FD257" i="14609"/>
  <c r="FE257" i="14609"/>
  <c r="FF257" i="14609"/>
  <c r="FG257" i="14609"/>
  <c r="FH257" i="14609"/>
  <c r="FI257" i="14609"/>
  <c r="FJ257" i="14609"/>
  <c r="FK257" i="14609"/>
  <c r="FL257" i="14609"/>
  <c r="FM257" i="14609"/>
  <c r="FN257" i="14609"/>
  <c r="FO257" i="14609"/>
  <c r="FP257" i="14609"/>
  <c r="FQ257" i="14609"/>
  <c r="FR257" i="14609"/>
  <c r="FS257" i="14609"/>
  <c r="FT257" i="14609"/>
  <c r="FU257" i="14609"/>
  <c r="FV257" i="14609"/>
  <c r="FW257" i="14609"/>
  <c r="FX257" i="14609"/>
  <c r="FY257" i="14609"/>
  <c r="FZ257" i="14609"/>
  <c r="GA257" i="14609"/>
  <c r="GB257" i="14609"/>
  <c r="GC257" i="14609"/>
  <c r="GD257" i="14609"/>
  <c r="GE257" i="14609"/>
  <c r="GF257" i="14609"/>
  <c r="GG257" i="14609"/>
  <c r="GH257" i="14609"/>
  <c r="GI257" i="14609"/>
  <c r="GJ257" i="14609"/>
  <c r="GK257" i="14609"/>
  <c r="GL257" i="14609"/>
  <c r="GM257" i="14609"/>
  <c r="GN257" i="14609"/>
  <c r="GO257" i="14609"/>
  <c r="GP257" i="14609"/>
  <c r="GQ257" i="14609"/>
  <c r="GR257" i="14609"/>
  <c r="GS257" i="14609"/>
  <c r="GT257" i="14609"/>
  <c r="GU257" i="14609"/>
  <c r="GV257" i="14609"/>
  <c r="GW257" i="14609"/>
  <c r="GX257" i="14609"/>
  <c r="GY257" i="14609"/>
  <c r="GZ257" i="14609"/>
  <c r="HA257" i="14609"/>
  <c r="HB257" i="14609"/>
  <c r="HC257" i="14609"/>
  <c r="HD257" i="14609"/>
  <c r="HE257" i="14609"/>
  <c r="HF257" i="14609"/>
  <c r="HG257" i="14609"/>
  <c r="HH257" i="14609"/>
  <c r="HI257" i="14609"/>
  <c r="HJ257" i="14609"/>
  <c r="HK257" i="14609"/>
  <c r="HL257" i="14609"/>
  <c r="HM257" i="14609"/>
  <c r="HN257" i="14609"/>
  <c r="HO257" i="14609"/>
  <c r="HP257" i="14609"/>
  <c r="HQ257" i="14609"/>
  <c r="HR257" i="14609"/>
  <c r="HS257" i="14609"/>
  <c r="HT257" i="14609"/>
  <c r="HU257" i="14609"/>
  <c r="HV257" i="14609"/>
  <c r="HW257" i="14609"/>
  <c r="HX257" i="14609"/>
  <c r="HY257" i="14609"/>
  <c r="HZ257" i="14609"/>
  <c r="IA257" i="14609"/>
  <c r="IB257" i="14609"/>
  <c r="IC257" i="14609"/>
  <c r="ID257" i="14609"/>
  <c r="IE257" i="14609"/>
  <c r="IF257" i="14609"/>
  <c r="IG257" i="14609"/>
  <c r="IH257" i="14609"/>
  <c r="II257" i="14609"/>
  <c r="IJ257" i="14609"/>
  <c r="IK257" i="14609"/>
  <c r="IL257" i="14609"/>
  <c r="IM257" i="14609"/>
  <c r="IN257" i="14609"/>
  <c r="IO257" i="14609"/>
  <c r="IP257" i="14609"/>
  <c r="IQ257" i="14609"/>
  <c r="IR257" i="14609"/>
  <c r="IS257" i="14609"/>
  <c r="IT257" i="14609"/>
  <c r="IU257" i="14609"/>
  <c r="IV257" i="14609"/>
  <c r="A256" i="14609"/>
  <c r="B256" i="14609"/>
  <c r="C256" i="14609"/>
  <c r="D256" i="14609"/>
  <c r="E256" i="14609"/>
  <c r="F256" i="14609"/>
  <c r="G256" i="14609"/>
  <c r="H256" i="14609"/>
  <c r="I256" i="14609"/>
  <c r="J256" i="14609"/>
  <c r="K256" i="14609"/>
  <c r="L256" i="14609"/>
  <c r="M256" i="14609"/>
  <c r="N256" i="14609"/>
  <c r="O256" i="14609"/>
  <c r="P256" i="14609"/>
  <c r="Q256" i="14609"/>
  <c r="R256" i="14609"/>
  <c r="S256" i="14609"/>
  <c r="T256" i="14609"/>
  <c r="U256" i="14609"/>
  <c r="V256" i="14609"/>
  <c r="W256" i="14609"/>
  <c r="X256" i="14609"/>
  <c r="Y256" i="14609"/>
  <c r="Z256" i="14609"/>
  <c r="AA256" i="14609"/>
  <c r="AB256" i="14609"/>
  <c r="AC256" i="14609"/>
  <c r="AD256" i="14609"/>
  <c r="AE256" i="14609"/>
  <c r="AF256" i="14609"/>
  <c r="AG256" i="14609"/>
  <c r="AH256" i="14609"/>
  <c r="AI256" i="14609"/>
  <c r="AJ256" i="14609"/>
  <c r="AK256" i="14609"/>
  <c r="AL256" i="14609"/>
  <c r="AM256" i="14609"/>
  <c r="AN256" i="14609"/>
  <c r="AO256" i="14609"/>
  <c r="AP256" i="14609"/>
  <c r="AQ256" i="14609"/>
  <c r="AR256" i="14609"/>
  <c r="AS256" i="14609"/>
  <c r="AT256" i="14609"/>
  <c r="AU256" i="14609"/>
  <c r="AV256" i="14609"/>
  <c r="AW256" i="14609"/>
  <c r="AX256" i="14609"/>
  <c r="AY256" i="14609"/>
  <c r="AZ256" i="14609"/>
  <c r="BA256" i="14609"/>
  <c r="BB256" i="14609"/>
  <c r="BC256" i="14609"/>
  <c r="BD256" i="14609"/>
  <c r="BE256" i="14609"/>
  <c r="BF256" i="14609"/>
  <c r="BG256" i="14609"/>
  <c r="BH256" i="14609"/>
  <c r="BI256" i="14609"/>
  <c r="BJ256" i="14609"/>
  <c r="BK256" i="14609"/>
  <c r="BL256" i="14609"/>
  <c r="BM256" i="14609"/>
  <c r="BN256" i="14609"/>
  <c r="BO256" i="14609"/>
  <c r="BP256" i="14609"/>
  <c r="BQ256" i="14609"/>
  <c r="BR256" i="14609"/>
  <c r="BS256" i="14609"/>
  <c r="BT256" i="14609"/>
  <c r="BU256" i="14609"/>
  <c r="BV256" i="14609"/>
  <c r="BW256" i="14609"/>
  <c r="BX256" i="14609"/>
  <c r="BY256" i="14609"/>
  <c r="BZ256" i="14609"/>
  <c r="CA256" i="14609"/>
  <c r="CB256" i="14609"/>
  <c r="CC256" i="14609"/>
  <c r="CD256" i="14609"/>
  <c r="CE256" i="14609"/>
  <c r="CF256" i="14609"/>
  <c r="CG256" i="14609"/>
  <c r="CH256" i="14609"/>
  <c r="CI256" i="14609"/>
  <c r="CJ256" i="14609"/>
  <c r="CK256" i="14609"/>
  <c r="CL256" i="14609"/>
  <c r="CM256" i="14609"/>
  <c r="CN256" i="14609"/>
  <c r="CO256" i="14609"/>
  <c r="CP256" i="14609"/>
  <c r="CQ256" i="14609"/>
  <c r="CR256" i="14609"/>
  <c r="CS256" i="14609"/>
  <c r="CT256" i="14609"/>
  <c r="CU256" i="14609"/>
  <c r="CV256" i="14609"/>
  <c r="CW256" i="14609"/>
  <c r="CX256" i="14609"/>
  <c r="CY256" i="14609"/>
  <c r="CZ256" i="14609"/>
  <c r="DA256" i="14609"/>
  <c r="DB256" i="14609"/>
  <c r="DC256" i="14609"/>
  <c r="DD256" i="14609"/>
  <c r="DE256" i="14609"/>
  <c r="DF256" i="14609"/>
  <c r="DG256" i="14609"/>
  <c r="DH256" i="14609"/>
  <c r="DI256" i="14609"/>
  <c r="DJ256" i="14609"/>
  <c r="DK256" i="14609"/>
  <c r="DL256" i="14609"/>
  <c r="DM256" i="14609"/>
  <c r="DN256" i="14609"/>
  <c r="DO256" i="14609"/>
  <c r="DP256" i="14609"/>
  <c r="DQ256" i="14609"/>
  <c r="DR256" i="14609"/>
  <c r="DS256" i="14609"/>
  <c r="DT256" i="14609"/>
  <c r="DU256" i="14609"/>
  <c r="DV256" i="14609"/>
  <c r="DW256" i="14609"/>
  <c r="DX256" i="14609"/>
  <c r="DY256" i="14609"/>
  <c r="DZ256" i="14609"/>
  <c r="EA256" i="14609"/>
  <c r="EB256" i="14609"/>
  <c r="EC256" i="14609"/>
  <c r="ED256" i="14609"/>
  <c r="EE256" i="14609"/>
  <c r="EF256" i="14609"/>
  <c r="EG256" i="14609"/>
  <c r="EH256" i="14609"/>
  <c r="EI256" i="14609"/>
  <c r="EJ256" i="14609"/>
  <c r="EK256" i="14609"/>
  <c r="EL256" i="14609"/>
  <c r="EM256" i="14609"/>
  <c r="EN256" i="14609"/>
  <c r="EO256" i="14609"/>
  <c r="EP256" i="14609"/>
  <c r="EQ256" i="14609"/>
  <c r="ER256" i="14609"/>
  <c r="ES256" i="14609"/>
  <c r="ET256" i="14609"/>
  <c r="EU256" i="14609"/>
  <c r="EV256" i="14609"/>
  <c r="EW256" i="14609"/>
  <c r="EX256" i="14609"/>
  <c r="EY256" i="14609"/>
  <c r="EZ256" i="14609"/>
  <c r="FA256" i="14609"/>
  <c r="FB256" i="14609"/>
  <c r="FC256" i="14609"/>
  <c r="FD256" i="14609"/>
  <c r="FE256" i="14609"/>
  <c r="FF256" i="14609"/>
  <c r="FG256" i="14609"/>
  <c r="FH256" i="14609"/>
  <c r="FI256" i="14609"/>
  <c r="FJ256" i="14609"/>
  <c r="FK256" i="14609"/>
  <c r="FL256" i="14609"/>
  <c r="FM256" i="14609"/>
  <c r="FN256" i="14609"/>
  <c r="FO256" i="14609"/>
  <c r="FP256" i="14609"/>
  <c r="FQ256" i="14609"/>
  <c r="FR256" i="14609"/>
  <c r="FS256" i="14609"/>
  <c r="FT256" i="14609"/>
  <c r="FU256" i="14609"/>
  <c r="FV256" i="14609"/>
  <c r="FW256" i="14609"/>
  <c r="FX256" i="14609"/>
  <c r="FY256" i="14609"/>
  <c r="FZ256" i="14609"/>
  <c r="GA256" i="14609"/>
  <c r="GB256" i="14609"/>
  <c r="GC256" i="14609"/>
  <c r="GD256" i="14609"/>
  <c r="GE256" i="14609"/>
  <c r="GF256" i="14609"/>
  <c r="GG256" i="14609"/>
  <c r="GH256" i="14609"/>
  <c r="GI256" i="14609"/>
  <c r="GJ256" i="14609"/>
  <c r="GK256" i="14609"/>
  <c r="GL256" i="14609"/>
  <c r="GM256" i="14609"/>
  <c r="GN256" i="14609"/>
  <c r="GO256" i="14609"/>
  <c r="GP256" i="14609"/>
  <c r="GQ256" i="14609"/>
  <c r="GR256" i="14609"/>
  <c r="GS256" i="14609"/>
  <c r="GT256" i="14609"/>
  <c r="GU256" i="14609"/>
  <c r="GV256" i="14609"/>
  <c r="GW256" i="14609"/>
  <c r="GX256" i="14609"/>
  <c r="GY256" i="14609"/>
  <c r="GZ256" i="14609"/>
  <c r="HA256" i="14609"/>
  <c r="HB256" i="14609"/>
  <c r="HC256" i="14609"/>
  <c r="HD256" i="14609"/>
  <c r="HE256" i="14609"/>
  <c r="HF256" i="14609"/>
  <c r="HG256" i="14609"/>
  <c r="HH256" i="14609"/>
  <c r="HI256" i="14609"/>
  <c r="HJ256" i="14609"/>
  <c r="HK256" i="14609"/>
  <c r="HL256" i="14609"/>
  <c r="HM256" i="14609"/>
  <c r="HN256" i="14609"/>
  <c r="HO256" i="14609"/>
  <c r="HP256" i="14609"/>
  <c r="HQ256" i="14609"/>
  <c r="HR256" i="14609"/>
  <c r="HS256" i="14609"/>
  <c r="HT256" i="14609"/>
  <c r="HU256" i="14609"/>
  <c r="HV256" i="14609"/>
  <c r="HW256" i="14609"/>
  <c r="HX256" i="14609"/>
  <c r="HY256" i="14609"/>
  <c r="HZ256" i="14609"/>
  <c r="IA256" i="14609"/>
  <c r="IB256" i="14609"/>
  <c r="IC256" i="14609"/>
  <c r="ID256" i="14609"/>
  <c r="IE256" i="14609"/>
  <c r="IF256" i="14609"/>
  <c r="IG256" i="14609"/>
  <c r="IH256" i="14609"/>
  <c r="II256" i="14609"/>
  <c r="IJ256" i="14609"/>
  <c r="IK256" i="14609"/>
  <c r="IL256" i="14609"/>
  <c r="IM256" i="14609"/>
  <c r="IN256" i="14609"/>
  <c r="IO256" i="14609"/>
  <c r="IP256" i="14609"/>
  <c r="IQ256" i="14609"/>
  <c r="IR256" i="14609"/>
  <c r="IS256" i="14609"/>
  <c r="IT256" i="14609"/>
  <c r="IU256" i="14609"/>
  <c r="IV256" i="14609"/>
  <c r="A255" i="14609"/>
  <c r="B255" i="14609"/>
  <c r="C255" i="14609"/>
  <c r="D255" i="14609"/>
  <c r="E255" i="14609"/>
  <c r="F255" i="14609"/>
  <c r="G255" i="14609"/>
  <c r="H255" i="14609"/>
  <c r="I255" i="14609"/>
  <c r="J255" i="14609"/>
  <c r="K255" i="14609"/>
  <c r="L255" i="14609"/>
  <c r="M255" i="14609"/>
  <c r="N255" i="14609"/>
  <c r="O255" i="14609"/>
  <c r="P255" i="14609"/>
  <c r="Q255" i="14609"/>
  <c r="R255" i="14609"/>
  <c r="S255" i="14609"/>
  <c r="T255" i="14609"/>
  <c r="U255" i="14609"/>
  <c r="V255" i="14609"/>
  <c r="W255" i="14609"/>
  <c r="X255" i="14609"/>
  <c r="Y255" i="14609"/>
  <c r="Z255" i="14609"/>
  <c r="AA255" i="14609"/>
  <c r="AB255" i="14609"/>
  <c r="AC255" i="14609"/>
  <c r="AD255" i="14609"/>
  <c r="AE255" i="14609"/>
  <c r="AF255" i="14609"/>
  <c r="AG255" i="14609"/>
  <c r="AH255" i="14609"/>
  <c r="AI255" i="14609"/>
  <c r="AJ255" i="14609"/>
  <c r="AK255" i="14609"/>
  <c r="AL255" i="14609"/>
  <c r="AM255" i="14609"/>
  <c r="AN255" i="14609"/>
  <c r="AO255" i="14609"/>
  <c r="AP255" i="14609"/>
  <c r="AQ255" i="14609"/>
  <c r="AR255" i="14609"/>
  <c r="AS255" i="14609"/>
  <c r="AT255" i="14609"/>
  <c r="AU255" i="14609"/>
  <c r="AV255" i="14609"/>
  <c r="AW255" i="14609"/>
  <c r="AX255" i="14609"/>
  <c r="AY255" i="14609"/>
  <c r="AZ255" i="14609"/>
  <c r="BA255" i="14609"/>
  <c r="BB255" i="14609"/>
  <c r="BC255" i="14609"/>
  <c r="BD255" i="14609"/>
  <c r="BE255" i="14609"/>
  <c r="BF255" i="14609"/>
  <c r="BG255" i="14609"/>
  <c r="BH255" i="14609"/>
  <c r="BI255" i="14609"/>
  <c r="BJ255" i="14609"/>
  <c r="BK255" i="14609"/>
  <c r="BL255" i="14609"/>
  <c r="BM255" i="14609"/>
  <c r="BN255" i="14609"/>
  <c r="BO255" i="14609"/>
  <c r="BP255" i="14609"/>
  <c r="BQ255" i="14609"/>
  <c r="BR255" i="14609"/>
  <c r="BS255" i="14609"/>
  <c r="BT255" i="14609"/>
  <c r="BU255" i="14609"/>
  <c r="BV255" i="14609"/>
  <c r="BW255" i="14609"/>
  <c r="BX255" i="14609"/>
  <c r="BY255" i="14609"/>
  <c r="BZ255" i="14609"/>
  <c r="CA255" i="14609"/>
  <c r="CB255" i="14609"/>
  <c r="CC255" i="14609"/>
  <c r="CD255" i="14609"/>
  <c r="CE255" i="14609"/>
  <c r="CF255" i="14609"/>
  <c r="CG255" i="14609"/>
  <c r="CH255" i="14609"/>
  <c r="CI255" i="14609"/>
  <c r="CJ255" i="14609"/>
  <c r="CK255" i="14609"/>
  <c r="CL255" i="14609"/>
  <c r="CM255" i="14609"/>
  <c r="CN255" i="14609"/>
  <c r="CO255" i="14609"/>
  <c r="CP255" i="14609"/>
  <c r="CQ255" i="14609"/>
  <c r="CR255" i="14609"/>
  <c r="CS255" i="14609"/>
  <c r="CT255" i="14609"/>
  <c r="CU255" i="14609"/>
  <c r="CV255" i="14609"/>
  <c r="CW255" i="14609"/>
  <c r="CX255" i="14609"/>
  <c r="CY255" i="14609"/>
  <c r="CZ255" i="14609"/>
  <c r="DA255" i="14609"/>
  <c r="DB255" i="14609"/>
  <c r="DC255" i="14609"/>
  <c r="DD255" i="14609"/>
  <c r="DE255" i="14609"/>
  <c r="DF255" i="14609"/>
  <c r="DG255" i="14609"/>
  <c r="DH255" i="14609"/>
  <c r="DI255" i="14609"/>
  <c r="DJ255" i="14609"/>
  <c r="DK255" i="14609"/>
  <c r="DL255" i="14609"/>
  <c r="DM255" i="14609"/>
  <c r="DN255" i="14609"/>
  <c r="DO255" i="14609"/>
  <c r="DP255" i="14609"/>
  <c r="DQ255" i="14609"/>
  <c r="DR255" i="14609"/>
  <c r="DS255" i="14609"/>
  <c r="DT255" i="14609"/>
  <c r="DU255" i="14609"/>
  <c r="DV255" i="14609"/>
  <c r="DW255" i="14609"/>
  <c r="DX255" i="14609"/>
  <c r="DY255" i="14609"/>
  <c r="DZ255" i="14609"/>
  <c r="EA255" i="14609"/>
  <c r="EB255" i="14609"/>
  <c r="EC255" i="14609"/>
  <c r="ED255" i="14609"/>
  <c r="EE255" i="14609"/>
  <c r="EF255" i="14609"/>
  <c r="EG255" i="14609"/>
  <c r="EH255" i="14609"/>
  <c r="EI255" i="14609"/>
  <c r="EJ255" i="14609"/>
  <c r="EK255" i="14609"/>
  <c r="EL255" i="14609"/>
  <c r="EM255" i="14609"/>
  <c r="EN255" i="14609"/>
  <c r="EO255" i="14609"/>
  <c r="EP255" i="14609"/>
  <c r="EQ255" i="14609"/>
  <c r="ER255" i="14609"/>
  <c r="ES255" i="14609"/>
  <c r="ET255" i="14609"/>
  <c r="EU255" i="14609"/>
  <c r="EV255" i="14609"/>
  <c r="EW255" i="14609"/>
  <c r="EX255" i="14609"/>
  <c r="EY255" i="14609"/>
  <c r="EZ255" i="14609"/>
  <c r="FA255" i="14609"/>
  <c r="FB255" i="14609"/>
  <c r="FC255" i="14609"/>
  <c r="FD255" i="14609"/>
  <c r="FE255" i="14609"/>
  <c r="FF255" i="14609"/>
  <c r="FG255" i="14609"/>
  <c r="FH255" i="14609"/>
  <c r="FI255" i="14609"/>
  <c r="FJ255" i="14609"/>
  <c r="FK255" i="14609"/>
  <c r="FL255" i="14609"/>
  <c r="FM255" i="14609"/>
  <c r="FN255" i="14609"/>
  <c r="FO255" i="14609"/>
  <c r="FP255" i="14609"/>
  <c r="FQ255" i="14609"/>
  <c r="FR255" i="14609"/>
  <c r="FS255" i="14609"/>
  <c r="FT255" i="14609"/>
  <c r="FU255" i="14609"/>
  <c r="FV255" i="14609"/>
  <c r="FW255" i="14609"/>
  <c r="FX255" i="14609"/>
  <c r="FY255" i="14609"/>
  <c r="FZ255" i="14609"/>
  <c r="GA255" i="14609"/>
  <c r="GB255" i="14609"/>
  <c r="GC255" i="14609"/>
  <c r="GD255" i="14609"/>
  <c r="GE255" i="14609"/>
  <c r="GF255" i="14609"/>
  <c r="GG255" i="14609"/>
  <c r="GH255" i="14609"/>
  <c r="GI255" i="14609"/>
  <c r="GJ255" i="14609"/>
  <c r="GK255" i="14609"/>
  <c r="GL255" i="14609"/>
  <c r="GM255" i="14609"/>
  <c r="GN255" i="14609"/>
  <c r="GO255" i="14609"/>
  <c r="GP255" i="14609"/>
  <c r="GQ255" i="14609"/>
  <c r="GR255" i="14609"/>
  <c r="GS255" i="14609"/>
  <c r="GT255" i="14609"/>
  <c r="GU255" i="14609"/>
  <c r="GV255" i="14609"/>
  <c r="GW255" i="14609"/>
  <c r="GX255" i="14609"/>
  <c r="GY255" i="14609"/>
  <c r="GZ255" i="14609"/>
  <c r="HA255" i="14609"/>
  <c r="HB255" i="14609"/>
  <c r="HC255" i="14609"/>
  <c r="HD255" i="14609"/>
  <c r="HE255" i="14609"/>
  <c r="HF255" i="14609"/>
  <c r="HG255" i="14609"/>
  <c r="HH255" i="14609"/>
  <c r="HI255" i="14609"/>
  <c r="HJ255" i="14609"/>
  <c r="HK255" i="14609"/>
  <c r="HL255" i="14609"/>
  <c r="HM255" i="14609"/>
  <c r="HN255" i="14609"/>
  <c r="HO255" i="14609"/>
  <c r="HP255" i="14609"/>
  <c r="HQ255" i="14609"/>
  <c r="HR255" i="14609"/>
  <c r="HS255" i="14609"/>
  <c r="HT255" i="14609"/>
  <c r="HU255" i="14609"/>
  <c r="HV255" i="14609"/>
  <c r="HW255" i="14609"/>
  <c r="HX255" i="14609"/>
  <c r="HY255" i="14609"/>
  <c r="HZ255" i="14609"/>
  <c r="IA255" i="14609"/>
  <c r="IB255" i="14609"/>
  <c r="IC255" i="14609"/>
  <c r="ID255" i="14609"/>
  <c r="IE255" i="14609"/>
  <c r="IF255" i="14609"/>
  <c r="IG255" i="14609"/>
  <c r="IH255" i="14609"/>
  <c r="II255" i="14609"/>
  <c r="IJ255" i="14609"/>
  <c r="IK255" i="14609"/>
  <c r="IL255" i="14609"/>
  <c r="IM255" i="14609"/>
  <c r="IN255" i="14609"/>
  <c r="IO255" i="14609"/>
  <c r="IP255" i="14609"/>
  <c r="IQ255" i="14609"/>
  <c r="IR255" i="14609"/>
  <c r="IS255" i="14609"/>
  <c r="IT255" i="14609"/>
  <c r="IU255" i="14609"/>
  <c r="IV255" i="14609"/>
  <c r="A254" i="14609"/>
  <c r="B254" i="14609"/>
  <c r="C254" i="14609"/>
  <c r="D254" i="14609"/>
  <c r="E254" i="14609"/>
  <c r="F254" i="14609"/>
  <c r="G254" i="14609"/>
  <c r="H254" i="14609"/>
  <c r="I254" i="14609"/>
  <c r="J254" i="14609"/>
  <c r="K254" i="14609"/>
  <c r="L254" i="14609"/>
  <c r="M254" i="14609"/>
  <c r="N254" i="14609"/>
  <c r="O254" i="14609"/>
  <c r="P254" i="14609"/>
  <c r="Q254" i="14609"/>
  <c r="R254" i="14609"/>
  <c r="S254" i="14609"/>
  <c r="T254" i="14609"/>
  <c r="U254" i="14609"/>
  <c r="V254" i="14609"/>
  <c r="W254" i="14609"/>
  <c r="X254" i="14609"/>
  <c r="Y254" i="14609"/>
  <c r="Z254" i="14609"/>
  <c r="AA254" i="14609"/>
  <c r="AB254" i="14609"/>
  <c r="AC254" i="14609"/>
  <c r="AD254" i="14609"/>
  <c r="AE254" i="14609"/>
  <c r="AF254" i="14609"/>
  <c r="AG254" i="14609"/>
  <c r="AH254" i="14609"/>
  <c r="AI254" i="14609"/>
  <c r="AJ254" i="14609"/>
  <c r="AK254" i="14609"/>
  <c r="AL254" i="14609"/>
  <c r="AM254" i="14609"/>
  <c r="AN254" i="14609"/>
  <c r="AO254" i="14609"/>
  <c r="AP254" i="14609"/>
  <c r="AQ254" i="14609"/>
  <c r="AR254" i="14609"/>
  <c r="AS254" i="14609"/>
  <c r="AT254" i="14609"/>
  <c r="AU254" i="14609"/>
  <c r="AV254" i="14609"/>
  <c r="AW254" i="14609"/>
  <c r="AX254" i="14609"/>
  <c r="AY254" i="14609"/>
  <c r="AZ254" i="14609"/>
  <c r="BA254" i="14609"/>
  <c r="BB254" i="14609"/>
  <c r="BC254" i="14609"/>
  <c r="BD254" i="14609"/>
  <c r="BE254" i="14609"/>
  <c r="BF254" i="14609"/>
  <c r="BG254" i="14609"/>
  <c r="BH254" i="14609"/>
  <c r="BI254" i="14609"/>
  <c r="BJ254" i="14609"/>
  <c r="BK254" i="14609"/>
  <c r="BL254" i="14609"/>
  <c r="BM254" i="14609"/>
  <c r="BN254" i="14609"/>
  <c r="BO254" i="14609"/>
  <c r="BP254" i="14609"/>
  <c r="BQ254" i="14609"/>
  <c r="BR254" i="14609"/>
  <c r="BS254" i="14609"/>
  <c r="BT254" i="14609"/>
  <c r="BU254" i="14609"/>
  <c r="BV254" i="14609"/>
  <c r="BW254" i="14609"/>
  <c r="BX254" i="14609"/>
  <c r="BY254" i="14609"/>
  <c r="BZ254" i="14609"/>
  <c r="CA254" i="14609"/>
  <c r="CB254" i="14609"/>
  <c r="CC254" i="14609"/>
  <c r="CD254" i="14609"/>
  <c r="CE254" i="14609"/>
  <c r="CF254" i="14609"/>
  <c r="CG254" i="14609"/>
  <c r="CH254" i="14609"/>
  <c r="CI254" i="14609"/>
  <c r="CJ254" i="14609"/>
  <c r="CK254" i="14609"/>
  <c r="CL254" i="14609"/>
  <c r="CM254" i="14609"/>
  <c r="CN254" i="14609"/>
  <c r="CO254" i="14609"/>
  <c r="CP254" i="14609"/>
  <c r="CQ254" i="14609"/>
  <c r="CR254" i="14609"/>
  <c r="CS254" i="14609"/>
  <c r="CT254" i="14609"/>
  <c r="CU254" i="14609"/>
  <c r="CV254" i="14609"/>
  <c r="CW254" i="14609"/>
  <c r="CX254" i="14609"/>
  <c r="CY254" i="14609"/>
  <c r="CZ254" i="14609"/>
  <c r="DA254" i="14609"/>
  <c r="DB254" i="14609"/>
  <c r="DC254" i="14609"/>
  <c r="DD254" i="14609"/>
  <c r="DE254" i="14609"/>
  <c r="DF254" i="14609"/>
  <c r="DG254" i="14609"/>
  <c r="DH254" i="14609"/>
  <c r="DI254" i="14609"/>
  <c r="DJ254" i="14609"/>
  <c r="DK254" i="14609"/>
  <c r="DL254" i="14609"/>
  <c r="DM254" i="14609"/>
  <c r="DN254" i="14609"/>
  <c r="DO254" i="14609"/>
  <c r="DP254" i="14609"/>
  <c r="DQ254" i="14609"/>
  <c r="DR254" i="14609"/>
  <c r="DS254" i="14609"/>
  <c r="DT254" i="14609"/>
  <c r="DU254" i="14609"/>
  <c r="DV254" i="14609"/>
  <c r="DW254" i="14609"/>
  <c r="DX254" i="14609"/>
  <c r="DY254" i="14609"/>
  <c r="DZ254" i="14609"/>
  <c r="EA254" i="14609"/>
  <c r="EB254" i="14609"/>
  <c r="EC254" i="14609"/>
  <c r="ED254" i="14609"/>
  <c r="EE254" i="14609"/>
  <c r="EF254" i="14609"/>
  <c r="EG254" i="14609"/>
  <c r="EH254" i="14609"/>
  <c r="EI254" i="14609"/>
  <c r="EJ254" i="14609"/>
  <c r="EK254" i="14609"/>
  <c r="EL254" i="14609"/>
  <c r="EM254" i="14609"/>
  <c r="EN254" i="14609"/>
  <c r="EO254" i="14609"/>
  <c r="EP254" i="14609"/>
  <c r="EQ254" i="14609"/>
  <c r="ER254" i="14609"/>
  <c r="ES254" i="14609"/>
  <c r="ET254" i="14609"/>
  <c r="EU254" i="14609"/>
  <c r="EV254" i="14609"/>
  <c r="EW254" i="14609"/>
  <c r="EX254" i="14609"/>
  <c r="EY254" i="14609"/>
  <c r="EZ254" i="14609"/>
  <c r="FA254" i="14609"/>
  <c r="FB254" i="14609"/>
  <c r="FC254" i="14609"/>
  <c r="FD254" i="14609"/>
  <c r="FE254" i="14609"/>
  <c r="FF254" i="14609"/>
  <c r="FG254" i="14609"/>
  <c r="FH254" i="14609"/>
  <c r="FI254" i="14609"/>
  <c r="FJ254" i="14609"/>
  <c r="FK254" i="14609"/>
  <c r="FL254" i="14609"/>
  <c r="FM254" i="14609"/>
  <c r="FN254" i="14609"/>
  <c r="FO254" i="14609"/>
  <c r="FP254" i="14609"/>
  <c r="FQ254" i="14609"/>
  <c r="FR254" i="14609"/>
  <c r="FS254" i="14609"/>
  <c r="FT254" i="14609"/>
  <c r="FU254" i="14609"/>
  <c r="FV254" i="14609"/>
  <c r="FW254" i="14609"/>
  <c r="FX254" i="14609"/>
  <c r="FY254" i="14609"/>
  <c r="FZ254" i="14609"/>
  <c r="GA254" i="14609"/>
  <c r="GB254" i="14609"/>
  <c r="GC254" i="14609"/>
  <c r="GD254" i="14609"/>
  <c r="GE254" i="14609"/>
  <c r="GF254" i="14609"/>
  <c r="GG254" i="14609"/>
  <c r="GH254" i="14609"/>
  <c r="GI254" i="14609"/>
  <c r="GJ254" i="14609"/>
  <c r="GK254" i="14609"/>
  <c r="GL254" i="14609"/>
  <c r="GM254" i="14609"/>
  <c r="GN254" i="14609"/>
  <c r="GO254" i="14609"/>
  <c r="GP254" i="14609"/>
  <c r="GQ254" i="14609"/>
  <c r="GR254" i="14609"/>
  <c r="GS254" i="14609"/>
  <c r="GT254" i="14609"/>
  <c r="GU254" i="14609"/>
  <c r="GV254" i="14609"/>
  <c r="GW254" i="14609"/>
  <c r="GX254" i="14609"/>
  <c r="GY254" i="14609"/>
  <c r="GZ254" i="14609"/>
  <c r="HA254" i="14609"/>
  <c r="HB254" i="14609"/>
  <c r="HC254" i="14609"/>
  <c r="HD254" i="14609"/>
  <c r="HE254" i="14609"/>
  <c r="HF254" i="14609"/>
  <c r="HG254" i="14609"/>
  <c r="HH254" i="14609"/>
  <c r="HI254" i="14609"/>
  <c r="HJ254" i="14609"/>
  <c r="HK254" i="14609"/>
  <c r="HL254" i="14609"/>
  <c r="HM254" i="14609"/>
  <c r="HN254" i="14609"/>
  <c r="HO254" i="14609"/>
  <c r="HP254" i="14609"/>
  <c r="HQ254" i="14609"/>
  <c r="HR254" i="14609"/>
  <c r="HS254" i="14609"/>
  <c r="HT254" i="14609"/>
  <c r="HU254" i="14609"/>
  <c r="HV254" i="14609"/>
  <c r="HW254" i="14609"/>
  <c r="HX254" i="14609"/>
  <c r="HY254" i="14609"/>
  <c r="HZ254" i="14609"/>
  <c r="IA254" i="14609"/>
  <c r="IB254" i="14609"/>
  <c r="IC254" i="14609"/>
  <c r="ID254" i="14609"/>
  <c r="IE254" i="14609"/>
  <c r="IF254" i="14609"/>
  <c r="IG254" i="14609"/>
  <c r="IH254" i="14609"/>
  <c r="II254" i="14609"/>
  <c r="IJ254" i="14609"/>
  <c r="IK254" i="14609"/>
  <c r="IL254" i="14609"/>
  <c r="IM254" i="14609"/>
  <c r="IN254" i="14609"/>
  <c r="IO254" i="14609"/>
  <c r="IP254" i="14609"/>
  <c r="IQ254" i="14609"/>
  <c r="IR254" i="14609"/>
  <c r="IS254" i="14609"/>
  <c r="IT254" i="14609"/>
  <c r="IU254" i="14609"/>
  <c r="IV254" i="14609"/>
  <c r="A253" i="14609"/>
  <c r="B253" i="14609"/>
  <c r="C253" i="14609"/>
  <c r="D253" i="14609"/>
  <c r="E253" i="14609"/>
  <c r="F253" i="14609"/>
  <c r="G253" i="14609"/>
  <c r="H253" i="14609"/>
  <c r="I253" i="14609"/>
  <c r="J253" i="14609"/>
  <c r="K253" i="14609"/>
  <c r="L253" i="14609"/>
  <c r="M253" i="14609"/>
  <c r="N253" i="14609"/>
  <c r="O253" i="14609"/>
  <c r="P253" i="14609"/>
  <c r="Q253" i="14609"/>
  <c r="R253" i="14609"/>
  <c r="S253" i="14609"/>
  <c r="T253" i="14609"/>
  <c r="U253" i="14609"/>
  <c r="V253" i="14609"/>
  <c r="W253" i="14609"/>
  <c r="X253" i="14609"/>
  <c r="Y253" i="14609"/>
  <c r="Z253" i="14609"/>
  <c r="AA253" i="14609"/>
  <c r="AB253" i="14609"/>
  <c r="AC253" i="14609"/>
  <c r="AD253" i="14609"/>
  <c r="AE253" i="14609"/>
  <c r="AF253" i="14609"/>
  <c r="AG253" i="14609"/>
  <c r="AH253" i="14609"/>
  <c r="AI253" i="14609"/>
  <c r="AJ253" i="14609"/>
  <c r="AK253" i="14609"/>
  <c r="AL253" i="14609"/>
  <c r="AM253" i="14609"/>
  <c r="AN253" i="14609"/>
  <c r="AO253" i="14609"/>
  <c r="AP253" i="14609"/>
  <c r="AQ253" i="14609"/>
  <c r="AR253" i="14609"/>
  <c r="AS253" i="14609"/>
  <c r="AT253" i="14609"/>
  <c r="AU253" i="14609"/>
  <c r="AV253" i="14609"/>
  <c r="AW253" i="14609"/>
  <c r="AX253" i="14609"/>
  <c r="AY253" i="14609"/>
  <c r="AZ253" i="14609"/>
  <c r="BA253" i="14609"/>
  <c r="BB253" i="14609"/>
  <c r="BC253" i="14609"/>
  <c r="BD253" i="14609"/>
  <c r="BE253" i="14609"/>
  <c r="BF253" i="14609"/>
  <c r="BG253" i="14609"/>
  <c r="BH253" i="14609"/>
  <c r="BI253" i="14609"/>
  <c r="BJ253" i="14609"/>
  <c r="BK253" i="14609"/>
  <c r="BL253" i="14609"/>
  <c r="BM253" i="14609"/>
  <c r="BN253" i="14609"/>
  <c r="BO253" i="14609"/>
  <c r="BP253" i="14609"/>
  <c r="BQ253" i="14609"/>
  <c r="BR253" i="14609"/>
  <c r="BS253" i="14609"/>
  <c r="BT253" i="14609"/>
  <c r="BU253" i="14609"/>
  <c r="BV253" i="14609"/>
  <c r="BW253" i="14609"/>
  <c r="BX253" i="14609"/>
  <c r="BY253" i="14609"/>
  <c r="BZ253" i="14609"/>
  <c r="CA253" i="14609"/>
  <c r="CB253" i="14609"/>
  <c r="CC253" i="14609"/>
  <c r="CD253" i="14609"/>
  <c r="CE253" i="14609"/>
  <c r="CF253" i="14609"/>
  <c r="CG253" i="14609"/>
  <c r="CH253" i="14609"/>
  <c r="CI253" i="14609"/>
  <c r="CJ253" i="14609"/>
  <c r="CK253" i="14609"/>
  <c r="CL253" i="14609"/>
  <c r="CM253" i="14609"/>
  <c r="CN253" i="14609"/>
  <c r="CO253" i="14609"/>
  <c r="CP253" i="14609"/>
  <c r="CQ253" i="14609"/>
  <c r="CR253" i="14609"/>
  <c r="CS253" i="14609"/>
  <c r="CT253" i="14609"/>
  <c r="CU253" i="14609"/>
  <c r="CV253" i="14609"/>
  <c r="CW253" i="14609"/>
  <c r="CX253" i="14609"/>
  <c r="CY253" i="14609"/>
  <c r="CZ253" i="14609"/>
  <c r="DA253" i="14609"/>
  <c r="DB253" i="14609"/>
  <c r="DC253" i="14609"/>
  <c r="DD253" i="14609"/>
  <c r="DE253" i="14609"/>
  <c r="DF253" i="14609"/>
  <c r="DG253" i="14609"/>
  <c r="DH253" i="14609"/>
  <c r="DI253" i="14609"/>
  <c r="DJ253" i="14609"/>
  <c r="DK253" i="14609"/>
  <c r="DL253" i="14609"/>
  <c r="DM253" i="14609"/>
  <c r="DN253" i="14609"/>
  <c r="DO253" i="14609"/>
  <c r="DP253" i="14609"/>
  <c r="DQ253" i="14609"/>
  <c r="DR253" i="14609"/>
  <c r="DS253" i="14609"/>
  <c r="DT253" i="14609"/>
  <c r="DU253" i="14609"/>
  <c r="DV253" i="14609"/>
  <c r="DW253" i="14609"/>
  <c r="DX253" i="14609"/>
  <c r="DY253" i="14609"/>
  <c r="DZ253" i="14609"/>
  <c r="EA253" i="14609"/>
  <c r="EB253" i="14609"/>
  <c r="EC253" i="14609"/>
  <c r="ED253" i="14609"/>
  <c r="EE253" i="14609"/>
  <c r="EF253" i="14609"/>
  <c r="EG253" i="14609"/>
  <c r="EH253" i="14609"/>
  <c r="EI253" i="14609"/>
  <c r="EJ253" i="14609"/>
  <c r="EK253" i="14609"/>
  <c r="EL253" i="14609"/>
  <c r="EM253" i="14609"/>
  <c r="EN253" i="14609"/>
  <c r="EO253" i="14609"/>
  <c r="EP253" i="14609"/>
  <c r="EQ253" i="14609"/>
  <c r="ER253" i="14609"/>
  <c r="ES253" i="14609"/>
  <c r="ET253" i="14609"/>
  <c r="EU253" i="14609"/>
  <c r="EV253" i="14609"/>
  <c r="EW253" i="14609"/>
  <c r="EX253" i="14609"/>
  <c r="EY253" i="14609"/>
  <c r="EZ253" i="14609"/>
  <c r="FA253" i="14609"/>
  <c r="FB253" i="14609"/>
  <c r="FC253" i="14609"/>
  <c r="FD253" i="14609"/>
  <c r="FE253" i="14609"/>
  <c r="FF253" i="14609"/>
  <c r="FG253" i="14609"/>
  <c r="FH253" i="14609"/>
  <c r="FI253" i="14609"/>
  <c r="FJ253" i="14609"/>
  <c r="FK253" i="14609"/>
  <c r="FL253" i="14609"/>
  <c r="FM253" i="14609"/>
  <c r="FN253" i="14609"/>
  <c r="FO253" i="14609"/>
  <c r="FP253" i="14609"/>
  <c r="FQ253" i="14609"/>
  <c r="FR253" i="14609"/>
  <c r="FS253" i="14609"/>
  <c r="FT253" i="14609"/>
  <c r="FU253" i="14609"/>
  <c r="FV253" i="14609"/>
  <c r="FW253" i="14609"/>
  <c r="FX253" i="14609"/>
  <c r="FY253" i="14609"/>
  <c r="FZ253" i="14609"/>
  <c r="GA253" i="14609"/>
  <c r="GB253" i="14609"/>
  <c r="GC253" i="14609"/>
  <c r="GD253" i="14609"/>
  <c r="GE253" i="14609"/>
  <c r="GF253" i="14609"/>
  <c r="GG253" i="14609"/>
  <c r="GH253" i="14609"/>
  <c r="GI253" i="14609"/>
  <c r="GJ253" i="14609"/>
  <c r="GK253" i="14609"/>
  <c r="GL253" i="14609"/>
  <c r="GM253" i="14609"/>
  <c r="GN253" i="14609"/>
  <c r="GO253" i="14609"/>
  <c r="GP253" i="14609"/>
  <c r="GQ253" i="14609"/>
  <c r="GR253" i="14609"/>
  <c r="GS253" i="14609"/>
  <c r="GT253" i="14609"/>
  <c r="GU253" i="14609"/>
  <c r="GV253" i="14609"/>
  <c r="GW253" i="14609"/>
  <c r="GX253" i="14609"/>
  <c r="GY253" i="14609"/>
  <c r="GZ253" i="14609"/>
  <c r="HA253" i="14609"/>
  <c r="HB253" i="14609"/>
  <c r="HC253" i="14609"/>
  <c r="HD253" i="14609"/>
  <c r="HE253" i="14609"/>
  <c r="HF253" i="14609"/>
  <c r="HG253" i="14609"/>
  <c r="HH253" i="14609"/>
  <c r="HI253" i="14609"/>
  <c r="HJ253" i="14609"/>
  <c r="HK253" i="14609"/>
  <c r="HL253" i="14609"/>
  <c r="HM253" i="14609"/>
  <c r="HN253" i="14609"/>
  <c r="HO253" i="14609"/>
  <c r="HP253" i="14609"/>
  <c r="HQ253" i="14609"/>
  <c r="HR253" i="14609"/>
  <c r="HS253" i="14609"/>
  <c r="HT253" i="14609"/>
  <c r="HU253" i="14609"/>
  <c r="HV253" i="14609"/>
  <c r="HW253" i="14609"/>
  <c r="HX253" i="14609"/>
  <c r="HY253" i="14609"/>
  <c r="HZ253" i="14609"/>
  <c r="IA253" i="14609"/>
  <c r="IB253" i="14609"/>
  <c r="IC253" i="14609"/>
  <c r="ID253" i="14609"/>
  <c r="IE253" i="14609"/>
  <c r="IF253" i="14609"/>
  <c r="IG253" i="14609"/>
  <c r="IH253" i="14609"/>
  <c r="II253" i="14609"/>
  <c r="IJ253" i="14609"/>
  <c r="IK253" i="14609"/>
  <c r="IL253" i="14609"/>
  <c r="IM253" i="14609"/>
  <c r="IN253" i="14609"/>
  <c r="IO253" i="14609"/>
  <c r="IP253" i="14609"/>
  <c r="IQ253" i="14609"/>
  <c r="IR253" i="14609"/>
  <c r="IS253" i="14609"/>
  <c r="IT253" i="14609"/>
  <c r="IU253" i="14609"/>
  <c r="IV253" i="14609"/>
  <c r="A252" i="14609"/>
  <c r="B252" i="14609"/>
  <c r="C252" i="14609"/>
  <c r="D252" i="14609"/>
  <c r="E252" i="14609"/>
  <c r="F252" i="14609"/>
  <c r="G252" i="14609"/>
  <c r="H252" i="14609"/>
  <c r="I252" i="14609"/>
  <c r="J252" i="14609"/>
  <c r="K252" i="14609"/>
  <c r="L252" i="14609"/>
  <c r="M252" i="14609"/>
  <c r="N252" i="14609"/>
  <c r="O252" i="14609"/>
  <c r="P252" i="14609"/>
  <c r="Q252" i="14609"/>
  <c r="R252" i="14609"/>
  <c r="S252" i="14609"/>
  <c r="T252" i="14609"/>
  <c r="U252" i="14609"/>
  <c r="V252" i="14609"/>
  <c r="W252" i="14609"/>
  <c r="X252" i="14609"/>
  <c r="Y252" i="14609"/>
  <c r="Z252" i="14609"/>
  <c r="AA252" i="14609"/>
  <c r="AB252" i="14609"/>
  <c r="AC252" i="14609"/>
  <c r="AD252" i="14609"/>
  <c r="AE252" i="14609"/>
  <c r="AF252" i="14609"/>
  <c r="AG252" i="14609"/>
  <c r="AH252" i="14609"/>
  <c r="AI252" i="14609"/>
  <c r="AJ252" i="14609"/>
  <c r="AK252" i="14609"/>
  <c r="AL252" i="14609"/>
  <c r="AM252" i="14609"/>
  <c r="AN252" i="14609"/>
  <c r="AO252" i="14609"/>
  <c r="AP252" i="14609"/>
  <c r="AQ252" i="14609"/>
  <c r="AR252" i="14609"/>
  <c r="AS252" i="14609"/>
  <c r="AT252" i="14609"/>
  <c r="AU252" i="14609"/>
  <c r="AV252" i="14609"/>
  <c r="AW252" i="14609"/>
  <c r="AX252" i="14609"/>
  <c r="AY252" i="14609"/>
  <c r="AZ252" i="14609"/>
  <c r="BA252" i="14609"/>
  <c r="BB252" i="14609"/>
  <c r="BC252" i="14609"/>
  <c r="BD252" i="14609"/>
  <c r="BE252" i="14609"/>
  <c r="BF252" i="14609"/>
  <c r="BG252" i="14609"/>
  <c r="BH252" i="14609"/>
  <c r="BI252" i="14609"/>
  <c r="BJ252" i="14609"/>
  <c r="BK252" i="14609"/>
  <c r="BL252" i="14609"/>
  <c r="BM252" i="14609"/>
  <c r="BN252" i="14609"/>
  <c r="BO252" i="14609"/>
  <c r="BP252" i="14609"/>
  <c r="BQ252" i="14609"/>
  <c r="BR252" i="14609"/>
  <c r="BS252" i="14609"/>
  <c r="BT252" i="14609"/>
  <c r="BU252" i="14609"/>
  <c r="BV252" i="14609"/>
  <c r="BW252" i="14609"/>
  <c r="BX252" i="14609"/>
  <c r="BY252" i="14609"/>
  <c r="BZ252" i="14609"/>
  <c r="CA252" i="14609"/>
  <c r="CB252" i="14609"/>
  <c r="CC252" i="14609"/>
  <c r="CD252" i="14609"/>
  <c r="CE252" i="14609"/>
  <c r="CF252" i="14609"/>
  <c r="CG252" i="14609"/>
  <c r="CH252" i="14609"/>
  <c r="CI252" i="14609"/>
  <c r="CJ252" i="14609"/>
  <c r="CK252" i="14609"/>
  <c r="CL252" i="14609"/>
  <c r="CM252" i="14609"/>
  <c r="CN252" i="14609"/>
  <c r="CO252" i="14609"/>
  <c r="CP252" i="14609"/>
  <c r="CQ252" i="14609"/>
  <c r="CR252" i="14609"/>
  <c r="CS252" i="14609"/>
  <c r="CT252" i="14609"/>
  <c r="CU252" i="14609"/>
  <c r="CV252" i="14609"/>
  <c r="CW252" i="14609"/>
  <c r="CX252" i="14609"/>
  <c r="CY252" i="14609"/>
  <c r="CZ252" i="14609"/>
  <c r="DA252" i="14609"/>
  <c r="DB252" i="14609"/>
  <c r="DC252" i="14609"/>
  <c r="DD252" i="14609"/>
  <c r="DE252" i="14609"/>
  <c r="DF252" i="14609"/>
  <c r="DG252" i="14609"/>
  <c r="DH252" i="14609"/>
  <c r="DI252" i="14609"/>
  <c r="DJ252" i="14609"/>
  <c r="DK252" i="14609"/>
  <c r="DL252" i="14609"/>
  <c r="DM252" i="14609"/>
  <c r="DN252" i="14609"/>
  <c r="DO252" i="14609"/>
  <c r="DP252" i="14609"/>
  <c r="DQ252" i="14609"/>
  <c r="DR252" i="14609"/>
  <c r="DS252" i="14609"/>
  <c r="DT252" i="14609"/>
  <c r="DU252" i="14609"/>
  <c r="DV252" i="14609"/>
  <c r="DW252" i="14609"/>
  <c r="DX252" i="14609"/>
  <c r="DY252" i="14609"/>
  <c r="DZ252" i="14609"/>
  <c r="EA252" i="14609"/>
  <c r="EB252" i="14609"/>
  <c r="EC252" i="14609"/>
  <c r="ED252" i="14609"/>
  <c r="EE252" i="14609"/>
  <c r="EF252" i="14609"/>
  <c r="EG252" i="14609"/>
  <c r="EH252" i="14609"/>
  <c r="EI252" i="14609"/>
  <c r="EJ252" i="14609"/>
  <c r="EK252" i="14609"/>
  <c r="EL252" i="14609"/>
  <c r="EM252" i="14609"/>
  <c r="EN252" i="14609"/>
  <c r="EO252" i="14609"/>
  <c r="EP252" i="14609"/>
  <c r="EQ252" i="14609"/>
  <c r="ER252" i="14609"/>
  <c r="ES252" i="14609"/>
  <c r="ET252" i="14609"/>
  <c r="EU252" i="14609"/>
  <c r="EV252" i="14609"/>
  <c r="EW252" i="14609"/>
  <c r="EX252" i="14609"/>
  <c r="EY252" i="14609"/>
  <c r="EZ252" i="14609"/>
  <c r="FA252" i="14609"/>
  <c r="FB252" i="14609"/>
  <c r="FC252" i="14609"/>
  <c r="FD252" i="14609"/>
  <c r="FE252" i="14609"/>
  <c r="FF252" i="14609"/>
  <c r="FG252" i="14609"/>
  <c r="FH252" i="14609"/>
  <c r="FI252" i="14609"/>
  <c r="FJ252" i="14609"/>
  <c r="FK252" i="14609"/>
  <c r="FL252" i="14609"/>
  <c r="FM252" i="14609"/>
  <c r="FN252" i="14609"/>
  <c r="FO252" i="14609"/>
  <c r="FP252" i="14609"/>
  <c r="FQ252" i="14609"/>
  <c r="FR252" i="14609"/>
  <c r="FS252" i="14609"/>
  <c r="FT252" i="14609"/>
  <c r="FU252" i="14609"/>
  <c r="FV252" i="14609"/>
  <c r="FW252" i="14609"/>
  <c r="FX252" i="14609"/>
  <c r="FY252" i="14609"/>
  <c r="FZ252" i="14609"/>
  <c r="GA252" i="14609"/>
  <c r="GB252" i="14609"/>
  <c r="GC252" i="14609"/>
  <c r="GD252" i="14609"/>
  <c r="GE252" i="14609"/>
  <c r="GF252" i="14609"/>
  <c r="GG252" i="14609"/>
  <c r="GH252" i="14609"/>
  <c r="GI252" i="14609"/>
  <c r="GJ252" i="14609"/>
  <c r="GK252" i="14609"/>
  <c r="GL252" i="14609"/>
  <c r="GM252" i="14609"/>
  <c r="GN252" i="14609"/>
  <c r="GO252" i="14609"/>
  <c r="GP252" i="14609"/>
  <c r="GQ252" i="14609"/>
  <c r="GR252" i="14609"/>
  <c r="GS252" i="14609"/>
  <c r="GT252" i="14609"/>
  <c r="GU252" i="14609"/>
  <c r="GV252" i="14609"/>
  <c r="GW252" i="14609"/>
  <c r="GX252" i="14609"/>
  <c r="GY252" i="14609"/>
  <c r="GZ252" i="14609"/>
  <c r="HA252" i="14609"/>
  <c r="HB252" i="14609"/>
  <c r="HC252" i="14609"/>
  <c r="HD252" i="14609"/>
  <c r="HE252" i="14609"/>
  <c r="HF252" i="14609"/>
  <c r="HG252" i="14609"/>
  <c r="HH252" i="14609"/>
  <c r="HI252" i="14609"/>
  <c r="HJ252" i="14609"/>
  <c r="HK252" i="14609"/>
  <c r="HL252" i="14609"/>
  <c r="HM252" i="14609"/>
  <c r="HN252" i="14609"/>
  <c r="HO252" i="14609"/>
  <c r="HP252" i="14609"/>
  <c r="HQ252" i="14609"/>
  <c r="HR252" i="14609"/>
  <c r="HS252" i="14609"/>
  <c r="HT252" i="14609"/>
  <c r="HU252" i="14609"/>
  <c r="HV252" i="14609"/>
  <c r="HW252" i="14609"/>
  <c r="HX252" i="14609"/>
  <c r="HY252" i="14609"/>
  <c r="HZ252" i="14609"/>
  <c r="IA252" i="14609"/>
  <c r="IB252" i="14609"/>
  <c r="IC252" i="14609"/>
  <c r="ID252" i="14609"/>
  <c r="IE252" i="14609"/>
  <c r="IF252" i="14609"/>
  <c r="IG252" i="14609"/>
  <c r="IH252" i="14609"/>
  <c r="II252" i="14609"/>
  <c r="IJ252" i="14609"/>
  <c r="IK252" i="14609"/>
  <c r="IL252" i="14609"/>
  <c r="IM252" i="14609"/>
  <c r="IN252" i="14609"/>
  <c r="IO252" i="14609"/>
  <c r="IP252" i="14609"/>
  <c r="IQ252" i="14609"/>
  <c r="IR252" i="14609"/>
  <c r="IS252" i="14609"/>
  <c r="IT252" i="14609"/>
  <c r="IU252" i="14609"/>
  <c r="IV252" i="14609"/>
  <c r="A251" i="14609"/>
  <c r="B251" i="14609"/>
  <c r="C251" i="14609"/>
  <c r="D251" i="14609"/>
  <c r="E251" i="14609"/>
  <c r="F251" i="14609"/>
  <c r="G251" i="14609"/>
  <c r="H251" i="14609"/>
  <c r="I251" i="14609"/>
  <c r="J251" i="14609"/>
  <c r="K251" i="14609"/>
  <c r="L251" i="14609"/>
  <c r="M251" i="14609"/>
  <c r="N251" i="14609"/>
  <c r="O251" i="14609"/>
  <c r="P251" i="14609"/>
  <c r="Q251" i="14609"/>
  <c r="R251" i="14609"/>
  <c r="S251" i="14609"/>
  <c r="T251" i="14609"/>
  <c r="U251" i="14609"/>
  <c r="V251" i="14609"/>
  <c r="W251" i="14609"/>
  <c r="X251" i="14609"/>
  <c r="Y251" i="14609"/>
  <c r="Z251" i="14609"/>
  <c r="AA251" i="14609"/>
  <c r="AB251" i="14609"/>
  <c r="AC251" i="14609"/>
  <c r="AD251" i="14609"/>
  <c r="AE251" i="14609"/>
  <c r="AF251" i="14609"/>
  <c r="AG251" i="14609"/>
  <c r="AH251" i="14609"/>
  <c r="AI251" i="14609"/>
  <c r="AJ251" i="14609"/>
  <c r="AK251" i="14609"/>
  <c r="AL251" i="14609"/>
  <c r="AM251" i="14609"/>
  <c r="AN251" i="14609"/>
  <c r="AO251" i="14609"/>
  <c r="AP251" i="14609"/>
  <c r="AQ251" i="14609"/>
  <c r="AR251" i="14609"/>
  <c r="AS251" i="14609"/>
  <c r="AT251" i="14609"/>
  <c r="AU251" i="14609"/>
  <c r="AV251" i="14609"/>
  <c r="AW251" i="14609"/>
  <c r="AX251" i="14609"/>
  <c r="AY251" i="14609"/>
  <c r="AZ251" i="14609"/>
  <c r="BA251" i="14609"/>
  <c r="BB251" i="14609"/>
  <c r="BC251" i="14609"/>
  <c r="BD251" i="14609"/>
  <c r="BE251" i="14609"/>
  <c r="BF251" i="14609"/>
  <c r="BG251" i="14609"/>
  <c r="BH251" i="14609"/>
  <c r="BI251" i="14609"/>
  <c r="BJ251" i="14609"/>
  <c r="BK251" i="14609"/>
  <c r="BL251" i="14609"/>
  <c r="BM251" i="14609"/>
  <c r="BN251" i="14609"/>
  <c r="BO251" i="14609"/>
  <c r="BP251" i="14609"/>
  <c r="BQ251" i="14609"/>
  <c r="BR251" i="14609"/>
  <c r="BS251" i="14609"/>
  <c r="BT251" i="14609"/>
  <c r="BU251" i="14609"/>
  <c r="BV251" i="14609"/>
  <c r="BW251" i="14609"/>
  <c r="BX251" i="14609"/>
  <c r="BY251" i="14609"/>
  <c r="BZ251" i="14609"/>
  <c r="CA251" i="14609"/>
  <c r="CB251" i="14609"/>
  <c r="CC251" i="14609"/>
  <c r="CD251" i="14609"/>
  <c r="CE251" i="14609"/>
  <c r="CF251" i="14609"/>
  <c r="CG251" i="14609"/>
  <c r="CH251" i="14609"/>
  <c r="CI251" i="14609"/>
  <c r="CJ251" i="14609"/>
  <c r="CK251" i="14609"/>
  <c r="CL251" i="14609"/>
  <c r="CM251" i="14609"/>
  <c r="CN251" i="14609"/>
  <c r="CO251" i="14609"/>
  <c r="CP251" i="14609"/>
  <c r="CQ251" i="14609"/>
  <c r="CR251" i="14609"/>
  <c r="CS251" i="14609"/>
  <c r="CT251" i="14609"/>
  <c r="CU251" i="14609"/>
  <c r="CV251" i="14609"/>
  <c r="CW251" i="14609"/>
  <c r="CX251" i="14609"/>
  <c r="CY251" i="14609"/>
  <c r="CZ251" i="14609"/>
  <c r="DA251" i="14609"/>
  <c r="DB251" i="14609"/>
  <c r="DC251" i="14609"/>
  <c r="DD251" i="14609"/>
  <c r="DE251" i="14609"/>
  <c r="DF251" i="14609"/>
  <c r="DG251" i="14609"/>
  <c r="DH251" i="14609"/>
  <c r="DI251" i="14609"/>
  <c r="DJ251" i="14609"/>
  <c r="DK251" i="14609"/>
  <c r="DL251" i="14609"/>
  <c r="DM251" i="14609"/>
  <c r="DN251" i="14609"/>
  <c r="DO251" i="14609"/>
  <c r="DP251" i="14609"/>
  <c r="DQ251" i="14609"/>
  <c r="DR251" i="14609"/>
  <c r="DS251" i="14609"/>
  <c r="DT251" i="14609"/>
  <c r="DU251" i="14609"/>
  <c r="DV251" i="14609"/>
  <c r="DW251" i="14609"/>
  <c r="DX251" i="14609"/>
  <c r="DY251" i="14609"/>
  <c r="DZ251" i="14609"/>
  <c r="EA251" i="14609"/>
  <c r="EB251" i="14609"/>
  <c r="EC251" i="14609"/>
  <c r="ED251" i="14609"/>
  <c r="EE251" i="14609"/>
  <c r="EF251" i="14609"/>
  <c r="EG251" i="14609"/>
  <c r="EH251" i="14609"/>
  <c r="EI251" i="14609"/>
  <c r="EJ251" i="14609"/>
  <c r="EK251" i="14609"/>
  <c r="EL251" i="14609"/>
  <c r="EM251" i="14609"/>
  <c r="EN251" i="14609"/>
  <c r="EO251" i="14609"/>
  <c r="EP251" i="14609"/>
  <c r="EQ251" i="14609"/>
  <c r="ER251" i="14609"/>
  <c r="ES251" i="14609"/>
  <c r="ET251" i="14609"/>
  <c r="EU251" i="14609"/>
  <c r="EV251" i="14609"/>
  <c r="EW251" i="14609"/>
  <c r="EX251" i="14609"/>
  <c r="EY251" i="14609"/>
  <c r="EZ251" i="14609"/>
  <c r="FA251" i="14609"/>
  <c r="FB251" i="14609"/>
  <c r="FC251" i="14609"/>
  <c r="FD251" i="14609"/>
  <c r="FE251" i="14609"/>
  <c r="FF251" i="14609"/>
  <c r="FG251" i="14609"/>
  <c r="FH251" i="14609"/>
  <c r="FI251" i="14609"/>
  <c r="FJ251" i="14609"/>
  <c r="FK251" i="14609"/>
  <c r="FL251" i="14609"/>
  <c r="FM251" i="14609"/>
  <c r="FN251" i="14609"/>
  <c r="FO251" i="14609"/>
  <c r="FP251" i="14609"/>
  <c r="FQ251" i="14609"/>
  <c r="FR251" i="14609"/>
  <c r="FS251" i="14609"/>
  <c r="FT251" i="14609"/>
  <c r="FU251" i="14609"/>
  <c r="FV251" i="14609"/>
  <c r="FW251" i="14609"/>
  <c r="FX251" i="14609"/>
  <c r="FY251" i="14609"/>
  <c r="FZ251" i="14609"/>
  <c r="GA251" i="14609"/>
  <c r="GB251" i="14609"/>
  <c r="GC251" i="14609"/>
  <c r="GD251" i="14609"/>
  <c r="GE251" i="14609"/>
  <c r="GF251" i="14609"/>
  <c r="GG251" i="14609"/>
  <c r="GH251" i="14609"/>
  <c r="GI251" i="14609"/>
  <c r="GJ251" i="14609"/>
  <c r="GK251" i="14609"/>
  <c r="GL251" i="14609"/>
  <c r="GM251" i="14609"/>
  <c r="GN251" i="14609"/>
  <c r="GO251" i="14609"/>
  <c r="GP251" i="14609"/>
  <c r="GQ251" i="14609"/>
  <c r="GR251" i="14609"/>
  <c r="GS251" i="14609"/>
  <c r="GT251" i="14609"/>
  <c r="GU251" i="14609"/>
  <c r="GV251" i="14609"/>
  <c r="GW251" i="14609"/>
  <c r="GX251" i="14609"/>
  <c r="GY251" i="14609"/>
  <c r="GZ251" i="14609"/>
  <c r="HA251" i="14609"/>
  <c r="HB251" i="14609"/>
  <c r="HC251" i="14609"/>
  <c r="HD251" i="14609"/>
  <c r="HE251" i="14609"/>
  <c r="HF251" i="14609"/>
  <c r="HG251" i="14609"/>
  <c r="HH251" i="14609"/>
  <c r="HI251" i="14609"/>
  <c r="HJ251" i="14609"/>
  <c r="HK251" i="14609"/>
  <c r="HL251" i="14609"/>
  <c r="HM251" i="14609"/>
  <c r="HN251" i="14609"/>
  <c r="HO251" i="14609"/>
  <c r="HP251" i="14609"/>
  <c r="HQ251" i="14609"/>
  <c r="HR251" i="14609"/>
  <c r="HS251" i="14609"/>
  <c r="HT251" i="14609"/>
  <c r="HU251" i="14609"/>
  <c r="HV251" i="14609"/>
  <c r="HW251" i="14609"/>
  <c r="HX251" i="14609"/>
  <c r="HY251" i="14609"/>
  <c r="HZ251" i="14609"/>
  <c r="IA251" i="14609"/>
  <c r="IB251" i="14609"/>
  <c r="IC251" i="14609"/>
  <c r="ID251" i="14609"/>
  <c r="IE251" i="14609"/>
  <c r="IF251" i="14609"/>
  <c r="IG251" i="14609"/>
  <c r="IH251" i="14609"/>
  <c r="II251" i="14609"/>
  <c r="IJ251" i="14609"/>
  <c r="IK251" i="14609"/>
  <c r="IL251" i="14609"/>
  <c r="IM251" i="14609"/>
  <c r="IN251" i="14609"/>
  <c r="IO251" i="14609"/>
  <c r="IP251" i="14609"/>
  <c r="IQ251" i="14609"/>
  <c r="IR251" i="14609"/>
  <c r="IS251" i="14609"/>
  <c r="IT251" i="14609"/>
  <c r="IU251" i="14609"/>
  <c r="IV251" i="14609"/>
  <c r="A250" i="14609"/>
  <c r="B250" i="14609"/>
  <c r="C250" i="14609"/>
  <c r="D250" i="14609"/>
  <c r="E250" i="14609"/>
  <c r="F250" i="14609"/>
  <c r="G250" i="14609"/>
  <c r="H250" i="14609"/>
  <c r="I250" i="14609"/>
  <c r="J250" i="14609"/>
  <c r="K250" i="14609"/>
  <c r="L250" i="14609"/>
  <c r="M250" i="14609"/>
  <c r="N250" i="14609"/>
  <c r="O250" i="14609"/>
  <c r="P250" i="14609"/>
  <c r="Q250" i="14609"/>
  <c r="R250" i="14609"/>
  <c r="S250" i="14609"/>
  <c r="T250" i="14609"/>
  <c r="U250" i="14609"/>
  <c r="V250" i="14609"/>
  <c r="W250" i="14609"/>
  <c r="X250" i="14609"/>
  <c r="Y250" i="14609"/>
  <c r="Z250" i="14609"/>
  <c r="AA250" i="14609"/>
  <c r="AB250" i="14609"/>
  <c r="AC250" i="14609"/>
  <c r="AD250" i="14609"/>
  <c r="AE250" i="14609"/>
  <c r="AF250" i="14609"/>
  <c r="AG250" i="14609"/>
  <c r="AH250" i="14609"/>
  <c r="AI250" i="14609"/>
  <c r="AJ250" i="14609"/>
  <c r="AK250" i="14609"/>
  <c r="AL250" i="14609"/>
  <c r="AM250" i="14609"/>
  <c r="AN250" i="14609"/>
  <c r="AO250" i="14609"/>
  <c r="AP250" i="14609"/>
  <c r="AQ250" i="14609"/>
  <c r="AR250" i="14609"/>
  <c r="AS250" i="14609"/>
  <c r="AT250" i="14609"/>
  <c r="AU250" i="14609"/>
  <c r="AV250" i="14609"/>
  <c r="AW250" i="14609"/>
  <c r="AX250" i="14609"/>
  <c r="AY250" i="14609"/>
  <c r="AZ250" i="14609"/>
  <c r="BA250" i="14609"/>
  <c r="BB250" i="14609"/>
  <c r="BC250" i="14609"/>
  <c r="BD250" i="14609"/>
  <c r="BE250" i="14609"/>
  <c r="BF250" i="14609"/>
  <c r="BG250" i="14609"/>
  <c r="BH250" i="14609"/>
  <c r="BI250" i="14609"/>
  <c r="BJ250" i="14609"/>
  <c r="BK250" i="14609"/>
  <c r="BL250" i="14609"/>
  <c r="BM250" i="14609"/>
  <c r="BN250" i="14609"/>
  <c r="BO250" i="14609"/>
  <c r="BP250" i="14609"/>
  <c r="BQ250" i="14609"/>
  <c r="BR250" i="14609"/>
  <c r="BS250" i="14609"/>
  <c r="BT250" i="14609"/>
  <c r="BU250" i="14609"/>
  <c r="BV250" i="14609"/>
  <c r="BW250" i="14609"/>
  <c r="BX250" i="14609"/>
  <c r="BY250" i="14609"/>
  <c r="BZ250" i="14609"/>
  <c r="CA250" i="14609"/>
  <c r="CB250" i="14609"/>
  <c r="CC250" i="14609"/>
  <c r="CD250" i="14609"/>
  <c r="CE250" i="14609"/>
  <c r="CF250" i="14609"/>
  <c r="CG250" i="14609"/>
  <c r="CH250" i="14609"/>
  <c r="CI250" i="14609"/>
  <c r="CJ250" i="14609"/>
  <c r="CK250" i="14609"/>
  <c r="CL250" i="14609"/>
  <c r="CM250" i="14609"/>
  <c r="CN250" i="14609"/>
  <c r="CO250" i="14609"/>
  <c r="CP250" i="14609"/>
  <c r="CQ250" i="14609"/>
  <c r="CR250" i="14609"/>
  <c r="CS250" i="14609"/>
  <c r="CT250" i="14609"/>
  <c r="CU250" i="14609"/>
  <c r="CV250" i="14609"/>
  <c r="CW250" i="14609"/>
  <c r="CX250" i="14609"/>
  <c r="CY250" i="14609"/>
  <c r="CZ250" i="14609"/>
  <c r="DA250" i="14609"/>
  <c r="DB250" i="14609"/>
  <c r="DC250" i="14609"/>
  <c r="DD250" i="14609"/>
  <c r="DE250" i="14609"/>
  <c r="DF250" i="14609"/>
  <c r="DG250" i="14609"/>
  <c r="DH250" i="14609"/>
  <c r="DI250" i="14609"/>
  <c r="DJ250" i="14609"/>
  <c r="DK250" i="14609"/>
  <c r="DL250" i="14609"/>
  <c r="DM250" i="14609"/>
  <c r="DN250" i="14609"/>
  <c r="DO250" i="14609"/>
  <c r="DP250" i="14609"/>
  <c r="DQ250" i="14609"/>
  <c r="DR250" i="14609"/>
  <c r="DS250" i="14609"/>
  <c r="DT250" i="14609"/>
  <c r="DU250" i="14609"/>
  <c r="DV250" i="14609"/>
  <c r="DW250" i="14609"/>
  <c r="DX250" i="14609"/>
  <c r="DY250" i="14609"/>
  <c r="DZ250" i="14609"/>
  <c r="EA250" i="14609"/>
  <c r="EB250" i="14609"/>
  <c r="EC250" i="14609"/>
  <c r="ED250" i="14609"/>
  <c r="EE250" i="14609"/>
  <c r="EF250" i="14609"/>
  <c r="EG250" i="14609"/>
  <c r="EH250" i="14609"/>
  <c r="EI250" i="14609"/>
  <c r="EJ250" i="14609"/>
  <c r="EK250" i="14609"/>
  <c r="EL250" i="14609"/>
  <c r="EM250" i="14609"/>
  <c r="EN250" i="14609"/>
  <c r="EO250" i="14609"/>
  <c r="EP250" i="14609"/>
  <c r="EQ250" i="14609"/>
  <c r="ER250" i="14609"/>
  <c r="ES250" i="14609"/>
  <c r="ET250" i="14609"/>
  <c r="EU250" i="14609"/>
  <c r="EV250" i="14609"/>
  <c r="EW250" i="14609"/>
  <c r="EX250" i="14609"/>
  <c r="EY250" i="14609"/>
  <c r="EZ250" i="14609"/>
  <c r="FA250" i="14609"/>
  <c r="FB250" i="14609"/>
  <c r="FC250" i="14609"/>
  <c r="FD250" i="14609"/>
  <c r="FE250" i="14609"/>
  <c r="FF250" i="14609"/>
  <c r="FG250" i="14609"/>
  <c r="FH250" i="14609"/>
  <c r="FI250" i="14609"/>
  <c r="FJ250" i="14609"/>
  <c r="FK250" i="14609"/>
  <c r="FL250" i="14609"/>
  <c r="FM250" i="14609"/>
  <c r="FN250" i="14609"/>
  <c r="FO250" i="14609"/>
  <c r="FP250" i="14609"/>
  <c r="FQ250" i="14609"/>
  <c r="FR250" i="14609"/>
  <c r="FS250" i="14609"/>
  <c r="FT250" i="14609"/>
  <c r="FU250" i="14609"/>
  <c r="FV250" i="14609"/>
  <c r="FW250" i="14609"/>
  <c r="FX250" i="14609"/>
  <c r="FY250" i="14609"/>
  <c r="FZ250" i="14609"/>
  <c r="GA250" i="14609"/>
  <c r="GB250" i="14609"/>
  <c r="GC250" i="14609"/>
  <c r="GD250" i="14609"/>
  <c r="GE250" i="14609"/>
  <c r="GF250" i="14609"/>
  <c r="GG250" i="14609"/>
  <c r="GH250" i="14609"/>
  <c r="GI250" i="14609"/>
  <c r="GJ250" i="14609"/>
  <c r="GK250" i="14609"/>
  <c r="GL250" i="14609"/>
  <c r="GM250" i="14609"/>
  <c r="GN250" i="14609"/>
  <c r="GO250" i="14609"/>
  <c r="GP250" i="14609"/>
  <c r="GQ250" i="14609"/>
  <c r="GR250" i="14609"/>
  <c r="GS250" i="14609"/>
  <c r="GT250" i="14609"/>
  <c r="GU250" i="14609"/>
  <c r="GV250" i="14609"/>
  <c r="GW250" i="14609"/>
  <c r="GX250" i="14609"/>
  <c r="GY250" i="14609"/>
  <c r="GZ250" i="14609"/>
  <c r="HA250" i="14609"/>
  <c r="HB250" i="14609"/>
  <c r="HC250" i="14609"/>
  <c r="HD250" i="14609"/>
  <c r="HE250" i="14609"/>
  <c r="HF250" i="14609"/>
  <c r="HG250" i="14609"/>
  <c r="HH250" i="14609"/>
  <c r="HI250" i="14609"/>
  <c r="HJ250" i="14609"/>
  <c r="HK250" i="14609"/>
  <c r="HL250" i="14609"/>
  <c r="HM250" i="14609"/>
  <c r="HN250" i="14609"/>
  <c r="HO250" i="14609"/>
  <c r="HP250" i="14609"/>
  <c r="HQ250" i="14609"/>
  <c r="HR250" i="14609"/>
  <c r="HS250" i="14609"/>
  <c r="HT250" i="14609"/>
  <c r="HU250" i="14609"/>
  <c r="HV250" i="14609"/>
  <c r="HW250" i="14609"/>
  <c r="HX250" i="14609"/>
  <c r="HY250" i="14609"/>
  <c r="HZ250" i="14609"/>
  <c r="IA250" i="14609"/>
  <c r="IB250" i="14609"/>
  <c r="IC250" i="14609"/>
  <c r="ID250" i="14609"/>
  <c r="IE250" i="14609"/>
  <c r="IF250" i="14609"/>
  <c r="IG250" i="14609"/>
  <c r="IH250" i="14609"/>
  <c r="II250" i="14609"/>
  <c r="IJ250" i="14609"/>
  <c r="IK250" i="14609"/>
  <c r="IL250" i="14609"/>
  <c r="IM250" i="14609"/>
  <c r="IN250" i="14609"/>
  <c r="IO250" i="14609"/>
  <c r="IP250" i="14609"/>
  <c r="IQ250" i="14609"/>
  <c r="IR250" i="14609"/>
  <c r="IS250" i="14609"/>
  <c r="IT250" i="14609"/>
  <c r="IU250" i="14609"/>
  <c r="IV250" i="14609"/>
  <c r="A249" i="14609"/>
  <c r="B249" i="14609"/>
  <c r="C249" i="14609"/>
  <c r="D249" i="14609"/>
  <c r="E249" i="14609"/>
  <c r="F249" i="14609"/>
  <c r="G249" i="14609"/>
  <c r="H249" i="14609"/>
  <c r="I249" i="14609"/>
  <c r="J249" i="14609"/>
  <c r="K249" i="14609"/>
  <c r="L249" i="14609"/>
  <c r="M249" i="14609"/>
  <c r="N249" i="14609"/>
  <c r="O249" i="14609"/>
  <c r="P249" i="14609"/>
  <c r="Q249" i="14609"/>
  <c r="R249" i="14609"/>
  <c r="S249" i="14609"/>
  <c r="T249" i="14609"/>
  <c r="U249" i="14609"/>
  <c r="V249" i="14609"/>
  <c r="W249" i="14609"/>
  <c r="X249" i="14609"/>
  <c r="Y249" i="14609"/>
  <c r="Z249" i="14609"/>
  <c r="AA249" i="14609"/>
  <c r="AB249" i="14609"/>
  <c r="AC249" i="14609"/>
  <c r="AD249" i="14609"/>
  <c r="AE249" i="14609"/>
  <c r="AF249" i="14609"/>
  <c r="AG249" i="14609"/>
  <c r="AH249" i="14609"/>
  <c r="AI249" i="14609"/>
  <c r="AJ249" i="14609"/>
  <c r="AK249" i="14609"/>
  <c r="AL249" i="14609"/>
  <c r="AM249" i="14609"/>
  <c r="AN249" i="14609"/>
  <c r="AO249" i="14609"/>
  <c r="AP249" i="14609"/>
  <c r="AQ249" i="14609"/>
  <c r="AR249" i="14609"/>
  <c r="AS249" i="14609"/>
  <c r="AT249" i="14609"/>
  <c r="AU249" i="14609"/>
  <c r="AV249" i="14609"/>
  <c r="AW249" i="14609"/>
  <c r="AX249" i="14609"/>
  <c r="AY249" i="14609"/>
  <c r="AZ249" i="14609"/>
  <c r="BA249" i="14609"/>
  <c r="BB249" i="14609"/>
  <c r="BC249" i="14609"/>
  <c r="BD249" i="14609"/>
  <c r="BE249" i="14609"/>
  <c r="BF249" i="14609"/>
  <c r="BG249" i="14609"/>
  <c r="BH249" i="14609"/>
  <c r="BI249" i="14609"/>
  <c r="BJ249" i="14609"/>
  <c r="BK249" i="14609"/>
  <c r="BL249" i="14609"/>
  <c r="BM249" i="14609"/>
  <c r="BN249" i="14609"/>
  <c r="BO249" i="14609"/>
  <c r="BP249" i="14609"/>
  <c r="BQ249" i="14609"/>
  <c r="BR249" i="14609"/>
  <c r="BS249" i="14609"/>
  <c r="BT249" i="14609"/>
  <c r="BU249" i="14609"/>
  <c r="BV249" i="14609"/>
  <c r="BW249" i="14609"/>
  <c r="BX249" i="14609"/>
  <c r="BY249" i="14609"/>
  <c r="BZ249" i="14609"/>
  <c r="CA249" i="14609"/>
  <c r="CB249" i="14609"/>
  <c r="CC249" i="14609"/>
  <c r="CD249" i="14609"/>
  <c r="CE249" i="14609"/>
  <c r="CF249" i="14609"/>
  <c r="CG249" i="14609"/>
  <c r="CH249" i="14609"/>
  <c r="CI249" i="14609"/>
  <c r="CJ249" i="14609"/>
  <c r="CK249" i="14609"/>
  <c r="CL249" i="14609"/>
  <c r="CM249" i="14609"/>
  <c r="CN249" i="14609"/>
  <c r="CO249" i="14609"/>
  <c r="CP249" i="14609"/>
  <c r="CQ249" i="14609"/>
  <c r="CR249" i="14609"/>
  <c r="CS249" i="14609"/>
  <c r="CT249" i="14609"/>
  <c r="CU249" i="14609"/>
  <c r="CV249" i="14609"/>
  <c r="CW249" i="14609"/>
  <c r="CX249" i="14609"/>
  <c r="CY249" i="14609"/>
  <c r="CZ249" i="14609"/>
  <c r="DA249" i="14609"/>
  <c r="DB249" i="14609"/>
  <c r="DC249" i="14609"/>
  <c r="DD249" i="14609"/>
  <c r="DE249" i="14609"/>
  <c r="DF249" i="14609"/>
  <c r="DG249" i="14609"/>
  <c r="DH249" i="14609"/>
  <c r="DI249" i="14609"/>
  <c r="DJ249" i="14609"/>
  <c r="DK249" i="14609"/>
  <c r="DL249" i="14609"/>
  <c r="DM249" i="14609"/>
  <c r="DN249" i="14609"/>
  <c r="DO249" i="14609"/>
  <c r="DP249" i="14609"/>
  <c r="DQ249" i="14609"/>
  <c r="DR249" i="14609"/>
  <c r="DS249" i="14609"/>
  <c r="DT249" i="14609"/>
  <c r="DU249" i="14609"/>
  <c r="DV249" i="14609"/>
  <c r="DW249" i="14609"/>
  <c r="DX249" i="14609"/>
  <c r="DY249" i="14609"/>
  <c r="DZ249" i="14609"/>
  <c r="EA249" i="14609"/>
  <c r="EB249" i="14609"/>
  <c r="EC249" i="14609"/>
  <c r="ED249" i="14609"/>
  <c r="EE249" i="14609"/>
  <c r="EF249" i="14609"/>
  <c r="EG249" i="14609"/>
  <c r="EH249" i="14609"/>
  <c r="EI249" i="14609"/>
  <c r="EJ249" i="14609"/>
  <c r="EK249" i="14609"/>
  <c r="EL249" i="14609"/>
  <c r="EM249" i="14609"/>
  <c r="EN249" i="14609"/>
  <c r="EO249" i="14609"/>
  <c r="EP249" i="14609"/>
  <c r="EQ249" i="14609"/>
  <c r="ER249" i="14609"/>
  <c r="ES249" i="14609"/>
  <c r="ET249" i="14609"/>
  <c r="EU249" i="14609"/>
  <c r="EV249" i="14609"/>
  <c r="EW249" i="14609"/>
  <c r="EX249" i="14609"/>
  <c r="EY249" i="14609"/>
  <c r="EZ249" i="14609"/>
  <c r="FA249" i="14609"/>
  <c r="FB249" i="14609"/>
  <c r="FC249" i="14609"/>
  <c r="FD249" i="14609"/>
  <c r="FE249" i="14609"/>
  <c r="FF249" i="14609"/>
  <c r="FG249" i="14609"/>
  <c r="FH249" i="14609"/>
  <c r="FI249" i="14609"/>
  <c r="FJ249" i="14609"/>
  <c r="FK249" i="14609"/>
  <c r="FL249" i="14609"/>
  <c r="FM249" i="14609"/>
  <c r="FN249" i="14609"/>
  <c r="FO249" i="14609"/>
  <c r="FP249" i="14609"/>
  <c r="FQ249" i="14609"/>
  <c r="FR249" i="14609"/>
  <c r="FS249" i="14609"/>
  <c r="FT249" i="14609"/>
  <c r="FU249" i="14609"/>
  <c r="FV249" i="14609"/>
  <c r="FW249" i="14609"/>
  <c r="FX249" i="14609"/>
  <c r="FY249" i="14609"/>
  <c r="FZ249" i="14609"/>
  <c r="GA249" i="14609"/>
  <c r="GB249" i="14609"/>
  <c r="GC249" i="14609"/>
  <c r="GD249" i="14609"/>
  <c r="GE249" i="14609"/>
  <c r="GF249" i="14609"/>
  <c r="GG249" i="14609"/>
  <c r="GH249" i="14609"/>
  <c r="GI249" i="14609"/>
  <c r="GJ249" i="14609"/>
  <c r="GK249" i="14609"/>
  <c r="GL249" i="14609"/>
  <c r="GM249" i="14609"/>
  <c r="GN249" i="14609"/>
  <c r="GO249" i="14609"/>
  <c r="GP249" i="14609"/>
  <c r="GQ249" i="14609"/>
  <c r="GR249" i="14609"/>
  <c r="GS249" i="14609"/>
  <c r="GT249" i="14609"/>
  <c r="GU249" i="14609"/>
  <c r="GV249" i="14609"/>
  <c r="GW249" i="14609"/>
  <c r="GX249" i="14609"/>
  <c r="GY249" i="14609"/>
  <c r="GZ249" i="14609"/>
  <c r="HA249" i="14609"/>
  <c r="HB249" i="14609"/>
  <c r="HC249" i="14609"/>
  <c r="HD249" i="14609"/>
  <c r="HE249" i="14609"/>
  <c r="HF249" i="14609"/>
  <c r="HG249" i="14609"/>
  <c r="HH249" i="14609"/>
  <c r="HI249" i="14609"/>
  <c r="HJ249" i="14609"/>
  <c r="HK249" i="14609"/>
  <c r="HL249" i="14609"/>
  <c r="HM249" i="14609"/>
  <c r="HN249" i="14609"/>
  <c r="HO249" i="14609"/>
  <c r="HP249" i="14609"/>
  <c r="HQ249" i="14609"/>
  <c r="HR249" i="14609"/>
  <c r="HS249" i="14609"/>
  <c r="HT249" i="14609"/>
  <c r="HU249" i="14609"/>
  <c r="HV249" i="14609"/>
  <c r="HW249" i="14609"/>
  <c r="HX249" i="14609"/>
  <c r="HY249" i="14609"/>
  <c r="HZ249" i="14609"/>
  <c r="IA249" i="14609"/>
  <c r="IB249" i="14609"/>
  <c r="IC249" i="14609"/>
  <c r="ID249" i="14609"/>
  <c r="IE249" i="14609"/>
  <c r="IF249" i="14609"/>
  <c r="IG249" i="14609"/>
  <c r="IH249" i="14609"/>
  <c r="II249" i="14609"/>
  <c r="IJ249" i="14609"/>
  <c r="IK249" i="14609"/>
  <c r="IL249" i="14609"/>
  <c r="IM249" i="14609"/>
  <c r="IN249" i="14609"/>
  <c r="IO249" i="14609"/>
  <c r="IP249" i="14609"/>
  <c r="IQ249" i="14609"/>
  <c r="IR249" i="14609"/>
  <c r="IS249" i="14609"/>
  <c r="IT249" i="14609"/>
  <c r="IU249" i="14609"/>
  <c r="IV249" i="14609"/>
  <c r="A248" i="14609"/>
  <c r="B248" i="14609"/>
  <c r="C248" i="14609"/>
  <c r="D248" i="14609"/>
  <c r="E248" i="14609"/>
  <c r="F248" i="14609"/>
  <c r="G248" i="14609"/>
  <c r="H248" i="14609"/>
  <c r="I248" i="14609"/>
  <c r="J248" i="14609"/>
  <c r="K248" i="14609"/>
  <c r="L248" i="14609"/>
  <c r="M248" i="14609"/>
  <c r="N248" i="14609"/>
  <c r="O248" i="14609"/>
  <c r="P248" i="14609"/>
  <c r="Q248" i="14609"/>
  <c r="R248" i="14609"/>
  <c r="S248" i="14609"/>
  <c r="T248" i="14609"/>
  <c r="U248" i="14609"/>
  <c r="V248" i="14609"/>
  <c r="W248" i="14609"/>
  <c r="X248" i="14609"/>
  <c r="Y248" i="14609"/>
  <c r="Z248" i="14609"/>
  <c r="AA248" i="14609"/>
  <c r="AB248" i="14609"/>
  <c r="AC248" i="14609"/>
  <c r="AD248" i="14609"/>
  <c r="AE248" i="14609"/>
  <c r="AF248" i="14609"/>
  <c r="AG248" i="14609"/>
  <c r="AH248" i="14609"/>
  <c r="AI248" i="14609"/>
  <c r="AJ248" i="14609"/>
  <c r="AK248" i="14609"/>
  <c r="AL248" i="14609"/>
  <c r="AM248" i="14609"/>
  <c r="AN248" i="14609"/>
  <c r="AO248" i="14609"/>
  <c r="AP248" i="14609"/>
  <c r="AQ248" i="14609"/>
  <c r="AR248" i="14609"/>
  <c r="AS248" i="14609"/>
  <c r="AT248" i="14609"/>
  <c r="AU248" i="14609"/>
  <c r="AV248" i="14609"/>
  <c r="AW248" i="14609"/>
  <c r="AX248" i="14609"/>
  <c r="AY248" i="14609"/>
  <c r="AZ248" i="14609"/>
  <c r="BA248" i="14609"/>
  <c r="BB248" i="14609"/>
  <c r="BC248" i="14609"/>
  <c r="BD248" i="14609"/>
  <c r="BE248" i="14609"/>
  <c r="BF248" i="14609"/>
  <c r="BG248" i="14609"/>
  <c r="BH248" i="14609"/>
  <c r="BI248" i="14609"/>
  <c r="BJ248" i="14609"/>
  <c r="BK248" i="14609"/>
  <c r="BL248" i="14609"/>
  <c r="BM248" i="14609"/>
  <c r="BN248" i="14609"/>
  <c r="BO248" i="14609"/>
  <c r="BP248" i="14609"/>
  <c r="BQ248" i="14609"/>
  <c r="BR248" i="14609"/>
  <c r="BS248" i="14609"/>
  <c r="BT248" i="14609"/>
  <c r="BU248" i="14609"/>
  <c r="BV248" i="14609"/>
  <c r="BW248" i="14609"/>
  <c r="BX248" i="14609"/>
  <c r="BY248" i="14609"/>
  <c r="BZ248" i="14609"/>
  <c r="CA248" i="14609"/>
  <c r="CB248" i="14609"/>
  <c r="CC248" i="14609"/>
  <c r="CD248" i="14609"/>
  <c r="CE248" i="14609"/>
  <c r="CF248" i="14609"/>
  <c r="CG248" i="14609"/>
  <c r="CH248" i="14609"/>
  <c r="CI248" i="14609"/>
  <c r="CJ248" i="14609"/>
  <c r="CK248" i="14609"/>
  <c r="CL248" i="14609"/>
  <c r="CM248" i="14609"/>
  <c r="CN248" i="14609"/>
  <c r="CO248" i="14609"/>
  <c r="CP248" i="14609"/>
  <c r="CQ248" i="14609"/>
  <c r="CR248" i="14609"/>
  <c r="CS248" i="14609"/>
  <c r="CT248" i="14609"/>
  <c r="CU248" i="14609"/>
  <c r="CV248" i="14609"/>
  <c r="CW248" i="14609"/>
  <c r="CX248" i="14609"/>
  <c r="CY248" i="14609"/>
  <c r="CZ248" i="14609"/>
  <c r="DA248" i="14609"/>
  <c r="DB248" i="14609"/>
  <c r="DC248" i="14609"/>
  <c r="DD248" i="14609"/>
  <c r="DE248" i="14609"/>
  <c r="DF248" i="14609"/>
  <c r="DG248" i="14609"/>
  <c r="DH248" i="14609"/>
  <c r="DI248" i="14609"/>
  <c r="DJ248" i="14609"/>
  <c r="DK248" i="14609"/>
  <c r="DL248" i="14609"/>
  <c r="DM248" i="14609"/>
  <c r="DN248" i="14609"/>
  <c r="DO248" i="14609"/>
  <c r="DP248" i="14609"/>
  <c r="DQ248" i="14609"/>
  <c r="DR248" i="14609"/>
  <c r="DS248" i="14609"/>
  <c r="DT248" i="14609"/>
  <c r="DU248" i="14609"/>
  <c r="DV248" i="14609"/>
  <c r="DW248" i="14609"/>
  <c r="DX248" i="14609"/>
  <c r="DY248" i="14609"/>
  <c r="DZ248" i="14609"/>
  <c r="EA248" i="14609"/>
  <c r="EB248" i="14609"/>
  <c r="EC248" i="14609"/>
  <c r="ED248" i="14609"/>
  <c r="EE248" i="14609"/>
  <c r="EF248" i="14609"/>
  <c r="EG248" i="14609"/>
  <c r="EH248" i="14609"/>
  <c r="EI248" i="14609"/>
  <c r="EJ248" i="14609"/>
  <c r="EK248" i="14609"/>
  <c r="EL248" i="14609"/>
  <c r="EM248" i="14609"/>
  <c r="EN248" i="14609"/>
  <c r="EO248" i="14609"/>
  <c r="EP248" i="14609"/>
  <c r="EQ248" i="14609"/>
  <c r="ER248" i="14609"/>
  <c r="ES248" i="14609"/>
  <c r="ET248" i="14609"/>
  <c r="EU248" i="14609"/>
  <c r="EV248" i="14609"/>
  <c r="EW248" i="14609"/>
  <c r="EX248" i="14609"/>
  <c r="EY248" i="14609"/>
  <c r="EZ248" i="14609"/>
  <c r="FA248" i="14609"/>
  <c r="FB248" i="14609"/>
  <c r="FC248" i="14609"/>
  <c r="FD248" i="14609"/>
  <c r="FE248" i="14609"/>
  <c r="FF248" i="14609"/>
  <c r="FG248" i="14609"/>
  <c r="FH248" i="14609"/>
  <c r="FI248" i="14609"/>
  <c r="FJ248" i="14609"/>
  <c r="FK248" i="14609"/>
  <c r="FL248" i="14609"/>
  <c r="FM248" i="14609"/>
  <c r="FN248" i="14609"/>
  <c r="FO248" i="14609"/>
  <c r="FP248" i="14609"/>
  <c r="FQ248" i="14609"/>
  <c r="FR248" i="14609"/>
  <c r="FS248" i="14609"/>
  <c r="FT248" i="14609"/>
  <c r="FU248" i="14609"/>
  <c r="FV248" i="14609"/>
  <c r="FW248" i="14609"/>
  <c r="FX248" i="14609"/>
  <c r="FY248" i="14609"/>
  <c r="FZ248" i="14609"/>
  <c r="GA248" i="14609"/>
  <c r="GB248" i="14609"/>
  <c r="GC248" i="14609"/>
  <c r="GD248" i="14609"/>
  <c r="GE248" i="14609"/>
  <c r="GF248" i="14609"/>
  <c r="GG248" i="14609"/>
  <c r="GH248" i="14609"/>
  <c r="GI248" i="14609"/>
  <c r="GJ248" i="14609"/>
  <c r="GK248" i="14609"/>
  <c r="GL248" i="14609"/>
  <c r="GM248" i="14609"/>
  <c r="GN248" i="14609"/>
  <c r="GO248" i="14609"/>
  <c r="GP248" i="14609"/>
  <c r="GQ248" i="14609"/>
  <c r="GR248" i="14609"/>
  <c r="GS248" i="14609"/>
  <c r="GT248" i="14609"/>
  <c r="GU248" i="14609"/>
  <c r="GV248" i="14609"/>
  <c r="GW248" i="14609"/>
  <c r="GX248" i="14609"/>
  <c r="GY248" i="14609"/>
  <c r="GZ248" i="14609"/>
  <c r="HA248" i="14609"/>
  <c r="HB248" i="14609"/>
  <c r="HC248" i="14609"/>
  <c r="HD248" i="14609"/>
  <c r="HE248" i="14609"/>
  <c r="HF248" i="14609"/>
  <c r="HG248" i="14609"/>
  <c r="HH248" i="14609"/>
  <c r="HI248" i="14609"/>
  <c r="HJ248" i="14609"/>
  <c r="HK248" i="14609"/>
  <c r="HL248" i="14609"/>
  <c r="HM248" i="14609"/>
  <c r="HN248" i="14609"/>
  <c r="HO248" i="14609"/>
  <c r="HP248" i="14609"/>
  <c r="HQ248" i="14609"/>
  <c r="HR248" i="14609"/>
  <c r="HS248" i="14609"/>
  <c r="HT248" i="14609"/>
  <c r="HU248" i="14609"/>
  <c r="HV248" i="14609"/>
  <c r="HW248" i="14609"/>
  <c r="HX248" i="14609"/>
  <c r="HY248" i="14609"/>
  <c r="HZ248" i="14609"/>
  <c r="IA248" i="14609"/>
  <c r="IB248" i="14609"/>
  <c r="IC248" i="14609"/>
  <c r="ID248" i="14609"/>
  <c r="IE248" i="14609"/>
  <c r="IF248" i="14609"/>
  <c r="IG248" i="14609"/>
  <c r="IH248" i="14609"/>
  <c r="II248" i="14609"/>
  <c r="IJ248" i="14609"/>
  <c r="IK248" i="14609"/>
  <c r="IL248" i="14609"/>
  <c r="IM248" i="14609"/>
  <c r="IN248" i="14609"/>
  <c r="IO248" i="14609"/>
  <c r="IP248" i="14609"/>
  <c r="IQ248" i="14609"/>
  <c r="IR248" i="14609"/>
  <c r="IS248" i="14609"/>
  <c r="IT248" i="14609"/>
  <c r="IU248" i="14609"/>
  <c r="IV248" i="14609"/>
  <c r="A247" i="14609"/>
  <c r="B247" i="14609"/>
  <c r="C247" i="14609"/>
  <c r="D247" i="14609"/>
  <c r="E247" i="14609"/>
  <c r="F247" i="14609"/>
  <c r="G247" i="14609"/>
  <c r="H247" i="14609"/>
  <c r="I247" i="14609"/>
  <c r="J247" i="14609"/>
  <c r="K247" i="14609"/>
  <c r="L247" i="14609"/>
  <c r="M247" i="14609"/>
  <c r="N247" i="14609"/>
  <c r="O247" i="14609"/>
  <c r="P247" i="14609"/>
  <c r="Q247" i="14609"/>
  <c r="R247" i="14609"/>
  <c r="S247" i="14609"/>
  <c r="T247" i="14609"/>
  <c r="U247" i="14609"/>
  <c r="V247" i="14609"/>
  <c r="W247" i="14609"/>
  <c r="X247" i="14609"/>
  <c r="Y247" i="14609"/>
  <c r="Z247" i="14609"/>
  <c r="AA247" i="14609"/>
  <c r="AB247" i="14609"/>
  <c r="AC247" i="14609"/>
  <c r="AD247" i="14609"/>
  <c r="AE247" i="14609"/>
  <c r="AF247" i="14609"/>
  <c r="AG247" i="14609"/>
  <c r="AH247" i="14609"/>
  <c r="AI247" i="14609"/>
  <c r="AJ247" i="14609"/>
  <c r="AK247" i="14609"/>
  <c r="AL247" i="14609"/>
  <c r="AM247" i="14609"/>
  <c r="AN247" i="14609"/>
  <c r="AO247" i="14609"/>
  <c r="AP247" i="14609"/>
  <c r="AQ247" i="14609"/>
  <c r="AR247" i="14609"/>
  <c r="AS247" i="14609"/>
  <c r="AT247" i="14609"/>
  <c r="AU247" i="14609"/>
  <c r="AV247" i="14609"/>
  <c r="AW247" i="14609"/>
  <c r="AX247" i="14609"/>
  <c r="AY247" i="14609"/>
  <c r="AZ247" i="14609"/>
  <c r="BA247" i="14609"/>
  <c r="BB247" i="14609"/>
  <c r="BC247" i="14609"/>
  <c r="BD247" i="14609"/>
  <c r="BE247" i="14609"/>
  <c r="BF247" i="14609"/>
  <c r="BG247" i="14609"/>
  <c r="BH247" i="14609"/>
  <c r="BI247" i="14609"/>
  <c r="BJ247" i="14609"/>
  <c r="BK247" i="14609"/>
  <c r="BL247" i="14609"/>
  <c r="BM247" i="14609"/>
  <c r="BN247" i="14609"/>
  <c r="BO247" i="14609"/>
  <c r="BP247" i="14609"/>
  <c r="BQ247" i="14609"/>
  <c r="BR247" i="14609"/>
  <c r="BS247" i="14609"/>
  <c r="BT247" i="14609"/>
  <c r="BU247" i="14609"/>
  <c r="BV247" i="14609"/>
  <c r="BW247" i="14609"/>
  <c r="BX247" i="14609"/>
  <c r="BY247" i="14609"/>
  <c r="BZ247" i="14609"/>
  <c r="CA247" i="14609"/>
  <c r="CB247" i="14609"/>
  <c r="CC247" i="14609"/>
  <c r="CD247" i="14609"/>
  <c r="CE247" i="14609"/>
  <c r="CF247" i="14609"/>
  <c r="CG247" i="14609"/>
  <c r="CH247" i="14609"/>
  <c r="CI247" i="14609"/>
  <c r="CJ247" i="14609"/>
  <c r="CK247" i="14609"/>
  <c r="CL247" i="14609"/>
  <c r="CM247" i="14609"/>
  <c r="CN247" i="14609"/>
  <c r="CO247" i="14609"/>
  <c r="CP247" i="14609"/>
  <c r="CQ247" i="14609"/>
  <c r="CR247" i="14609"/>
  <c r="CS247" i="14609"/>
  <c r="CT247" i="14609"/>
  <c r="CU247" i="14609"/>
  <c r="CV247" i="14609"/>
  <c r="CW247" i="14609"/>
  <c r="CX247" i="14609"/>
  <c r="CY247" i="14609"/>
  <c r="CZ247" i="14609"/>
  <c r="DA247" i="14609"/>
  <c r="DB247" i="14609"/>
  <c r="DC247" i="14609"/>
  <c r="DD247" i="14609"/>
  <c r="DE247" i="14609"/>
  <c r="DF247" i="14609"/>
  <c r="DG247" i="14609"/>
  <c r="DH247" i="14609"/>
  <c r="DI247" i="14609"/>
  <c r="DJ247" i="14609"/>
  <c r="DK247" i="14609"/>
  <c r="DL247" i="14609"/>
  <c r="DM247" i="14609"/>
  <c r="DN247" i="14609"/>
  <c r="DO247" i="14609"/>
  <c r="DP247" i="14609"/>
  <c r="DQ247" i="14609"/>
  <c r="DR247" i="14609"/>
  <c r="DS247" i="14609"/>
  <c r="DT247" i="14609"/>
  <c r="DU247" i="14609"/>
  <c r="DV247" i="14609"/>
  <c r="DW247" i="14609"/>
  <c r="DX247" i="14609"/>
  <c r="DY247" i="14609"/>
  <c r="DZ247" i="14609"/>
  <c r="EA247" i="14609"/>
  <c r="EB247" i="14609"/>
  <c r="EC247" i="14609"/>
  <c r="ED247" i="14609"/>
  <c r="EE247" i="14609"/>
  <c r="EF247" i="14609"/>
  <c r="EG247" i="14609"/>
  <c r="EH247" i="14609"/>
  <c r="EI247" i="14609"/>
  <c r="EJ247" i="14609"/>
  <c r="EK247" i="14609"/>
  <c r="EL247" i="14609"/>
  <c r="EM247" i="14609"/>
  <c r="EN247" i="14609"/>
  <c r="EO247" i="14609"/>
  <c r="EP247" i="14609"/>
  <c r="EQ247" i="14609"/>
  <c r="ER247" i="14609"/>
  <c r="ES247" i="14609"/>
  <c r="ET247" i="14609"/>
  <c r="EU247" i="14609"/>
  <c r="EV247" i="14609"/>
  <c r="EW247" i="14609"/>
  <c r="EX247" i="14609"/>
  <c r="EY247" i="14609"/>
  <c r="EZ247" i="14609"/>
  <c r="FA247" i="14609"/>
  <c r="FB247" i="14609"/>
  <c r="FC247" i="14609"/>
  <c r="FD247" i="14609"/>
  <c r="FE247" i="14609"/>
  <c r="FF247" i="14609"/>
  <c r="FG247" i="14609"/>
  <c r="FH247" i="14609"/>
  <c r="FI247" i="14609"/>
  <c r="FJ247" i="14609"/>
  <c r="FK247" i="14609"/>
  <c r="FL247" i="14609"/>
  <c r="FM247" i="14609"/>
  <c r="FN247" i="14609"/>
  <c r="FO247" i="14609"/>
  <c r="FP247" i="14609"/>
  <c r="FQ247" i="14609"/>
  <c r="FR247" i="14609"/>
  <c r="FS247" i="14609"/>
  <c r="FT247" i="14609"/>
  <c r="FU247" i="14609"/>
  <c r="FV247" i="14609"/>
  <c r="FW247" i="14609"/>
  <c r="FX247" i="14609"/>
  <c r="FY247" i="14609"/>
  <c r="FZ247" i="14609"/>
  <c r="GA247" i="14609"/>
  <c r="GB247" i="14609"/>
  <c r="GC247" i="14609"/>
  <c r="GD247" i="14609"/>
  <c r="GE247" i="14609"/>
  <c r="GF247" i="14609"/>
  <c r="GG247" i="14609"/>
  <c r="GH247" i="14609"/>
  <c r="GI247" i="14609"/>
  <c r="GJ247" i="14609"/>
  <c r="GK247" i="14609"/>
  <c r="GL247" i="14609"/>
  <c r="GM247" i="14609"/>
  <c r="GN247" i="14609"/>
  <c r="GO247" i="14609"/>
  <c r="GP247" i="14609"/>
  <c r="GQ247" i="14609"/>
  <c r="GR247" i="14609"/>
  <c r="GS247" i="14609"/>
  <c r="GT247" i="14609"/>
  <c r="GU247" i="14609"/>
  <c r="GV247" i="14609"/>
  <c r="GW247" i="14609"/>
  <c r="GX247" i="14609"/>
  <c r="GY247" i="14609"/>
  <c r="GZ247" i="14609"/>
  <c r="HA247" i="14609"/>
  <c r="HB247" i="14609"/>
  <c r="HC247" i="14609"/>
  <c r="HD247" i="14609"/>
  <c r="HE247" i="14609"/>
  <c r="HF247" i="14609"/>
  <c r="HG247" i="14609"/>
  <c r="HH247" i="14609"/>
  <c r="HI247" i="14609"/>
  <c r="HJ247" i="14609"/>
  <c r="HK247" i="14609"/>
  <c r="HL247" i="14609"/>
  <c r="HM247" i="14609"/>
  <c r="HN247" i="14609"/>
  <c r="HO247" i="14609"/>
  <c r="HP247" i="14609"/>
  <c r="HQ247" i="14609"/>
  <c r="HR247" i="14609"/>
  <c r="HS247" i="14609"/>
  <c r="HT247" i="14609"/>
  <c r="HU247" i="14609"/>
  <c r="HV247" i="14609"/>
  <c r="HW247" i="14609"/>
  <c r="HX247" i="14609"/>
  <c r="HY247" i="14609"/>
  <c r="HZ247" i="14609"/>
  <c r="IA247" i="14609"/>
  <c r="IB247" i="14609"/>
  <c r="IC247" i="14609"/>
  <c r="ID247" i="14609"/>
  <c r="IE247" i="14609"/>
  <c r="IF247" i="14609"/>
  <c r="IG247" i="14609"/>
  <c r="IH247" i="14609"/>
  <c r="II247" i="14609"/>
  <c r="IJ247" i="14609"/>
  <c r="IK247" i="14609"/>
  <c r="IL247" i="14609"/>
  <c r="IM247" i="14609"/>
  <c r="IN247" i="14609"/>
  <c r="IO247" i="14609"/>
  <c r="IP247" i="14609"/>
  <c r="IQ247" i="14609"/>
  <c r="IR247" i="14609"/>
  <c r="IS247" i="14609"/>
  <c r="IT247" i="14609"/>
  <c r="IU247" i="14609"/>
  <c r="IV247" i="14609"/>
  <c r="A246" i="14609"/>
  <c r="B246" i="14609"/>
  <c r="C246" i="14609"/>
  <c r="D246" i="14609"/>
  <c r="E246" i="14609"/>
  <c r="F246" i="14609"/>
  <c r="G246" i="14609"/>
  <c r="H246" i="14609"/>
  <c r="I246" i="14609"/>
  <c r="J246" i="14609"/>
  <c r="K246" i="14609"/>
  <c r="L246" i="14609"/>
  <c r="M246" i="14609"/>
  <c r="N246" i="14609"/>
  <c r="O246" i="14609"/>
  <c r="P246" i="14609"/>
  <c r="Q246" i="14609"/>
  <c r="R246" i="14609"/>
  <c r="S246" i="14609"/>
  <c r="T246" i="14609"/>
  <c r="U246" i="14609"/>
  <c r="V246" i="14609"/>
  <c r="W246" i="14609"/>
  <c r="X246" i="14609"/>
  <c r="Y246" i="14609"/>
  <c r="Z246" i="14609"/>
  <c r="AA246" i="14609"/>
  <c r="AB246" i="14609"/>
  <c r="AC246" i="14609"/>
  <c r="AD246" i="14609"/>
  <c r="AE246" i="14609"/>
  <c r="AF246" i="14609"/>
  <c r="AG246" i="14609"/>
  <c r="AH246" i="14609"/>
  <c r="AI246" i="14609"/>
  <c r="AJ246" i="14609"/>
  <c r="AK246" i="14609"/>
  <c r="AL246" i="14609"/>
  <c r="AM246" i="14609"/>
  <c r="AN246" i="14609"/>
  <c r="AO246" i="14609"/>
  <c r="AP246" i="14609"/>
  <c r="AQ246" i="14609"/>
  <c r="AR246" i="14609"/>
  <c r="AS246" i="14609"/>
  <c r="AT246" i="14609"/>
  <c r="AU246" i="14609"/>
  <c r="AV246" i="14609"/>
  <c r="AW246" i="14609"/>
  <c r="AX246" i="14609"/>
  <c r="AY246" i="14609"/>
  <c r="AZ246" i="14609"/>
  <c r="BA246" i="14609"/>
  <c r="BB246" i="14609"/>
  <c r="BC246" i="14609"/>
  <c r="BD246" i="14609"/>
  <c r="BE246" i="14609"/>
  <c r="BF246" i="14609"/>
  <c r="BG246" i="14609"/>
  <c r="BH246" i="14609"/>
  <c r="BI246" i="14609"/>
  <c r="BJ246" i="14609"/>
  <c r="BK246" i="14609"/>
  <c r="BL246" i="14609"/>
  <c r="BM246" i="14609"/>
  <c r="BN246" i="14609"/>
  <c r="BO246" i="14609"/>
  <c r="BP246" i="14609"/>
  <c r="BQ246" i="14609"/>
  <c r="BR246" i="14609"/>
  <c r="BS246" i="14609"/>
  <c r="BT246" i="14609"/>
  <c r="BU246" i="14609"/>
  <c r="BV246" i="14609"/>
  <c r="BW246" i="14609"/>
  <c r="BX246" i="14609"/>
  <c r="BY246" i="14609"/>
  <c r="BZ246" i="14609"/>
  <c r="CA246" i="14609"/>
  <c r="CB246" i="14609"/>
  <c r="CC246" i="14609"/>
  <c r="CD246" i="14609"/>
  <c r="CE246" i="14609"/>
  <c r="CF246" i="14609"/>
  <c r="CG246" i="14609"/>
  <c r="CH246" i="14609"/>
  <c r="CI246" i="14609"/>
  <c r="CJ246" i="14609"/>
  <c r="CK246" i="14609"/>
  <c r="CL246" i="14609"/>
  <c r="CM246" i="14609"/>
  <c r="CN246" i="14609"/>
  <c r="CO246" i="14609"/>
  <c r="CP246" i="14609"/>
  <c r="CQ246" i="14609"/>
  <c r="CR246" i="14609"/>
  <c r="CS246" i="14609"/>
  <c r="CT246" i="14609"/>
  <c r="CU246" i="14609"/>
  <c r="CV246" i="14609"/>
  <c r="CW246" i="14609"/>
  <c r="CX246" i="14609"/>
  <c r="CY246" i="14609"/>
  <c r="CZ246" i="14609"/>
  <c r="DA246" i="14609"/>
  <c r="DB246" i="14609"/>
  <c r="DC246" i="14609"/>
  <c r="DD246" i="14609"/>
  <c r="DE246" i="14609"/>
  <c r="DF246" i="14609"/>
  <c r="DG246" i="14609"/>
  <c r="DH246" i="14609"/>
  <c r="DI246" i="14609"/>
  <c r="DJ246" i="14609"/>
  <c r="DK246" i="14609"/>
  <c r="DL246" i="14609"/>
  <c r="DM246" i="14609"/>
  <c r="DN246" i="14609"/>
  <c r="DO246" i="14609"/>
  <c r="DP246" i="14609"/>
  <c r="DQ246" i="14609"/>
  <c r="DR246" i="14609"/>
  <c r="DS246" i="14609"/>
  <c r="DT246" i="14609"/>
  <c r="DU246" i="14609"/>
  <c r="DV246" i="14609"/>
  <c r="DW246" i="14609"/>
  <c r="DX246" i="14609"/>
  <c r="DY246" i="14609"/>
  <c r="DZ246" i="14609"/>
  <c r="EA246" i="14609"/>
  <c r="EB246" i="14609"/>
  <c r="EC246" i="14609"/>
  <c r="ED246" i="14609"/>
  <c r="EE246" i="14609"/>
  <c r="EF246" i="14609"/>
  <c r="EG246" i="14609"/>
  <c r="EH246" i="14609"/>
  <c r="EI246" i="14609"/>
  <c r="EJ246" i="14609"/>
  <c r="EK246" i="14609"/>
  <c r="EL246" i="14609"/>
  <c r="EM246" i="14609"/>
  <c r="EN246" i="14609"/>
  <c r="EO246" i="14609"/>
  <c r="EP246" i="14609"/>
  <c r="EQ246" i="14609"/>
  <c r="ER246" i="14609"/>
  <c r="ES246" i="14609"/>
  <c r="ET246" i="14609"/>
  <c r="EU246" i="14609"/>
  <c r="EV246" i="14609"/>
  <c r="EW246" i="14609"/>
  <c r="EX246" i="14609"/>
  <c r="EY246" i="14609"/>
  <c r="EZ246" i="14609"/>
  <c r="FA246" i="14609"/>
  <c r="FB246" i="14609"/>
  <c r="FC246" i="14609"/>
  <c r="FD246" i="14609"/>
  <c r="FE246" i="14609"/>
  <c r="FF246" i="14609"/>
  <c r="FG246" i="14609"/>
  <c r="FH246" i="14609"/>
  <c r="FI246" i="14609"/>
  <c r="FJ246" i="14609"/>
  <c r="FK246" i="14609"/>
  <c r="FL246" i="14609"/>
  <c r="FM246" i="14609"/>
  <c r="FN246" i="14609"/>
  <c r="FO246" i="14609"/>
  <c r="FP246" i="14609"/>
  <c r="FQ246" i="14609"/>
  <c r="FR246" i="14609"/>
  <c r="FS246" i="14609"/>
  <c r="FT246" i="14609"/>
  <c r="FU246" i="14609"/>
  <c r="FV246" i="14609"/>
  <c r="FW246" i="14609"/>
  <c r="FX246" i="14609"/>
  <c r="FY246" i="14609"/>
  <c r="FZ246" i="14609"/>
  <c r="GA246" i="14609"/>
  <c r="GB246" i="14609"/>
  <c r="GC246" i="14609"/>
  <c r="GD246" i="14609"/>
  <c r="GE246" i="14609"/>
  <c r="GF246" i="14609"/>
  <c r="GG246" i="14609"/>
  <c r="GH246" i="14609"/>
  <c r="GI246" i="14609"/>
  <c r="GJ246" i="14609"/>
  <c r="GK246" i="14609"/>
  <c r="GL246" i="14609"/>
  <c r="GM246" i="14609"/>
  <c r="GN246" i="14609"/>
  <c r="GO246" i="14609"/>
  <c r="GP246" i="14609"/>
  <c r="GQ246" i="14609"/>
  <c r="GR246" i="14609"/>
  <c r="GS246" i="14609"/>
  <c r="GT246" i="14609"/>
  <c r="GU246" i="14609"/>
  <c r="GV246" i="14609"/>
  <c r="GW246" i="14609"/>
  <c r="GX246" i="14609"/>
  <c r="GY246" i="14609"/>
  <c r="GZ246" i="14609"/>
  <c r="HA246" i="14609"/>
  <c r="HB246" i="14609"/>
  <c r="HC246" i="14609"/>
  <c r="HD246" i="14609"/>
  <c r="HE246" i="14609"/>
  <c r="HF246" i="14609"/>
  <c r="HG246" i="14609"/>
  <c r="HH246" i="14609"/>
  <c r="HI246" i="14609"/>
  <c r="HJ246" i="14609"/>
  <c r="HK246" i="14609"/>
  <c r="HL246" i="14609"/>
  <c r="HM246" i="14609"/>
  <c r="HN246" i="14609"/>
  <c r="HO246" i="14609"/>
  <c r="HP246" i="14609"/>
  <c r="HQ246" i="14609"/>
  <c r="HR246" i="14609"/>
  <c r="HS246" i="14609"/>
  <c r="HT246" i="14609"/>
  <c r="HU246" i="14609"/>
  <c r="HV246" i="14609"/>
  <c r="HW246" i="14609"/>
  <c r="HX246" i="14609"/>
  <c r="HY246" i="14609"/>
  <c r="HZ246" i="14609"/>
  <c r="IA246" i="14609"/>
  <c r="IB246" i="14609"/>
  <c r="IC246" i="14609"/>
  <c r="ID246" i="14609"/>
  <c r="IE246" i="14609"/>
  <c r="IF246" i="14609"/>
  <c r="IG246" i="14609"/>
  <c r="IH246" i="14609"/>
  <c r="II246" i="14609"/>
  <c r="IJ246" i="14609"/>
  <c r="IK246" i="14609"/>
  <c r="IL246" i="14609"/>
  <c r="IM246" i="14609"/>
  <c r="IN246" i="14609"/>
  <c r="IO246" i="14609"/>
  <c r="IP246" i="14609"/>
  <c r="IQ246" i="14609"/>
  <c r="IR246" i="14609"/>
  <c r="IS246" i="14609"/>
  <c r="IT246" i="14609"/>
  <c r="IU246" i="14609"/>
  <c r="IV246" i="14609"/>
  <c r="A245" i="14609"/>
  <c r="B245" i="14609"/>
  <c r="C245" i="14609"/>
  <c r="D245" i="14609"/>
  <c r="E245" i="14609"/>
  <c r="F245" i="14609"/>
  <c r="G245" i="14609"/>
  <c r="H245" i="14609"/>
  <c r="I245" i="14609"/>
  <c r="J245" i="14609"/>
  <c r="K245" i="14609"/>
  <c r="L245" i="14609"/>
  <c r="M245" i="14609"/>
  <c r="N245" i="14609"/>
  <c r="O245" i="14609"/>
  <c r="P245" i="14609"/>
  <c r="Q245" i="14609"/>
  <c r="R245" i="14609"/>
  <c r="S245" i="14609"/>
  <c r="T245" i="14609"/>
  <c r="U245" i="14609"/>
  <c r="V245" i="14609"/>
  <c r="W245" i="14609"/>
  <c r="X245" i="14609"/>
  <c r="Y245" i="14609"/>
  <c r="Z245" i="14609"/>
  <c r="AA245" i="14609"/>
  <c r="AB245" i="14609"/>
  <c r="AC245" i="14609"/>
  <c r="AD245" i="14609"/>
  <c r="AE245" i="14609"/>
  <c r="AF245" i="14609"/>
  <c r="AG245" i="14609"/>
  <c r="AH245" i="14609"/>
  <c r="AI245" i="14609"/>
  <c r="AJ245" i="14609"/>
  <c r="AK245" i="14609"/>
  <c r="AL245" i="14609"/>
  <c r="AM245" i="14609"/>
  <c r="AN245" i="14609"/>
  <c r="AO245" i="14609"/>
  <c r="AP245" i="14609"/>
  <c r="AQ245" i="14609"/>
  <c r="AR245" i="14609"/>
  <c r="AS245" i="14609"/>
  <c r="AT245" i="14609"/>
  <c r="AU245" i="14609"/>
  <c r="AV245" i="14609"/>
  <c r="AW245" i="14609"/>
  <c r="AX245" i="14609"/>
  <c r="AY245" i="14609"/>
  <c r="AZ245" i="14609"/>
  <c r="BA245" i="14609"/>
  <c r="BB245" i="14609"/>
  <c r="BC245" i="14609"/>
  <c r="BD245" i="14609"/>
  <c r="BE245" i="14609"/>
  <c r="BF245" i="14609"/>
  <c r="BG245" i="14609"/>
  <c r="BH245" i="14609"/>
  <c r="BI245" i="14609"/>
  <c r="BJ245" i="14609"/>
  <c r="BK245" i="14609"/>
  <c r="BL245" i="14609"/>
  <c r="BM245" i="14609"/>
  <c r="BN245" i="14609"/>
  <c r="BO245" i="14609"/>
  <c r="BP245" i="14609"/>
  <c r="BQ245" i="14609"/>
  <c r="BR245" i="14609"/>
  <c r="BS245" i="14609"/>
  <c r="BT245" i="14609"/>
  <c r="BU245" i="14609"/>
  <c r="BV245" i="14609"/>
  <c r="BW245" i="14609"/>
  <c r="BX245" i="14609"/>
  <c r="BY245" i="14609"/>
  <c r="BZ245" i="14609"/>
  <c r="CA245" i="14609"/>
  <c r="CB245" i="14609"/>
  <c r="CC245" i="14609"/>
  <c r="CD245" i="14609"/>
  <c r="CE245" i="14609"/>
  <c r="CF245" i="14609"/>
  <c r="CG245" i="14609"/>
  <c r="CH245" i="14609"/>
  <c r="CI245" i="14609"/>
  <c r="CJ245" i="14609"/>
  <c r="CK245" i="14609"/>
  <c r="CL245" i="14609"/>
  <c r="CM245" i="14609"/>
  <c r="CN245" i="14609"/>
  <c r="CO245" i="14609"/>
  <c r="CP245" i="14609"/>
  <c r="CQ245" i="14609"/>
  <c r="CR245" i="14609"/>
  <c r="CS245" i="14609"/>
  <c r="CT245" i="14609"/>
  <c r="CU245" i="14609"/>
  <c r="CV245" i="14609"/>
  <c r="CW245" i="14609"/>
  <c r="CX245" i="14609"/>
  <c r="CY245" i="14609"/>
  <c r="CZ245" i="14609"/>
  <c r="DA245" i="14609"/>
  <c r="DB245" i="14609"/>
  <c r="DC245" i="14609"/>
  <c r="DD245" i="14609"/>
  <c r="DE245" i="14609"/>
  <c r="DF245" i="14609"/>
  <c r="DG245" i="14609"/>
  <c r="DH245" i="14609"/>
  <c r="DI245" i="14609"/>
  <c r="DJ245" i="14609"/>
  <c r="DK245" i="14609"/>
  <c r="DL245" i="14609"/>
  <c r="DM245" i="14609"/>
  <c r="DN245" i="14609"/>
  <c r="DO245" i="14609"/>
  <c r="DP245" i="14609"/>
  <c r="DQ245" i="14609"/>
  <c r="DR245" i="14609"/>
  <c r="DS245" i="14609"/>
  <c r="DT245" i="14609"/>
  <c r="DU245" i="14609"/>
  <c r="DV245" i="14609"/>
  <c r="DW245" i="14609"/>
  <c r="DX245" i="14609"/>
  <c r="DY245" i="14609"/>
  <c r="DZ245" i="14609"/>
  <c r="EA245" i="14609"/>
  <c r="EB245" i="14609"/>
  <c r="EC245" i="14609"/>
  <c r="ED245" i="14609"/>
  <c r="EE245" i="14609"/>
  <c r="EF245" i="14609"/>
  <c r="EG245" i="14609"/>
  <c r="EH245" i="14609"/>
  <c r="EI245" i="14609"/>
  <c r="EJ245" i="14609"/>
  <c r="EK245" i="14609"/>
  <c r="EL245" i="14609"/>
  <c r="EM245" i="14609"/>
  <c r="EN245" i="14609"/>
  <c r="EO245" i="14609"/>
  <c r="EP245" i="14609"/>
  <c r="EQ245" i="14609"/>
  <c r="ER245" i="14609"/>
  <c r="ES245" i="14609"/>
  <c r="ET245" i="14609"/>
  <c r="EU245" i="14609"/>
  <c r="EV245" i="14609"/>
  <c r="EW245" i="14609"/>
  <c r="EX245" i="14609"/>
  <c r="EY245" i="14609"/>
  <c r="EZ245" i="14609"/>
  <c r="FA245" i="14609"/>
  <c r="FB245" i="14609"/>
  <c r="FC245" i="14609"/>
  <c r="FD245" i="14609"/>
  <c r="FE245" i="14609"/>
  <c r="FF245" i="14609"/>
  <c r="FG245" i="14609"/>
  <c r="FH245" i="14609"/>
  <c r="FI245" i="14609"/>
  <c r="FJ245" i="14609"/>
  <c r="FK245" i="14609"/>
  <c r="FL245" i="14609"/>
  <c r="FM245" i="14609"/>
  <c r="FN245" i="14609"/>
  <c r="FO245" i="14609"/>
  <c r="FP245" i="14609"/>
  <c r="FQ245" i="14609"/>
  <c r="FR245" i="14609"/>
  <c r="FS245" i="14609"/>
  <c r="FT245" i="14609"/>
  <c r="FU245" i="14609"/>
  <c r="FV245" i="14609"/>
  <c r="FW245" i="14609"/>
  <c r="FX245" i="14609"/>
  <c r="FY245" i="14609"/>
  <c r="FZ245" i="14609"/>
  <c r="GA245" i="14609"/>
  <c r="GB245" i="14609"/>
  <c r="GC245" i="14609"/>
  <c r="GD245" i="14609"/>
  <c r="GE245" i="14609"/>
  <c r="GF245" i="14609"/>
  <c r="GG245" i="14609"/>
  <c r="GH245" i="14609"/>
  <c r="GI245" i="14609"/>
  <c r="GJ245" i="14609"/>
  <c r="GK245" i="14609"/>
  <c r="GL245" i="14609"/>
  <c r="GM245" i="14609"/>
  <c r="GN245" i="14609"/>
  <c r="GO245" i="14609"/>
  <c r="GP245" i="14609"/>
  <c r="GQ245" i="14609"/>
  <c r="GR245" i="14609"/>
  <c r="GS245" i="14609"/>
  <c r="GT245" i="14609"/>
  <c r="GU245" i="14609"/>
  <c r="GV245" i="14609"/>
  <c r="GW245" i="14609"/>
  <c r="GX245" i="14609"/>
  <c r="GY245" i="14609"/>
  <c r="GZ245" i="14609"/>
  <c r="HA245" i="14609"/>
  <c r="HB245" i="14609"/>
  <c r="HC245" i="14609"/>
  <c r="HD245" i="14609"/>
  <c r="HE245" i="14609"/>
  <c r="HF245" i="14609"/>
  <c r="HG245" i="14609"/>
  <c r="HH245" i="14609"/>
  <c r="HI245" i="14609"/>
  <c r="HJ245" i="14609"/>
  <c r="HK245" i="14609"/>
  <c r="HL245" i="14609"/>
  <c r="HM245" i="14609"/>
  <c r="HN245" i="14609"/>
  <c r="HO245" i="14609"/>
  <c r="HP245" i="14609"/>
  <c r="HQ245" i="14609"/>
  <c r="HR245" i="14609"/>
  <c r="HS245" i="14609"/>
  <c r="HT245" i="14609"/>
  <c r="HU245" i="14609"/>
  <c r="HV245" i="14609"/>
  <c r="HW245" i="14609"/>
  <c r="HX245" i="14609"/>
  <c r="HY245" i="14609"/>
  <c r="HZ245" i="14609"/>
  <c r="IA245" i="14609"/>
  <c r="IB245" i="14609"/>
  <c r="IC245" i="14609"/>
  <c r="ID245" i="14609"/>
  <c r="IE245" i="14609"/>
  <c r="IF245" i="14609"/>
  <c r="IG245" i="14609"/>
  <c r="IH245" i="14609"/>
  <c r="II245" i="14609"/>
  <c r="IJ245" i="14609"/>
  <c r="IK245" i="14609"/>
  <c r="IL245" i="14609"/>
  <c r="IM245" i="14609"/>
  <c r="IN245" i="14609"/>
  <c r="IO245" i="14609"/>
  <c r="IP245" i="14609"/>
  <c r="IQ245" i="14609"/>
  <c r="IR245" i="14609"/>
  <c r="IS245" i="14609"/>
  <c r="IT245" i="14609"/>
  <c r="IU245" i="14609"/>
  <c r="IV245" i="14609"/>
  <c r="A244" i="14609"/>
  <c r="B244" i="14609"/>
  <c r="C244" i="14609"/>
  <c r="D244" i="14609"/>
  <c r="E244" i="14609"/>
  <c r="F244" i="14609"/>
  <c r="G244" i="14609"/>
  <c r="H244" i="14609"/>
  <c r="I244" i="14609"/>
  <c r="J244" i="14609"/>
  <c r="K244" i="14609"/>
  <c r="L244" i="14609"/>
  <c r="M244" i="14609"/>
  <c r="N244" i="14609"/>
  <c r="O244" i="14609"/>
  <c r="P244" i="14609"/>
  <c r="Q244" i="14609"/>
  <c r="R244" i="14609"/>
  <c r="S244" i="14609"/>
  <c r="T244" i="14609"/>
  <c r="U244" i="14609"/>
  <c r="V244" i="14609"/>
  <c r="W244" i="14609"/>
  <c r="X244" i="14609"/>
  <c r="Y244" i="14609"/>
  <c r="Z244" i="14609"/>
  <c r="AA244" i="14609"/>
  <c r="AB244" i="14609"/>
  <c r="AC244" i="14609"/>
  <c r="AD244" i="14609"/>
  <c r="AE244" i="14609"/>
  <c r="AF244" i="14609"/>
  <c r="AG244" i="14609"/>
  <c r="AH244" i="14609"/>
  <c r="AI244" i="14609"/>
  <c r="AJ244" i="14609"/>
  <c r="AK244" i="14609"/>
  <c r="AL244" i="14609"/>
  <c r="AM244" i="14609"/>
  <c r="AN244" i="14609"/>
  <c r="AO244" i="14609"/>
  <c r="AP244" i="14609"/>
  <c r="AQ244" i="14609"/>
  <c r="AR244" i="14609"/>
  <c r="AS244" i="14609"/>
  <c r="AT244" i="14609"/>
  <c r="AU244" i="14609"/>
  <c r="AV244" i="14609"/>
  <c r="AW244" i="14609"/>
  <c r="AX244" i="14609"/>
  <c r="AY244" i="14609"/>
  <c r="AZ244" i="14609"/>
  <c r="BA244" i="14609"/>
  <c r="BB244" i="14609"/>
  <c r="BC244" i="14609"/>
  <c r="BD244" i="14609"/>
  <c r="BE244" i="14609"/>
  <c r="BF244" i="14609"/>
  <c r="BG244" i="14609"/>
  <c r="BH244" i="14609"/>
  <c r="BI244" i="14609"/>
  <c r="BJ244" i="14609"/>
  <c r="BK244" i="14609"/>
  <c r="BL244" i="14609"/>
  <c r="BM244" i="14609"/>
  <c r="BN244" i="14609"/>
  <c r="BO244" i="14609"/>
  <c r="BP244" i="14609"/>
  <c r="BQ244" i="14609"/>
  <c r="BR244" i="14609"/>
  <c r="BS244" i="14609"/>
  <c r="BT244" i="14609"/>
  <c r="BU244" i="14609"/>
  <c r="BV244" i="14609"/>
  <c r="BW244" i="14609"/>
  <c r="BX244" i="14609"/>
  <c r="BY244" i="14609"/>
  <c r="BZ244" i="14609"/>
  <c r="CA244" i="14609"/>
  <c r="CB244" i="14609"/>
  <c r="CC244" i="14609"/>
  <c r="CD244" i="14609"/>
  <c r="CE244" i="14609"/>
  <c r="CF244" i="14609"/>
  <c r="CG244" i="14609"/>
  <c r="CH244" i="14609"/>
  <c r="CI244" i="14609"/>
  <c r="CJ244" i="14609"/>
  <c r="CK244" i="14609"/>
  <c r="CL244" i="14609"/>
  <c r="CM244" i="14609"/>
  <c r="CN244" i="14609"/>
  <c r="CO244" i="14609"/>
  <c r="CP244" i="14609"/>
  <c r="CQ244" i="14609"/>
  <c r="CR244" i="14609"/>
  <c r="CS244" i="14609"/>
  <c r="CT244" i="14609"/>
  <c r="CU244" i="14609"/>
  <c r="CV244" i="14609"/>
  <c r="CW244" i="14609"/>
  <c r="CX244" i="14609"/>
  <c r="CY244" i="14609"/>
  <c r="CZ244" i="14609"/>
  <c r="DA244" i="14609"/>
  <c r="DB244" i="14609"/>
  <c r="DC244" i="14609"/>
  <c r="DD244" i="14609"/>
  <c r="DE244" i="14609"/>
  <c r="DF244" i="14609"/>
  <c r="DG244" i="14609"/>
  <c r="DH244" i="14609"/>
  <c r="DI244" i="14609"/>
  <c r="DJ244" i="14609"/>
  <c r="DK244" i="14609"/>
  <c r="DL244" i="14609"/>
  <c r="DM244" i="14609"/>
  <c r="DN244" i="14609"/>
  <c r="DO244" i="14609"/>
  <c r="DP244" i="14609"/>
  <c r="DQ244" i="14609"/>
  <c r="DR244" i="14609"/>
  <c r="DS244" i="14609"/>
  <c r="DT244" i="14609"/>
  <c r="DU244" i="14609"/>
  <c r="DV244" i="14609"/>
  <c r="DW244" i="14609"/>
  <c r="DX244" i="14609"/>
  <c r="DY244" i="14609"/>
  <c r="DZ244" i="14609"/>
  <c r="EA244" i="14609"/>
  <c r="EB244" i="14609"/>
  <c r="EC244" i="14609"/>
  <c r="ED244" i="14609"/>
  <c r="EE244" i="14609"/>
  <c r="EF244" i="14609"/>
  <c r="EG244" i="14609"/>
  <c r="EH244" i="14609"/>
  <c r="EI244" i="14609"/>
  <c r="EJ244" i="14609"/>
  <c r="EK244" i="14609"/>
  <c r="EL244" i="14609"/>
  <c r="EM244" i="14609"/>
  <c r="EN244" i="14609"/>
  <c r="EO244" i="14609"/>
  <c r="EP244" i="14609"/>
  <c r="EQ244" i="14609"/>
  <c r="ER244" i="14609"/>
  <c r="ES244" i="14609"/>
  <c r="ET244" i="14609"/>
  <c r="EU244" i="14609"/>
  <c r="EV244" i="14609"/>
  <c r="EW244" i="14609"/>
  <c r="EX244" i="14609"/>
  <c r="EY244" i="14609"/>
  <c r="EZ244" i="14609"/>
  <c r="FA244" i="14609"/>
  <c r="FB244" i="14609"/>
  <c r="FC244" i="14609"/>
  <c r="FD244" i="14609"/>
  <c r="FE244" i="14609"/>
  <c r="FF244" i="14609"/>
  <c r="FG244" i="14609"/>
  <c r="FH244" i="14609"/>
  <c r="FI244" i="14609"/>
  <c r="FJ244" i="14609"/>
  <c r="FK244" i="14609"/>
  <c r="FL244" i="14609"/>
  <c r="FM244" i="14609"/>
  <c r="FN244" i="14609"/>
  <c r="FO244" i="14609"/>
  <c r="FP244" i="14609"/>
  <c r="FQ244" i="14609"/>
  <c r="FR244" i="14609"/>
  <c r="FS244" i="14609"/>
  <c r="FT244" i="14609"/>
  <c r="FU244" i="14609"/>
  <c r="FV244" i="14609"/>
  <c r="FW244" i="14609"/>
  <c r="FX244" i="14609"/>
  <c r="FY244" i="14609"/>
  <c r="FZ244" i="14609"/>
  <c r="GA244" i="14609"/>
  <c r="GB244" i="14609"/>
  <c r="GC244" i="14609"/>
  <c r="GD244" i="14609"/>
  <c r="GE244" i="14609"/>
  <c r="GF244" i="14609"/>
  <c r="GG244" i="14609"/>
  <c r="GH244" i="14609"/>
  <c r="GI244" i="14609"/>
  <c r="GJ244" i="14609"/>
  <c r="GK244" i="14609"/>
  <c r="GL244" i="14609"/>
  <c r="GM244" i="14609"/>
  <c r="GN244" i="14609"/>
  <c r="GO244" i="14609"/>
  <c r="GP244" i="14609"/>
  <c r="GQ244" i="14609"/>
  <c r="GR244" i="14609"/>
  <c r="GS244" i="14609"/>
  <c r="GT244" i="14609"/>
  <c r="GU244" i="14609"/>
  <c r="GV244" i="14609"/>
  <c r="GW244" i="14609"/>
  <c r="GX244" i="14609"/>
  <c r="GY244" i="14609"/>
  <c r="GZ244" i="14609"/>
  <c r="HA244" i="14609"/>
  <c r="HB244" i="14609"/>
  <c r="HC244" i="14609"/>
  <c r="HD244" i="14609"/>
  <c r="HE244" i="14609"/>
  <c r="HF244" i="14609"/>
  <c r="HG244" i="14609"/>
  <c r="HH244" i="14609"/>
  <c r="HI244" i="14609"/>
  <c r="HJ244" i="14609"/>
  <c r="HK244" i="14609"/>
  <c r="HL244" i="14609"/>
  <c r="HM244" i="14609"/>
  <c r="HN244" i="14609"/>
  <c r="HO244" i="14609"/>
  <c r="HP244" i="14609"/>
  <c r="HQ244" i="14609"/>
  <c r="HR244" i="14609"/>
  <c r="HS244" i="14609"/>
  <c r="HT244" i="14609"/>
  <c r="HU244" i="14609"/>
  <c r="HV244" i="14609"/>
  <c r="HW244" i="14609"/>
  <c r="HX244" i="14609"/>
  <c r="HY244" i="14609"/>
  <c r="HZ244" i="14609"/>
  <c r="IA244" i="14609"/>
  <c r="IB244" i="14609"/>
  <c r="IC244" i="14609"/>
  <c r="ID244" i="14609"/>
  <c r="IE244" i="14609"/>
  <c r="IF244" i="14609"/>
  <c r="IG244" i="14609"/>
  <c r="IH244" i="14609"/>
  <c r="II244" i="14609"/>
  <c r="IJ244" i="14609"/>
  <c r="IK244" i="14609"/>
  <c r="IL244" i="14609"/>
  <c r="IM244" i="14609"/>
  <c r="IN244" i="14609"/>
  <c r="IO244" i="14609"/>
  <c r="IP244" i="14609"/>
  <c r="IQ244" i="14609"/>
  <c r="IR244" i="14609"/>
  <c r="IS244" i="14609"/>
  <c r="IT244" i="14609"/>
  <c r="IU244" i="14609"/>
  <c r="IV244" i="14609"/>
  <c r="A243" i="14609"/>
  <c r="B243" i="14609"/>
  <c r="C243" i="14609"/>
  <c r="D243" i="14609"/>
  <c r="E243" i="14609"/>
  <c r="F243" i="14609"/>
  <c r="G243" i="14609"/>
  <c r="H243" i="14609"/>
  <c r="I243" i="14609"/>
  <c r="J243" i="14609"/>
  <c r="K243" i="14609"/>
  <c r="L243" i="14609"/>
  <c r="M243" i="14609"/>
  <c r="N243" i="14609"/>
  <c r="O243" i="14609"/>
  <c r="P243" i="14609"/>
  <c r="Q243" i="14609"/>
  <c r="R243" i="14609"/>
  <c r="S243" i="14609"/>
  <c r="T243" i="14609"/>
  <c r="U243" i="14609"/>
  <c r="V243" i="14609"/>
  <c r="W243" i="14609"/>
  <c r="X243" i="14609"/>
  <c r="Y243" i="14609"/>
  <c r="Z243" i="14609"/>
  <c r="AA243" i="14609"/>
  <c r="AB243" i="14609"/>
  <c r="AC243" i="14609"/>
  <c r="AD243" i="14609"/>
  <c r="AE243" i="14609"/>
  <c r="AF243" i="14609"/>
  <c r="AG243" i="14609"/>
  <c r="AH243" i="14609"/>
  <c r="AI243" i="14609"/>
  <c r="AJ243" i="14609"/>
  <c r="AK243" i="14609"/>
  <c r="AL243" i="14609"/>
  <c r="AM243" i="14609"/>
  <c r="AN243" i="14609"/>
  <c r="AO243" i="14609"/>
  <c r="AP243" i="14609"/>
  <c r="AQ243" i="14609"/>
  <c r="AR243" i="14609"/>
  <c r="AS243" i="14609"/>
  <c r="AT243" i="14609"/>
  <c r="AU243" i="14609"/>
  <c r="AV243" i="14609"/>
  <c r="AW243" i="14609"/>
  <c r="AX243" i="14609"/>
  <c r="AY243" i="14609"/>
  <c r="AZ243" i="14609"/>
  <c r="BA243" i="14609"/>
  <c r="BB243" i="14609"/>
  <c r="BC243" i="14609"/>
  <c r="BD243" i="14609"/>
  <c r="BE243" i="14609"/>
  <c r="BF243" i="14609"/>
  <c r="BG243" i="14609"/>
  <c r="BH243" i="14609"/>
  <c r="BI243" i="14609"/>
  <c r="BJ243" i="14609"/>
  <c r="BK243" i="14609"/>
  <c r="BL243" i="14609"/>
  <c r="BM243" i="14609"/>
  <c r="BN243" i="14609"/>
  <c r="BO243" i="14609"/>
  <c r="BP243" i="14609"/>
  <c r="BQ243" i="14609"/>
  <c r="BR243" i="14609"/>
  <c r="BS243" i="14609"/>
  <c r="BT243" i="14609"/>
  <c r="BU243" i="14609"/>
  <c r="BV243" i="14609"/>
  <c r="BW243" i="14609"/>
  <c r="BX243" i="14609"/>
  <c r="BY243" i="14609"/>
  <c r="BZ243" i="14609"/>
  <c r="CA243" i="14609"/>
  <c r="CB243" i="14609"/>
  <c r="CC243" i="14609"/>
  <c r="CD243" i="14609"/>
  <c r="CE243" i="14609"/>
  <c r="CF243" i="14609"/>
  <c r="CG243" i="14609"/>
  <c r="CH243" i="14609"/>
  <c r="CI243" i="14609"/>
  <c r="CJ243" i="14609"/>
  <c r="CK243" i="14609"/>
  <c r="CL243" i="14609"/>
  <c r="CM243" i="14609"/>
  <c r="CN243" i="14609"/>
  <c r="CO243" i="14609"/>
  <c r="CP243" i="14609"/>
  <c r="CQ243" i="14609"/>
  <c r="CR243" i="14609"/>
  <c r="CS243" i="14609"/>
  <c r="CT243" i="14609"/>
  <c r="CU243" i="14609"/>
  <c r="CV243" i="14609"/>
  <c r="CW243" i="14609"/>
  <c r="CX243" i="14609"/>
  <c r="CY243" i="14609"/>
  <c r="CZ243" i="14609"/>
  <c r="DA243" i="14609"/>
  <c r="DB243" i="14609"/>
  <c r="DC243" i="14609"/>
  <c r="DD243" i="14609"/>
  <c r="DE243" i="14609"/>
  <c r="DF243" i="14609"/>
  <c r="DG243" i="14609"/>
  <c r="DH243" i="14609"/>
  <c r="DI243" i="14609"/>
  <c r="DJ243" i="14609"/>
  <c r="DK243" i="14609"/>
  <c r="DL243" i="14609"/>
  <c r="DM243" i="14609"/>
  <c r="DN243" i="14609"/>
  <c r="DO243" i="14609"/>
  <c r="DP243" i="14609"/>
  <c r="DQ243" i="14609"/>
  <c r="DR243" i="14609"/>
  <c r="DS243" i="14609"/>
  <c r="DT243" i="14609"/>
  <c r="DU243" i="14609"/>
  <c r="DV243" i="14609"/>
  <c r="DW243" i="14609"/>
  <c r="DX243" i="14609"/>
  <c r="DY243" i="14609"/>
  <c r="DZ243" i="14609"/>
  <c r="EA243" i="14609"/>
  <c r="EB243" i="14609"/>
  <c r="EC243" i="14609"/>
  <c r="ED243" i="14609"/>
  <c r="EE243" i="14609"/>
  <c r="EF243" i="14609"/>
  <c r="EG243" i="14609"/>
  <c r="EH243" i="14609"/>
  <c r="EI243" i="14609"/>
  <c r="EJ243" i="14609"/>
  <c r="EK243" i="14609"/>
  <c r="EL243" i="14609"/>
  <c r="EM243" i="14609"/>
  <c r="EN243" i="14609"/>
  <c r="EO243" i="14609"/>
  <c r="EP243" i="14609"/>
  <c r="EQ243" i="14609"/>
  <c r="ER243" i="14609"/>
  <c r="ES243" i="14609"/>
  <c r="ET243" i="14609"/>
  <c r="EU243" i="14609"/>
  <c r="EV243" i="14609"/>
  <c r="EW243" i="14609"/>
  <c r="EX243" i="14609"/>
  <c r="EY243" i="14609"/>
  <c r="EZ243" i="14609"/>
  <c r="FA243" i="14609"/>
  <c r="FB243" i="14609"/>
  <c r="FC243" i="14609"/>
  <c r="FD243" i="14609"/>
  <c r="FE243" i="14609"/>
  <c r="FF243" i="14609"/>
  <c r="FG243" i="14609"/>
  <c r="FH243" i="14609"/>
  <c r="FI243" i="14609"/>
  <c r="FJ243" i="14609"/>
  <c r="FK243" i="14609"/>
  <c r="FL243" i="14609"/>
  <c r="FM243" i="14609"/>
  <c r="FN243" i="14609"/>
  <c r="FO243" i="14609"/>
  <c r="FP243" i="14609"/>
  <c r="FQ243" i="14609"/>
  <c r="FR243" i="14609"/>
  <c r="FS243" i="14609"/>
  <c r="FT243" i="14609"/>
  <c r="FU243" i="14609"/>
  <c r="FV243" i="14609"/>
  <c r="FW243" i="14609"/>
  <c r="FX243" i="14609"/>
  <c r="FY243" i="14609"/>
  <c r="FZ243" i="14609"/>
  <c r="GA243" i="14609"/>
  <c r="GB243" i="14609"/>
  <c r="GC243" i="14609"/>
  <c r="GD243" i="14609"/>
  <c r="GE243" i="14609"/>
  <c r="GF243" i="14609"/>
  <c r="GG243" i="14609"/>
  <c r="GH243" i="14609"/>
  <c r="GI243" i="14609"/>
  <c r="GJ243" i="14609"/>
  <c r="GK243" i="14609"/>
  <c r="GL243" i="14609"/>
  <c r="GM243" i="14609"/>
  <c r="GN243" i="14609"/>
  <c r="GO243" i="14609"/>
  <c r="GP243" i="14609"/>
  <c r="GQ243" i="14609"/>
  <c r="GR243" i="14609"/>
  <c r="GS243" i="14609"/>
  <c r="GT243" i="14609"/>
  <c r="GU243" i="14609"/>
  <c r="GV243" i="14609"/>
  <c r="GW243" i="14609"/>
  <c r="GX243" i="14609"/>
  <c r="GY243" i="14609"/>
  <c r="GZ243" i="14609"/>
  <c r="HA243" i="14609"/>
  <c r="HB243" i="14609"/>
  <c r="HC243" i="14609"/>
  <c r="HD243" i="14609"/>
  <c r="HE243" i="14609"/>
  <c r="HF243" i="14609"/>
  <c r="HG243" i="14609"/>
  <c r="HH243" i="14609"/>
  <c r="HI243" i="14609"/>
  <c r="HJ243" i="14609"/>
  <c r="HK243" i="14609"/>
  <c r="HL243" i="14609"/>
  <c r="HM243" i="14609"/>
  <c r="HN243" i="14609"/>
  <c r="HO243" i="14609"/>
  <c r="HP243" i="14609"/>
  <c r="HQ243" i="14609"/>
  <c r="HR243" i="14609"/>
  <c r="HS243" i="14609"/>
  <c r="HT243" i="14609"/>
  <c r="HU243" i="14609"/>
  <c r="HV243" i="14609"/>
  <c r="HW243" i="14609"/>
  <c r="HX243" i="14609"/>
  <c r="HY243" i="14609"/>
  <c r="HZ243" i="14609"/>
  <c r="IA243" i="14609"/>
  <c r="IB243" i="14609"/>
  <c r="IC243" i="14609"/>
  <c r="ID243" i="14609"/>
  <c r="IE243" i="14609"/>
  <c r="IF243" i="14609"/>
  <c r="IG243" i="14609"/>
  <c r="IH243" i="14609"/>
  <c r="II243" i="14609"/>
  <c r="IJ243" i="14609"/>
  <c r="IK243" i="14609"/>
  <c r="IL243" i="14609"/>
  <c r="IM243" i="14609"/>
  <c r="IN243" i="14609"/>
  <c r="IO243" i="14609"/>
  <c r="IP243" i="14609"/>
  <c r="IQ243" i="14609"/>
  <c r="IR243" i="14609"/>
  <c r="IS243" i="14609"/>
  <c r="IT243" i="14609"/>
  <c r="IU243" i="14609"/>
  <c r="IV243" i="14609"/>
  <c r="A242" i="14609"/>
  <c r="B242" i="14609"/>
  <c r="C242" i="14609"/>
  <c r="D242" i="14609"/>
  <c r="E242" i="14609"/>
  <c r="F242" i="14609"/>
  <c r="G242" i="14609"/>
  <c r="H242" i="14609"/>
  <c r="I242" i="14609"/>
  <c r="J242" i="14609"/>
  <c r="K242" i="14609"/>
  <c r="L242" i="14609"/>
  <c r="M242" i="14609"/>
  <c r="N242" i="14609"/>
  <c r="O242" i="14609"/>
  <c r="P242" i="14609"/>
  <c r="Q242" i="14609"/>
  <c r="R242" i="14609"/>
  <c r="S242" i="14609"/>
  <c r="T242" i="14609"/>
  <c r="U242" i="14609"/>
  <c r="V242" i="14609"/>
  <c r="W242" i="14609"/>
  <c r="X242" i="14609"/>
  <c r="Y242" i="14609"/>
  <c r="Z242" i="14609"/>
  <c r="AA242" i="14609"/>
  <c r="AB242" i="14609"/>
  <c r="AC242" i="14609"/>
  <c r="AD242" i="14609"/>
  <c r="AE242" i="14609"/>
  <c r="AF242" i="14609"/>
  <c r="AG242" i="14609"/>
  <c r="AH242" i="14609"/>
  <c r="AI242" i="14609"/>
  <c r="AJ242" i="14609"/>
  <c r="AK242" i="14609"/>
  <c r="AL242" i="14609"/>
  <c r="AM242" i="14609"/>
  <c r="AN242" i="14609"/>
  <c r="AO242" i="14609"/>
  <c r="AP242" i="14609"/>
  <c r="AQ242" i="14609"/>
  <c r="AR242" i="14609"/>
  <c r="AS242" i="14609"/>
  <c r="AT242" i="14609"/>
  <c r="AU242" i="14609"/>
  <c r="AV242" i="14609"/>
  <c r="AW242" i="14609"/>
  <c r="AX242" i="14609"/>
  <c r="AY242" i="14609"/>
  <c r="AZ242" i="14609"/>
  <c r="BA242" i="14609"/>
  <c r="BB242" i="14609"/>
  <c r="BC242" i="14609"/>
  <c r="BD242" i="14609"/>
  <c r="BE242" i="14609"/>
  <c r="BF242" i="14609"/>
  <c r="BG242" i="14609"/>
  <c r="BH242" i="14609"/>
  <c r="BI242" i="14609"/>
  <c r="BJ242" i="14609"/>
  <c r="BK242" i="14609"/>
  <c r="BL242" i="14609"/>
  <c r="BM242" i="14609"/>
  <c r="BN242" i="14609"/>
  <c r="BO242" i="14609"/>
  <c r="BP242" i="14609"/>
  <c r="BQ242" i="14609"/>
  <c r="BR242" i="14609"/>
  <c r="BS242" i="14609"/>
  <c r="BT242" i="14609"/>
  <c r="BU242" i="14609"/>
  <c r="BV242" i="14609"/>
  <c r="BW242" i="14609"/>
  <c r="BX242" i="14609"/>
  <c r="BY242" i="14609"/>
  <c r="BZ242" i="14609"/>
  <c r="CA242" i="14609"/>
  <c r="CB242" i="14609"/>
  <c r="CC242" i="14609"/>
  <c r="CD242" i="14609"/>
  <c r="CE242" i="14609"/>
  <c r="CF242" i="14609"/>
  <c r="CG242" i="14609"/>
  <c r="CH242" i="14609"/>
  <c r="CI242" i="14609"/>
  <c r="CJ242" i="14609"/>
  <c r="CK242" i="14609"/>
  <c r="CL242" i="14609"/>
  <c r="CM242" i="14609"/>
  <c r="CN242" i="14609"/>
  <c r="CO242" i="14609"/>
  <c r="CP242" i="14609"/>
  <c r="CQ242" i="14609"/>
  <c r="CR242" i="14609"/>
  <c r="CS242" i="14609"/>
  <c r="CT242" i="14609"/>
  <c r="CU242" i="14609"/>
  <c r="CV242" i="14609"/>
  <c r="CW242" i="14609"/>
  <c r="CX242" i="14609"/>
  <c r="CY242" i="14609"/>
  <c r="CZ242" i="14609"/>
  <c r="DA242" i="14609"/>
  <c r="DB242" i="14609"/>
  <c r="DC242" i="14609"/>
  <c r="DD242" i="14609"/>
  <c r="DE242" i="14609"/>
  <c r="DF242" i="14609"/>
  <c r="DG242" i="14609"/>
  <c r="DH242" i="14609"/>
  <c r="DI242" i="14609"/>
  <c r="DJ242" i="14609"/>
  <c r="DK242" i="14609"/>
  <c r="DL242" i="14609"/>
  <c r="DM242" i="14609"/>
  <c r="DN242" i="14609"/>
  <c r="DO242" i="14609"/>
  <c r="DP242" i="14609"/>
  <c r="DQ242" i="14609"/>
  <c r="DR242" i="14609"/>
  <c r="DS242" i="14609"/>
  <c r="DT242" i="14609"/>
  <c r="DU242" i="14609"/>
  <c r="DV242" i="14609"/>
  <c r="DW242" i="14609"/>
  <c r="DX242" i="14609"/>
  <c r="DY242" i="14609"/>
  <c r="DZ242" i="14609"/>
  <c r="EA242" i="14609"/>
  <c r="EB242" i="14609"/>
  <c r="EC242" i="14609"/>
  <c r="ED242" i="14609"/>
  <c r="EE242" i="14609"/>
  <c r="EF242" i="14609"/>
  <c r="EG242" i="14609"/>
  <c r="EH242" i="14609"/>
  <c r="EI242" i="14609"/>
  <c r="EJ242" i="14609"/>
  <c r="EK242" i="14609"/>
  <c r="EL242" i="14609"/>
  <c r="EM242" i="14609"/>
  <c r="EN242" i="14609"/>
  <c r="EO242" i="14609"/>
  <c r="EP242" i="14609"/>
  <c r="EQ242" i="14609"/>
  <c r="ER242" i="14609"/>
  <c r="ES242" i="14609"/>
  <c r="ET242" i="14609"/>
  <c r="EU242" i="14609"/>
  <c r="EV242" i="14609"/>
  <c r="EW242" i="14609"/>
  <c r="EX242" i="14609"/>
  <c r="EY242" i="14609"/>
  <c r="EZ242" i="14609"/>
  <c r="FA242" i="14609"/>
  <c r="FB242" i="14609"/>
  <c r="FC242" i="14609"/>
  <c r="FD242" i="14609"/>
  <c r="FE242" i="14609"/>
  <c r="FF242" i="14609"/>
  <c r="FG242" i="14609"/>
  <c r="FH242" i="14609"/>
  <c r="FI242" i="14609"/>
  <c r="FJ242" i="14609"/>
  <c r="FK242" i="14609"/>
  <c r="FL242" i="14609"/>
  <c r="FM242" i="14609"/>
  <c r="FN242" i="14609"/>
  <c r="FO242" i="14609"/>
  <c r="FP242" i="14609"/>
  <c r="FQ242" i="14609"/>
  <c r="FR242" i="14609"/>
  <c r="FS242" i="14609"/>
  <c r="FT242" i="14609"/>
  <c r="FU242" i="14609"/>
  <c r="FV242" i="14609"/>
  <c r="FW242" i="14609"/>
  <c r="FX242" i="14609"/>
  <c r="FY242" i="14609"/>
  <c r="FZ242" i="14609"/>
  <c r="GA242" i="14609"/>
  <c r="GB242" i="14609"/>
  <c r="GC242" i="14609"/>
  <c r="GD242" i="14609"/>
  <c r="GE242" i="14609"/>
  <c r="GF242" i="14609"/>
  <c r="GG242" i="14609"/>
  <c r="GH242" i="14609"/>
  <c r="GI242" i="14609"/>
  <c r="GJ242" i="14609"/>
  <c r="GK242" i="14609"/>
  <c r="GL242" i="14609"/>
  <c r="GM242" i="14609"/>
  <c r="GN242" i="14609"/>
  <c r="GO242" i="14609"/>
  <c r="GP242" i="14609"/>
  <c r="GQ242" i="14609"/>
  <c r="GR242" i="14609"/>
  <c r="GS242" i="14609"/>
  <c r="GT242" i="14609"/>
  <c r="GU242" i="14609"/>
  <c r="GV242" i="14609"/>
  <c r="GW242" i="14609"/>
  <c r="GX242" i="14609"/>
  <c r="GY242" i="14609"/>
  <c r="GZ242" i="14609"/>
  <c r="HA242" i="14609"/>
  <c r="HB242" i="14609"/>
  <c r="HC242" i="14609"/>
  <c r="HD242" i="14609"/>
  <c r="HE242" i="14609"/>
  <c r="HF242" i="14609"/>
  <c r="HG242" i="14609"/>
  <c r="HH242" i="14609"/>
  <c r="HI242" i="14609"/>
  <c r="HJ242" i="14609"/>
  <c r="HK242" i="14609"/>
  <c r="HL242" i="14609"/>
  <c r="HM242" i="14609"/>
  <c r="HN242" i="14609"/>
  <c r="HO242" i="14609"/>
  <c r="HP242" i="14609"/>
  <c r="HQ242" i="14609"/>
  <c r="HR242" i="14609"/>
  <c r="HS242" i="14609"/>
  <c r="HT242" i="14609"/>
  <c r="HU242" i="14609"/>
  <c r="HV242" i="14609"/>
  <c r="HW242" i="14609"/>
  <c r="HX242" i="14609"/>
  <c r="HY242" i="14609"/>
  <c r="HZ242" i="14609"/>
  <c r="IA242" i="14609"/>
  <c r="IB242" i="14609"/>
  <c r="IC242" i="14609"/>
  <c r="ID242" i="14609"/>
  <c r="IE242" i="14609"/>
  <c r="IF242" i="14609"/>
  <c r="IG242" i="14609"/>
  <c r="IH242" i="14609"/>
  <c r="II242" i="14609"/>
  <c r="IJ242" i="14609"/>
  <c r="IK242" i="14609"/>
  <c r="IL242" i="14609"/>
  <c r="IM242" i="14609"/>
  <c r="IN242" i="14609"/>
  <c r="IO242" i="14609"/>
  <c r="IP242" i="14609"/>
  <c r="IQ242" i="14609"/>
  <c r="IR242" i="14609"/>
  <c r="IS242" i="14609"/>
  <c r="IT242" i="14609"/>
  <c r="IU242" i="14609"/>
  <c r="IV242" i="14609"/>
  <c r="A241" i="14609"/>
  <c r="B241" i="14609"/>
  <c r="C241" i="14609"/>
  <c r="D241" i="14609"/>
  <c r="E241" i="14609"/>
  <c r="F241" i="14609"/>
  <c r="G241" i="14609"/>
  <c r="H241" i="14609"/>
  <c r="I241" i="14609"/>
  <c r="J241" i="14609"/>
  <c r="K241" i="14609"/>
  <c r="L241" i="14609"/>
  <c r="M241" i="14609"/>
  <c r="N241" i="14609"/>
  <c r="O241" i="14609"/>
  <c r="P241" i="14609"/>
  <c r="Q241" i="14609"/>
  <c r="R241" i="14609"/>
  <c r="S241" i="14609"/>
  <c r="T241" i="14609"/>
  <c r="U241" i="14609"/>
  <c r="V241" i="14609"/>
  <c r="W241" i="14609"/>
  <c r="X241" i="14609"/>
  <c r="Y241" i="14609"/>
  <c r="Z241" i="14609"/>
  <c r="AA241" i="14609"/>
  <c r="AB241" i="14609"/>
  <c r="AC241" i="14609"/>
  <c r="AD241" i="14609"/>
  <c r="AE241" i="14609"/>
  <c r="AF241" i="14609"/>
  <c r="AG241" i="14609"/>
  <c r="AH241" i="14609"/>
  <c r="AI241" i="14609"/>
  <c r="AJ241" i="14609"/>
  <c r="AK241" i="14609"/>
  <c r="AL241" i="14609"/>
  <c r="AM241" i="14609"/>
  <c r="AN241" i="14609"/>
  <c r="AO241" i="14609"/>
  <c r="AP241" i="14609"/>
  <c r="AQ241" i="14609"/>
  <c r="AR241" i="14609"/>
  <c r="AS241" i="14609"/>
  <c r="AT241" i="14609"/>
  <c r="AU241" i="14609"/>
  <c r="AV241" i="14609"/>
  <c r="AW241" i="14609"/>
  <c r="AX241" i="14609"/>
  <c r="AY241" i="14609"/>
  <c r="AZ241" i="14609"/>
  <c r="BA241" i="14609"/>
  <c r="BB241" i="14609"/>
  <c r="BC241" i="14609"/>
  <c r="BD241" i="14609"/>
  <c r="BE241" i="14609"/>
  <c r="BF241" i="14609"/>
  <c r="BG241" i="14609"/>
  <c r="BH241" i="14609"/>
  <c r="BI241" i="14609"/>
  <c r="BJ241" i="14609"/>
  <c r="BK241" i="14609"/>
  <c r="BL241" i="14609"/>
  <c r="BM241" i="14609"/>
  <c r="BN241" i="14609"/>
  <c r="BO241" i="14609"/>
  <c r="BP241" i="14609"/>
  <c r="BQ241" i="14609"/>
  <c r="BR241" i="14609"/>
  <c r="BS241" i="14609"/>
  <c r="BT241" i="14609"/>
  <c r="BU241" i="14609"/>
  <c r="BV241" i="14609"/>
  <c r="BW241" i="14609"/>
  <c r="BX241" i="14609"/>
  <c r="BY241" i="14609"/>
  <c r="BZ241" i="14609"/>
  <c r="CA241" i="14609"/>
  <c r="CB241" i="14609"/>
  <c r="CC241" i="14609"/>
  <c r="CD241" i="14609"/>
  <c r="CE241" i="14609"/>
  <c r="CF241" i="14609"/>
  <c r="CG241" i="14609"/>
  <c r="CH241" i="14609"/>
  <c r="CI241" i="14609"/>
  <c r="CJ241" i="14609"/>
  <c r="CK241" i="14609"/>
  <c r="CL241" i="14609"/>
  <c r="CM241" i="14609"/>
  <c r="CN241" i="14609"/>
  <c r="CO241" i="14609"/>
  <c r="CP241" i="14609"/>
  <c r="CQ241" i="14609"/>
  <c r="CR241" i="14609"/>
  <c r="CS241" i="14609"/>
  <c r="CT241" i="14609"/>
  <c r="CU241" i="14609"/>
  <c r="CV241" i="14609"/>
  <c r="CW241" i="14609"/>
  <c r="CX241" i="14609"/>
  <c r="CY241" i="14609"/>
  <c r="CZ241" i="14609"/>
  <c r="DA241" i="14609"/>
  <c r="DB241" i="14609"/>
  <c r="DC241" i="14609"/>
  <c r="DD241" i="14609"/>
  <c r="DE241" i="14609"/>
  <c r="DF241" i="14609"/>
  <c r="DG241" i="14609"/>
  <c r="DH241" i="14609"/>
  <c r="DI241" i="14609"/>
  <c r="DJ241" i="14609"/>
  <c r="DK241" i="14609"/>
  <c r="DL241" i="14609"/>
  <c r="DM241" i="14609"/>
  <c r="DN241" i="14609"/>
  <c r="DO241" i="14609"/>
  <c r="DP241" i="14609"/>
  <c r="DQ241" i="14609"/>
  <c r="DR241" i="14609"/>
  <c r="DS241" i="14609"/>
  <c r="DT241" i="14609"/>
  <c r="DU241" i="14609"/>
  <c r="DV241" i="14609"/>
  <c r="DW241" i="14609"/>
  <c r="DX241" i="14609"/>
  <c r="DY241" i="14609"/>
  <c r="DZ241" i="14609"/>
  <c r="EA241" i="14609"/>
  <c r="EB241" i="14609"/>
  <c r="EC241" i="14609"/>
  <c r="ED241" i="14609"/>
  <c r="EE241" i="14609"/>
  <c r="EF241" i="14609"/>
  <c r="EG241" i="14609"/>
  <c r="EH241" i="14609"/>
  <c r="EI241" i="14609"/>
  <c r="EJ241" i="14609"/>
  <c r="EK241" i="14609"/>
  <c r="EL241" i="14609"/>
  <c r="EM241" i="14609"/>
  <c r="EN241" i="14609"/>
  <c r="EO241" i="14609"/>
  <c r="EP241" i="14609"/>
  <c r="EQ241" i="14609"/>
  <c r="ER241" i="14609"/>
  <c r="ES241" i="14609"/>
  <c r="ET241" i="14609"/>
  <c r="EU241" i="14609"/>
  <c r="EV241" i="14609"/>
  <c r="EW241" i="14609"/>
  <c r="EX241" i="14609"/>
  <c r="EY241" i="14609"/>
  <c r="EZ241" i="14609"/>
  <c r="FA241" i="14609"/>
  <c r="FB241" i="14609"/>
  <c r="FC241" i="14609"/>
  <c r="FD241" i="14609"/>
  <c r="FE241" i="14609"/>
  <c r="FF241" i="14609"/>
  <c r="FG241" i="14609"/>
  <c r="FH241" i="14609"/>
  <c r="FI241" i="14609"/>
  <c r="FJ241" i="14609"/>
  <c r="FK241" i="14609"/>
  <c r="FL241" i="14609"/>
  <c r="FM241" i="14609"/>
  <c r="FN241" i="14609"/>
  <c r="FO241" i="14609"/>
  <c r="FP241" i="14609"/>
  <c r="FQ241" i="14609"/>
  <c r="FR241" i="14609"/>
  <c r="FS241" i="14609"/>
  <c r="FT241" i="14609"/>
  <c r="FU241" i="14609"/>
  <c r="FV241" i="14609"/>
  <c r="FW241" i="14609"/>
  <c r="FX241" i="14609"/>
  <c r="FY241" i="14609"/>
  <c r="FZ241" i="14609"/>
  <c r="GA241" i="14609"/>
  <c r="GB241" i="14609"/>
  <c r="GC241" i="14609"/>
  <c r="GD241" i="14609"/>
  <c r="GE241" i="14609"/>
  <c r="GF241" i="14609"/>
  <c r="GG241" i="14609"/>
  <c r="GH241" i="14609"/>
  <c r="GI241" i="14609"/>
  <c r="GJ241" i="14609"/>
  <c r="GK241" i="14609"/>
  <c r="GL241" i="14609"/>
  <c r="GM241" i="14609"/>
  <c r="GN241" i="14609"/>
  <c r="GO241" i="14609"/>
  <c r="GP241" i="14609"/>
  <c r="GQ241" i="14609"/>
  <c r="GR241" i="14609"/>
  <c r="GS241" i="14609"/>
  <c r="GT241" i="14609"/>
  <c r="GU241" i="14609"/>
  <c r="GV241" i="14609"/>
  <c r="GW241" i="14609"/>
  <c r="GX241" i="14609"/>
  <c r="GY241" i="14609"/>
  <c r="GZ241" i="14609"/>
  <c r="HA241" i="14609"/>
  <c r="HB241" i="14609"/>
  <c r="HC241" i="14609"/>
  <c r="HD241" i="14609"/>
  <c r="HE241" i="14609"/>
  <c r="HF241" i="14609"/>
  <c r="HG241" i="14609"/>
  <c r="HH241" i="14609"/>
  <c r="HI241" i="14609"/>
  <c r="HJ241" i="14609"/>
  <c r="HK241" i="14609"/>
  <c r="HL241" i="14609"/>
  <c r="HM241" i="14609"/>
  <c r="HN241" i="14609"/>
  <c r="HO241" i="14609"/>
  <c r="HP241" i="14609"/>
  <c r="HQ241" i="14609"/>
  <c r="HR241" i="14609"/>
  <c r="HS241" i="14609"/>
  <c r="HT241" i="14609"/>
  <c r="HU241" i="14609"/>
  <c r="HV241" i="14609"/>
  <c r="HW241" i="14609"/>
  <c r="HX241" i="14609"/>
  <c r="HY241" i="14609"/>
  <c r="HZ241" i="14609"/>
  <c r="IA241" i="14609"/>
  <c r="IB241" i="14609"/>
  <c r="IC241" i="14609"/>
  <c r="ID241" i="14609"/>
  <c r="IE241" i="14609"/>
  <c r="IF241" i="14609"/>
  <c r="IG241" i="14609"/>
  <c r="IH241" i="14609"/>
  <c r="II241" i="14609"/>
  <c r="IJ241" i="14609"/>
  <c r="IK241" i="14609"/>
  <c r="IL241" i="14609"/>
  <c r="IM241" i="14609"/>
  <c r="IN241" i="14609"/>
  <c r="IO241" i="14609"/>
  <c r="IP241" i="14609"/>
  <c r="IQ241" i="14609"/>
  <c r="IR241" i="14609"/>
  <c r="IS241" i="14609"/>
  <c r="IT241" i="14609"/>
  <c r="IU241" i="14609"/>
  <c r="IV241" i="14609"/>
  <c r="A240" i="14609"/>
  <c r="B240" i="14609"/>
  <c r="C240" i="14609"/>
  <c r="D240" i="14609"/>
  <c r="E240" i="14609"/>
  <c r="F240" i="14609"/>
  <c r="G240" i="14609"/>
  <c r="H240" i="14609"/>
  <c r="I240" i="14609"/>
  <c r="J240" i="14609"/>
  <c r="K240" i="14609"/>
  <c r="L240" i="14609"/>
  <c r="M240" i="14609"/>
  <c r="N240" i="14609"/>
  <c r="O240" i="14609"/>
  <c r="P240" i="14609"/>
  <c r="Q240" i="14609"/>
  <c r="R240" i="14609"/>
  <c r="S240" i="14609"/>
  <c r="T240" i="14609"/>
  <c r="U240" i="14609"/>
  <c r="V240" i="14609"/>
  <c r="W240" i="14609"/>
  <c r="X240" i="14609"/>
  <c r="Y240" i="14609"/>
  <c r="Z240" i="14609"/>
  <c r="AA240" i="14609"/>
  <c r="AB240" i="14609"/>
  <c r="AC240" i="14609"/>
  <c r="AD240" i="14609"/>
  <c r="AE240" i="14609"/>
  <c r="AF240" i="14609"/>
  <c r="AG240" i="14609"/>
  <c r="AH240" i="14609"/>
  <c r="AI240" i="14609"/>
  <c r="AJ240" i="14609"/>
  <c r="AK240" i="14609"/>
  <c r="AL240" i="14609"/>
  <c r="AM240" i="14609"/>
  <c r="AN240" i="14609"/>
  <c r="AO240" i="14609"/>
  <c r="AP240" i="14609"/>
  <c r="AQ240" i="14609"/>
  <c r="AR240" i="14609"/>
  <c r="AS240" i="14609"/>
  <c r="AT240" i="14609"/>
  <c r="AU240" i="14609"/>
  <c r="AV240" i="14609"/>
  <c r="AW240" i="14609"/>
  <c r="AX240" i="14609"/>
  <c r="AY240" i="14609"/>
  <c r="AZ240" i="14609"/>
  <c r="BA240" i="14609"/>
  <c r="BB240" i="14609"/>
  <c r="BC240" i="14609"/>
  <c r="BD240" i="14609"/>
  <c r="BE240" i="14609"/>
  <c r="BF240" i="14609"/>
  <c r="BG240" i="14609"/>
  <c r="BH240" i="14609"/>
  <c r="BI240" i="14609"/>
  <c r="BJ240" i="14609"/>
  <c r="BK240" i="14609"/>
  <c r="BL240" i="14609"/>
  <c r="BM240" i="14609"/>
  <c r="BN240" i="14609"/>
  <c r="BO240" i="14609"/>
  <c r="BP240" i="14609"/>
  <c r="BQ240" i="14609"/>
  <c r="BR240" i="14609"/>
  <c r="BS240" i="14609"/>
  <c r="BT240" i="14609"/>
  <c r="BU240" i="14609"/>
  <c r="BV240" i="14609"/>
  <c r="BW240" i="14609"/>
  <c r="BX240" i="14609"/>
  <c r="BY240" i="14609"/>
  <c r="BZ240" i="14609"/>
  <c r="CA240" i="14609"/>
  <c r="CB240" i="14609"/>
  <c r="CC240" i="14609"/>
  <c r="CD240" i="14609"/>
  <c r="CE240" i="14609"/>
  <c r="CF240" i="14609"/>
  <c r="CG240" i="14609"/>
  <c r="CH240" i="14609"/>
  <c r="CI240" i="14609"/>
  <c r="CJ240" i="14609"/>
  <c r="CK240" i="14609"/>
  <c r="CL240" i="14609"/>
  <c r="CM240" i="14609"/>
  <c r="CN240" i="14609"/>
  <c r="CO240" i="14609"/>
  <c r="CP240" i="14609"/>
  <c r="CQ240" i="14609"/>
  <c r="CR240" i="14609"/>
  <c r="CS240" i="14609"/>
  <c r="CT240" i="14609"/>
  <c r="CU240" i="14609"/>
  <c r="CV240" i="14609"/>
  <c r="CW240" i="14609"/>
  <c r="CX240" i="14609"/>
  <c r="CY240" i="14609"/>
  <c r="CZ240" i="14609"/>
  <c r="DA240" i="14609"/>
  <c r="DB240" i="14609"/>
  <c r="DC240" i="14609"/>
  <c r="DD240" i="14609"/>
  <c r="DE240" i="14609"/>
  <c r="DF240" i="14609"/>
  <c r="DG240" i="14609"/>
  <c r="DH240" i="14609"/>
  <c r="DI240" i="14609"/>
  <c r="DJ240" i="14609"/>
  <c r="DK240" i="14609"/>
  <c r="DL240" i="14609"/>
  <c r="DM240" i="14609"/>
  <c r="DN240" i="14609"/>
  <c r="DO240" i="14609"/>
  <c r="DP240" i="14609"/>
  <c r="DQ240" i="14609"/>
  <c r="DR240" i="14609"/>
  <c r="DS240" i="14609"/>
  <c r="DT240" i="14609"/>
  <c r="DU240" i="14609"/>
  <c r="DV240" i="14609"/>
  <c r="DW240" i="14609"/>
  <c r="DX240" i="14609"/>
  <c r="DY240" i="14609"/>
  <c r="DZ240" i="14609"/>
  <c r="EA240" i="14609"/>
  <c r="EB240" i="14609"/>
  <c r="EC240" i="14609"/>
  <c r="ED240" i="14609"/>
  <c r="EE240" i="14609"/>
  <c r="EF240" i="14609"/>
  <c r="EG240" i="14609"/>
  <c r="EH240" i="14609"/>
  <c r="EI240" i="14609"/>
  <c r="EJ240" i="14609"/>
  <c r="EK240" i="14609"/>
  <c r="EL240" i="14609"/>
  <c r="EM240" i="14609"/>
  <c r="EN240" i="14609"/>
  <c r="EO240" i="14609"/>
  <c r="EP240" i="14609"/>
  <c r="EQ240" i="14609"/>
  <c r="ER240" i="14609"/>
  <c r="ES240" i="14609"/>
  <c r="ET240" i="14609"/>
  <c r="EU240" i="14609"/>
  <c r="EV240" i="14609"/>
  <c r="EW240" i="14609"/>
  <c r="EX240" i="14609"/>
  <c r="EY240" i="14609"/>
  <c r="EZ240" i="14609"/>
  <c r="FA240" i="14609"/>
  <c r="FB240" i="14609"/>
  <c r="FC240" i="14609"/>
  <c r="FD240" i="14609"/>
  <c r="FE240" i="14609"/>
  <c r="FF240" i="14609"/>
  <c r="FG240" i="14609"/>
  <c r="FH240" i="14609"/>
  <c r="FI240" i="14609"/>
  <c r="FJ240" i="14609"/>
  <c r="FK240" i="14609"/>
  <c r="FL240" i="14609"/>
  <c r="FM240" i="14609"/>
  <c r="FN240" i="14609"/>
  <c r="FO240" i="14609"/>
  <c r="FP240" i="14609"/>
  <c r="FQ240" i="14609"/>
  <c r="FR240" i="14609"/>
  <c r="FS240" i="14609"/>
  <c r="FT240" i="14609"/>
  <c r="FU240" i="14609"/>
  <c r="FV240" i="14609"/>
  <c r="FW240" i="14609"/>
  <c r="FX240" i="14609"/>
  <c r="FY240" i="14609"/>
  <c r="FZ240" i="14609"/>
  <c r="GA240" i="14609"/>
  <c r="GB240" i="14609"/>
  <c r="GC240" i="14609"/>
  <c r="GD240" i="14609"/>
  <c r="GE240" i="14609"/>
  <c r="GF240" i="14609"/>
  <c r="GG240" i="14609"/>
  <c r="GH240" i="14609"/>
  <c r="GI240" i="14609"/>
  <c r="GJ240" i="14609"/>
  <c r="GK240" i="14609"/>
  <c r="GL240" i="14609"/>
  <c r="GM240" i="14609"/>
  <c r="GN240" i="14609"/>
  <c r="GO240" i="14609"/>
  <c r="GP240" i="14609"/>
  <c r="GQ240" i="14609"/>
  <c r="GR240" i="14609"/>
  <c r="GS240" i="14609"/>
  <c r="GT240" i="14609"/>
  <c r="GU240" i="14609"/>
  <c r="GV240" i="14609"/>
  <c r="GW240" i="14609"/>
  <c r="GX240" i="14609"/>
  <c r="GY240" i="14609"/>
  <c r="GZ240" i="14609"/>
  <c r="HA240" i="14609"/>
  <c r="HB240" i="14609"/>
  <c r="HC240" i="14609"/>
  <c r="HD240" i="14609"/>
  <c r="HE240" i="14609"/>
  <c r="HF240" i="14609"/>
  <c r="HG240" i="14609"/>
  <c r="HH240" i="14609"/>
  <c r="HI240" i="14609"/>
  <c r="HJ240" i="14609"/>
  <c r="HK240" i="14609"/>
  <c r="HL240" i="14609"/>
  <c r="HM240" i="14609"/>
  <c r="HN240" i="14609"/>
  <c r="HO240" i="14609"/>
  <c r="HP240" i="14609"/>
  <c r="HQ240" i="14609"/>
  <c r="HR240" i="14609"/>
  <c r="HS240" i="14609"/>
  <c r="HT240" i="14609"/>
  <c r="HU240" i="14609"/>
  <c r="HV240" i="14609"/>
  <c r="HW240" i="14609"/>
  <c r="HX240" i="14609"/>
  <c r="HY240" i="14609"/>
  <c r="HZ240" i="14609"/>
  <c r="IA240" i="14609"/>
  <c r="IB240" i="14609"/>
  <c r="IC240" i="14609"/>
  <c r="ID240" i="14609"/>
  <c r="IE240" i="14609"/>
  <c r="IF240" i="14609"/>
  <c r="IG240" i="14609"/>
  <c r="IH240" i="14609"/>
  <c r="II240" i="14609"/>
  <c r="IJ240" i="14609"/>
  <c r="IK240" i="14609"/>
  <c r="IL240" i="14609"/>
  <c r="IM240" i="14609"/>
  <c r="IN240" i="14609"/>
  <c r="IO240" i="14609"/>
  <c r="IP240" i="14609"/>
  <c r="IQ240" i="14609"/>
  <c r="IR240" i="14609"/>
  <c r="IS240" i="14609"/>
  <c r="IT240" i="14609"/>
  <c r="IU240" i="14609"/>
  <c r="IV240" i="14609"/>
  <c r="A239" i="14609"/>
  <c r="B239" i="14609"/>
  <c r="C239" i="14609"/>
  <c r="D239" i="14609"/>
  <c r="E239" i="14609"/>
  <c r="F239" i="14609"/>
  <c r="G239" i="14609"/>
  <c r="H239" i="14609"/>
  <c r="I239" i="14609"/>
  <c r="J239" i="14609"/>
  <c r="K239" i="14609"/>
  <c r="L239" i="14609"/>
  <c r="M239" i="14609"/>
  <c r="N239" i="14609"/>
  <c r="O239" i="14609"/>
  <c r="P239" i="14609"/>
  <c r="Q239" i="14609"/>
  <c r="R239" i="14609"/>
  <c r="S239" i="14609"/>
  <c r="T239" i="14609"/>
  <c r="U239" i="14609"/>
  <c r="V239" i="14609"/>
  <c r="W239" i="14609"/>
  <c r="X239" i="14609"/>
  <c r="Y239" i="14609"/>
  <c r="Z239" i="14609"/>
  <c r="AA239" i="14609"/>
  <c r="AB239" i="14609"/>
  <c r="AC239" i="14609"/>
  <c r="AD239" i="14609"/>
  <c r="AE239" i="14609"/>
  <c r="AF239" i="14609"/>
  <c r="AG239" i="14609"/>
  <c r="AH239" i="14609"/>
  <c r="AI239" i="14609"/>
  <c r="AJ239" i="14609"/>
  <c r="AK239" i="14609"/>
  <c r="AL239" i="14609"/>
  <c r="AM239" i="14609"/>
  <c r="AN239" i="14609"/>
  <c r="AO239" i="14609"/>
  <c r="AP239" i="14609"/>
  <c r="AQ239" i="14609"/>
  <c r="AR239" i="14609"/>
  <c r="AS239" i="14609"/>
  <c r="AT239" i="14609"/>
  <c r="AU239" i="14609"/>
  <c r="AV239" i="14609"/>
  <c r="AW239" i="14609"/>
  <c r="AX239" i="14609"/>
  <c r="AY239" i="14609"/>
  <c r="AZ239" i="14609"/>
  <c r="BA239" i="14609"/>
  <c r="BB239" i="14609"/>
  <c r="BC239" i="14609"/>
  <c r="BD239" i="14609"/>
  <c r="BE239" i="14609"/>
  <c r="BF239" i="14609"/>
  <c r="BG239" i="14609"/>
  <c r="BH239" i="14609"/>
  <c r="BI239" i="14609"/>
  <c r="BJ239" i="14609"/>
  <c r="BK239" i="14609"/>
  <c r="BL239" i="14609"/>
  <c r="BM239" i="14609"/>
  <c r="BN239" i="14609"/>
  <c r="BO239" i="14609"/>
  <c r="BP239" i="14609"/>
  <c r="BQ239" i="14609"/>
  <c r="BR239" i="14609"/>
  <c r="BS239" i="14609"/>
  <c r="BT239" i="14609"/>
  <c r="BU239" i="14609"/>
  <c r="BV239" i="14609"/>
  <c r="BW239" i="14609"/>
  <c r="BX239" i="14609"/>
  <c r="BY239" i="14609"/>
  <c r="BZ239" i="14609"/>
  <c r="CA239" i="14609"/>
  <c r="CB239" i="14609"/>
  <c r="CC239" i="14609"/>
  <c r="CD239" i="14609"/>
  <c r="CE239" i="14609"/>
  <c r="CF239" i="14609"/>
  <c r="CG239" i="14609"/>
  <c r="CH239" i="14609"/>
  <c r="CI239" i="14609"/>
  <c r="CJ239" i="14609"/>
  <c r="CK239" i="14609"/>
  <c r="CL239" i="14609"/>
  <c r="CM239" i="14609"/>
  <c r="CN239" i="14609"/>
  <c r="CO239" i="14609"/>
  <c r="CP239" i="14609"/>
  <c r="CQ239" i="14609"/>
  <c r="CR239" i="14609"/>
  <c r="CS239" i="14609"/>
  <c r="CT239" i="14609"/>
  <c r="CU239" i="14609"/>
  <c r="CV239" i="14609"/>
  <c r="CW239" i="14609"/>
  <c r="CX239" i="14609"/>
  <c r="CY239" i="14609"/>
  <c r="CZ239" i="14609"/>
  <c r="DA239" i="14609"/>
  <c r="DB239" i="14609"/>
  <c r="DC239" i="14609"/>
  <c r="DD239" i="14609"/>
  <c r="DE239" i="14609"/>
  <c r="DF239" i="14609"/>
  <c r="DG239" i="14609"/>
  <c r="DH239" i="14609"/>
  <c r="DI239" i="14609"/>
  <c r="DJ239" i="14609"/>
  <c r="DK239" i="14609"/>
  <c r="DL239" i="14609"/>
  <c r="DM239" i="14609"/>
  <c r="DN239" i="14609"/>
  <c r="DO239" i="14609"/>
  <c r="DP239" i="14609"/>
  <c r="DQ239" i="14609"/>
  <c r="DR239" i="14609"/>
  <c r="DS239" i="14609"/>
  <c r="DT239" i="14609"/>
  <c r="DU239" i="14609"/>
  <c r="DV239" i="14609"/>
  <c r="DW239" i="14609"/>
  <c r="DX239" i="14609"/>
  <c r="DY239" i="14609"/>
  <c r="DZ239" i="14609"/>
  <c r="EA239" i="14609"/>
  <c r="EB239" i="14609"/>
  <c r="EC239" i="14609"/>
  <c r="ED239" i="14609"/>
  <c r="EE239" i="14609"/>
  <c r="EF239" i="14609"/>
  <c r="EG239" i="14609"/>
  <c r="EH239" i="14609"/>
  <c r="EI239" i="14609"/>
  <c r="EJ239" i="14609"/>
  <c r="EK239" i="14609"/>
  <c r="EL239" i="14609"/>
  <c r="EM239" i="14609"/>
  <c r="EN239" i="14609"/>
  <c r="EO239" i="14609"/>
  <c r="EP239" i="14609"/>
  <c r="EQ239" i="14609"/>
  <c r="ER239" i="14609"/>
  <c r="ES239" i="14609"/>
  <c r="ET239" i="14609"/>
  <c r="EU239" i="14609"/>
  <c r="EV239" i="14609"/>
  <c r="EW239" i="14609"/>
  <c r="EX239" i="14609"/>
  <c r="EY239" i="14609"/>
  <c r="EZ239" i="14609"/>
  <c r="FA239" i="14609"/>
  <c r="FB239" i="14609"/>
  <c r="FC239" i="14609"/>
  <c r="FD239" i="14609"/>
  <c r="FE239" i="14609"/>
  <c r="FF239" i="14609"/>
  <c r="FG239" i="14609"/>
  <c r="FH239" i="14609"/>
  <c r="FI239" i="14609"/>
  <c r="FJ239" i="14609"/>
  <c r="FK239" i="14609"/>
  <c r="FL239" i="14609"/>
  <c r="FM239" i="14609"/>
  <c r="FN239" i="14609"/>
  <c r="FO239" i="14609"/>
  <c r="FP239" i="14609"/>
  <c r="FQ239" i="14609"/>
  <c r="FR239" i="14609"/>
  <c r="FS239" i="14609"/>
  <c r="FT239" i="14609"/>
  <c r="FU239" i="14609"/>
  <c r="FV239" i="14609"/>
  <c r="FW239" i="14609"/>
  <c r="FX239" i="14609"/>
  <c r="FY239" i="14609"/>
  <c r="FZ239" i="14609"/>
  <c r="GA239" i="14609"/>
  <c r="GB239" i="14609"/>
  <c r="GC239" i="14609"/>
  <c r="GD239" i="14609"/>
  <c r="GE239" i="14609"/>
  <c r="GF239" i="14609"/>
  <c r="GG239" i="14609"/>
  <c r="GH239" i="14609"/>
  <c r="GI239" i="14609"/>
  <c r="GJ239" i="14609"/>
  <c r="GK239" i="14609"/>
  <c r="GL239" i="14609"/>
  <c r="GM239" i="14609"/>
  <c r="GN239" i="14609"/>
  <c r="GO239" i="14609"/>
  <c r="GP239" i="14609"/>
  <c r="GQ239" i="14609"/>
  <c r="GR239" i="14609"/>
  <c r="GS239" i="14609"/>
  <c r="GT239" i="14609"/>
  <c r="GU239" i="14609"/>
  <c r="GV239" i="14609"/>
  <c r="GW239" i="14609"/>
  <c r="GX239" i="14609"/>
  <c r="GY239" i="14609"/>
  <c r="GZ239" i="14609"/>
  <c r="HA239" i="14609"/>
  <c r="HB239" i="14609"/>
  <c r="HC239" i="14609"/>
  <c r="HD239" i="14609"/>
  <c r="HE239" i="14609"/>
  <c r="HF239" i="14609"/>
  <c r="HG239" i="14609"/>
  <c r="HH239" i="14609"/>
  <c r="HI239" i="14609"/>
  <c r="HJ239" i="14609"/>
  <c r="HK239" i="14609"/>
  <c r="HL239" i="14609"/>
  <c r="HM239" i="14609"/>
  <c r="HN239" i="14609"/>
  <c r="HO239" i="14609"/>
  <c r="HP239" i="14609"/>
  <c r="HQ239" i="14609"/>
  <c r="HR239" i="14609"/>
  <c r="HS239" i="14609"/>
  <c r="HT239" i="14609"/>
  <c r="HU239" i="14609"/>
  <c r="HV239" i="14609"/>
  <c r="HW239" i="14609"/>
  <c r="HX239" i="14609"/>
  <c r="HY239" i="14609"/>
  <c r="HZ239" i="14609"/>
  <c r="IA239" i="14609"/>
  <c r="IB239" i="14609"/>
  <c r="IC239" i="14609"/>
  <c r="ID239" i="14609"/>
  <c r="IE239" i="14609"/>
  <c r="IF239" i="14609"/>
  <c r="IG239" i="14609"/>
  <c r="IH239" i="14609"/>
  <c r="II239" i="14609"/>
  <c r="IJ239" i="14609"/>
  <c r="IK239" i="14609"/>
  <c r="IL239" i="14609"/>
  <c r="IM239" i="14609"/>
  <c r="IN239" i="14609"/>
  <c r="IO239" i="14609"/>
  <c r="IP239" i="14609"/>
  <c r="IQ239" i="14609"/>
  <c r="IR239" i="14609"/>
  <c r="IS239" i="14609"/>
  <c r="IT239" i="14609"/>
  <c r="IU239" i="14609"/>
  <c r="IV239" i="14609"/>
  <c r="A238" i="14609"/>
  <c r="B238" i="14609"/>
  <c r="C238" i="14609"/>
  <c r="D238" i="14609"/>
  <c r="E238" i="14609"/>
  <c r="F238" i="14609"/>
  <c r="G238" i="14609"/>
  <c r="H238" i="14609"/>
  <c r="I238" i="14609"/>
  <c r="J238" i="14609"/>
  <c r="K238" i="14609"/>
  <c r="L238" i="14609"/>
  <c r="M238" i="14609"/>
  <c r="N238" i="14609"/>
  <c r="O238" i="14609"/>
  <c r="P238" i="14609"/>
  <c r="Q238" i="14609"/>
  <c r="R238" i="14609"/>
  <c r="S238" i="14609"/>
  <c r="T238" i="14609"/>
  <c r="U238" i="14609"/>
  <c r="V238" i="14609"/>
  <c r="W238" i="14609"/>
  <c r="X238" i="14609"/>
  <c r="Y238" i="14609"/>
  <c r="Z238" i="14609"/>
  <c r="AA238" i="14609"/>
  <c r="AB238" i="14609"/>
  <c r="AC238" i="14609"/>
  <c r="AD238" i="14609"/>
  <c r="AE238" i="14609"/>
  <c r="AF238" i="14609"/>
  <c r="AG238" i="14609"/>
  <c r="AH238" i="14609"/>
  <c r="AI238" i="14609"/>
  <c r="AJ238" i="14609"/>
  <c r="AK238" i="14609"/>
  <c r="AL238" i="14609"/>
  <c r="AM238" i="14609"/>
  <c r="AN238" i="14609"/>
  <c r="AO238" i="14609"/>
  <c r="AP238" i="14609"/>
  <c r="AQ238" i="14609"/>
  <c r="AR238" i="14609"/>
  <c r="AS238" i="14609"/>
  <c r="AT238" i="14609"/>
  <c r="AU238" i="14609"/>
  <c r="AV238" i="14609"/>
  <c r="AW238" i="14609"/>
  <c r="AX238" i="14609"/>
  <c r="AY238" i="14609"/>
  <c r="AZ238" i="14609"/>
  <c r="BA238" i="14609"/>
  <c r="BB238" i="14609"/>
  <c r="BC238" i="14609"/>
  <c r="BD238" i="14609"/>
  <c r="BE238" i="14609"/>
  <c r="BF238" i="14609"/>
  <c r="BG238" i="14609"/>
  <c r="BH238" i="14609"/>
  <c r="BI238" i="14609"/>
  <c r="BJ238" i="14609"/>
  <c r="BK238" i="14609"/>
  <c r="BL238" i="14609"/>
  <c r="BM238" i="14609"/>
  <c r="BN238" i="14609"/>
  <c r="BO238" i="14609"/>
  <c r="BP238" i="14609"/>
  <c r="BQ238" i="14609"/>
  <c r="BR238" i="14609"/>
  <c r="BS238" i="14609"/>
  <c r="BT238" i="14609"/>
  <c r="BU238" i="14609"/>
  <c r="BV238" i="14609"/>
  <c r="BW238" i="14609"/>
  <c r="BX238" i="14609"/>
  <c r="BY238" i="14609"/>
  <c r="BZ238" i="14609"/>
  <c r="CA238" i="14609"/>
  <c r="CB238" i="14609"/>
  <c r="CC238" i="14609"/>
  <c r="CD238" i="14609"/>
  <c r="CE238" i="14609"/>
  <c r="CF238" i="14609"/>
  <c r="CG238" i="14609"/>
  <c r="CH238" i="14609"/>
  <c r="CI238" i="14609"/>
  <c r="CJ238" i="14609"/>
  <c r="CK238" i="14609"/>
  <c r="CL238" i="14609"/>
  <c r="CM238" i="14609"/>
  <c r="CN238" i="14609"/>
  <c r="CO238" i="14609"/>
  <c r="CP238" i="14609"/>
  <c r="CQ238" i="14609"/>
  <c r="CR238" i="14609"/>
  <c r="CS238" i="14609"/>
  <c r="CT238" i="14609"/>
  <c r="CU238" i="14609"/>
  <c r="CV238" i="14609"/>
  <c r="CW238" i="14609"/>
  <c r="CX238" i="14609"/>
  <c r="CY238" i="14609"/>
  <c r="CZ238" i="14609"/>
  <c r="DA238" i="14609"/>
  <c r="DB238" i="14609"/>
  <c r="DC238" i="14609"/>
  <c r="DD238" i="14609"/>
  <c r="DE238" i="14609"/>
  <c r="DF238" i="14609"/>
  <c r="DG238" i="14609"/>
  <c r="DH238" i="14609"/>
  <c r="DI238" i="14609"/>
  <c r="DJ238" i="14609"/>
  <c r="DK238" i="14609"/>
  <c r="DL238" i="14609"/>
  <c r="DM238" i="14609"/>
  <c r="DN238" i="14609"/>
  <c r="DO238" i="14609"/>
  <c r="DP238" i="14609"/>
  <c r="DQ238" i="14609"/>
  <c r="DR238" i="14609"/>
  <c r="DS238" i="14609"/>
  <c r="DT238" i="14609"/>
  <c r="DU238" i="14609"/>
  <c r="DV238" i="14609"/>
  <c r="DW238" i="14609"/>
  <c r="DX238" i="14609"/>
  <c r="DY238" i="14609"/>
  <c r="DZ238" i="14609"/>
  <c r="EA238" i="14609"/>
  <c r="EB238" i="14609"/>
  <c r="EC238" i="14609"/>
  <c r="ED238" i="14609"/>
  <c r="EE238" i="14609"/>
  <c r="EF238" i="14609"/>
  <c r="EG238" i="14609"/>
  <c r="EH238" i="14609"/>
  <c r="EI238" i="14609"/>
  <c r="EJ238" i="14609"/>
  <c r="EK238" i="14609"/>
  <c r="EL238" i="14609"/>
  <c r="EM238" i="14609"/>
  <c r="EN238" i="14609"/>
  <c r="EO238" i="14609"/>
  <c r="EP238" i="14609"/>
  <c r="EQ238" i="14609"/>
  <c r="ER238" i="14609"/>
  <c r="ES238" i="14609"/>
  <c r="ET238" i="14609"/>
  <c r="EU238" i="14609"/>
  <c r="EV238" i="14609"/>
  <c r="EW238" i="14609"/>
  <c r="EX238" i="14609"/>
  <c r="EY238" i="14609"/>
  <c r="EZ238" i="14609"/>
  <c r="FA238" i="14609"/>
  <c r="FB238" i="14609"/>
  <c r="FC238" i="14609"/>
  <c r="FD238" i="14609"/>
  <c r="FE238" i="14609"/>
  <c r="FF238" i="14609"/>
  <c r="FG238" i="14609"/>
  <c r="FH238" i="14609"/>
  <c r="FI238" i="14609"/>
  <c r="FJ238" i="14609"/>
  <c r="FK238" i="14609"/>
  <c r="FL238" i="14609"/>
  <c r="FM238" i="14609"/>
  <c r="FN238" i="14609"/>
  <c r="FO238" i="14609"/>
  <c r="FP238" i="14609"/>
  <c r="FQ238" i="14609"/>
  <c r="FR238" i="14609"/>
  <c r="FS238" i="14609"/>
  <c r="FT238" i="14609"/>
  <c r="FU238" i="14609"/>
  <c r="FV238" i="14609"/>
  <c r="FW238" i="14609"/>
  <c r="FX238" i="14609"/>
  <c r="FY238" i="14609"/>
  <c r="FZ238" i="14609"/>
  <c r="GA238" i="14609"/>
  <c r="GB238" i="14609"/>
  <c r="GC238" i="14609"/>
  <c r="GD238" i="14609"/>
  <c r="GE238" i="14609"/>
  <c r="GF238" i="14609"/>
  <c r="GG238" i="14609"/>
  <c r="GH238" i="14609"/>
  <c r="GI238" i="14609"/>
  <c r="GJ238" i="14609"/>
  <c r="GK238" i="14609"/>
  <c r="GL238" i="14609"/>
  <c r="GM238" i="14609"/>
  <c r="GN238" i="14609"/>
  <c r="GO238" i="14609"/>
  <c r="GP238" i="14609"/>
  <c r="GQ238" i="14609"/>
  <c r="GR238" i="14609"/>
  <c r="GS238" i="14609"/>
  <c r="GT238" i="14609"/>
  <c r="GU238" i="14609"/>
  <c r="GV238" i="14609"/>
  <c r="GW238" i="14609"/>
  <c r="GX238" i="14609"/>
  <c r="GY238" i="14609"/>
  <c r="GZ238" i="14609"/>
  <c r="HA238" i="14609"/>
  <c r="HB238" i="14609"/>
  <c r="HC238" i="14609"/>
  <c r="HD238" i="14609"/>
  <c r="HE238" i="14609"/>
  <c r="HF238" i="14609"/>
  <c r="HG238" i="14609"/>
  <c r="HH238" i="14609"/>
  <c r="HI238" i="14609"/>
  <c r="HJ238" i="14609"/>
  <c r="HK238" i="14609"/>
  <c r="HL238" i="14609"/>
  <c r="HM238" i="14609"/>
  <c r="HN238" i="14609"/>
  <c r="HO238" i="14609"/>
  <c r="HP238" i="14609"/>
  <c r="HQ238" i="14609"/>
  <c r="HR238" i="14609"/>
  <c r="HS238" i="14609"/>
  <c r="HT238" i="14609"/>
  <c r="HU238" i="14609"/>
  <c r="HV238" i="14609"/>
  <c r="HW238" i="14609"/>
  <c r="HX238" i="14609"/>
  <c r="HY238" i="14609"/>
  <c r="HZ238" i="14609"/>
  <c r="IA238" i="14609"/>
  <c r="IB238" i="14609"/>
  <c r="IC238" i="14609"/>
  <c r="ID238" i="14609"/>
  <c r="IE238" i="14609"/>
  <c r="IF238" i="14609"/>
  <c r="IG238" i="14609"/>
  <c r="IH238" i="14609"/>
  <c r="II238" i="14609"/>
  <c r="IJ238" i="14609"/>
  <c r="IK238" i="14609"/>
  <c r="IL238" i="14609"/>
  <c r="IM238" i="14609"/>
  <c r="IN238" i="14609"/>
  <c r="IO238" i="14609"/>
  <c r="IP238" i="14609"/>
  <c r="IQ238" i="14609"/>
  <c r="IR238" i="14609"/>
  <c r="IS238" i="14609"/>
  <c r="IT238" i="14609"/>
  <c r="IU238" i="14609"/>
  <c r="IV238" i="14609"/>
  <c r="A237" i="14609"/>
  <c r="B237" i="14609"/>
  <c r="C237" i="14609"/>
  <c r="D237" i="14609"/>
  <c r="E237" i="14609"/>
  <c r="F237" i="14609"/>
  <c r="G237" i="14609"/>
  <c r="H237" i="14609"/>
  <c r="I237" i="14609"/>
  <c r="J237" i="14609"/>
  <c r="K237" i="14609"/>
  <c r="L237" i="14609"/>
  <c r="M237" i="14609"/>
  <c r="N237" i="14609"/>
  <c r="O237" i="14609"/>
  <c r="P237" i="14609"/>
  <c r="Q237" i="14609"/>
  <c r="R237" i="14609"/>
  <c r="S237" i="14609"/>
  <c r="T237" i="14609"/>
  <c r="U237" i="14609"/>
  <c r="V237" i="14609"/>
  <c r="W237" i="14609"/>
  <c r="X237" i="14609"/>
  <c r="Y237" i="14609"/>
  <c r="Z237" i="14609"/>
  <c r="AA237" i="14609"/>
  <c r="AB237" i="14609"/>
  <c r="AC237" i="14609"/>
  <c r="AD237" i="14609"/>
  <c r="AE237" i="14609"/>
  <c r="AF237" i="14609"/>
  <c r="AG237" i="14609"/>
  <c r="AH237" i="14609"/>
  <c r="AI237" i="14609"/>
  <c r="AJ237" i="14609"/>
  <c r="AK237" i="14609"/>
  <c r="AL237" i="14609"/>
  <c r="AM237" i="14609"/>
  <c r="AN237" i="14609"/>
  <c r="AO237" i="14609"/>
  <c r="AP237" i="14609"/>
  <c r="AQ237" i="14609"/>
  <c r="AR237" i="14609"/>
  <c r="AS237" i="14609"/>
  <c r="AT237" i="14609"/>
  <c r="AU237" i="14609"/>
  <c r="AV237" i="14609"/>
  <c r="AW237" i="14609"/>
  <c r="AX237" i="14609"/>
  <c r="AY237" i="14609"/>
  <c r="AZ237" i="14609"/>
  <c r="BA237" i="14609"/>
  <c r="BB237" i="14609"/>
  <c r="BC237" i="14609"/>
  <c r="BD237" i="14609"/>
  <c r="BE237" i="14609"/>
  <c r="BF237" i="14609"/>
  <c r="BG237" i="14609"/>
  <c r="BH237" i="14609"/>
  <c r="BI237" i="14609"/>
  <c r="BJ237" i="14609"/>
  <c r="BK237" i="14609"/>
  <c r="BL237" i="14609"/>
  <c r="BM237" i="14609"/>
  <c r="BN237" i="14609"/>
  <c r="BO237" i="14609"/>
  <c r="BP237" i="14609"/>
  <c r="BQ237" i="14609"/>
  <c r="BR237" i="14609"/>
  <c r="BS237" i="14609"/>
  <c r="BT237" i="14609"/>
  <c r="BU237" i="14609"/>
  <c r="BV237" i="14609"/>
  <c r="BW237" i="14609"/>
  <c r="BX237" i="14609"/>
  <c r="BY237" i="14609"/>
  <c r="BZ237" i="14609"/>
  <c r="CA237" i="14609"/>
  <c r="CB237" i="14609"/>
  <c r="CC237" i="14609"/>
  <c r="CD237" i="14609"/>
  <c r="CE237" i="14609"/>
  <c r="CF237" i="14609"/>
  <c r="CG237" i="14609"/>
  <c r="CH237" i="14609"/>
  <c r="CI237" i="14609"/>
  <c r="CJ237" i="14609"/>
  <c r="CK237" i="14609"/>
  <c r="CL237" i="14609"/>
  <c r="CM237" i="14609"/>
  <c r="CN237" i="14609"/>
  <c r="CO237" i="14609"/>
  <c r="CP237" i="14609"/>
  <c r="CQ237" i="14609"/>
  <c r="CR237" i="14609"/>
  <c r="CS237" i="14609"/>
  <c r="CT237" i="14609"/>
  <c r="CU237" i="14609"/>
  <c r="CV237" i="14609"/>
  <c r="CW237" i="14609"/>
  <c r="CX237" i="14609"/>
  <c r="CY237" i="14609"/>
  <c r="CZ237" i="14609"/>
  <c r="DA237" i="14609"/>
  <c r="DB237" i="14609"/>
  <c r="DC237" i="14609"/>
  <c r="DD237" i="14609"/>
  <c r="DE237" i="14609"/>
  <c r="DF237" i="14609"/>
  <c r="DG237" i="14609"/>
  <c r="DH237" i="14609"/>
  <c r="DI237" i="14609"/>
  <c r="DJ237" i="14609"/>
  <c r="DK237" i="14609"/>
  <c r="DL237" i="14609"/>
  <c r="DM237" i="14609"/>
  <c r="DN237" i="14609"/>
  <c r="DO237" i="14609"/>
  <c r="DP237" i="14609"/>
  <c r="DQ237" i="14609"/>
  <c r="DR237" i="14609"/>
  <c r="DS237" i="14609"/>
  <c r="DT237" i="14609"/>
  <c r="DU237" i="14609"/>
  <c r="DV237" i="14609"/>
  <c r="DW237" i="14609"/>
  <c r="DX237" i="14609"/>
  <c r="DY237" i="14609"/>
  <c r="DZ237" i="14609"/>
  <c r="EA237" i="14609"/>
  <c r="EB237" i="14609"/>
  <c r="EC237" i="14609"/>
  <c r="ED237" i="14609"/>
  <c r="EE237" i="14609"/>
  <c r="EF237" i="14609"/>
  <c r="EG237" i="14609"/>
  <c r="EH237" i="14609"/>
  <c r="EI237" i="14609"/>
  <c r="EJ237" i="14609"/>
  <c r="EK237" i="14609"/>
  <c r="EL237" i="14609"/>
  <c r="EM237" i="14609"/>
  <c r="EN237" i="14609"/>
  <c r="EO237" i="14609"/>
  <c r="EP237" i="14609"/>
  <c r="EQ237" i="14609"/>
  <c r="ER237" i="14609"/>
  <c r="ES237" i="14609"/>
  <c r="ET237" i="14609"/>
  <c r="EU237" i="14609"/>
  <c r="EV237" i="14609"/>
  <c r="EW237" i="14609"/>
  <c r="EX237" i="14609"/>
  <c r="EY237" i="14609"/>
  <c r="EZ237" i="14609"/>
  <c r="FA237" i="14609"/>
  <c r="FB237" i="14609"/>
  <c r="FC237" i="14609"/>
  <c r="FD237" i="14609"/>
  <c r="FE237" i="14609"/>
  <c r="FF237" i="14609"/>
  <c r="FG237" i="14609"/>
  <c r="FH237" i="14609"/>
  <c r="FI237" i="14609"/>
  <c r="FJ237" i="14609"/>
  <c r="FK237" i="14609"/>
  <c r="FL237" i="14609"/>
  <c r="FM237" i="14609"/>
  <c r="FN237" i="14609"/>
  <c r="FO237" i="14609"/>
  <c r="FP237" i="14609"/>
  <c r="FQ237" i="14609"/>
  <c r="FR237" i="14609"/>
  <c r="FS237" i="14609"/>
  <c r="FT237" i="14609"/>
  <c r="FU237" i="14609"/>
  <c r="FV237" i="14609"/>
  <c r="FW237" i="14609"/>
  <c r="FX237" i="14609"/>
  <c r="FY237" i="14609"/>
  <c r="FZ237" i="14609"/>
  <c r="GA237" i="14609"/>
  <c r="GB237" i="14609"/>
  <c r="GC237" i="14609"/>
  <c r="GD237" i="14609"/>
  <c r="GE237" i="14609"/>
  <c r="GF237" i="14609"/>
  <c r="GG237" i="14609"/>
  <c r="GH237" i="14609"/>
  <c r="GI237" i="14609"/>
  <c r="GJ237" i="14609"/>
  <c r="GK237" i="14609"/>
  <c r="GL237" i="14609"/>
  <c r="GM237" i="14609"/>
  <c r="GN237" i="14609"/>
  <c r="GO237" i="14609"/>
  <c r="GP237" i="14609"/>
  <c r="GQ237" i="14609"/>
  <c r="GR237" i="14609"/>
  <c r="GS237" i="14609"/>
  <c r="GT237" i="14609"/>
  <c r="GU237" i="14609"/>
  <c r="GV237" i="14609"/>
  <c r="GW237" i="14609"/>
  <c r="GX237" i="14609"/>
  <c r="GY237" i="14609"/>
  <c r="GZ237" i="14609"/>
  <c r="HA237" i="14609"/>
  <c r="HB237" i="14609"/>
  <c r="HC237" i="14609"/>
  <c r="HD237" i="14609"/>
  <c r="HE237" i="14609"/>
  <c r="HF237" i="14609"/>
  <c r="HG237" i="14609"/>
  <c r="HH237" i="14609"/>
  <c r="HI237" i="14609"/>
  <c r="HJ237" i="14609"/>
  <c r="HK237" i="14609"/>
  <c r="HL237" i="14609"/>
  <c r="HM237" i="14609"/>
  <c r="HN237" i="14609"/>
  <c r="HO237" i="14609"/>
  <c r="HP237" i="14609"/>
  <c r="HQ237" i="14609"/>
  <c r="HR237" i="14609"/>
  <c r="HS237" i="14609"/>
  <c r="HT237" i="14609"/>
  <c r="HU237" i="14609"/>
  <c r="HV237" i="14609"/>
  <c r="HW237" i="14609"/>
  <c r="HX237" i="14609"/>
  <c r="HY237" i="14609"/>
  <c r="HZ237" i="14609"/>
  <c r="IA237" i="14609"/>
  <c r="IB237" i="14609"/>
  <c r="IC237" i="14609"/>
  <c r="ID237" i="14609"/>
  <c r="IE237" i="14609"/>
  <c r="IF237" i="14609"/>
  <c r="IG237" i="14609"/>
  <c r="IH237" i="14609"/>
  <c r="II237" i="14609"/>
  <c r="IJ237" i="14609"/>
  <c r="IK237" i="14609"/>
  <c r="IL237" i="14609"/>
  <c r="IM237" i="14609"/>
  <c r="IN237" i="14609"/>
  <c r="IO237" i="14609"/>
  <c r="IP237" i="14609"/>
  <c r="IQ237" i="14609"/>
  <c r="IR237" i="14609"/>
  <c r="IS237" i="14609"/>
  <c r="IT237" i="14609"/>
  <c r="IU237" i="14609"/>
  <c r="IV237" i="14609"/>
  <c r="A236" i="14609"/>
  <c r="B236" i="14609"/>
  <c r="C236" i="14609"/>
  <c r="D236" i="14609"/>
  <c r="E236" i="14609"/>
  <c r="F236" i="14609"/>
  <c r="G236" i="14609"/>
  <c r="H236" i="14609"/>
  <c r="I236" i="14609"/>
  <c r="J236" i="14609"/>
  <c r="K236" i="14609"/>
  <c r="L236" i="14609"/>
  <c r="M236" i="14609"/>
  <c r="N236" i="14609"/>
  <c r="O236" i="14609"/>
  <c r="P236" i="14609"/>
  <c r="Q236" i="14609"/>
  <c r="R236" i="14609"/>
  <c r="S236" i="14609"/>
  <c r="T236" i="14609"/>
  <c r="U236" i="14609"/>
  <c r="V236" i="14609"/>
  <c r="W236" i="14609"/>
  <c r="X236" i="14609"/>
  <c r="Y236" i="14609"/>
  <c r="Z236" i="14609"/>
  <c r="AA236" i="14609"/>
  <c r="AB236" i="14609"/>
  <c r="AC236" i="14609"/>
  <c r="AD236" i="14609"/>
  <c r="AE236" i="14609"/>
  <c r="AF236" i="14609"/>
  <c r="AG236" i="14609"/>
  <c r="AH236" i="14609"/>
  <c r="AI236" i="14609"/>
  <c r="AJ236" i="14609"/>
  <c r="AK236" i="14609"/>
  <c r="AL236" i="14609"/>
  <c r="AM236" i="14609"/>
  <c r="AN236" i="14609"/>
  <c r="AO236" i="14609"/>
  <c r="AP236" i="14609"/>
  <c r="AQ236" i="14609"/>
  <c r="AR236" i="14609"/>
  <c r="AS236" i="14609"/>
  <c r="AT236" i="14609"/>
  <c r="AU236" i="14609"/>
  <c r="AV236" i="14609"/>
  <c r="AW236" i="14609"/>
  <c r="AX236" i="14609"/>
  <c r="AY236" i="14609"/>
  <c r="AZ236" i="14609"/>
  <c r="BA236" i="14609"/>
  <c r="BB236" i="14609"/>
  <c r="BC236" i="14609"/>
  <c r="BD236" i="14609"/>
  <c r="BE236" i="14609"/>
  <c r="BF236" i="14609"/>
  <c r="BG236" i="14609"/>
  <c r="BH236" i="14609"/>
  <c r="BI236" i="14609"/>
  <c r="BJ236" i="14609"/>
  <c r="BK236" i="14609"/>
  <c r="BL236" i="14609"/>
  <c r="BM236" i="14609"/>
  <c r="BN236" i="14609"/>
  <c r="BO236" i="14609"/>
  <c r="BP236" i="14609"/>
  <c r="BQ236" i="14609"/>
  <c r="BR236" i="14609"/>
  <c r="BS236" i="14609"/>
  <c r="BT236" i="14609"/>
  <c r="BU236" i="14609"/>
  <c r="BV236" i="14609"/>
  <c r="BW236" i="14609"/>
  <c r="BX236" i="14609"/>
  <c r="BY236" i="14609"/>
  <c r="BZ236" i="14609"/>
  <c r="CA236" i="14609"/>
  <c r="CB236" i="14609"/>
  <c r="CC236" i="14609"/>
  <c r="CD236" i="14609"/>
  <c r="CE236" i="14609"/>
  <c r="CF236" i="14609"/>
  <c r="CG236" i="14609"/>
  <c r="CH236" i="14609"/>
  <c r="CI236" i="14609"/>
  <c r="CJ236" i="14609"/>
  <c r="CK236" i="14609"/>
  <c r="CL236" i="14609"/>
  <c r="CM236" i="14609"/>
  <c r="CN236" i="14609"/>
  <c r="CO236" i="14609"/>
  <c r="CP236" i="14609"/>
  <c r="CQ236" i="14609"/>
  <c r="CR236" i="14609"/>
  <c r="CS236" i="14609"/>
  <c r="CT236" i="14609"/>
  <c r="CU236" i="14609"/>
  <c r="CV236" i="14609"/>
  <c r="CW236" i="14609"/>
  <c r="CX236" i="14609"/>
  <c r="CY236" i="14609"/>
  <c r="CZ236" i="14609"/>
  <c r="DA236" i="14609"/>
  <c r="DB236" i="14609"/>
  <c r="DC236" i="14609"/>
  <c r="DD236" i="14609"/>
  <c r="DE236" i="14609"/>
  <c r="DF236" i="14609"/>
  <c r="DG236" i="14609"/>
  <c r="DH236" i="14609"/>
  <c r="DI236" i="14609"/>
  <c r="DJ236" i="14609"/>
  <c r="DK236" i="14609"/>
  <c r="DL236" i="14609"/>
  <c r="DM236" i="14609"/>
  <c r="DN236" i="14609"/>
  <c r="DO236" i="14609"/>
  <c r="DP236" i="14609"/>
  <c r="DQ236" i="14609"/>
  <c r="DR236" i="14609"/>
  <c r="DS236" i="14609"/>
  <c r="DT236" i="14609"/>
  <c r="DU236" i="14609"/>
  <c r="DV236" i="14609"/>
  <c r="DW236" i="14609"/>
  <c r="DX236" i="14609"/>
  <c r="DY236" i="14609"/>
  <c r="DZ236" i="14609"/>
  <c r="EA236" i="14609"/>
  <c r="EB236" i="14609"/>
  <c r="EC236" i="14609"/>
  <c r="ED236" i="14609"/>
  <c r="EE236" i="14609"/>
  <c r="EF236" i="14609"/>
  <c r="EG236" i="14609"/>
  <c r="EH236" i="14609"/>
  <c r="EI236" i="14609"/>
  <c r="EJ236" i="14609"/>
  <c r="EK236" i="14609"/>
  <c r="EL236" i="14609"/>
  <c r="EM236" i="14609"/>
  <c r="EN236" i="14609"/>
  <c r="EO236" i="14609"/>
  <c r="EP236" i="14609"/>
  <c r="EQ236" i="14609"/>
  <c r="ER236" i="14609"/>
  <c r="ES236" i="14609"/>
  <c r="ET236" i="14609"/>
  <c r="EU236" i="14609"/>
  <c r="EV236" i="14609"/>
  <c r="EW236" i="14609"/>
  <c r="EX236" i="14609"/>
  <c r="EY236" i="14609"/>
  <c r="EZ236" i="14609"/>
  <c r="FA236" i="14609"/>
  <c r="FB236" i="14609"/>
  <c r="FC236" i="14609"/>
  <c r="FD236" i="14609"/>
  <c r="FE236" i="14609"/>
  <c r="FF236" i="14609"/>
  <c r="FG236" i="14609"/>
  <c r="FH236" i="14609"/>
  <c r="FI236" i="14609"/>
  <c r="FJ236" i="14609"/>
  <c r="FK236" i="14609"/>
  <c r="FL236" i="14609"/>
  <c r="FM236" i="14609"/>
  <c r="FN236" i="14609"/>
  <c r="FO236" i="14609"/>
  <c r="FP236" i="14609"/>
  <c r="FQ236" i="14609"/>
  <c r="FR236" i="14609"/>
  <c r="FS236" i="14609"/>
  <c r="FT236" i="14609"/>
  <c r="FU236" i="14609"/>
  <c r="FV236" i="14609"/>
  <c r="FW236" i="14609"/>
  <c r="FX236" i="14609"/>
  <c r="FY236" i="14609"/>
  <c r="FZ236" i="14609"/>
  <c r="GA236" i="14609"/>
  <c r="GB236" i="14609"/>
  <c r="GC236" i="14609"/>
  <c r="GD236" i="14609"/>
  <c r="GE236" i="14609"/>
  <c r="GF236" i="14609"/>
  <c r="GG236" i="14609"/>
  <c r="GH236" i="14609"/>
  <c r="GI236" i="14609"/>
  <c r="GJ236" i="14609"/>
  <c r="GK236" i="14609"/>
  <c r="GL236" i="14609"/>
  <c r="GM236" i="14609"/>
  <c r="GN236" i="14609"/>
  <c r="GO236" i="14609"/>
  <c r="GP236" i="14609"/>
  <c r="GQ236" i="14609"/>
  <c r="GR236" i="14609"/>
  <c r="GS236" i="14609"/>
  <c r="GT236" i="14609"/>
  <c r="GU236" i="14609"/>
  <c r="GV236" i="14609"/>
  <c r="GW236" i="14609"/>
  <c r="GX236" i="14609"/>
  <c r="GY236" i="14609"/>
  <c r="GZ236" i="14609"/>
  <c r="HA236" i="14609"/>
  <c r="HB236" i="14609"/>
  <c r="HC236" i="14609"/>
  <c r="HD236" i="14609"/>
  <c r="HE236" i="14609"/>
  <c r="HF236" i="14609"/>
  <c r="HG236" i="14609"/>
  <c r="HH236" i="14609"/>
  <c r="HI236" i="14609"/>
  <c r="HJ236" i="14609"/>
  <c r="HK236" i="14609"/>
  <c r="HL236" i="14609"/>
  <c r="HM236" i="14609"/>
  <c r="HN236" i="14609"/>
  <c r="HO236" i="14609"/>
  <c r="HP236" i="14609"/>
  <c r="HQ236" i="14609"/>
  <c r="HR236" i="14609"/>
  <c r="HS236" i="14609"/>
  <c r="HT236" i="14609"/>
  <c r="HU236" i="14609"/>
  <c r="HV236" i="14609"/>
  <c r="HW236" i="14609"/>
  <c r="HX236" i="14609"/>
  <c r="HY236" i="14609"/>
  <c r="HZ236" i="14609"/>
  <c r="IA236" i="14609"/>
  <c r="IB236" i="14609"/>
  <c r="IC236" i="14609"/>
  <c r="ID236" i="14609"/>
  <c r="IE236" i="14609"/>
  <c r="IF236" i="14609"/>
  <c r="IG236" i="14609"/>
  <c r="IH236" i="14609"/>
  <c r="II236" i="14609"/>
  <c r="IJ236" i="14609"/>
  <c r="IK236" i="14609"/>
  <c r="IL236" i="14609"/>
  <c r="IM236" i="14609"/>
  <c r="IN236" i="14609"/>
  <c r="IO236" i="14609"/>
  <c r="IP236" i="14609"/>
  <c r="IQ236" i="14609"/>
  <c r="IR236" i="14609"/>
  <c r="IS236" i="14609"/>
  <c r="IT236" i="14609"/>
  <c r="IU236" i="14609"/>
  <c r="IV236" i="14609"/>
  <c r="A235" i="14609"/>
  <c r="B235" i="14609"/>
  <c r="C235" i="14609"/>
  <c r="D235" i="14609"/>
  <c r="E235" i="14609"/>
  <c r="F235" i="14609"/>
  <c r="G235" i="14609"/>
  <c r="H235" i="14609"/>
  <c r="I235" i="14609"/>
  <c r="J235" i="14609"/>
  <c r="K235" i="14609"/>
  <c r="L235" i="14609"/>
  <c r="M235" i="14609"/>
  <c r="N235" i="14609"/>
  <c r="O235" i="14609"/>
  <c r="P235" i="14609"/>
  <c r="Q235" i="14609"/>
  <c r="R235" i="14609"/>
  <c r="S235" i="14609"/>
  <c r="T235" i="14609"/>
  <c r="U235" i="14609"/>
  <c r="V235" i="14609"/>
  <c r="W235" i="14609"/>
  <c r="X235" i="14609"/>
  <c r="Y235" i="14609"/>
  <c r="Z235" i="14609"/>
  <c r="AA235" i="14609"/>
  <c r="AB235" i="14609"/>
  <c r="AC235" i="14609"/>
  <c r="AD235" i="14609"/>
  <c r="AE235" i="14609"/>
  <c r="AF235" i="14609"/>
  <c r="AG235" i="14609"/>
  <c r="AH235" i="14609"/>
  <c r="AI235" i="14609"/>
  <c r="AJ235" i="14609"/>
  <c r="AK235" i="14609"/>
  <c r="AL235" i="14609"/>
  <c r="AM235" i="14609"/>
  <c r="AN235" i="14609"/>
  <c r="AO235" i="14609"/>
  <c r="AP235" i="14609"/>
  <c r="AQ235" i="14609"/>
  <c r="AR235" i="14609"/>
  <c r="AS235" i="14609"/>
  <c r="AT235" i="14609"/>
  <c r="AU235" i="14609"/>
  <c r="AV235" i="14609"/>
  <c r="AW235" i="14609"/>
  <c r="AX235" i="14609"/>
  <c r="AY235" i="14609"/>
  <c r="AZ235" i="14609"/>
  <c r="BA235" i="14609"/>
  <c r="BB235" i="14609"/>
  <c r="BC235" i="14609"/>
  <c r="BD235" i="14609"/>
  <c r="BE235" i="14609"/>
  <c r="BF235" i="14609"/>
  <c r="BG235" i="14609"/>
  <c r="BH235" i="14609"/>
  <c r="BI235" i="14609"/>
  <c r="BJ235" i="14609"/>
  <c r="BK235" i="14609"/>
  <c r="BL235" i="14609"/>
  <c r="BM235" i="14609"/>
  <c r="BN235" i="14609"/>
  <c r="BO235" i="14609"/>
  <c r="BP235" i="14609"/>
  <c r="BQ235" i="14609"/>
  <c r="BR235" i="14609"/>
  <c r="BS235" i="14609"/>
  <c r="BT235" i="14609"/>
  <c r="BU235" i="14609"/>
  <c r="BV235" i="14609"/>
  <c r="BW235" i="14609"/>
  <c r="BX235" i="14609"/>
  <c r="BY235" i="14609"/>
  <c r="BZ235" i="14609"/>
  <c r="CA235" i="14609"/>
  <c r="CB235" i="14609"/>
  <c r="CC235" i="14609"/>
  <c r="CD235" i="14609"/>
  <c r="CE235" i="14609"/>
  <c r="CF235" i="14609"/>
  <c r="CG235" i="14609"/>
  <c r="CH235" i="14609"/>
  <c r="CI235" i="14609"/>
  <c r="CJ235" i="14609"/>
  <c r="CK235" i="14609"/>
  <c r="CL235" i="14609"/>
  <c r="CM235" i="14609"/>
  <c r="CN235" i="14609"/>
  <c r="CO235" i="14609"/>
  <c r="CP235" i="14609"/>
  <c r="CQ235" i="14609"/>
  <c r="CR235" i="14609"/>
  <c r="CS235" i="14609"/>
  <c r="CT235" i="14609"/>
  <c r="CU235" i="14609"/>
  <c r="CV235" i="14609"/>
  <c r="CW235" i="14609"/>
  <c r="CX235" i="14609"/>
  <c r="CY235" i="14609"/>
  <c r="CZ235" i="14609"/>
  <c r="DA235" i="14609"/>
  <c r="DB235" i="14609"/>
  <c r="DC235" i="14609"/>
  <c r="DD235" i="14609"/>
  <c r="DE235" i="14609"/>
  <c r="DF235" i="14609"/>
  <c r="DG235" i="14609"/>
  <c r="DH235" i="14609"/>
  <c r="DI235" i="14609"/>
  <c r="DJ235" i="14609"/>
  <c r="DK235" i="14609"/>
  <c r="DL235" i="14609"/>
  <c r="DM235" i="14609"/>
  <c r="DN235" i="14609"/>
  <c r="DO235" i="14609"/>
  <c r="DP235" i="14609"/>
  <c r="DQ235" i="14609"/>
  <c r="DR235" i="14609"/>
  <c r="DS235" i="14609"/>
  <c r="DT235" i="14609"/>
  <c r="DU235" i="14609"/>
  <c r="DV235" i="14609"/>
  <c r="DW235" i="14609"/>
  <c r="DX235" i="14609"/>
  <c r="DY235" i="14609"/>
  <c r="DZ235" i="14609"/>
  <c r="EA235" i="14609"/>
  <c r="EB235" i="14609"/>
  <c r="EC235" i="14609"/>
  <c r="ED235" i="14609"/>
  <c r="EE235" i="14609"/>
  <c r="EF235" i="14609"/>
  <c r="EG235" i="14609"/>
  <c r="EH235" i="14609"/>
  <c r="EI235" i="14609"/>
  <c r="EJ235" i="14609"/>
  <c r="EK235" i="14609"/>
  <c r="EL235" i="14609"/>
  <c r="EM235" i="14609"/>
  <c r="EN235" i="14609"/>
  <c r="EO235" i="14609"/>
  <c r="EP235" i="14609"/>
  <c r="EQ235" i="14609"/>
  <c r="ER235" i="14609"/>
  <c r="ES235" i="14609"/>
  <c r="ET235" i="14609"/>
  <c r="EU235" i="14609"/>
  <c r="EV235" i="14609"/>
  <c r="EW235" i="14609"/>
  <c r="EX235" i="14609"/>
  <c r="EY235" i="14609"/>
  <c r="EZ235" i="14609"/>
  <c r="FA235" i="14609"/>
  <c r="FB235" i="14609"/>
  <c r="FC235" i="14609"/>
  <c r="FD235" i="14609"/>
  <c r="FE235" i="14609"/>
  <c r="FF235" i="14609"/>
  <c r="FG235" i="14609"/>
  <c r="FH235" i="14609"/>
  <c r="FI235" i="14609"/>
  <c r="FJ235" i="14609"/>
  <c r="FK235" i="14609"/>
  <c r="FL235" i="14609"/>
  <c r="FM235" i="14609"/>
  <c r="FN235" i="14609"/>
  <c r="FO235" i="14609"/>
  <c r="FP235" i="14609"/>
  <c r="FQ235" i="14609"/>
  <c r="FR235" i="14609"/>
  <c r="FS235" i="14609"/>
  <c r="FT235" i="14609"/>
  <c r="FU235" i="14609"/>
  <c r="FV235" i="14609"/>
  <c r="FW235" i="14609"/>
  <c r="FX235" i="14609"/>
  <c r="FY235" i="14609"/>
  <c r="FZ235" i="14609"/>
  <c r="GA235" i="14609"/>
  <c r="GB235" i="14609"/>
  <c r="GC235" i="14609"/>
  <c r="GD235" i="14609"/>
  <c r="GE235" i="14609"/>
  <c r="GF235" i="14609"/>
  <c r="GG235" i="14609"/>
  <c r="GH235" i="14609"/>
  <c r="GI235" i="14609"/>
  <c r="GJ235" i="14609"/>
  <c r="GK235" i="14609"/>
  <c r="GL235" i="14609"/>
  <c r="GM235" i="14609"/>
  <c r="GN235" i="14609"/>
  <c r="GO235" i="14609"/>
  <c r="GP235" i="14609"/>
  <c r="GQ235" i="14609"/>
  <c r="GR235" i="14609"/>
  <c r="GS235" i="14609"/>
  <c r="GT235" i="14609"/>
  <c r="GU235" i="14609"/>
  <c r="GV235" i="14609"/>
  <c r="GW235" i="14609"/>
  <c r="GX235" i="14609"/>
  <c r="GY235" i="14609"/>
  <c r="GZ235" i="14609"/>
  <c r="HA235" i="14609"/>
  <c r="HB235" i="14609"/>
  <c r="HC235" i="14609"/>
  <c r="HD235" i="14609"/>
  <c r="HE235" i="14609"/>
  <c r="HF235" i="14609"/>
  <c r="HG235" i="14609"/>
  <c r="HH235" i="14609"/>
  <c r="HI235" i="14609"/>
  <c r="HJ235" i="14609"/>
  <c r="HK235" i="14609"/>
  <c r="HL235" i="14609"/>
  <c r="HM235" i="14609"/>
  <c r="HN235" i="14609"/>
  <c r="HO235" i="14609"/>
  <c r="HP235" i="14609"/>
  <c r="HQ235" i="14609"/>
  <c r="HR235" i="14609"/>
  <c r="HS235" i="14609"/>
  <c r="HT235" i="14609"/>
  <c r="HU235" i="14609"/>
  <c r="HV235" i="14609"/>
  <c r="HW235" i="14609"/>
  <c r="HX235" i="14609"/>
  <c r="HY235" i="14609"/>
  <c r="HZ235" i="14609"/>
  <c r="IA235" i="14609"/>
  <c r="IB235" i="14609"/>
  <c r="IC235" i="14609"/>
  <c r="ID235" i="14609"/>
  <c r="IE235" i="14609"/>
  <c r="IF235" i="14609"/>
  <c r="IG235" i="14609"/>
  <c r="IH235" i="14609"/>
  <c r="II235" i="14609"/>
  <c r="IJ235" i="14609"/>
  <c r="IK235" i="14609"/>
  <c r="IL235" i="14609"/>
  <c r="IM235" i="14609"/>
  <c r="IN235" i="14609"/>
  <c r="IO235" i="14609"/>
  <c r="IP235" i="14609"/>
  <c r="IQ235" i="14609"/>
  <c r="IR235" i="14609"/>
  <c r="IS235" i="14609"/>
  <c r="IT235" i="14609"/>
  <c r="IU235" i="14609"/>
  <c r="IV235" i="14609"/>
  <c r="A234" i="14609"/>
  <c r="B234" i="14609"/>
  <c r="C234" i="14609"/>
  <c r="D234" i="14609"/>
  <c r="E234" i="14609"/>
  <c r="F234" i="14609"/>
  <c r="G234" i="14609"/>
  <c r="H234" i="14609"/>
  <c r="I234" i="14609"/>
  <c r="J234" i="14609"/>
  <c r="K234" i="14609"/>
  <c r="L234" i="14609"/>
  <c r="M234" i="14609"/>
  <c r="N234" i="14609"/>
  <c r="O234" i="14609"/>
  <c r="P234" i="14609"/>
  <c r="Q234" i="14609"/>
  <c r="R234" i="14609"/>
  <c r="S234" i="14609"/>
  <c r="T234" i="14609"/>
  <c r="U234" i="14609"/>
  <c r="V234" i="14609"/>
  <c r="W234" i="14609"/>
  <c r="X234" i="14609"/>
  <c r="Y234" i="14609"/>
  <c r="Z234" i="14609"/>
  <c r="AA234" i="14609"/>
  <c r="AB234" i="14609"/>
  <c r="AC234" i="14609"/>
  <c r="AD234" i="14609"/>
  <c r="AE234" i="14609"/>
  <c r="AF234" i="14609"/>
  <c r="AG234" i="14609"/>
  <c r="AH234" i="14609"/>
  <c r="AI234" i="14609"/>
  <c r="AJ234" i="14609"/>
  <c r="AK234" i="14609"/>
  <c r="AL234" i="14609"/>
  <c r="AM234" i="14609"/>
  <c r="AN234" i="14609"/>
  <c r="AO234" i="14609"/>
  <c r="AP234" i="14609"/>
  <c r="AQ234" i="14609"/>
  <c r="AR234" i="14609"/>
  <c r="AS234" i="14609"/>
  <c r="AT234" i="14609"/>
  <c r="AU234" i="14609"/>
  <c r="AV234" i="14609"/>
  <c r="AW234" i="14609"/>
  <c r="AX234" i="14609"/>
  <c r="AY234" i="14609"/>
  <c r="AZ234" i="14609"/>
  <c r="BA234" i="14609"/>
  <c r="BB234" i="14609"/>
  <c r="BC234" i="14609"/>
  <c r="BD234" i="14609"/>
  <c r="BE234" i="14609"/>
  <c r="BF234" i="14609"/>
  <c r="BG234" i="14609"/>
  <c r="BH234" i="14609"/>
  <c r="BI234" i="14609"/>
  <c r="BJ234" i="14609"/>
  <c r="BK234" i="14609"/>
  <c r="BL234" i="14609"/>
  <c r="BM234" i="14609"/>
  <c r="BN234" i="14609"/>
  <c r="BO234" i="14609"/>
  <c r="BP234" i="14609"/>
  <c r="BQ234" i="14609"/>
  <c r="BR234" i="14609"/>
  <c r="BS234" i="14609"/>
  <c r="BT234" i="14609"/>
  <c r="BU234" i="14609"/>
  <c r="BV234" i="14609"/>
  <c r="BW234" i="14609"/>
  <c r="BX234" i="14609"/>
  <c r="BY234" i="14609"/>
  <c r="BZ234" i="14609"/>
  <c r="CA234" i="14609"/>
  <c r="CB234" i="14609"/>
  <c r="CC234" i="14609"/>
  <c r="CD234" i="14609"/>
  <c r="CE234" i="14609"/>
  <c r="CF234" i="14609"/>
  <c r="CG234" i="14609"/>
  <c r="CH234" i="14609"/>
  <c r="CI234" i="14609"/>
  <c r="CJ234" i="14609"/>
  <c r="CK234" i="14609"/>
  <c r="CL234" i="14609"/>
  <c r="CM234" i="14609"/>
  <c r="CN234" i="14609"/>
  <c r="CO234" i="14609"/>
  <c r="CP234" i="14609"/>
  <c r="CQ234" i="14609"/>
  <c r="CR234" i="14609"/>
  <c r="CS234" i="14609"/>
  <c r="CT234" i="14609"/>
  <c r="CU234" i="14609"/>
  <c r="CV234" i="14609"/>
  <c r="CW234" i="14609"/>
  <c r="CX234" i="14609"/>
  <c r="CY234" i="14609"/>
  <c r="CZ234" i="14609"/>
  <c r="DA234" i="14609"/>
  <c r="DB234" i="14609"/>
  <c r="DC234" i="14609"/>
  <c r="DD234" i="14609"/>
  <c r="DE234" i="14609"/>
  <c r="DF234" i="14609"/>
  <c r="DG234" i="14609"/>
  <c r="DH234" i="14609"/>
  <c r="DI234" i="14609"/>
  <c r="DJ234" i="14609"/>
  <c r="DK234" i="14609"/>
  <c r="DL234" i="14609"/>
  <c r="DM234" i="14609"/>
  <c r="DN234" i="14609"/>
  <c r="DO234" i="14609"/>
  <c r="DP234" i="14609"/>
  <c r="DQ234" i="14609"/>
  <c r="DR234" i="14609"/>
  <c r="DS234" i="14609"/>
  <c r="DT234" i="14609"/>
  <c r="DU234" i="14609"/>
  <c r="DV234" i="14609"/>
  <c r="DW234" i="14609"/>
  <c r="DX234" i="14609"/>
  <c r="DY234" i="14609"/>
  <c r="DZ234" i="14609"/>
  <c r="EA234" i="14609"/>
  <c r="EB234" i="14609"/>
  <c r="EC234" i="14609"/>
  <c r="ED234" i="14609"/>
  <c r="EE234" i="14609"/>
  <c r="EF234" i="14609"/>
  <c r="EG234" i="14609"/>
  <c r="EH234" i="14609"/>
  <c r="EI234" i="14609"/>
  <c r="EJ234" i="14609"/>
  <c r="EK234" i="14609"/>
  <c r="EL234" i="14609"/>
  <c r="EM234" i="14609"/>
  <c r="EN234" i="14609"/>
  <c r="EO234" i="14609"/>
  <c r="EP234" i="14609"/>
  <c r="EQ234" i="14609"/>
  <c r="ER234" i="14609"/>
  <c r="ES234" i="14609"/>
  <c r="ET234" i="14609"/>
  <c r="EU234" i="14609"/>
  <c r="EV234" i="14609"/>
  <c r="EW234" i="14609"/>
  <c r="EX234" i="14609"/>
  <c r="EY234" i="14609"/>
  <c r="EZ234" i="14609"/>
  <c r="FA234" i="14609"/>
  <c r="FB234" i="14609"/>
  <c r="FC234" i="14609"/>
  <c r="FD234" i="14609"/>
  <c r="FE234" i="14609"/>
  <c r="FF234" i="14609"/>
  <c r="FG234" i="14609"/>
  <c r="FH234" i="14609"/>
  <c r="FI234" i="14609"/>
  <c r="FJ234" i="14609"/>
  <c r="FK234" i="14609"/>
  <c r="FL234" i="14609"/>
  <c r="FM234" i="14609"/>
  <c r="FN234" i="14609"/>
  <c r="FO234" i="14609"/>
  <c r="FP234" i="14609"/>
  <c r="FQ234" i="14609"/>
  <c r="FR234" i="14609"/>
  <c r="FS234" i="14609"/>
  <c r="FT234" i="14609"/>
  <c r="FU234" i="14609"/>
  <c r="FV234" i="14609"/>
  <c r="FW234" i="14609"/>
  <c r="FX234" i="14609"/>
  <c r="FY234" i="14609"/>
  <c r="FZ234" i="14609"/>
  <c r="GA234" i="14609"/>
  <c r="GB234" i="14609"/>
  <c r="GC234" i="14609"/>
  <c r="GD234" i="14609"/>
  <c r="GE234" i="14609"/>
  <c r="GF234" i="14609"/>
  <c r="GG234" i="14609"/>
  <c r="GH234" i="14609"/>
  <c r="GI234" i="14609"/>
  <c r="GJ234" i="14609"/>
  <c r="GK234" i="14609"/>
  <c r="GL234" i="14609"/>
  <c r="GM234" i="14609"/>
  <c r="GN234" i="14609"/>
  <c r="GO234" i="14609"/>
  <c r="GP234" i="14609"/>
  <c r="GQ234" i="14609"/>
  <c r="GR234" i="14609"/>
  <c r="GS234" i="14609"/>
  <c r="GT234" i="14609"/>
  <c r="GU234" i="14609"/>
  <c r="GV234" i="14609"/>
  <c r="GW234" i="14609"/>
  <c r="GX234" i="14609"/>
  <c r="GY234" i="14609"/>
  <c r="GZ234" i="14609"/>
  <c r="HA234" i="14609"/>
  <c r="HB234" i="14609"/>
  <c r="HC234" i="14609"/>
  <c r="HD234" i="14609"/>
  <c r="HE234" i="14609"/>
  <c r="HF234" i="14609"/>
  <c r="HG234" i="14609"/>
  <c r="HH234" i="14609"/>
  <c r="HI234" i="14609"/>
  <c r="HJ234" i="14609"/>
  <c r="HK234" i="14609"/>
  <c r="HL234" i="14609"/>
  <c r="HM234" i="14609"/>
  <c r="HN234" i="14609"/>
  <c r="HO234" i="14609"/>
  <c r="HP234" i="14609"/>
  <c r="HQ234" i="14609"/>
  <c r="HR234" i="14609"/>
  <c r="HS234" i="14609"/>
  <c r="HT234" i="14609"/>
  <c r="HU234" i="14609"/>
  <c r="HV234" i="14609"/>
  <c r="HW234" i="14609"/>
  <c r="HX234" i="14609"/>
  <c r="HY234" i="14609"/>
  <c r="HZ234" i="14609"/>
  <c r="IA234" i="14609"/>
  <c r="IB234" i="14609"/>
  <c r="IC234" i="14609"/>
  <c r="ID234" i="14609"/>
  <c r="IE234" i="14609"/>
  <c r="IF234" i="14609"/>
  <c r="IG234" i="14609"/>
  <c r="IH234" i="14609"/>
  <c r="II234" i="14609"/>
  <c r="IJ234" i="14609"/>
  <c r="IK234" i="14609"/>
  <c r="IL234" i="14609"/>
  <c r="IM234" i="14609"/>
  <c r="IN234" i="14609"/>
  <c r="IO234" i="14609"/>
  <c r="IP234" i="14609"/>
  <c r="IQ234" i="14609"/>
  <c r="IR234" i="14609"/>
  <c r="IS234" i="14609"/>
  <c r="IT234" i="14609"/>
  <c r="IU234" i="14609"/>
  <c r="IV234" i="14609"/>
  <c r="A233" i="14609"/>
  <c r="B233" i="14609"/>
  <c r="C233" i="14609"/>
  <c r="D233" i="14609"/>
  <c r="E233" i="14609"/>
  <c r="F233" i="14609"/>
  <c r="G233" i="14609"/>
  <c r="H233" i="14609"/>
  <c r="I233" i="14609"/>
  <c r="J233" i="14609"/>
  <c r="K233" i="14609"/>
  <c r="L233" i="14609"/>
  <c r="M233" i="14609"/>
  <c r="N233" i="14609"/>
  <c r="O233" i="14609"/>
  <c r="P233" i="14609"/>
  <c r="Q233" i="14609"/>
  <c r="R233" i="14609"/>
  <c r="S233" i="14609"/>
  <c r="T233" i="14609"/>
  <c r="U233" i="14609"/>
  <c r="V233" i="14609"/>
  <c r="W233" i="14609"/>
  <c r="X233" i="14609"/>
  <c r="Y233" i="14609"/>
  <c r="Z233" i="14609"/>
  <c r="AA233" i="14609"/>
  <c r="AB233" i="14609"/>
  <c r="AC233" i="14609"/>
  <c r="AD233" i="14609"/>
  <c r="AE233" i="14609"/>
  <c r="AF233" i="14609"/>
  <c r="AG233" i="14609"/>
  <c r="AH233" i="14609"/>
  <c r="AI233" i="14609"/>
  <c r="AJ233" i="14609"/>
  <c r="AK233" i="14609"/>
  <c r="AL233" i="14609"/>
  <c r="AM233" i="14609"/>
  <c r="AN233" i="14609"/>
  <c r="AO233" i="14609"/>
  <c r="AP233" i="14609"/>
  <c r="AQ233" i="14609"/>
  <c r="AR233" i="14609"/>
  <c r="AS233" i="14609"/>
  <c r="AT233" i="14609"/>
  <c r="AU233" i="14609"/>
  <c r="AV233" i="14609"/>
  <c r="AW233" i="14609"/>
  <c r="AX233" i="14609"/>
  <c r="AY233" i="14609"/>
  <c r="AZ233" i="14609"/>
  <c r="BA233" i="14609"/>
  <c r="BB233" i="14609"/>
  <c r="BC233" i="14609"/>
  <c r="BD233" i="14609"/>
  <c r="BE233" i="14609"/>
  <c r="BF233" i="14609"/>
  <c r="BG233" i="14609"/>
  <c r="BH233" i="14609"/>
  <c r="BI233" i="14609"/>
  <c r="BJ233" i="14609"/>
  <c r="BK233" i="14609"/>
  <c r="BL233" i="14609"/>
  <c r="BM233" i="14609"/>
  <c r="BN233" i="14609"/>
  <c r="BO233" i="14609"/>
  <c r="BP233" i="14609"/>
  <c r="BQ233" i="14609"/>
  <c r="BR233" i="14609"/>
  <c r="BS233" i="14609"/>
  <c r="BT233" i="14609"/>
  <c r="BU233" i="14609"/>
  <c r="BV233" i="14609"/>
  <c r="BW233" i="14609"/>
  <c r="BX233" i="14609"/>
  <c r="BY233" i="14609"/>
  <c r="BZ233" i="14609"/>
  <c r="CA233" i="14609"/>
  <c r="CB233" i="14609"/>
  <c r="CC233" i="14609"/>
  <c r="CD233" i="14609"/>
  <c r="CE233" i="14609"/>
  <c r="CF233" i="14609"/>
  <c r="CG233" i="14609"/>
  <c r="CH233" i="14609"/>
  <c r="CI233" i="14609"/>
  <c r="CJ233" i="14609"/>
  <c r="CK233" i="14609"/>
  <c r="CL233" i="14609"/>
  <c r="CM233" i="14609"/>
  <c r="CN233" i="14609"/>
  <c r="CO233" i="14609"/>
  <c r="CP233" i="14609"/>
  <c r="CQ233" i="14609"/>
  <c r="CR233" i="14609"/>
  <c r="CS233" i="14609"/>
  <c r="CT233" i="14609"/>
  <c r="CU233" i="14609"/>
  <c r="CV233" i="14609"/>
  <c r="CW233" i="14609"/>
  <c r="CX233" i="14609"/>
  <c r="CY233" i="14609"/>
  <c r="CZ233" i="14609"/>
  <c r="DA233" i="14609"/>
  <c r="DB233" i="14609"/>
  <c r="DC233" i="14609"/>
  <c r="DD233" i="14609"/>
  <c r="DE233" i="14609"/>
  <c r="DF233" i="14609"/>
  <c r="DG233" i="14609"/>
  <c r="DH233" i="14609"/>
  <c r="DI233" i="14609"/>
  <c r="DJ233" i="14609"/>
  <c r="DK233" i="14609"/>
  <c r="DL233" i="14609"/>
  <c r="DM233" i="14609"/>
  <c r="DN233" i="14609"/>
  <c r="DO233" i="14609"/>
  <c r="DP233" i="14609"/>
  <c r="DQ233" i="14609"/>
  <c r="DR233" i="14609"/>
  <c r="DS233" i="14609"/>
  <c r="DT233" i="14609"/>
  <c r="DU233" i="14609"/>
  <c r="DV233" i="14609"/>
  <c r="DW233" i="14609"/>
  <c r="DX233" i="14609"/>
  <c r="DY233" i="14609"/>
  <c r="DZ233" i="14609"/>
  <c r="EA233" i="14609"/>
  <c r="EB233" i="14609"/>
  <c r="EC233" i="14609"/>
  <c r="ED233" i="14609"/>
  <c r="EE233" i="14609"/>
  <c r="EF233" i="14609"/>
  <c r="EG233" i="14609"/>
  <c r="EH233" i="14609"/>
  <c r="EI233" i="14609"/>
  <c r="EJ233" i="14609"/>
  <c r="EK233" i="14609"/>
  <c r="EL233" i="14609"/>
  <c r="EM233" i="14609"/>
  <c r="EN233" i="14609"/>
  <c r="EO233" i="14609"/>
  <c r="EP233" i="14609"/>
  <c r="EQ233" i="14609"/>
  <c r="ER233" i="14609"/>
  <c r="ES233" i="14609"/>
  <c r="ET233" i="14609"/>
  <c r="EU233" i="14609"/>
  <c r="EV233" i="14609"/>
  <c r="EW233" i="14609"/>
  <c r="EX233" i="14609"/>
  <c r="EY233" i="14609"/>
  <c r="EZ233" i="14609"/>
  <c r="FA233" i="14609"/>
  <c r="FB233" i="14609"/>
  <c r="FC233" i="14609"/>
  <c r="FD233" i="14609"/>
  <c r="FE233" i="14609"/>
  <c r="FF233" i="14609"/>
  <c r="FG233" i="14609"/>
  <c r="FH233" i="14609"/>
  <c r="FI233" i="14609"/>
  <c r="FJ233" i="14609"/>
  <c r="FK233" i="14609"/>
  <c r="FL233" i="14609"/>
  <c r="FM233" i="14609"/>
  <c r="FN233" i="14609"/>
  <c r="FO233" i="14609"/>
  <c r="FP233" i="14609"/>
  <c r="FQ233" i="14609"/>
  <c r="FR233" i="14609"/>
  <c r="FS233" i="14609"/>
  <c r="FT233" i="14609"/>
  <c r="FU233" i="14609"/>
  <c r="FV233" i="14609"/>
  <c r="FW233" i="14609"/>
  <c r="FX233" i="14609"/>
  <c r="FY233" i="14609"/>
  <c r="FZ233" i="14609"/>
  <c r="GA233" i="14609"/>
  <c r="GB233" i="14609"/>
  <c r="GC233" i="14609"/>
  <c r="GD233" i="14609"/>
  <c r="GE233" i="14609"/>
  <c r="GF233" i="14609"/>
  <c r="GG233" i="14609"/>
  <c r="GH233" i="14609"/>
  <c r="GI233" i="14609"/>
  <c r="GJ233" i="14609"/>
  <c r="GK233" i="14609"/>
  <c r="GL233" i="14609"/>
  <c r="GM233" i="14609"/>
  <c r="GN233" i="14609"/>
  <c r="GO233" i="14609"/>
  <c r="GP233" i="14609"/>
  <c r="GQ233" i="14609"/>
  <c r="GR233" i="14609"/>
  <c r="GS233" i="14609"/>
  <c r="GT233" i="14609"/>
  <c r="GU233" i="14609"/>
  <c r="GV233" i="14609"/>
  <c r="GW233" i="14609"/>
  <c r="GX233" i="14609"/>
  <c r="GY233" i="14609"/>
  <c r="GZ233" i="14609"/>
  <c r="HA233" i="14609"/>
  <c r="HB233" i="14609"/>
  <c r="HC233" i="14609"/>
  <c r="HD233" i="14609"/>
  <c r="HE233" i="14609"/>
  <c r="HF233" i="14609"/>
  <c r="HG233" i="14609"/>
  <c r="HH233" i="14609"/>
  <c r="HI233" i="14609"/>
  <c r="HJ233" i="14609"/>
  <c r="HK233" i="14609"/>
  <c r="HL233" i="14609"/>
  <c r="HM233" i="14609"/>
  <c r="HN233" i="14609"/>
  <c r="HO233" i="14609"/>
  <c r="HP233" i="14609"/>
  <c r="HQ233" i="14609"/>
  <c r="HR233" i="14609"/>
  <c r="HS233" i="14609"/>
  <c r="HT233" i="14609"/>
  <c r="HU233" i="14609"/>
  <c r="HV233" i="14609"/>
  <c r="HW233" i="14609"/>
  <c r="HX233" i="14609"/>
  <c r="HY233" i="14609"/>
  <c r="HZ233" i="14609"/>
  <c r="IA233" i="14609"/>
  <c r="IB233" i="14609"/>
  <c r="IC233" i="14609"/>
  <c r="ID233" i="14609"/>
  <c r="IE233" i="14609"/>
  <c r="IF233" i="14609"/>
  <c r="IG233" i="14609"/>
  <c r="IH233" i="14609"/>
  <c r="II233" i="14609"/>
  <c r="IJ233" i="14609"/>
  <c r="IK233" i="14609"/>
  <c r="IL233" i="14609"/>
  <c r="IM233" i="14609"/>
  <c r="IN233" i="14609"/>
  <c r="IO233" i="14609"/>
  <c r="IP233" i="14609"/>
  <c r="IQ233" i="14609"/>
  <c r="IR233" i="14609"/>
  <c r="IS233" i="14609"/>
  <c r="IT233" i="14609"/>
  <c r="IU233" i="14609"/>
  <c r="IV233" i="14609"/>
  <c r="A232" i="14609"/>
  <c r="B232" i="14609"/>
  <c r="C232" i="14609"/>
  <c r="D232" i="14609"/>
  <c r="E232" i="14609"/>
  <c r="F232" i="14609"/>
  <c r="G232" i="14609"/>
  <c r="H232" i="14609"/>
  <c r="I232" i="14609"/>
  <c r="J232" i="14609"/>
  <c r="K232" i="14609"/>
  <c r="L232" i="14609"/>
  <c r="M232" i="14609"/>
  <c r="N232" i="14609"/>
  <c r="O232" i="14609"/>
  <c r="P232" i="14609"/>
  <c r="Q232" i="14609"/>
  <c r="R232" i="14609"/>
  <c r="S232" i="14609"/>
  <c r="T232" i="14609"/>
  <c r="U232" i="14609"/>
  <c r="V232" i="14609"/>
  <c r="W232" i="14609"/>
  <c r="X232" i="14609"/>
  <c r="Y232" i="14609"/>
  <c r="Z232" i="14609"/>
  <c r="AA232" i="14609"/>
  <c r="AB232" i="14609"/>
  <c r="AC232" i="14609"/>
  <c r="AD232" i="14609"/>
  <c r="AE232" i="14609"/>
  <c r="AF232" i="14609"/>
  <c r="AG232" i="14609"/>
  <c r="AH232" i="14609"/>
  <c r="AI232" i="14609"/>
  <c r="AJ232" i="14609"/>
  <c r="AK232" i="14609"/>
  <c r="AL232" i="14609"/>
  <c r="AM232" i="14609"/>
  <c r="AN232" i="14609"/>
  <c r="AO232" i="14609"/>
  <c r="AP232" i="14609"/>
  <c r="AQ232" i="14609"/>
  <c r="AR232" i="14609"/>
  <c r="AS232" i="14609"/>
  <c r="AT232" i="14609"/>
  <c r="AU232" i="14609"/>
  <c r="AV232" i="14609"/>
  <c r="AW232" i="14609"/>
  <c r="AX232" i="14609"/>
  <c r="AY232" i="14609"/>
  <c r="AZ232" i="14609"/>
  <c r="BA232" i="14609"/>
  <c r="BB232" i="14609"/>
  <c r="BC232" i="14609"/>
  <c r="BD232" i="14609"/>
  <c r="BE232" i="14609"/>
  <c r="BF232" i="14609"/>
  <c r="BG232" i="14609"/>
  <c r="BH232" i="14609"/>
  <c r="BI232" i="14609"/>
  <c r="BJ232" i="14609"/>
  <c r="BK232" i="14609"/>
  <c r="BL232" i="14609"/>
  <c r="BM232" i="14609"/>
  <c r="BN232" i="14609"/>
  <c r="BO232" i="14609"/>
  <c r="BP232" i="14609"/>
  <c r="BQ232" i="14609"/>
  <c r="BR232" i="14609"/>
  <c r="BS232" i="14609"/>
  <c r="BT232" i="14609"/>
  <c r="BU232" i="14609"/>
  <c r="BV232" i="14609"/>
  <c r="BW232" i="14609"/>
  <c r="BX232" i="14609"/>
  <c r="BY232" i="14609"/>
  <c r="BZ232" i="14609"/>
  <c r="CA232" i="14609"/>
  <c r="CB232" i="14609"/>
  <c r="CC232" i="14609"/>
  <c r="CD232" i="14609"/>
  <c r="CE232" i="14609"/>
  <c r="CF232" i="14609"/>
  <c r="CG232" i="14609"/>
  <c r="CH232" i="14609"/>
  <c r="CI232" i="14609"/>
  <c r="CJ232" i="14609"/>
  <c r="CK232" i="14609"/>
  <c r="CL232" i="14609"/>
  <c r="CM232" i="14609"/>
  <c r="CN232" i="14609"/>
  <c r="CO232" i="14609"/>
  <c r="CP232" i="14609"/>
  <c r="CQ232" i="14609"/>
  <c r="CR232" i="14609"/>
  <c r="CS232" i="14609"/>
  <c r="CT232" i="14609"/>
  <c r="CU232" i="14609"/>
  <c r="CV232" i="14609"/>
  <c r="CW232" i="14609"/>
  <c r="CX232" i="14609"/>
  <c r="CY232" i="14609"/>
  <c r="CZ232" i="14609"/>
  <c r="DA232" i="14609"/>
  <c r="DB232" i="14609"/>
  <c r="DC232" i="14609"/>
  <c r="DD232" i="14609"/>
  <c r="DE232" i="14609"/>
  <c r="DF232" i="14609"/>
  <c r="DG232" i="14609"/>
  <c r="DH232" i="14609"/>
  <c r="DI232" i="14609"/>
  <c r="DJ232" i="14609"/>
  <c r="DK232" i="14609"/>
  <c r="DL232" i="14609"/>
  <c r="DM232" i="14609"/>
  <c r="DN232" i="14609"/>
  <c r="DO232" i="14609"/>
  <c r="DP232" i="14609"/>
  <c r="DQ232" i="14609"/>
  <c r="DR232" i="14609"/>
  <c r="DS232" i="14609"/>
  <c r="DT232" i="14609"/>
  <c r="DU232" i="14609"/>
  <c r="DV232" i="14609"/>
  <c r="DW232" i="14609"/>
  <c r="DX232" i="14609"/>
  <c r="DY232" i="14609"/>
  <c r="DZ232" i="14609"/>
  <c r="EA232" i="14609"/>
  <c r="EB232" i="14609"/>
  <c r="EC232" i="14609"/>
  <c r="ED232" i="14609"/>
  <c r="EE232" i="14609"/>
  <c r="EF232" i="14609"/>
  <c r="EG232" i="14609"/>
  <c r="EH232" i="14609"/>
  <c r="EI232" i="14609"/>
  <c r="EJ232" i="14609"/>
  <c r="EK232" i="14609"/>
  <c r="EL232" i="14609"/>
  <c r="EM232" i="14609"/>
  <c r="EN232" i="14609"/>
  <c r="EO232" i="14609"/>
  <c r="EP232" i="14609"/>
  <c r="EQ232" i="14609"/>
  <c r="ER232" i="14609"/>
  <c r="ES232" i="14609"/>
  <c r="ET232" i="14609"/>
  <c r="EU232" i="14609"/>
  <c r="EV232" i="14609"/>
  <c r="EW232" i="14609"/>
  <c r="EX232" i="14609"/>
  <c r="EY232" i="14609"/>
  <c r="EZ232" i="14609"/>
  <c r="FA232" i="14609"/>
  <c r="FB232" i="14609"/>
  <c r="FC232" i="14609"/>
  <c r="FD232" i="14609"/>
  <c r="FE232" i="14609"/>
  <c r="FF232" i="14609"/>
  <c r="FG232" i="14609"/>
  <c r="FH232" i="14609"/>
  <c r="FI232" i="14609"/>
  <c r="FJ232" i="14609"/>
  <c r="FK232" i="14609"/>
  <c r="FL232" i="14609"/>
  <c r="FM232" i="14609"/>
  <c r="FN232" i="14609"/>
  <c r="FO232" i="14609"/>
  <c r="FP232" i="14609"/>
  <c r="FQ232" i="14609"/>
  <c r="FR232" i="14609"/>
  <c r="FS232" i="14609"/>
  <c r="FT232" i="14609"/>
  <c r="FU232" i="14609"/>
  <c r="FV232" i="14609"/>
  <c r="FW232" i="14609"/>
  <c r="FX232" i="14609"/>
  <c r="FY232" i="14609"/>
  <c r="FZ232" i="14609"/>
  <c r="GA232" i="14609"/>
  <c r="GB232" i="14609"/>
  <c r="GC232" i="14609"/>
  <c r="GD232" i="14609"/>
  <c r="GE232" i="14609"/>
  <c r="GF232" i="14609"/>
  <c r="GG232" i="14609"/>
  <c r="GH232" i="14609"/>
  <c r="GI232" i="14609"/>
  <c r="GJ232" i="14609"/>
  <c r="GK232" i="14609"/>
  <c r="GL232" i="14609"/>
  <c r="GM232" i="14609"/>
  <c r="GN232" i="14609"/>
  <c r="GO232" i="14609"/>
  <c r="GP232" i="14609"/>
  <c r="GQ232" i="14609"/>
  <c r="GR232" i="14609"/>
  <c r="GS232" i="14609"/>
  <c r="GT232" i="14609"/>
  <c r="GU232" i="14609"/>
  <c r="GV232" i="14609"/>
  <c r="GW232" i="14609"/>
  <c r="GX232" i="14609"/>
  <c r="GY232" i="14609"/>
  <c r="GZ232" i="14609"/>
  <c r="HA232" i="14609"/>
  <c r="HB232" i="14609"/>
  <c r="HC232" i="14609"/>
  <c r="HD232" i="14609"/>
  <c r="HE232" i="14609"/>
  <c r="HF232" i="14609"/>
  <c r="HG232" i="14609"/>
  <c r="HH232" i="14609"/>
  <c r="HI232" i="14609"/>
  <c r="HJ232" i="14609"/>
  <c r="HK232" i="14609"/>
  <c r="HL232" i="14609"/>
  <c r="HM232" i="14609"/>
  <c r="HN232" i="14609"/>
  <c r="HO232" i="14609"/>
  <c r="HP232" i="14609"/>
  <c r="HQ232" i="14609"/>
  <c r="HR232" i="14609"/>
  <c r="HS232" i="14609"/>
  <c r="HT232" i="14609"/>
  <c r="HU232" i="14609"/>
  <c r="HV232" i="14609"/>
  <c r="HW232" i="14609"/>
  <c r="HX232" i="14609"/>
  <c r="HY232" i="14609"/>
  <c r="HZ232" i="14609"/>
  <c r="IA232" i="14609"/>
  <c r="IB232" i="14609"/>
  <c r="IC232" i="14609"/>
  <c r="ID232" i="14609"/>
  <c r="IE232" i="14609"/>
  <c r="IF232" i="14609"/>
  <c r="IG232" i="14609"/>
  <c r="IH232" i="14609"/>
  <c r="II232" i="14609"/>
  <c r="IJ232" i="14609"/>
  <c r="IK232" i="14609"/>
  <c r="IL232" i="14609"/>
  <c r="IM232" i="14609"/>
  <c r="IN232" i="14609"/>
  <c r="IO232" i="14609"/>
  <c r="IP232" i="14609"/>
  <c r="IQ232" i="14609"/>
  <c r="IR232" i="14609"/>
  <c r="IS232" i="14609"/>
  <c r="IT232" i="14609"/>
  <c r="IU232" i="14609"/>
  <c r="IV232" i="14609"/>
  <c r="A231" i="14609"/>
  <c r="B231" i="14609"/>
  <c r="C231" i="14609"/>
  <c r="D231" i="14609"/>
  <c r="E231" i="14609"/>
  <c r="F231" i="14609"/>
  <c r="G231" i="14609"/>
  <c r="H231" i="14609"/>
  <c r="I231" i="14609"/>
  <c r="J231" i="14609"/>
  <c r="K231" i="14609"/>
  <c r="L231" i="14609"/>
  <c r="M231" i="14609"/>
  <c r="N231" i="14609"/>
  <c r="O231" i="14609"/>
  <c r="P231" i="14609"/>
  <c r="Q231" i="14609"/>
  <c r="R231" i="14609"/>
  <c r="S231" i="14609"/>
  <c r="T231" i="14609"/>
  <c r="U231" i="14609"/>
  <c r="V231" i="14609"/>
  <c r="W231" i="14609"/>
  <c r="X231" i="14609"/>
  <c r="Y231" i="14609"/>
  <c r="Z231" i="14609"/>
  <c r="AA231" i="14609"/>
  <c r="AB231" i="14609"/>
  <c r="AC231" i="14609"/>
  <c r="AD231" i="14609"/>
  <c r="AE231" i="14609"/>
  <c r="AF231" i="14609"/>
  <c r="AG231" i="14609"/>
  <c r="AH231" i="14609"/>
  <c r="AI231" i="14609"/>
  <c r="AJ231" i="14609"/>
  <c r="AK231" i="14609"/>
  <c r="AL231" i="14609"/>
  <c r="AM231" i="14609"/>
  <c r="AN231" i="14609"/>
  <c r="AO231" i="14609"/>
  <c r="AP231" i="14609"/>
  <c r="AQ231" i="14609"/>
  <c r="AR231" i="14609"/>
  <c r="AS231" i="14609"/>
  <c r="AT231" i="14609"/>
  <c r="AU231" i="14609"/>
  <c r="AV231" i="14609"/>
  <c r="AW231" i="14609"/>
  <c r="AX231" i="14609"/>
  <c r="AY231" i="14609"/>
  <c r="AZ231" i="14609"/>
  <c r="BA231" i="14609"/>
  <c r="BB231" i="14609"/>
  <c r="BC231" i="14609"/>
  <c r="BD231" i="14609"/>
  <c r="BE231" i="14609"/>
  <c r="BF231" i="14609"/>
  <c r="BG231" i="14609"/>
  <c r="BH231" i="14609"/>
  <c r="BI231" i="14609"/>
  <c r="BJ231" i="14609"/>
  <c r="BK231" i="14609"/>
  <c r="BL231" i="14609"/>
  <c r="BM231" i="14609"/>
  <c r="BN231" i="14609"/>
  <c r="BO231" i="14609"/>
  <c r="BP231" i="14609"/>
  <c r="BQ231" i="14609"/>
  <c r="BR231" i="14609"/>
  <c r="BS231" i="14609"/>
  <c r="BT231" i="14609"/>
  <c r="BU231" i="14609"/>
  <c r="BV231" i="14609"/>
  <c r="BW231" i="14609"/>
  <c r="BX231" i="14609"/>
  <c r="BY231" i="14609"/>
  <c r="BZ231" i="14609"/>
  <c r="CA231" i="14609"/>
  <c r="CB231" i="14609"/>
  <c r="CC231" i="14609"/>
  <c r="CD231" i="14609"/>
  <c r="CE231" i="14609"/>
  <c r="CF231" i="14609"/>
  <c r="CG231" i="14609"/>
  <c r="CH231" i="14609"/>
  <c r="CI231" i="14609"/>
  <c r="CJ231" i="14609"/>
  <c r="CK231" i="14609"/>
  <c r="CL231" i="14609"/>
  <c r="CM231" i="14609"/>
  <c r="CN231" i="14609"/>
  <c r="CO231" i="14609"/>
  <c r="CP231" i="14609"/>
  <c r="CQ231" i="14609"/>
  <c r="CR231" i="14609"/>
  <c r="CS231" i="14609"/>
  <c r="CT231" i="14609"/>
  <c r="CU231" i="14609"/>
  <c r="CV231" i="14609"/>
  <c r="CW231" i="14609"/>
  <c r="CX231" i="14609"/>
  <c r="CY231" i="14609"/>
  <c r="CZ231" i="14609"/>
  <c r="DA231" i="14609"/>
  <c r="DB231" i="14609"/>
  <c r="DC231" i="14609"/>
  <c r="DD231" i="14609"/>
  <c r="DE231" i="14609"/>
  <c r="DF231" i="14609"/>
  <c r="DG231" i="14609"/>
  <c r="DH231" i="14609"/>
  <c r="DI231" i="14609"/>
  <c r="DJ231" i="14609"/>
  <c r="DK231" i="14609"/>
  <c r="DL231" i="14609"/>
  <c r="DM231" i="14609"/>
  <c r="DN231" i="14609"/>
  <c r="DO231" i="14609"/>
  <c r="DP231" i="14609"/>
  <c r="DQ231" i="14609"/>
  <c r="DR231" i="14609"/>
  <c r="DS231" i="14609"/>
  <c r="DT231" i="14609"/>
  <c r="DU231" i="14609"/>
  <c r="DV231" i="14609"/>
  <c r="DW231" i="14609"/>
  <c r="DX231" i="14609"/>
  <c r="DY231" i="14609"/>
  <c r="DZ231" i="14609"/>
  <c r="EA231" i="14609"/>
  <c r="EB231" i="14609"/>
  <c r="EC231" i="14609"/>
  <c r="ED231" i="14609"/>
  <c r="EE231" i="14609"/>
  <c r="EF231" i="14609"/>
  <c r="EG231" i="14609"/>
  <c r="EH231" i="14609"/>
  <c r="EI231" i="14609"/>
  <c r="EJ231" i="14609"/>
  <c r="EK231" i="14609"/>
  <c r="EL231" i="14609"/>
  <c r="EM231" i="14609"/>
  <c r="EN231" i="14609"/>
  <c r="EO231" i="14609"/>
  <c r="EP231" i="14609"/>
  <c r="EQ231" i="14609"/>
  <c r="ER231" i="14609"/>
  <c r="ES231" i="14609"/>
  <c r="ET231" i="14609"/>
  <c r="EU231" i="14609"/>
  <c r="EV231" i="14609"/>
  <c r="EW231" i="14609"/>
  <c r="EX231" i="14609"/>
  <c r="EY231" i="14609"/>
  <c r="EZ231" i="14609"/>
  <c r="FA231" i="14609"/>
  <c r="FB231" i="14609"/>
  <c r="FC231" i="14609"/>
  <c r="FD231" i="14609"/>
  <c r="FE231" i="14609"/>
  <c r="FF231" i="14609"/>
  <c r="FG231" i="14609"/>
  <c r="FH231" i="14609"/>
  <c r="FI231" i="14609"/>
  <c r="FJ231" i="14609"/>
  <c r="FK231" i="14609"/>
  <c r="FL231" i="14609"/>
  <c r="FM231" i="14609"/>
  <c r="FN231" i="14609"/>
  <c r="FO231" i="14609"/>
  <c r="FP231" i="14609"/>
  <c r="FQ231" i="14609"/>
  <c r="FR231" i="14609"/>
  <c r="FS231" i="14609"/>
  <c r="FT231" i="14609"/>
  <c r="FU231" i="14609"/>
  <c r="FV231" i="14609"/>
  <c r="FW231" i="14609"/>
  <c r="FX231" i="14609"/>
  <c r="FY231" i="14609"/>
  <c r="FZ231" i="14609"/>
  <c r="GA231" i="14609"/>
  <c r="GB231" i="14609"/>
  <c r="GC231" i="14609"/>
  <c r="GD231" i="14609"/>
  <c r="GE231" i="14609"/>
  <c r="GF231" i="14609"/>
  <c r="GG231" i="14609"/>
  <c r="GH231" i="14609"/>
  <c r="GI231" i="14609"/>
  <c r="GJ231" i="14609"/>
  <c r="GK231" i="14609"/>
  <c r="GL231" i="14609"/>
  <c r="GM231" i="14609"/>
  <c r="GN231" i="14609"/>
  <c r="GO231" i="14609"/>
  <c r="GP231" i="14609"/>
  <c r="GQ231" i="14609"/>
  <c r="GR231" i="14609"/>
  <c r="GS231" i="14609"/>
  <c r="GT231" i="14609"/>
  <c r="GU231" i="14609"/>
  <c r="GV231" i="14609"/>
  <c r="GW231" i="14609"/>
  <c r="GX231" i="14609"/>
  <c r="GY231" i="14609"/>
  <c r="GZ231" i="14609"/>
  <c r="HA231" i="14609"/>
  <c r="HB231" i="14609"/>
  <c r="HC231" i="14609"/>
  <c r="HD231" i="14609"/>
  <c r="HE231" i="14609"/>
  <c r="HF231" i="14609"/>
  <c r="HG231" i="14609"/>
  <c r="HH231" i="14609"/>
  <c r="HI231" i="14609"/>
  <c r="HJ231" i="14609"/>
  <c r="HK231" i="14609"/>
  <c r="HL231" i="14609"/>
  <c r="HM231" i="14609"/>
  <c r="HN231" i="14609"/>
  <c r="HO231" i="14609"/>
  <c r="HP231" i="14609"/>
  <c r="HQ231" i="14609"/>
  <c r="HR231" i="14609"/>
  <c r="HS231" i="14609"/>
  <c r="HT231" i="14609"/>
  <c r="HU231" i="14609"/>
  <c r="HV231" i="14609"/>
  <c r="HW231" i="14609"/>
  <c r="HX231" i="14609"/>
  <c r="HY231" i="14609"/>
  <c r="HZ231" i="14609"/>
  <c r="IA231" i="14609"/>
  <c r="IB231" i="14609"/>
  <c r="IC231" i="14609"/>
  <c r="ID231" i="14609"/>
  <c r="IE231" i="14609"/>
  <c r="IF231" i="14609"/>
  <c r="IG231" i="14609"/>
  <c r="IH231" i="14609"/>
  <c r="II231" i="14609"/>
  <c r="IJ231" i="14609"/>
  <c r="IK231" i="14609"/>
  <c r="IL231" i="14609"/>
  <c r="IM231" i="14609"/>
  <c r="IN231" i="14609"/>
  <c r="IO231" i="14609"/>
  <c r="IP231" i="14609"/>
  <c r="IQ231" i="14609"/>
  <c r="IR231" i="14609"/>
  <c r="IS231" i="14609"/>
  <c r="IT231" i="14609"/>
  <c r="IU231" i="14609"/>
  <c r="IV231" i="14609"/>
  <c r="A230" i="14609"/>
  <c r="B230" i="14609"/>
  <c r="C230" i="14609"/>
  <c r="D230" i="14609"/>
  <c r="E230" i="14609"/>
  <c r="F230" i="14609"/>
  <c r="G230" i="14609"/>
  <c r="H230" i="14609"/>
  <c r="I230" i="14609"/>
  <c r="J230" i="14609"/>
  <c r="K230" i="14609"/>
  <c r="L230" i="14609"/>
  <c r="M230" i="14609"/>
  <c r="N230" i="14609"/>
  <c r="O230" i="14609"/>
  <c r="P230" i="14609"/>
  <c r="Q230" i="14609"/>
  <c r="R230" i="14609"/>
  <c r="S230" i="14609"/>
  <c r="T230" i="14609"/>
  <c r="U230" i="14609"/>
  <c r="V230" i="14609"/>
  <c r="W230" i="14609"/>
  <c r="X230" i="14609"/>
  <c r="Y230" i="14609"/>
  <c r="Z230" i="14609"/>
  <c r="AA230" i="14609"/>
  <c r="AB230" i="14609"/>
  <c r="AC230" i="14609"/>
  <c r="AD230" i="14609"/>
  <c r="AE230" i="14609"/>
  <c r="AF230" i="14609"/>
  <c r="AG230" i="14609"/>
  <c r="AH230" i="14609"/>
  <c r="AI230" i="14609"/>
  <c r="AJ230" i="14609"/>
  <c r="AK230" i="14609"/>
  <c r="AL230" i="14609"/>
  <c r="AM230" i="14609"/>
  <c r="AN230" i="14609"/>
  <c r="AO230" i="14609"/>
  <c r="AP230" i="14609"/>
  <c r="AQ230" i="14609"/>
  <c r="AR230" i="14609"/>
  <c r="AS230" i="14609"/>
  <c r="AT230" i="14609"/>
  <c r="AU230" i="14609"/>
  <c r="AV230" i="14609"/>
  <c r="AW230" i="14609"/>
  <c r="AX230" i="14609"/>
  <c r="AY230" i="14609"/>
  <c r="AZ230" i="14609"/>
  <c r="BA230" i="14609"/>
  <c r="BB230" i="14609"/>
  <c r="BC230" i="14609"/>
  <c r="BD230" i="14609"/>
  <c r="BE230" i="14609"/>
  <c r="BF230" i="14609"/>
  <c r="BG230" i="14609"/>
  <c r="BH230" i="14609"/>
  <c r="BI230" i="14609"/>
  <c r="BJ230" i="14609"/>
  <c r="BK230" i="14609"/>
  <c r="BL230" i="14609"/>
  <c r="BM230" i="14609"/>
  <c r="BN230" i="14609"/>
  <c r="BO230" i="14609"/>
  <c r="BP230" i="14609"/>
  <c r="BQ230" i="14609"/>
  <c r="BR230" i="14609"/>
  <c r="BS230" i="14609"/>
  <c r="BT230" i="14609"/>
  <c r="BU230" i="14609"/>
  <c r="BV230" i="14609"/>
  <c r="BW230" i="14609"/>
  <c r="BX230" i="14609"/>
  <c r="BY230" i="14609"/>
  <c r="BZ230" i="14609"/>
  <c r="CA230" i="14609"/>
  <c r="CB230" i="14609"/>
  <c r="CC230" i="14609"/>
  <c r="CD230" i="14609"/>
  <c r="CE230" i="14609"/>
  <c r="CF230" i="14609"/>
  <c r="CG230" i="14609"/>
  <c r="CH230" i="14609"/>
  <c r="CI230" i="14609"/>
  <c r="CJ230" i="14609"/>
  <c r="CK230" i="14609"/>
  <c r="CL230" i="14609"/>
  <c r="CM230" i="14609"/>
  <c r="CN230" i="14609"/>
  <c r="CO230" i="14609"/>
  <c r="CP230" i="14609"/>
  <c r="CQ230" i="14609"/>
  <c r="CR230" i="14609"/>
  <c r="CS230" i="14609"/>
  <c r="CT230" i="14609"/>
  <c r="CU230" i="14609"/>
  <c r="CV230" i="14609"/>
  <c r="CW230" i="14609"/>
  <c r="CX230" i="14609"/>
  <c r="CY230" i="14609"/>
  <c r="CZ230" i="14609"/>
  <c r="DA230" i="14609"/>
  <c r="DB230" i="14609"/>
  <c r="DC230" i="14609"/>
  <c r="DD230" i="14609"/>
  <c r="DE230" i="14609"/>
  <c r="DF230" i="14609"/>
  <c r="DG230" i="14609"/>
  <c r="DH230" i="14609"/>
  <c r="DI230" i="14609"/>
  <c r="DJ230" i="14609"/>
  <c r="DK230" i="14609"/>
  <c r="DL230" i="14609"/>
  <c r="DM230" i="14609"/>
  <c r="DN230" i="14609"/>
  <c r="DO230" i="14609"/>
  <c r="DP230" i="14609"/>
  <c r="DQ230" i="14609"/>
  <c r="DR230" i="14609"/>
  <c r="DS230" i="14609"/>
  <c r="DT230" i="14609"/>
  <c r="DU230" i="14609"/>
  <c r="DV230" i="14609"/>
  <c r="DW230" i="14609"/>
  <c r="DX230" i="14609"/>
  <c r="DY230" i="14609"/>
  <c r="DZ230" i="14609"/>
  <c r="EA230" i="14609"/>
  <c r="EB230" i="14609"/>
  <c r="EC230" i="14609"/>
  <c r="ED230" i="14609"/>
  <c r="EE230" i="14609"/>
  <c r="EF230" i="14609"/>
  <c r="EG230" i="14609"/>
  <c r="EH230" i="14609"/>
  <c r="EI230" i="14609"/>
  <c r="EJ230" i="14609"/>
  <c r="EK230" i="14609"/>
  <c r="EL230" i="14609"/>
  <c r="EM230" i="14609"/>
  <c r="EN230" i="14609"/>
  <c r="EO230" i="14609"/>
  <c r="EP230" i="14609"/>
  <c r="EQ230" i="14609"/>
  <c r="ER230" i="14609"/>
  <c r="ES230" i="14609"/>
  <c r="ET230" i="14609"/>
  <c r="EU230" i="14609"/>
  <c r="EV230" i="14609"/>
  <c r="EW230" i="14609"/>
  <c r="EX230" i="14609"/>
  <c r="EY230" i="14609"/>
  <c r="EZ230" i="14609"/>
  <c r="FA230" i="14609"/>
  <c r="FB230" i="14609"/>
  <c r="FC230" i="14609"/>
  <c r="FD230" i="14609"/>
  <c r="FE230" i="14609"/>
  <c r="FF230" i="14609"/>
  <c r="FG230" i="14609"/>
  <c r="FH230" i="14609"/>
  <c r="FI230" i="14609"/>
  <c r="FJ230" i="14609"/>
  <c r="FK230" i="14609"/>
  <c r="FL230" i="14609"/>
  <c r="FM230" i="14609"/>
  <c r="FN230" i="14609"/>
  <c r="FO230" i="14609"/>
  <c r="FP230" i="14609"/>
  <c r="FQ230" i="14609"/>
  <c r="FR230" i="14609"/>
  <c r="FS230" i="14609"/>
  <c r="FT230" i="14609"/>
  <c r="FU230" i="14609"/>
  <c r="FV230" i="14609"/>
  <c r="FW230" i="14609"/>
  <c r="FX230" i="14609"/>
  <c r="FY230" i="14609"/>
  <c r="FZ230" i="14609"/>
  <c r="GA230" i="14609"/>
  <c r="GB230" i="14609"/>
  <c r="GC230" i="14609"/>
  <c r="GD230" i="14609"/>
  <c r="GE230" i="14609"/>
  <c r="GF230" i="14609"/>
  <c r="GG230" i="14609"/>
  <c r="GH230" i="14609"/>
  <c r="GI230" i="14609"/>
  <c r="GJ230" i="14609"/>
  <c r="GK230" i="14609"/>
  <c r="GL230" i="14609"/>
  <c r="GM230" i="14609"/>
  <c r="GN230" i="14609"/>
  <c r="GO230" i="14609"/>
  <c r="GP230" i="14609"/>
  <c r="GQ230" i="14609"/>
  <c r="GR230" i="14609"/>
  <c r="GS230" i="14609"/>
  <c r="GT230" i="14609"/>
  <c r="GU230" i="14609"/>
  <c r="GV230" i="14609"/>
  <c r="GW230" i="14609"/>
  <c r="GX230" i="14609"/>
  <c r="GY230" i="14609"/>
  <c r="GZ230" i="14609"/>
  <c r="HA230" i="14609"/>
  <c r="HB230" i="14609"/>
  <c r="HC230" i="14609"/>
  <c r="HD230" i="14609"/>
  <c r="HE230" i="14609"/>
  <c r="HF230" i="14609"/>
  <c r="HG230" i="14609"/>
  <c r="HH230" i="14609"/>
  <c r="HI230" i="14609"/>
  <c r="HJ230" i="14609"/>
  <c r="HK230" i="14609"/>
  <c r="HL230" i="14609"/>
  <c r="HM230" i="14609"/>
  <c r="HN230" i="14609"/>
  <c r="HO230" i="14609"/>
  <c r="HP230" i="14609"/>
  <c r="HQ230" i="14609"/>
  <c r="HR230" i="14609"/>
  <c r="HS230" i="14609"/>
  <c r="HT230" i="14609"/>
  <c r="HU230" i="14609"/>
  <c r="HV230" i="14609"/>
  <c r="HW230" i="14609"/>
  <c r="HX230" i="14609"/>
  <c r="HY230" i="14609"/>
  <c r="HZ230" i="14609"/>
  <c r="IA230" i="14609"/>
  <c r="IB230" i="14609"/>
  <c r="IC230" i="14609"/>
  <c r="ID230" i="14609"/>
  <c r="IE230" i="14609"/>
  <c r="IF230" i="14609"/>
  <c r="IG230" i="14609"/>
  <c r="IH230" i="14609"/>
  <c r="II230" i="14609"/>
  <c r="IJ230" i="14609"/>
  <c r="IK230" i="14609"/>
  <c r="IL230" i="14609"/>
  <c r="IM230" i="14609"/>
  <c r="IN230" i="14609"/>
  <c r="IO230" i="14609"/>
  <c r="IP230" i="14609"/>
  <c r="IQ230" i="14609"/>
  <c r="IR230" i="14609"/>
  <c r="IS230" i="14609"/>
  <c r="IT230" i="14609"/>
  <c r="IU230" i="14609"/>
  <c r="IV230" i="14609"/>
  <c r="A229" i="14609"/>
  <c r="B229" i="14609"/>
  <c r="C229" i="14609"/>
  <c r="D229" i="14609"/>
  <c r="E229" i="14609"/>
  <c r="F229" i="14609"/>
  <c r="G229" i="14609"/>
  <c r="H229" i="14609"/>
  <c r="I229" i="14609"/>
  <c r="J229" i="14609"/>
  <c r="K229" i="14609"/>
  <c r="L229" i="14609"/>
  <c r="M229" i="14609"/>
  <c r="N229" i="14609"/>
  <c r="O229" i="14609"/>
  <c r="P229" i="14609"/>
  <c r="Q229" i="14609"/>
  <c r="R229" i="14609"/>
  <c r="S229" i="14609"/>
  <c r="T229" i="14609"/>
  <c r="U229" i="14609"/>
  <c r="V229" i="14609"/>
  <c r="W229" i="14609"/>
  <c r="X229" i="14609"/>
  <c r="Y229" i="14609"/>
  <c r="Z229" i="14609"/>
  <c r="AA229" i="14609"/>
  <c r="AB229" i="14609"/>
  <c r="AC229" i="14609"/>
  <c r="AD229" i="14609"/>
  <c r="AE229" i="14609"/>
  <c r="AF229" i="14609"/>
  <c r="AG229" i="14609"/>
  <c r="AH229" i="14609"/>
  <c r="AI229" i="14609"/>
  <c r="AJ229" i="14609"/>
  <c r="AK229" i="14609"/>
  <c r="AL229" i="14609"/>
  <c r="AM229" i="14609"/>
  <c r="AN229" i="14609"/>
  <c r="AO229" i="14609"/>
  <c r="AP229" i="14609"/>
  <c r="AQ229" i="14609"/>
  <c r="AR229" i="14609"/>
  <c r="AS229" i="14609"/>
  <c r="AT229" i="14609"/>
  <c r="AU229" i="14609"/>
  <c r="AV229" i="14609"/>
  <c r="AW229" i="14609"/>
  <c r="AX229" i="14609"/>
  <c r="AY229" i="14609"/>
  <c r="AZ229" i="14609"/>
  <c r="BA229" i="14609"/>
  <c r="BB229" i="14609"/>
  <c r="BC229" i="14609"/>
  <c r="BD229" i="14609"/>
  <c r="BE229" i="14609"/>
  <c r="BF229" i="14609"/>
  <c r="BG229" i="14609"/>
  <c r="BH229" i="14609"/>
  <c r="BI229" i="14609"/>
  <c r="BJ229" i="14609"/>
  <c r="BK229" i="14609"/>
  <c r="BL229" i="14609"/>
  <c r="BM229" i="14609"/>
  <c r="BN229" i="14609"/>
  <c r="BO229" i="14609"/>
  <c r="BP229" i="14609"/>
  <c r="BQ229" i="14609"/>
  <c r="BR229" i="14609"/>
  <c r="BS229" i="14609"/>
  <c r="BT229" i="14609"/>
  <c r="BU229" i="14609"/>
  <c r="BV229" i="14609"/>
  <c r="BW229" i="14609"/>
  <c r="BX229" i="14609"/>
  <c r="BY229" i="14609"/>
  <c r="BZ229" i="14609"/>
  <c r="CA229" i="14609"/>
  <c r="CB229" i="14609"/>
  <c r="CC229" i="14609"/>
  <c r="CD229" i="14609"/>
  <c r="CE229" i="14609"/>
  <c r="CF229" i="14609"/>
  <c r="CG229" i="14609"/>
  <c r="CH229" i="14609"/>
  <c r="CI229" i="14609"/>
  <c r="CJ229" i="14609"/>
  <c r="CK229" i="14609"/>
  <c r="CL229" i="14609"/>
  <c r="CM229" i="14609"/>
  <c r="CN229" i="14609"/>
  <c r="CO229" i="14609"/>
  <c r="CP229" i="14609"/>
  <c r="CQ229" i="14609"/>
  <c r="CR229" i="14609"/>
  <c r="CS229" i="14609"/>
  <c r="CT229" i="14609"/>
  <c r="CU229" i="14609"/>
  <c r="CV229" i="14609"/>
  <c r="CW229" i="14609"/>
  <c r="CX229" i="14609"/>
  <c r="CY229" i="14609"/>
  <c r="CZ229" i="14609"/>
  <c r="DA229" i="14609"/>
  <c r="DB229" i="14609"/>
  <c r="DC229" i="14609"/>
  <c r="DD229" i="14609"/>
  <c r="DE229" i="14609"/>
  <c r="DF229" i="14609"/>
  <c r="DG229" i="14609"/>
  <c r="DH229" i="14609"/>
  <c r="DI229" i="14609"/>
  <c r="DJ229" i="14609"/>
  <c r="DK229" i="14609"/>
  <c r="DL229" i="14609"/>
  <c r="DM229" i="14609"/>
  <c r="DN229" i="14609"/>
  <c r="DO229" i="14609"/>
  <c r="DP229" i="14609"/>
  <c r="DQ229" i="14609"/>
  <c r="DR229" i="14609"/>
  <c r="DS229" i="14609"/>
  <c r="DT229" i="14609"/>
  <c r="DU229" i="14609"/>
  <c r="DV229" i="14609"/>
  <c r="DW229" i="14609"/>
  <c r="DX229" i="14609"/>
  <c r="DY229" i="14609"/>
  <c r="DZ229" i="14609"/>
  <c r="EA229" i="14609"/>
  <c r="EB229" i="14609"/>
  <c r="EC229" i="14609"/>
  <c r="ED229" i="14609"/>
  <c r="EE229" i="14609"/>
  <c r="EF229" i="14609"/>
  <c r="EG229" i="14609"/>
  <c r="EH229" i="14609"/>
  <c r="EI229" i="14609"/>
  <c r="EJ229" i="14609"/>
  <c r="EK229" i="14609"/>
  <c r="EL229" i="14609"/>
  <c r="EM229" i="14609"/>
  <c r="EN229" i="14609"/>
  <c r="EO229" i="14609"/>
  <c r="EP229" i="14609"/>
  <c r="EQ229" i="14609"/>
  <c r="ER229" i="14609"/>
  <c r="ES229" i="14609"/>
  <c r="ET229" i="14609"/>
  <c r="EU229" i="14609"/>
  <c r="EV229" i="14609"/>
  <c r="EW229" i="14609"/>
  <c r="EX229" i="14609"/>
  <c r="EY229" i="14609"/>
  <c r="EZ229" i="14609"/>
  <c r="FA229" i="14609"/>
  <c r="FB229" i="14609"/>
  <c r="FC229" i="14609"/>
  <c r="FD229" i="14609"/>
  <c r="FE229" i="14609"/>
  <c r="FF229" i="14609"/>
  <c r="FG229" i="14609"/>
  <c r="FH229" i="14609"/>
  <c r="FI229" i="14609"/>
  <c r="FJ229" i="14609"/>
  <c r="FK229" i="14609"/>
  <c r="FL229" i="14609"/>
  <c r="FM229" i="14609"/>
  <c r="FN229" i="14609"/>
  <c r="FO229" i="14609"/>
  <c r="FP229" i="14609"/>
  <c r="FQ229" i="14609"/>
  <c r="FR229" i="14609"/>
  <c r="FS229" i="14609"/>
  <c r="FT229" i="14609"/>
  <c r="FU229" i="14609"/>
  <c r="FV229" i="14609"/>
  <c r="FW229" i="14609"/>
  <c r="FX229" i="14609"/>
  <c r="FY229" i="14609"/>
  <c r="FZ229" i="14609"/>
  <c r="GA229" i="14609"/>
  <c r="GB229" i="14609"/>
  <c r="GC229" i="14609"/>
  <c r="GD229" i="14609"/>
  <c r="GE229" i="14609"/>
  <c r="GF229" i="14609"/>
  <c r="GG229" i="14609"/>
  <c r="GH229" i="14609"/>
  <c r="GI229" i="14609"/>
  <c r="GJ229" i="14609"/>
  <c r="GK229" i="14609"/>
  <c r="GL229" i="14609"/>
  <c r="GM229" i="14609"/>
  <c r="GN229" i="14609"/>
  <c r="GO229" i="14609"/>
  <c r="GP229" i="14609"/>
  <c r="GQ229" i="14609"/>
  <c r="GR229" i="14609"/>
  <c r="GS229" i="14609"/>
  <c r="GT229" i="14609"/>
  <c r="GU229" i="14609"/>
  <c r="GV229" i="14609"/>
  <c r="GW229" i="14609"/>
  <c r="GX229" i="14609"/>
  <c r="GY229" i="14609"/>
  <c r="GZ229" i="14609"/>
  <c r="HA229" i="14609"/>
  <c r="HB229" i="14609"/>
  <c r="HC229" i="14609"/>
  <c r="HD229" i="14609"/>
  <c r="HE229" i="14609"/>
  <c r="HF229" i="14609"/>
  <c r="HG229" i="14609"/>
  <c r="HH229" i="14609"/>
  <c r="HI229" i="14609"/>
  <c r="HJ229" i="14609"/>
  <c r="HK229" i="14609"/>
  <c r="HL229" i="14609"/>
  <c r="HM229" i="14609"/>
  <c r="HN229" i="14609"/>
  <c r="HO229" i="14609"/>
  <c r="HP229" i="14609"/>
  <c r="HQ229" i="14609"/>
  <c r="HR229" i="14609"/>
  <c r="HS229" i="14609"/>
  <c r="HT229" i="14609"/>
  <c r="HU229" i="14609"/>
  <c r="HV229" i="14609"/>
  <c r="HW229" i="14609"/>
  <c r="HX229" i="14609"/>
  <c r="HY229" i="14609"/>
  <c r="HZ229" i="14609"/>
  <c r="IA229" i="14609"/>
  <c r="IB229" i="14609"/>
  <c r="IC229" i="14609"/>
  <c r="ID229" i="14609"/>
  <c r="IE229" i="14609"/>
  <c r="IF229" i="14609"/>
  <c r="IG229" i="14609"/>
  <c r="IH229" i="14609"/>
  <c r="II229" i="14609"/>
  <c r="IJ229" i="14609"/>
  <c r="IK229" i="14609"/>
  <c r="IL229" i="14609"/>
  <c r="IM229" i="14609"/>
  <c r="IN229" i="14609"/>
  <c r="IO229" i="14609"/>
  <c r="IP229" i="14609"/>
  <c r="IQ229" i="14609"/>
  <c r="IR229" i="14609"/>
  <c r="IS229" i="14609"/>
  <c r="IT229" i="14609"/>
  <c r="IU229" i="14609"/>
  <c r="IV229" i="14609"/>
  <c r="A228" i="14609"/>
  <c r="B228" i="14609"/>
  <c r="C228" i="14609"/>
  <c r="D228" i="14609"/>
  <c r="E228" i="14609"/>
  <c r="F228" i="14609"/>
  <c r="G228" i="14609"/>
  <c r="H228" i="14609"/>
  <c r="I228" i="14609"/>
  <c r="J228" i="14609"/>
  <c r="K228" i="14609"/>
  <c r="L228" i="14609"/>
  <c r="M228" i="14609"/>
  <c r="N228" i="14609"/>
  <c r="O228" i="14609"/>
  <c r="P228" i="14609"/>
  <c r="Q228" i="14609"/>
  <c r="R228" i="14609"/>
  <c r="S228" i="14609"/>
  <c r="T228" i="14609"/>
  <c r="U228" i="14609"/>
  <c r="V228" i="14609"/>
  <c r="W228" i="14609"/>
  <c r="X228" i="14609"/>
  <c r="Y228" i="14609"/>
  <c r="Z228" i="14609"/>
  <c r="AA228" i="14609"/>
  <c r="AB228" i="14609"/>
  <c r="AC228" i="14609"/>
  <c r="AD228" i="14609"/>
  <c r="AE228" i="14609"/>
  <c r="AF228" i="14609"/>
  <c r="AG228" i="14609"/>
  <c r="AH228" i="14609"/>
  <c r="AI228" i="14609"/>
  <c r="AJ228" i="14609"/>
  <c r="AK228" i="14609"/>
  <c r="AL228" i="14609"/>
  <c r="AM228" i="14609"/>
  <c r="AN228" i="14609"/>
  <c r="AO228" i="14609"/>
  <c r="AP228" i="14609"/>
  <c r="AQ228" i="14609"/>
  <c r="AR228" i="14609"/>
  <c r="AS228" i="14609"/>
  <c r="AT228" i="14609"/>
  <c r="AU228" i="14609"/>
  <c r="AV228" i="14609"/>
  <c r="AW228" i="14609"/>
  <c r="AX228" i="14609"/>
  <c r="AY228" i="14609"/>
  <c r="AZ228" i="14609"/>
  <c r="BA228" i="14609"/>
  <c r="BB228" i="14609"/>
  <c r="BC228" i="14609"/>
  <c r="BD228" i="14609"/>
  <c r="BE228" i="14609"/>
  <c r="BF228" i="14609"/>
  <c r="BG228" i="14609"/>
  <c r="BH228" i="14609"/>
  <c r="BI228" i="14609"/>
  <c r="BJ228" i="14609"/>
  <c r="BK228" i="14609"/>
  <c r="BL228" i="14609"/>
  <c r="BM228" i="14609"/>
  <c r="BN228" i="14609"/>
  <c r="BO228" i="14609"/>
  <c r="BP228" i="14609"/>
  <c r="BQ228" i="14609"/>
  <c r="BR228" i="14609"/>
  <c r="BS228" i="14609"/>
  <c r="BT228" i="14609"/>
  <c r="BU228" i="14609"/>
  <c r="BV228" i="14609"/>
  <c r="BW228" i="14609"/>
  <c r="BX228" i="14609"/>
  <c r="BY228" i="14609"/>
  <c r="BZ228" i="14609"/>
  <c r="CA228" i="14609"/>
  <c r="CB228" i="14609"/>
  <c r="CC228" i="14609"/>
  <c r="CD228" i="14609"/>
  <c r="CE228" i="14609"/>
  <c r="CF228" i="14609"/>
  <c r="CG228" i="14609"/>
  <c r="CH228" i="14609"/>
  <c r="CI228" i="14609"/>
  <c r="CJ228" i="14609"/>
  <c r="CK228" i="14609"/>
  <c r="CL228" i="14609"/>
  <c r="CM228" i="14609"/>
  <c r="CN228" i="14609"/>
  <c r="CO228" i="14609"/>
  <c r="CP228" i="14609"/>
  <c r="CQ228" i="14609"/>
  <c r="CR228" i="14609"/>
  <c r="CS228" i="14609"/>
  <c r="CT228" i="14609"/>
  <c r="CU228" i="14609"/>
  <c r="CV228" i="14609"/>
  <c r="CW228" i="14609"/>
  <c r="CX228" i="14609"/>
  <c r="CY228" i="14609"/>
  <c r="CZ228" i="14609"/>
  <c r="DA228" i="14609"/>
  <c r="DB228" i="14609"/>
  <c r="DC228" i="14609"/>
  <c r="DD228" i="14609"/>
  <c r="DE228" i="14609"/>
  <c r="DF228" i="14609"/>
  <c r="DG228" i="14609"/>
  <c r="DH228" i="14609"/>
  <c r="DI228" i="14609"/>
  <c r="DJ228" i="14609"/>
  <c r="DK228" i="14609"/>
  <c r="DL228" i="14609"/>
  <c r="DM228" i="14609"/>
  <c r="DN228" i="14609"/>
  <c r="DO228" i="14609"/>
  <c r="DP228" i="14609"/>
  <c r="DQ228" i="14609"/>
  <c r="DR228" i="14609"/>
  <c r="DS228" i="14609"/>
  <c r="DT228" i="14609"/>
  <c r="DU228" i="14609"/>
  <c r="DV228" i="14609"/>
  <c r="DW228" i="14609"/>
  <c r="DX228" i="14609"/>
  <c r="DY228" i="14609"/>
  <c r="DZ228" i="14609"/>
  <c r="EA228" i="14609"/>
  <c r="EB228" i="14609"/>
  <c r="EC228" i="14609"/>
  <c r="ED228" i="14609"/>
  <c r="EE228" i="14609"/>
  <c r="EF228" i="14609"/>
  <c r="EG228" i="14609"/>
  <c r="EH228" i="14609"/>
  <c r="EI228" i="14609"/>
  <c r="EJ228" i="14609"/>
  <c r="EK228" i="14609"/>
  <c r="EL228" i="14609"/>
  <c r="EM228" i="14609"/>
  <c r="EN228" i="14609"/>
  <c r="EO228" i="14609"/>
  <c r="EP228" i="14609"/>
  <c r="EQ228" i="14609"/>
  <c r="ER228" i="14609"/>
  <c r="ES228" i="14609"/>
  <c r="ET228" i="14609"/>
  <c r="EU228" i="14609"/>
  <c r="EV228" i="14609"/>
  <c r="EW228" i="14609"/>
  <c r="EX228" i="14609"/>
  <c r="EY228" i="14609"/>
  <c r="EZ228" i="14609"/>
  <c r="FA228" i="14609"/>
  <c r="FB228" i="14609"/>
  <c r="FC228" i="14609"/>
  <c r="FD228" i="14609"/>
  <c r="FE228" i="14609"/>
  <c r="FF228" i="14609"/>
  <c r="FG228" i="14609"/>
  <c r="FH228" i="14609"/>
  <c r="FI228" i="14609"/>
  <c r="FJ228" i="14609"/>
  <c r="FK228" i="14609"/>
  <c r="FL228" i="14609"/>
  <c r="FM228" i="14609"/>
  <c r="FN228" i="14609"/>
  <c r="FO228" i="14609"/>
  <c r="FP228" i="14609"/>
  <c r="FQ228" i="14609"/>
  <c r="FR228" i="14609"/>
  <c r="FS228" i="14609"/>
  <c r="FT228" i="14609"/>
  <c r="FU228" i="14609"/>
  <c r="FV228" i="14609"/>
  <c r="FW228" i="14609"/>
  <c r="FX228" i="14609"/>
  <c r="FY228" i="14609"/>
  <c r="FZ228" i="14609"/>
  <c r="GA228" i="14609"/>
  <c r="GB228" i="14609"/>
  <c r="GC228" i="14609"/>
  <c r="GD228" i="14609"/>
  <c r="GE228" i="14609"/>
  <c r="GF228" i="14609"/>
  <c r="GG228" i="14609"/>
  <c r="GH228" i="14609"/>
  <c r="GI228" i="14609"/>
  <c r="GJ228" i="14609"/>
  <c r="GK228" i="14609"/>
  <c r="GL228" i="14609"/>
  <c r="GM228" i="14609"/>
  <c r="GN228" i="14609"/>
  <c r="GO228" i="14609"/>
  <c r="GP228" i="14609"/>
  <c r="GQ228" i="14609"/>
  <c r="GR228" i="14609"/>
  <c r="GS228" i="14609"/>
  <c r="GT228" i="14609"/>
  <c r="GU228" i="14609"/>
  <c r="GV228" i="14609"/>
  <c r="GW228" i="14609"/>
  <c r="GX228" i="14609"/>
  <c r="GY228" i="14609"/>
  <c r="GZ228" i="14609"/>
  <c r="HA228" i="14609"/>
  <c r="HB228" i="14609"/>
  <c r="HC228" i="14609"/>
  <c r="HD228" i="14609"/>
  <c r="HE228" i="14609"/>
  <c r="HF228" i="14609"/>
  <c r="HG228" i="14609"/>
  <c r="HH228" i="14609"/>
  <c r="HI228" i="14609"/>
  <c r="HJ228" i="14609"/>
  <c r="HK228" i="14609"/>
  <c r="HL228" i="14609"/>
  <c r="HM228" i="14609"/>
  <c r="HN228" i="14609"/>
  <c r="HO228" i="14609"/>
  <c r="HP228" i="14609"/>
  <c r="HQ228" i="14609"/>
  <c r="HR228" i="14609"/>
  <c r="HS228" i="14609"/>
  <c r="HT228" i="14609"/>
  <c r="HU228" i="14609"/>
  <c r="HV228" i="14609"/>
  <c r="HW228" i="14609"/>
  <c r="HX228" i="14609"/>
  <c r="HY228" i="14609"/>
  <c r="HZ228" i="14609"/>
  <c r="IA228" i="14609"/>
  <c r="IB228" i="14609"/>
  <c r="IC228" i="14609"/>
  <c r="ID228" i="14609"/>
  <c r="IE228" i="14609"/>
  <c r="IF228" i="14609"/>
  <c r="IG228" i="14609"/>
  <c r="IH228" i="14609"/>
  <c r="II228" i="14609"/>
  <c r="IJ228" i="14609"/>
  <c r="IK228" i="14609"/>
  <c r="IL228" i="14609"/>
  <c r="IM228" i="14609"/>
  <c r="IN228" i="14609"/>
  <c r="IO228" i="14609"/>
  <c r="IP228" i="14609"/>
  <c r="IQ228" i="14609"/>
  <c r="IR228" i="14609"/>
  <c r="IS228" i="14609"/>
  <c r="IT228" i="14609"/>
  <c r="IU228" i="14609"/>
  <c r="IV228" i="14609"/>
  <c r="A227" i="14609"/>
  <c r="B227" i="14609"/>
  <c r="C227" i="14609"/>
  <c r="D227" i="14609"/>
  <c r="E227" i="14609"/>
  <c r="F227" i="14609"/>
  <c r="G227" i="14609"/>
  <c r="H227" i="14609"/>
  <c r="I227" i="14609"/>
  <c r="J227" i="14609"/>
  <c r="K227" i="14609"/>
  <c r="L227" i="14609"/>
  <c r="M227" i="14609"/>
  <c r="N227" i="14609"/>
  <c r="O227" i="14609"/>
  <c r="P227" i="14609"/>
  <c r="Q227" i="14609"/>
  <c r="R227" i="14609"/>
  <c r="S227" i="14609"/>
  <c r="T227" i="14609"/>
  <c r="U227" i="14609"/>
  <c r="V227" i="14609"/>
  <c r="W227" i="14609"/>
  <c r="X227" i="14609"/>
  <c r="Y227" i="14609"/>
  <c r="Z227" i="14609"/>
  <c r="AA227" i="14609"/>
  <c r="AB227" i="14609"/>
  <c r="AC227" i="14609"/>
  <c r="AD227" i="14609"/>
  <c r="AE227" i="14609"/>
  <c r="AF227" i="14609"/>
  <c r="AG227" i="14609"/>
  <c r="AH227" i="14609"/>
  <c r="AI227" i="14609"/>
  <c r="AJ227" i="14609"/>
  <c r="AK227" i="14609"/>
  <c r="AL227" i="14609"/>
  <c r="AM227" i="14609"/>
  <c r="AN227" i="14609"/>
  <c r="AO227" i="14609"/>
  <c r="AP227" i="14609"/>
  <c r="AQ227" i="14609"/>
  <c r="AR227" i="14609"/>
  <c r="AS227" i="14609"/>
  <c r="AT227" i="14609"/>
  <c r="AU227" i="14609"/>
  <c r="AV227" i="14609"/>
  <c r="AW227" i="14609"/>
  <c r="AX227" i="14609"/>
  <c r="AY227" i="14609"/>
  <c r="AZ227" i="14609"/>
  <c r="BA227" i="14609"/>
  <c r="BB227" i="14609"/>
  <c r="BC227" i="14609"/>
  <c r="BD227" i="14609"/>
  <c r="BE227" i="14609"/>
  <c r="BF227" i="14609"/>
  <c r="BG227" i="14609"/>
  <c r="BH227" i="14609"/>
  <c r="BI227" i="14609"/>
  <c r="BJ227" i="14609"/>
  <c r="BK227" i="14609"/>
  <c r="BL227" i="14609"/>
  <c r="BM227" i="14609"/>
  <c r="BN227" i="14609"/>
  <c r="BO227" i="14609"/>
  <c r="BP227" i="14609"/>
  <c r="BQ227" i="14609"/>
  <c r="BR227" i="14609"/>
  <c r="BS227" i="14609"/>
  <c r="BT227" i="14609"/>
  <c r="BU227" i="14609"/>
  <c r="BV227" i="14609"/>
  <c r="BW227" i="14609"/>
  <c r="BX227" i="14609"/>
  <c r="BY227" i="14609"/>
  <c r="BZ227" i="14609"/>
  <c r="CA227" i="14609"/>
  <c r="CB227" i="14609"/>
  <c r="CC227" i="14609"/>
  <c r="CD227" i="14609"/>
  <c r="CE227" i="14609"/>
  <c r="CF227" i="14609"/>
  <c r="CG227" i="14609"/>
  <c r="CH227" i="14609"/>
  <c r="CI227" i="14609"/>
  <c r="CJ227" i="14609"/>
  <c r="CK227" i="14609"/>
  <c r="CL227" i="14609"/>
  <c r="CM227" i="14609"/>
  <c r="CN227" i="14609"/>
  <c r="CO227" i="14609"/>
  <c r="CP227" i="14609"/>
  <c r="CQ227" i="14609"/>
  <c r="CR227" i="14609"/>
  <c r="CS227" i="14609"/>
  <c r="CT227" i="14609"/>
  <c r="CU227" i="14609"/>
  <c r="CV227" i="14609"/>
  <c r="CW227" i="14609"/>
  <c r="CX227" i="14609"/>
  <c r="CY227" i="14609"/>
  <c r="CZ227" i="14609"/>
  <c r="DA227" i="14609"/>
  <c r="DB227" i="14609"/>
  <c r="DC227" i="14609"/>
  <c r="DD227" i="14609"/>
  <c r="DE227" i="14609"/>
  <c r="DF227" i="14609"/>
  <c r="DG227" i="14609"/>
  <c r="DH227" i="14609"/>
  <c r="DI227" i="14609"/>
  <c r="DJ227" i="14609"/>
  <c r="DK227" i="14609"/>
  <c r="DL227" i="14609"/>
  <c r="DM227" i="14609"/>
  <c r="DN227" i="14609"/>
  <c r="DO227" i="14609"/>
  <c r="DP227" i="14609"/>
  <c r="DQ227" i="14609"/>
  <c r="DR227" i="14609"/>
  <c r="DS227" i="14609"/>
  <c r="DT227" i="14609"/>
  <c r="DU227" i="14609"/>
  <c r="DV227" i="14609"/>
  <c r="DW227" i="14609"/>
  <c r="DX227" i="14609"/>
  <c r="DY227" i="14609"/>
  <c r="DZ227" i="14609"/>
  <c r="EA227" i="14609"/>
  <c r="EB227" i="14609"/>
  <c r="EC227" i="14609"/>
  <c r="ED227" i="14609"/>
  <c r="EE227" i="14609"/>
  <c r="EF227" i="14609"/>
  <c r="EG227" i="14609"/>
  <c r="EH227" i="14609"/>
  <c r="EI227" i="14609"/>
  <c r="EJ227" i="14609"/>
  <c r="EK227" i="14609"/>
  <c r="EL227" i="14609"/>
  <c r="EM227" i="14609"/>
  <c r="EN227" i="14609"/>
  <c r="EO227" i="14609"/>
  <c r="EP227" i="14609"/>
  <c r="EQ227" i="14609"/>
  <c r="ER227" i="14609"/>
  <c r="ES227" i="14609"/>
  <c r="ET227" i="14609"/>
  <c r="EU227" i="14609"/>
  <c r="EV227" i="14609"/>
  <c r="EW227" i="14609"/>
  <c r="EX227" i="14609"/>
  <c r="EY227" i="14609"/>
  <c r="EZ227" i="14609"/>
  <c r="FA227" i="14609"/>
  <c r="FB227" i="14609"/>
  <c r="FC227" i="14609"/>
  <c r="FD227" i="14609"/>
  <c r="FE227" i="14609"/>
  <c r="FF227" i="14609"/>
  <c r="FG227" i="14609"/>
  <c r="FH227" i="14609"/>
  <c r="FI227" i="14609"/>
  <c r="FJ227" i="14609"/>
  <c r="FK227" i="14609"/>
  <c r="FL227" i="14609"/>
  <c r="FM227" i="14609"/>
  <c r="FN227" i="14609"/>
  <c r="FO227" i="14609"/>
  <c r="FP227" i="14609"/>
  <c r="FQ227" i="14609"/>
  <c r="FR227" i="14609"/>
  <c r="FS227" i="14609"/>
  <c r="FT227" i="14609"/>
  <c r="FU227" i="14609"/>
  <c r="FV227" i="14609"/>
  <c r="FW227" i="14609"/>
  <c r="FX227" i="14609"/>
  <c r="FY227" i="14609"/>
  <c r="FZ227" i="14609"/>
  <c r="GA227" i="14609"/>
  <c r="GB227" i="14609"/>
  <c r="GC227" i="14609"/>
  <c r="GD227" i="14609"/>
  <c r="GE227" i="14609"/>
  <c r="GF227" i="14609"/>
  <c r="GG227" i="14609"/>
  <c r="GH227" i="14609"/>
  <c r="GI227" i="14609"/>
  <c r="GJ227" i="14609"/>
  <c r="GK227" i="14609"/>
  <c r="GL227" i="14609"/>
  <c r="GM227" i="14609"/>
  <c r="GN227" i="14609"/>
  <c r="GO227" i="14609"/>
  <c r="GP227" i="14609"/>
  <c r="GQ227" i="14609"/>
  <c r="GR227" i="14609"/>
  <c r="GS227" i="14609"/>
  <c r="GT227" i="14609"/>
  <c r="GU227" i="14609"/>
  <c r="GV227" i="14609"/>
  <c r="GW227" i="14609"/>
  <c r="GX227" i="14609"/>
  <c r="GY227" i="14609"/>
  <c r="GZ227" i="14609"/>
  <c r="HA227" i="14609"/>
  <c r="HB227" i="14609"/>
  <c r="HC227" i="14609"/>
  <c r="HD227" i="14609"/>
  <c r="HE227" i="14609"/>
  <c r="HF227" i="14609"/>
  <c r="HG227" i="14609"/>
  <c r="HH227" i="14609"/>
  <c r="HI227" i="14609"/>
  <c r="HJ227" i="14609"/>
  <c r="HK227" i="14609"/>
  <c r="HL227" i="14609"/>
  <c r="HM227" i="14609"/>
  <c r="HN227" i="14609"/>
  <c r="HO227" i="14609"/>
  <c r="HP227" i="14609"/>
  <c r="HQ227" i="14609"/>
  <c r="HR227" i="14609"/>
  <c r="HS227" i="14609"/>
  <c r="HT227" i="14609"/>
  <c r="HU227" i="14609"/>
  <c r="HV227" i="14609"/>
  <c r="HW227" i="14609"/>
  <c r="HX227" i="14609"/>
  <c r="HY227" i="14609"/>
  <c r="HZ227" i="14609"/>
  <c r="IA227" i="14609"/>
  <c r="IB227" i="14609"/>
  <c r="IC227" i="14609"/>
  <c r="ID227" i="14609"/>
  <c r="IE227" i="14609"/>
  <c r="IF227" i="14609"/>
  <c r="IG227" i="14609"/>
  <c r="IH227" i="14609"/>
  <c r="II227" i="14609"/>
  <c r="IJ227" i="14609"/>
  <c r="IK227" i="14609"/>
  <c r="IL227" i="14609"/>
  <c r="IM227" i="14609"/>
  <c r="IN227" i="14609"/>
  <c r="IO227" i="14609"/>
  <c r="IP227" i="14609"/>
  <c r="IQ227" i="14609"/>
  <c r="IR227" i="14609"/>
  <c r="IS227" i="14609"/>
  <c r="IT227" i="14609"/>
  <c r="IU227" i="14609"/>
  <c r="IV227" i="14609"/>
  <c r="A226" i="14609"/>
  <c r="B226" i="14609"/>
  <c r="C226" i="14609"/>
  <c r="D226" i="14609"/>
  <c r="E226" i="14609"/>
  <c r="F226" i="14609"/>
  <c r="G226" i="14609"/>
  <c r="H226" i="14609"/>
  <c r="I226" i="14609"/>
  <c r="J226" i="14609"/>
  <c r="K226" i="14609"/>
  <c r="L226" i="14609"/>
  <c r="M226" i="14609"/>
  <c r="N226" i="14609"/>
  <c r="O226" i="14609"/>
  <c r="P226" i="14609"/>
  <c r="Q226" i="14609"/>
  <c r="R226" i="14609"/>
  <c r="S226" i="14609"/>
  <c r="T226" i="14609"/>
  <c r="U226" i="14609"/>
  <c r="V226" i="14609"/>
  <c r="W226" i="14609"/>
  <c r="X226" i="14609"/>
  <c r="Y226" i="14609"/>
  <c r="Z226" i="14609"/>
  <c r="AA226" i="14609"/>
  <c r="AB226" i="14609"/>
  <c r="AC226" i="14609"/>
  <c r="AD226" i="14609"/>
  <c r="AE226" i="14609"/>
  <c r="AF226" i="14609"/>
  <c r="AG226" i="14609"/>
  <c r="AH226" i="14609"/>
  <c r="AI226" i="14609"/>
  <c r="AJ226" i="14609"/>
  <c r="AK226" i="14609"/>
  <c r="AL226" i="14609"/>
  <c r="AM226" i="14609"/>
  <c r="AN226" i="14609"/>
  <c r="AO226" i="14609"/>
  <c r="AP226" i="14609"/>
  <c r="AQ226" i="14609"/>
  <c r="AR226" i="14609"/>
  <c r="AS226" i="14609"/>
  <c r="AT226" i="14609"/>
  <c r="AU226" i="14609"/>
  <c r="AV226" i="14609"/>
  <c r="AW226" i="14609"/>
  <c r="AX226" i="14609"/>
  <c r="AY226" i="14609"/>
  <c r="AZ226" i="14609"/>
  <c r="BA226" i="14609"/>
  <c r="BB226" i="14609"/>
  <c r="BC226" i="14609"/>
  <c r="BD226" i="14609"/>
  <c r="BE226" i="14609"/>
  <c r="BF226" i="14609"/>
  <c r="BG226" i="14609"/>
  <c r="BH226" i="14609"/>
  <c r="BI226" i="14609"/>
  <c r="BJ226" i="14609"/>
  <c r="BK226" i="14609"/>
  <c r="BL226" i="14609"/>
  <c r="BM226" i="14609"/>
  <c r="BN226" i="14609"/>
  <c r="BO226" i="14609"/>
  <c r="BP226" i="14609"/>
  <c r="BQ226" i="14609"/>
  <c r="BR226" i="14609"/>
  <c r="BS226" i="14609"/>
  <c r="BT226" i="14609"/>
  <c r="BU226" i="14609"/>
  <c r="BV226" i="14609"/>
  <c r="BW226" i="14609"/>
  <c r="BX226" i="14609"/>
  <c r="BY226" i="14609"/>
  <c r="BZ226" i="14609"/>
  <c r="CA226" i="14609"/>
  <c r="CB226" i="14609"/>
  <c r="CC226" i="14609"/>
  <c r="CD226" i="14609"/>
  <c r="CE226" i="14609"/>
  <c r="CF226" i="14609"/>
  <c r="CG226" i="14609"/>
  <c r="CH226" i="14609"/>
  <c r="CI226" i="14609"/>
  <c r="CJ226" i="14609"/>
  <c r="CK226" i="14609"/>
  <c r="CL226" i="14609"/>
  <c r="CM226" i="14609"/>
  <c r="CN226" i="14609"/>
  <c r="CO226" i="14609"/>
  <c r="CP226" i="14609"/>
  <c r="CQ226" i="14609"/>
  <c r="CR226" i="14609"/>
  <c r="CS226" i="14609"/>
  <c r="CT226" i="14609"/>
  <c r="CU226" i="14609"/>
  <c r="CV226" i="14609"/>
  <c r="CW226" i="14609"/>
  <c r="CX226" i="14609"/>
  <c r="CY226" i="14609"/>
  <c r="CZ226" i="14609"/>
  <c r="DA226" i="14609"/>
  <c r="DB226" i="14609"/>
  <c r="DC226" i="14609"/>
  <c r="DD226" i="14609"/>
  <c r="DE226" i="14609"/>
  <c r="DF226" i="14609"/>
  <c r="DG226" i="14609"/>
  <c r="DH226" i="14609"/>
  <c r="DI226" i="14609"/>
  <c r="DJ226" i="14609"/>
  <c r="DK226" i="14609"/>
  <c r="DL226" i="14609"/>
  <c r="DM226" i="14609"/>
  <c r="DN226" i="14609"/>
  <c r="DO226" i="14609"/>
  <c r="DP226" i="14609"/>
  <c r="DQ226" i="14609"/>
  <c r="DR226" i="14609"/>
  <c r="DS226" i="14609"/>
  <c r="DT226" i="14609"/>
  <c r="DU226" i="14609"/>
  <c r="DV226" i="14609"/>
  <c r="DW226" i="14609"/>
  <c r="DX226" i="14609"/>
  <c r="DY226" i="14609"/>
  <c r="DZ226" i="14609"/>
  <c r="EA226" i="14609"/>
  <c r="EB226" i="14609"/>
  <c r="EC226" i="14609"/>
  <c r="ED226" i="14609"/>
  <c r="EE226" i="14609"/>
  <c r="EF226" i="14609"/>
  <c r="EG226" i="14609"/>
  <c r="EH226" i="14609"/>
  <c r="EI226" i="14609"/>
  <c r="EJ226" i="14609"/>
  <c r="EK226" i="14609"/>
  <c r="EL226" i="14609"/>
  <c r="EM226" i="14609"/>
  <c r="EN226" i="14609"/>
  <c r="EO226" i="14609"/>
  <c r="EP226" i="14609"/>
  <c r="EQ226" i="14609"/>
  <c r="ER226" i="14609"/>
  <c r="ES226" i="14609"/>
  <c r="ET226" i="14609"/>
  <c r="EU226" i="14609"/>
  <c r="EV226" i="14609"/>
  <c r="EW226" i="14609"/>
  <c r="EX226" i="14609"/>
  <c r="EY226" i="14609"/>
  <c r="EZ226" i="14609"/>
  <c r="FA226" i="14609"/>
  <c r="FB226" i="14609"/>
  <c r="FC226" i="14609"/>
  <c r="FD226" i="14609"/>
  <c r="FE226" i="14609"/>
  <c r="FF226" i="14609"/>
  <c r="FG226" i="14609"/>
  <c r="FH226" i="14609"/>
  <c r="FI226" i="14609"/>
  <c r="FJ226" i="14609"/>
  <c r="FK226" i="14609"/>
  <c r="FL226" i="14609"/>
  <c r="FM226" i="14609"/>
  <c r="FN226" i="14609"/>
  <c r="FO226" i="14609"/>
  <c r="FP226" i="14609"/>
  <c r="FQ226" i="14609"/>
  <c r="FR226" i="14609"/>
  <c r="FS226" i="14609"/>
  <c r="FT226" i="14609"/>
  <c r="FU226" i="14609"/>
  <c r="FV226" i="14609"/>
  <c r="FW226" i="14609"/>
  <c r="FX226" i="14609"/>
  <c r="FY226" i="14609"/>
  <c r="FZ226" i="14609"/>
  <c r="GA226" i="14609"/>
  <c r="GB226" i="14609"/>
  <c r="GC226" i="14609"/>
  <c r="GD226" i="14609"/>
  <c r="GE226" i="14609"/>
  <c r="GF226" i="14609"/>
  <c r="GG226" i="14609"/>
  <c r="GH226" i="14609"/>
  <c r="GI226" i="14609"/>
  <c r="GJ226" i="14609"/>
  <c r="GK226" i="14609"/>
  <c r="GL226" i="14609"/>
  <c r="GM226" i="14609"/>
  <c r="GN226" i="14609"/>
  <c r="GO226" i="14609"/>
  <c r="GP226" i="14609"/>
  <c r="GQ226" i="14609"/>
  <c r="GR226" i="14609"/>
  <c r="GS226" i="14609"/>
  <c r="GT226" i="14609"/>
  <c r="GU226" i="14609"/>
  <c r="GV226" i="14609"/>
  <c r="GW226" i="14609"/>
  <c r="GX226" i="14609"/>
  <c r="GY226" i="14609"/>
  <c r="GZ226" i="14609"/>
  <c r="HA226" i="14609"/>
  <c r="HB226" i="14609"/>
  <c r="HC226" i="14609"/>
  <c r="HD226" i="14609"/>
  <c r="HE226" i="14609"/>
  <c r="HF226" i="14609"/>
  <c r="HG226" i="14609"/>
  <c r="HH226" i="14609"/>
  <c r="HI226" i="14609"/>
  <c r="HJ226" i="14609"/>
  <c r="HK226" i="14609"/>
  <c r="HL226" i="14609"/>
  <c r="HM226" i="14609"/>
  <c r="HN226" i="14609"/>
  <c r="HO226" i="14609"/>
  <c r="HP226" i="14609"/>
  <c r="HQ226" i="14609"/>
  <c r="HR226" i="14609"/>
  <c r="HS226" i="14609"/>
  <c r="HT226" i="14609"/>
  <c r="HU226" i="14609"/>
  <c r="HV226" i="14609"/>
  <c r="HW226" i="14609"/>
  <c r="HX226" i="14609"/>
  <c r="HY226" i="14609"/>
  <c r="HZ226" i="14609"/>
  <c r="IA226" i="14609"/>
  <c r="IB226" i="14609"/>
  <c r="IC226" i="14609"/>
  <c r="ID226" i="14609"/>
  <c r="IE226" i="14609"/>
  <c r="IF226" i="14609"/>
  <c r="IG226" i="14609"/>
  <c r="IH226" i="14609"/>
  <c r="II226" i="14609"/>
  <c r="IJ226" i="14609"/>
  <c r="IK226" i="14609"/>
  <c r="IL226" i="14609"/>
  <c r="IM226" i="14609"/>
  <c r="IN226" i="14609"/>
  <c r="IO226" i="14609"/>
  <c r="IP226" i="14609"/>
  <c r="IQ226" i="14609"/>
  <c r="IR226" i="14609"/>
  <c r="IS226" i="14609"/>
  <c r="IT226" i="14609"/>
  <c r="IU226" i="14609"/>
  <c r="IV226" i="14609"/>
  <c r="A225" i="14609"/>
  <c r="B225" i="14609"/>
  <c r="C225" i="14609"/>
  <c r="D225" i="14609"/>
  <c r="E225" i="14609"/>
  <c r="F225" i="14609"/>
  <c r="G225" i="14609"/>
  <c r="H225" i="14609"/>
  <c r="I225" i="14609"/>
  <c r="J225" i="14609"/>
  <c r="K225" i="14609"/>
  <c r="L225" i="14609"/>
  <c r="M225" i="14609"/>
  <c r="N225" i="14609"/>
  <c r="O225" i="14609"/>
  <c r="P225" i="14609"/>
  <c r="Q225" i="14609"/>
  <c r="R225" i="14609"/>
  <c r="S225" i="14609"/>
  <c r="T225" i="14609"/>
  <c r="U225" i="14609"/>
  <c r="V225" i="14609"/>
  <c r="W225" i="14609"/>
  <c r="X225" i="14609"/>
  <c r="Y225" i="14609"/>
  <c r="Z225" i="14609"/>
  <c r="AA225" i="14609"/>
  <c r="AB225" i="14609"/>
  <c r="AC225" i="14609"/>
  <c r="AD225" i="14609"/>
  <c r="AE225" i="14609"/>
  <c r="AF225" i="14609"/>
  <c r="AG225" i="14609"/>
  <c r="AH225" i="14609"/>
  <c r="AI225" i="14609"/>
  <c r="AJ225" i="14609"/>
  <c r="AK225" i="14609"/>
  <c r="AL225" i="14609"/>
  <c r="AM225" i="14609"/>
  <c r="AN225" i="14609"/>
  <c r="AO225" i="14609"/>
  <c r="AP225" i="14609"/>
  <c r="AQ225" i="14609"/>
  <c r="AR225" i="14609"/>
  <c r="AS225" i="14609"/>
  <c r="AT225" i="14609"/>
  <c r="AU225" i="14609"/>
  <c r="AV225" i="14609"/>
  <c r="AW225" i="14609"/>
  <c r="AX225" i="14609"/>
  <c r="AY225" i="14609"/>
  <c r="AZ225" i="14609"/>
  <c r="BA225" i="14609"/>
  <c r="BB225" i="14609"/>
  <c r="BC225" i="14609"/>
  <c r="BD225" i="14609"/>
  <c r="BE225" i="14609"/>
  <c r="BF225" i="14609"/>
  <c r="BG225" i="14609"/>
  <c r="BH225" i="14609"/>
  <c r="BI225" i="14609"/>
  <c r="BJ225" i="14609"/>
  <c r="BK225" i="14609"/>
  <c r="BL225" i="14609"/>
  <c r="BM225" i="14609"/>
  <c r="BN225" i="14609"/>
  <c r="BO225" i="14609"/>
  <c r="BP225" i="14609"/>
  <c r="BQ225" i="14609"/>
  <c r="BR225" i="14609"/>
  <c r="BS225" i="14609"/>
  <c r="BT225" i="14609"/>
  <c r="BU225" i="14609"/>
  <c r="BV225" i="14609"/>
  <c r="BW225" i="14609"/>
  <c r="BX225" i="14609"/>
  <c r="BY225" i="14609"/>
  <c r="BZ225" i="14609"/>
  <c r="CA225" i="14609"/>
  <c r="CB225" i="14609"/>
  <c r="CC225" i="14609"/>
  <c r="CD225" i="14609"/>
  <c r="CE225" i="14609"/>
  <c r="CF225" i="14609"/>
  <c r="CG225" i="14609"/>
  <c r="CH225" i="14609"/>
  <c r="CI225" i="14609"/>
  <c r="CJ225" i="14609"/>
  <c r="CK225" i="14609"/>
  <c r="CL225" i="14609"/>
  <c r="CM225" i="14609"/>
  <c r="CN225" i="14609"/>
  <c r="CO225" i="14609"/>
  <c r="CP225" i="14609"/>
  <c r="CQ225" i="14609"/>
  <c r="CR225" i="14609"/>
  <c r="CS225" i="14609"/>
  <c r="CT225" i="14609"/>
  <c r="CU225" i="14609"/>
  <c r="CV225" i="14609"/>
  <c r="CW225" i="14609"/>
  <c r="CX225" i="14609"/>
  <c r="CY225" i="14609"/>
  <c r="CZ225" i="14609"/>
  <c r="DA225" i="14609"/>
  <c r="DB225" i="14609"/>
  <c r="DC225" i="14609"/>
  <c r="DD225" i="14609"/>
  <c r="DE225" i="14609"/>
  <c r="DF225" i="14609"/>
  <c r="DG225" i="14609"/>
  <c r="DH225" i="14609"/>
  <c r="DI225" i="14609"/>
  <c r="DJ225" i="14609"/>
  <c r="DK225" i="14609"/>
  <c r="DL225" i="14609"/>
  <c r="DM225" i="14609"/>
  <c r="DN225" i="14609"/>
  <c r="DO225" i="14609"/>
  <c r="DP225" i="14609"/>
  <c r="DQ225" i="14609"/>
  <c r="DR225" i="14609"/>
  <c r="DS225" i="14609"/>
  <c r="DT225" i="14609"/>
  <c r="DU225" i="14609"/>
  <c r="DV225" i="14609"/>
  <c r="DW225" i="14609"/>
  <c r="DX225" i="14609"/>
  <c r="DY225" i="14609"/>
  <c r="DZ225" i="14609"/>
  <c r="EA225" i="14609"/>
  <c r="EB225" i="14609"/>
  <c r="EC225" i="14609"/>
  <c r="ED225" i="14609"/>
  <c r="EE225" i="14609"/>
  <c r="EF225" i="14609"/>
  <c r="EG225" i="14609"/>
  <c r="EH225" i="14609"/>
  <c r="EI225" i="14609"/>
  <c r="EJ225" i="14609"/>
  <c r="EK225" i="14609"/>
  <c r="EL225" i="14609"/>
  <c r="EM225" i="14609"/>
  <c r="EN225" i="14609"/>
  <c r="EO225" i="14609"/>
  <c r="EP225" i="14609"/>
  <c r="EQ225" i="14609"/>
  <c r="ER225" i="14609"/>
  <c r="ES225" i="14609"/>
  <c r="ET225" i="14609"/>
  <c r="EU225" i="14609"/>
  <c r="EV225" i="14609"/>
  <c r="EW225" i="14609"/>
  <c r="EX225" i="14609"/>
  <c r="EY225" i="14609"/>
  <c r="EZ225" i="14609"/>
  <c r="FA225" i="14609"/>
  <c r="FB225" i="14609"/>
  <c r="FC225" i="14609"/>
  <c r="FD225" i="14609"/>
  <c r="FE225" i="14609"/>
  <c r="FF225" i="14609"/>
  <c r="FG225" i="14609"/>
  <c r="FH225" i="14609"/>
  <c r="FI225" i="14609"/>
  <c r="FJ225" i="14609"/>
  <c r="FK225" i="14609"/>
  <c r="FL225" i="14609"/>
  <c r="FM225" i="14609"/>
  <c r="FN225" i="14609"/>
  <c r="FO225" i="14609"/>
  <c r="FP225" i="14609"/>
  <c r="FQ225" i="14609"/>
  <c r="FR225" i="14609"/>
  <c r="FS225" i="14609"/>
  <c r="FT225" i="14609"/>
  <c r="FU225" i="14609"/>
  <c r="FV225" i="14609"/>
  <c r="FW225" i="14609"/>
  <c r="FX225" i="14609"/>
  <c r="FY225" i="14609"/>
  <c r="FZ225" i="14609"/>
  <c r="GA225" i="14609"/>
  <c r="GB225" i="14609"/>
  <c r="GC225" i="14609"/>
  <c r="GD225" i="14609"/>
  <c r="GE225" i="14609"/>
  <c r="GF225" i="14609"/>
  <c r="GG225" i="14609"/>
  <c r="GH225" i="14609"/>
  <c r="GI225" i="14609"/>
  <c r="GJ225" i="14609"/>
  <c r="GK225" i="14609"/>
  <c r="GL225" i="14609"/>
  <c r="GM225" i="14609"/>
  <c r="GN225" i="14609"/>
  <c r="GO225" i="14609"/>
  <c r="GP225" i="14609"/>
  <c r="GQ225" i="14609"/>
  <c r="GR225" i="14609"/>
  <c r="GS225" i="14609"/>
  <c r="GT225" i="14609"/>
  <c r="GU225" i="14609"/>
  <c r="GV225" i="14609"/>
  <c r="GW225" i="14609"/>
  <c r="GX225" i="14609"/>
  <c r="GY225" i="14609"/>
  <c r="GZ225" i="14609"/>
  <c r="HA225" i="14609"/>
  <c r="HB225" i="14609"/>
  <c r="HC225" i="14609"/>
  <c r="HD225" i="14609"/>
  <c r="HE225" i="14609"/>
  <c r="HF225" i="14609"/>
  <c r="HG225" i="14609"/>
  <c r="HH225" i="14609"/>
  <c r="HI225" i="14609"/>
  <c r="HJ225" i="14609"/>
  <c r="HK225" i="14609"/>
  <c r="HL225" i="14609"/>
  <c r="HM225" i="14609"/>
  <c r="HN225" i="14609"/>
  <c r="HO225" i="14609"/>
  <c r="HP225" i="14609"/>
  <c r="HQ225" i="14609"/>
  <c r="HR225" i="14609"/>
  <c r="HS225" i="14609"/>
  <c r="HT225" i="14609"/>
  <c r="HU225" i="14609"/>
  <c r="HV225" i="14609"/>
  <c r="HW225" i="14609"/>
  <c r="HX225" i="14609"/>
  <c r="HY225" i="14609"/>
  <c r="HZ225" i="14609"/>
  <c r="IA225" i="14609"/>
  <c r="IB225" i="14609"/>
  <c r="IC225" i="14609"/>
  <c r="ID225" i="14609"/>
  <c r="IE225" i="14609"/>
  <c r="IF225" i="14609"/>
  <c r="IG225" i="14609"/>
  <c r="IH225" i="14609"/>
  <c r="II225" i="14609"/>
  <c r="IJ225" i="14609"/>
  <c r="IK225" i="14609"/>
  <c r="IL225" i="14609"/>
  <c r="IM225" i="14609"/>
  <c r="IN225" i="14609"/>
  <c r="IO225" i="14609"/>
  <c r="IP225" i="14609"/>
  <c r="IQ225" i="14609"/>
  <c r="IR225" i="14609"/>
  <c r="IS225" i="14609"/>
  <c r="IT225" i="14609"/>
  <c r="IU225" i="14609"/>
  <c r="IV225" i="14609"/>
  <c r="A224" i="14609"/>
  <c r="B224" i="14609"/>
  <c r="C224" i="14609"/>
  <c r="D224" i="14609"/>
  <c r="E224" i="14609"/>
  <c r="F224" i="14609"/>
  <c r="G224" i="14609"/>
  <c r="H224" i="14609"/>
  <c r="I224" i="14609"/>
  <c r="J224" i="14609"/>
  <c r="K224" i="14609"/>
  <c r="L224" i="14609"/>
  <c r="M224" i="14609"/>
  <c r="N224" i="14609"/>
  <c r="O224" i="14609"/>
  <c r="P224" i="14609"/>
  <c r="Q224" i="14609"/>
  <c r="R224" i="14609"/>
  <c r="S224" i="14609"/>
  <c r="T224" i="14609"/>
  <c r="U224" i="14609"/>
  <c r="V224" i="14609"/>
  <c r="W224" i="14609"/>
  <c r="X224" i="14609"/>
  <c r="Y224" i="14609"/>
  <c r="Z224" i="14609"/>
  <c r="AA224" i="14609"/>
  <c r="AB224" i="14609"/>
  <c r="AC224" i="14609"/>
  <c r="AD224" i="14609"/>
  <c r="AE224" i="14609"/>
  <c r="AF224" i="14609"/>
  <c r="AG224" i="14609"/>
  <c r="AH224" i="14609"/>
  <c r="AI224" i="14609"/>
  <c r="AJ224" i="14609"/>
  <c r="AK224" i="14609"/>
  <c r="AL224" i="14609"/>
  <c r="AM224" i="14609"/>
  <c r="AN224" i="14609"/>
  <c r="AO224" i="14609"/>
  <c r="AP224" i="14609"/>
  <c r="AQ224" i="14609"/>
  <c r="AR224" i="14609"/>
  <c r="AS224" i="14609"/>
  <c r="AT224" i="14609"/>
  <c r="AU224" i="14609"/>
  <c r="AV224" i="14609"/>
  <c r="AW224" i="14609"/>
  <c r="AX224" i="14609"/>
  <c r="AY224" i="14609"/>
  <c r="AZ224" i="14609"/>
  <c r="BA224" i="14609"/>
  <c r="BB224" i="14609"/>
  <c r="BC224" i="14609"/>
  <c r="BD224" i="14609"/>
  <c r="BE224" i="14609"/>
  <c r="BF224" i="14609"/>
  <c r="BG224" i="14609"/>
  <c r="BH224" i="14609"/>
  <c r="BI224" i="14609"/>
  <c r="BJ224" i="14609"/>
  <c r="BK224" i="14609"/>
  <c r="BL224" i="14609"/>
  <c r="BM224" i="14609"/>
  <c r="BN224" i="14609"/>
  <c r="BO224" i="14609"/>
  <c r="BP224" i="14609"/>
  <c r="BQ224" i="14609"/>
  <c r="BR224" i="14609"/>
  <c r="BS224" i="14609"/>
  <c r="BT224" i="14609"/>
  <c r="BU224" i="14609"/>
  <c r="BV224" i="14609"/>
  <c r="BW224" i="14609"/>
  <c r="BX224" i="14609"/>
  <c r="BY224" i="14609"/>
  <c r="BZ224" i="14609"/>
  <c r="CA224" i="14609"/>
  <c r="CB224" i="14609"/>
  <c r="CC224" i="14609"/>
  <c r="CD224" i="14609"/>
  <c r="CE224" i="14609"/>
  <c r="CF224" i="14609"/>
  <c r="CG224" i="14609"/>
  <c r="CH224" i="14609"/>
  <c r="CI224" i="14609"/>
  <c r="CJ224" i="14609"/>
  <c r="CK224" i="14609"/>
  <c r="CL224" i="14609"/>
  <c r="CM224" i="14609"/>
  <c r="CN224" i="14609"/>
  <c r="CO224" i="14609"/>
  <c r="CP224" i="14609"/>
  <c r="CQ224" i="14609"/>
  <c r="CR224" i="14609"/>
  <c r="CS224" i="14609"/>
  <c r="CT224" i="14609"/>
  <c r="CU224" i="14609"/>
  <c r="CV224" i="14609"/>
  <c r="CW224" i="14609"/>
  <c r="CX224" i="14609"/>
  <c r="CY224" i="14609"/>
  <c r="CZ224" i="14609"/>
  <c r="DA224" i="14609"/>
  <c r="DB224" i="14609"/>
  <c r="DC224" i="14609"/>
  <c r="DD224" i="14609"/>
  <c r="DE224" i="14609"/>
  <c r="DF224" i="14609"/>
  <c r="DG224" i="14609"/>
  <c r="DH224" i="14609"/>
  <c r="DI224" i="14609"/>
  <c r="DJ224" i="14609"/>
  <c r="DK224" i="14609"/>
  <c r="DL224" i="14609"/>
  <c r="DM224" i="14609"/>
  <c r="DN224" i="14609"/>
  <c r="DO224" i="14609"/>
  <c r="DP224" i="14609"/>
  <c r="DQ224" i="14609"/>
  <c r="DR224" i="14609"/>
  <c r="DS224" i="14609"/>
  <c r="DT224" i="14609"/>
  <c r="DU224" i="14609"/>
  <c r="DV224" i="14609"/>
  <c r="DW224" i="14609"/>
  <c r="DX224" i="14609"/>
  <c r="DY224" i="14609"/>
  <c r="DZ224" i="14609"/>
  <c r="EA224" i="14609"/>
  <c r="EB224" i="14609"/>
  <c r="EC224" i="14609"/>
  <c r="ED224" i="14609"/>
  <c r="EE224" i="14609"/>
  <c r="EF224" i="14609"/>
  <c r="EG224" i="14609"/>
  <c r="EH224" i="14609"/>
  <c r="EI224" i="14609"/>
  <c r="EJ224" i="14609"/>
  <c r="EK224" i="14609"/>
  <c r="EL224" i="14609"/>
  <c r="EM224" i="14609"/>
  <c r="EN224" i="14609"/>
  <c r="EO224" i="14609"/>
  <c r="EP224" i="14609"/>
  <c r="EQ224" i="14609"/>
  <c r="ER224" i="14609"/>
  <c r="ES224" i="14609"/>
  <c r="ET224" i="14609"/>
  <c r="EU224" i="14609"/>
  <c r="EV224" i="14609"/>
  <c r="EW224" i="14609"/>
  <c r="EX224" i="14609"/>
  <c r="EY224" i="14609"/>
  <c r="EZ224" i="14609"/>
  <c r="FA224" i="14609"/>
  <c r="FB224" i="14609"/>
  <c r="FC224" i="14609"/>
  <c r="FD224" i="14609"/>
  <c r="FE224" i="14609"/>
  <c r="FF224" i="14609"/>
  <c r="FG224" i="14609"/>
  <c r="FH224" i="14609"/>
  <c r="FI224" i="14609"/>
  <c r="FJ224" i="14609"/>
  <c r="FK224" i="14609"/>
  <c r="FL224" i="14609"/>
  <c r="FM224" i="14609"/>
  <c r="FN224" i="14609"/>
  <c r="FO224" i="14609"/>
  <c r="FP224" i="14609"/>
  <c r="FQ224" i="14609"/>
  <c r="FR224" i="14609"/>
  <c r="FS224" i="14609"/>
  <c r="FT224" i="14609"/>
  <c r="FU224" i="14609"/>
  <c r="FV224" i="14609"/>
  <c r="FW224" i="14609"/>
  <c r="FX224" i="14609"/>
  <c r="FY224" i="14609"/>
  <c r="FZ224" i="14609"/>
  <c r="GA224" i="14609"/>
  <c r="GB224" i="14609"/>
  <c r="GC224" i="14609"/>
  <c r="GD224" i="14609"/>
  <c r="GE224" i="14609"/>
  <c r="GF224" i="14609"/>
  <c r="GG224" i="14609"/>
  <c r="GH224" i="14609"/>
  <c r="GI224" i="14609"/>
  <c r="GJ224" i="14609"/>
  <c r="GK224" i="14609"/>
  <c r="GL224" i="14609"/>
  <c r="GM224" i="14609"/>
  <c r="GN224" i="14609"/>
  <c r="GO224" i="14609"/>
  <c r="GP224" i="14609"/>
  <c r="GQ224" i="14609"/>
  <c r="GR224" i="14609"/>
  <c r="GS224" i="14609"/>
  <c r="GT224" i="14609"/>
  <c r="GU224" i="14609"/>
  <c r="GV224" i="14609"/>
  <c r="GW224" i="14609"/>
  <c r="GX224" i="14609"/>
  <c r="GY224" i="14609"/>
  <c r="GZ224" i="14609"/>
  <c r="HA224" i="14609"/>
  <c r="HB224" i="14609"/>
  <c r="HC224" i="14609"/>
  <c r="HD224" i="14609"/>
  <c r="HE224" i="14609"/>
  <c r="HF224" i="14609"/>
  <c r="HG224" i="14609"/>
  <c r="HH224" i="14609"/>
  <c r="HI224" i="14609"/>
  <c r="HJ224" i="14609"/>
  <c r="HK224" i="14609"/>
  <c r="HL224" i="14609"/>
  <c r="HM224" i="14609"/>
  <c r="HN224" i="14609"/>
  <c r="HO224" i="14609"/>
  <c r="HP224" i="14609"/>
  <c r="HQ224" i="14609"/>
  <c r="HR224" i="14609"/>
  <c r="HS224" i="14609"/>
  <c r="HT224" i="14609"/>
  <c r="HU224" i="14609"/>
  <c r="HV224" i="14609"/>
  <c r="HW224" i="14609"/>
  <c r="HX224" i="14609"/>
  <c r="HY224" i="14609"/>
  <c r="HZ224" i="14609"/>
  <c r="IA224" i="14609"/>
  <c r="IB224" i="14609"/>
  <c r="IC224" i="14609"/>
  <c r="ID224" i="14609"/>
  <c r="IE224" i="14609"/>
  <c r="IF224" i="14609"/>
  <c r="IG224" i="14609"/>
  <c r="IH224" i="14609"/>
  <c r="II224" i="14609"/>
  <c r="IJ224" i="14609"/>
  <c r="IK224" i="14609"/>
  <c r="IL224" i="14609"/>
  <c r="IM224" i="14609"/>
  <c r="IN224" i="14609"/>
  <c r="IO224" i="14609"/>
  <c r="IP224" i="14609"/>
  <c r="IQ224" i="14609"/>
  <c r="IR224" i="14609"/>
  <c r="IS224" i="14609"/>
  <c r="IT224" i="14609"/>
  <c r="IU224" i="14609"/>
  <c r="IV224" i="14609"/>
  <c r="A223" i="14609"/>
  <c r="B223" i="14609"/>
  <c r="C223" i="14609"/>
  <c r="D223" i="14609"/>
  <c r="E223" i="14609"/>
  <c r="F223" i="14609"/>
  <c r="G223" i="14609"/>
  <c r="H223" i="14609"/>
  <c r="I223" i="14609"/>
  <c r="J223" i="14609"/>
  <c r="K223" i="14609"/>
  <c r="L223" i="14609"/>
  <c r="M223" i="14609"/>
  <c r="N223" i="14609"/>
  <c r="O223" i="14609"/>
  <c r="P223" i="14609"/>
  <c r="Q223" i="14609"/>
  <c r="R223" i="14609"/>
  <c r="S223" i="14609"/>
  <c r="T223" i="14609"/>
  <c r="U223" i="14609"/>
  <c r="V223" i="14609"/>
  <c r="W223" i="14609"/>
  <c r="X223" i="14609"/>
  <c r="Y223" i="14609"/>
  <c r="Z223" i="14609"/>
  <c r="AA223" i="14609"/>
  <c r="AB223" i="14609"/>
  <c r="AC223" i="14609"/>
  <c r="AD223" i="14609"/>
  <c r="AE223" i="14609"/>
  <c r="AF223" i="14609"/>
  <c r="AG223" i="14609"/>
  <c r="AH223" i="14609"/>
  <c r="AI223" i="14609"/>
  <c r="AJ223" i="14609"/>
  <c r="AK223" i="14609"/>
  <c r="AL223" i="14609"/>
  <c r="AM223" i="14609"/>
  <c r="AN223" i="14609"/>
  <c r="AO223" i="14609"/>
  <c r="AP223" i="14609"/>
  <c r="AQ223" i="14609"/>
  <c r="AR223" i="14609"/>
  <c r="AS223" i="14609"/>
  <c r="AT223" i="14609"/>
  <c r="AU223" i="14609"/>
  <c r="AV223" i="14609"/>
  <c r="AW223" i="14609"/>
  <c r="AX223" i="14609"/>
  <c r="AY223" i="14609"/>
  <c r="AZ223" i="14609"/>
  <c r="BA223" i="14609"/>
  <c r="BB223" i="14609"/>
  <c r="BC223" i="14609"/>
  <c r="BD223" i="14609"/>
  <c r="BE223" i="14609"/>
  <c r="BF223" i="14609"/>
  <c r="BG223" i="14609"/>
  <c r="BH223" i="14609"/>
  <c r="BI223" i="14609"/>
  <c r="BJ223" i="14609"/>
  <c r="BK223" i="14609"/>
  <c r="BL223" i="14609"/>
  <c r="BM223" i="14609"/>
  <c r="BN223" i="14609"/>
  <c r="BO223" i="14609"/>
  <c r="BP223" i="14609"/>
  <c r="BQ223" i="14609"/>
  <c r="BR223" i="14609"/>
  <c r="BS223" i="14609"/>
  <c r="BT223" i="14609"/>
  <c r="BU223" i="14609"/>
  <c r="BV223" i="14609"/>
  <c r="BW223" i="14609"/>
  <c r="BX223" i="14609"/>
  <c r="BY223" i="14609"/>
  <c r="BZ223" i="14609"/>
  <c r="CA223" i="14609"/>
  <c r="CB223" i="14609"/>
  <c r="CC223" i="14609"/>
  <c r="CD223" i="14609"/>
  <c r="CE223" i="14609"/>
  <c r="CF223" i="14609"/>
  <c r="CG223" i="14609"/>
  <c r="CH223" i="14609"/>
  <c r="CI223" i="14609"/>
  <c r="CJ223" i="14609"/>
  <c r="CK223" i="14609"/>
  <c r="CL223" i="14609"/>
  <c r="CM223" i="14609"/>
  <c r="CN223" i="14609"/>
  <c r="CO223" i="14609"/>
  <c r="CP223" i="14609"/>
  <c r="CQ223" i="14609"/>
  <c r="CR223" i="14609"/>
  <c r="CS223" i="14609"/>
  <c r="CT223" i="14609"/>
  <c r="CU223" i="14609"/>
  <c r="CV223" i="14609"/>
  <c r="CW223" i="14609"/>
  <c r="CX223" i="14609"/>
  <c r="CY223" i="14609"/>
  <c r="CZ223" i="14609"/>
  <c r="DA223" i="14609"/>
  <c r="DB223" i="14609"/>
  <c r="DC223" i="14609"/>
  <c r="DD223" i="14609"/>
  <c r="DE223" i="14609"/>
  <c r="DF223" i="14609"/>
  <c r="DG223" i="14609"/>
  <c r="DH223" i="14609"/>
  <c r="DI223" i="14609"/>
  <c r="DJ223" i="14609"/>
  <c r="DK223" i="14609"/>
  <c r="DL223" i="14609"/>
  <c r="DM223" i="14609"/>
  <c r="DN223" i="14609"/>
  <c r="DO223" i="14609"/>
  <c r="DP223" i="14609"/>
  <c r="DQ223" i="14609"/>
  <c r="DR223" i="14609"/>
  <c r="DS223" i="14609"/>
  <c r="DT223" i="14609"/>
  <c r="DU223" i="14609"/>
  <c r="DV223" i="14609"/>
  <c r="DW223" i="14609"/>
  <c r="DX223" i="14609"/>
  <c r="DY223" i="14609"/>
  <c r="DZ223" i="14609"/>
  <c r="EA223" i="14609"/>
  <c r="EB223" i="14609"/>
  <c r="EC223" i="14609"/>
  <c r="ED223" i="14609"/>
  <c r="EE223" i="14609"/>
  <c r="EF223" i="14609"/>
  <c r="EG223" i="14609"/>
  <c r="EH223" i="14609"/>
  <c r="EI223" i="14609"/>
  <c r="EJ223" i="14609"/>
  <c r="EK223" i="14609"/>
  <c r="EL223" i="14609"/>
  <c r="EM223" i="14609"/>
  <c r="EN223" i="14609"/>
  <c r="EO223" i="14609"/>
  <c r="EP223" i="14609"/>
  <c r="EQ223" i="14609"/>
  <c r="ER223" i="14609"/>
  <c r="ES223" i="14609"/>
  <c r="ET223" i="14609"/>
  <c r="EU223" i="14609"/>
  <c r="EV223" i="14609"/>
  <c r="EW223" i="14609"/>
  <c r="EX223" i="14609"/>
  <c r="EY223" i="14609"/>
  <c r="EZ223" i="14609"/>
  <c r="FA223" i="14609"/>
  <c r="FB223" i="14609"/>
  <c r="FC223" i="14609"/>
  <c r="FD223" i="14609"/>
  <c r="FE223" i="14609"/>
  <c r="FF223" i="14609"/>
  <c r="FG223" i="14609"/>
  <c r="FH223" i="14609"/>
  <c r="FI223" i="14609"/>
  <c r="FJ223" i="14609"/>
  <c r="FK223" i="14609"/>
  <c r="FL223" i="14609"/>
  <c r="FM223" i="14609"/>
  <c r="FN223" i="14609"/>
  <c r="FO223" i="14609"/>
  <c r="FP223" i="14609"/>
  <c r="FQ223" i="14609"/>
  <c r="FR223" i="14609"/>
  <c r="FS223" i="14609"/>
  <c r="FT223" i="14609"/>
  <c r="FU223" i="14609"/>
  <c r="FV223" i="14609"/>
  <c r="FW223" i="14609"/>
  <c r="FX223" i="14609"/>
  <c r="FY223" i="14609"/>
  <c r="FZ223" i="14609"/>
  <c r="GA223" i="14609"/>
  <c r="GB223" i="14609"/>
  <c r="GC223" i="14609"/>
  <c r="GD223" i="14609"/>
  <c r="GE223" i="14609"/>
  <c r="GF223" i="14609"/>
  <c r="GG223" i="14609"/>
  <c r="GH223" i="14609"/>
  <c r="GI223" i="14609"/>
  <c r="GJ223" i="14609"/>
  <c r="GK223" i="14609"/>
  <c r="GL223" i="14609"/>
  <c r="GM223" i="14609"/>
  <c r="GN223" i="14609"/>
  <c r="GO223" i="14609"/>
  <c r="GP223" i="14609"/>
  <c r="GQ223" i="14609"/>
  <c r="GR223" i="14609"/>
  <c r="GS223" i="14609"/>
  <c r="GT223" i="14609"/>
  <c r="GU223" i="14609"/>
  <c r="GV223" i="14609"/>
  <c r="GW223" i="14609"/>
  <c r="GX223" i="14609"/>
  <c r="GY223" i="14609"/>
  <c r="GZ223" i="14609"/>
  <c r="HA223" i="14609"/>
  <c r="HB223" i="14609"/>
  <c r="HC223" i="14609"/>
  <c r="HD223" i="14609"/>
  <c r="HE223" i="14609"/>
  <c r="HF223" i="14609"/>
  <c r="HG223" i="14609"/>
  <c r="HH223" i="14609"/>
  <c r="HI223" i="14609"/>
  <c r="HJ223" i="14609"/>
  <c r="HK223" i="14609"/>
  <c r="HL223" i="14609"/>
  <c r="HM223" i="14609"/>
  <c r="HN223" i="14609"/>
  <c r="HO223" i="14609"/>
  <c r="HP223" i="14609"/>
  <c r="HQ223" i="14609"/>
  <c r="HR223" i="14609"/>
  <c r="HS223" i="14609"/>
  <c r="HT223" i="14609"/>
  <c r="HU223" i="14609"/>
  <c r="HV223" i="14609"/>
  <c r="HW223" i="14609"/>
  <c r="HX223" i="14609"/>
  <c r="HY223" i="14609"/>
  <c r="HZ223" i="14609"/>
  <c r="IA223" i="14609"/>
  <c r="IB223" i="14609"/>
  <c r="IC223" i="14609"/>
  <c r="ID223" i="14609"/>
  <c r="IE223" i="14609"/>
  <c r="IF223" i="14609"/>
  <c r="IG223" i="14609"/>
  <c r="IH223" i="14609"/>
  <c r="II223" i="14609"/>
  <c r="IJ223" i="14609"/>
  <c r="IK223" i="14609"/>
  <c r="IL223" i="14609"/>
  <c r="IM223" i="14609"/>
  <c r="IN223" i="14609"/>
  <c r="IO223" i="14609"/>
  <c r="IP223" i="14609"/>
  <c r="IQ223" i="14609"/>
  <c r="IR223" i="14609"/>
  <c r="IS223" i="14609"/>
  <c r="IT223" i="14609"/>
  <c r="IU223" i="14609"/>
  <c r="IV223" i="14609"/>
  <c r="A222" i="14609"/>
  <c r="B222" i="14609"/>
  <c r="C222" i="14609"/>
  <c r="D222" i="14609"/>
  <c r="E222" i="14609"/>
  <c r="F222" i="14609"/>
  <c r="G222" i="14609"/>
  <c r="H222" i="14609"/>
  <c r="I222" i="14609"/>
  <c r="J222" i="14609"/>
  <c r="K222" i="14609"/>
  <c r="L222" i="14609"/>
  <c r="M222" i="14609"/>
  <c r="N222" i="14609"/>
  <c r="O222" i="14609"/>
  <c r="P222" i="14609"/>
  <c r="Q222" i="14609"/>
  <c r="R222" i="14609"/>
  <c r="S222" i="14609"/>
  <c r="T222" i="14609"/>
  <c r="U222" i="14609"/>
  <c r="V222" i="14609"/>
  <c r="W222" i="14609"/>
  <c r="X222" i="14609"/>
  <c r="Y222" i="14609"/>
  <c r="Z222" i="14609"/>
  <c r="AA222" i="14609"/>
  <c r="AB222" i="14609"/>
  <c r="AC222" i="14609"/>
  <c r="AD222" i="14609"/>
  <c r="AE222" i="14609"/>
  <c r="AF222" i="14609"/>
  <c r="AG222" i="14609"/>
  <c r="AH222" i="14609"/>
  <c r="AI222" i="14609"/>
  <c r="AJ222" i="14609"/>
  <c r="AK222" i="14609"/>
  <c r="AL222" i="14609"/>
  <c r="AM222" i="14609"/>
  <c r="AN222" i="14609"/>
  <c r="AO222" i="14609"/>
  <c r="AP222" i="14609"/>
  <c r="AQ222" i="14609"/>
  <c r="AR222" i="14609"/>
  <c r="AS222" i="14609"/>
  <c r="AT222" i="14609"/>
  <c r="AU222" i="14609"/>
  <c r="AV222" i="14609"/>
  <c r="AW222" i="14609"/>
  <c r="AX222" i="14609"/>
  <c r="AY222" i="14609"/>
  <c r="AZ222" i="14609"/>
  <c r="BA222" i="14609"/>
  <c r="BB222" i="14609"/>
  <c r="BC222" i="14609"/>
  <c r="BD222" i="14609"/>
  <c r="BE222" i="14609"/>
  <c r="BF222" i="14609"/>
  <c r="BG222" i="14609"/>
  <c r="BH222" i="14609"/>
  <c r="BI222" i="14609"/>
  <c r="BJ222" i="14609"/>
  <c r="BK222" i="14609"/>
  <c r="BL222" i="14609"/>
  <c r="BM222" i="14609"/>
  <c r="BN222" i="14609"/>
  <c r="BO222" i="14609"/>
  <c r="BP222" i="14609"/>
  <c r="BQ222" i="14609"/>
  <c r="BR222" i="14609"/>
  <c r="BS222" i="14609"/>
  <c r="BT222" i="14609"/>
  <c r="BU222" i="14609"/>
  <c r="BV222" i="14609"/>
  <c r="BW222" i="14609"/>
  <c r="BX222" i="14609"/>
  <c r="BY222" i="14609"/>
  <c r="BZ222" i="14609"/>
  <c r="CA222" i="14609"/>
  <c r="CB222" i="14609"/>
  <c r="CC222" i="14609"/>
  <c r="CD222" i="14609"/>
  <c r="CE222" i="14609"/>
  <c r="CF222" i="14609"/>
  <c r="CG222" i="14609"/>
  <c r="CH222" i="14609"/>
  <c r="CI222" i="14609"/>
  <c r="CJ222" i="14609"/>
  <c r="CK222" i="14609"/>
  <c r="CL222" i="14609"/>
  <c r="CM222" i="14609"/>
  <c r="CN222" i="14609"/>
  <c r="CO222" i="14609"/>
  <c r="CP222" i="14609"/>
  <c r="CQ222" i="14609"/>
  <c r="CR222" i="14609"/>
  <c r="CS222" i="14609"/>
  <c r="CT222" i="14609"/>
  <c r="CU222" i="14609"/>
  <c r="CV222" i="14609"/>
  <c r="CW222" i="14609"/>
  <c r="CX222" i="14609"/>
  <c r="CY222" i="14609"/>
  <c r="CZ222" i="14609"/>
  <c r="DA222" i="14609"/>
  <c r="DB222" i="14609"/>
  <c r="DC222" i="14609"/>
  <c r="DD222" i="14609"/>
  <c r="DE222" i="14609"/>
  <c r="DF222" i="14609"/>
  <c r="DG222" i="14609"/>
  <c r="DH222" i="14609"/>
  <c r="DI222" i="14609"/>
  <c r="DJ222" i="14609"/>
  <c r="DK222" i="14609"/>
  <c r="DL222" i="14609"/>
  <c r="DM222" i="14609"/>
  <c r="DN222" i="14609"/>
  <c r="DO222" i="14609"/>
  <c r="DP222" i="14609"/>
  <c r="DQ222" i="14609"/>
  <c r="DR222" i="14609"/>
  <c r="DS222" i="14609"/>
  <c r="DT222" i="14609"/>
  <c r="DU222" i="14609"/>
  <c r="DV222" i="14609"/>
  <c r="DW222" i="14609"/>
  <c r="DX222" i="14609"/>
  <c r="DY222" i="14609"/>
  <c r="DZ222" i="14609"/>
  <c r="EA222" i="14609"/>
  <c r="EB222" i="14609"/>
  <c r="EC222" i="14609"/>
  <c r="ED222" i="14609"/>
  <c r="EE222" i="14609"/>
  <c r="EF222" i="14609"/>
  <c r="EG222" i="14609"/>
  <c r="EH222" i="14609"/>
  <c r="EI222" i="14609"/>
  <c r="EJ222" i="14609"/>
  <c r="EK222" i="14609"/>
  <c r="EL222" i="14609"/>
  <c r="EM222" i="14609"/>
  <c r="EN222" i="14609"/>
  <c r="EO222" i="14609"/>
  <c r="EP222" i="14609"/>
  <c r="EQ222" i="14609"/>
  <c r="ER222" i="14609"/>
  <c r="ES222" i="14609"/>
  <c r="ET222" i="14609"/>
  <c r="EU222" i="14609"/>
  <c r="EV222" i="14609"/>
  <c r="EW222" i="14609"/>
  <c r="EX222" i="14609"/>
  <c r="EY222" i="14609"/>
  <c r="EZ222" i="14609"/>
  <c r="FA222" i="14609"/>
  <c r="FB222" i="14609"/>
  <c r="FC222" i="14609"/>
  <c r="FD222" i="14609"/>
  <c r="FE222" i="14609"/>
  <c r="FF222" i="14609"/>
  <c r="FG222" i="14609"/>
  <c r="FH222" i="14609"/>
  <c r="FI222" i="14609"/>
  <c r="FJ222" i="14609"/>
  <c r="FK222" i="14609"/>
  <c r="FL222" i="14609"/>
  <c r="FM222" i="14609"/>
  <c r="FN222" i="14609"/>
  <c r="FO222" i="14609"/>
  <c r="FP222" i="14609"/>
  <c r="FQ222" i="14609"/>
  <c r="FR222" i="14609"/>
  <c r="FS222" i="14609"/>
  <c r="FT222" i="14609"/>
  <c r="FU222" i="14609"/>
  <c r="FV222" i="14609"/>
  <c r="FW222" i="14609"/>
  <c r="FX222" i="14609"/>
  <c r="FY222" i="14609"/>
  <c r="FZ222" i="14609"/>
  <c r="GA222" i="14609"/>
  <c r="GB222" i="14609"/>
  <c r="GC222" i="14609"/>
  <c r="GD222" i="14609"/>
  <c r="GE222" i="14609"/>
  <c r="GF222" i="14609"/>
  <c r="GG222" i="14609"/>
  <c r="GH222" i="14609"/>
  <c r="GI222" i="14609"/>
  <c r="GJ222" i="14609"/>
  <c r="GK222" i="14609"/>
  <c r="GL222" i="14609"/>
  <c r="GM222" i="14609"/>
  <c r="GN222" i="14609"/>
  <c r="GO222" i="14609"/>
  <c r="GP222" i="14609"/>
  <c r="GQ222" i="14609"/>
  <c r="GR222" i="14609"/>
  <c r="GS222" i="14609"/>
  <c r="GT222" i="14609"/>
  <c r="GU222" i="14609"/>
  <c r="GV222" i="14609"/>
  <c r="GW222" i="14609"/>
  <c r="GX222" i="14609"/>
  <c r="GY222" i="14609"/>
  <c r="GZ222" i="14609"/>
  <c r="HA222" i="14609"/>
  <c r="HB222" i="14609"/>
  <c r="HC222" i="14609"/>
  <c r="HD222" i="14609"/>
  <c r="HE222" i="14609"/>
  <c r="HF222" i="14609"/>
  <c r="HG222" i="14609"/>
  <c r="HH222" i="14609"/>
  <c r="HI222" i="14609"/>
  <c r="HJ222" i="14609"/>
  <c r="HK222" i="14609"/>
  <c r="HL222" i="14609"/>
  <c r="HM222" i="14609"/>
  <c r="HN222" i="14609"/>
  <c r="HO222" i="14609"/>
  <c r="HP222" i="14609"/>
  <c r="HQ222" i="14609"/>
  <c r="HR222" i="14609"/>
  <c r="HS222" i="14609"/>
  <c r="HT222" i="14609"/>
  <c r="HU222" i="14609"/>
  <c r="HV222" i="14609"/>
  <c r="HW222" i="14609"/>
  <c r="HX222" i="14609"/>
  <c r="HY222" i="14609"/>
  <c r="HZ222" i="14609"/>
  <c r="IA222" i="14609"/>
  <c r="IB222" i="14609"/>
  <c r="IC222" i="14609"/>
  <c r="ID222" i="14609"/>
  <c r="IE222" i="14609"/>
  <c r="IF222" i="14609"/>
  <c r="IG222" i="14609"/>
  <c r="IH222" i="14609"/>
  <c r="II222" i="14609"/>
  <c r="IJ222" i="14609"/>
  <c r="IK222" i="14609"/>
  <c r="IL222" i="14609"/>
  <c r="IM222" i="14609"/>
  <c r="IN222" i="14609"/>
  <c r="IO222" i="14609"/>
  <c r="IP222" i="14609"/>
  <c r="IQ222" i="14609"/>
  <c r="IR222" i="14609"/>
  <c r="IS222" i="14609"/>
  <c r="IT222" i="14609"/>
  <c r="IU222" i="14609"/>
  <c r="IV222" i="14609"/>
  <c r="A221" i="14609"/>
  <c r="B221" i="14609"/>
  <c r="C221" i="14609"/>
  <c r="D221" i="14609"/>
  <c r="E221" i="14609"/>
  <c r="F221" i="14609"/>
  <c r="G221" i="14609"/>
  <c r="H221" i="14609"/>
  <c r="I221" i="14609"/>
  <c r="J221" i="14609"/>
  <c r="K221" i="14609"/>
  <c r="L221" i="14609"/>
  <c r="M221" i="14609"/>
  <c r="N221" i="14609"/>
  <c r="O221" i="14609"/>
  <c r="P221" i="14609"/>
  <c r="Q221" i="14609"/>
  <c r="R221" i="14609"/>
  <c r="S221" i="14609"/>
  <c r="T221" i="14609"/>
  <c r="U221" i="14609"/>
  <c r="V221" i="14609"/>
  <c r="W221" i="14609"/>
  <c r="X221" i="14609"/>
  <c r="Y221" i="14609"/>
  <c r="Z221" i="14609"/>
  <c r="AA221" i="14609"/>
  <c r="AB221" i="14609"/>
  <c r="AC221" i="14609"/>
  <c r="AD221" i="14609"/>
  <c r="AE221" i="14609"/>
  <c r="AF221" i="14609"/>
  <c r="AG221" i="14609"/>
  <c r="AH221" i="14609"/>
  <c r="AI221" i="14609"/>
  <c r="AJ221" i="14609"/>
  <c r="AK221" i="14609"/>
  <c r="AL221" i="14609"/>
  <c r="AM221" i="14609"/>
  <c r="AN221" i="14609"/>
  <c r="AO221" i="14609"/>
  <c r="AP221" i="14609"/>
  <c r="AQ221" i="14609"/>
  <c r="AR221" i="14609"/>
  <c r="AS221" i="14609"/>
  <c r="AT221" i="14609"/>
  <c r="AU221" i="14609"/>
  <c r="AV221" i="14609"/>
  <c r="AW221" i="14609"/>
  <c r="AX221" i="14609"/>
  <c r="AY221" i="14609"/>
  <c r="AZ221" i="14609"/>
  <c r="BA221" i="14609"/>
  <c r="BB221" i="14609"/>
  <c r="BC221" i="14609"/>
  <c r="BD221" i="14609"/>
  <c r="BE221" i="14609"/>
  <c r="BF221" i="14609"/>
  <c r="BG221" i="14609"/>
  <c r="BH221" i="14609"/>
  <c r="BI221" i="14609"/>
  <c r="BJ221" i="14609"/>
  <c r="BK221" i="14609"/>
  <c r="BL221" i="14609"/>
  <c r="BM221" i="14609"/>
  <c r="BN221" i="14609"/>
  <c r="BO221" i="14609"/>
  <c r="BP221" i="14609"/>
  <c r="BQ221" i="14609"/>
  <c r="BR221" i="14609"/>
  <c r="BS221" i="14609"/>
  <c r="BT221" i="14609"/>
  <c r="BU221" i="14609"/>
  <c r="BV221" i="14609"/>
  <c r="BW221" i="14609"/>
  <c r="BX221" i="14609"/>
  <c r="BY221" i="14609"/>
  <c r="BZ221" i="14609"/>
  <c r="CA221" i="14609"/>
  <c r="CB221" i="14609"/>
  <c r="CC221" i="14609"/>
  <c r="CD221" i="14609"/>
  <c r="CE221" i="14609"/>
  <c r="CF221" i="14609"/>
  <c r="CG221" i="14609"/>
  <c r="CH221" i="14609"/>
  <c r="CI221" i="14609"/>
  <c r="CJ221" i="14609"/>
  <c r="CK221" i="14609"/>
  <c r="CL221" i="14609"/>
  <c r="CM221" i="14609"/>
  <c r="CN221" i="14609"/>
  <c r="CO221" i="14609"/>
  <c r="CP221" i="14609"/>
  <c r="CQ221" i="14609"/>
  <c r="CR221" i="14609"/>
  <c r="CS221" i="14609"/>
  <c r="CT221" i="14609"/>
  <c r="CU221" i="14609"/>
  <c r="CV221" i="14609"/>
  <c r="CW221" i="14609"/>
  <c r="CX221" i="14609"/>
  <c r="CY221" i="14609"/>
  <c r="CZ221" i="14609"/>
  <c r="DA221" i="14609"/>
  <c r="DB221" i="14609"/>
  <c r="DC221" i="14609"/>
  <c r="DD221" i="14609"/>
  <c r="DE221" i="14609"/>
  <c r="DF221" i="14609"/>
  <c r="DG221" i="14609"/>
  <c r="DH221" i="14609"/>
  <c r="DI221" i="14609"/>
  <c r="DJ221" i="14609"/>
  <c r="DK221" i="14609"/>
  <c r="DL221" i="14609"/>
  <c r="DM221" i="14609"/>
  <c r="DN221" i="14609"/>
  <c r="DO221" i="14609"/>
  <c r="DP221" i="14609"/>
  <c r="DQ221" i="14609"/>
  <c r="DR221" i="14609"/>
  <c r="DS221" i="14609"/>
  <c r="DT221" i="14609"/>
  <c r="DU221" i="14609"/>
  <c r="DV221" i="14609"/>
  <c r="DW221" i="14609"/>
  <c r="DX221" i="14609"/>
  <c r="DY221" i="14609"/>
  <c r="DZ221" i="14609"/>
  <c r="EA221" i="14609"/>
  <c r="EB221" i="14609"/>
  <c r="EC221" i="14609"/>
  <c r="ED221" i="14609"/>
  <c r="EE221" i="14609"/>
  <c r="EF221" i="14609"/>
  <c r="EG221" i="14609"/>
  <c r="EH221" i="14609"/>
  <c r="EI221" i="14609"/>
  <c r="EJ221" i="14609"/>
  <c r="EK221" i="14609"/>
  <c r="EL221" i="14609"/>
  <c r="EM221" i="14609"/>
  <c r="EN221" i="14609"/>
  <c r="EO221" i="14609"/>
  <c r="EP221" i="14609"/>
  <c r="EQ221" i="14609"/>
  <c r="ER221" i="14609"/>
  <c r="ES221" i="14609"/>
  <c r="ET221" i="14609"/>
  <c r="EU221" i="14609"/>
  <c r="EV221" i="14609"/>
  <c r="EW221" i="14609"/>
  <c r="EX221" i="14609"/>
  <c r="EY221" i="14609"/>
  <c r="EZ221" i="14609"/>
  <c r="FA221" i="14609"/>
  <c r="FB221" i="14609"/>
  <c r="FC221" i="14609"/>
  <c r="FD221" i="14609"/>
  <c r="FE221" i="14609"/>
  <c r="FF221" i="14609"/>
  <c r="FG221" i="14609"/>
  <c r="FH221" i="14609"/>
  <c r="FI221" i="14609"/>
  <c r="FJ221" i="14609"/>
  <c r="FK221" i="14609"/>
  <c r="FL221" i="14609"/>
  <c r="FM221" i="14609"/>
  <c r="FN221" i="14609"/>
  <c r="FO221" i="14609"/>
  <c r="FP221" i="14609"/>
  <c r="FQ221" i="14609"/>
  <c r="FR221" i="14609"/>
  <c r="FS221" i="14609"/>
  <c r="FT221" i="14609"/>
  <c r="FU221" i="14609"/>
  <c r="FV221" i="14609"/>
  <c r="FW221" i="14609"/>
  <c r="FX221" i="14609"/>
  <c r="FY221" i="14609"/>
  <c r="FZ221" i="14609"/>
  <c r="GA221" i="14609"/>
  <c r="GB221" i="14609"/>
  <c r="GC221" i="14609"/>
  <c r="GD221" i="14609"/>
  <c r="GE221" i="14609"/>
  <c r="GF221" i="14609"/>
  <c r="GG221" i="14609"/>
  <c r="GH221" i="14609"/>
  <c r="GI221" i="14609"/>
  <c r="GJ221" i="14609"/>
  <c r="GK221" i="14609"/>
  <c r="GL221" i="14609"/>
  <c r="GM221" i="14609"/>
  <c r="GN221" i="14609"/>
  <c r="GO221" i="14609"/>
  <c r="GP221" i="14609"/>
  <c r="GQ221" i="14609"/>
  <c r="GR221" i="14609"/>
  <c r="GS221" i="14609"/>
  <c r="GT221" i="14609"/>
  <c r="GU221" i="14609"/>
  <c r="GV221" i="14609"/>
  <c r="GW221" i="14609"/>
  <c r="GX221" i="14609"/>
  <c r="GY221" i="14609"/>
  <c r="GZ221" i="14609"/>
  <c r="HA221" i="14609"/>
  <c r="HB221" i="14609"/>
  <c r="HC221" i="14609"/>
  <c r="HD221" i="14609"/>
  <c r="HE221" i="14609"/>
  <c r="HF221" i="14609"/>
  <c r="HG221" i="14609"/>
  <c r="HH221" i="14609"/>
  <c r="HI221" i="14609"/>
  <c r="HJ221" i="14609"/>
  <c r="HK221" i="14609"/>
  <c r="HL221" i="14609"/>
  <c r="HM221" i="14609"/>
  <c r="HN221" i="14609"/>
  <c r="HO221" i="14609"/>
  <c r="HP221" i="14609"/>
  <c r="HQ221" i="14609"/>
  <c r="HR221" i="14609"/>
  <c r="HS221" i="14609"/>
  <c r="HT221" i="14609"/>
  <c r="HU221" i="14609"/>
  <c r="HV221" i="14609"/>
  <c r="HW221" i="14609"/>
  <c r="HX221" i="14609"/>
  <c r="HY221" i="14609"/>
  <c r="HZ221" i="14609"/>
  <c r="IA221" i="14609"/>
  <c r="IB221" i="14609"/>
  <c r="IC221" i="14609"/>
  <c r="ID221" i="14609"/>
  <c r="IE221" i="14609"/>
  <c r="IF221" i="14609"/>
  <c r="IG221" i="14609"/>
  <c r="IH221" i="14609"/>
  <c r="II221" i="14609"/>
  <c r="IJ221" i="14609"/>
  <c r="IK221" i="14609"/>
  <c r="IL221" i="14609"/>
  <c r="IM221" i="14609"/>
  <c r="IN221" i="14609"/>
  <c r="IO221" i="14609"/>
  <c r="IP221" i="14609"/>
  <c r="IQ221" i="14609"/>
  <c r="IR221" i="14609"/>
  <c r="IS221" i="14609"/>
  <c r="IT221" i="14609"/>
  <c r="IU221" i="14609"/>
  <c r="IV221" i="14609"/>
  <c r="A220" i="14609"/>
  <c r="B220" i="14609"/>
  <c r="C220" i="14609"/>
  <c r="D220" i="14609"/>
  <c r="E220" i="14609"/>
  <c r="F220" i="14609"/>
  <c r="G220" i="14609"/>
  <c r="H220" i="14609"/>
  <c r="I220" i="14609"/>
  <c r="J220" i="14609"/>
  <c r="K220" i="14609"/>
  <c r="L220" i="14609"/>
  <c r="M220" i="14609"/>
  <c r="N220" i="14609"/>
  <c r="O220" i="14609"/>
  <c r="P220" i="14609"/>
  <c r="Q220" i="14609"/>
  <c r="R220" i="14609"/>
  <c r="S220" i="14609"/>
  <c r="T220" i="14609"/>
  <c r="U220" i="14609"/>
  <c r="V220" i="14609"/>
  <c r="W220" i="14609"/>
  <c r="X220" i="14609"/>
  <c r="Y220" i="14609"/>
  <c r="Z220" i="14609"/>
  <c r="AA220" i="14609"/>
  <c r="AB220" i="14609"/>
  <c r="AC220" i="14609"/>
  <c r="AD220" i="14609"/>
  <c r="AE220" i="14609"/>
  <c r="AF220" i="14609"/>
  <c r="AG220" i="14609"/>
  <c r="AH220" i="14609"/>
  <c r="AI220" i="14609"/>
  <c r="AJ220" i="14609"/>
  <c r="AK220" i="14609"/>
  <c r="AL220" i="14609"/>
  <c r="AM220" i="14609"/>
  <c r="AN220" i="14609"/>
  <c r="AO220" i="14609"/>
  <c r="AP220" i="14609"/>
  <c r="AQ220" i="14609"/>
  <c r="AR220" i="14609"/>
  <c r="AS220" i="14609"/>
  <c r="AT220" i="14609"/>
  <c r="AU220" i="14609"/>
  <c r="AV220" i="14609"/>
  <c r="AW220" i="14609"/>
  <c r="AX220" i="14609"/>
  <c r="AY220" i="14609"/>
  <c r="AZ220" i="14609"/>
  <c r="BA220" i="14609"/>
  <c r="BB220" i="14609"/>
  <c r="BC220" i="14609"/>
  <c r="BD220" i="14609"/>
  <c r="BE220" i="14609"/>
  <c r="BF220" i="14609"/>
  <c r="BG220" i="14609"/>
  <c r="BH220" i="14609"/>
  <c r="BI220" i="14609"/>
  <c r="BJ220" i="14609"/>
  <c r="BK220" i="14609"/>
  <c r="BL220" i="14609"/>
  <c r="BM220" i="14609"/>
  <c r="BN220" i="14609"/>
  <c r="BO220" i="14609"/>
  <c r="BP220" i="14609"/>
  <c r="BQ220" i="14609"/>
  <c r="BR220" i="14609"/>
  <c r="BS220" i="14609"/>
  <c r="BT220" i="14609"/>
  <c r="BU220" i="14609"/>
  <c r="BV220" i="14609"/>
  <c r="BW220" i="14609"/>
  <c r="BX220" i="14609"/>
  <c r="BY220" i="14609"/>
  <c r="BZ220" i="14609"/>
  <c r="CA220" i="14609"/>
  <c r="CB220" i="14609"/>
  <c r="CC220" i="14609"/>
  <c r="CD220" i="14609"/>
  <c r="CE220" i="14609"/>
  <c r="CF220" i="14609"/>
  <c r="CG220" i="14609"/>
  <c r="CH220" i="14609"/>
  <c r="CI220" i="14609"/>
  <c r="CJ220" i="14609"/>
  <c r="CK220" i="14609"/>
  <c r="CL220" i="14609"/>
  <c r="CM220" i="14609"/>
  <c r="CN220" i="14609"/>
  <c r="CO220" i="14609"/>
  <c r="CP220" i="14609"/>
  <c r="CQ220" i="14609"/>
  <c r="CR220" i="14609"/>
  <c r="CS220" i="14609"/>
  <c r="CT220" i="14609"/>
  <c r="CU220" i="14609"/>
  <c r="CV220" i="14609"/>
  <c r="CW220" i="14609"/>
  <c r="CX220" i="14609"/>
  <c r="CY220" i="14609"/>
  <c r="CZ220" i="14609"/>
  <c r="DA220" i="14609"/>
  <c r="DB220" i="14609"/>
  <c r="DC220" i="14609"/>
  <c r="DD220" i="14609"/>
  <c r="DE220" i="14609"/>
  <c r="DF220" i="14609"/>
  <c r="DG220" i="14609"/>
  <c r="DH220" i="14609"/>
  <c r="DI220" i="14609"/>
  <c r="DJ220" i="14609"/>
  <c r="DK220" i="14609"/>
  <c r="DL220" i="14609"/>
  <c r="DM220" i="14609"/>
  <c r="DN220" i="14609"/>
  <c r="DO220" i="14609"/>
  <c r="DP220" i="14609"/>
  <c r="DQ220" i="14609"/>
  <c r="DR220" i="14609"/>
  <c r="DS220" i="14609"/>
  <c r="DT220" i="14609"/>
  <c r="DU220" i="14609"/>
  <c r="DV220" i="14609"/>
  <c r="DW220" i="14609"/>
  <c r="DX220" i="14609"/>
  <c r="DY220" i="14609"/>
  <c r="DZ220" i="14609"/>
  <c r="EA220" i="14609"/>
  <c r="EB220" i="14609"/>
  <c r="EC220" i="14609"/>
  <c r="ED220" i="14609"/>
  <c r="EE220" i="14609"/>
  <c r="EF220" i="14609"/>
  <c r="EG220" i="14609"/>
  <c r="EH220" i="14609"/>
  <c r="EI220" i="14609"/>
  <c r="EJ220" i="14609"/>
  <c r="EK220" i="14609"/>
  <c r="EL220" i="14609"/>
  <c r="EM220" i="14609"/>
  <c r="EN220" i="14609"/>
  <c r="EO220" i="14609"/>
  <c r="EP220" i="14609"/>
  <c r="EQ220" i="14609"/>
  <c r="ER220" i="14609"/>
  <c r="ES220" i="14609"/>
  <c r="ET220" i="14609"/>
  <c r="EU220" i="14609"/>
  <c r="EV220" i="14609"/>
  <c r="EW220" i="14609"/>
  <c r="EX220" i="14609"/>
  <c r="EY220" i="14609"/>
  <c r="EZ220" i="14609"/>
  <c r="FA220" i="14609"/>
  <c r="FB220" i="14609"/>
  <c r="FC220" i="14609"/>
  <c r="FD220" i="14609"/>
  <c r="FE220" i="14609"/>
  <c r="FF220" i="14609"/>
  <c r="FG220" i="14609"/>
  <c r="FH220" i="14609"/>
  <c r="FI220" i="14609"/>
  <c r="FJ220" i="14609"/>
  <c r="FK220" i="14609"/>
  <c r="FL220" i="14609"/>
  <c r="FM220" i="14609"/>
  <c r="FN220" i="14609"/>
  <c r="FO220" i="14609"/>
  <c r="FP220" i="14609"/>
  <c r="FQ220" i="14609"/>
  <c r="FR220" i="14609"/>
  <c r="FS220" i="14609"/>
  <c r="FT220" i="14609"/>
  <c r="FU220" i="14609"/>
  <c r="FV220" i="14609"/>
  <c r="FW220" i="14609"/>
  <c r="FX220" i="14609"/>
  <c r="FY220" i="14609"/>
  <c r="FZ220" i="14609"/>
  <c r="GA220" i="14609"/>
  <c r="GB220" i="14609"/>
  <c r="GC220" i="14609"/>
  <c r="GD220" i="14609"/>
  <c r="GE220" i="14609"/>
  <c r="GF220" i="14609"/>
  <c r="GG220" i="14609"/>
  <c r="GH220" i="14609"/>
  <c r="GI220" i="14609"/>
  <c r="GJ220" i="14609"/>
  <c r="GK220" i="14609"/>
  <c r="GL220" i="14609"/>
  <c r="GM220" i="14609"/>
  <c r="GN220" i="14609"/>
  <c r="GO220" i="14609"/>
  <c r="GP220" i="14609"/>
  <c r="GQ220" i="14609"/>
  <c r="GR220" i="14609"/>
  <c r="GS220" i="14609"/>
  <c r="GT220" i="14609"/>
  <c r="GU220" i="14609"/>
  <c r="GV220" i="14609"/>
  <c r="GW220" i="14609"/>
  <c r="GX220" i="14609"/>
  <c r="GY220" i="14609"/>
  <c r="GZ220" i="14609"/>
  <c r="HA220" i="14609"/>
  <c r="HB220" i="14609"/>
  <c r="HC220" i="14609"/>
  <c r="HD220" i="14609"/>
  <c r="HE220" i="14609"/>
  <c r="HF220" i="14609"/>
  <c r="HG220" i="14609"/>
  <c r="HH220" i="14609"/>
  <c r="HI220" i="14609"/>
  <c r="HJ220" i="14609"/>
  <c r="HK220" i="14609"/>
  <c r="HL220" i="14609"/>
  <c r="HM220" i="14609"/>
  <c r="HN220" i="14609"/>
  <c r="HO220" i="14609"/>
  <c r="HP220" i="14609"/>
  <c r="HQ220" i="14609"/>
  <c r="HR220" i="14609"/>
  <c r="HS220" i="14609"/>
  <c r="HT220" i="14609"/>
  <c r="HU220" i="14609"/>
  <c r="HV220" i="14609"/>
  <c r="HW220" i="14609"/>
  <c r="HX220" i="14609"/>
  <c r="HY220" i="14609"/>
  <c r="HZ220" i="14609"/>
  <c r="IA220" i="14609"/>
  <c r="IB220" i="14609"/>
  <c r="IC220" i="14609"/>
  <c r="ID220" i="14609"/>
  <c r="IE220" i="14609"/>
  <c r="IF220" i="14609"/>
  <c r="IG220" i="14609"/>
  <c r="IH220" i="14609"/>
  <c r="II220" i="14609"/>
  <c r="IJ220" i="14609"/>
  <c r="IK220" i="14609"/>
  <c r="IL220" i="14609"/>
  <c r="IM220" i="14609"/>
  <c r="IN220" i="14609"/>
  <c r="IO220" i="14609"/>
  <c r="IP220" i="14609"/>
  <c r="IQ220" i="14609"/>
  <c r="IR220" i="14609"/>
  <c r="IS220" i="14609"/>
  <c r="IT220" i="14609"/>
  <c r="IU220" i="14609"/>
  <c r="IV220" i="14609"/>
  <c r="A219" i="14609"/>
  <c r="B219" i="14609"/>
  <c r="C219" i="14609"/>
  <c r="D219" i="14609"/>
  <c r="E219" i="14609"/>
  <c r="F219" i="14609"/>
  <c r="G219" i="14609"/>
  <c r="H219" i="14609"/>
  <c r="I219" i="14609"/>
  <c r="J219" i="14609"/>
  <c r="K219" i="14609"/>
  <c r="L219" i="14609"/>
  <c r="M219" i="14609"/>
  <c r="N219" i="14609"/>
  <c r="O219" i="14609"/>
  <c r="P219" i="14609"/>
  <c r="Q219" i="14609"/>
  <c r="R219" i="14609"/>
  <c r="S219" i="14609"/>
  <c r="T219" i="14609"/>
  <c r="U219" i="14609"/>
  <c r="V219" i="14609"/>
  <c r="W219" i="14609"/>
  <c r="X219" i="14609"/>
  <c r="Y219" i="14609"/>
  <c r="Z219" i="14609"/>
  <c r="AA219" i="14609"/>
  <c r="AB219" i="14609"/>
  <c r="AC219" i="14609"/>
  <c r="AD219" i="14609"/>
  <c r="AE219" i="14609"/>
  <c r="AF219" i="14609"/>
  <c r="AG219" i="14609"/>
  <c r="AH219" i="14609"/>
  <c r="AI219" i="14609"/>
  <c r="AJ219" i="14609"/>
  <c r="AK219" i="14609"/>
  <c r="AL219" i="14609"/>
  <c r="AM219" i="14609"/>
  <c r="AN219" i="14609"/>
  <c r="AO219" i="14609"/>
  <c r="AP219" i="14609"/>
  <c r="AQ219" i="14609"/>
  <c r="AR219" i="14609"/>
  <c r="AS219" i="14609"/>
  <c r="AT219" i="14609"/>
  <c r="AU219" i="14609"/>
  <c r="AV219" i="14609"/>
  <c r="AW219" i="14609"/>
  <c r="AX219" i="14609"/>
  <c r="AY219" i="14609"/>
  <c r="AZ219" i="14609"/>
  <c r="BA219" i="14609"/>
  <c r="BB219" i="14609"/>
  <c r="BC219" i="14609"/>
  <c r="BD219" i="14609"/>
  <c r="BE219" i="14609"/>
  <c r="BF219" i="14609"/>
  <c r="BG219" i="14609"/>
  <c r="BH219" i="14609"/>
  <c r="BI219" i="14609"/>
  <c r="BJ219" i="14609"/>
  <c r="BK219" i="14609"/>
  <c r="BL219" i="14609"/>
  <c r="BM219" i="14609"/>
  <c r="BN219" i="14609"/>
  <c r="BO219" i="14609"/>
  <c r="BP219" i="14609"/>
  <c r="BQ219" i="14609"/>
  <c r="BR219" i="14609"/>
  <c r="BS219" i="14609"/>
  <c r="BT219" i="14609"/>
  <c r="BU219" i="14609"/>
  <c r="BV219" i="14609"/>
  <c r="BW219" i="14609"/>
  <c r="BX219" i="14609"/>
  <c r="BY219" i="14609"/>
  <c r="BZ219" i="14609"/>
  <c r="CA219" i="14609"/>
  <c r="CB219" i="14609"/>
  <c r="CC219" i="14609"/>
  <c r="CD219" i="14609"/>
  <c r="CE219" i="14609"/>
  <c r="CF219" i="14609"/>
  <c r="CG219" i="14609"/>
  <c r="CH219" i="14609"/>
  <c r="CI219" i="14609"/>
  <c r="CJ219" i="14609"/>
  <c r="CK219" i="14609"/>
  <c r="CL219" i="14609"/>
  <c r="CM219" i="14609"/>
  <c r="CN219" i="14609"/>
  <c r="CO219" i="14609"/>
  <c r="CP219" i="14609"/>
  <c r="CQ219" i="14609"/>
  <c r="CR219" i="14609"/>
  <c r="CS219" i="14609"/>
  <c r="CT219" i="14609"/>
  <c r="CU219" i="14609"/>
  <c r="CV219" i="14609"/>
  <c r="CW219" i="14609"/>
  <c r="CX219" i="14609"/>
  <c r="CY219" i="14609"/>
  <c r="CZ219" i="14609"/>
  <c r="DA219" i="14609"/>
  <c r="DB219" i="14609"/>
  <c r="DC219" i="14609"/>
  <c r="DD219" i="14609"/>
  <c r="DE219" i="14609"/>
  <c r="DF219" i="14609"/>
  <c r="DG219" i="14609"/>
  <c r="DH219" i="14609"/>
  <c r="DI219" i="14609"/>
  <c r="DJ219" i="14609"/>
  <c r="DK219" i="14609"/>
  <c r="DL219" i="14609"/>
  <c r="DM219" i="14609"/>
  <c r="DN219" i="14609"/>
  <c r="DO219" i="14609"/>
  <c r="DP219" i="14609"/>
  <c r="DQ219" i="14609"/>
  <c r="DR219" i="14609"/>
  <c r="DS219" i="14609"/>
  <c r="DT219" i="14609"/>
  <c r="DU219" i="14609"/>
  <c r="DV219" i="14609"/>
  <c r="DW219" i="14609"/>
  <c r="DX219" i="14609"/>
  <c r="DY219" i="14609"/>
  <c r="DZ219" i="14609"/>
  <c r="EA219" i="14609"/>
  <c r="EB219" i="14609"/>
  <c r="EC219" i="14609"/>
  <c r="ED219" i="14609"/>
  <c r="EE219" i="14609"/>
  <c r="EF219" i="14609"/>
  <c r="EG219" i="14609"/>
  <c r="EH219" i="14609"/>
  <c r="EI219" i="14609"/>
  <c r="EJ219" i="14609"/>
  <c r="EK219" i="14609"/>
  <c r="EL219" i="14609"/>
  <c r="EM219" i="14609"/>
  <c r="EN219" i="14609"/>
  <c r="EO219" i="14609"/>
  <c r="EP219" i="14609"/>
  <c r="EQ219" i="14609"/>
  <c r="ER219" i="14609"/>
  <c r="ES219" i="14609"/>
  <c r="ET219" i="14609"/>
  <c r="EU219" i="14609"/>
  <c r="EV219" i="14609"/>
  <c r="EW219" i="14609"/>
  <c r="EX219" i="14609"/>
  <c r="EY219" i="14609"/>
  <c r="EZ219" i="14609"/>
  <c r="FA219" i="14609"/>
  <c r="FB219" i="14609"/>
  <c r="FC219" i="14609"/>
  <c r="FD219" i="14609"/>
  <c r="FE219" i="14609"/>
  <c r="FF219" i="14609"/>
  <c r="FG219" i="14609"/>
  <c r="FH219" i="14609"/>
  <c r="FI219" i="14609"/>
  <c r="FJ219" i="14609"/>
  <c r="FK219" i="14609"/>
  <c r="FL219" i="14609"/>
  <c r="FM219" i="14609"/>
  <c r="FN219" i="14609"/>
  <c r="FO219" i="14609"/>
  <c r="FP219" i="14609"/>
  <c r="FQ219" i="14609"/>
  <c r="FR219" i="14609"/>
  <c r="FS219" i="14609"/>
  <c r="FT219" i="14609"/>
  <c r="FU219" i="14609"/>
  <c r="FV219" i="14609"/>
  <c r="FW219" i="14609"/>
  <c r="FX219" i="14609"/>
  <c r="FY219" i="14609"/>
  <c r="FZ219" i="14609"/>
  <c r="GA219" i="14609"/>
  <c r="GB219" i="14609"/>
  <c r="GC219" i="14609"/>
  <c r="GD219" i="14609"/>
  <c r="GE219" i="14609"/>
  <c r="GF219" i="14609"/>
  <c r="GG219" i="14609"/>
  <c r="GH219" i="14609"/>
  <c r="GI219" i="14609"/>
  <c r="GJ219" i="14609"/>
  <c r="GK219" i="14609"/>
  <c r="GL219" i="14609"/>
  <c r="GM219" i="14609"/>
  <c r="GN219" i="14609"/>
  <c r="GO219" i="14609"/>
  <c r="GP219" i="14609"/>
  <c r="GQ219" i="14609"/>
  <c r="GR219" i="14609"/>
  <c r="GS219" i="14609"/>
  <c r="GT219" i="14609"/>
  <c r="GU219" i="14609"/>
  <c r="GV219" i="14609"/>
  <c r="GW219" i="14609"/>
  <c r="GX219" i="14609"/>
  <c r="GY219" i="14609"/>
  <c r="GZ219" i="14609"/>
  <c r="HA219" i="14609"/>
  <c r="HB219" i="14609"/>
  <c r="HC219" i="14609"/>
  <c r="HD219" i="14609"/>
  <c r="HE219" i="14609"/>
  <c r="HF219" i="14609"/>
  <c r="HG219" i="14609"/>
  <c r="HH219" i="14609"/>
  <c r="HI219" i="14609"/>
  <c r="HJ219" i="14609"/>
  <c r="HK219" i="14609"/>
  <c r="HL219" i="14609"/>
  <c r="HM219" i="14609"/>
  <c r="HN219" i="14609"/>
  <c r="HO219" i="14609"/>
  <c r="HP219" i="14609"/>
  <c r="HQ219" i="14609"/>
  <c r="HR219" i="14609"/>
  <c r="HS219" i="14609"/>
  <c r="HT219" i="14609"/>
  <c r="HU219" i="14609"/>
  <c r="HV219" i="14609"/>
  <c r="HW219" i="14609"/>
  <c r="HX219" i="14609"/>
  <c r="HY219" i="14609"/>
  <c r="HZ219" i="14609"/>
  <c r="IA219" i="14609"/>
  <c r="IB219" i="14609"/>
  <c r="IC219" i="14609"/>
  <c r="ID219" i="14609"/>
  <c r="IE219" i="14609"/>
  <c r="IF219" i="14609"/>
  <c r="IG219" i="14609"/>
  <c r="IH219" i="14609"/>
  <c r="II219" i="14609"/>
  <c r="IJ219" i="14609"/>
  <c r="IK219" i="14609"/>
  <c r="IL219" i="14609"/>
  <c r="IM219" i="14609"/>
  <c r="IN219" i="14609"/>
  <c r="IO219" i="14609"/>
  <c r="IP219" i="14609"/>
  <c r="IQ219" i="14609"/>
  <c r="IR219" i="14609"/>
  <c r="IS219" i="14609"/>
  <c r="IT219" i="14609"/>
  <c r="IU219" i="14609"/>
  <c r="IV219" i="14609"/>
  <c r="A218" i="14609"/>
  <c r="B218" i="14609"/>
  <c r="C218" i="14609"/>
  <c r="D218" i="14609"/>
  <c r="E218" i="14609"/>
  <c r="F218" i="14609"/>
  <c r="G218" i="14609"/>
  <c r="H218" i="14609"/>
  <c r="I218" i="14609"/>
  <c r="J218" i="14609"/>
  <c r="K218" i="14609"/>
  <c r="L218" i="14609"/>
  <c r="M218" i="14609"/>
  <c r="N218" i="14609"/>
  <c r="O218" i="14609"/>
  <c r="P218" i="14609"/>
  <c r="Q218" i="14609"/>
  <c r="R218" i="14609"/>
  <c r="S218" i="14609"/>
  <c r="T218" i="14609"/>
  <c r="U218" i="14609"/>
  <c r="V218" i="14609"/>
  <c r="W218" i="14609"/>
  <c r="X218" i="14609"/>
  <c r="Y218" i="14609"/>
  <c r="Z218" i="14609"/>
  <c r="AA218" i="14609"/>
  <c r="AB218" i="14609"/>
  <c r="AC218" i="14609"/>
  <c r="AD218" i="14609"/>
  <c r="AE218" i="14609"/>
  <c r="AF218" i="14609"/>
  <c r="AG218" i="14609"/>
  <c r="AH218" i="14609"/>
  <c r="AI218" i="14609"/>
  <c r="AJ218" i="14609"/>
  <c r="AK218" i="14609"/>
  <c r="AL218" i="14609"/>
  <c r="AM218" i="14609"/>
  <c r="AN218" i="14609"/>
  <c r="AO218" i="14609"/>
  <c r="AP218" i="14609"/>
  <c r="AQ218" i="14609"/>
  <c r="AR218" i="14609"/>
  <c r="AS218" i="14609"/>
  <c r="AT218" i="14609"/>
  <c r="AU218" i="14609"/>
  <c r="AV218" i="14609"/>
  <c r="AW218" i="14609"/>
  <c r="AX218" i="14609"/>
  <c r="AY218" i="14609"/>
  <c r="AZ218" i="14609"/>
  <c r="BA218" i="14609"/>
  <c r="BB218" i="14609"/>
  <c r="BC218" i="14609"/>
  <c r="BD218" i="14609"/>
  <c r="BE218" i="14609"/>
  <c r="BF218" i="14609"/>
  <c r="BG218" i="14609"/>
  <c r="BH218" i="14609"/>
  <c r="BI218" i="14609"/>
  <c r="BJ218" i="14609"/>
  <c r="BK218" i="14609"/>
  <c r="BL218" i="14609"/>
  <c r="BM218" i="14609"/>
  <c r="BN218" i="14609"/>
  <c r="BO218" i="14609"/>
  <c r="BP218" i="14609"/>
  <c r="BQ218" i="14609"/>
  <c r="BR218" i="14609"/>
  <c r="BS218" i="14609"/>
  <c r="BT218" i="14609"/>
  <c r="BU218" i="14609"/>
  <c r="BV218" i="14609"/>
  <c r="BW218" i="14609"/>
  <c r="BX218" i="14609"/>
  <c r="BY218" i="14609"/>
  <c r="BZ218" i="14609"/>
  <c r="CA218" i="14609"/>
  <c r="CB218" i="14609"/>
  <c r="CC218" i="14609"/>
  <c r="CD218" i="14609"/>
  <c r="CE218" i="14609"/>
  <c r="CF218" i="14609"/>
  <c r="CG218" i="14609"/>
  <c r="CH218" i="14609"/>
  <c r="CI218" i="14609"/>
  <c r="CJ218" i="14609"/>
  <c r="CK218" i="14609"/>
  <c r="CL218" i="14609"/>
  <c r="CM218" i="14609"/>
  <c r="CN218" i="14609"/>
  <c r="CO218" i="14609"/>
  <c r="CP218" i="14609"/>
  <c r="CQ218" i="14609"/>
  <c r="CR218" i="14609"/>
  <c r="CS218" i="14609"/>
  <c r="CT218" i="14609"/>
  <c r="CU218" i="14609"/>
  <c r="CV218" i="14609"/>
  <c r="CW218" i="14609"/>
  <c r="CX218" i="14609"/>
  <c r="CY218" i="14609"/>
  <c r="CZ218" i="14609"/>
  <c r="DA218" i="14609"/>
  <c r="DB218" i="14609"/>
  <c r="DC218" i="14609"/>
  <c r="DD218" i="14609"/>
  <c r="DE218" i="14609"/>
  <c r="DF218" i="14609"/>
  <c r="DG218" i="14609"/>
  <c r="DH218" i="14609"/>
  <c r="DI218" i="14609"/>
  <c r="DJ218" i="14609"/>
  <c r="DK218" i="14609"/>
  <c r="DL218" i="14609"/>
  <c r="DM218" i="14609"/>
  <c r="DN218" i="14609"/>
  <c r="DO218" i="14609"/>
  <c r="DP218" i="14609"/>
  <c r="DQ218" i="14609"/>
  <c r="DR218" i="14609"/>
  <c r="DS218" i="14609"/>
  <c r="DT218" i="14609"/>
  <c r="DU218" i="14609"/>
  <c r="DV218" i="14609"/>
  <c r="DW218" i="14609"/>
  <c r="DX218" i="14609"/>
  <c r="DY218" i="14609"/>
  <c r="DZ218" i="14609"/>
  <c r="EA218" i="14609"/>
  <c r="EB218" i="14609"/>
  <c r="EC218" i="14609"/>
  <c r="ED218" i="14609"/>
  <c r="EE218" i="14609"/>
  <c r="EF218" i="14609"/>
  <c r="EG218" i="14609"/>
  <c r="EH218" i="14609"/>
  <c r="EI218" i="14609"/>
  <c r="EJ218" i="14609"/>
  <c r="EK218" i="14609"/>
  <c r="EL218" i="14609"/>
  <c r="EM218" i="14609"/>
  <c r="EN218" i="14609"/>
  <c r="EO218" i="14609"/>
  <c r="EP218" i="14609"/>
  <c r="EQ218" i="14609"/>
  <c r="ER218" i="14609"/>
  <c r="ES218" i="14609"/>
  <c r="ET218" i="14609"/>
  <c r="EU218" i="14609"/>
  <c r="EV218" i="14609"/>
  <c r="EW218" i="14609"/>
  <c r="EX218" i="14609"/>
  <c r="EY218" i="14609"/>
  <c r="EZ218" i="14609"/>
  <c r="FA218" i="14609"/>
  <c r="FB218" i="14609"/>
  <c r="FC218" i="14609"/>
  <c r="FD218" i="14609"/>
  <c r="FE218" i="14609"/>
  <c r="FF218" i="14609"/>
  <c r="FG218" i="14609"/>
  <c r="FH218" i="14609"/>
  <c r="FI218" i="14609"/>
  <c r="FJ218" i="14609"/>
  <c r="FK218" i="14609"/>
  <c r="FL218" i="14609"/>
  <c r="FM218" i="14609"/>
  <c r="FN218" i="14609"/>
  <c r="FO218" i="14609"/>
  <c r="FP218" i="14609"/>
  <c r="FQ218" i="14609"/>
  <c r="FR218" i="14609"/>
  <c r="FS218" i="14609"/>
  <c r="FT218" i="14609"/>
  <c r="FU218" i="14609"/>
  <c r="FV218" i="14609"/>
  <c r="FW218" i="14609"/>
  <c r="FX218" i="14609"/>
  <c r="FY218" i="14609"/>
  <c r="FZ218" i="14609"/>
  <c r="GA218" i="14609"/>
  <c r="GB218" i="14609"/>
  <c r="GC218" i="14609"/>
  <c r="GD218" i="14609"/>
  <c r="GE218" i="14609"/>
  <c r="GF218" i="14609"/>
  <c r="GG218" i="14609"/>
  <c r="GH218" i="14609"/>
  <c r="GI218" i="14609"/>
  <c r="GJ218" i="14609"/>
  <c r="GK218" i="14609"/>
  <c r="GL218" i="14609"/>
  <c r="GM218" i="14609"/>
  <c r="GN218" i="14609"/>
  <c r="GO218" i="14609"/>
  <c r="GP218" i="14609"/>
  <c r="GQ218" i="14609"/>
  <c r="GR218" i="14609"/>
  <c r="GS218" i="14609"/>
  <c r="GT218" i="14609"/>
  <c r="GU218" i="14609"/>
  <c r="GV218" i="14609"/>
  <c r="GW218" i="14609"/>
  <c r="GX218" i="14609"/>
  <c r="GY218" i="14609"/>
  <c r="GZ218" i="14609"/>
  <c r="HA218" i="14609"/>
  <c r="HB218" i="14609"/>
  <c r="HC218" i="14609"/>
  <c r="HD218" i="14609"/>
  <c r="HE218" i="14609"/>
  <c r="HF218" i="14609"/>
  <c r="HG218" i="14609"/>
  <c r="HH218" i="14609"/>
  <c r="HI218" i="14609"/>
  <c r="HJ218" i="14609"/>
  <c r="HK218" i="14609"/>
  <c r="HL218" i="14609"/>
  <c r="HM218" i="14609"/>
  <c r="HN218" i="14609"/>
  <c r="HO218" i="14609"/>
  <c r="HP218" i="14609"/>
  <c r="HQ218" i="14609"/>
  <c r="HR218" i="14609"/>
  <c r="HS218" i="14609"/>
  <c r="HT218" i="14609"/>
  <c r="HU218" i="14609"/>
  <c r="HV218" i="14609"/>
  <c r="HW218" i="14609"/>
  <c r="HX218" i="14609"/>
  <c r="HY218" i="14609"/>
  <c r="HZ218" i="14609"/>
  <c r="IA218" i="14609"/>
  <c r="IB218" i="14609"/>
  <c r="IC218" i="14609"/>
  <c r="ID218" i="14609"/>
  <c r="IE218" i="14609"/>
  <c r="IF218" i="14609"/>
  <c r="IG218" i="14609"/>
  <c r="IH218" i="14609"/>
  <c r="II218" i="14609"/>
  <c r="IJ218" i="14609"/>
  <c r="IK218" i="14609"/>
  <c r="IL218" i="14609"/>
  <c r="IM218" i="14609"/>
  <c r="IN218" i="14609"/>
  <c r="IO218" i="14609"/>
  <c r="IP218" i="14609"/>
  <c r="IQ218" i="14609"/>
  <c r="IR218" i="14609"/>
  <c r="IS218" i="14609"/>
  <c r="IT218" i="14609"/>
  <c r="IU218" i="14609"/>
  <c r="IV218" i="14609"/>
  <c r="A217" i="14609"/>
  <c r="B217" i="14609"/>
  <c r="C217" i="14609"/>
  <c r="D217" i="14609"/>
  <c r="E217" i="14609"/>
  <c r="F217" i="14609"/>
  <c r="G217" i="14609"/>
  <c r="H217" i="14609"/>
  <c r="I217" i="14609"/>
  <c r="J217" i="14609"/>
  <c r="K217" i="14609"/>
  <c r="L217" i="14609"/>
  <c r="M217" i="14609"/>
  <c r="N217" i="14609"/>
  <c r="O217" i="14609"/>
  <c r="P217" i="14609"/>
  <c r="Q217" i="14609"/>
  <c r="R217" i="14609"/>
  <c r="S217" i="14609"/>
  <c r="T217" i="14609"/>
  <c r="U217" i="14609"/>
  <c r="V217" i="14609"/>
  <c r="W217" i="14609"/>
  <c r="X217" i="14609"/>
  <c r="Y217" i="14609"/>
  <c r="Z217" i="14609"/>
  <c r="AA217" i="14609"/>
  <c r="AB217" i="14609"/>
  <c r="AC217" i="14609"/>
  <c r="AD217" i="14609"/>
  <c r="AE217" i="14609"/>
  <c r="AF217" i="14609"/>
  <c r="AG217" i="14609"/>
  <c r="AH217" i="14609"/>
  <c r="AI217" i="14609"/>
  <c r="AJ217" i="14609"/>
  <c r="AK217" i="14609"/>
  <c r="AL217" i="14609"/>
  <c r="AM217" i="14609"/>
  <c r="AN217" i="14609"/>
  <c r="AO217" i="14609"/>
  <c r="AP217" i="14609"/>
  <c r="AQ217" i="14609"/>
  <c r="AR217" i="14609"/>
  <c r="AS217" i="14609"/>
  <c r="AT217" i="14609"/>
  <c r="AU217" i="14609"/>
  <c r="AV217" i="14609"/>
  <c r="AW217" i="14609"/>
  <c r="AX217" i="14609"/>
  <c r="AY217" i="14609"/>
  <c r="AZ217" i="14609"/>
  <c r="BA217" i="14609"/>
  <c r="BB217" i="14609"/>
  <c r="BC217" i="14609"/>
  <c r="BD217" i="14609"/>
  <c r="BE217" i="14609"/>
  <c r="BF217" i="14609"/>
  <c r="BG217" i="14609"/>
  <c r="BH217" i="14609"/>
  <c r="BI217" i="14609"/>
  <c r="BJ217" i="14609"/>
  <c r="BK217" i="14609"/>
  <c r="BL217" i="14609"/>
  <c r="BM217" i="14609"/>
  <c r="BN217" i="14609"/>
  <c r="BO217" i="14609"/>
  <c r="BP217" i="14609"/>
  <c r="BQ217" i="14609"/>
  <c r="BR217" i="14609"/>
  <c r="BS217" i="14609"/>
  <c r="BT217" i="14609"/>
  <c r="BU217" i="14609"/>
  <c r="BV217" i="14609"/>
  <c r="BW217" i="14609"/>
  <c r="BX217" i="14609"/>
  <c r="BY217" i="14609"/>
  <c r="BZ217" i="14609"/>
  <c r="CA217" i="14609"/>
  <c r="CB217" i="14609"/>
  <c r="CC217" i="14609"/>
  <c r="CD217" i="14609"/>
  <c r="CE217" i="14609"/>
  <c r="CF217" i="14609"/>
  <c r="CG217" i="14609"/>
  <c r="CH217" i="14609"/>
  <c r="CI217" i="14609"/>
  <c r="CJ217" i="14609"/>
  <c r="CK217" i="14609"/>
  <c r="CL217" i="14609"/>
  <c r="CM217" i="14609"/>
  <c r="CN217" i="14609"/>
  <c r="CO217" i="14609"/>
  <c r="CP217" i="14609"/>
  <c r="CQ217" i="14609"/>
  <c r="CR217" i="14609"/>
  <c r="CS217" i="14609"/>
  <c r="CT217" i="14609"/>
  <c r="CU217" i="14609"/>
  <c r="CV217" i="14609"/>
  <c r="CW217" i="14609"/>
  <c r="CX217" i="14609"/>
  <c r="CY217" i="14609"/>
  <c r="CZ217" i="14609"/>
  <c r="DA217" i="14609"/>
  <c r="DB217" i="14609"/>
  <c r="DC217" i="14609"/>
  <c r="DD217" i="14609"/>
  <c r="DE217" i="14609"/>
  <c r="DF217" i="14609"/>
  <c r="DG217" i="14609"/>
  <c r="DH217" i="14609"/>
  <c r="DI217" i="14609"/>
  <c r="DJ217" i="14609"/>
  <c r="DK217" i="14609"/>
  <c r="DL217" i="14609"/>
  <c r="DM217" i="14609"/>
  <c r="DN217" i="14609"/>
  <c r="DO217" i="14609"/>
  <c r="DP217" i="14609"/>
  <c r="DQ217" i="14609"/>
  <c r="DR217" i="14609"/>
  <c r="DS217" i="14609"/>
  <c r="DT217" i="14609"/>
  <c r="DU217" i="14609"/>
  <c r="DV217" i="14609"/>
  <c r="DW217" i="14609"/>
  <c r="DX217" i="14609"/>
  <c r="DY217" i="14609"/>
  <c r="DZ217" i="14609"/>
  <c r="EA217" i="14609"/>
  <c r="EB217" i="14609"/>
  <c r="EC217" i="14609"/>
  <c r="ED217" i="14609"/>
  <c r="EE217" i="14609"/>
  <c r="EF217" i="14609"/>
  <c r="EG217" i="14609"/>
  <c r="EH217" i="14609"/>
  <c r="EI217" i="14609"/>
  <c r="EJ217" i="14609"/>
  <c r="EK217" i="14609"/>
  <c r="EL217" i="14609"/>
  <c r="EM217" i="14609"/>
  <c r="EN217" i="14609"/>
  <c r="EO217" i="14609"/>
  <c r="EP217" i="14609"/>
  <c r="EQ217" i="14609"/>
  <c r="ER217" i="14609"/>
  <c r="ES217" i="14609"/>
  <c r="ET217" i="14609"/>
  <c r="EU217" i="14609"/>
  <c r="EV217" i="14609"/>
  <c r="EW217" i="14609"/>
  <c r="EX217" i="14609"/>
  <c r="EY217" i="14609"/>
  <c r="EZ217" i="14609"/>
  <c r="FA217" i="14609"/>
  <c r="FB217" i="14609"/>
  <c r="FC217" i="14609"/>
  <c r="FD217" i="14609"/>
  <c r="FE217" i="14609"/>
  <c r="FF217" i="14609"/>
  <c r="FG217" i="14609"/>
  <c r="FH217" i="14609"/>
  <c r="FI217" i="14609"/>
  <c r="FJ217" i="14609"/>
  <c r="FK217" i="14609"/>
  <c r="FL217" i="14609"/>
  <c r="FM217" i="14609"/>
  <c r="FN217" i="14609"/>
  <c r="FO217" i="14609"/>
  <c r="FP217" i="14609"/>
  <c r="FQ217" i="14609"/>
  <c r="FR217" i="14609"/>
  <c r="FS217" i="14609"/>
  <c r="FT217" i="14609"/>
  <c r="FU217" i="14609"/>
  <c r="FV217" i="14609"/>
  <c r="FW217" i="14609"/>
  <c r="FX217" i="14609"/>
  <c r="FY217" i="14609"/>
  <c r="FZ217" i="14609"/>
  <c r="GA217" i="14609"/>
  <c r="GB217" i="14609"/>
  <c r="GC217" i="14609"/>
  <c r="GD217" i="14609"/>
  <c r="GE217" i="14609"/>
  <c r="GF217" i="14609"/>
  <c r="GG217" i="14609"/>
  <c r="GH217" i="14609"/>
  <c r="GI217" i="14609"/>
  <c r="GJ217" i="14609"/>
  <c r="GK217" i="14609"/>
  <c r="GL217" i="14609"/>
  <c r="GM217" i="14609"/>
  <c r="GN217" i="14609"/>
  <c r="GO217" i="14609"/>
  <c r="GP217" i="14609"/>
  <c r="GQ217" i="14609"/>
  <c r="GR217" i="14609"/>
  <c r="GS217" i="14609"/>
  <c r="GT217" i="14609"/>
  <c r="GU217" i="14609"/>
  <c r="GV217" i="14609"/>
  <c r="GW217" i="14609"/>
  <c r="GX217" i="14609"/>
  <c r="GY217" i="14609"/>
  <c r="GZ217" i="14609"/>
  <c r="HA217" i="14609"/>
  <c r="HB217" i="14609"/>
  <c r="HC217" i="14609"/>
  <c r="HD217" i="14609"/>
  <c r="HE217" i="14609"/>
  <c r="HF217" i="14609"/>
  <c r="HG217" i="14609"/>
  <c r="HH217" i="14609"/>
  <c r="HI217" i="14609"/>
  <c r="HJ217" i="14609"/>
  <c r="HK217" i="14609"/>
  <c r="HL217" i="14609"/>
  <c r="HM217" i="14609"/>
  <c r="HN217" i="14609"/>
  <c r="HO217" i="14609"/>
  <c r="HP217" i="14609"/>
  <c r="HQ217" i="14609"/>
  <c r="HR217" i="14609"/>
  <c r="HS217" i="14609"/>
  <c r="HT217" i="14609"/>
  <c r="HU217" i="14609"/>
  <c r="HV217" i="14609"/>
  <c r="HW217" i="14609"/>
  <c r="HX217" i="14609"/>
  <c r="HY217" i="14609"/>
  <c r="HZ217" i="14609"/>
  <c r="IA217" i="14609"/>
  <c r="IB217" i="14609"/>
  <c r="IC217" i="14609"/>
  <c r="ID217" i="14609"/>
  <c r="IE217" i="14609"/>
  <c r="IF217" i="14609"/>
  <c r="IG217" i="14609"/>
  <c r="IH217" i="14609"/>
  <c r="II217" i="14609"/>
  <c r="IJ217" i="14609"/>
  <c r="IK217" i="14609"/>
  <c r="IL217" i="14609"/>
  <c r="IM217" i="14609"/>
  <c r="IN217" i="14609"/>
  <c r="IO217" i="14609"/>
  <c r="IP217" i="14609"/>
  <c r="IQ217" i="14609"/>
  <c r="IR217" i="14609"/>
  <c r="IS217" i="14609"/>
  <c r="IT217" i="14609"/>
  <c r="IU217" i="14609"/>
  <c r="IV217" i="14609"/>
  <c r="A216" i="14609"/>
  <c r="B216" i="14609"/>
  <c r="C216" i="14609"/>
  <c r="D216" i="14609"/>
  <c r="E216" i="14609"/>
  <c r="F216" i="14609"/>
  <c r="G216" i="14609"/>
  <c r="H216" i="14609"/>
  <c r="I216" i="14609"/>
  <c r="J216" i="14609"/>
  <c r="K216" i="14609"/>
  <c r="L216" i="14609"/>
  <c r="M216" i="14609"/>
  <c r="N216" i="14609"/>
  <c r="O216" i="14609"/>
  <c r="P216" i="14609"/>
  <c r="Q216" i="14609"/>
  <c r="R216" i="14609"/>
  <c r="S216" i="14609"/>
  <c r="T216" i="14609"/>
  <c r="U216" i="14609"/>
  <c r="V216" i="14609"/>
  <c r="W216" i="14609"/>
  <c r="X216" i="14609"/>
  <c r="Y216" i="14609"/>
  <c r="Z216" i="14609"/>
  <c r="AA216" i="14609"/>
  <c r="AB216" i="14609"/>
  <c r="AC216" i="14609"/>
  <c r="AD216" i="14609"/>
  <c r="AE216" i="14609"/>
  <c r="AF216" i="14609"/>
  <c r="AG216" i="14609"/>
  <c r="AH216" i="14609"/>
  <c r="AI216" i="14609"/>
  <c r="AJ216" i="14609"/>
  <c r="AK216" i="14609"/>
  <c r="AL216" i="14609"/>
  <c r="AM216" i="14609"/>
  <c r="AN216" i="14609"/>
  <c r="AO216" i="14609"/>
  <c r="AP216" i="14609"/>
  <c r="AQ216" i="14609"/>
  <c r="AR216" i="14609"/>
  <c r="AS216" i="14609"/>
  <c r="AT216" i="14609"/>
  <c r="AU216" i="14609"/>
  <c r="AV216" i="14609"/>
  <c r="AW216" i="14609"/>
  <c r="AX216" i="14609"/>
  <c r="AY216" i="14609"/>
  <c r="AZ216" i="14609"/>
  <c r="BA216" i="14609"/>
  <c r="BB216" i="14609"/>
  <c r="BC216" i="14609"/>
  <c r="BD216" i="14609"/>
  <c r="BE216" i="14609"/>
  <c r="BF216" i="14609"/>
  <c r="BG216" i="14609"/>
  <c r="BH216" i="14609"/>
  <c r="BI216" i="14609"/>
  <c r="BJ216" i="14609"/>
  <c r="BK216" i="14609"/>
  <c r="BL216" i="14609"/>
  <c r="BM216" i="14609"/>
  <c r="BN216" i="14609"/>
  <c r="BO216" i="14609"/>
  <c r="BP216" i="14609"/>
  <c r="BQ216" i="14609"/>
  <c r="BR216" i="14609"/>
  <c r="BS216" i="14609"/>
  <c r="BT216" i="14609"/>
  <c r="BU216" i="14609"/>
  <c r="BV216" i="14609"/>
  <c r="BW216" i="14609"/>
  <c r="BX216" i="14609"/>
  <c r="BY216" i="14609"/>
  <c r="BZ216" i="14609"/>
  <c r="CA216" i="14609"/>
  <c r="CB216" i="14609"/>
  <c r="CC216" i="14609"/>
  <c r="CD216" i="14609"/>
  <c r="CE216" i="14609"/>
  <c r="CF216" i="14609"/>
  <c r="CG216" i="14609"/>
  <c r="CH216" i="14609"/>
  <c r="CI216" i="14609"/>
  <c r="CJ216" i="14609"/>
  <c r="CK216" i="14609"/>
  <c r="CL216" i="14609"/>
  <c r="CM216" i="14609"/>
  <c r="CN216" i="14609"/>
  <c r="CO216" i="14609"/>
  <c r="CP216" i="14609"/>
  <c r="CQ216" i="14609"/>
  <c r="CR216" i="14609"/>
  <c r="CS216" i="14609"/>
  <c r="CT216" i="14609"/>
  <c r="CU216" i="14609"/>
  <c r="CV216" i="14609"/>
  <c r="CW216" i="14609"/>
  <c r="CX216" i="14609"/>
  <c r="CY216" i="14609"/>
  <c r="CZ216" i="14609"/>
  <c r="DA216" i="14609"/>
  <c r="DB216" i="14609"/>
  <c r="DC216" i="14609"/>
  <c r="DD216" i="14609"/>
  <c r="DE216" i="14609"/>
  <c r="DF216" i="14609"/>
  <c r="DG216" i="14609"/>
  <c r="DH216" i="14609"/>
  <c r="DI216" i="14609"/>
  <c r="DJ216" i="14609"/>
  <c r="DK216" i="14609"/>
  <c r="DL216" i="14609"/>
  <c r="DM216" i="14609"/>
  <c r="DN216" i="14609"/>
  <c r="DO216" i="14609"/>
  <c r="DP216" i="14609"/>
  <c r="DQ216" i="14609"/>
  <c r="DR216" i="14609"/>
  <c r="DS216" i="14609"/>
  <c r="DT216" i="14609"/>
  <c r="DU216" i="14609"/>
  <c r="DV216" i="14609"/>
  <c r="DW216" i="14609"/>
  <c r="DX216" i="14609"/>
  <c r="DY216" i="14609"/>
  <c r="DZ216" i="14609"/>
  <c r="EA216" i="14609"/>
  <c r="EB216" i="14609"/>
  <c r="EC216" i="14609"/>
  <c r="ED216" i="14609"/>
  <c r="EE216" i="14609"/>
  <c r="EF216" i="14609"/>
  <c r="EG216" i="14609"/>
  <c r="EH216" i="14609"/>
  <c r="EI216" i="14609"/>
  <c r="EJ216" i="14609"/>
  <c r="EK216" i="14609"/>
  <c r="EL216" i="14609"/>
  <c r="EM216" i="14609"/>
  <c r="EN216" i="14609"/>
  <c r="EO216" i="14609"/>
  <c r="EP216" i="14609"/>
  <c r="EQ216" i="14609"/>
  <c r="ER216" i="14609"/>
  <c r="ES216" i="14609"/>
  <c r="ET216" i="14609"/>
  <c r="EU216" i="14609"/>
  <c r="EV216" i="14609"/>
  <c r="EW216" i="14609"/>
  <c r="EX216" i="14609"/>
  <c r="EY216" i="14609"/>
  <c r="EZ216" i="14609"/>
  <c r="FA216" i="14609"/>
  <c r="FB216" i="14609"/>
  <c r="FC216" i="14609"/>
  <c r="FD216" i="14609"/>
  <c r="FE216" i="14609"/>
  <c r="FF216" i="14609"/>
  <c r="FG216" i="14609"/>
  <c r="FH216" i="14609"/>
  <c r="FI216" i="14609"/>
  <c r="FJ216" i="14609"/>
  <c r="FK216" i="14609"/>
  <c r="FL216" i="14609"/>
  <c r="FM216" i="14609"/>
  <c r="FN216" i="14609"/>
  <c r="FO216" i="14609"/>
  <c r="FP216" i="14609"/>
  <c r="FQ216" i="14609"/>
  <c r="FR216" i="14609"/>
  <c r="FS216" i="14609"/>
  <c r="FT216" i="14609"/>
  <c r="FU216" i="14609"/>
  <c r="FV216" i="14609"/>
  <c r="FW216" i="14609"/>
  <c r="FX216" i="14609"/>
  <c r="FY216" i="14609"/>
  <c r="FZ216" i="14609"/>
  <c r="GA216" i="14609"/>
  <c r="GB216" i="14609"/>
  <c r="GC216" i="14609"/>
  <c r="GD216" i="14609"/>
  <c r="GE216" i="14609"/>
  <c r="GF216" i="14609"/>
  <c r="GG216" i="14609"/>
  <c r="GH216" i="14609"/>
  <c r="GI216" i="14609"/>
  <c r="GJ216" i="14609"/>
  <c r="GK216" i="14609"/>
  <c r="GL216" i="14609"/>
  <c r="GM216" i="14609"/>
  <c r="GN216" i="14609"/>
  <c r="GO216" i="14609"/>
  <c r="GP216" i="14609"/>
  <c r="GQ216" i="14609"/>
  <c r="GR216" i="14609"/>
  <c r="GS216" i="14609"/>
  <c r="GT216" i="14609"/>
  <c r="GU216" i="14609"/>
  <c r="GV216" i="14609"/>
  <c r="GW216" i="14609"/>
  <c r="GX216" i="14609"/>
  <c r="GY216" i="14609"/>
  <c r="GZ216" i="14609"/>
  <c r="HA216" i="14609"/>
  <c r="HB216" i="14609"/>
  <c r="HC216" i="14609"/>
  <c r="HD216" i="14609"/>
  <c r="HE216" i="14609"/>
  <c r="HF216" i="14609"/>
  <c r="HG216" i="14609"/>
  <c r="HH216" i="14609"/>
  <c r="HI216" i="14609"/>
  <c r="HJ216" i="14609"/>
  <c r="HK216" i="14609"/>
  <c r="HL216" i="14609"/>
  <c r="HM216" i="14609"/>
  <c r="HN216" i="14609"/>
  <c r="HO216" i="14609"/>
  <c r="HP216" i="14609"/>
  <c r="HQ216" i="14609"/>
  <c r="HR216" i="14609"/>
  <c r="HS216" i="14609"/>
  <c r="HT216" i="14609"/>
  <c r="HU216" i="14609"/>
  <c r="HV216" i="14609"/>
  <c r="HW216" i="14609"/>
  <c r="HX216" i="14609"/>
  <c r="HY216" i="14609"/>
  <c r="HZ216" i="14609"/>
  <c r="IA216" i="14609"/>
  <c r="IB216" i="14609"/>
  <c r="IC216" i="14609"/>
  <c r="ID216" i="14609"/>
  <c r="IE216" i="14609"/>
  <c r="IF216" i="14609"/>
  <c r="IG216" i="14609"/>
  <c r="IH216" i="14609"/>
  <c r="II216" i="14609"/>
  <c r="IJ216" i="14609"/>
  <c r="IK216" i="14609"/>
  <c r="IL216" i="14609"/>
  <c r="IM216" i="14609"/>
  <c r="IN216" i="14609"/>
  <c r="IO216" i="14609"/>
  <c r="IP216" i="14609"/>
  <c r="IQ216" i="14609"/>
  <c r="IR216" i="14609"/>
  <c r="IS216" i="14609"/>
  <c r="IT216" i="14609"/>
  <c r="IU216" i="14609"/>
  <c r="IV216" i="14609"/>
  <c r="A215" i="14609"/>
  <c r="B215" i="14609"/>
  <c r="C215" i="14609"/>
  <c r="D215" i="14609"/>
  <c r="E215" i="14609"/>
  <c r="F215" i="14609"/>
  <c r="G215" i="14609"/>
  <c r="H215" i="14609"/>
  <c r="I215" i="14609"/>
  <c r="J215" i="14609"/>
  <c r="K215" i="14609"/>
  <c r="L215" i="14609"/>
  <c r="M215" i="14609"/>
  <c r="N215" i="14609"/>
  <c r="O215" i="14609"/>
  <c r="P215" i="14609"/>
  <c r="Q215" i="14609"/>
  <c r="R215" i="14609"/>
  <c r="S215" i="14609"/>
  <c r="T215" i="14609"/>
  <c r="U215" i="14609"/>
  <c r="V215" i="14609"/>
  <c r="W215" i="14609"/>
  <c r="X215" i="14609"/>
  <c r="Y215" i="14609"/>
  <c r="Z215" i="14609"/>
  <c r="AA215" i="14609"/>
  <c r="AB215" i="14609"/>
  <c r="AC215" i="14609"/>
  <c r="AD215" i="14609"/>
  <c r="AE215" i="14609"/>
  <c r="AF215" i="14609"/>
  <c r="AG215" i="14609"/>
  <c r="AH215" i="14609"/>
  <c r="AI215" i="14609"/>
  <c r="AJ215" i="14609"/>
  <c r="AK215" i="14609"/>
  <c r="AL215" i="14609"/>
  <c r="AM215" i="14609"/>
  <c r="AN215" i="14609"/>
  <c r="AO215" i="14609"/>
  <c r="AP215" i="14609"/>
  <c r="AQ215" i="14609"/>
  <c r="AR215" i="14609"/>
  <c r="AS215" i="14609"/>
  <c r="AT215" i="14609"/>
  <c r="AU215" i="14609"/>
  <c r="AV215" i="14609"/>
  <c r="AW215" i="14609"/>
  <c r="AX215" i="14609"/>
  <c r="AY215" i="14609"/>
  <c r="AZ215" i="14609"/>
  <c r="BA215" i="14609"/>
  <c r="BB215" i="14609"/>
  <c r="BC215" i="14609"/>
  <c r="BD215" i="14609"/>
  <c r="BE215" i="14609"/>
  <c r="BF215" i="14609"/>
  <c r="BG215" i="14609"/>
  <c r="BH215" i="14609"/>
  <c r="BI215" i="14609"/>
  <c r="BJ215" i="14609"/>
  <c r="BK215" i="14609"/>
  <c r="BL215" i="14609"/>
  <c r="BM215" i="14609"/>
  <c r="BN215" i="14609"/>
  <c r="BO215" i="14609"/>
  <c r="BP215" i="14609"/>
  <c r="BQ215" i="14609"/>
  <c r="BR215" i="14609"/>
  <c r="BS215" i="14609"/>
  <c r="BT215" i="14609"/>
  <c r="BU215" i="14609"/>
  <c r="BV215" i="14609"/>
  <c r="BW215" i="14609"/>
  <c r="BX215" i="14609"/>
  <c r="BY215" i="14609"/>
  <c r="BZ215" i="14609"/>
  <c r="CA215" i="14609"/>
  <c r="CB215" i="14609"/>
  <c r="CC215" i="14609"/>
  <c r="CD215" i="14609"/>
  <c r="CE215" i="14609"/>
  <c r="CF215" i="14609"/>
  <c r="CG215" i="14609"/>
  <c r="CH215" i="14609"/>
  <c r="CI215" i="14609"/>
  <c r="CJ215" i="14609"/>
  <c r="CK215" i="14609"/>
  <c r="CL215" i="14609"/>
  <c r="CM215" i="14609"/>
  <c r="CN215" i="14609"/>
  <c r="CO215" i="14609"/>
  <c r="CP215" i="14609"/>
  <c r="CQ215" i="14609"/>
  <c r="CR215" i="14609"/>
  <c r="CS215" i="14609"/>
  <c r="CT215" i="14609"/>
  <c r="CU215" i="14609"/>
  <c r="CV215" i="14609"/>
  <c r="CW215" i="14609"/>
  <c r="CX215" i="14609"/>
  <c r="CY215" i="14609"/>
  <c r="CZ215" i="14609"/>
  <c r="DA215" i="14609"/>
  <c r="DB215" i="14609"/>
  <c r="DC215" i="14609"/>
  <c r="DD215" i="14609"/>
  <c r="DE215" i="14609"/>
  <c r="DF215" i="14609"/>
  <c r="DG215" i="14609"/>
  <c r="DH215" i="14609"/>
  <c r="DI215" i="14609"/>
  <c r="DJ215" i="14609"/>
  <c r="DK215" i="14609"/>
  <c r="DL215" i="14609"/>
  <c r="DM215" i="14609"/>
  <c r="DN215" i="14609"/>
  <c r="DO215" i="14609"/>
  <c r="DP215" i="14609"/>
  <c r="DQ215" i="14609"/>
  <c r="DR215" i="14609"/>
  <c r="DS215" i="14609"/>
  <c r="DT215" i="14609"/>
  <c r="DU215" i="14609"/>
  <c r="DV215" i="14609"/>
  <c r="DW215" i="14609"/>
  <c r="DX215" i="14609"/>
  <c r="DY215" i="14609"/>
  <c r="DZ215" i="14609"/>
  <c r="EA215" i="14609"/>
  <c r="EB215" i="14609"/>
  <c r="EC215" i="14609"/>
  <c r="ED215" i="14609"/>
  <c r="EE215" i="14609"/>
  <c r="EF215" i="14609"/>
  <c r="EG215" i="14609"/>
  <c r="EH215" i="14609"/>
  <c r="EI215" i="14609"/>
  <c r="EJ215" i="14609"/>
  <c r="EK215" i="14609"/>
  <c r="EL215" i="14609"/>
  <c r="EM215" i="14609"/>
  <c r="EN215" i="14609"/>
  <c r="EO215" i="14609"/>
  <c r="EP215" i="14609"/>
  <c r="EQ215" i="14609"/>
  <c r="ER215" i="14609"/>
  <c r="ES215" i="14609"/>
  <c r="ET215" i="14609"/>
  <c r="EU215" i="14609"/>
  <c r="EV215" i="14609"/>
  <c r="EW215" i="14609"/>
  <c r="EX215" i="14609"/>
  <c r="EY215" i="14609"/>
  <c r="EZ215" i="14609"/>
  <c r="FA215" i="14609"/>
  <c r="FB215" i="14609"/>
  <c r="FC215" i="14609"/>
  <c r="FD215" i="14609"/>
  <c r="FE215" i="14609"/>
  <c r="FF215" i="14609"/>
  <c r="FG215" i="14609"/>
  <c r="FH215" i="14609"/>
  <c r="FI215" i="14609"/>
  <c r="FJ215" i="14609"/>
  <c r="FK215" i="14609"/>
  <c r="FL215" i="14609"/>
  <c r="FM215" i="14609"/>
  <c r="FN215" i="14609"/>
  <c r="FO215" i="14609"/>
  <c r="FP215" i="14609"/>
  <c r="FQ215" i="14609"/>
  <c r="FR215" i="14609"/>
  <c r="FS215" i="14609"/>
  <c r="FT215" i="14609"/>
  <c r="FU215" i="14609"/>
  <c r="FV215" i="14609"/>
  <c r="FW215" i="14609"/>
  <c r="FX215" i="14609"/>
  <c r="FY215" i="14609"/>
  <c r="FZ215" i="14609"/>
  <c r="GA215" i="14609"/>
  <c r="GB215" i="14609"/>
  <c r="GC215" i="14609"/>
  <c r="GD215" i="14609"/>
  <c r="GE215" i="14609"/>
  <c r="GF215" i="14609"/>
  <c r="GG215" i="14609"/>
  <c r="GH215" i="14609"/>
  <c r="GI215" i="14609"/>
  <c r="GJ215" i="14609"/>
  <c r="GK215" i="14609"/>
  <c r="GL215" i="14609"/>
  <c r="GM215" i="14609"/>
  <c r="GN215" i="14609"/>
  <c r="GO215" i="14609"/>
  <c r="GP215" i="14609"/>
  <c r="GQ215" i="14609"/>
  <c r="GR215" i="14609"/>
  <c r="GS215" i="14609"/>
  <c r="GT215" i="14609"/>
  <c r="GU215" i="14609"/>
  <c r="GV215" i="14609"/>
  <c r="GW215" i="14609"/>
  <c r="GX215" i="14609"/>
  <c r="GY215" i="14609"/>
  <c r="GZ215" i="14609"/>
  <c r="HA215" i="14609"/>
  <c r="HB215" i="14609"/>
  <c r="HC215" i="14609"/>
  <c r="HD215" i="14609"/>
  <c r="HE215" i="14609"/>
  <c r="HF215" i="14609"/>
  <c r="HG215" i="14609"/>
  <c r="HH215" i="14609"/>
  <c r="HI215" i="14609"/>
  <c r="HJ215" i="14609"/>
  <c r="HK215" i="14609"/>
  <c r="HL215" i="14609"/>
  <c r="HM215" i="14609"/>
  <c r="HN215" i="14609"/>
  <c r="HO215" i="14609"/>
  <c r="HP215" i="14609"/>
  <c r="HQ215" i="14609"/>
  <c r="HR215" i="14609"/>
  <c r="HS215" i="14609"/>
  <c r="HT215" i="14609"/>
  <c r="HU215" i="14609"/>
  <c r="HV215" i="14609"/>
  <c r="HW215" i="14609"/>
  <c r="HX215" i="14609"/>
  <c r="HY215" i="14609"/>
  <c r="HZ215" i="14609"/>
  <c r="IA215" i="14609"/>
  <c r="IB215" i="14609"/>
  <c r="IC215" i="14609"/>
  <c r="ID215" i="14609"/>
  <c r="IE215" i="14609"/>
  <c r="IF215" i="14609"/>
  <c r="IG215" i="14609"/>
  <c r="IH215" i="14609"/>
  <c r="II215" i="14609"/>
  <c r="IJ215" i="14609"/>
  <c r="IK215" i="14609"/>
  <c r="IL215" i="14609"/>
  <c r="IM215" i="14609"/>
  <c r="IN215" i="14609"/>
  <c r="IO215" i="14609"/>
  <c r="IP215" i="14609"/>
  <c r="IQ215" i="14609"/>
  <c r="IR215" i="14609"/>
  <c r="IS215" i="14609"/>
  <c r="IT215" i="14609"/>
  <c r="IU215" i="14609"/>
  <c r="IV215" i="14609"/>
  <c r="A214" i="14609"/>
  <c r="B214" i="14609"/>
  <c r="C214" i="14609"/>
  <c r="D214" i="14609"/>
  <c r="E214" i="14609"/>
  <c r="F214" i="14609"/>
  <c r="G214" i="14609"/>
  <c r="H214" i="14609"/>
  <c r="I214" i="14609"/>
  <c r="J214" i="14609"/>
  <c r="K214" i="14609"/>
  <c r="L214" i="14609"/>
  <c r="M214" i="14609"/>
  <c r="N214" i="14609"/>
  <c r="O214" i="14609"/>
  <c r="P214" i="14609"/>
  <c r="Q214" i="14609"/>
  <c r="R214" i="14609"/>
  <c r="S214" i="14609"/>
  <c r="T214" i="14609"/>
  <c r="U214" i="14609"/>
  <c r="V214" i="14609"/>
  <c r="W214" i="14609"/>
  <c r="X214" i="14609"/>
  <c r="Y214" i="14609"/>
  <c r="Z214" i="14609"/>
  <c r="AA214" i="14609"/>
  <c r="AB214" i="14609"/>
  <c r="AC214" i="14609"/>
  <c r="AD214" i="14609"/>
  <c r="AE214" i="14609"/>
  <c r="AF214" i="14609"/>
  <c r="AG214" i="14609"/>
  <c r="AH214" i="14609"/>
  <c r="AI214" i="14609"/>
  <c r="AJ214" i="14609"/>
  <c r="AK214" i="14609"/>
  <c r="AL214" i="14609"/>
  <c r="AM214" i="14609"/>
  <c r="AN214" i="14609"/>
  <c r="AO214" i="14609"/>
  <c r="AP214" i="14609"/>
  <c r="AQ214" i="14609"/>
  <c r="AR214" i="14609"/>
  <c r="AS214" i="14609"/>
  <c r="AT214" i="14609"/>
  <c r="AU214" i="14609"/>
  <c r="AV214" i="14609"/>
  <c r="AW214" i="14609"/>
  <c r="AX214" i="14609"/>
  <c r="AY214" i="14609"/>
  <c r="AZ214" i="14609"/>
  <c r="BA214" i="14609"/>
  <c r="BB214" i="14609"/>
  <c r="BC214" i="14609"/>
  <c r="BD214" i="14609"/>
  <c r="BE214" i="14609"/>
  <c r="BF214" i="14609"/>
  <c r="BG214" i="14609"/>
  <c r="BH214" i="14609"/>
  <c r="BI214" i="14609"/>
  <c r="BJ214" i="14609"/>
  <c r="BK214" i="14609"/>
  <c r="BL214" i="14609"/>
  <c r="BM214" i="14609"/>
  <c r="BN214" i="14609"/>
  <c r="BO214" i="14609"/>
  <c r="BP214" i="14609"/>
  <c r="BQ214" i="14609"/>
  <c r="BR214" i="14609"/>
  <c r="BS214" i="14609"/>
  <c r="BT214" i="14609"/>
  <c r="BU214" i="14609"/>
  <c r="BV214" i="14609"/>
  <c r="BW214" i="14609"/>
  <c r="BX214" i="14609"/>
  <c r="BY214" i="14609"/>
  <c r="BZ214" i="14609"/>
  <c r="CA214" i="14609"/>
  <c r="CB214" i="14609"/>
  <c r="CC214" i="14609"/>
  <c r="CD214" i="14609"/>
  <c r="CE214" i="14609"/>
  <c r="CF214" i="14609"/>
  <c r="CG214" i="14609"/>
  <c r="CH214" i="14609"/>
  <c r="CI214" i="14609"/>
  <c r="CJ214" i="14609"/>
  <c r="CK214" i="14609"/>
  <c r="CL214" i="14609"/>
  <c r="CM214" i="14609"/>
  <c r="CN214" i="14609"/>
  <c r="CO214" i="14609"/>
  <c r="CP214" i="14609"/>
  <c r="CQ214" i="14609"/>
  <c r="CR214" i="14609"/>
  <c r="CS214" i="14609"/>
  <c r="CT214" i="14609"/>
  <c r="CU214" i="14609"/>
  <c r="CV214" i="14609"/>
  <c r="CW214" i="14609"/>
  <c r="CX214" i="14609"/>
  <c r="CY214" i="14609"/>
  <c r="CZ214" i="14609"/>
  <c r="DA214" i="14609"/>
  <c r="DB214" i="14609"/>
  <c r="DC214" i="14609"/>
  <c r="DD214" i="14609"/>
  <c r="DE214" i="14609"/>
  <c r="DF214" i="14609"/>
  <c r="DG214" i="14609"/>
  <c r="DH214" i="14609"/>
  <c r="DI214" i="14609"/>
  <c r="DJ214" i="14609"/>
  <c r="DK214" i="14609"/>
  <c r="DL214" i="14609"/>
  <c r="DM214" i="14609"/>
  <c r="DN214" i="14609"/>
  <c r="DO214" i="14609"/>
  <c r="DP214" i="14609"/>
  <c r="DQ214" i="14609"/>
  <c r="DR214" i="14609"/>
  <c r="DS214" i="14609"/>
  <c r="DT214" i="14609"/>
  <c r="DU214" i="14609"/>
  <c r="DV214" i="14609"/>
  <c r="DW214" i="14609"/>
  <c r="DX214" i="14609"/>
  <c r="DY214" i="14609"/>
  <c r="DZ214" i="14609"/>
  <c r="EA214" i="14609"/>
  <c r="EB214" i="14609"/>
  <c r="EC214" i="14609"/>
  <c r="ED214" i="14609"/>
  <c r="EE214" i="14609"/>
  <c r="EF214" i="14609"/>
  <c r="EG214" i="14609"/>
  <c r="EH214" i="14609"/>
  <c r="EI214" i="14609"/>
  <c r="EJ214" i="14609"/>
  <c r="EK214" i="14609"/>
  <c r="EL214" i="14609"/>
  <c r="EM214" i="14609"/>
  <c r="EN214" i="14609"/>
  <c r="EO214" i="14609"/>
  <c r="EP214" i="14609"/>
  <c r="EQ214" i="14609"/>
  <c r="ER214" i="14609"/>
  <c r="ES214" i="14609"/>
  <c r="ET214" i="14609"/>
  <c r="EU214" i="14609"/>
  <c r="EV214" i="14609"/>
  <c r="EW214" i="14609"/>
  <c r="EX214" i="14609"/>
  <c r="EY214" i="14609"/>
  <c r="EZ214" i="14609"/>
  <c r="FA214" i="14609"/>
  <c r="FB214" i="14609"/>
  <c r="FC214" i="14609"/>
  <c r="FD214" i="14609"/>
  <c r="FE214" i="14609"/>
  <c r="FF214" i="14609"/>
  <c r="FG214" i="14609"/>
  <c r="FH214" i="14609"/>
  <c r="FI214" i="14609"/>
  <c r="FJ214" i="14609"/>
  <c r="FK214" i="14609"/>
  <c r="FL214" i="14609"/>
  <c r="FM214" i="14609"/>
  <c r="FN214" i="14609"/>
  <c r="FO214" i="14609"/>
  <c r="FP214" i="14609"/>
  <c r="FQ214" i="14609"/>
  <c r="FR214" i="14609"/>
  <c r="FS214" i="14609"/>
  <c r="FT214" i="14609"/>
  <c r="FU214" i="14609"/>
  <c r="FV214" i="14609"/>
  <c r="FW214" i="14609"/>
  <c r="FX214" i="14609"/>
  <c r="FY214" i="14609"/>
  <c r="FZ214" i="14609"/>
  <c r="GA214" i="14609"/>
  <c r="GB214" i="14609"/>
  <c r="GC214" i="14609"/>
  <c r="GD214" i="14609"/>
  <c r="GE214" i="14609"/>
  <c r="GF214" i="14609"/>
  <c r="GG214" i="14609"/>
  <c r="GH214" i="14609"/>
  <c r="GI214" i="14609"/>
  <c r="GJ214" i="14609"/>
  <c r="GK214" i="14609"/>
  <c r="GL214" i="14609"/>
  <c r="GM214" i="14609"/>
  <c r="GN214" i="14609"/>
  <c r="GO214" i="14609"/>
  <c r="GP214" i="14609"/>
  <c r="GQ214" i="14609"/>
  <c r="GR214" i="14609"/>
  <c r="GS214" i="14609"/>
  <c r="GT214" i="14609"/>
  <c r="GU214" i="14609"/>
  <c r="GV214" i="14609"/>
  <c r="GW214" i="14609"/>
  <c r="GX214" i="14609"/>
  <c r="GY214" i="14609"/>
  <c r="GZ214" i="14609"/>
  <c r="HA214" i="14609"/>
  <c r="HB214" i="14609"/>
  <c r="HC214" i="14609"/>
  <c r="HD214" i="14609"/>
  <c r="HE214" i="14609"/>
  <c r="HF214" i="14609"/>
  <c r="HG214" i="14609"/>
  <c r="HH214" i="14609"/>
  <c r="HI214" i="14609"/>
  <c r="HJ214" i="14609"/>
  <c r="HK214" i="14609"/>
  <c r="HL214" i="14609"/>
  <c r="HM214" i="14609"/>
  <c r="HN214" i="14609"/>
  <c r="HO214" i="14609"/>
  <c r="HP214" i="14609"/>
  <c r="HQ214" i="14609"/>
  <c r="HR214" i="14609"/>
  <c r="HS214" i="14609"/>
  <c r="HT214" i="14609"/>
  <c r="HU214" i="14609"/>
  <c r="HV214" i="14609"/>
  <c r="HW214" i="14609"/>
  <c r="HX214" i="14609"/>
  <c r="HY214" i="14609"/>
  <c r="HZ214" i="14609"/>
  <c r="IA214" i="14609"/>
  <c r="IB214" i="14609"/>
  <c r="IC214" i="14609"/>
  <c r="ID214" i="14609"/>
  <c r="IE214" i="14609"/>
  <c r="IF214" i="14609"/>
  <c r="IG214" i="14609"/>
  <c r="IH214" i="14609"/>
  <c r="II214" i="14609"/>
  <c r="IJ214" i="14609"/>
  <c r="IK214" i="14609"/>
  <c r="IL214" i="14609"/>
  <c r="IM214" i="14609"/>
  <c r="IN214" i="14609"/>
  <c r="IO214" i="14609"/>
  <c r="IP214" i="14609"/>
  <c r="IQ214" i="14609"/>
  <c r="IR214" i="14609"/>
  <c r="IS214" i="14609"/>
  <c r="IT214" i="14609"/>
  <c r="IU214" i="14609"/>
  <c r="IV214" i="14609"/>
  <c r="A213" i="14609"/>
  <c r="B213" i="14609"/>
  <c r="C213" i="14609"/>
  <c r="D213" i="14609"/>
  <c r="E213" i="14609"/>
  <c r="F213" i="14609"/>
  <c r="G213" i="14609"/>
  <c r="H213" i="14609"/>
  <c r="I213" i="14609"/>
  <c r="J213" i="14609"/>
  <c r="K213" i="14609"/>
  <c r="L213" i="14609"/>
  <c r="M213" i="14609"/>
  <c r="N213" i="14609"/>
  <c r="O213" i="14609"/>
  <c r="P213" i="14609"/>
  <c r="Q213" i="14609"/>
  <c r="R213" i="14609"/>
  <c r="S213" i="14609"/>
  <c r="T213" i="14609"/>
  <c r="U213" i="14609"/>
  <c r="V213" i="14609"/>
  <c r="W213" i="14609"/>
  <c r="X213" i="14609"/>
  <c r="Y213" i="14609"/>
  <c r="Z213" i="14609"/>
  <c r="AA213" i="14609"/>
  <c r="AB213" i="14609"/>
  <c r="AC213" i="14609"/>
  <c r="AD213" i="14609"/>
  <c r="AE213" i="14609"/>
  <c r="AF213" i="14609"/>
  <c r="AG213" i="14609"/>
  <c r="AH213" i="14609"/>
  <c r="AI213" i="14609"/>
  <c r="AJ213" i="14609"/>
  <c r="AK213" i="14609"/>
  <c r="AL213" i="14609"/>
  <c r="AM213" i="14609"/>
  <c r="AN213" i="14609"/>
  <c r="AO213" i="14609"/>
  <c r="AP213" i="14609"/>
  <c r="AQ213" i="14609"/>
  <c r="AR213" i="14609"/>
  <c r="AS213" i="14609"/>
  <c r="AT213" i="14609"/>
  <c r="AU213" i="14609"/>
  <c r="AV213" i="14609"/>
  <c r="AW213" i="14609"/>
  <c r="AX213" i="14609"/>
  <c r="AY213" i="14609"/>
  <c r="AZ213" i="14609"/>
  <c r="BA213" i="14609"/>
  <c r="BB213" i="14609"/>
  <c r="BC213" i="14609"/>
  <c r="BD213" i="14609"/>
  <c r="BE213" i="14609"/>
  <c r="BF213" i="14609"/>
  <c r="BG213" i="14609"/>
  <c r="BH213" i="14609"/>
  <c r="BI213" i="14609"/>
  <c r="BJ213" i="14609"/>
  <c r="BK213" i="14609"/>
  <c r="BL213" i="14609"/>
  <c r="BM213" i="14609"/>
  <c r="BN213" i="14609"/>
  <c r="BO213" i="14609"/>
  <c r="BP213" i="14609"/>
  <c r="BQ213" i="14609"/>
  <c r="BR213" i="14609"/>
  <c r="BS213" i="14609"/>
  <c r="BT213" i="14609"/>
  <c r="BU213" i="14609"/>
  <c r="BV213" i="14609"/>
  <c r="BW213" i="14609"/>
  <c r="BX213" i="14609"/>
  <c r="BY213" i="14609"/>
  <c r="BZ213" i="14609"/>
  <c r="CA213" i="14609"/>
  <c r="CB213" i="14609"/>
  <c r="CC213" i="14609"/>
  <c r="CD213" i="14609"/>
  <c r="CE213" i="14609"/>
  <c r="CF213" i="14609"/>
  <c r="CG213" i="14609"/>
  <c r="CH213" i="14609"/>
  <c r="CI213" i="14609"/>
  <c r="CJ213" i="14609"/>
  <c r="CK213" i="14609"/>
  <c r="CL213" i="14609"/>
  <c r="CM213" i="14609"/>
  <c r="CN213" i="14609"/>
  <c r="CO213" i="14609"/>
  <c r="CP213" i="14609"/>
  <c r="CQ213" i="14609"/>
  <c r="CR213" i="14609"/>
  <c r="CS213" i="14609"/>
  <c r="CT213" i="14609"/>
  <c r="CU213" i="14609"/>
  <c r="CV213" i="14609"/>
  <c r="CW213" i="14609"/>
  <c r="CX213" i="14609"/>
  <c r="CY213" i="14609"/>
  <c r="CZ213" i="14609"/>
  <c r="DA213" i="14609"/>
  <c r="DB213" i="14609"/>
  <c r="DC213" i="14609"/>
  <c r="DD213" i="14609"/>
  <c r="DE213" i="14609"/>
  <c r="DF213" i="14609"/>
  <c r="DG213" i="14609"/>
  <c r="DH213" i="14609"/>
  <c r="DI213" i="14609"/>
  <c r="DJ213" i="14609"/>
  <c r="DK213" i="14609"/>
  <c r="DL213" i="14609"/>
  <c r="DM213" i="14609"/>
  <c r="DN213" i="14609"/>
  <c r="DO213" i="14609"/>
  <c r="DP213" i="14609"/>
  <c r="DQ213" i="14609"/>
  <c r="DR213" i="14609"/>
  <c r="DS213" i="14609"/>
  <c r="DT213" i="14609"/>
  <c r="DU213" i="14609"/>
  <c r="DV213" i="14609"/>
  <c r="DW213" i="14609"/>
  <c r="DX213" i="14609"/>
  <c r="DY213" i="14609"/>
  <c r="DZ213" i="14609"/>
  <c r="EA213" i="14609"/>
  <c r="EB213" i="14609"/>
  <c r="EC213" i="14609"/>
  <c r="ED213" i="14609"/>
  <c r="EE213" i="14609"/>
  <c r="EF213" i="14609"/>
  <c r="EG213" i="14609"/>
  <c r="EH213" i="14609"/>
  <c r="EI213" i="14609"/>
  <c r="EJ213" i="14609"/>
  <c r="EK213" i="14609"/>
  <c r="EL213" i="14609"/>
  <c r="EM213" i="14609"/>
  <c r="EN213" i="14609"/>
  <c r="EO213" i="14609"/>
  <c r="EP213" i="14609"/>
  <c r="EQ213" i="14609"/>
  <c r="ER213" i="14609"/>
  <c r="ES213" i="14609"/>
  <c r="ET213" i="14609"/>
  <c r="EU213" i="14609"/>
  <c r="EV213" i="14609"/>
  <c r="EW213" i="14609"/>
  <c r="EX213" i="14609"/>
  <c r="EY213" i="14609"/>
  <c r="EZ213" i="14609"/>
  <c r="FA213" i="14609"/>
  <c r="FB213" i="14609"/>
  <c r="FC213" i="14609"/>
  <c r="FD213" i="14609"/>
  <c r="FE213" i="14609"/>
  <c r="FF213" i="14609"/>
  <c r="FG213" i="14609"/>
  <c r="FH213" i="14609"/>
  <c r="FI213" i="14609"/>
  <c r="FJ213" i="14609"/>
  <c r="FK213" i="14609"/>
  <c r="FL213" i="14609"/>
  <c r="FM213" i="14609"/>
  <c r="FN213" i="14609"/>
  <c r="FO213" i="14609"/>
  <c r="FP213" i="14609"/>
  <c r="FQ213" i="14609"/>
  <c r="FR213" i="14609"/>
  <c r="FS213" i="14609"/>
  <c r="FT213" i="14609"/>
  <c r="FU213" i="14609"/>
  <c r="FV213" i="14609"/>
  <c r="FW213" i="14609"/>
  <c r="FX213" i="14609"/>
  <c r="FY213" i="14609"/>
  <c r="FZ213" i="14609"/>
  <c r="GA213" i="14609"/>
  <c r="GB213" i="14609"/>
  <c r="GC213" i="14609"/>
  <c r="GD213" i="14609"/>
  <c r="GE213" i="14609"/>
  <c r="GF213" i="14609"/>
  <c r="GG213" i="14609"/>
  <c r="GH213" i="14609"/>
  <c r="GI213" i="14609"/>
  <c r="GJ213" i="14609"/>
  <c r="GK213" i="14609"/>
  <c r="GL213" i="14609"/>
  <c r="GM213" i="14609"/>
  <c r="GN213" i="14609"/>
  <c r="GO213" i="14609"/>
  <c r="GP213" i="14609"/>
  <c r="GQ213" i="14609"/>
  <c r="GR213" i="14609"/>
  <c r="GS213" i="14609"/>
  <c r="GT213" i="14609"/>
  <c r="GU213" i="14609"/>
  <c r="GV213" i="14609"/>
  <c r="GW213" i="14609"/>
  <c r="GX213" i="14609"/>
  <c r="GY213" i="14609"/>
  <c r="GZ213" i="14609"/>
  <c r="HA213" i="14609"/>
  <c r="HB213" i="14609"/>
  <c r="HC213" i="14609"/>
  <c r="HD213" i="14609"/>
  <c r="HE213" i="14609"/>
  <c r="HF213" i="14609"/>
  <c r="HG213" i="14609"/>
  <c r="HH213" i="14609"/>
  <c r="HI213" i="14609"/>
  <c r="HJ213" i="14609"/>
  <c r="HK213" i="14609"/>
  <c r="HL213" i="14609"/>
  <c r="HM213" i="14609"/>
  <c r="HN213" i="14609"/>
  <c r="HO213" i="14609"/>
  <c r="HP213" i="14609"/>
  <c r="HQ213" i="14609"/>
  <c r="HR213" i="14609"/>
  <c r="HS213" i="14609"/>
  <c r="HT213" i="14609"/>
  <c r="HU213" i="14609"/>
  <c r="HV213" i="14609"/>
  <c r="HW213" i="14609"/>
  <c r="HX213" i="14609"/>
  <c r="HY213" i="14609"/>
  <c r="HZ213" i="14609"/>
  <c r="IA213" i="14609"/>
  <c r="IB213" i="14609"/>
  <c r="IC213" i="14609"/>
  <c r="ID213" i="14609"/>
  <c r="IE213" i="14609"/>
  <c r="IF213" i="14609"/>
  <c r="IG213" i="14609"/>
  <c r="IH213" i="14609"/>
  <c r="II213" i="14609"/>
  <c r="IJ213" i="14609"/>
  <c r="IK213" i="14609"/>
  <c r="IL213" i="14609"/>
  <c r="IM213" i="14609"/>
  <c r="IN213" i="14609"/>
  <c r="IO213" i="14609"/>
  <c r="IP213" i="14609"/>
  <c r="IQ213" i="14609"/>
  <c r="IR213" i="14609"/>
  <c r="IS213" i="14609"/>
  <c r="IT213" i="14609"/>
  <c r="IU213" i="14609"/>
  <c r="IV213" i="14609"/>
  <c r="A212" i="14609"/>
  <c r="B212" i="14609"/>
  <c r="C212" i="14609"/>
  <c r="D212" i="14609"/>
  <c r="E212" i="14609"/>
  <c r="F212" i="14609"/>
  <c r="G212" i="14609"/>
  <c r="H212" i="14609"/>
  <c r="I212" i="14609"/>
  <c r="J212" i="14609"/>
  <c r="K212" i="14609"/>
  <c r="L212" i="14609"/>
  <c r="M212" i="14609"/>
  <c r="N212" i="14609"/>
  <c r="O212" i="14609"/>
  <c r="P212" i="14609"/>
  <c r="Q212" i="14609"/>
  <c r="R212" i="14609"/>
  <c r="S212" i="14609"/>
  <c r="T212" i="14609"/>
  <c r="U212" i="14609"/>
  <c r="V212" i="14609"/>
  <c r="W212" i="14609"/>
  <c r="X212" i="14609"/>
  <c r="Y212" i="14609"/>
  <c r="Z212" i="14609"/>
  <c r="AA212" i="14609"/>
  <c r="AB212" i="14609"/>
  <c r="AC212" i="14609"/>
  <c r="AD212" i="14609"/>
  <c r="AE212" i="14609"/>
  <c r="AF212" i="14609"/>
  <c r="AG212" i="14609"/>
  <c r="AH212" i="14609"/>
  <c r="AI212" i="14609"/>
  <c r="AJ212" i="14609"/>
  <c r="AK212" i="14609"/>
  <c r="AL212" i="14609"/>
  <c r="AM212" i="14609"/>
  <c r="AN212" i="14609"/>
  <c r="AO212" i="14609"/>
  <c r="AP212" i="14609"/>
  <c r="AQ212" i="14609"/>
  <c r="AR212" i="14609"/>
  <c r="AS212" i="14609"/>
  <c r="AT212" i="14609"/>
  <c r="AU212" i="14609"/>
  <c r="AV212" i="14609"/>
  <c r="AW212" i="14609"/>
  <c r="AX212" i="14609"/>
  <c r="AY212" i="14609"/>
  <c r="AZ212" i="14609"/>
  <c r="BA212" i="14609"/>
  <c r="BB212" i="14609"/>
  <c r="BC212" i="14609"/>
  <c r="BD212" i="14609"/>
  <c r="BE212" i="14609"/>
  <c r="BF212" i="14609"/>
  <c r="BG212" i="14609"/>
  <c r="BH212" i="14609"/>
  <c r="BI212" i="14609"/>
  <c r="BJ212" i="14609"/>
  <c r="BK212" i="14609"/>
  <c r="BL212" i="14609"/>
  <c r="BM212" i="14609"/>
  <c r="BN212" i="14609"/>
  <c r="BO212" i="14609"/>
  <c r="BP212" i="14609"/>
  <c r="BQ212" i="14609"/>
  <c r="BR212" i="14609"/>
  <c r="BS212" i="14609"/>
  <c r="BT212" i="14609"/>
  <c r="BU212" i="14609"/>
  <c r="BV212" i="14609"/>
  <c r="BW212" i="14609"/>
  <c r="BX212" i="14609"/>
  <c r="BY212" i="14609"/>
  <c r="BZ212" i="14609"/>
  <c r="CA212" i="14609"/>
  <c r="CB212" i="14609"/>
  <c r="CC212" i="14609"/>
  <c r="CD212" i="14609"/>
  <c r="CE212" i="14609"/>
  <c r="CF212" i="14609"/>
  <c r="CG212" i="14609"/>
  <c r="CH212" i="14609"/>
  <c r="CI212" i="14609"/>
  <c r="CJ212" i="14609"/>
  <c r="CK212" i="14609"/>
  <c r="CL212" i="14609"/>
  <c r="CM212" i="14609"/>
  <c r="CN212" i="14609"/>
  <c r="CO212" i="14609"/>
  <c r="CP212" i="14609"/>
  <c r="CQ212" i="14609"/>
  <c r="CR212" i="14609"/>
  <c r="CS212" i="14609"/>
  <c r="CT212" i="14609"/>
  <c r="CU212" i="14609"/>
  <c r="CV212" i="14609"/>
  <c r="CW212" i="14609"/>
  <c r="CX212" i="14609"/>
  <c r="CY212" i="14609"/>
  <c r="CZ212" i="14609"/>
  <c r="DA212" i="14609"/>
  <c r="DB212" i="14609"/>
  <c r="DC212" i="14609"/>
  <c r="DD212" i="14609"/>
  <c r="DE212" i="14609"/>
  <c r="DF212" i="14609"/>
  <c r="DG212" i="14609"/>
  <c r="DH212" i="14609"/>
  <c r="DI212" i="14609"/>
  <c r="DJ212" i="14609"/>
  <c r="DK212" i="14609"/>
  <c r="DL212" i="14609"/>
  <c r="DM212" i="14609"/>
  <c r="DN212" i="14609"/>
  <c r="DO212" i="14609"/>
  <c r="DP212" i="14609"/>
  <c r="DQ212" i="14609"/>
  <c r="DR212" i="14609"/>
  <c r="DS212" i="14609"/>
  <c r="DT212" i="14609"/>
  <c r="DU212" i="14609"/>
  <c r="DV212" i="14609"/>
  <c r="DW212" i="14609"/>
  <c r="DX212" i="14609"/>
  <c r="DY212" i="14609"/>
  <c r="DZ212" i="14609"/>
  <c r="EA212" i="14609"/>
  <c r="EB212" i="14609"/>
  <c r="EC212" i="14609"/>
  <c r="ED212" i="14609"/>
  <c r="EE212" i="14609"/>
  <c r="EF212" i="14609"/>
  <c r="EG212" i="14609"/>
  <c r="EH212" i="14609"/>
  <c r="EI212" i="14609"/>
  <c r="EJ212" i="14609"/>
  <c r="EK212" i="14609"/>
  <c r="EL212" i="14609"/>
  <c r="EM212" i="14609"/>
  <c r="EN212" i="14609"/>
  <c r="EO212" i="14609"/>
  <c r="EP212" i="14609"/>
  <c r="EQ212" i="14609"/>
  <c r="ER212" i="14609"/>
  <c r="ES212" i="14609"/>
  <c r="ET212" i="14609"/>
  <c r="EU212" i="14609"/>
  <c r="EV212" i="14609"/>
  <c r="EW212" i="14609"/>
  <c r="EX212" i="14609"/>
  <c r="EY212" i="14609"/>
  <c r="EZ212" i="14609"/>
  <c r="FA212" i="14609"/>
  <c r="FB212" i="14609"/>
  <c r="FC212" i="14609"/>
  <c r="FD212" i="14609"/>
  <c r="FE212" i="14609"/>
  <c r="FF212" i="14609"/>
  <c r="FG212" i="14609"/>
  <c r="FH212" i="14609"/>
  <c r="FI212" i="14609"/>
  <c r="FJ212" i="14609"/>
  <c r="FK212" i="14609"/>
  <c r="FL212" i="14609"/>
  <c r="FM212" i="14609"/>
  <c r="FN212" i="14609"/>
  <c r="FO212" i="14609"/>
  <c r="FP212" i="14609"/>
  <c r="FQ212" i="14609"/>
  <c r="FR212" i="14609"/>
  <c r="FS212" i="14609"/>
  <c r="FT212" i="14609"/>
  <c r="FU212" i="14609"/>
  <c r="FV212" i="14609"/>
  <c r="FW212" i="14609"/>
  <c r="FX212" i="14609"/>
  <c r="FY212" i="14609"/>
  <c r="FZ212" i="14609"/>
  <c r="GA212" i="14609"/>
  <c r="GB212" i="14609"/>
  <c r="GC212" i="14609"/>
  <c r="GD212" i="14609"/>
  <c r="GE212" i="14609"/>
  <c r="GF212" i="14609"/>
  <c r="GG212" i="14609"/>
  <c r="GH212" i="14609"/>
  <c r="GI212" i="14609"/>
  <c r="GJ212" i="14609"/>
  <c r="GK212" i="14609"/>
  <c r="GL212" i="14609"/>
  <c r="GM212" i="14609"/>
  <c r="GN212" i="14609"/>
  <c r="GO212" i="14609"/>
  <c r="GP212" i="14609"/>
  <c r="GQ212" i="14609"/>
  <c r="GR212" i="14609"/>
  <c r="GS212" i="14609"/>
  <c r="GT212" i="14609"/>
  <c r="GU212" i="14609"/>
  <c r="GV212" i="14609"/>
  <c r="GW212" i="14609"/>
  <c r="GX212" i="14609"/>
  <c r="GY212" i="14609"/>
  <c r="GZ212" i="14609"/>
  <c r="HA212" i="14609"/>
  <c r="HB212" i="14609"/>
  <c r="HC212" i="14609"/>
  <c r="HD212" i="14609"/>
  <c r="HE212" i="14609"/>
  <c r="HF212" i="14609"/>
  <c r="HG212" i="14609"/>
  <c r="HH212" i="14609"/>
  <c r="HI212" i="14609"/>
  <c r="HJ212" i="14609"/>
  <c r="HK212" i="14609"/>
  <c r="HL212" i="14609"/>
  <c r="HM212" i="14609"/>
  <c r="HN212" i="14609"/>
  <c r="HO212" i="14609"/>
  <c r="HP212" i="14609"/>
  <c r="HQ212" i="14609"/>
  <c r="HR212" i="14609"/>
  <c r="HS212" i="14609"/>
  <c r="HT212" i="14609"/>
  <c r="HU212" i="14609"/>
  <c r="HV212" i="14609"/>
  <c r="HW212" i="14609"/>
  <c r="HX212" i="14609"/>
  <c r="HY212" i="14609"/>
  <c r="HZ212" i="14609"/>
  <c r="IA212" i="14609"/>
  <c r="IB212" i="14609"/>
  <c r="IC212" i="14609"/>
  <c r="ID212" i="14609"/>
  <c r="IE212" i="14609"/>
  <c r="IF212" i="14609"/>
  <c r="IG212" i="14609"/>
  <c r="IH212" i="14609"/>
  <c r="II212" i="14609"/>
  <c r="IJ212" i="14609"/>
  <c r="IK212" i="14609"/>
  <c r="IL212" i="14609"/>
  <c r="IM212" i="14609"/>
  <c r="IN212" i="14609"/>
  <c r="IO212" i="14609"/>
  <c r="IP212" i="14609"/>
  <c r="IQ212" i="14609"/>
  <c r="IR212" i="14609"/>
  <c r="IS212" i="14609"/>
  <c r="IT212" i="14609"/>
  <c r="IU212" i="14609"/>
  <c r="IV212" i="14609"/>
  <c r="A211" i="14609"/>
  <c r="B211" i="14609"/>
  <c r="C211" i="14609"/>
  <c r="D211" i="14609"/>
  <c r="E211" i="14609"/>
  <c r="F211" i="14609"/>
  <c r="G211" i="14609"/>
  <c r="H211" i="14609"/>
  <c r="I211" i="14609"/>
  <c r="J211" i="14609"/>
  <c r="K211" i="14609"/>
  <c r="L211" i="14609"/>
  <c r="M211" i="14609"/>
  <c r="N211" i="14609"/>
  <c r="O211" i="14609"/>
  <c r="P211" i="14609"/>
  <c r="Q211" i="14609"/>
  <c r="R211" i="14609"/>
  <c r="S211" i="14609"/>
  <c r="T211" i="14609"/>
  <c r="U211" i="14609"/>
  <c r="V211" i="14609"/>
  <c r="W211" i="14609"/>
  <c r="X211" i="14609"/>
  <c r="Y211" i="14609"/>
  <c r="Z211" i="14609"/>
  <c r="AA211" i="14609"/>
  <c r="AB211" i="14609"/>
  <c r="AC211" i="14609"/>
  <c r="AD211" i="14609"/>
  <c r="AE211" i="14609"/>
  <c r="AF211" i="14609"/>
  <c r="AG211" i="14609"/>
  <c r="AH211" i="14609"/>
  <c r="AI211" i="14609"/>
  <c r="AJ211" i="14609"/>
  <c r="AK211" i="14609"/>
  <c r="AL211" i="14609"/>
  <c r="AM211" i="14609"/>
  <c r="AN211" i="14609"/>
  <c r="AO211" i="14609"/>
  <c r="AP211" i="14609"/>
  <c r="AQ211" i="14609"/>
  <c r="AR211" i="14609"/>
  <c r="AS211" i="14609"/>
  <c r="AT211" i="14609"/>
  <c r="AU211" i="14609"/>
  <c r="AV211" i="14609"/>
  <c r="AW211" i="14609"/>
  <c r="AX211" i="14609"/>
  <c r="AY211" i="14609"/>
  <c r="AZ211" i="14609"/>
  <c r="BA211" i="14609"/>
  <c r="BB211" i="14609"/>
  <c r="BC211" i="14609"/>
  <c r="BD211" i="14609"/>
  <c r="BE211" i="14609"/>
  <c r="BF211" i="14609"/>
  <c r="BG211" i="14609"/>
  <c r="BH211" i="14609"/>
  <c r="BI211" i="14609"/>
  <c r="BJ211" i="14609"/>
  <c r="BK211" i="14609"/>
  <c r="BL211" i="14609"/>
  <c r="BM211" i="14609"/>
  <c r="BN211" i="14609"/>
  <c r="BO211" i="14609"/>
  <c r="BP211" i="14609"/>
  <c r="BQ211" i="14609"/>
  <c r="BR211" i="14609"/>
  <c r="BS211" i="14609"/>
  <c r="BT211" i="14609"/>
  <c r="BU211" i="14609"/>
  <c r="BV211" i="14609"/>
  <c r="BW211" i="14609"/>
  <c r="BX211" i="14609"/>
  <c r="BY211" i="14609"/>
  <c r="BZ211" i="14609"/>
  <c r="CA211" i="14609"/>
  <c r="CB211" i="14609"/>
  <c r="CC211" i="14609"/>
  <c r="CD211" i="14609"/>
  <c r="CE211" i="14609"/>
  <c r="CF211" i="14609"/>
  <c r="CG211" i="14609"/>
  <c r="CH211" i="14609"/>
  <c r="CI211" i="14609"/>
  <c r="CJ211" i="14609"/>
  <c r="CK211" i="14609"/>
  <c r="CL211" i="14609"/>
  <c r="CM211" i="14609"/>
  <c r="CN211" i="14609"/>
  <c r="CO211" i="14609"/>
  <c r="CP211" i="14609"/>
  <c r="CQ211" i="14609"/>
  <c r="CR211" i="14609"/>
  <c r="CS211" i="14609"/>
  <c r="CT211" i="14609"/>
  <c r="CU211" i="14609"/>
  <c r="CV211" i="14609"/>
  <c r="CW211" i="14609"/>
  <c r="CX211" i="14609"/>
  <c r="CY211" i="14609"/>
  <c r="CZ211" i="14609"/>
  <c r="DA211" i="14609"/>
  <c r="DB211" i="14609"/>
  <c r="DC211" i="14609"/>
  <c r="DD211" i="14609"/>
  <c r="DE211" i="14609"/>
  <c r="DF211" i="14609"/>
  <c r="DG211" i="14609"/>
  <c r="DH211" i="14609"/>
  <c r="DI211" i="14609"/>
  <c r="DJ211" i="14609"/>
  <c r="DK211" i="14609"/>
  <c r="DL211" i="14609"/>
  <c r="DM211" i="14609"/>
  <c r="DN211" i="14609"/>
  <c r="DO211" i="14609"/>
  <c r="DP211" i="14609"/>
  <c r="DQ211" i="14609"/>
  <c r="DR211" i="14609"/>
  <c r="DS211" i="14609"/>
  <c r="DT211" i="14609"/>
  <c r="DU211" i="14609"/>
  <c r="DV211" i="14609"/>
  <c r="DW211" i="14609"/>
  <c r="DX211" i="14609"/>
  <c r="DY211" i="14609"/>
  <c r="DZ211" i="14609"/>
  <c r="EA211" i="14609"/>
  <c r="EB211" i="14609"/>
  <c r="EC211" i="14609"/>
  <c r="ED211" i="14609"/>
  <c r="EE211" i="14609"/>
  <c r="EF211" i="14609"/>
  <c r="EG211" i="14609"/>
  <c r="EH211" i="14609"/>
  <c r="EI211" i="14609"/>
  <c r="EJ211" i="14609"/>
  <c r="EK211" i="14609"/>
  <c r="EL211" i="14609"/>
  <c r="EM211" i="14609"/>
  <c r="EN211" i="14609"/>
  <c r="EO211" i="14609"/>
  <c r="EP211" i="14609"/>
  <c r="EQ211" i="14609"/>
  <c r="ER211" i="14609"/>
  <c r="ES211" i="14609"/>
  <c r="ET211" i="14609"/>
  <c r="EU211" i="14609"/>
  <c r="EV211" i="14609"/>
  <c r="EW211" i="14609"/>
  <c r="EX211" i="14609"/>
  <c r="EY211" i="14609"/>
  <c r="EZ211" i="14609"/>
  <c r="FA211" i="14609"/>
  <c r="FB211" i="14609"/>
  <c r="FC211" i="14609"/>
  <c r="FD211" i="14609"/>
  <c r="FE211" i="14609"/>
  <c r="FF211" i="14609"/>
  <c r="FG211" i="14609"/>
  <c r="FH211" i="14609"/>
  <c r="FI211" i="14609"/>
  <c r="FJ211" i="14609"/>
  <c r="FK211" i="14609"/>
  <c r="FL211" i="14609"/>
  <c r="FM211" i="14609"/>
  <c r="FN211" i="14609"/>
  <c r="FO211" i="14609"/>
  <c r="FP211" i="14609"/>
  <c r="FQ211" i="14609"/>
  <c r="FR211" i="14609"/>
  <c r="FS211" i="14609"/>
  <c r="FT211" i="14609"/>
  <c r="FU211" i="14609"/>
  <c r="FV211" i="14609"/>
  <c r="FW211" i="14609"/>
  <c r="FX211" i="14609"/>
  <c r="FY211" i="14609"/>
  <c r="FZ211" i="14609"/>
  <c r="GA211" i="14609"/>
  <c r="GB211" i="14609"/>
  <c r="GC211" i="14609"/>
  <c r="GD211" i="14609"/>
  <c r="GE211" i="14609"/>
  <c r="GF211" i="14609"/>
  <c r="GG211" i="14609"/>
  <c r="GH211" i="14609"/>
  <c r="GI211" i="14609"/>
  <c r="GJ211" i="14609"/>
  <c r="GK211" i="14609"/>
  <c r="GL211" i="14609"/>
  <c r="GM211" i="14609"/>
  <c r="GN211" i="14609"/>
  <c r="GO211" i="14609"/>
  <c r="GP211" i="14609"/>
  <c r="GQ211" i="14609"/>
  <c r="GR211" i="14609"/>
  <c r="GS211" i="14609"/>
  <c r="GT211" i="14609"/>
  <c r="GU211" i="14609"/>
  <c r="GV211" i="14609"/>
  <c r="GW211" i="14609"/>
  <c r="GX211" i="14609"/>
  <c r="GY211" i="14609"/>
  <c r="GZ211" i="14609"/>
  <c r="HA211" i="14609"/>
  <c r="HB211" i="14609"/>
  <c r="HC211" i="14609"/>
  <c r="HD211" i="14609"/>
  <c r="HE211" i="14609"/>
  <c r="HF211" i="14609"/>
  <c r="HG211" i="14609"/>
  <c r="HH211" i="14609"/>
  <c r="HI211" i="14609"/>
  <c r="HJ211" i="14609"/>
  <c r="HK211" i="14609"/>
  <c r="HL211" i="14609"/>
  <c r="HM211" i="14609"/>
  <c r="HN211" i="14609"/>
  <c r="HO211" i="14609"/>
  <c r="HP211" i="14609"/>
  <c r="HQ211" i="14609"/>
  <c r="HR211" i="14609"/>
  <c r="HS211" i="14609"/>
  <c r="HT211" i="14609"/>
  <c r="HU211" i="14609"/>
  <c r="HV211" i="14609"/>
  <c r="HW211" i="14609"/>
  <c r="HX211" i="14609"/>
  <c r="HY211" i="14609"/>
  <c r="HZ211" i="14609"/>
  <c r="IA211" i="14609"/>
  <c r="IB211" i="14609"/>
  <c r="IC211" i="14609"/>
  <c r="ID211" i="14609"/>
  <c r="IE211" i="14609"/>
  <c r="IF211" i="14609"/>
  <c r="IG211" i="14609"/>
  <c r="IH211" i="14609"/>
  <c r="II211" i="14609"/>
  <c r="IJ211" i="14609"/>
  <c r="IK211" i="14609"/>
  <c r="IL211" i="14609"/>
  <c r="IM211" i="14609"/>
  <c r="IN211" i="14609"/>
  <c r="IO211" i="14609"/>
  <c r="IP211" i="14609"/>
  <c r="IQ211" i="14609"/>
  <c r="IR211" i="14609"/>
  <c r="IS211" i="14609"/>
  <c r="IT211" i="14609"/>
  <c r="IU211" i="14609"/>
  <c r="IV211" i="14609"/>
  <c r="A210" i="14609"/>
  <c r="B210" i="14609"/>
  <c r="C210" i="14609"/>
  <c r="D210" i="14609"/>
  <c r="E210" i="14609"/>
  <c r="F210" i="14609"/>
  <c r="G210" i="14609"/>
  <c r="H210" i="14609"/>
  <c r="I210" i="14609"/>
  <c r="J210" i="14609"/>
  <c r="K210" i="14609"/>
  <c r="L210" i="14609"/>
  <c r="M210" i="14609"/>
  <c r="N210" i="14609"/>
  <c r="O210" i="14609"/>
  <c r="P210" i="14609"/>
  <c r="Q210" i="14609"/>
  <c r="R210" i="14609"/>
  <c r="S210" i="14609"/>
  <c r="T210" i="14609"/>
  <c r="U210" i="14609"/>
  <c r="V210" i="14609"/>
  <c r="W210" i="14609"/>
  <c r="X210" i="14609"/>
  <c r="Y210" i="14609"/>
  <c r="Z210" i="14609"/>
  <c r="AA210" i="14609"/>
  <c r="AB210" i="14609"/>
  <c r="AC210" i="14609"/>
  <c r="AD210" i="14609"/>
  <c r="AE210" i="14609"/>
  <c r="AF210" i="14609"/>
  <c r="AG210" i="14609"/>
  <c r="AH210" i="14609"/>
  <c r="AI210" i="14609"/>
  <c r="AJ210" i="14609"/>
  <c r="AK210" i="14609"/>
  <c r="AL210" i="14609"/>
  <c r="AM210" i="14609"/>
  <c r="AN210" i="14609"/>
  <c r="AO210" i="14609"/>
  <c r="AP210" i="14609"/>
  <c r="AQ210" i="14609"/>
  <c r="AR210" i="14609"/>
  <c r="AS210" i="14609"/>
  <c r="AT210" i="14609"/>
  <c r="AU210" i="14609"/>
  <c r="AV210" i="14609"/>
  <c r="AW210" i="14609"/>
  <c r="AX210" i="14609"/>
  <c r="AY210" i="14609"/>
  <c r="AZ210" i="14609"/>
  <c r="BA210" i="14609"/>
  <c r="BB210" i="14609"/>
  <c r="BC210" i="14609"/>
  <c r="BD210" i="14609"/>
  <c r="BE210" i="14609"/>
  <c r="BF210" i="14609"/>
  <c r="BG210" i="14609"/>
  <c r="BH210" i="14609"/>
  <c r="BI210" i="14609"/>
  <c r="BJ210" i="14609"/>
  <c r="BK210" i="14609"/>
  <c r="BL210" i="14609"/>
  <c r="BM210" i="14609"/>
  <c r="BN210" i="14609"/>
  <c r="BO210" i="14609"/>
  <c r="BP210" i="14609"/>
  <c r="BQ210" i="14609"/>
  <c r="BR210" i="14609"/>
  <c r="BS210" i="14609"/>
  <c r="BT210" i="14609"/>
  <c r="BU210" i="14609"/>
  <c r="BV210" i="14609"/>
  <c r="BW210" i="14609"/>
  <c r="BX210" i="14609"/>
  <c r="BY210" i="14609"/>
  <c r="BZ210" i="14609"/>
  <c r="CA210" i="14609"/>
  <c r="CB210" i="14609"/>
  <c r="CC210" i="14609"/>
  <c r="CD210" i="14609"/>
  <c r="CE210" i="14609"/>
  <c r="CF210" i="14609"/>
  <c r="CG210" i="14609"/>
  <c r="CH210" i="14609"/>
  <c r="CI210" i="14609"/>
  <c r="CJ210" i="14609"/>
  <c r="CK210" i="14609"/>
  <c r="CL210" i="14609"/>
  <c r="CM210" i="14609"/>
  <c r="CN210" i="14609"/>
  <c r="CO210" i="14609"/>
  <c r="CP210" i="14609"/>
  <c r="CQ210" i="14609"/>
  <c r="CR210" i="14609"/>
  <c r="CS210" i="14609"/>
  <c r="CT210" i="14609"/>
  <c r="CU210" i="14609"/>
  <c r="CV210" i="14609"/>
  <c r="CW210" i="14609"/>
  <c r="CX210" i="14609"/>
  <c r="CY210" i="14609"/>
  <c r="CZ210" i="14609"/>
  <c r="DA210" i="14609"/>
  <c r="DB210" i="14609"/>
  <c r="DC210" i="14609"/>
  <c r="DD210" i="14609"/>
  <c r="DE210" i="14609"/>
  <c r="DF210" i="14609"/>
  <c r="DG210" i="14609"/>
  <c r="DH210" i="14609"/>
  <c r="DI210" i="14609"/>
  <c r="DJ210" i="14609"/>
  <c r="DK210" i="14609"/>
  <c r="DL210" i="14609"/>
  <c r="DM210" i="14609"/>
  <c r="DN210" i="14609"/>
  <c r="DO210" i="14609"/>
  <c r="DP210" i="14609"/>
  <c r="DQ210" i="14609"/>
  <c r="DR210" i="14609"/>
  <c r="DS210" i="14609"/>
  <c r="DT210" i="14609"/>
  <c r="DU210" i="14609"/>
  <c r="DV210" i="14609"/>
  <c r="DW210" i="14609"/>
  <c r="DX210" i="14609"/>
  <c r="DY210" i="14609"/>
  <c r="DZ210" i="14609"/>
  <c r="EA210" i="14609"/>
  <c r="EB210" i="14609"/>
  <c r="EC210" i="14609"/>
  <c r="ED210" i="14609"/>
  <c r="EE210" i="14609"/>
  <c r="EF210" i="14609"/>
  <c r="EG210" i="14609"/>
  <c r="EH210" i="14609"/>
  <c r="EI210" i="14609"/>
  <c r="EJ210" i="14609"/>
  <c r="EK210" i="14609"/>
  <c r="EL210" i="14609"/>
  <c r="EM210" i="14609"/>
  <c r="EN210" i="14609"/>
  <c r="EO210" i="14609"/>
  <c r="EP210" i="14609"/>
  <c r="EQ210" i="14609"/>
  <c r="ER210" i="14609"/>
  <c r="ES210" i="14609"/>
  <c r="ET210" i="14609"/>
  <c r="EU210" i="14609"/>
  <c r="EV210" i="14609"/>
  <c r="EW210" i="14609"/>
  <c r="EX210" i="14609"/>
  <c r="EY210" i="14609"/>
  <c r="EZ210" i="14609"/>
  <c r="FA210" i="14609"/>
  <c r="FB210" i="14609"/>
  <c r="FC210" i="14609"/>
  <c r="FD210" i="14609"/>
  <c r="FE210" i="14609"/>
  <c r="FF210" i="14609"/>
  <c r="FG210" i="14609"/>
  <c r="FH210" i="14609"/>
  <c r="FI210" i="14609"/>
  <c r="FJ210" i="14609"/>
  <c r="FK210" i="14609"/>
  <c r="FL210" i="14609"/>
  <c r="FM210" i="14609"/>
  <c r="FN210" i="14609"/>
  <c r="FO210" i="14609"/>
  <c r="FP210" i="14609"/>
  <c r="FQ210" i="14609"/>
  <c r="FR210" i="14609"/>
  <c r="FS210" i="14609"/>
  <c r="FT210" i="14609"/>
  <c r="FU210" i="14609"/>
  <c r="FV210" i="14609"/>
  <c r="FW210" i="14609"/>
  <c r="FX210" i="14609"/>
  <c r="FY210" i="14609"/>
  <c r="FZ210" i="14609"/>
  <c r="GA210" i="14609"/>
  <c r="GB210" i="14609"/>
  <c r="GC210" i="14609"/>
  <c r="GD210" i="14609"/>
  <c r="GE210" i="14609"/>
  <c r="GF210" i="14609"/>
  <c r="GG210" i="14609"/>
  <c r="GH210" i="14609"/>
  <c r="GI210" i="14609"/>
  <c r="GJ210" i="14609"/>
  <c r="GK210" i="14609"/>
  <c r="GL210" i="14609"/>
  <c r="GM210" i="14609"/>
  <c r="GN210" i="14609"/>
  <c r="GO210" i="14609"/>
  <c r="GP210" i="14609"/>
  <c r="GQ210" i="14609"/>
  <c r="GR210" i="14609"/>
  <c r="GS210" i="14609"/>
  <c r="GT210" i="14609"/>
  <c r="GU210" i="14609"/>
  <c r="GV210" i="14609"/>
  <c r="GW210" i="14609"/>
  <c r="GX210" i="14609"/>
  <c r="GY210" i="14609"/>
  <c r="GZ210" i="14609"/>
  <c r="HA210" i="14609"/>
  <c r="HB210" i="14609"/>
  <c r="HC210" i="14609"/>
  <c r="HD210" i="14609"/>
  <c r="HE210" i="14609"/>
  <c r="HF210" i="14609"/>
  <c r="HG210" i="14609"/>
  <c r="HH210" i="14609"/>
  <c r="HI210" i="14609"/>
  <c r="HJ210" i="14609"/>
  <c r="HK210" i="14609"/>
  <c r="HL210" i="14609"/>
  <c r="HM210" i="14609"/>
  <c r="HN210" i="14609"/>
  <c r="HO210" i="14609"/>
  <c r="HP210" i="14609"/>
  <c r="HQ210" i="14609"/>
  <c r="HR210" i="14609"/>
  <c r="HS210" i="14609"/>
  <c r="HT210" i="14609"/>
  <c r="HU210" i="14609"/>
  <c r="HV210" i="14609"/>
  <c r="HW210" i="14609"/>
  <c r="HX210" i="14609"/>
  <c r="HY210" i="14609"/>
  <c r="HZ210" i="14609"/>
  <c r="IA210" i="14609"/>
  <c r="IB210" i="14609"/>
  <c r="IC210" i="14609"/>
  <c r="ID210" i="14609"/>
  <c r="IE210" i="14609"/>
  <c r="IF210" i="14609"/>
  <c r="IG210" i="14609"/>
  <c r="IH210" i="14609"/>
  <c r="II210" i="14609"/>
  <c r="IJ210" i="14609"/>
  <c r="IK210" i="14609"/>
  <c r="IL210" i="14609"/>
  <c r="IM210" i="14609"/>
  <c r="IN210" i="14609"/>
  <c r="IO210" i="14609"/>
  <c r="IP210" i="14609"/>
  <c r="IQ210" i="14609"/>
  <c r="IR210" i="14609"/>
  <c r="IS210" i="14609"/>
  <c r="IT210" i="14609"/>
  <c r="IU210" i="14609"/>
  <c r="IV210" i="14609"/>
  <c r="A209" i="14609"/>
  <c r="B209" i="14609"/>
  <c r="C209" i="14609"/>
  <c r="D209" i="14609"/>
  <c r="E209" i="14609"/>
  <c r="F209" i="14609"/>
  <c r="G209" i="14609"/>
  <c r="H209" i="14609"/>
  <c r="I209" i="14609"/>
  <c r="J209" i="14609"/>
  <c r="K209" i="14609"/>
  <c r="L209" i="14609"/>
  <c r="M209" i="14609"/>
  <c r="N209" i="14609"/>
  <c r="O209" i="14609"/>
  <c r="P209" i="14609"/>
  <c r="Q209" i="14609"/>
  <c r="R209" i="14609"/>
  <c r="S209" i="14609"/>
  <c r="T209" i="14609"/>
  <c r="U209" i="14609"/>
  <c r="V209" i="14609"/>
  <c r="W209" i="14609"/>
  <c r="X209" i="14609"/>
  <c r="Y209" i="14609"/>
  <c r="Z209" i="14609"/>
  <c r="AA209" i="14609"/>
  <c r="AB209" i="14609"/>
  <c r="AC209" i="14609"/>
  <c r="AD209" i="14609"/>
  <c r="AE209" i="14609"/>
  <c r="AF209" i="14609"/>
  <c r="AG209" i="14609"/>
  <c r="AH209" i="14609"/>
  <c r="AI209" i="14609"/>
  <c r="AJ209" i="14609"/>
  <c r="AK209" i="14609"/>
  <c r="AL209" i="14609"/>
  <c r="AM209" i="14609"/>
  <c r="AN209" i="14609"/>
  <c r="AO209" i="14609"/>
  <c r="AP209" i="14609"/>
  <c r="AQ209" i="14609"/>
  <c r="AR209" i="14609"/>
  <c r="AS209" i="14609"/>
  <c r="AT209" i="14609"/>
  <c r="AU209" i="14609"/>
  <c r="AV209" i="14609"/>
  <c r="AW209" i="14609"/>
  <c r="AX209" i="14609"/>
  <c r="AY209" i="14609"/>
  <c r="AZ209" i="14609"/>
  <c r="BA209" i="14609"/>
  <c r="BB209" i="14609"/>
  <c r="BC209" i="14609"/>
  <c r="BD209" i="14609"/>
  <c r="BE209" i="14609"/>
  <c r="BF209" i="14609"/>
  <c r="BG209" i="14609"/>
  <c r="BH209" i="14609"/>
  <c r="BI209" i="14609"/>
  <c r="BJ209" i="14609"/>
  <c r="BK209" i="14609"/>
  <c r="BL209" i="14609"/>
  <c r="BM209" i="14609"/>
  <c r="BN209" i="14609"/>
  <c r="BO209" i="14609"/>
  <c r="BP209" i="14609"/>
  <c r="BQ209" i="14609"/>
  <c r="BR209" i="14609"/>
  <c r="BS209" i="14609"/>
  <c r="BT209" i="14609"/>
  <c r="BU209" i="14609"/>
  <c r="BV209" i="14609"/>
  <c r="BW209" i="14609"/>
  <c r="BX209" i="14609"/>
  <c r="BY209" i="14609"/>
  <c r="BZ209" i="14609"/>
  <c r="CA209" i="14609"/>
  <c r="CB209" i="14609"/>
  <c r="CC209" i="14609"/>
  <c r="CD209" i="14609"/>
  <c r="CE209" i="14609"/>
  <c r="CF209" i="14609"/>
  <c r="CG209" i="14609"/>
  <c r="CH209" i="14609"/>
  <c r="CI209" i="14609"/>
  <c r="CJ209" i="14609"/>
  <c r="CK209" i="14609"/>
  <c r="CL209" i="14609"/>
  <c r="CM209" i="14609"/>
  <c r="CN209" i="14609"/>
  <c r="CO209" i="14609"/>
  <c r="CP209" i="14609"/>
  <c r="CQ209" i="14609"/>
  <c r="CR209" i="14609"/>
  <c r="CS209" i="14609"/>
  <c r="CT209" i="14609"/>
  <c r="CU209" i="14609"/>
  <c r="CV209" i="14609"/>
  <c r="CW209" i="14609"/>
  <c r="CX209" i="14609"/>
  <c r="CY209" i="14609"/>
  <c r="CZ209" i="14609"/>
  <c r="DA209" i="14609"/>
  <c r="DB209" i="14609"/>
  <c r="DC209" i="14609"/>
  <c r="DD209" i="14609"/>
  <c r="DE209" i="14609"/>
  <c r="DF209" i="14609"/>
  <c r="DG209" i="14609"/>
  <c r="DH209" i="14609"/>
  <c r="DI209" i="14609"/>
  <c r="DJ209" i="14609"/>
  <c r="DK209" i="14609"/>
  <c r="DL209" i="14609"/>
  <c r="DM209" i="14609"/>
  <c r="DN209" i="14609"/>
  <c r="DO209" i="14609"/>
  <c r="DP209" i="14609"/>
  <c r="DQ209" i="14609"/>
  <c r="DR209" i="14609"/>
  <c r="DS209" i="14609"/>
  <c r="DT209" i="14609"/>
  <c r="DU209" i="14609"/>
  <c r="DV209" i="14609"/>
  <c r="DW209" i="14609"/>
  <c r="DX209" i="14609"/>
  <c r="DY209" i="14609"/>
  <c r="DZ209" i="14609"/>
  <c r="EA209" i="14609"/>
  <c r="EB209" i="14609"/>
  <c r="EC209" i="14609"/>
  <c r="ED209" i="14609"/>
  <c r="EE209" i="14609"/>
  <c r="EF209" i="14609"/>
  <c r="EG209" i="14609"/>
  <c r="EH209" i="14609"/>
  <c r="EI209" i="14609"/>
  <c r="EJ209" i="14609"/>
  <c r="EK209" i="14609"/>
  <c r="EL209" i="14609"/>
  <c r="EM209" i="14609"/>
  <c r="EN209" i="14609"/>
  <c r="EO209" i="14609"/>
  <c r="EP209" i="14609"/>
  <c r="EQ209" i="14609"/>
  <c r="ER209" i="14609"/>
  <c r="ES209" i="14609"/>
  <c r="ET209" i="14609"/>
  <c r="EU209" i="14609"/>
  <c r="EV209" i="14609"/>
  <c r="EW209" i="14609"/>
  <c r="EX209" i="14609"/>
  <c r="EY209" i="14609"/>
  <c r="EZ209" i="14609"/>
  <c r="FA209" i="14609"/>
  <c r="FB209" i="14609"/>
  <c r="FC209" i="14609"/>
  <c r="FD209" i="14609"/>
  <c r="FE209" i="14609"/>
  <c r="FF209" i="14609"/>
  <c r="FG209" i="14609"/>
  <c r="FH209" i="14609"/>
  <c r="FI209" i="14609"/>
  <c r="FJ209" i="14609"/>
  <c r="FK209" i="14609"/>
  <c r="FL209" i="14609"/>
  <c r="FM209" i="14609"/>
  <c r="FN209" i="14609"/>
  <c r="FO209" i="14609"/>
  <c r="FP209" i="14609"/>
  <c r="FQ209" i="14609"/>
  <c r="FR209" i="14609"/>
  <c r="FS209" i="14609"/>
  <c r="FT209" i="14609"/>
  <c r="FU209" i="14609"/>
  <c r="FV209" i="14609"/>
  <c r="FW209" i="14609"/>
  <c r="FX209" i="14609"/>
  <c r="FY209" i="14609"/>
  <c r="FZ209" i="14609"/>
  <c r="GA209" i="14609"/>
  <c r="GB209" i="14609"/>
  <c r="GC209" i="14609"/>
  <c r="GD209" i="14609"/>
  <c r="GE209" i="14609"/>
  <c r="GF209" i="14609"/>
  <c r="GG209" i="14609"/>
  <c r="GH209" i="14609"/>
  <c r="GI209" i="14609"/>
  <c r="GJ209" i="14609"/>
  <c r="GK209" i="14609"/>
  <c r="GL209" i="14609"/>
  <c r="GM209" i="14609"/>
  <c r="GN209" i="14609"/>
  <c r="GO209" i="14609"/>
  <c r="GP209" i="14609"/>
  <c r="GQ209" i="14609"/>
  <c r="GR209" i="14609"/>
  <c r="GS209" i="14609"/>
  <c r="GT209" i="14609"/>
  <c r="GU209" i="14609"/>
  <c r="GV209" i="14609"/>
  <c r="GW209" i="14609"/>
  <c r="GX209" i="14609"/>
  <c r="GY209" i="14609"/>
  <c r="GZ209" i="14609"/>
  <c r="HA209" i="14609"/>
  <c r="HB209" i="14609"/>
  <c r="HC209" i="14609"/>
  <c r="HD209" i="14609"/>
  <c r="HE209" i="14609"/>
  <c r="HF209" i="14609"/>
  <c r="HG209" i="14609"/>
  <c r="HH209" i="14609"/>
  <c r="HI209" i="14609"/>
  <c r="HJ209" i="14609"/>
  <c r="HK209" i="14609"/>
  <c r="HL209" i="14609"/>
  <c r="HM209" i="14609"/>
  <c r="HN209" i="14609"/>
  <c r="HO209" i="14609"/>
  <c r="HP209" i="14609"/>
  <c r="HQ209" i="14609"/>
  <c r="HR209" i="14609"/>
  <c r="HS209" i="14609"/>
  <c r="HT209" i="14609"/>
  <c r="HU209" i="14609"/>
  <c r="HV209" i="14609"/>
  <c r="HW209" i="14609"/>
  <c r="HX209" i="14609"/>
  <c r="HY209" i="14609"/>
  <c r="HZ209" i="14609"/>
  <c r="IA209" i="14609"/>
  <c r="IB209" i="14609"/>
  <c r="IC209" i="14609"/>
  <c r="ID209" i="14609"/>
  <c r="IE209" i="14609"/>
  <c r="IF209" i="14609"/>
  <c r="IG209" i="14609"/>
  <c r="IH209" i="14609"/>
  <c r="II209" i="14609"/>
  <c r="IJ209" i="14609"/>
  <c r="IK209" i="14609"/>
  <c r="IL209" i="14609"/>
  <c r="IM209" i="14609"/>
  <c r="IN209" i="14609"/>
  <c r="IO209" i="14609"/>
  <c r="IP209" i="14609"/>
  <c r="IQ209" i="14609"/>
  <c r="IR209" i="14609"/>
  <c r="IS209" i="14609"/>
  <c r="IT209" i="14609"/>
  <c r="IU209" i="14609"/>
  <c r="IV209" i="14609"/>
  <c r="A208" i="14609"/>
  <c r="B208" i="14609"/>
  <c r="C208" i="14609"/>
  <c r="D208" i="14609"/>
  <c r="E208" i="14609"/>
  <c r="F208" i="14609"/>
  <c r="G208" i="14609"/>
  <c r="H208" i="14609"/>
  <c r="I208" i="14609"/>
  <c r="J208" i="14609"/>
  <c r="K208" i="14609"/>
  <c r="L208" i="14609"/>
  <c r="M208" i="14609"/>
  <c r="N208" i="14609"/>
  <c r="O208" i="14609"/>
  <c r="P208" i="14609"/>
  <c r="Q208" i="14609"/>
  <c r="R208" i="14609"/>
  <c r="S208" i="14609"/>
  <c r="T208" i="14609"/>
  <c r="U208" i="14609"/>
  <c r="V208" i="14609"/>
  <c r="W208" i="14609"/>
  <c r="X208" i="14609"/>
  <c r="Y208" i="14609"/>
  <c r="Z208" i="14609"/>
  <c r="AA208" i="14609"/>
  <c r="AB208" i="14609"/>
  <c r="AC208" i="14609"/>
  <c r="AD208" i="14609"/>
  <c r="AE208" i="14609"/>
  <c r="AF208" i="14609"/>
  <c r="AG208" i="14609"/>
  <c r="AH208" i="14609"/>
  <c r="AI208" i="14609"/>
  <c r="AJ208" i="14609"/>
  <c r="AK208" i="14609"/>
  <c r="AL208" i="14609"/>
  <c r="AM208" i="14609"/>
  <c r="AN208" i="14609"/>
  <c r="AO208" i="14609"/>
  <c r="AP208" i="14609"/>
  <c r="AQ208" i="14609"/>
  <c r="AR208" i="14609"/>
  <c r="AS208" i="14609"/>
  <c r="AT208" i="14609"/>
  <c r="AU208" i="14609"/>
  <c r="AV208" i="14609"/>
  <c r="AW208" i="14609"/>
  <c r="AX208" i="14609"/>
  <c r="AY208" i="14609"/>
  <c r="AZ208" i="14609"/>
  <c r="BA208" i="14609"/>
  <c r="BB208" i="14609"/>
  <c r="BC208" i="14609"/>
  <c r="BD208" i="14609"/>
  <c r="BE208" i="14609"/>
  <c r="BF208" i="14609"/>
  <c r="BG208" i="14609"/>
  <c r="BH208" i="14609"/>
  <c r="BI208" i="14609"/>
  <c r="BJ208" i="14609"/>
  <c r="BK208" i="14609"/>
  <c r="BL208" i="14609"/>
  <c r="BM208" i="14609"/>
  <c r="BN208" i="14609"/>
  <c r="BO208" i="14609"/>
  <c r="BP208" i="14609"/>
  <c r="BQ208" i="14609"/>
  <c r="BR208" i="14609"/>
  <c r="BS208" i="14609"/>
  <c r="BT208" i="14609"/>
  <c r="BU208" i="14609"/>
  <c r="BV208" i="14609"/>
  <c r="BW208" i="14609"/>
  <c r="BX208" i="14609"/>
  <c r="BY208" i="14609"/>
  <c r="BZ208" i="14609"/>
  <c r="CA208" i="14609"/>
  <c r="CB208" i="14609"/>
  <c r="CC208" i="14609"/>
  <c r="CD208" i="14609"/>
  <c r="CE208" i="14609"/>
  <c r="CF208" i="14609"/>
  <c r="CG208" i="14609"/>
  <c r="CH208" i="14609"/>
  <c r="CI208" i="14609"/>
  <c r="CJ208" i="14609"/>
  <c r="CK208" i="14609"/>
  <c r="CL208" i="14609"/>
  <c r="CM208" i="14609"/>
  <c r="CN208" i="14609"/>
  <c r="CO208" i="14609"/>
  <c r="CP208" i="14609"/>
  <c r="CQ208" i="14609"/>
  <c r="CR208" i="14609"/>
  <c r="CS208" i="14609"/>
  <c r="CT208" i="14609"/>
  <c r="CU208" i="14609"/>
  <c r="CV208" i="14609"/>
  <c r="CW208" i="14609"/>
  <c r="CX208" i="14609"/>
  <c r="CY208" i="14609"/>
  <c r="CZ208" i="14609"/>
  <c r="DA208" i="14609"/>
  <c r="DB208" i="14609"/>
  <c r="DC208" i="14609"/>
  <c r="DD208" i="14609"/>
  <c r="DE208" i="14609"/>
  <c r="DF208" i="14609"/>
  <c r="DG208" i="14609"/>
  <c r="DH208" i="14609"/>
  <c r="DI208" i="14609"/>
  <c r="DJ208" i="14609"/>
  <c r="DK208" i="14609"/>
  <c r="DL208" i="14609"/>
  <c r="DM208" i="14609"/>
  <c r="DN208" i="14609"/>
  <c r="DO208" i="14609"/>
  <c r="DP208" i="14609"/>
  <c r="DQ208" i="14609"/>
  <c r="DR208" i="14609"/>
  <c r="DS208" i="14609"/>
  <c r="DT208" i="14609"/>
  <c r="DU208" i="14609"/>
  <c r="DV208" i="14609"/>
  <c r="DW208" i="14609"/>
  <c r="DX208" i="14609"/>
  <c r="DY208" i="14609"/>
  <c r="DZ208" i="14609"/>
  <c r="EA208" i="14609"/>
  <c r="EB208" i="14609"/>
  <c r="EC208" i="14609"/>
  <c r="ED208" i="14609"/>
  <c r="EE208" i="14609"/>
  <c r="EF208" i="14609"/>
  <c r="EG208" i="14609"/>
  <c r="EH208" i="14609"/>
  <c r="EI208" i="14609"/>
  <c r="EJ208" i="14609"/>
  <c r="EK208" i="14609"/>
  <c r="EL208" i="14609"/>
  <c r="EM208" i="14609"/>
  <c r="EN208" i="14609"/>
  <c r="EO208" i="14609"/>
  <c r="EP208" i="14609"/>
  <c r="EQ208" i="14609"/>
  <c r="ER208" i="14609"/>
  <c r="ES208" i="14609"/>
  <c r="ET208" i="14609"/>
  <c r="EU208" i="14609"/>
  <c r="EV208" i="14609"/>
  <c r="EW208" i="14609"/>
  <c r="EX208" i="14609"/>
  <c r="EY208" i="14609"/>
  <c r="EZ208" i="14609"/>
  <c r="FA208" i="14609"/>
  <c r="FB208" i="14609"/>
  <c r="FC208" i="14609"/>
  <c r="FD208" i="14609"/>
  <c r="FE208" i="14609"/>
  <c r="FF208" i="14609"/>
  <c r="FG208" i="14609"/>
  <c r="FH208" i="14609"/>
  <c r="FI208" i="14609"/>
  <c r="FJ208" i="14609"/>
  <c r="FK208" i="14609"/>
  <c r="FL208" i="14609"/>
  <c r="FM208" i="14609"/>
  <c r="FN208" i="14609"/>
  <c r="FO208" i="14609"/>
  <c r="FP208" i="14609"/>
  <c r="FQ208" i="14609"/>
  <c r="FR208" i="14609"/>
  <c r="FS208" i="14609"/>
  <c r="FT208" i="14609"/>
  <c r="FU208" i="14609"/>
  <c r="FV208" i="14609"/>
  <c r="FW208" i="14609"/>
  <c r="FX208" i="14609"/>
  <c r="FY208" i="14609"/>
  <c r="FZ208" i="14609"/>
  <c r="GA208" i="14609"/>
  <c r="GB208" i="14609"/>
  <c r="GC208" i="14609"/>
  <c r="GD208" i="14609"/>
  <c r="GE208" i="14609"/>
  <c r="GF208" i="14609"/>
  <c r="GG208" i="14609"/>
  <c r="GH208" i="14609"/>
  <c r="GI208" i="14609"/>
  <c r="GJ208" i="14609"/>
  <c r="GK208" i="14609"/>
  <c r="GL208" i="14609"/>
  <c r="GM208" i="14609"/>
  <c r="GN208" i="14609"/>
  <c r="GO208" i="14609"/>
  <c r="GP208" i="14609"/>
  <c r="GQ208" i="14609"/>
  <c r="GR208" i="14609"/>
  <c r="GS208" i="14609"/>
  <c r="GT208" i="14609"/>
  <c r="GU208" i="14609"/>
  <c r="GV208" i="14609"/>
  <c r="GW208" i="14609"/>
  <c r="GX208" i="14609"/>
  <c r="GY208" i="14609"/>
  <c r="GZ208" i="14609"/>
  <c r="HA208" i="14609"/>
  <c r="HB208" i="14609"/>
  <c r="HC208" i="14609"/>
  <c r="HD208" i="14609"/>
  <c r="HE208" i="14609"/>
  <c r="HF208" i="14609"/>
  <c r="HG208" i="14609"/>
  <c r="HH208" i="14609"/>
  <c r="HI208" i="14609"/>
  <c r="HJ208" i="14609"/>
  <c r="HK208" i="14609"/>
  <c r="HL208" i="14609"/>
  <c r="HM208" i="14609"/>
  <c r="HN208" i="14609"/>
  <c r="HO208" i="14609"/>
  <c r="HP208" i="14609"/>
  <c r="HQ208" i="14609"/>
  <c r="HR208" i="14609"/>
  <c r="HS208" i="14609"/>
  <c r="HT208" i="14609"/>
  <c r="HU208" i="14609"/>
  <c r="HV208" i="14609"/>
  <c r="HW208" i="14609"/>
  <c r="HX208" i="14609"/>
  <c r="HY208" i="14609"/>
  <c r="HZ208" i="14609"/>
  <c r="IA208" i="14609"/>
  <c r="IB208" i="14609"/>
  <c r="IC208" i="14609"/>
  <c r="ID208" i="14609"/>
  <c r="IE208" i="14609"/>
  <c r="IF208" i="14609"/>
  <c r="IG208" i="14609"/>
  <c r="IH208" i="14609"/>
  <c r="II208" i="14609"/>
  <c r="IJ208" i="14609"/>
  <c r="IK208" i="14609"/>
  <c r="IL208" i="14609"/>
  <c r="IM208" i="14609"/>
  <c r="IN208" i="14609"/>
  <c r="IO208" i="14609"/>
  <c r="IP208" i="14609"/>
  <c r="IQ208" i="14609"/>
  <c r="IR208" i="14609"/>
  <c r="IS208" i="14609"/>
  <c r="IT208" i="14609"/>
  <c r="IU208" i="14609"/>
  <c r="IV208" i="14609"/>
  <c r="A207" i="14609"/>
  <c r="B207" i="14609"/>
  <c r="C207" i="14609"/>
  <c r="D207" i="14609"/>
  <c r="E207" i="14609"/>
  <c r="F207" i="14609"/>
  <c r="G207" i="14609"/>
  <c r="H207" i="14609"/>
  <c r="I207" i="14609"/>
  <c r="J207" i="14609"/>
  <c r="K207" i="14609"/>
  <c r="L207" i="14609"/>
  <c r="M207" i="14609"/>
  <c r="N207" i="14609"/>
  <c r="O207" i="14609"/>
  <c r="P207" i="14609"/>
  <c r="Q207" i="14609"/>
  <c r="R207" i="14609"/>
  <c r="S207" i="14609"/>
  <c r="T207" i="14609"/>
  <c r="U207" i="14609"/>
  <c r="V207" i="14609"/>
  <c r="W207" i="14609"/>
  <c r="X207" i="14609"/>
  <c r="Y207" i="14609"/>
  <c r="Z207" i="14609"/>
  <c r="AA207" i="14609"/>
  <c r="AB207" i="14609"/>
  <c r="AC207" i="14609"/>
  <c r="AD207" i="14609"/>
  <c r="AE207" i="14609"/>
  <c r="AF207" i="14609"/>
  <c r="AG207" i="14609"/>
  <c r="AH207" i="14609"/>
  <c r="AI207" i="14609"/>
  <c r="AJ207" i="14609"/>
  <c r="AK207" i="14609"/>
  <c r="AL207" i="14609"/>
  <c r="AM207" i="14609"/>
  <c r="AN207" i="14609"/>
  <c r="AO207" i="14609"/>
  <c r="AP207" i="14609"/>
  <c r="AQ207" i="14609"/>
  <c r="AR207" i="14609"/>
  <c r="AS207" i="14609"/>
  <c r="AT207" i="14609"/>
  <c r="AU207" i="14609"/>
  <c r="AV207" i="14609"/>
  <c r="AW207" i="14609"/>
  <c r="AX207" i="14609"/>
  <c r="AY207" i="14609"/>
  <c r="AZ207" i="14609"/>
  <c r="BA207" i="14609"/>
  <c r="BB207" i="14609"/>
  <c r="BC207" i="14609"/>
  <c r="BD207" i="14609"/>
  <c r="BE207" i="14609"/>
  <c r="BF207" i="14609"/>
  <c r="BG207" i="14609"/>
  <c r="BH207" i="14609"/>
  <c r="BI207" i="14609"/>
  <c r="BJ207" i="14609"/>
  <c r="BK207" i="14609"/>
  <c r="BL207" i="14609"/>
  <c r="BM207" i="14609"/>
  <c r="BN207" i="14609"/>
  <c r="BO207" i="14609"/>
  <c r="BP207" i="14609"/>
  <c r="BQ207" i="14609"/>
  <c r="BR207" i="14609"/>
  <c r="BS207" i="14609"/>
  <c r="BT207" i="14609"/>
  <c r="BU207" i="14609"/>
  <c r="BV207" i="14609"/>
  <c r="BW207" i="14609"/>
  <c r="BX207" i="14609"/>
  <c r="BY207" i="14609"/>
  <c r="BZ207" i="14609"/>
  <c r="CA207" i="14609"/>
  <c r="CB207" i="14609"/>
  <c r="CC207" i="14609"/>
  <c r="CD207" i="14609"/>
  <c r="CE207" i="14609"/>
  <c r="CF207" i="14609"/>
  <c r="CG207" i="14609"/>
  <c r="CH207" i="14609"/>
  <c r="CI207" i="14609"/>
  <c r="CJ207" i="14609"/>
  <c r="CK207" i="14609"/>
  <c r="CL207" i="14609"/>
  <c r="CM207" i="14609"/>
  <c r="CN207" i="14609"/>
  <c r="CO207" i="14609"/>
  <c r="CP207" i="14609"/>
  <c r="CQ207" i="14609"/>
  <c r="CR207" i="14609"/>
  <c r="CS207" i="14609"/>
  <c r="CT207" i="14609"/>
  <c r="CU207" i="14609"/>
  <c r="CV207" i="14609"/>
  <c r="CW207" i="14609"/>
  <c r="CX207" i="14609"/>
  <c r="CY207" i="14609"/>
  <c r="CZ207" i="14609"/>
  <c r="DA207" i="14609"/>
  <c r="DB207" i="14609"/>
  <c r="DC207" i="14609"/>
  <c r="DD207" i="14609"/>
  <c r="DE207" i="14609"/>
  <c r="DF207" i="14609"/>
  <c r="DG207" i="14609"/>
  <c r="DH207" i="14609"/>
  <c r="DI207" i="14609"/>
  <c r="DJ207" i="14609"/>
  <c r="DK207" i="14609"/>
  <c r="DL207" i="14609"/>
  <c r="DM207" i="14609"/>
  <c r="DN207" i="14609"/>
  <c r="DO207" i="14609"/>
  <c r="DP207" i="14609"/>
  <c r="DQ207" i="14609"/>
  <c r="DR207" i="14609"/>
  <c r="DS207" i="14609"/>
  <c r="DT207" i="14609"/>
  <c r="DU207" i="14609"/>
  <c r="DV207" i="14609"/>
  <c r="DW207" i="14609"/>
  <c r="DX207" i="14609"/>
  <c r="DY207" i="14609"/>
  <c r="DZ207" i="14609"/>
  <c r="EA207" i="14609"/>
  <c r="EB207" i="14609"/>
  <c r="EC207" i="14609"/>
  <c r="ED207" i="14609"/>
  <c r="EE207" i="14609"/>
  <c r="EF207" i="14609"/>
  <c r="EG207" i="14609"/>
  <c r="EH207" i="14609"/>
  <c r="EI207" i="14609"/>
  <c r="EJ207" i="14609"/>
  <c r="EK207" i="14609"/>
  <c r="EL207" i="14609"/>
  <c r="EM207" i="14609"/>
  <c r="EN207" i="14609"/>
  <c r="EO207" i="14609"/>
  <c r="EP207" i="14609"/>
  <c r="EQ207" i="14609"/>
  <c r="ER207" i="14609"/>
  <c r="ES207" i="14609"/>
  <c r="ET207" i="14609"/>
  <c r="EU207" i="14609"/>
  <c r="EV207" i="14609"/>
  <c r="EW207" i="14609"/>
  <c r="EX207" i="14609"/>
  <c r="EY207" i="14609"/>
  <c r="EZ207" i="14609"/>
  <c r="FA207" i="14609"/>
  <c r="FB207" i="14609"/>
  <c r="FC207" i="14609"/>
  <c r="FD207" i="14609"/>
  <c r="FE207" i="14609"/>
  <c r="FF207" i="14609"/>
  <c r="FG207" i="14609"/>
  <c r="FH207" i="14609"/>
  <c r="FI207" i="14609"/>
  <c r="FJ207" i="14609"/>
  <c r="FK207" i="14609"/>
  <c r="FL207" i="14609"/>
  <c r="FM207" i="14609"/>
  <c r="FN207" i="14609"/>
  <c r="FO207" i="14609"/>
  <c r="FP207" i="14609"/>
  <c r="FQ207" i="14609"/>
  <c r="FR207" i="14609"/>
  <c r="FS207" i="14609"/>
  <c r="FT207" i="14609"/>
  <c r="FU207" i="14609"/>
  <c r="FV207" i="14609"/>
  <c r="FW207" i="14609"/>
  <c r="FX207" i="14609"/>
  <c r="FY207" i="14609"/>
  <c r="FZ207" i="14609"/>
  <c r="GA207" i="14609"/>
  <c r="GB207" i="14609"/>
  <c r="GC207" i="14609"/>
  <c r="GD207" i="14609"/>
  <c r="GE207" i="14609"/>
  <c r="GF207" i="14609"/>
  <c r="GG207" i="14609"/>
  <c r="GH207" i="14609"/>
  <c r="GI207" i="14609"/>
  <c r="GJ207" i="14609"/>
  <c r="GK207" i="14609"/>
  <c r="GL207" i="14609"/>
  <c r="GM207" i="14609"/>
  <c r="GN207" i="14609"/>
  <c r="GO207" i="14609"/>
  <c r="GP207" i="14609"/>
  <c r="GQ207" i="14609"/>
  <c r="GR207" i="14609"/>
  <c r="GS207" i="14609"/>
  <c r="GT207" i="14609"/>
  <c r="GU207" i="14609"/>
  <c r="GV207" i="14609"/>
  <c r="GW207" i="14609"/>
  <c r="GX207" i="14609"/>
  <c r="GY207" i="14609"/>
  <c r="GZ207" i="14609"/>
  <c r="HA207" i="14609"/>
  <c r="HB207" i="14609"/>
  <c r="HC207" i="14609"/>
  <c r="HD207" i="14609"/>
  <c r="HE207" i="14609"/>
  <c r="HF207" i="14609"/>
  <c r="HG207" i="14609"/>
  <c r="HH207" i="14609"/>
  <c r="HI207" i="14609"/>
  <c r="HJ207" i="14609"/>
  <c r="HK207" i="14609"/>
  <c r="HL207" i="14609"/>
  <c r="HM207" i="14609"/>
  <c r="HN207" i="14609"/>
  <c r="HO207" i="14609"/>
  <c r="HP207" i="14609"/>
  <c r="HQ207" i="14609"/>
  <c r="HR207" i="14609"/>
  <c r="HS207" i="14609"/>
  <c r="HT207" i="14609"/>
  <c r="HU207" i="14609"/>
  <c r="HV207" i="14609"/>
  <c r="HW207" i="14609"/>
  <c r="HX207" i="14609"/>
  <c r="HY207" i="14609"/>
  <c r="HZ207" i="14609"/>
  <c r="IA207" i="14609"/>
  <c r="IB207" i="14609"/>
  <c r="IC207" i="14609"/>
  <c r="ID207" i="14609"/>
  <c r="IE207" i="14609"/>
  <c r="IF207" i="14609"/>
  <c r="IG207" i="14609"/>
  <c r="IH207" i="14609"/>
  <c r="II207" i="14609"/>
  <c r="IJ207" i="14609"/>
  <c r="IK207" i="14609"/>
  <c r="IL207" i="14609"/>
  <c r="IM207" i="14609"/>
  <c r="IN207" i="14609"/>
  <c r="IO207" i="14609"/>
  <c r="IP207" i="14609"/>
  <c r="IQ207" i="14609"/>
  <c r="IR207" i="14609"/>
  <c r="IS207" i="14609"/>
  <c r="IT207" i="14609"/>
  <c r="IU207" i="14609"/>
  <c r="IV207" i="14609"/>
  <c r="A206" i="14609"/>
  <c r="B206" i="14609"/>
  <c r="C206" i="14609"/>
  <c r="D206" i="14609"/>
  <c r="E206" i="14609"/>
  <c r="F206" i="14609"/>
  <c r="G206" i="14609"/>
  <c r="H206" i="14609"/>
  <c r="I206" i="14609"/>
  <c r="J206" i="14609"/>
  <c r="K206" i="14609"/>
  <c r="L206" i="14609"/>
  <c r="M206" i="14609"/>
  <c r="N206" i="14609"/>
  <c r="O206" i="14609"/>
  <c r="P206" i="14609"/>
  <c r="Q206" i="14609"/>
  <c r="R206" i="14609"/>
  <c r="S206" i="14609"/>
  <c r="T206" i="14609"/>
  <c r="U206" i="14609"/>
  <c r="V206" i="14609"/>
  <c r="W206" i="14609"/>
  <c r="X206" i="14609"/>
  <c r="Y206" i="14609"/>
  <c r="Z206" i="14609"/>
  <c r="AA206" i="14609"/>
  <c r="AB206" i="14609"/>
  <c r="AC206" i="14609"/>
  <c r="AD206" i="14609"/>
  <c r="AE206" i="14609"/>
  <c r="AF206" i="14609"/>
  <c r="AG206" i="14609"/>
  <c r="AH206" i="14609"/>
  <c r="AI206" i="14609"/>
  <c r="AJ206" i="14609"/>
  <c r="AK206" i="14609"/>
  <c r="AL206" i="14609"/>
  <c r="AM206" i="14609"/>
  <c r="AN206" i="14609"/>
  <c r="AO206" i="14609"/>
  <c r="AP206" i="14609"/>
  <c r="AQ206" i="14609"/>
  <c r="AR206" i="14609"/>
  <c r="AS206" i="14609"/>
  <c r="AT206" i="14609"/>
  <c r="AU206" i="14609"/>
  <c r="AV206" i="14609"/>
  <c r="AW206" i="14609"/>
  <c r="AX206" i="14609"/>
  <c r="AY206" i="14609"/>
  <c r="AZ206" i="14609"/>
  <c r="BA206" i="14609"/>
  <c r="BB206" i="14609"/>
  <c r="BC206" i="14609"/>
  <c r="BD206" i="14609"/>
  <c r="BE206" i="14609"/>
  <c r="BF206" i="14609"/>
  <c r="BG206" i="14609"/>
  <c r="BH206" i="14609"/>
  <c r="BI206" i="14609"/>
  <c r="BJ206" i="14609"/>
  <c r="BK206" i="14609"/>
  <c r="BL206" i="14609"/>
  <c r="BM206" i="14609"/>
  <c r="BN206" i="14609"/>
  <c r="BO206" i="14609"/>
  <c r="BP206" i="14609"/>
  <c r="BQ206" i="14609"/>
  <c r="BR206" i="14609"/>
  <c r="BS206" i="14609"/>
  <c r="BT206" i="14609"/>
  <c r="BU206" i="14609"/>
  <c r="BV206" i="14609"/>
  <c r="BW206" i="14609"/>
  <c r="BX206" i="14609"/>
  <c r="BY206" i="14609"/>
  <c r="BZ206" i="14609"/>
  <c r="CA206" i="14609"/>
  <c r="CB206" i="14609"/>
  <c r="CC206" i="14609"/>
  <c r="CD206" i="14609"/>
  <c r="CE206" i="14609"/>
  <c r="CF206" i="14609"/>
  <c r="CG206" i="14609"/>
  <c r="CH206" i="14609"/>
  <c r="CI206" i="14609"/>
  <c r="CJ206" i="14609"/>
  <c r="CK206" i="14609"/>
  <c r="CL206" i="14609"/>
  <c r="CM206" i="14609"/>
  <c r="CN206" i="14609"/>
  <c r="CO206" i="14609"/>
  <c r="CP206" i="14609"/>
  <c r="CQ206" i="14609"/>
  <c r="CR206" i="14609"/>
  <c r="CS206" i="14609"/>
  <c r="CT206" i="14609"/>
  <c r="CU206" i="14609"/>
  <c r="CV206" i="14609"/>
  <c r="CW206" i="14609"/>
  <c r="CX206" i="14609"/>
  <c r="CY206" i="14609"/>
  <c r="CZ206" i="14609"/>
  <c r="DA206" i="14609"/>
  <c r="DB206" i="14609"/>
  <c r="DC206" i="14609"/>
  <c r="DD206" i="14609"/>
  <c r="DE206" i="14609"/>
  <c r="DF206" i="14609"/>
  <c r="DG206" i="14609"/>
  <c r="DH206" i="14609"/>
  <c r="DI206" i="14609"/>
  <c r="DJ206" i="14609"/>
  <c r="DK206" i="14609"/>
  <c r="DL206" i="14609"/>
  <c r="DM206" i="14609"/>
  <c r="DN206" i="14609"/>
  <c r="DO206" i="14609"/>
  <c r="DP206" i="14609"/>
  <c r="DQ206" i="14609"/>
  <c r="DR206" i="14609"/>
  <c r="DS206" i="14609"/>
  <c r="DT206" i="14609"/>
  <c r="DU206" i="14609"/>
  <c r="DV206" i="14609"/>
  <c r="DW206" i="14609"/>
  <c r="DX206" i="14609"/>
  <c r="DY206" i="14609"/>
  <c r="DZ206" i="14609"/>
  <c r="EA206" i="14609"/>
  <c r="EB206" i="14609"/>
  <c r="EC206" i="14609"/>
  <c r="ED206" i="14609"/>
  <c r="EE206" i="14609"/>
  <c r="EF206" i="14609"/>
  <c r="EG206" i="14609"/>
  <c r="EH206" i="14609"/>
  <c r="EI206" i="14609"/>
  <c r="EJ206" i="14609"/>
  <c r="EK206" i="14609"/>
  <c r="EL206" i="14609"/>
  <c r="EM206" i="14609"/>
  <c r="EN206" i="14609"/>
  <c r="EO206" i="14609"/>
  <c r="EP206" i="14609"/>
  <c r="EQ206" i="14609"/>
  <c r="ER206" i="14609"/>
  <c r="ES206" i="14609"/>
  <c r="ET206" i="14609"/>
  <c r="EU206" i="14609"/>
  <c r="EV206" i="14609"/>
  <c r="EW206" i="14609"/>
  <c r="EX206" i="14609"/>
  <c r="EY206" i="14609"/>
  <c r="EZ206" i="14609"/>
  <c r="FA206" i="14609"/>
  <c r="FB206" i="14609"/>
  <c r="FC206" i="14609"/>
  <c r="FD206" i="14609"/>
  <c r="FE206" i="14609"/>
  <c r="FF206" i="14609"/>
  <c r="FG206" i="14609"/>
  <c r="FH206" i="14609"/>
  <c r="FI206" i="14609"/>
  <c r="FJ206" i="14609"/>
  <c r="FK206" i="14609"/>
  <c r="FL206" i="14609"/>
  <c r="FM206" i="14609"/>
  <c r="FN206" i="14609"/>
  <c r="FO206" i="14609"/>
  <c r="FP206" i="14609"/>
  <c r="FQ206" i="14609"/>
  <c r="FR206" i="14609"/>
  <c r="FS206" i="14609"/>
  <c r="FT206" i="14609"/>
  <c r="FU206" i="14609"/>
  <c r="FV206" i="14609"/>
  <c r="FW206" i="14609"/>
  <c r="FX206" i="14609"/>
  <c r="FY206" i="14609"/>
  <c r="FZ206" i="14609"/>
  <c r="GA206" i="14609"/>
  <c r="GB206" i="14609"/>
  <c r="GC206" i="14609"/>
  <c r="GD206" i="14609"/>
  <c r="GE206" i="14609"/>
  <c r="GF206" i="14609"/>
  <c r="GG206" i="14609"/>
  <c r="GH206" i="14609"/>
  <c r="GI206" i="14609"/>
  <c r="GJ206" i="14609"/>
  <c r="GK206" i="14609"/>
  <c r="GL206" i="14609"/>
  <c r="GM206" i="14609"/>
  <c r="GN206" i="14609"/>
  <c r="GO206" i="14609"/>
  <c r="GP206" i="14609"/>
  <c r="GQ206" i="14609"/>
  <c r="GR206" i="14609"/>
  <c r="GS206" i="14609"/>
  <c r="GT206" i="14609"/>
  <c r="GU206" i="14609"/>
  <c r="GV206" i="14609"/>
  <c r="GW206" i="14609"/>
  <c r="GX206" i="14609"/>
  <c r="GY206" i="14609"/>
  <c r="GZ206" i="14609"/>
  <c r="HA206" i="14609"/>
  <c r="HB206" i="14609"/>
  <c r="HC206" i="14609"/>
  <c r="HD206" i="14609"/>
  <c r="HE206" i="14609"/>
  <c r="HF206" i="14609"/>
  <c r="HG206" i="14609"/>
  <c r="HH206" i="14609"/>
  <c r="HI206" i="14609"/>
  <c r="HJ206" i="14609"/>
  <c r="HK206" i="14609"/>
  <c r="HL206" i="14609"/>
  <c r="HM206" i="14609"/>
  <c r="HN206" i="14609"/>
  <c r="HO206" i="14609"/>
  <c r="HP206" i="14609"/>
  <c r="HQ206" i="14609"/>
  <c r="HR206" i="14609"/>
  <c r="HS206" i="14609"/>
  <c r="HT206" i="14609"/>
  <c r="HU206" i="14609"/>
  <c r="HV206" i="14609"/>
  <c r="HW206" i="14609"/>
  <c r="HX206" i="14609"/>
  <c r="HY206" i="14609"/>
  <c r="HZ206" i="14609"/>
  <c r="IA206" i="14609"/>
  <c r="IB206" i="14609"/>
  <c r="IC206" i="14609"/>
  <c r="ID206" i="14609"/>
  <c r="IE206" i="14609"/>
  <c r="IF206" i="14609"/>
  <c r="IG206" i="14609"/>
  <c r="IH206" i="14609"/>
  <c r="II206" i="14609"/>
  <c r="IJ206" i="14609"/>
  <c r="IK206" i="14609"/>
  <c r="IL206" i="14609"/>
  <c r="IM206" i="14609"/>
  <c r="IN206" i="14609"/>
  <c r="IO206" i="14609"/>
  <c r="IP206" i="14609"/>
  <c r="IQ206" i="14609"/>
  <c r="IR206" i="14609"/>
  <c r="IS206" i="14609"/>
  <c r="IT206" i="14609"/>
  <c r="IU206" i="14609"/>
  <c r="IV206" i="14609"/>
  <c r="A205" i="14609"/>
  <c r="B205" i="14609"/>
  <c r="C205" i="14609"/>
  <c r="D205" i="14609"/>
  <c r="E205" i="14609"/>
  <c r="F205" i="14609"/>
  <c r="G205" i="14609"/>
  <c r="H205" i="14609"/>
  <c r="I205" i="14609"/>
  <c r="J205" i="14609"/>
  <c r="K205" i="14609"/>
  <c r="L205" i="14609"/>
  <c r="M205" i="14609"/>
  <c r="N205" i="14609"/>
  <c r="O205" i="14609"/>
  <c r="P205" i="14609"/>
  <c r="Q205" i="14609"/>
  <c r="R205" i="14609"/>
  <c r="S205" i="14609"/>
  <c r="T205" i="14609"/>
  <c r="U205" i="14609"/>
  <c r="V205" i="14609"/>
  <c r="W205" i="14609"/>
  <c r="X205" i="14609"/>
  <c r="Y205" i="14609"/>
  <c r="Z205" i="14609"/>
  <c r="AA205" i="14609"/>
  <c r="AB205" i="14609"/>
  <c r="AC205" i="14609"/>
  <c r="AD205" i="14609"/>
  <c r="AE205" i="14609"/>
  <c r="AF205" i="14609"/>
  <c r="AG205" i="14609"/>
  <c r="AH205" i="14609"/>
  <c r="AI205" i="14609"/>
  <c r="AJ205" i="14609"/>
  <c r="AK205" i="14609"/>
  <c r="AL205" i="14609"/>
  <c r="AM205" i="14609"/>
  <c r="AN205" i="14609"/>
  <c r="AO205" i="14609"/>
  <c r="AP205" i="14609"/>
  <c r="AQ205" i="14609"/>
  <c r="AR205" i="14609"/>
  <c r="AS205" i="14609"/>
  <c r="AT205" i="14609"/>
  <c r="AU205" i="14609"/>
  <c r="AV205" i="14609"/>
  <c r="AW205" i="14609"/>
  <c r="AX205" i="14609"/>
  <c r="AY205" i="14609"/>
  <c r="AZ205" i="14609"/>
  <c r="BA205" i="14609"/>
  <c r="BB205" i="14609"/>
  <c r="BC205" i="14609"/>
  <c r="BD205" i="14609"/>
  <c r="BE205" i="14609"/>
  <c r="BF205" i="14609"/>
  <c r="BG205" i="14609"/>
  <c r="BH205" i="14609"/>
  <c r="BI205" i="14609"/>
  <c r="BJ205" i="14609"/>
  <c r="BK205" i="14609"/>
  <c r="BL205" i="14609"/>
  <c r="BM205" i="14609"/>
  <c r="BN205" i="14609"/>
  <c r="BO205" i="14609"/>
  <c r="BP205" i="14609"/>
  <c r="BQ205" i="14609"/>
  <c r="BR205" i="14609"/>
  <c r="BS205" i="14609"/>
  <c r="BT205" i="14609"/>
  <c r="BU205" i="14609"/>
  <c r="BV205" i="14609"/>
  <c r="BW205" i="14609"/>
  <c r="BX205" i="14609"/>
  <c r="BY205" i="14609"/>
  <c r="BZ205" i="14609"/>
  <c r="CA205" i="14609"/>
  <c r="CB205" i="14609"/>
  <c r="CC205" i="14609"/>
  <c r="CD205" i="14609"/>
  <c r="CE205" i="14609"/>
  <c r="CF205" i="14609"/>
  <c r="CG205" i="14609"/>
  <c r="CH205" i="14609"/>
  <c r="CI205" i="14609"/>
  <c r="CJ205" i="14609"/>
  <c r="CK205" i="14609"/>
  <c r="CL205" i="14609"/>
  <c r="CM205" i="14609"/>
  <c r="CN205" i="14609"/>
  <c r="CO205" i="14609"/>
  <c r="CP205" i="14609"/>
  <c r="CQ205" i="14609"/>
  <c r="CR205" i="14609"/>
  <c r="CS205" i="14609"/>
  <c r="CT205" i="14609"/>
  <c r="CU205" i="14609"/>
  <c r="CV205" i="14609"/>
  <c r="CW205" i="14609"/>
  <c r="CX205" i="14609"/>
  <c r="CY205" i="14609"/>
  <c r="CZ205" i="14609"/>
  <c r="DA205" i="14609"/>
  <c r="DB205" i="14609"/>
  <c r="DC205" i="14609"/>
  <c r="DD205" i="14609"/>
  <c r="DE205" i="14609"/>
  <c r="DF205" i="14609"/>
  <c r="DG205" i="14609"/>
  <c r="DH205" i="14609"/>
  <c r="DI205" i="14609"/>
  <c r="DJ205" i="14609"/>
  <c r="DK205" i="14609"/>
  <c r="DL205" i="14609"/>
  <c r="DM205" i="14609"/>
  <c r="DN205" i="14609"/>
  <c r="DO205" i="14609"/>
  <c r="DP205" i="14609"/>
  <c r="DQ205" i="14609"/>
  <c r="DR205" i="14609"/>
  <c r="DS205" i="14609"/>
  <c r="DT205" i="14609"/>
  <c r="DU205" i="14609"/>
  <c r="DV205" i="14609"/>
  <c r="DW205" i="14609"/>
  <c r="DX205" i="14609"/>
  <c r="DY205" i="14609"/>
  <c r="DZ205" i="14609"/>
  <c r="EA205" i="14609"/>
  <c r="EB205" i="14609"/>
  <c r="EC205" i="14609"/>
  <c r="ED205" i="14609"/>
  <c r="EE205" i="14609"/>
  <c r="EF205" i="14609"/>
  <c r="EG205" i="14609"/>
  <c r="EH205" i="14609"/>
  <c r="EI205" i="14609"/>
  <c r="EJ205" i="14609"/>
  <c r="EK205" i="14609"/>
  <c r="EL205" i="14609"/>
  <c r="EM205" i="14609"/>
  <c r="EN205" i="14609"/>
  <c r="EO205" i="14609"/>
  <c r="EP205" i="14609"/>
  <c r="EQ205" i="14609"/>
  <c r="ER205" i="14609"/>
  <c r="ES205" i="14609"/>
  <c r="ET205" i="14609"/>
  <c r="EU205" i="14609"/>
  <c r="EV205" i="14609"/>
  <c r="EW205" i="14609"/>
  <c r="EX205" i="14609"/>
  <c r="EY205" i="14609"/>
  <c r="EZ205" i="14609"/>
  <c r="FA205" i="14609"/>
  <c r="FB205" i="14609"/>
  <c r="FC205" i="14609"/>
  <c r="FD205" i="14609"/>
  <c r="FE205" i="14609"/>
  <c r="FF205" i="14609"/>
  <c r="FG205" i="14609"/>
  <c r="FH205" i="14609"/>
  <c r="FI205" i="14609"/>
  <c r="FJ205" i="14609"/>
  <c r="FK205" i="14609"/>
  <c r="FL205" i="14609"/>
  <c r="FM205" i="14609"/>
  <c r="FN205" i="14609"/>
  <c r="FO205" i="14609"/>
  <c r="FP205" i="14609"/>
  <c r="FQ205" i="14609"/>
  <c r="FR205" i="14609"/>
  <c r="FS205" i="14609"/>
  <c r="FT205" i="14609"/>
  <c r="FU205" i="14609"/>
  <c r="FV205" i="14609"/>
  <c r="FW205" i="14609"/>
  <c r="FX205" i="14609"/>
  <c r="FY205" i="14609"/>
  <c r="FZ205" i="14609"/>
  <c r="GA205" i="14609"/>
  <c r="GB205" i="14609"/>
  <c r="GC205" i="14609"/>
  <c r="GD205" i="14609"/>
  <c r="GE205" i="14609"/>
  <c r="GF205" i="14609"/>
  <c r="GG205" i="14609"/>
  <c r="GH205" i="14609"/>
  <c r="GI205" i="14609"/>
  <c r="GJ205" i="14609"/>
  <c r="GK205" i="14609"/>
  <c r="GL205" i="14609"/>
  <c r="GM205" i="14609"/>
  <c r="GN205" i="14609"/>
  <c r="GO205" i="14609"/>
  <c r="GP205" i="14609"/>
  <c r="GQ205" i="14609"/>
  <c r="GR205" i="14609"/>
  <c r="GS205" i="14609"/>
  <c r="GT205" i="14609"/>
  <c r="GU205" i="14609"/>
  <c r="GV205" i="14609"/>
  <c r="GW205" i="14609"/>
  <c r="GX205" i="14609"/>
  <c r="GY205" i="14609"/>
  <c r="GZ205" i="14609"/>
  <c r="HA205" i="14609"/>
  <c r="HB205" i="14609"/>
  <c r="HC205" i="14609"/>
  <c r="HD205" i="14609"/>
  <c r="HE205" i="14609"/>
  <c r="HF205" i="14609"/>
  <c r="HG205" i="14609"/>
  <c r="HH205" i="14609"/>
  <c r="HI205" i="14609"/>
  <c r="HJ205" i="14609"/>
  <c r="HK205" i="14609"/>
  <c r="HL205" i="14609"/>
  <c r="HM205" i="14609"/>
  <c r="HN205" i="14609"/>
  <c r="HO205" i="14609"/>
  <c r="HP205" i="14609"/>
  <c r="HQ205" i="14609"/>
  <c r="HR205" i="14609"/>
  <c r="HS205" i="14609"/>
  <c r="HT205" i="14609"/>
  <c r="HU205" i="14609"/>
  <c r="HV205" i="14609"/>
  <c r="HW205" i="14609"/>
  <c r="HX205" i="14609"/>
  <c r="HY205" i="14609"/>
  <c r="HZ205" i="14609"/>
  <c r="IA205" i="14609"/>
  <c r="IB205" i="14609"/>
  <c r="IC205" i="14609"/>
  <c r="ID205" i="14609"/>
  <c r="IE205" i="14609"/>
  <c r="IF205" i="14609"/>
  <c r="IG205" i="14609"/>
  <c r="IH205" i="14609"/>
  <c r="II205" i="14609"/>
  <c r="IJ205" i="14609"/>
  <c r="IK205" i="14609"/>
  <c r="IL205" i="14609"/>
  <c r="IM205" i="14609"/>
  <c r="IN205" i="14609"/>
  <c r="IO205" i="14609"/>
  <c r="IP205" i="14609"/>
  <c r="IQ205" i="14609"/>
  <c r="IR205" i="14609"/>
  <c r="IS205" i="14609"/>
  <c r="IT205" i="14609"/>
  <c r="IU205" i="14609"/>
  <c r="IV205" i="14609"/>
  <c r="A204" i="14609"/>
  <c r="B204" i="14609"/>
  <c r="C204" i="14609"/>
  <c r="D204" i="14609"/>
  <c r="E204" i="14609"/>
  <c r="F204" i="14609"/>
  <c r="G204" i="14609"/>
  <c r="H204" i="14609"/>
  <c r="I204" i="14609"/>
  <c r="J204" i="14609"/>
  <c r="K204" i="14609"/>
  <c r="L204" i="14609"/>
  <c r="M204" i="14609"/>
  <c r="N204" i="14609"/>
  <c r="O204" i="14609"/>
  <c r="P204" i="14609"/>
  <c r="Q204" i="14609"/>
  <c r="R204" i="14609"/>
  <c r="S204" i="14609"/>
  <c r="T204" i="14609"/>
  <c r="U204" i="14609"/>
  <c r="V204" i="14609"/>
  <c r="W204" i="14609"/>
  <c r="X204" i="14609"/>
  <c r="Y204" i="14609"/>
  <c r="Z204" i="14609"/>
  <c r="AA204" i="14609"/>
  <c r="AB204" i="14609"/>
  <c r="AC204" i="14609"/>
  <c r="AD204" i="14609"/>
  <c r="AE204" i="14609"/>
  <c r="AF204" i="14609"/>
  <c r="AG204" i="14609"/>
  <c r="AH204" i="14609"/>
  <c r="AI204" i="14609"/>
  <c r="AJ204" i="14609"/>
  <c r="AK204" i="14609"/>
  <c r="AL204" i="14609"/>
  <c r="AM204" i="14609"/>
  <c r="AN204" i="14609"/>
  <c r="AO204" i="14609"/>
  <c r="AP204" i="14609"/>
  <c r="AQ204" i="14609"/>
  <c r="AR204" i="14609"/>
  <c r="AS204" i="14609"/>
  <c r="AT204" i="14609"/>
  <c r="AU204" i="14609"/>
  <c r="AV204" i="14609"/>
  <c r="AW204" i="14609"/>
  <c r="AX204" i="14609"/>
  <c r="AY204" i="14609"/>
  <c r="AZ204" i="14609"/>
  <c r="BA204" i="14609"/>
  <c r="BB204" i="14609"/>
  <c r="BC204" i="14609"/>
  <c r="BD204" i="14609"/>
  <c r="BE204" i="14609"/>
  <c r="BF204" i="14609"/>
  <c r="BG204" i="14609"/>
  <c r="BH204" i="14609"/>
  <c r="BI204" i="14609"/>
  <c r="BJ204" i="14609"/>
  <c r="BK204" i="14609"/>
  <c r="BL204" i="14609"/>
  <c r="BM204" i="14609"/>
  <c r="BN204" i="14609"/>
  <c r="BO204" i="14609"/>
  <c r="BP204" i="14609"/>
  <c r="BQ204" i="14609"/>
  <c r="BR204" i="14609"/>
  <c r="BS204" i="14609"/>
  <c r="BT204" i="14609"/>
  <c r="BU204" i="14609"/>
  <c r="BV204" i="14609"/>
  <c r="BW204" i="14609"/>
  <c r="BX204" i="14609"/>
  <c r="BY204" i="14609"/>
  <c r="BZ204" i="14609"/>
  <c r="CA204" i="14609"/>
  <c r="CB204" i="14609"/>
  <c r="CC204" i="14609"/>
  <c r="CD204" i="14609"/>
  <c r="CE204" i="14609"/>
  <c r="CF204" i="14609"/>
  <c r="CG204" i="14609"/>
  <c r="CH204" i="14609"/>
  <c r="CI204" i="14609"/>
  <c r="CJ204" i="14609"/>
  <c r="CK204" i="14609"/>
  <c r="CL204" i="14609"/>
  <c r="CM204" i="14609"/>
  <c r="CN204" i="14609"/>
  <c r="CO204" i="14609"/>
  <c r="CP204" i="14609"/>
  <c r="CQ204" i="14609"/>
  <c r="CR204" i="14609"/>
  <c r="CS204" i="14609"/>
  <c r="CT204" i="14609"/>
  <c r="CU204" i="14609"/>
  <c r="CV204" i="14609"/>
  <c r="CW204" i="14609"/>
  <c r="CX204" i="14609"/>
  <c r="CY204" i="14609"/>
  <c r="CZ204" i="14609"/>
  <c r="DA204" i="14609"/>
  <c r="DB204" i="14609"/>
  <c r="DC204" i="14609"/>
  <c r="DD204" i="14609"/>
  <c r="DE204" i="14609"/>
  <c r="DF204" i="14609"/>
  <c r="DG204" i="14609"/>
  <c r="DH204" i="14609"/>
  <c r="DI204" i="14609"/>
  <c r="DJ204" i="14609"/>
  <c r="DK204" i="14609"/>
  <c r="DL204" i="14609"/>
  <c r="DM204" i="14609"/>
  <c r="DN204" i="14609"/>
  <c r="DO204" i="14609"/>
  <c r="DP204" i="14609"/>
  <c r="DQ204" i="14609"/>
  <c r="DR204" i="14609"/>
  <c r="DS204" i="14609"/>
  <c r="DT204" i="14609"/>
  <c r="DU204" i="14609"/>
  <c r="DV204" i="14609"/>
  <c r="DW204" i="14609"/>
  <c r="DX204" i="14609"/>
  <c r="DY204" i="14609"/>
  <c r="DZ204" i="14609"/>
  <c r="EA204" i="14609"/>
  <c r="EB204" i="14609"/>
  <c r="EC204" i="14609"/>
  <c r="ED204" i="14609"/>
  <c r="EE204" i="14609"/>
  <c r="EF204" i="14609"/>
  <c r="EG204" i="14609"/>
  <c r="EH204" i="14609"/>
  <c r="EI204" i="14609"/>
  <c r="EJ204" i="14609"/>
  <c r="EK204" i="14609"/>
  <c r="EL204" i="14609"/>
  <c r="EM204" i="14609"/>
  <c r="EN204" i="14609"/>
  <c r="EO204" i="14609"/>
  <c r="EP204" i="14609"/>
  <c r="EQ204" i="14609"/>
  <c r="ER204" i="14609"/>
  <c r="ES204" i="14609"/>
  <c r="ET204" i="14609"/>
  <c r="EU204" i="14609"/>
  <c r="EV204" i="14609"/>
  <c r="EW204" i="14609"/>
  <c r="EX204" i="14609"/>
  <c r="EY204" i="14609"/>
  <c r="EZ204" i="14609"/>
  <c r="FA204" i="14609"/>
  <c r="FB204" i="14609"/>
  <c r="FC204" i="14609"/>
  <c r="FD204" i="14609"/>
  <c r="FE204" i="14609"/>
  <c r="FF204" i="14609"/>
  <c r="FG204" i="14609"/>
  <c r="FH204" i="14609"/>
  <c r="FI204" i="14609"/>
  <c r="FJ204" i="14609"/>
  <c r="FK204" i="14609"/>
  <c r="FL204" i="14609"/>
  <c r="FM204" i="14609"/>
  <c r="FN204" i="14609"/>
  <c r="FO204" i="14609"/>
  <c r="FP204" i="14609"/>
  <c r="FQ204" i="14609"/>
  <c r="FR204" i="14609"/>
  <c r="FS204" i="14609"/>
  <c r="FT204" i="14609"/>
  <c r="FU204" i="14609"/>
  <c r="FV204" i="14609"/>
  <c r="FW204" i="14609"/>
  <c r="FX204" i="14609"/>
  <c r="FY204" i="14609"/>
  <c r="FZ204" i="14609"/>
  <c r="GA204" i="14609"/>
  <c r="GB204" i="14609"/>
  <c r="GC204" i="14609"/>
  <c r="GD204" i="14609"/>
  <c r="GE204" i="14609"/>
  <c r="GF204" i="14609"/>
  <c r="GG204" i="14609"/>
  <c r="GH204" i="14609"/>
  <c r="GI204" i="14609"/>
  <c r="GJ204" i="14609"/>
  <c r="GK204" i="14609"/>
  <c r="GL204" i="14609"/>
  <c r="GM204" i="14609"/>
  <c r="GN204" i="14609"/>
  <c r="GO204" i="14609"/>
  <c r="GP204" i="14609"/>
  <c r="GQ204" i="14609"/>
  <c r="GR204" i="14609"/>
  <c r="GS204" i="14609"/>
  <c r="GT204" i="14609"/>
  <c r="GU204" i="14609"/>
  <c r="GV204" i="14609"/>
  <c r="GW204" i="14609"/>
  <c r="GX204" i="14609"/>
  <c r="GY204" i="14609"/>
  <c r="GZ204" i="14609"/>
  <c r="HA204" i="14609"/>
  <c r="HB204" i="14609"/>
  <c r="HC204" i="14609"/>
  <c r="HD204" i="14609"/>
  <c r="HE204" i="14609"/>
  <c r="HF204" i="14609"/>
  <c r="HG204" i="14609"/>
  <c r="HH204" i="14609"/>
  <c r="HI204" i="14609"/>
  <c r="HJ204" i="14609"/>
  <c r="HK204" i="14609"/>
  <c r="HL204" i="14609"/>
  <c r="HM204" i="14609"/>
  <c r="HN204" i="14609"/>
  <c r="HO204" i="14609"/>
  <c r="HP204" i="14609"/>
  <c r="HQ204" i="14609"/>
  <c r="HR204" i="14609"/>
  <c r="HS204" i="14609"/>
  <c r="HT204" i="14609"/>
  <c r="HU204" i="14609"/>
  <c r="HV204" i="14609"/>
  <c r="HW204" i="14609"/>
  <c r="HX204" i="14609"/>
  <c r="HY204" i="14609"/>
  <c r="HZ204" i="14609"/>
  <c r="IA204" i="14609"/>
  <c r="IB204" i="14609"/>
  <c r="IC204" i="14609"/>
  <c r="ID204" i="14609"/>
  <c r="IE204" i="14609"/>
  <c r="IF204" i="14609"/>
  <c r="IG204" i="14609"/>
  <c r="IH204" i="14609"/>
  <c r="II204" i="14609"/>
  <c r="IJ204" i="14609"/>
  <c r="IK204" i="14609"/>
  <c r="IL204" i="14609"/>
  <c r="IM204" i="14609"/>
  <c r="IN204" i="14609"/>
  <c r="IO204" i="14609"/>
  <c r="IP204" i="14609"/>
  <c r="IQ204" i="14609"/>
  <c r="IR204" i="14609"/>
  <c r="IS204" i="14609"/>
  <c r="IT204" i="14609"/>
  <c r="IU204" i="14609"/>
  <c r="IV204" i="14609"/>
  <c r="A203" i="14609"/>
  <c r="B203" i="14609"/>
  <c r="C203" i="14609"/>
  <c r="D203" i="14609"/>
  <c r="E203" i="14609"/>
  <c r="F203" i="14609"/>
  <c r="G203" i="14609"/>
  <c r="H203" i="14609"/>
  <c r="I203" i="14609"/>
  <c r="J203" i="14609"/>
  <c r="K203" i="14609"/>
  <c r="L203" i="14609"/>
  <c r="M203" i="14609"/>
  <c r="N203" i="14609"/>
  <c r="O203" i="14609"/>
  <c r="P203" i="14609"/>
  <c r="Q203" i="14609"/>
  <c r="R203" i="14609"/>
  <c r="S203" i="14609"/>
  <c r="T203" i="14609"/>
  <c r="U203" i="14609"/>
  <c r="V203" i="14609"/>
  <c r="W203" i="14609"/>
  <c r="X203" i="14609"/>
  <c r="Y203" i="14609"/>
  <c r="Z203" i="14609"/>
  <c r="AA203" i="14609"/>
  <c r="AB203" i="14609"/>
  <c r="AC203" i="14609"/>
  <c r="AD203" i="14609"/>
  <c r="AE203" i="14609"/>
  <c r="AF203" i="14609"/>
  <c r="AG203" i="14609"/>
  <c r="AH203" i="14609"/>
  <c r="AI203" i="14609"/>
  <c r="AJ203" i="14609"/>
  <c r="AK203" i="14609"/>
  <c r="AL203" i="14609"/>
  <c r="AM203" i="14609"/>
  <c r="AN203" i="14609"/>
  <c r="AO203" i="14609"/>
  <c r="AP203" i="14609"/>
  <c r="AQ203" i="14609"/>
  <c r="AR203" i="14609"/>
  <c r="AS203" i="14609"/>
  <c r="AT203" i="14609"/>
  <c r="AU203" i="14609"/>
  <c r="AV203" i="14609"/>
  <c r="AW203" i="14609"/>
  <c r="AX203" i="14609"/>
  <c r="AY203" i="14609"/>
  <c r="AZ203" i="14609"/>
  <c r="BA203" i="14609"/>
  <c r="BB203" i="14609"/>
  <c r="BC203" i="14609"/>
  <c r="BD203" i="14609"/>
  <c r="BE203" i="14609"/>
  <c r="BF203" i="14609"/>
  <c r="BG203" i="14609"/>
  <c r="BH203" i="14609"/>
  <c r="BI203" i="14609"/>
  <c r="BJ203" i="14609"/>
  <c r="BK203" i="14609"/>
  <c r="BL203" i="14609"/>
  <c r="BM203" i="14609"/>
  <c r="BN203" i="14609"/>
  <c r="BO203" i="14609"/>
  <c r="BP203" i="14609"/>
  <c r="BQ203" i="14609"/>
  <c r="BR203" i="14609"/>
  <c r="BS203" i="14609"/>
  <c r="BT203" i="14609"/>
  <c r="BU203" i="14609"/>
  <c r="BV203" i="14609"/>
  <c r="BW203" i="14609"/>
  <c r="BX203" i="14609"/>
  <c r="BY203" i="14609"/>
  <c r="BZ203" i="14609"/>
  <c r="CA203" i="14609"/>
  <c r="CB203" i="14609"/>
  <c r="CC203" i="14609"/>
  <c r="CD203" i="14609"/>
  <c r="CE203" i="14609"/>
  <c r="CF203" i="14609"/>
  <c r="CG203" i="14609"/>
  <c r="CH203" i="14609"/>
  <c r="CI203" i="14609"/>
  <c r="CJ203" i="14609"/>
  <c r="CK203" i="14609"/>
  <c r="CL203" i="14609"/>
  <c r="CM203" i="14609"/>
  <c r="CN203" i="14609"/>
  <c r="CO203" i="14609"/>
  <c r="CP203" i="14609"/>
  <c r="CQ203" i="14609"/>
  <c r="CR203" i="14609"/>
  <c r="CS203" i="14609"/>
  <c r="CT203" i="14609"/>
  <c r="CU203" i="14609"/>
  <c r="CV203" i="14609"/>
  <c r="CW203" i="14609"/>
  <c r="CX203" i="14609"/>
  <c r="CY203" i="14609"/>
  <c r="CZ203" i="14609"/>
  <c r="DA203" i="14609"/>
  <c r="DB203" i="14609"/>
  <c r="DC203" i="14609"/>
  <c r="DD203" i="14609"/>
  <c r="DE203" i="14609"/>
  <c r="DF203" i="14609"/>
  <c r="DG203" i="14609"/>
  <c r="DH203" i="14609"/>
  <c r="DI203" i="14609"/>
  <c r="DJ203" i="14609"/>
  <c r="DK203" i="14609"/>
  <c r="DL203" i="14609"/>
  <c r="DM203" i="14609"/>
  <c r="DN203" i="14609"/>
  <c r="DO203" i="14609"/>
  <c r="DP203" i="14609"/>
  <c r="DQ203" i="14609"/>
  <c r="DR203" i="14609"/>
  <c r="DS203" i="14609"/>
  <c r="DT203" i="14609"/>
  <c r="DU203" i="14609"/>
  <c r="DV203" i="14609"/>
  <c r="DW203" i="14609"/>
  <c r="DX203" i="14609"/>
  <c r="DY203" i="14609"/>
  <c r="DZ203" i="14609"/>
  <c r="EA203" i="14609"/>
  <c r="EB203" i="14609"/>
  <c r="EC203" i="14609"/>
  <c r="ED203" i="14609"/>
  <c r="EE203" i="14609"/>
  <c r="EF203" i="14609"/>
  <c r="EG203" i="14609"/>
  <c r="EH203" i="14609"/>
  <c r="EI203" i="14609"/>
  <c r="EJ203" i="14609"/>
  <c r="EK203" i="14609"/>
  <c r="EL203" i="14609"/>
  <c r="EM203" i="14609"/>
  <c r="EN203" i="14609"/>
  <c r="EO203" i="14609"/>
  <c r="EP203" i="14609"/>
  <c r="EQ203" i="14609"/>
  <c r="ER203" i="14609"/>
  <c r="ES203" i="14609"/>
  <c r="ET203" i="14609"/>
  <c r="EU203" i="14609"/>
  <c r="EV203" i="14609"/>
  <c r="EW203" i="14609"/>
  <c r="EX203" i="14609"/>
  <c r="EY203" i="14609"/>
  <c r="EZ203" i="14609"/>
  <c r="FA203" i="14609"/>
  <c r="FB203" i="14609"/>
  <c r="FC203" i="14609"/>
  <c r="FD203" i="14609"/>
  <c r="FE203" i="14609"/>
  <c r="FF203" i="14609"/>
  <c r="FG203" i="14609"/>
  <c r="FH203" i="14609"/>
  <c r="FI203" i="14609"/>
  <c r="FJ203" i="14609"/>
  <c r="FK203" i="14609"/>
  <c r="FL203" i="14609"/>
  <c r="FM203" i="14609"/>
  <c r="FN203" i="14609"/>
  <c r="FO203" i="14609"/>
  <c r="FP203" i="14609"/>
  <c r="FQ203" i="14609"/>
  <c r="FR203" i="14609"/>
  <c r="FS203" i="14609"/>
  <c r="FT203" i="14609"/>
  <c r="FU203" i="14609"/>
  <c r="FV203" i="14609"/>
  <c r="FW203" i="14609"/>
  <c r="FX203" i="14609"/>
  <c r="FY203" i="14609"/>
  <c r="FZ203" i="14609"/>
  <c r="GA203" i="14609"/>
  <c r="GB203" i="14609"/>
  <c r="GC203" i="14609"/>
  <c r="GD203" i="14609"/>
  <c r="GE203" i="14609"/>
  <c r="GF203" i="14609"/>
  <c r="GG203" i="14609"/>
  <c r="GH203" i="14609"/>
  <c r="GI203" i="14609"/>
  <c r="GJ203" i="14609"/>
  <c r="GK203" i="14609"/>
  <c r="GL203" i="14609"/>
  <c r="GM203" i="14609"/>
  <c r="GN203" i="14609"/>
  <c r="GO203" i="14609"/>
  <c r="GP203" i="14609"/>
  <c r="GQ203" i="14609"/>
  <c r="GR203" i="14609"/>
  <c r="GS203" i="14609"/>
  <c r="GT203" i="14609"/>
  <c r="GU203" i="14609"/>
  <c r="GV203" i="14609"/>
  <c r="GW203" i="14609"/>
  <c r="GX203" i="14609"/>
  <c r="GY203" i="14609"/>
  <c r="GZ203" i="14609"/>
  <c r="HA203" i="14609"/>
  <c r="HB203" i="14609"/>
  <c r="HC203" i="14609"/>
  <c r="HD203" i="14609"/>
  <c r="HE203" i="14609"/>
  <c r="HF203" i="14609"/>
  <c r="HG203" i="14609"/>
  <c r="HH203" i="14609"/>
  <c r="HI203" i="14609"/>
  <c r="HJ203" i="14609"/>
  <c r="HK203" i="14609"/>
  <c r="HL203" i="14609"/>
  <c r="HM203" i="14609"/>
  <c r="HN203" i="14609"/>
  <c r="HO203" i="14609"/>
  <c r="HP203" i="14609"/>
  <c r="HQ203" i="14609"/>
  <c r="HR203" i="14609"/>
  <c r="HS203" i="14609"/>
  <c r="HT203" i="14609"/>
  <c r="HU203" i="14609"/>
  <c r="HV203" i="14609"/>
  <c r="HW203" i="14609"/>
  <c r="HX203" i="14609"/>
  <c r="HY203" i="14609"/>
  <c r="HZ203" i="14609"/>
  <c r="IA203" i="14609"/>
  <c r="IB203" i="14609"/>
  <c r="IC203" i="14609"/>
  <c r="ID203" i="14609"/>
  <c r="IE203" i="14609"/>
  <c r="IF203" i="14609"/>
  <c r="IG203" i="14609"/>
  <c r="IH203" i="14609"/>
  <c r="II203" i="14609"/>
  <c r="IJ203" i="14609"/>
  <c r="IK203" i="14609"/>
  <c r="IL203" i="14609"/>
  <c r="IM203" i="14609"/>
  <c r="IN203" i="14609"/>
  <c r="IO203" i="14609"/>
  <c r="IP203" i="14609"/>
  <c r="IQ203" i="14609"/>
  <c r="IR203" i="14609"/>
  <c r="IS203" i="14609"/>
  <c r="IT203" i="14609"/>
  <c r="IU203" i="14609"/>
  <c r="IV203" i="14609"/>
  <c r="A202" i="14609"/>
  <c r="B202" i="14609"/>
  <c r="C202" i="14609"/>
  <c r="D202" i="14609"/>
  <c r="E202" i="14609"/>
  <c r="F202" i="14609"/>
  <c r="G202" i="14609"/>
  <c r="H202" i="14609"/>
  <c r="I202" i="14609"/>
  <c r="J202" i="14609"/>
  <c r="K202" i="14609"/>
  <c r="L202" i="14609"/>
  <c r="M202" i="14609"/>
  <c r="N202" i="14609"/>
  <c r="O202" i="14609"/>
  <c r="P202" i="14609"/>
  <c r="Q202" i="14609"/>
  <c r="R202" i="14609"/>
  <c r="S202" i="14609"/>
  <c r="T202" i="14609"/>
  <c r="U202" i="14609"/>
  <c r="V202" i="14609"/>
  <c r="W202" i="14609"/>
  <c r="X202" i="14609"/>
  <c r="Y202" i="14609"/>
  <c r="Z202" i="14609"/>
  <c r="AA202" i="14609"/>
  <c r="AB202" i="14609"/>
  <c r="AC202" i="14609"/>
  <c r="AD202" i="14609"/>
  <c r="AE202" i="14609"/>
  <c r="AF202" i="14609"/>
  <c r="AG202" i="14609"/>
  <c r="AH202" i="14609"/>
  <c r="AI202" i="14609"/>
  <c r="AJ202" i="14609"/>
  <c r="AK202" i="14609"/>
  <c r="AL202" i="14609"/>
  <c r="AM202" i="14609"/>
  <c r="AN202" i="14609"/>
  <c r="AO202" i="14609"/>
  <c r="AP202" i="14609"/>
  <c r="AQ202" i="14609"/>
  <c r="AR202" i="14609"/>
  <c r="AS202" i="14609"/>
  <c r="AT202" i="14609"/>
  <c r="AU202" i="14609"/>
  <c r="AV202" i="14609"/>
  <c r="AW202" i="14609"/>
  <c r="AX202" i="14609"/>
  <c r="AY202" i="14609"/>
  <c r="AZ202" i="14609"/>
  <c r="BA202" i="14609"/>
  <c r="BB202" i="14609"/>
  <c r="BC202" i="14609"/>
  <c r="BD202" i="14609"/>
  <c r="BE202" i="14609"/>
  <c r="BF202" i="14609"/>
  <c r="BG202" i="14609"/>
  <c r="BH202" i="14609"/>
  <c r="BI202" i="14609"/>
  <c r="BJ202" i="14609"/>
  <c r="BK202" i="14609"/>
  <c r="BL202" i="14609"/>
  <c r="BM202" i="14609"/>
  <c r="BN202" i="14609"/>
  <c r="BO202" i="14609"/>
  <c r="BP202" i="14609"/>
  <c r="BQ202" i="14609"/>
  <c r="BR202" i="14609"/>
  <c r="BS202" i="14609"/>
  <c r="BT202" i="14609"/>
  <c r="BU202" i="14609"/>
  <c r="BV202" i="14609"/>
  <c r="BW202" i="14609"/>
  <c r="BX202" i="14609"/>
  <c r="BY202" i="14609"/>
  <c r="BZ202" i="14609"/>
  <c r="CA202" i="14609"/>
  <c r="CB202" i="14609"/>
  <c r="CC202" i="14609"/>
  <c r="CD202" i="14609"/>
  <c r="CE202" i="14609"/>
  <c r="CF202" i="14609"/>
  <c r="CG202" i="14609"/>
  <c r="CH202" i="14609"/>
  <c r="CI202" i="14609"/>
  <c r="CJ202" i="14609"/>
  <c r="CK202" i="14609"/>
  <c r="CL202" i="14609"/>
  <c r="CM202" i="14609"/>
  <c r="CN202" i="14609"/>
  <c r="CO202" i="14609"/>
  <c r="CP202" i="14609"/>
  <c r="CQ202" i="14609"/>
  <c r="CR202" i="14609"/>
  <c r="CS202" i="14609"/>
  <c r="CT202" i="14609"/>
  <c r="CU202" i="14609"/>
  <c r="CV202" i="14609"/>
  <c r="CW202" i="14609"/>
  <c r="CX202" i="14609"/>
  <c r="CY202" i="14609"/>
  <c r="CZ202" i="14609"/>
  <c r="DA202" i="14609"/>
  <c r="DB202" i="14609"/>
  <c r="DC202" i="14609"/>
  <c r="DD202" i="14609"/>
  <c r="DE202" i="14609"/>
  <c r="DF202" i="14609"/>
  <c r="DG202" i="14609"/>
  <c r="DH202" i="14609"/>
  <c r="DI202" i="14609"/>
  <c r="DJ202" i="14609"/>
  <c r="DK202" i="14609"/>
  <c r="DL202" i="14609"/>
  <c r="DM202" i="14609"/>
  <c r="DN202" i="14609"/>
  <c r="DO202" i="14609"/>
  <c r="DP202" i="14609"/>
  <c r="DQ202" i="14609"/>
  <c r="DR202" i="14609"/>
  <c r="DS202" i="14609"/>
  <c r="DT202" i="14609"/>
  <c r="DU202" i="14609"/>
  <c r="DV202" i="14609"/>
  <c r="DW202" i="14609"/>
  <c r="DX202" i="14609"/>
  <c r="DY202" i="14609"/>
  <c r="DZ202" i="14609"/>
  <c r="EA202" i="14609"/>
  <c r="EB202" i="14609"/>
  <c r="EC202" i="14609"/>
  <c r="ED202" i="14609"/>
  <c r="EE202" i="14609"/>
  <c r="EF202" i="14609"/>
  <c r="EG202" i="14609"/>
  <c r="EH202" i="14609"/>
  <c r="EI202" i="14609"/>
  <c r="EJ202" i="14609"/>
  <c r="EK202" i="14609"/>
  <c r="EL202" i="14609"/>
  <c r="EM202" i="14609"/>
  <c r="EN202" i="14609"/>
  <c r="EO202" i="14609"/>
  <c r="EP202" i="14609"/>
  <c r="EQ202" i="14609"/>
  <c r="ER202" i="14609"/>
  <c r="ES202" i="14609"/>
  <c r="ET202" i="14609"/>
  <c r="EU202" i="14609"/>
  <c r="EV202" i="14609"/>
  <c r="EW202" i="14609"/>
  <c r="EX202" i="14609"/>
  <c r="EY202" i="14609"/>
  <c r="EZ202" i="14609"/>
  <c r="FA202" i="14609"/>
  <c r="FB202" i="14609"/>
  <c r="FC202" i="14609"/>
  <c r="FD202" i="14609"/>
  <c r="FE202" i="14609"/>
  <c r="FF202" i="14609"/>
  <c r="FG202" i="14609"/>
  <c r="FH202" i="14609"/>
  <c r="FI202" i="14609"/>
  <c r="FJ202" i="14609"/>
  <c r="FK202" i="14609"/>
  <c r="FL202" i="14609"/>
  <c r="FM202" i="14609"/>
  <c r="FN202" i="14609"/>
  <c r="FO202" i="14609"/>
  <c r="FP202" i="14609"/>
  <c r="FQ202" i="14609"/>
  <c r="FR202" i="14609"/>
  <c r="FS202" i="14609"/>
  <c r="FT202" i="14609"/>
  <c r="FU202" i="14609"/>
  <c r="FV202" i="14609"/>
  <c r="FW202" i="14609"/>
  <c r="FX202" i="14609"/>
  <c r="FY202" i="14609"/>
  <c r="FZ202" i="14609"/>
  <c r="GA202" i="14609"/>
  <c r="GB202" i="14609"/>
  <c r="GC202" i="14609"/>
  <c r="GD202" i="14609"/>
  <c r="GE202" i="14609"/>
  <c r="GF202" i="14609"/>
  <c r="GG202" i="14609"/>
  <c r="GH202" i="14609"/>
  <c r="GI202" i="14609"/>
  <c r="GJ202" i="14609"/>
  <c r="GK202" i="14609"/>
  <c r="GL202" i="14609"/>
  <c r="GM202" i="14609"/>
  <c r="GN202" i="14609"/>
  <c r="GO202" i="14609"/>
  <c r="GP202" i="14609"/>
  <c r="GQ202" i="14609"/>
  <c r="GR202" i="14609"/>
  <c r="GS202" i="14609"/>
  <c r="GT202" i="14609"/>
  <c r="GU202" i="14609"/>
  <c r="GV202" i="14609"/>
  <c r="GW202" i="14609"/>
  <c r="GX202" i="14609"/>
  <c r="GY202" i="14609"/>
  <c r="GZ202" i="14609"/>
  <c r="HA202" i="14609"/>
  <c r="HB202" i="14609"/>
  <c r="HC202" i="14609"/>
  <c r="HD202" i="14609"/>
  <c r="HE202" i="14609"/>
  <c r="HF202" i="14609"/>
  <c r="HG202" i="14609"/>
  <c r="HH202" i="14609"/>
  <c r="HI202" i="14609"/>
  <c r="HJ202" i="14609"/>
  <c r="HK202" i="14609"/>
  <c r="HL202" i="14609"/>
  <c r="HM202" i="14609"/>
  <c r="HN202" i="14609"/>
  <c r="HO202" i="14609"/>
  <c r="HP202" i="14609"/>
  <c r="HQ202" i="14609"/>
  <c r="HR202" i="14609"/>
  <c r="HS202" i="14609"/>
  <c r="HT202" i="14609"/>
  <c r="HU202" i="14609"/>
  <c r="HV202" i="14609"/>
  <c r="HW202" i="14609"/>
  <c r="HX202" i="14609"/>
  <c r="HY202" i="14609"/>
  <c r="HZ202" i="14609"/>
  <c r="IA202" i="14609"/>
  <c r="IB202" i="14609"/>
  <c r="IC202" i="14609"/>
  <c r="ID202" i="14609"/>
  <c r="IE202" i="14609"/>
  <c r="IF202" i="14609"/>
  <c r="IG202" i="14609"/>
  <c r="IH202" i="14609"/>
  <c r="II202" i="14609"/>
  <c r="IJ202" i="14609"/>
  <c r="IK202" i="14609"/>
  <c r="IL202" i="14609"/>
  <c r="IM202" i="14609"/>
  <c r="IN202" i="14609"/>
  <c r="IO202" i="14609"/>
  <c r="IP202" i="14609"/>
  <c r="IQ202" i="14609"/>
  <c r="IR202" i="14609"/>
  <c r="IS202" i="14609"/>
  <c r="IT202" i="14609"/>
  <c r="IU202" i="14609"/>
  <c r="IV202" i="14609"/>
  <c r="A201" i="14609"/>
  <c r="B201" i="14609"/>
  <c r="C201" i="14609"/>
  <c r="D201" i="14609"/>
  <c r="E201" i="14609"/>
  <c r="F201" i="14609"/>
  <c r="G201" i="14609"/>
  <c r="H201" i="14609"/>
  <c r="I201" i="14609"/>
  <c r="J201" i="14609"/>
  <c r="K201" i="14609"/>
  <c r="L201" i="14609"/>
  <c r="M201" i="14609"/>
  <c r="N201" i="14609"/>
  <c r="O201" i="14609"/>
  <c r="P201" i="14609"/>
  <c r="Q201" i="14609"/>
  <c r="R201" i="14609"/>
  <c r="S201" i="14609"/>
  <c r="T201" i="14609"/>
  <c r="U201" i="14609"/>
  <c r="V201" i="14609"/>
  <c r="W201" i="14609"/>
  <c r="X201" i="14609"/>
  <c r="Y201" i="14609"/>
  <c r="Z201" i="14609"/>
  <c r="AA201" i="14609"/>
  <c r="AB201" i="14609"/>
  <c r="AC201" i="14609"/>
  <c r="AD201" i="14609"/>
  <c r="AE201" i="14609"/>
  <c r="AF201" i="14609"/>
  <c r="AG201" i="14609"/>
  <c r="AH201" i="14609"/>
  <c r="AI201" i="14609"/>
  <c r="AJ201" i="14609"/>
  <c r="AK201" i="14609"/>
  <c r="AL201" i="14609"/>
  <c r="AM201" i="14609"/>
  <c r="AN201" i="14609"/>
  <c r="AO201" i="14609"/>
  <c r="AP201" i="14609"/>
  <c r="AQ201" i="14609"/>
  <c r="AR201" i="14609"/>
  <c r="AS201" i="14609"/>
  <c r="AT201" i="14609"/>
  <c r="AU201" i="14609"/>
  <c r="AV201" i="14609"/>
  <c r="AW201" i="14609"/>
  <c r="AX201" i="14609"/>
  <c r="AY201" i="14609"/>
  <c r="AZ201" i="14609"/>
  <c r="BA201" i="14609"/>
  <c r="BB201" i="14609"/>
  <c r="BC201" i="14609"/>
  <c r="BD201" i="14609"/>
  <c r="BE201" i="14609"/>
  <c r="BF201" i="14609"/>
  <c r="BG201" i="14609"/>
  <c r="BH201" i="14609"/>
  <c r="BI201" i="14609"/>
  <c r="BJ201" i="14609"/>
  <c r="BK201" i="14609"/>
  <c r="BL201" i="14609"/>
  <c r="BM201" i="14609"/>
  <c r="BN201" i="14609"/>
  <c r="BO201" i="14609"/>
  <c r="BP201" i="14609"/>
  <c r="BQ201" i="14609"/>
  <c r="BR201" i="14609"/>
  <c r="BS201" i="14609"/>
  <c r="BT201" i="14609"/>
  <c r="BU201" i="14609"/>
  <c r="BV201" i="14609"/>
  <c r="BW201" i="14609"/>
  <c r="BX201" i="14609"/>
  <c r="BY201" i="14609"/>
  <c r="BZ201" i="14609"/>
  <c r="CA201" i="14609"/>
  <c r="CB201" i="14609"/>
  <c r="CC201" i="14609"/>
  <c r="CD201" i="14609"/>
  <c r="CE201" i="14609"/>
  <c r="CF201" i="14609"/>
  <c r="CG201" i="14609"/>
  <c r="CH201" i="14609"/>
  <c r="CI201" i="14609"/>
  <c r="CJ201" i="14609"/>
  <c r="CK201" i="14609"/>
  <c r="CL201" i="14609"/>
  <c r="CM201" i="14609"/>
  <c r="CN201" i="14609"/>
  <c r="CO201" i="14609"/>
  <c r="CP201" i="14609"/>
  <c r="CQ201" i="14609"/>
  <c r="CR201" i="14609"/>
  <c r="CS201" i="14609"/>
  <c r="CT201" i="14609"/>
  <c r="CU201" i="14609"/>
  <c r="CV201" i="14609"/>
  <c r="CW201" i="14609"/>
  <c r="CX201" i="14609"/>
  <c r="CY201" i="14609"/>
  <c r="CZ201" i="14609"/>
  <c r="DA201" i="14609"/>
  <c r="DB201" i="14609"/>
  <c r="DC201" i="14609"/>
  <c r="DD201" i="14609"/>
  <c r="DE201" i="14609"/>
  <c r="DF201" i="14609"/>
  <c r="DG201" i="14609"/>
  <c r="DH201" i="14609"/>
  <c r="DI201" i="14609"/>
  <c r="DJ201" i="14609"/>
  <c r="DK201" i="14609"/>
  <c r="DL201" i="14609"/>
  <c r="DM201" i="14609"/>
  <c r="DN201" i="14609"/>
  <c r="DO201" i="14609"/>
  <c r="DP201" i="14609"/>
  <c r="DQ201" i="14609"/>
  <c r="DR201" i="14609"/>
  <c r="DS201" i="14609"/>
  <c r="DT201" i="14609"/>
  <c r="DU201" i="14609"/>
  <c r="DV201" i="14609"/>
  <c r="DW201" i="14609"/>
  <c r="DX201" i="14609"/>
  <c r="DY201" i="14609"/>
  <c r="DZ201" i="14609"/>
  <c r="EA201" i="14609"/>
  <c r="EB201" i="14609"/>
  <c r="EC201" i="14609"/>
  <c r="ED201" i="14609"/>
  <c r="EE201" i="14609"/>
  <c r="EF201" i="14609"/>
  <c r="EG201" i="14609"/>
  <c r="EH201" i="14609"/>
  <c r="EI201" i="14609"/>
  <c r="EJ201" i="14609"/>
  <c r="EK201" i="14609"/>
  <c r="EL201" i="14609"/>
  <c r="EM201" i="14609"/>
  <c r="EN201" i="14609"/>
  <c r="EO201" i="14609"/>
  <c r="EP201" i="14609"/>
  <c r="EQ201" i="14609"/>
  <c r="ER201" i="14609"/>
  <c r="ES201" i="14609"/>
  <c r="ET201" i="14609"/>
  <c r="EU201" i="14609"/>
  <c r="EV201" i="14609"/>
  <c r="EW201" i="14609"/>
  <c r="EX201" i="14609"/>
  <c r="EY201" i="14609"/>
  <c r="EZ201" i="14609"/>
  <c r="FA201" i="14609"/>
  <c r="FB201" i="14609"/>
  <c r="FC201" i="14609"/>
  <c r="FD201" i="14609"/>
  <c r="FE201" i="14609"/>
  <c r="FF201" i="14609"/>
  <c r="FG201" i="14609"/>
  <c r="FH201" i="14609"/>
  <c r="FI201" i="14609"/>
  <c r="FJ201" i="14609"/>
  <c r="FK201" i="14609"/>
  <c r="FL201" i="14609"/>
  <c r="FM201" i="14609"/>
  <c r="FN201" i="14609"/>
  <c r="FO201" i="14609"/>
  <c r="FP201" i="14609"/>
  <c r="FQ201" i="14609"/>
  <c r="FR201" i="14609"/>
  <c r="FS201" i="14609"/>
  <c r="FT201" i="14609"/>
  <c r="FU201" i="14609"/>
  <c r="FV201" i="14609"/>
  <c r="FW201" i="14609"/>
  <c r="FX201" i="14609"/>
  <c r="FY201" i="14609"/>
  <c r="FZ201" i="14609"/>
  <c r="GA201" i="14609"/>
  <c r="GB201" i="14609"/>
  <c r="GC201" i="14609"/>
  <c r="GD201" i="14609"/>
  <c r="GE201" i="14609"/>
  <c r="GF201" i="14609"/>
  <c r="GG201" i="14609"/>
  <c r="GH201" i="14609"/>
  <c r="GI201" i="14609"/>
  <c r="GJ201" i="14609"/>
  <c r="GK201" i="14609"/>
  <c r="GL201" i="14609"/>
  <c r="GM201" i="14609"/>
  <c r="GN201" i="14609"/>
  <c r="GO201" i="14609"/>
  <c r="GP201" i="14609"/>
  <c r="GQ201" i="14609"/>
  <c r="GR201" i="14609"/>
  <c r="GS201" i="14609"/>
  <c r="GT201" i="14609"/>
  <c r="GU201" i="14609"/>
  <c r="GV201" i="14609"/>
  <c r="GW201" i="14609"/>
  <c r="GX201" i="14609"/>
  <c r="GY201" i="14609"/>
  <c r="GZ201" i="14609"/>
  <c r="HA201" i="14609"/>
  <c r="HB201" i="14609"/>
  <c r="HC201" i="14609"/>
  <c r="HD201" i="14609"/>
  <c r="HE201" i="14609"/>
  <c r="HF201" i="14609"/>
  <c r="HG201" i="14609"/>
  <c r="HH201" i="14609"/>
  <c r="HI201" i="14609"/>
  <c r="HJ201" i="14609"/>
  <c r="HK201" i="14609"/>
  <c r="HL201" i="14609"/>
  <c r="HM201" i="14609"/>
  <c r="HN201" i="14609"/>
  <c r="HO201" i="14609"/>
  <c r="HP201" i="14609"/>
  <c r="HQ201" i="14609"/>
  <c r="HR201" i="14609"/>
  <c r="HS201" i="14609"/>
  <c r="HT201" i="14609"/>
  <c r="HU201" i="14609"/>
  <c r="HV201" i="14609"/>
  <c r="HW201" i="14609"/>
  <c r="HX201" i="14609"/>
  <c r="HY201" i="14609"/>
  <c r="HZ201" i="14609"/>
  <c r="IA201" i="14609"/>
  <c r="IB201" i="14609"/>
  <c r="IC201" i="14609"/>
  <c r="ID201" i="14609"/>
  <c r="IE201" i="14609"/>
  <c r="IF201" i="14609"/>
  <c r="IG201" i="14609"/>
  <c r="IH201" i="14609"/>
  <c r="II201" i="14609"/>
  <c r="IJ201" i="14609"/>
  <c r="IK201" i="14609"/>
  <c r="IL201" i="14609"/>
  <c r="IM201" i="14609"/>
  <c r="IN201" i="14609"/>
  <c r="IO201" i="14609"/>
  <c r="IP201" i="14609"/>
  <c r="IQ201" i="14609"/>
  <c r="IR201" i="14609"/>
  <c r="IS201" i="14609"/>
  <c r="IT201" i="14609"/>
  <c r="IU201" i="14609"/>
  <c r="IV201" i="14609"/>
  <c r="A200" i="14609"/>
  <c r="B200" i="14609"/>
  <c r="C200" i="14609"/>
  <c r="D200" i="14609"/>
  <c r="E200" i="14609"/>
  <c r="F200" i="14609"/>
  <c r="G200" i="14609"/>
  <c r="H200" i="14609"/>
  <c r="I200" i="14609"/>
  <c r="J200" i="14609"/>
  <c r="K200" i="14609"/>
  <c r="L200" i="14609"/>
  <c r="M200" i="14609"/>
  <c r="N200" i="14609"/>
  <c r="O200" i="14609"/>
  <c r="P200" i="14609"/>
  <c r="Q200" i="14609"/>
  <c r="R200" i="14609"/>
  <c r="S200" i="14609"/>
  <c r="T200" i="14609"/>
  <c r="U200" i="14609"/>
  <c r="V200" i="14609"/>
  <c r="W200" i="14609"/>
  <c r="X200" i="14609"/>
  <c r="Y200" i="14609"/>
  <c r="Z200" i="14609"/>
  <c r="AA200" i="14609"/>
  <c r="AB200" i="14609"/>
  <c r="AC200" i="14609"/>
  <c r="AD200" i="14609"/>
  <c r="AE200" i="14609"/>
  <c r="AF200" i="14609"/>
  <c r="AG200" i="14609"/>
  <c r="AH200" i="14609"/>
  <c r="AI200" i="14609"/>
  <c r="AJ200" i="14609"/>
  <c r="AK200" i="14609"/>
  <c r="AL200" i="14609"/>
  <c r="AM200" i="14609"/>
  <c r="AN200" i="14609"/>
  <c r="AO200" i="14609"/>
  <c r="AP200" i="14609"/>
  <c r="AQ200" i="14609"/>
  <c r="AR200" i="14609"/>
  <c r="AS200" i="14609"/>
  <c r="AT200" i="14609"/>
  <c r="AU200" i="14609"/>
  <c r="AV200" i="14609"/>
  <c r="AW200" i="14609"/>
  <c r="AX200" i="14609"/>
  <c r="AY200" i="14609"/>
  <c r="AZ200" i="14609"/>
  <c r="BA200" i="14609"/>
  <c r="BB200" i="14609"/>
  <c r="BC200" i="14609"/>
  <c r="BD200" i="14609"/>
  <c r="BE200" i="14609"/>
  <c r="BF200" i="14609"/>
  <c r="BG200" i="14609"/>
  <c r="BH200" i="14609"/>
  <c r="BI200" i="14609"/>
  <c r="BJ200" i="14609"/>
  <c r="BK200" i="14609"/>
  <c r="BL200" i="14609"/>
  <c r="BM200" i="14609"/>
  <c r="BN200" i="14609"/>
  <c r="BO200" i="14609"/>
  <c r="BP200" i="14609"/>
  <c r="BQ200" i="14609"/>
  <c r="BR200" i="14609"/>
  <c r="BS200" i="14609"/>
  <c r="BT200" i="14609"/>
  <c r="BU200" i="14609"/>
  <c r="BV200" i="14609"/>
  <c r="BW200" i="14609"/>
  <c r="BX200" i="14609"/>
  <c r="BY200" i="14609"/>
  <c r="BZ200" i="14609"/>
  <c r="CA200" i="14609"/>
  <c r="CB200" i="14609"/>
  <c r="CC200" i="14609"/>
  <c r="CD200" i="14609"/>
  <c r="CE200" i="14609"/>
  <c r="CF200" i="14609"/>
  <c r="CG200" i="14609"/>
  <c r="CH200" i="14609"/>
  <c r="CI200" i="14609"/>
  <c r="CJ200" i="14609"/>
  <c r="CK200" i="14609"/>
  <c r="CL200" i="14609"/>
  <c r="CM200" i="14609"/>
  <c r="CN200" i="14609"/>
  <c r="CO200" i="14609"/>
  <c r="CP200" i="14609"/>
  <c r="CQ200" i="14609"/>
  <c r="CR200" i="14609"/>
  <c r="CS200" i="14609"/>
  <c r="CT200" i="14609"/>
  <c r="CU200" i="14609"/>
  <c r="CV200" i="14609"/>
  <c r="CW200" i="14609"/>
  <c r="CX200" i="14609"/>
  <c r="CY200" i="14609"/>
  <c r="CZ200" i="14609"/>
  <c r="DA200" i="14609"/>
  <c r="DB200" i="14609"/>
  <c r="DC200" i="14609"/>
  <c r="DD200" i="14609"/>
  <c r="DE200" i="14609"/>
  <c r="DF200" i="14609"/>
  <c r="DG200" i="14609"/>
  <c r="DH200" i="14609"/>
  <c r="DI200" i="14609"/>
  <c r="DJ200" i="14609"/>
  <c r="DK200" i="14609"/>
  <c r="DL200" i="14609"/>
  <c r="DM200" i="14609"/>
  <c r="DN200" i="14609"/>
  <c r="DO200" i="14609"/>
  <c r="DP200" i="14609"/>
  <c r="DQ200" i="14609"/>
  <c r="DR200" i="14609"/>
  <c r="DS200" i="14609"/>
  <c r="DT200" i="14609"/>
  <c r="DU200" i="14609"/>
  <c r="DV200" i="14609"/>
  <c r="DW200" i="14609"/>
  <c r="DX200" i="14609"/>
  <c r="DY200" i="14609"/>
  <c r="DZ200" i="14609"/>
  <c r="EA200" i="14609"/>
  <c r="EB200" i="14609"/>
  <c r="EC200" i="14609"/>
  <c r="ED200" i="14609"/>
  <c r="EE200" i="14609"/>
  <c r="EF200" i="14609"/>
  <c r="EG200" i="14609"/>
  <c r="EH200" i="14609"/>
  <c r="EI200" i="14609"/>
  <c r="EJ200" i="14609"/>
  <c r="EK200" i="14609"/>
  <c r="EL200" i="14609"/>
  <c r="EM200" i="14609"/>
  <c r="EN200" i="14609"/>
  <c r="EO200" i="14609"/>
  <c r="EP200" i="14609"/>
  <c r="EQ200" i="14609"/>
  <c r="ER200" i="14609"/>
  <c r="ES200" i="14609"/>
  <c r="ET200" i="14609"/>
  <c r="EU200" i="14609"/>
  <c r="EV200" i="14609"/>
  <c r="EW200" i="14609"/>
  <c r="EX200" i="14609"/>
  <c r="EY200" i="14609"/>
  <c r="EZ200" i="14609"/>
  <c r="FA200" i="14609"/>
  <c r="FB200" i="14609"/>
  <c r="FC200" i="14609"/>
  <c r="FD200" i="14609"/>
  <c r="FE200" i="14609"/>
  <c r="FF200" i="14609"/>
  <c r="FG200" i="14609"/>
  <c r="FH200" i="14609"/>
  <c r="FI200" i="14609"/>
  <c r="FJ200" i="14609"/>
  <c r="FK200" i="14609"/>
  <c r="FL200" i="14609"/>
  <c r="FM200" i="14609"/>
  <c r="FN200" i="14609"/>
  <c r="FO200" i="14609"/>
  <c r="FP200" i="14609"/>
  <c r="FQ200" i="14609"/>
  <c r="FR200" i="14609"/>
  <c r="FS200" i="14609"/>
  <c r="FT200" i="14609"/>
  <c r="FU200" i="14609"/>
  <c r="FV200" i="14609"/>
  <c r="FW200" i="14609"/>
  <c r="FX200" i="14609"/>
  <c r="FY200" i="14609"/>
  <c r="FZ200" i="14609"/>
  <c r="GA200" i="14609"/>
  <c r="GB200" i="14609"/>
  <c r="GC200" i="14609"/>
  <c r="GD200" i="14609"/>
  <c r="GE200" i="14609"/>
  <c r="GF200" i="14609"/>
  <c r="GG200" i="14609"/>
  <c r="GH200" i="14609"/>
  <c r="GI200" i="14609"/>
  <c r="GJ200" i="14609"/>
  <c r="GK200" i="14609"/>
  <c r="GL200" i="14609"/>
  <c r="GM200" i="14609"/>
  <c r="GN200" i="14609"/>
  <c r="GO200" i="14609"/>
  <c r="GP200" i="14609"/>
  <c r="GQ200" i="14609"/>
  <c r="GR200" i="14609"/>
  <c r="GS200" i="14609"/>
  <c r="GT200" i="14609"/>
  <c r="GU200" i="14609"/>
  <c r="GV200" i="14609"/>
  <c r="GW200" i="14609"/>
  <c r="GX200" i="14609"/>
  <c r="GY200" i="14609"/>
  <c r="GZ200" i="14609"/>
  <c r="HA200" i="14609"/>
  <c r="HB200" i="14609"/>
  <c r="HC200" i="14609"/>
  <c r="HD200" i="14609"/>
  <c r="HE200" i="14609"/>
  <c r="HF200" i="14609"/>
  <c r="HG200" i="14609"/>
  <c r="HH200" i="14609"/>
  <c r="HI200" i="14609"/>
  <c r="HJ200" i="14609"/>
  <c r="HK200" i="14609"/>
  <c r="HL200" i="14609"/>
  <c r="HM200" i="14609"/>
  <c r="HN200" i="14609"/>
  <c r="HO200" i="14609"/>
  <c r="HP200" i="14609"/>
  <c r="HQ200" i="14609"/>
  <c r="HR200" i="14609"/>
  <c r="HS200" i="14609"/>
  <c r="HT200" i="14609"/>
  <c r="HU200" i="14609"/>
  <c r="HV200" i="14609"/>
  <c r="HW200" i="14609"/>
  <c r="HX200" i="14609"/>
  <c r="HY200" i="14609"/>
  <c r="HZ200" i="14609"/>
  <c r="IA200" i="14609"/>
  <c r="IB200" i="14609"/>
  <c r="IC200" i="14609"/>
  <c r="ID200" i="14609"/>
  <c r="IE200" i="14609"/>
  <c r="IF200" i="14609"/>
  <c r="IG200" i="14609"/>
  <c r="IH200" i="14609"/>
  <c r="II200" i="14609"/>
  <c r="IJ200" i="14609"/>
  <c r="IK200" i="14609"/>
  <c r="IL200" i="14609"/>
  <c r="IM200" i="14609"/>
  <c r="IN200" i="14609"/>
  <c r="IO200" i="14609"/>
  <c r="IP200" i="14609"/>
  <c r="IQ200" i="14609"/>
  <c r="IR200" i="14609"/>
  <c r="IS200" i="14609"/>
  <c r="IT200" i="14609"/>
  <c r="IU200" i="14609"/>
  <c r="IV200" i="14609"/>
  <c r="A199" i="14609"/>
  <c r="B199" i="14609"/>
  <c r="C199" i="14609"/>
  <c r="D199" i="14609"/>
  <c r="E199" i="14609"/>
  <c r="F199" i="14609"/>
  <c r="G199" i="14609"/>
  <c r="H199" i="14609"/>
  <c r="I199" i="14609"/>
  <c r="J199" i="14609"/>
  <c r="K199" i="14609"/>
  <c r="L199" i="14609"/>
  <c r="M199" i="14609"/>
  <c r="N199" i="14609"/>
  <c r="O199" i="14609"/>
  <c r="P199" i="14609"/>
  <c r="Q199" i="14609"/>
  <c r="R199" i="14609"/>
  <c r="S199" i="14609"/>
  <c r="T199" i="14609"/>
  <c r="U199" i="14609"/>
  <c r="V199" i="14609"/>
  <c r="W199" i="14609"/>
  <c r="X199" i="14609"/>
  <c r="Y199" i="14609"/>
  <c r="Z199" i="14609"/>
  <c r="AA199" i="14609"/>
  <c r="AB199" i="14609"/>
  <c r="AC199" i="14609"/>
  <c r="AD199" i="14609"/>
  <c r="AE199" i="14609"/>
  <c r="AF199" i="14609"/>
  <c r="AG199" i="14609"/>
  <c r="AH199" i="14609"/>
  <c r="AI199" i="14609"/>
  <c r="AJ199" i="14609"/>
  <c r="AK199" i="14609"/>
  <c r="AL199" i="14609"/>
  <c r="AM199" i="14609"/>
  <c r="AN199" i="14609"/>
  <c r="AO199" i="14609"/>
  <c r="AP199" i="14609"/>
  <c r="AQ199" i="14609"/>
  <c r="AR199" i="14609"/>
  <c r="AS199" i="14609"/>
  <c r="AT199" i="14609"/>
  <c r="AU199" i="14609"/>
  <c r="AV199" i="14609"/>
  <c r="AW199" i="14609"/>
  <c r="AX199" i="14609"/>
  <c r="AY199" i="14609"/>
  <c r="AZ199" i="14609"/>
  <c r="BA199" i="14609"/>
  <c r="BB199" i="14609"/>
  <c r="BC199" i="14609"/>
  <c r="BD199" i="14609"/>
  <c r="BE199" i="14609"/>
  <c r="BF199" i="14609"/>
  <c r="BG199" i="14609"/>
  <c r="BH199" i="14609"/>
  <c r="BI199" i="14609"/>
  <c r="BJ199" i="14609"/>
  <c r="BK199" i="14609"/>
  <c r="BL199" i="14609"/>
  <c r="BM199" i="14609"/>
  <c r="BN199" i="14609"/>
  <c r="BO199" i="14609"/>
  <c r="BP199" i="14609"/>
  <c r="BQ199" i="14609"/>
  <c r="BR199" i="14609"/>
  <c r="BS199" i="14609"/>
  <c r="BT199" i="14609"/>
  <c r="BU199" i="14609"/>
  <c r="BV199" i="14609"/>
  <c r="BW199" i="14609"/>
  <c r="BX199" i="14609"/>
  <c r="BY199" i="14609"/>
  <c r="BZ199" i="14609"/>
  <c r="CA199" i="14609"/>
  <c r="CB199" i="14609"/>
  <c r="CC199" i="14609"/>
  <c r="CD199" i="14609"/>
  <c r="CE199" i="14609"/>
  <c r="CF199" i="14609"/>
  <c r="CG199" i="14609"/>
  <c r="CH199" i="14609"/>
  <c r="CI199" i="14609"/>
  <c r="CJ199" i="14609"/>
  <c r="CK199" i="14609"/>
  <c r="CL199" i="14609"/>
  <c r="CM199" i="14609"/>
  <c r="CN199" i="14609"/>
  <c r="CO199" i="14609"/>
  <c r="CP199" i="14609"/>
  <c r="CQ199" i="14609"/>
  <c r="CR199" i="14609"/>
  <c r="CS199" i="14609"/>
  <c r="CT199" i="14609"/>
  <c r="CU199" i="14609"/>
  <c r="CV199" i="14609"/>
  <c r="CW199" i="14609"/>
  <c r="CX199" i="14609"/>
  <c r="CY199" i="14609"/>
  <c r="CZ199" i="14609"/>
  <c r="DA199" i="14609"/>
  <c r="DB199" i="14609"/>
  <c r="DC199" i="14609"/>
  <c r="DD199" i="14609"/>
  <c r="DE199" i="14609"/>
  <c r="DF199" i="14609"/>
  <c r="DG199" i="14609"/>
  <c r="DH199" i="14609"/>
  <c r="DI199" i="14609"/>
  <c r="DJ199" i="14609"/>
  <c r="DK199" i="14609"/>
  <c r="DL199" i="14609"/>
  <c r="DM199" i="14609"/>
  <c r="DN199" i="14609"/>
  <c r="DO199" i="14609"/>
  <c r="DP199" i="14609"/>
  <c r="DQ199" i="14609"/>
  <c r="DR199" i="14609"/>
  <c r="DS199" i="14609"/>
  <c r="DT199" i="14609"/>
  <c r="DU199" i="14609"/>
  <c r="DV199" i="14609"/>
  <c r="DW199" i="14609"/>
  <c r="DX199" i="14609"/>
  <c r="DY199" i="14609"/>
  <c r="DZ199" i="14609"/>
  <c r="EA199" i="14609"/>
  <c r="EB199" i="14609"/>
  <c r="EC199" i="14609"/>
  <c r="ED199" i="14609"/>
  <c r="EE199" i="14609"/>
  <c r="EF199" i="14609"/>
  <c r="EG199" i="14609"/>
  <c r="EH199" i="14609"/>
  <c r="EI199" i="14609"/>
  <c r="EJ199" i="14609"/>
  <c r="EK199" i="14609"/>
  <c r="EL199" i="14609"/>
  <c r="EM199" i="14609"/>
  <c r="EN199" i="14609"/>
  <c r="EO199" i="14609"/>
  <c r="EP199" i="14609"/>
  <c r="EQ199" i="14609"/>
  <c r="ER199" i="14609"/>
  <c r="ES199" i="14609"/>
  <c r="ET199" i="14609"/>
  <c r="EU199" i="14609"/>
  <c r="EV199" i="14609"/>
  <c r="EW199" i="14609"/>
  <c r="EX199" i="14609"/>
  <c r="EY199" i="14609"/>
  <c r="EZ199" i="14609"/>
  <c r="FA199" i="14609"/>
  <c r="FB199" i="14609"/>
  <c r="FC199" i="14609"/>
  <c r="FD199" i="14609"/>
  <c r="FE199" i="14609"/>
  <c r="FF199" i="14609"/>
  <c r="FG199" i="14609"/>
  <c r="FH199" i="14609"/>
  <c r="FI199" i="14609"/>
  <c r="FJ199" i="14609"/>
  <c r="FK199" i="14609"/>
  <c r="FL199" i="14609"/>
  <c r="FM199" i="14609"/>
  <c r="FN199" i="14609"/>
  <c r="FO199" i="14609"/>
  <c r="FP199" i="14609"/>
  <c r="FQ199" i="14609"/>
  <c r="FR199" i="14609"/>
  <c r="FS199" i="14609"/>
  <c r="FT199" i="14609"/>
  <c r="FU199" i="14609"/>
  <c r="FV199" i="14609"/>
  <c r="FW199" i="14609"/>
  <c r="FX199" i="14609"/>
  <c r="FY199" i="14609"/>
  <c r="FZ199" i="14609"/>
  <c r="GA199" i="14609"/>
  <c r="GB199" i="14609"/>
  <c r="GC199" i="14609"/>
  <c r="GD199" i="14609"/>
  <c r="GE199" i="14609"/>
  <c r="GF199" i="14609"/>
  <c r="GG199" i="14609"/>
  <c r="GH199" i="14609"/>
  <c r="GI199" i="14609"/>
  <c r="GJ199" i="14609"/>
  <c r="GK199" i="14609"/>
  <c r="GL199" i="14609"/>
  <c r="GM199" i="14609"/>
  <c r="GN199" i="14609"/>
  <c r="GO199" i="14609"/>
  <c r="GP199" i="14609"/>
  <c r="GQ199" i="14609"/>
  <c r="GR199" i="14609"/>
  <c r="GS199" i="14609"/>
  <c r="GT199" i="14609"/>
  <c r="GU199" i="14609"/>
  <c r="GV199" i="14609"/>
  <c r="GW199" i="14609"/>
  <c r="GX199" i="14609"/>
  <c r="GY199" i="14609"/>
  <c r="GZ199" i="14609"/>
  <c r="HA199" i="14609"/>
  <c r="HB199" i="14609"/>
  <c r="HC199" i="14609"/>
  <c r="HD199" i="14609"/>
  <c r="HE199" i="14609"/>
  <c r="HF199" i="14609"/>
  <c r="HG199" i="14609"/>
  <c r="HH199" i="14609"/>
  <c r="HI199" i="14609"/>
  <c r="HJ199" i="14609"/>
  <c r="HK199" i="14609"/>
  <c r="HL199" i="14609"/>
  <c r="HM199" i="14609"/>
  <c r="HN199" i="14609"/>
  <c r="HO199" i="14609"/>
  <c r="HP199" i="14609"/>
  <c r="HQ199" i="14609"/>
  <c r="HR199" i="14609"/>
  <c r="HS199" i="14609"/>
  <c r="HT199" i="14609"/>
  <c r="HU199" i="14609"/>
  <c r="HV199" i="14609"/>
  <c r="HW199" i="14609"/>
  <c r="HX199" i="14609"/>
  <c r="HY199" i="14609"/>
  <c r="HZ199" i="14609"/>
  <c r="IA199" i="14609"/>
  <c r="IB199" i="14609"/>
  <c r="IC199" i="14609"/>
  <c r="ID199" i="14609"/>
  <c r="IE199" i="14609"/>
  <c r="IF199" i="14609"/>
  <c r="IG199" i="14609"/>
  <c r="IH199" i="14609"/>
  <c r="II199" i="14609"/>
  <c r="IJ199" i="14609"/>
  <c r="IK199" i="14609"/>
  <c r="IL199" i="14609"/>
  <c r="IM199" i="14609"/>
  <c r="IN199" i="14609"/>
  <c r="IO199" i="14609"/>
  <c r="IP199" i="14609"/>
  <c r="IQ199" i="14609"/>
  <c r="IR199" i="14609"/>
  <c r="IS199" i="14609"/>
  <c r="IT199" i="14609"/>
  <c r="IU199" i="14609"/>
  <c r="IV199" i="14609"/>
  <c r="A198" i="14609"/>
  <c r="B198" i="14609"/>
  <c r="C198" i="14609"/>
  <c r="D198" i="14609"/>
  <c r="E198" i="14609"/>
  <c r="F198" i="14609"/>
  <c r="G198" i="14609"/>
  <c r="H198" i="14609"/>
  <c r="I198" i="14609"/>
  <c r="J198" i="14609"/>
  <c r="K198" i="14609"/>
  <c r="L198" i="14609"/>
  <c r="M198" i="14609"/>
  <c r="N198" i="14609"/>
  <c r="O198" i="14609"/>
  <c r="P198" i="14609"/>
  <c r="Q198" i="14609"/>
  <c r="R198" i="14609"/>
  <c r="S198" i="14609"/>
  <c r="T198" i="14609"/>
  <c r="U198" i="14609"/>
  <c r="V198" i="14609"/>
  <c r="W198" i="14609"/>
  <c r="X198" i="14609"/>
  <c r="Y198" i="14609"/>
  <c r="Z198" i="14609"/>
  <c r="AA198" i="14609"/>
  <c r="AB198" i="14609"/>
  <c r="AC198" i="14609"/>
  <c r="AD198" i="14609"/>
  <c r="AE198" i="14609"/>
  <c r="AF198" i="14609"/>
  <c r="AG198" i="14609"/>
  <c r="AH198" i="14609"/>
  <c r="AI198" i="14609"/>
  <c r="AJ198" i="14609"/>
  <c r="AK198" i="14609"/>
  <c r="AL198" i="14609"/>
  <c r="AM198" i="14609"/>
  <c r="AN198" i="14609"/>
  <c r="AO198" i="14609"/>
  <c r="AP198" i="14609"/>
  <c r="AQ198" i="14609"/>
  <c r="AR198" i="14609"/>
  <c r="AS198" i="14609"/>
  <c r="AT198" i="14609"/>
  <c r="AU198" i="14609"/>
  <c r="AV198" i="14609"/>
  <c r="AW198" i="14609"/>
  <c r="AX198" i="14609"/>
  <c r="AY198" i="14609"/>
  <c r="AZ198" i="14609"/>
  <c r="BA198" i="14609"/>
  <c r="BB198" i="14609"/>
  <c r="BC198" i="14609"/>
  <c r="BD198" i="14609"/>
  <c r="BE198" i="14609"/>
  <c r="BF198" i="14609"/>
  <c r="BG198" i="14609"/>
  <c r="BH198" i="14609"/>
  <c r="BI198" i="14609"/>
  <c r="BJ198" i="14609"/>
  <c r="BK198" i="14609"/>
  <c r="BL198" i="14609"/>
  <c r="BM198" i="14609"/>
  <c r="BN198" i="14609"/>
  <c r="BO198" i="14609"/>
  <c r="BP198" i="14609"/>
  <c r="BQ198" i="14609"/>
  <c r="BR198" i="14609"/>
  <c r="BS198" i="14609"/>
  <c r="BT198" i="14609"/>
  <c r="BU198" i="14609"/>
  <c r="BV198" i="14609"/>
  <c r="BW198" i="14609"/>
  <c r="BX198" i="14609"/>
  <c r="BY198" i="14609"/>
  <c r="BZ198" i="14609"/>
  <c r="CA198" i="14609"/>
  <c r="CB198" i="14609"/>
  <c r="CC198" i="14609"/>
  <c r="CD198" i="14609"/>
  <c r="CE198" i="14609"/>
  <c r="CF198" i="14609"/>
  <c r="CG198" i="14609"/>
  <c r="CH198" i="14609"/>
  <c r="CI198" i="14609"/>
  <c r="CJ198" i="14609"/>
  <c r="CK198" i="14609"/>
  <c r="CL198" i="14609"/>
  <c r="CM198" i="14609"/>
  <c r="CN198" i="14609"/>
  <c r="CO198" i="14609"/>
  <c r="CP198" i="14609"/>
  <c r="CQ198" i="14609"/>
  <c r="CR198" i="14609"/>
  <c r="CS198" i="14609"/>
  <c r="CT198" i="14609"/>
  <c r="CU198" i="14609"/>
  <c r="CV198" i="14609"/>
  <c r="CW198" i="14609"/>
  <c r="CX198" i="14609"/>
  <c r="CY198" i="14609"/>
  <c r="CZ198" i="14609"/>
  <c r="DA198" i="14609"/>
  <c r="DB198" i="14609"/>
  <c r="DC198" i="14609"/>
  <c r="DD198" i="14609"/>
  <c r="DE198" i="14609"/>
  <c r="DF198" i="14609"/>
  <c r="DG198" i="14609"/>
  <c r="DH198" i="14609"/>
  <c r="DI198" i="14609"/>
  <c r="DJ198" i="14609"/>
  <c r="DK198" i="14609"/>
  <c r="DL198" i="14609"/>
  <c r="DM198" i="14609"/>
  <c r="DN198" i="14609"/>
  <c r="DO198" i="14609"/>
  <c r="DP198" i="14609"/>
  <c r="DQ198" i="14609"/>
  <c r="DR198" i="14609"/>
  <c r="DS198" i="14609"/>
  <c r="DT198" i="14609"/>
  <c r="DU198" i="14609"/>
  <c r="DV198" i="14609"/>
  <c r="DW198" i="14609"/>
  <c r="DX198" i="14609"/>
  <c r="DY198" i="14609"/>
  <c r="DZ198" i="14609"/>
  <c r="EA198" i="14609"/>
  <c r="EB198" i="14609"/>
  <c r="EC198" i="14609"/>
  <c r="ED198" i="14609"/>
  <c r="EE198" i="14609"/>
  <c r="EF198" i="14609"/>
  <c r="EG198" i="14609"/>
  <c r="EH198" i="14609"/>
  <c r="EI198" i="14609"/>
  <c r="EJ198" i="14609"/>
  <c r="EK198" i="14609"/>
  <c r="EL198" i="14609"/>
  <c r="EM198" i="14609"/>
  <c r="EN198" i="14609"/>
  <c r="EO198" i="14609"/>
  <c r="EP198" i="14609"/>
  <c r="EQ198" i="14609"/>
  <c r="ER198" i="14609"/>
  <c r="ES198" i="14609"/>
  <c r="ET198" i="14609"/>
  <c r="EU198" i="14609"/>
  <c r="EV198" i="14609"/>
  <c r="EW198" i="14609"/>
  <c r="EX198" i="14609"/>
  <c r="EY198" i="14609"/>
  <c r="EZ198" i="14609"/>
  <c r="FA198" i="14609"/>
  <c r="FB198" i="14609"/>
  <c r="FC198" i="14609"/>
  <c r="FD198" i="14609"/>
  <c r="FE198" i="14609"/>
  <c r="FF198" i="14609"/>
  <c r="FG198" i="14609"/>
  <c r="FH198" i="14609"/>
  <c r="FI198" i="14609"/>
  <c r="FJ198" i="14609"/>
  <c r="FK198" i="14609"/>
  <c r="FL198" i="14609"/>
  <c r="FM198" i="14609"/>
  <c r="FN198" i="14609"/>
  <c r="FO198" i="14609"/>
  <c r="FP198" i="14609"/>
  <c r="FQ198" i="14609"/>
  <c r="FR198" i="14609"/>
  <c r="FS198" i="14609"/>
  <c r="FT198" i="14609"/>
  <c r="FU198" i="14609"/>
  <c r="FV198" i="14609"/>
  <c r="FW198" i="14609"/>
  <c r="FX198" i="14609"/>
  <c r="FY198" i="14609"/>
  <c r="FZ198" i="14609"/>
  <c r="GA198" i="14609"/>
  <c r="GB198" i="14609"/>
  <c r="GC198" i="14609"/>
  <c r="GD198" i="14609"/>
  <c r="GE198" i="14609"/>
  <c r="GF198" i="14609"/>
  <c r="GG198" i="14609"/>
  <c r="GH198" i="14609"/>
  <c r="GI198" i="14609"/>
  <c r="GJ198" i="14609"/>
  <c r="GK198" i="14609"/>
  <c r="GL198" i="14609"/>
  <c r="GM198" i="14609"/>
  <c r="GN198" i="14609"/>
  <c r="GO198" i="14609"/>
  <c r="GP198" i="14609"/>
  <c r="GQ198" i="14609"/>
  <c r="GR198" i="14609"/>
  <c r="GS198" i="14609"/>
  <c r="GT198" i="14609"/>
  <c r="GU198" i="14609"/>
  <c r="GV198" i="14609"/>
  <c r="GW198" i="14609"/>
  <c r="GX198" i="14609"/>
  <c r="GY198" i="14609"/>
  <c r="GZ198" i="14609"/>
  <c r="HA198" i="14609"/>
  <c r="HB198" i="14609"/>
  <c r="HC198" i="14609"/>
  <c r="HD198" i="14609"/>
  <c r="HE198" i="14609"/>
  <c r="HF198" i="14609"/>
  <c r="HG198" i="14609"/>
  <c r="HH198" i="14609"/>
  <c r="HI198" i="14609"/>
  <c r="HJ198" i="14609"/>
  <c r="HK198" i="14609"/>
  <c r="HL198" i="14609"/>
  <c r="HM198" i="14609"/>
  <c r="HN198" i="14609"/>
  <c r="HO198" i="14609"/>
  <c r="HP198" i="14609"/>
  <c r="HQ198" i="14609"/>
  <c r="HR198" i="14609"/>
  <c r="HS198" i="14609"/>
  <c r="HT198" i="14609"/>
  <c r="HU198" i="14609"/>
  <c r="HV198" i="14609"/>
  <c r="HW198" i="14609"/>
  <c r="HX198" i="14609"/>
  <c r="HY198" i="14609"/>
  <c r="HZ198" i="14609"/>
  <c r="IA198" i="14609"/>
  <c r="IB198" i="14609"/>
  <c r="IC198" i="14609"/>
  <c r="ID198" i="14609"/>
  <c r="IE198" i="14609"/>
  <c r="IF198" i="14609"/>
  <c r="IG198" i="14609"/>
  <c r="IH198" i="14609"/>
  <c r="II198" i="14609"/>
  <c r="IJ198" i="14609"/>
  <c r="IK198" i="14609"/>
  <c r="IL198" i="14609"/>
  <c r="IM198" i="14609"/>
  <c r="IN198" i="14609"/>
  <c r="IO198" i="14609"/>
  <c r="IP198" i="14609"/>
  <c r="IQ198" i="14609"/>
  <c r="IR198" i="14609"/>
  <c r="IS198" i="14609"/>
  <c r="IT198" i="14609"/>
  <c r="IU198" i="14609"/>
  <c r="IV198" i="14609"/>
  <c r="A197" i="14609"/>
  <c r="B197" i="14609"/>
  <c r="C197" i="14609"/>
  <c r="D197" i="14609"/>
  <c r="E197" i="14609"/>
  <c r="F197" i="14609"/>
  <c r="G197" i="14609"/>
  <c r="H197" i="14609"/>
  <c r="I197" i="14609"/>
  <c r="J197" i="14609"/>
  <c r="K197" i="14609"/>
  <c r="L197" i="14609"/>
  <c r="M197" i="14609"/>
  <c r="N197" i="14609"/>
  <c r="O197" i="14609"/>
  <c r="P197" i="14609"/>
  <c r="Q197" i="14609"/>
  <c r="R197" i="14609"/>
  <c r="S197" i="14609"/>
  <c r="T197" i="14609"/>
  <c r="U197" i="14609"/>
  <c r="V197" i="14609"/>
  <c r="W197" i="14609"/>
  <c r="X197" i="14609"/>
  <c r="Y197" i="14609"/>
  <c r="Z197" i="14609"/>
  <c r="AA197" i="14609"/>
  <c r="AB197" i="14609"/>
  <c r="AC197" i="14609"/>
  <c r="AD197" i="14609"/>
  <c r="AE197" i="14609"/>
  <c r="AF197" i="14609"/>
  <c r="AG197" i="14609"/>
  <c r="AH197" i="14609"/>
  <c r="AI197" i="14609"/>
  <c r="AJ197" i="14609"/>
  <c r="AK197" i="14609"/>
  <c r="AL197" i="14609"/>
  <c r="AM197" i="14609"/>
  <c r="AN197" i="14609"/>
  <c r="AO197" i="14609"/>
  <c r="AP197" i="14609"/>
  <c r="AQ197" i="14609"/>
  <c r="AR197" i="14609"/>
  <c r="AS197" i="14609"/>
  <c r="AT197" i="14609"/>
  <c r="AU197" i="14609"/>
  <c r="AV197" i="14609"/>
  <c r="AW197" i="14609"/>
  <c r="AX197" i="14609"/>
  <c r="AY197" i="14609"/>
  <c r="AZ197" i="14609"/>
  <c r="BA197" i="14609"/>
  <c r="BB197" i="14609"/>
  <c r="BC197" i="14609"/>
  <c r="BD197" i="14609"/>
  <c r="BE197" i="14609"/>
  <c r="BF197" i="14609"/>
  <c r="BG197" i="14609"/>
  <c r="BH197" i="14609"/>
  <c r="BI197" i="14609"/>
  <c r="BJ197" i="14609"/>
  <c r="BK197" i="14609"/>
  <c r="BL197" i="14609"/>
  <c r="BM197" i="14609"/>
  <c r="BN197" i="14609"/>
  <c r="BO197" i="14609"/>
  <c r="BP197" i="14609"/>
  <c r="BQ197" i="14609"/>
  <c r="BR197" i="14609"/>
  <c r="BS197" i="14609"/>
  <c r="BT197" i="14609"/>
  <c r="BU197" i="14609"/>
  <c r="BV197" i="14609"/>
  <c r="BW197" i="14609"/>
  <c r="BX197" i="14609"/>
  <c r="BY197" i="14609"/>
  <c r="BZ197" i="14609"/>
  <c r="CA197" i="14609"/>
  <c r="CB197" i="14609"/>
  <c r="CC197" i="14609"/>
  <c r="CD197" i="14609"/>
  <c r="CE197" i="14609"/>
  <c r="CF197" i="14609"/>
  <c r="CG197" i="14609"/>
  <c r="CH197" i="14609"/>
  <c r="CI197" i="14609"/>
  <c r="CJ197" i="14609"/>
  <c r="CK197" i="14609"/>
  <c r="CL197" i="14609"/>
  <c r="CM197" i="14609"/>
  <c r="CN197" i="14609"/>
  <c r="CO197" i="14609"/>
  <c r="CP197" i="14609"/>
  <c r="CQ197" i="14609"/>
  <c r="CR197" i="14609"/>
  <c r="CS197" i="14609"/>
  <c r="CT197" i="14609"/>
  <c r="CU197" i="14609"/>
  <c r="CV197" i="14609"/>
  <c r="CW197" i="14609"/>
  <c r="CX197" i="14609"/>
  <c r="CY197" i="14609"/>
  <c r="CZ197" i="14609"/>
  <c r="DA197" i="14609"/>
  <c r="DB197" i="14609"/>
  <c r="DC197" i="14609"/>
  <c r="DD197" i="14609"/>
  <c r="DE197" i="14609"/>
  <c r="DF197" i="14609"/>
  <c r="DG197" i="14609"/>
  <c r="DH197" i="14609"/>
  <c r="DI197" i="14609"/>
  <c r="DJ197" i="14609"/>
  <c r="DK197" i="14609"/>
  <c r="DL197" i="14609"/>
  <c r="DM197" i="14609"/>
  <c r="DN197" i="14609"/>
  <c r="DO197" i="14609"/>
  <c r="DP197" i="14609"/>
  <c r="DQ197" i="14609"/>
  <c r="DR197" i="14609"/>
  <c r="DS197" i="14609"/>
  <c r="DT197" i="14609"/>
  <c r="DU197" i="14609"/>
  <c r="DV197" i="14609"/>
  <c r="DW197" i="14609"/>
  <c r="DX197" i="14609"/>
  <c r="DY197" i="14609"/>
  <c r="DZ197" i="14609"/>
  <c r="EA197" i="14609"/>
  <c r="EB197" i="14609"/>
  <c r="EC197" i="14609"/>
  <c r="ED197" i="14609"/>
  <c r="EE197" i="14609"/>
  <c r="EF197" i="14609"/>
  <c r="EG197" i="14609"/>
  <c r="EH197" i="14609"/>
  <c r="EI197" i="14609"/>
  <c r="EJ197" i="14609"/>
  <c r="EK197" i="14609"/>
  <c r="EL197" i="14609"/>
  <c r="EM197" i="14609"/>
  <c r="EN197" i="14609"/>
  <c r="EO197" i="14609"/>
  <c r="EP197" i="14609"/>
  <c r="EQ197" i="14609"/>
  <c r="ER197" i="14609"/>
  <c r="ES197" i="14609"/>
  <c r="ET197" i="14609"/>
  <c r="EU197" i="14609"/>
  <c r="EV197" i="14609"/>
  <c r="EW197" i="14609"/>
  <c r="EX197" i="14609"/>
  <c r="EY197" i="14609"/>
  <c r="EZ197" i="14609"/>
  <c r="FA197" i="14609"/>
  <c r="FB197" i="14609"/>
  <c r="FC197" i="14609"/>
  <c r="FD197" i="14609"/>
  <c r="FE197" i="14609"/>
  <c r="FF197" i="14609"/>
  <c r="FG197" i="14609"/>
  <c r="FH197" i="14609"/>
  <c r="FI197" i="14609"/>
  <c r="FJ197" i="14609"/>
  <c r="FK197" i="14609"/>
  <c r="FL197" i="14609"/>
  <c r="FM197" i="14609"/>
  <c r="FN197" i="14609"/>
  <c r="FO197" i="14609"/>
  <c r="FP197" i="14609"/>
  <c r="FQ197" i="14609"/>
  <c r="FR197" i="14609"/>
  <c r="FS197" i="14609"/>
  <c r="FT197" i="14609"/>
  <c r="FU197" i="14609"/>
  <c r="FV197" i="14609"/>
  <c r="FW197" i="14609"/>
  <c r="FX197" i="14609"/>
  <c r="FY197" i="14609"/>
  <c r="FZ197" i="14609"/>
  <c r="GA197" i="14609"/>
  <c r="GB197" i="14609"/>
  <c r="GC197" i="14609"/>
  <c r="GD197" i="14609"/>
  <c r="GE197" i="14609"/>
  <c r="GF197" i="14609"/>
  <c r="GG197" i="14609"/>
  <c r="GH197" i="14609"/>
  <c r="GI197" i="14609"/>
  <c r="GJ197" i="14609"/>
  <c r="GK197" i="14609"/>
  <c r="GL197" i="14609"/>
  <c r="GM197" i="14609"/>
  <c r="GN197" i="14609"/>
  <c r="GO197" i="14609"/>
  <c r="GP197" i="14609"/>
  <c r="GQ197" i="14609"/>
  <c r="GR197" i="14609"/>
  <c r="GS197" i="14609"/>
  <c r="GT197" i="14609"/>
  <c r="GU197" i="14609"/>
  <c r="GV197" i="14609"/>
  <c r="GW197" i="14609"/>
  <c r="GX197" i="14609"/>
  <c r="GY197" i="14609"/>
  <c r="GZ197" i="14609"/>
  <c r="HA197" i="14609"/>
  <c r="HB197" i="14609"/>
  <c r="HC197" i="14609"/>
  <c r="HD197" i="14609"/>
  <c r="HE197" i="14609"/>
  <c r="HF197" i="14609"/>
  <c r="HG197" i="14609"/>
  <c r="HH197" i="14609"/>
  <c r="HI197" i="14609"/>
  <c r="HJ197" i="14609"/>
  <c r="HK197" i="14609"/>
  <c r="HL197" i="14609"/>
  <c r="HM197" i="14609"/>
  <c r="HN197" i="14609"/>
  <c r="HO197" i="14609"/>
  <c r="HP197" i="14609"/>
  <c r="HQ197" i="14609"/>
  <c r="HR197" i="14609"/>
  <c r="HS197" i="14609"/>
  <c r="HT197" i="14609"/>
  <c r="HU197" i="14609"/>
  <c r="HV197" i="14609"/>
  <c r="HW197" i="14609"/>
  <c r="HX197" i="14609"/>
  <c r="HY197" i="14609"/>
  <c r="HZ197" i="14609"/>
  <c r="IA197" i="14609"/>
  <c r="IB197" i="14609"/>
  <c r="IC197" i="14609"/>
  <c r="ID197" i="14609"/>
  <c r="IE197" i="14609"/>
  <c r="IF197" i="14609"/>
  <c r="IG197" i="14609"/>
  <c r="IH197" i="14609"/>
  <c r="II197" i="14609"/>
  <c r="IJ197" i="14609"/>
  <c r="IK197" i="14609"/>
  <c r="IL197" i="14609"/>
  <c r="IM197" i="14609"/>
  <c r="IN197" i="14609"/>
  <c r="IO197" i="14609"/>
  <c r="IP197" i="14609"/>
  <c r="IQ197" i="14609"/>
  <c r="IR197" i="14609"/>
  <c r="IS197" i="14609"/>
  <c r="IT197" i="14609"/>
  <c r="IU197" i="14609"/>
  <c r="IV197" i="14609"/>
  <c r="A196" i="14609"/>
  <c r="B196" i="14609"/>
  <c r="C196" i="14609"/>
  <c r="D196" i="14609"/>
  <c r="E196" i="14609"/>
  <c r="F196" i="14609"/>
  <c r="G196" i="14609"/>
  <c r="H196" i="14609"/>
  <c r="I196" i="14609"/>
  <c r="J196" i="14609"/>
  <c r="K196" i="14609"/>
  <c r="L196" i="14609"/>
  <c r="M196" i="14609"/>
  <c r="N196" i="14609"/>
  <c r="O196" i="14609"/>
  <c r="P196" i="14609"/>
  <c r="Q196" i="14609"/>
  <c r="R196" i="14609"/>
  <c r="S196" i="14609"/>
  <c r="T196" i="14609"/>
  <c r="U196" i="14609"/>
  <c r="V196" i="14609"/>
  <c r="W196" i="14609"/>
  <c r="X196" i="14609"/>
  <c r="Y196" i="14609"/>
  <c r="Z196" i="14609"/>
  <c r="AA196" i="14609"/>
  <c r="AB196" i="14609"/>
  <c r="AC196" i="14609"/>
  <c r="AD196" i="14609"/>
  <c r="AE196" i="14609"/>
  <c r="AF196" i="14609"/>
  <c r="AG196" i="14609"/>
  <c r="AH196" i="14609"/>
  <c r="AI196" i="14609"/>
  <c r="AJ196" i="14609"/>
  <c r="AK196" i="14609"/>
  <c r="AL196" i="14609"/>
  <c r="AM196" i="14609"/>
  <c r="AN196" i="14609"/>
  <c r="AO196" i="14609"/>
  <c r="AP196" i="14609"/>
  <c r="AQ196" i="14609"/>
  <c r="AR196" i="14609"/>
  <c r="AS196" i="14609"/>
  <c r="AT196" i="14609"/>
  <c r="AU196" i="14609"/>
  <c r="AV196" i="14609"/>
  <c r="AW196" i="14609"/>
  <c r="AX196" i="14609"/>
  <c r="AY196" i="14609"/>
  <c r="AZ196" i="14609"/>
  <c r="BA196" i="14609"/>
  <c r="BB196" i="14609"/>
  <c r="BC196" i="14609"/>
  <c r="BD196" i="14609"/>
  <c r="BE196" i="14609"/>
  <c r="BF196" i="14609"/>
  <c r="BG196" i="14609"/>
  <c r="BH196" i="14609"/>
  <c r="BI196" i="14609"/>
  <c r="BJ196" i="14609"/>
  <c r="BK196" i="14609"/>
  <c r="BL196" i="14609"/>
  <c r="BM196" i="14609"/>
  <c r="BN196" i="14609"/>
  <c r="BO196" i="14609"/>
  <c r="BP196" i="14609"/>
  <c r="BQ196" i="14609"/>
  <c r="BR196" i="14609"/>
  <c r="BS196" i="14609"/>
  <c r="BT196" i="14609"/>
  <c r="BU196" i="14609"/>
  <c r="BV196" i="14609"/>
  <c r="BW196" i="14609"/>
  <c r="BX196" i="14609"/>
  <c r="BY196" i="14609"/>
  <c r="BZ196" i="14609"/>
  <c r="CA196" i="14609"/>
  <c r="CB196" i="14609"/>
  <c r="CC196" i="14609"/>
  <c r="CD196" i="14609"/>
  <c r="CE196" i="14609"/>
  <c r="CF196" i="14609"/>
  <c r="CG196" i="14609"/>
  <c r="CH196" i="14609"/>
  <c r="CI196" i="14609"/>
  <c r="CJ196" i="14609"/>
  <c r="CK196" i="14609"/>
  <c r="CL196" i="14609"/>
  <c r="CM196" i="14609"/>
  <c r="CN196" i="14609"/>
  <c r="CO196" i="14609"/>
  <c r="CP196" i="14609"/>
  <c r="CQ196" i="14609"/>
  <c r="CR196" i="14609"/>
  <c r="CS196" i="14609"/>
  <c r="CT196" i="14609"/>
  <c r="CU196" i="14609"/>
  <c r="CV196" i="14609"/>
  <c r="CW196" i="14609"/>
  <c r="CX196" i="14609"/>
  <c r="CY196" i="14609"/>
  <c r="CZ196" i="14609"/>
  <c r="DA196" i="14609"/>
  <c r="DB196" i="14609"/>
  <c r="DC196" i="14609"/>
  <c r="DD196" i="14609"/>
  <c r="DE196" i="14609"/>
  <c r="DF196" i="14609"/>
  <c r="DG196" i="14609"/>
  <c r="DH196" i="14609"/>
  <c r="DI196" i="14609"/>
  <c r="DJ196" i="14609"/>
  <c r="DK196" i="14609"/>
  <c r="DL196" i="14609"/>
  <c r="DM196" i="14609"/>
  <c r="DN196" i="14609"/>
  <c r="DO196" i="14609"/>
  <c r="DP196" i="14609"/>
  <c r="DQ196" i="14609"/>
  <c r="DR196" i="14609"/>
  <c r="DS196" i="14609"/>
  <c r="DT196" i="14609"/>
  <c r="DU196" i="14609"/>
  <c r="DV196" i="14609"/>
  <c r="DW196" i="14609"/>
  <c r="DX196" i="14609"/>
  <c r="DY196" i="14609"/>
  <c r="DZ196" i="14609"/>
  <c r="EA196" i="14609"/>
  <c r="EB196" i="14609"/>
  <c r="EC196" i="14609"/>
  <c r="ED196" i="14609"/>
  <c r="EE196" i="14609"/>
  <c r="EF196" i="14609"/>
  <c r="EG196" i="14609"/>
  <c r="EH196" i="14609"/>
  <c r="EI196" i="14609"/>
  <c r="EJ196" i="14609"/>
  <c r="EK196" i="14609"/>
  <c r="EL196" i="14609"/>
  <c r="EM196" i="14609"/>
  <c r="EN196" i="14609"/>
  <c r="EO196" i="14609"/>
  <c r="EP196" i="14609"/>
  <c r="EQ196" i="14609"/>
  <c r="ER196" i="14609"/>
  <c r="ES196" i="14609"/>
  <c r="ET196" i="14609"/>
  <c r="EU196" i="14609"/>
  <c r="EV196" i="14609"/>
  <c r="EW196" i="14609"/>
  <c r="EX196" i="14609"/>
  <c r="EY196" i="14609"/>
  <c r="EZ196" i="14609"/>
  <c r="FA196" i="14609"/>
  <c r="FB196" i="14609"/>
  <c r="FC196" i="14609"/>
  <c r="FD196" i="14609"/>
  <c r="FE196" i="14609"/>
  <c r="FF196" i="14609"/>
  <c r="FG196" i="14609"/>
  <c r="FH196" i="14609"/>
  <c r="FI196" i="14609"/>
  <c r="FJ196" i="14609"/>
  <c r="FK196" i="14609"/>
  <c r="FL196" i="14609"/>
  <c r="FM196" i="14609"/>
  <c r="FN196" i="14609"/>
  <c r="FO196" i="14609"/>
  <c r="FP196" i="14609"/>
  <c r="FQ196" i="14609"/>
  <c r="FR196" i="14609"/>
  <c r="FS196" i="14609"/>
  <c r="FT196" i="14609"/>
  <c r="FU196" i="14609"/>
  <c r="FV196" i="14609"/>
  <c r="FW196" i="14609"/>
  <c r="FX196" i="14609"/>
  <c r="FY196" i="14609"/>
  <c r="FZ196" i="14609"/>
  <c r="GA196" i="14609"/>
  <c r="GB196" i="14609"/>
  <c r="GC196" i="14609"/>
  <c r="GD196" i="14609"/>
  <c r="GE196" i="14609"/>
  <c r="GF196" i="14609"/>
  <c r="GG196" i="14609"/>
  <c r="GH196" i="14609"/>
  <c r="GI196" i="14609"/>
  <c r="GJ196" i="14609"/>
  <c r="GK196" i="14609"/>
  <c r="GL196" i="14609"/>
  <c r="GM196" i="14609"/>
  <c r="GN196" i="14609"/>
  <c r="GO196" i="14609"/>
  <c r="GP196" i="14609"/>
  <c r="GQ196" i="14609"/>
  <c r="GR196" i="14609"/>
  <c r="GS196" i="14609"/>
  <c r="GT196" i="14609"/>
  <c r="GU196" i="14609"/>
  <c r="GV196" i="14609"/>
  <c r="GW196" i="14609"/>
  <c r="GX196" i="14609"/>
  <c r="GY196" i="14609"/>
  <c r="GZ196" i="14609"/>
  <c r="HA196" i="14609"/>
  <c r="HB196" i="14609"/>
  <c r="HC196" i="14609"/>
  <c r="HD196" i="14609"/>
  <c r="HE196" i="14609"/>
  <c r="HF196" i="14609"/>
  <c r="HG196" i="14609"/>
  <c r="HH196" i="14609"/>
  <c r="HI196" i="14609"/>
  <c r="HJ196" i="14609"/>
  <c r="HK196" i="14609"/>
  <c r="HL196" i="14609"/>
  <c r="HM196" i="14609"/>
  <c r="HN196" i="14609"/>
  <c r="HO196" i="14609"/>
  <c r="HP196" i="14609"/>
  <c r="HQ196" i="14609"/>
  <c r="HR196" i="14609"/>
  <c r="HS196" i="14609"/>
  <c r="HT196" i="14609"/>
  <c r="HU196" i="14609"/>
  <c r="HV196" i="14609"/>
  <c r="HW196" i="14609"/>
  <c r="HX196" i="14609"/>
  <c r="HY196" i="14609"/>
  <c r="HZ196" i="14609"/>
  <c r="IA196" i="14609"/>
  <c r="IB196" i="14609"/>
  <c r="IC196" i="14609"/>
  <c r="ID196" i="14609"/>
  <c r="IE196" i="14609"/>
  <c r="IF196" i="14609"/>
  <c r="IG196" i="14609"/>
  <c r="IH196" i="14609"/>
  <c r="II196" i="14609"/>
  <c r="IJ196" i="14609"/>
  <c r="IK196" i="14609"/>
  <c r="IL196" i="14609"/>
  <c r="IM196" i="14609"/>
  <c r="IN196" i="14609"/>
  <c r="IO196" i="14609"/>
  <c r="IP196" i="14609"/>
  <c r="IQ196" i="14609"/>
  <c r="IR196" i="14609"/>
  <c r="IS196" i="14609"/>
  <c r="IT196" i="14609"/>
  <c r="IU196" i="14609"/>
  <c r="IV196" i="14609"/>
  <c r="A195" i="14609"/>
  <c r="B195" i="14609"/>
  <c r="C195" i="14609"/>
  <c r="D195" i="14609"/>
  <c r="E195" i="14609"/>
  <c r="F195" i="14609"/>
  <c r="G195" i="14609"/>
  <c r="H195" i="14609"/>
  <c r="I195" i="14609"/>
  <c r="J195" i="14609"/>
  <c r="K195" i="14609"/>
  <c r="L195" i="14609"/>
  <c r="M195" i="14609"/>
  <c r="N195" i="14609"/>
  <c r="O195" i="14609"/>
  <c r="P195" i="14609"/>
  <c r="Q195" i="14609"/>
  <c r="R195" i="14609"/>
  <c r="S195" i="14609"/>
  <c r="T195" i="14609"/>
  <c r="U195" i="14609"/>
  <c r="V195" i="14609"/>
  <c r="W195" i="14609"/>
  <c r="X195" i="14609"/>
  <c r="Y195" i="14609"/>
  <c r="Z195" i="14609"/>
  <c r="AA195" i="14609"/>
  <c r="AB195" i="14609"/>
  <c r="AC195" i="14609"/>
  <c r="AD195" i="14609"/>
  <c r="AE195" i="14609"/>
  <c r="AF195" i="14609"/>
  <c r="AG195" i="14609"/>
  <c r="AH195" i="14609"/>
  <c r="AI195" i="14609"/>
  <c r="AJ195" i="14609"/>
  <c r="AK195" i="14609"/>
  <c r="AL195" i="14609"/>
  <c r="AM195" i="14609"/>
  <c r="AN195" i="14609"/>
  <c r="AO195" i="14609"/>
  <c r="AP195" i="14609"/>
  <c r="AQ195" i="14609"/>
  <c r="AR195" i="14609"/>
  <c r="AS195" i="14609"/>
  <c r="AT195" i="14609"/>
  <c r="AU195" i="14609"/>
  <c r="AV195" i="14609"/>
  <c r="AW195" i="14609"/>
  <c r="AX195" i="14609"/>
  <c r="AY195" i="14609"/>
  <c r="AZ195" i="14609"/>
  <c r="BA195" i="14609"/>
  <c r="BB195" i="14609"/>
  <c r="BC195" i="14609"/>
  <c r="BD195" i="14609"/>
  <c r="BE195" i="14609"/>
  <c r="BF195" i="14609"/>
  <c r="BG195" i="14609"/>
  <c r="BH195" i="14609"/>
  <c r="BI195" i="14609"/>
  <c r="BJ195" i="14609"/>
  <c r="BK195" i="14609"/>
  <c r="BL195" i="14609"/>
  <c r="BM195" i="14609"/>
  <c r="BN195" i="14609"/>
  <c r="BO195" i="14609"/>
  <c r="BP195" i="14609"/>
  <c r="BQ195" i="14609"/>
  <c r="BR195" i="14609"/>
  <c r="BS195" i="14609"/>
  <c r="BT195" i="14609"/>
  <c r="BU195" i="14609"/>
  <c r="BV195" i="14609"/>
  <c r="BW195" i="14609"/>
  <c r="BX195" i="14609"/>
  <c r="BY195" i="14609"/>
  <c r="BZ195" i="14609"/>
  <c r="CA195" i="14609"/>
  <c r="CB195" i="14609"/>
  <c r="CC195" i="14609"/>
  <c r="CD195" i="14609"/>
  <c r="CE195" i="14609"/>
  <c r="CF195" i="14609"/>
  <c r="CG195" i="14609"/>
  <c r="CH195" i="14609"/>
  <c r="CI195" i="14609"/>
  <c r="CJ195" i="14609"/>
  <c r="CK195" i="14609"/>
  <c r="CL195" i="14609"/>
  <c r="CM195" i="14609"/>
  <c r="CN195" i="14609"/>
  <c r="CO195" i="14609"/>
  <c r="CP195" i="14609"/>
  <c r="CQ195" i="14609"/>
  <c r="CR195" i="14609"/>
  <c r="CS195" i="14609"/>
  <c r="CT195" i="14609"/>
  <c r="CU195" i="14609"/>
  <c r="CV195" i="14609"/>
  <c r="CW195" i="14609"/>
  <c r="CX195" i="14609"/>
  <c r="CY195" i="14609"/>
  <c r="CZ195" i="14609"/>
  <c r="DA195" i="14609"/>
  <c r="DB195" i="14609"/>
  <c r="DC195" i="14609"/>
  <c r="DD195" i="14609"/>
  <c r="DE195" i="14609"/>
  <c r="DF195" i="14609"/>
  <c r="DG195" i="14609"/>
  <c r="DH195" i="14609"/>
  <c r="DI195" i="14609"/>
  <c r="DJ195" i="14609"/>
  <c r="DK195" i="14609"/>
  <c r="DL195" i="14609"/>
  <c r="DM195" i="14609"/>
  <c r="DN195" i="14609"/>
  <c r="DO195" i="14609"/>
  <c r="DP195" i="14609"/>
  <c r="DQ195" i="14609"/>
  <c r="DR195" i="14609"/>
  <c r="DS195" i="14609"/>
  <c r="DT195" i="14609"/>
  <c r="DU195" i="14609"/>
  <c r="DV195" i="14609"/>
  <c r="DW195" i="14609"/>
  <c r="DX195" i="14609"/>
  <c r="DY195" i="14609"/>
  <c r="DZ195" i="14609"/>
  <c r="EA195" i="14609"/>
  <c r="EB195" i="14609"/>
  <c r="EC195" i="14609"/>
  <c r="ED195" i="14609"/>
  <c r="EE195" i="14609"/>
  <c r="EF195" i="14609"/>
  <c r="EG195" i="14609"/>
  <c r="EH195" i="14609"/>
  <c r="EI195" i="14609"/>
  <c r="EJ195" i="14609"/>
  <c r="EK195" i="14609"/>
  <c r="EL195" i="14609"/>
  <c r="EM195" i="14609"/>
  <c r="EN195" i="14609"/>
  <c r="EO195" i="14609"/>
  <c r="EP195" i="14609"/>
  <c r="EQ195" i="14609"/>
  <c r="ER195" i="14609"/>
  <c r="ES195" i="14609"/>
  <c r="ET195" i="14609"/>
  <c r="EU195" i="14609"/>
  <c r="EV195" i="14609"/>
  <c r="EW195" i="14609"/>
  <c r="EX195" i="14609"/>
  <c r="EY195" i="14609"/>
  <c r="EZ195" i="14609"/>
  <c r="FA195" i="14609"/>
  <c r="FB195" i="14609"/>
  <c r="FC195" i="14609"/>
  <c r="FD195" i="14609"/>
  <c r="FE195" i="14609"/>
  <c r="FF195" i="14609"/>
  <c r="FG195" i="14609"/>
  <c r="FH195" i="14609"/>
  <c r="FI195" i="14609"/>
  <c r="FJ195" i="14609"/>
  <c r="FK195" i="14609"/>
  <c r="FL195" i="14609"/>
  <c r="FM195" i="14609"/>
  <c r="FN195" i="14609"/>
  <c r="FO195" i="14609"/>
  <c r="FP195" i="14609"/>
  <c r="FQ195" i="14609"/>
  <c r="FR195" i="14609"/>
  <c r="FS195" i="14609"/>
  <c r="FT195" i="14609"/>
  <c r="FU195" i="14609"/>
  <c r="FV195" i="14609"/>
  <c r="FW195" i="14609"/>
  <c r="FX195" i="14609"/>
  <c r="FY195" i="14609"/>
  <c r="FZ195" i="14609"/>
  <c r="GA195" i="14609"/>
  <c r="GB195" i="14609"/>
  <c r="GC195" i="14609"/>
  <c r="GD195" i="14609"/>
  <c r="GE195" i="14609"/>
  <c r="GF195" i="14609"/>
  <c r="GG195" i="14609"/>
  <c r="GH195" i="14609"/>
  <c r="GI195" i="14609"/>
  <c r="GJ195" i="14609"/>
  <c r="GK195" i="14609"/>
  <c r="GL195" i="14609"/>
  <c r="GM195" i="14609"/>
  <c r="GN195" i="14609"/>
  <c r="GO195" i="14609"/>
  <c r="GP195" i="14609"/>
  <c r="GQ195" i="14609"/>
  <c r="GR195" i="14609"/>
  <c r="GS195" i="14609"/>
  <c r="GT195" i="14609"/>
  <c r="GU195" i="14609"/>
  <c r="GV195" i="14609"/>
  <c r="GW195" i="14609"/>
  <c r="GX195" i="14609"/>
  <c r="GY195" i="14609"/>
  <c r="GZ195" i="14609"/>
  <c r="HA195" i="14609"/>
  <c r="HB195" i="14609"/>
  <c r="HC195" i="14609"/>
  <c r="HD195" i="14609"/>
  <c r="HE195" i="14609"/>
  <c r="HF195" i="14609"/>
  <c r="HG195" i="14609"/>
  <c r="HH195" i="14609"/>
  <c r="HI195" i="14609"/>
  <c r="HJ195" i="14609"/>
  <c r="HK195" i="14609"/>
  <c r="HL195" i="14609"/>
  <c r="HM195" i="14609"/>
  <c r="HN195" i="14609"/>
  <c r="HO195" i="14609"/>
  <c r="HP195" i="14609"/>
  <c r="HQ195" i="14609"/>
  <c r="HR195" i="14609"/>
  <c r="HS195" i="14609"/>
  <c r="HT195" i="14609"/>
  <c r="HU195" i="14609"/>
  <c r="HV195" i="14609"/>
  <c r="HW195" i="14609"/>
  <c r="HX195" i="14609"/>
  <c r="HY195" i="14609"/>
  <c r="HZ195" i="14609"/>
  <c r="IA195" i="14609"/>
  <c r="IB195" i="14609"/>
  <c r="IC195" i="14609"/>
  <c r="ID195" i="14609"/>
  <c r="IE195" i="14609"/>
  <c r="IF195" i="14609"/>
  <c r="IG195" i="14609"/>
  <c r="IH195" i="14609"/>
  <c r="II195" i="14609"/>
  <c r="IJ195" i="14609"/>
  <c r="IK195" i="14609"/>
  <c r="IL195" i="14609"/>
  <c r="IM195" i="14609"/>
  <c r="IN195" i="14609"/>
  <c r="IO195" i="14609"/>
  <c r="IP195" i="14609"/>
  <c r="IQ195" i="14609"/>
  <c r="IR195" i="14609"/>
  <c r="IS195" i="14609"/>
  <c r="IT195" i="14609"/>
  <c r="IU195" i="14609"/>
  <c r="IV195" i="14609"/>
  <c r="A194" i="14609"/>
  <c r="B194" i="14609"/>
  <c r="C194" i="14609"/>
  <c r="D194" i="14609"/>
  <c r="E194" i="14609"/>
  <c r="F194" i="14609"/>
  <c r="G194" i="14609"/>
  <c r="H194" i="14609"/>
  <c r="I194" i="14609"/>
  <c r="J194" i="14609"/>
  <c r="K194" i="14609"/>
  <c r="L194" i="14609"/>
  <c r="M194" i="14609"/>
  <c r="N194" i="14609"/>
  <c r="O194" i="14609"/>
  <c r="P194" i="14609"/>
  <c r="Q194" i="14609"/>
  <c r="R194" i="14609"/>
  <c r="S194" i="14609"/>
  <c r="T194" i="14609"/>
  <c r="U194" i="14609"/>
  <c r="V194" i="14609"/>
  <c r="W194" i="14609"/>
  <c r="X194" i="14609"/>
  <c r="Y194" i="14609"/>
  <c r="Z194" i="14609"/>
  <c r="AA194" i="14609"/>
  <c r="AB194" i="14609"/>
  <c r="AC194" i="14609"/>
  <c r="AD194" i="14609"/>
  <c r="AE194" i="14609"/>
  <c r="AF194" i="14609"/>
  <c r="AG194" i="14609"/>
  <c r="AH194" i="14609"/>
  <c r="AI194" i="14609"/>
  <c r="AJ194" i="14609"/>
  <c r="AK194" i="14609"/>
  <c r="AL194" i="14609"/>
  <c r="AM194" i="14609"/>
  <c r="AN194" i="14609"/>
  <c r="AO194" i="14609"/>
  <c r="AP194" i="14609"/>
  <c r="AQ194" i="14609"/>
  <c r="AR194" i="14609"/>
  <c r="AS194" i="14609"/>
  <c r="AT194" i="14609"/>
  <c r="AU194" i="14609"/>
  <c r="AV194" i="14609"/>
  <c r="AW194" i="14609"/>
  <c r="AX194" i="14609"/>
  <c r="AY194" i="14609"/>
  <c r="AZ194" i="14609"/>
  <c r="BA194" i="14609"/>
  <c r="BB194" i="14609"/>
  <c r="BC194" i="14609"/>
  <c r="BD194" i="14609"/>
  <c r="BE194" i="14609"/>
  <c r="BF194" i="14609"/>
  <c r="BG194" i="14609"/>
  <c r="BH194" i="14609"/>
  <c r="BI194" i="14609"/>
  <c r="BJ194" i="14609"/>
  <c r="BK194" i="14609"/>
  <c r="BL194" i="14609"/>
  <c r="BM194" i="14609"/>
  <c r="BN194" i="14609"/>
  <c r="BO194" i="14609"/>
  <c r="BP194" i="14609"/>
  <c r="BQ194" i="14609"/>
  <c r="BR194" i="14609"/>
  <c r="BS194" i="14609"/>
  <c r="BT194" i="14609"/>
  <c r="BU194" i="14609"/>
  <c r="BV194" i="14609"/>
  <c r="BW194" i="14609"/>
  <c r="BX194" i="14609"/>
  <c r="BY194" i="14609"/>
  <c r="BZ194" i="14609"/>
  <c r="CA194" i="14609"/>
  <c r="CB194" i="14609"/>
  <c r="CC194" i="14609"/>
  <c r="CD194" i="14609"/>
  <c r="CE194" i="14609"/>
  <c r="CF194" i="14609"/>
  <c r="CG194" i="14609"/>
  <c r="CH194" i="14609"/>
  <c r="CI194" i="14609"/>
  <c r="CJ194" i="14609"/>
  <c r="CK194" i="14609"/>
  <c r="CL194" i="14609"/>
  <c r="CM194" i="14609"/>
  <c r="CN194" i="14609"/>
  <c r="CO194" i="14609"/>
  <c r="CP194" i="14609"/>
  <c r="CQ194" i="14609"/>
  <c r="CR194" i="14609"/>
  <c r="CS194" i="14609"/>
  <c r="CT194" i="14609"/>
  <c r="CU194" i="14609"/>
  <c r="CV194" i="14609"/>
  <c r="CW194" i="14609"/>
  <c r="CX194" i="14609"/>
  <c r="CY194" i="14609"/>
  <c r="CZ194" i="14609"/>
  <c r="DA194" i="14609"/>
  <c r="DB194" i="14609"/>
  <c r="DC194" i="14609"/>
  <c r="DD194" i="14609"/>
  <c r="DE194" i="14609"/>
  <c r="DF194" i="14609"/>
  <c r="DG194" i="14609"/>
  <c r="DH194" i="14609"/>
  <c r="DI194" i="14609"/>
  <c r="DJ194" i="14609"/>
  <c r="DK194" i="14609"/>
  <c r="DL194" i="14609"/>
  <c r="DM194" i="14609"/>
  <c r="DN194" i="14609"/>
  <c r="DO194" i="14609"/>
  <c r="DP194" i="14609"/>
  <c r="DQ194" i="14609"/>
  <c r="DR194" i="14609"/>
  <c r="DS194" i="14609"/>
  <c r="DT194" i="14609"/>
  <c r="DU194" i="14609"/>
  <c r="DV194" i="14609"/>
  <c r="DW194" i="14609"/>
  <c r="DX194" i="14609"/>
  <c r="DY194" i="14609"/>
  <c r="DZ194" i="14609"/>
  <c r="EA194" i="14609"/>
  <c r="EB194" i="14609"/>
  <c r="EC194" i="14609"/>
  <c r="ED194" i="14609"/>
  <c r="EE194" i="14609"/>
  <c r="EF194" i="14609"/>
  <c r="EG194" i="14609"/>
  <c r="EH194" i="14609"/>
  <c r="EI194" i="14609"/>
  <c r="EJ194" i="14609"/>
  <c r="EK194" i="14609"/>
  <c r="EL194" i="14609"/>
  <c r="EM194" i="14609"/>
  <c r="EN194" i="14609"/>
  <c r="EO194" i="14609"/>
  <c r="EP194" i="14609"/>
  <c r="EQ194" i="14609"/>
  <c r="ER194" i="14609"/>
  <c r="ES194" i="14609"/>
  <c r="ET194" i="14609"/>
  <c r="EU194" i="14609"/>
  <c r="EV194" i="14609"/>
  <c r="EW194" i="14609"/>
  <c r="EX194" i="14609"/>
  <c r="EY194" i="14609"/>
  <c r="EZ194" i="14609"/>
  <c r="FA194" i="14609"/>
  <c r="FB194" i="14609"/>
  <c r="FC194" i="14609"/>
  <c r="FD194" i="14609"/>
  <c r="FE194" i="14609"/>
  <c r="FF194" i="14609"/>
  <c r="FG194" i="14609"/>
  <c r="FH194" i="14609"/>
  <c r="FI194" i="14609"/>
  <c r="FJ194" i="14609"/>
  <c r="FK194" i="14609"/>
  <c r="FL194" i="14609"/>
  <c r="FM194" i="14609"/>
  <c r="FN194" i="14609"/>
  <c r="FO194" i="14609"/>
  <c r="FP194" i="14609"/>
  <c r="FQ194" i="14609"/>
  <c r="FR194" i="14609"/>
  <c r="FS194" i="14609"/>
  <c r="FT194" i="14609"/>
  <c r="FU194" i="14609"/>
  <c r="FV194" i="14609"/>
  <c r="FW194" i="14609"/>
  <c r="FX194" i="14609"/>
  <c r="FY194" i="14609"/>
  <c r="FZ194" i="14609"/>
  <c r="GA194" i="14609"/>
  <c r="GB194" i="14609"/>
  <c r="GC194" i="14609"/>
  <c r="GD194" i="14609"/>
  <c r="GE194" i="14609"/>
  <c r="GF194" i="14609"/>
  <c r="GG194" i="14609"/>
  <c r="GH194" i="14609"/>
  <c r="GI194" i="14609"/>
  <c r="GJ194" i="14609"/>
  <c r="GK194" i="14609"/>
  <c r="GL194" i="14609"/>
  <c r="GM194" i="14609"/>
  <c r="GN194" i="14609"/>
  <c r="GO194" i="14609"/>
  <c r="GP194" i="14609"/>
  <c r="GQ194" i="14609"/>
  <c r="GR194" i="14609"/>
  <c r="GS194" i="14609"/>
  <c r="GT194" i="14609"/>
  <c r="GU194" i="14609"/>
  <c r="GV194" i="14609"/>
  <c r="GW194" i="14609"/>
  <c r="GX194" i="14609"/>
  <c r="GY194" i="14609"/>
  <c r="GZ194" i="14609"/>
  <c r="HA194" i="14609"/>
  <c r="HB194" i="14609"/>
  <c r="HC194" i="14609"/>
  <c r="HD194" i="14609"/>
  <c r="HE194" i="14609"/>
  <c r="HF194" i="14609"/>
  <c r="HG194" i="14609"/>
  <c r="HH194" i="14609"/>
  <c r="HI194" i="14609"/>
  <c r="HJ194" i="14609"/>
  <c r="HK194" i="14609"/>
  <c r="HL194" i="14609"/>
  <c r="HM194" i="14609"/>
  <c r="HN194" i="14609"/>
  <c r="HO194" i="14609"/>
  <c r="HP194" i="14609"/>
  <c r="HQ194" i="14609"/>
  <c r="HR194" i="14609"/>
  <c r="HS194" i="14609"/>
  <c r="HT194" i="14609"/>
  <c r="HU194" i="14609"/>
  <c r="HV194" i="14609"/>
  <c r="HW194" i="14609"/>
  <c r="HX194" i="14609"/>
  <c r="HY194" i="14609"/>
  <c r="HZ194" i="14609"/>
  <c r="IA194" i="14609"/>
  <c r="IB194" i="14609"/>
  <c r="IC194" i="14609"/>
  <c r="ID194" i="14609"/>
  <c r="IE194" i="14609"/>
  <c r="IF194" i="14609"/>
  <c r="IG194" i="14609"/>
  <c r="IH194" i="14609"/>
  <c r="II194" i="14609"/>
  <c r="IJ194" i="14609"/>
  <c r="IK194" i="14609"/>
  <c r="IL194" i="14609"/>
  <c r="IM194" i="14609"/>
  <c r="IN194" i="14609"/>
  <c r="IO194" i="14609"/>
  <c r="IP194" i="14609"/>
  <c r="IQ194" i="14609"/>
  <c r="IR194" i="14609"/>
  <c r="IS194" i="14609"/>
  <c r="IT194" i="14609"/>
  <c r="IU194" i="14609"/>
  <c r="IV194" i="14609"/>
  <c r="A193" i="14609"/>
  <c r="B193" i="14609"/>
  <c r="C193" i="14609"/>
  <c r="D193" i="14609"/>
  <c r="E193" i="14609"/>
  <c r="F193" i="14609"/>
  <c r="G193" i="14609"/>
  <c r="H193" i="14609"/>
  <c r="I193" i="14609"/>
  <c r="J193" i="14609"/>
  <c r="K193" i="14609"/>
  <c r="L193" i="14609"/>
  <c r="M193" i="14609"/>
  <c r="N193" i="14609"/>
  <c r="O193" i="14609"/>
  <c r="P193" i="14609"/>
  <c r="Q193" i="14609"/>
  <c r="R193" i="14609"/>
  <c r="S193" i="14609"/>
  <c r="T193" i="14609"/>
  <c r="U193" i="14609"/>
  <c r="V193" i="14609"/>
  <c r="W193" i="14609"/>
  <c r="X193" i="14609"/>
  <c r="Y193" i="14609"/>
  <c r="Z193" i="14609"/>
  <c r="AA193" i="14609"/>
  <c r="AB193" i="14609"/>
  <c r="AC193" i="14609"/>
  <c r="AD193" i="14609"/>
  <c r="AE193" i="14609"/>
  <c r="AF193" i="14609"/>
  <c r="AG193" i="14609"/>
  <c r="AH193" i="14609"/>
  <c r="AI193" i="14609"/>
  <c r="AJ193" i="14609"/>
  <c r="AK193" i="14609"/>
  <c r="AL193" i="14609"/>
  <c r="AM193" i="14609"/>
  <c r="AN193" i="14609"/>
  <c r="AO193" i="14609"/>
  <c r="AP193" i="14609"/>
  <c r="AQ193" i="14609"/>
  <c r="AR193" i="14609"/>
  <c r="AS193" i="14609"/>
  <c r="AT193" i="14609"/>
  <c r="AU193" i="14609"/>
  <c r="AV193" i="14609"/>
  <c r="AW193" i="14609"/>
  <c r="AX193" i="14609"/>
  <c r="AY193" i="14609"/>
  <c r="AZ193" i="14609"/>
  <c r="BA193" i="14609"/>
  <c r="BB193" i="14609"/>
  <c r="BC193" i="14609"/>
  <c r="BD193" i="14609"/>
  <c r="BE193" i="14609"/>
  <c r="BF193" i="14609"/>
  <c r="BG193" i="14609"/>
  <c r="BH193" i="14609"/>
  <c r="BI193" i="14609"/>
  <c r="BJ193" i="14609"/>
  <c r="BK193" i="14609"/>
  <c r="BL193" i="14609"/>
  <c r="BM193" i="14609"/>
  <c r="BN193" i="14609"/>
  <c r="BO193" i="14609"/>
  <c r="BP193" i="14609"/>
  <c r="BQ193" i="14609"/>
  <c r="BR193" i="14609"/>
  <c r="BS193" i="14609"/>
  <c r="BT193" i="14609"/>
  <c r="BU193" i="14609"/>
  <c r="BV193" i="14609"/>
  <c r="BW193" i="14609"/>
  <c r="BX193" i="14609"/>
  <c r="BY193" i="14609"/>
  <c r="BZ193" i="14609"/>
  <c r="CA193" i="14609"/>
  <c r="CB193" i="14609"/>
  <c r="CC193" i="14609"/>
  <c r="CD193" i="14609"/>
  <c r="CE193" i="14609"/>
  <c r="CF193" i="14609"/>
  <c r="CG193" i="14609"/>
  <c r="CH193" i="14609"/>
  <c r="CI193" i="14609"/>
  <c r="CJ193" i="14609"/>
  <c r="CK193" i="14609"/>
  <c r="CL193" i="14609"/>
  <c r="CM193" i="14609"/>
  <c r="CN193" i="14609"/>
  <c r="CO193" i="14609"/>
  <c r="CP193" i="14609"/>
  <c r="CQ193" i="14609"/>
  <c r="CR193" i="14609"/>
  <c r="CS193" i="14609"/>
  <c r="CT193" i="14609"/>
  <c r="CU193" i="14609"/>
  <c r="CV193" i="14609"/>
  <c r="CW193" i="14609"/>
  <c r="CX193" i="14609"/>
  <c r="CY193" i="14609"/>
  <c r="CZ193" i="14609"/>
  <c r="DA193" i="14609"/>
  <c r="DB193" i="14609"/>
  <c r="DC193" i="14609"/>
  <c r="DD193" i="14609"/>
  <c r="DE193" i="14609"/>
  <c r="DF193" i="14609"/>
  <c r="DG193" i="14609"/>
  <c r="DH193" i="14609"/>
  <c r="DI193" i="14609"/>
  <c r="DJ193" i="14609"/>
  <c r="DK193" i="14609"/>
  <c r="DL193" i="14609"/>
  <c r="DM193" i="14609"/>
  <c r="DN193" i="14609"/>
  <c r="DO193" i="14609"/>
  <c r="DP193" i="14609"/>
  <c r="DQ193" i="14609"/>
  <c r="DR193" i="14609"/>
  <c r="DS193" i="14609"/>
  <c r="DT193" i="14609"/>
  <c r="DU193" i="14609"/>
  <c r="DV193" i="14609"/>
  <c r="DW193" i="14609"/>
  <c r="DX193" i="14609"/>
  <c r="DY193" i="14609"/>
  <c r="DZ193" i="14609"/>
  <c r="EA193" i="14609"/>
  <c r="EB193" i="14609"/>
  <c r="EC193" i="14609"/>
  <c r="ED193" i="14609"/>
  <c r="EE193" i="14609"/>
  <c r="EF193" i="14609"/>
  <c r="EG193" i="14609"/>
  <c r="EH193" i="14609"/>
  <c r="EI193" i="14609"/>
  <c r="EJ193" i="14609"/>
  <c r="EK193" i="14609"/>
  <c r="EL193" i="14609"/>
  <c r="EM193" i="14609"/>
  <c r="EN193" i="14609"/>
  <c r="EO193" i="14609"/>
  <c r="EP193" i="14609"/>
  <c r="EQ193" i="14609"/>
  <c r="ER193" i="14609"/>
  <c r="ES193" i="14609"/>
  <c r="ET193" i="14609"/>
  <c r="EU193" i="14609"/>
  <c r="EV193" i="14609"/>
  <c r="EW193" i="14609"/>
  <c r="EX193" i="14609"/>
  <c r="EY193" i="14609"/>
  <c r="EZ193" i="14609"/>
  <c r="FA193" i="14609"/>
  <c r="FB193" i="14609"/>
  <c r="FC193" i="14609"/>
  <c r="FD193" i="14609"/>
  <c r="FE193" i="14609"/>
  <c r="FF193" i="14609"/>
  <c r="FG193" i="14609"/>
  <c r="FH193" i="14609"/>
  <c r="FI193" i="14609"/>
  <c r="FJ193" i="14609"/>
  <c r="FK193" i="14609"/>
  <c r="FL193" i="14609"/>
  <c r="FM193" i="14609"/>
  <c r="FN193" i="14609"/>
  <c r="FO193" i="14609"/>
  <c r="FP193" i="14609"/>
  <c r="FQ193" i="14609"/>
  <c r="FR193" i="14609"/>
  <c r="FS193" i="14609"/>
  <c r="FT193" i="14609"/>
  <c r="FU193" i="14609"/>
  <c r="FV193" i="14609"/>
  <c r="FW193" i="14609"/>
  <c r="FX193" i="14609"/>
  <c r="FY193" i="14609"/>
  <c r="FZ193" i="14609"/>
  <c r="GA193" i="14609"/>
  <c r="GB193" i="14609"/>
  <c r="GC193" i="14609"/>
  <c r="GD193" i="14609"/>
  <c r="GE193" i="14609"/>
  <c r="GF193" i="14609"/>
  <c r="GG193" i="14609"/>
  <c r="GH193" i="14609"/>
  <c r="GI193" i="14609"/>
  <c r="GJ193" i="14609"/>
  <c r="GK193" i="14609"/>
  <c r="GL193" i="14609"/>
  <c r="GM193" i="14609"/>
  <c r="GN193" i="14609"/>
  <c r="GO193" i="14609"/>
  <c r="GP193" i="14609"/>
  <c r="GQ193" i="14609"/>
  <c r="GR193" i="14609"/>
  <c r="GS193" i="14609"/>
  <c r="GT193" i="14609"/>
  <c r="GU193" i="14609"/>
  <c r="GV193" i="14609"/>
  <c r="GW193" i="14609"/>
  <c r="GX193" i="14609"/>
  <c r="GY193" i="14609"/>
  <c r="GZ193" i="14609"/>
  <c r="HA193" i="14609"/>
  <c r="HB193" i="14609"/>
  <c r="HC193" i="14609"/>
  <c r="HD193" i="14609"/>
  <c r="HE193" i="14609"/>
  <c r="HF193" i="14609"/>
  <c r="HG193" i="14609"/>
  <c r="HH193" i="14609"/>
  <c r="HI193" i="14609"/>
  <c r="HJ193" i="14609"/>
  <c r="HK193" i="14609"/>
  <c r="HL193" i="14609"/>
  <c r="HM193" i="14609"/>
  <c r="HN193" i="14609"/>
  <c r="HO193" i="14609"/>
  <c r="HP193" i="14609"/>
  <c r="HQ193" i="14609"/>
  <c r="HR193" i="14609"/>
  <c r="HS193" i="14609"/>
  <c r="HT193" i="14609"/>
  <c r="HU193" i="14609"/>
  <c r="HV193" i="14609"/>
  <c r="HW193" i="14609"/>
  <c r="HX193" i="14609"/>
  <c r="HY193" i="14609"/>
  <c r="HZ193" i="14609"/>
  <c r="IA193" i="14609"/>
  <c r="IB193" i="14609"/>
  <c r="IC193" i="14609"/>
  <c r="ID193" i="14609"/>
  <c r="IE193" i="14609"/>
  <c r="IF193" i="14609"/>
  <c r="IG193" i="14609"/>
  <c r="IH193" i="14609"/>
  <c r="II193" i="14609"/>
  <c r="IJ193" i="14609"/>
  <c r="IK193" i="14609"/>
  <c r="IL193" i="14609"/>
  <c r="IM193" i="14609"/>
  <c r="IN193" i="14609"/>
  <c r="IO193" i="14609"/>
  <c r="IP193" i="14609"/>
  <c r="IQ193" i="14609"/>
  <c r="IR193" i="14609"/>
  <c r="IS193" i="14609"/>
  <c r="IT193" i="14609"/>
  <c r="IU193" i="14609"/>
  <c r="IV193" i="14609"/>
  <c r="A192" i="14609"/>
  <c r="B192" i="14609"/>
  <c r="C192" i="14609"/>
  <c r="D192" i="14609"/>
  <c r="E192" i="14609"/>
  <c r="F192" i="14609"/>
  <c r="G192" i="14609"/>
  <c r="H192" i="14609"/>
  <c r="I192" i="14609"/>
  <c r="J192" i="14609"/>
  <c r="K192" i="14609"/>
  <c r="L192" i="14609"/>
  <c r="M192" i="14609"/>
  <c r="N192" i="14609"/>
  <c r="O192" i="14609"/>
  <c r="P192" i="14609"/>
  <c r="Q192" i="14609"/>
  <c r="R192" i="14609"/>
  <c r="S192" i="14609"/>
  <c r="T192" i="14609"/>
  <c r="U192" i="14609"/>
  <c r="V192" i="14609"/>
  <c r="W192" i="14609"/>
  <c r="X192" i="14609"/>
  <c r="Y192" i="14609"/>
  <c r="Z192" i="14609"/>
  <c r="AA192" i="14609"/>
  <c r="AB192" i="14609"/>
  <c r="AC192" i="14609"/>
  <c r="AD192" i="14609"/>
  <c r="AE192" i="14609"/>
  <c r="AF192" i="14609"/>
  <c r="AG192" i="14609"/>
  <c r="AH192" i="14609"/>
  <c r="AI192" i="14609"/>
  <c r="AJ192" i="14609"/>
  <c r="AK192" i="14609"/>
  <c r="AL192" i="14609"/>
  <c r="AM192" i="14609"/>
  <c r="AN192" i="14609"/>
  <c r="AO192" i="14609"/>
  <c r="AP192" i="14609"/>
  <c r="AQ192" i="14609"/>
  <c r="AR192" i="14609"/>
  <c r="AS192" i="14609"/>
  <c r="AT192" i="14609"/>
  <c r="AU192" i="14609"/>
  <c r="AV192" i="14609"/>
  <c r="AW192" i="14609"/>
  <c r="AX192" i="14609"/>
  <c r="AY192" i="14609"/>
  <c r="AZ192" i="14609"/>
  <c r="BA192" i="14609"/>
  <c r="BB192" i="14609"/>
  <c r="BC192" i="14609"/>
  <c r="BD192" i="14609"/>
  <c r="BE192" i="14609"/>
  <c r="BF192" i="14609"/>
  <c r="BG192" i="14609"/>
  <c r="BH192" i="14609"/>
  <c r="BI192" i="14609"/>
  <c r="BJ192" i="14609"/>
  <c r="BK192" i="14609"/>
  <c r="BL192" i="14609"/>
  <c r="BM192" i="14609"/>
  <c r="BN192" i="14609"/>
  <c r="BO192" i="14609"/>
  <c r="BP192" i="14609"/>
  <c r="BQ192" i="14609"/>
  <c r="BR192" i="14609"/>
  <c r="BS192" i="14609"/>
  <c r="BT192" i="14609"/>
  <c r="BU192" i="14609"/>
  <c r="BV192" i="14609"/>
  <c r="BW192" i="14609"/>
  <c r="BX192" i="14609"/>
  <c r="BY192" i="14609"/>
  <c r="BZ192" i="14609"/>
  <c r="CA192" i="14609"/>
  <c r="CB192" i="14609"/>
  <c r="CC192" i="14609"/>
  <c r="CD192" i="14609"/>
  <c r="CE192" i="14609"/>
  <c r="CF192" i="14609"/>
  <c r="CG192" i="14609"/>
  <c r="CH192" i="14609"/>
  <c r="CI192" i="14609"/>
  <c r="CJ192" i="14609"/>
  <c r="CK192" i="14609"/>
  <c r="CL192" i="14609"/>
  <c r="CM192" i="14609"/>
  <c r="CN192" i="14609"/>
  <c r="CO192" i="14609"/>
  <c r="CP192" i="14609"/>
  <c r="CQ192" i="14609"/>
  <c r="CR192" i="14609"/>
  <c r="CS192" i="14609"/>
  <c r="CT192" i="14609"/>
  <c r="CU192" i="14609"/>
  <c r="CV192" i="14609"/>
  <c r="CW192" i="14609"/>
  <c r="CX192" i="14609"/>
  <c r="CY192" i="14609"/>
  <c r="CZ192" i="14609"/>
  <c r="DA192" i="14609"/>
  <c r="DB192" i="14609"/>
  <c r="DC192" i="14609"/>
  <c r="DD192" i="14609"/>
  <c r="DE192" i="14609"/>
  <c r="DF192" i="14609"/>
  <c r="DG192" i="14609"/>
  <c r="DH192" i="14609"/>
  <c r="DI192" i="14609"/>
  <c r="DJ192" i="14609"/>
  <c r="DK192" i="14609"/>
  <c r="DL192" i="14609"/>
  <c r="DM192" i="14609"/>
  <c r="DN192" i="14609"/>
  <c r="DO192" i="14609"/>
  <c r="DP192" i="14609"/>
  <c r="DQ192" i="14609"/>
  <c r="DR192" i="14609"/>
  <c r="DS192" i="14609"/>
  <c r="DT192" i="14609"/>
  <c r="DU192" i="14609"/>
  <c r="DV192" i="14609"/>
  <c r="DW192" i="14609"/>
  <c r="DX192" i="14609"/>
  <c r="DY192" i="14609"/>
  <c r="DZ192" i="14609"/>
  <c r="EA192" i="14609"/>
  <c r="EB192" i="14609"/>
  <c r="EC192" i="14609"/>
  <c r="ED192" i="14609"/>
  <c r="EE192" i="14609"/>
  <c r="EF192" i="14609"/>
  <c r="EG192" i="14609"/>
  <c r="EH192" i="14609"/>
  <c r="EI192" i="14609"/>
  <c r="EJ192" i="14609"/>
  <c r="EK192" i="14609"/>
  <c r="EL192" i="14609"/>
  <c r="EM192" i="14609"/>
  <c r="EN192" i="14609"/>
  <c r="EO192" i="14609"/>
  <c r="EP192" i="14609"/>
  <c r="EQ192" i="14609"/>
  <c r="ER192" i="14609"/>
  <c r="ES192" i="14609"/>
  <c r="ET192" i="14609"/>
  <c r="EU192" i="14609"/>
  <c r="EV192" i="14609"/>
  <c r="EW192" i="14609"/>
  <c r="EX192" i="14609"/>
  <c r="EY192" i="14609"/>
  <c r="EZ192" i="14609"/>
  <c r="FA192" i="14609"/>
  <c r="FB192" i="14609"/>
  <c r="FC192" i="14609"/>
  <c r="FD192" i="14609"/>
  <c r="FE192" i="14609"/>
  <c r="FF192" i="14609"/>
  <c r="FG192" i="14609"/>
  <c r="FH192" i="14609"/>
  <c r="FI192" i="14609"/>
  <c r="FJ192" i="14609"/>
  <c r="FK192" i="14609"/>
  <c r="FL192" i="14609"/>
  <c r="FM192" i="14609"/>
  <c r="FN192" i="14609"/>
  <c r="FO192" i="14609"/>
  <c r="FP192" i="14609"/>
  <c r="FQ192" i="14609"/>
  <c r="FR192" i="14609"/>
  <c r="FS192" i="14609"/>
  <c r="FT192" i="14609"/>
  <c r="FU192" i="14609"/>
  <c r="FV192" i="14609"/>
  <c r="FW192" i="14609"/>
  <c r="FX192" i="14609"/>
  <c r="FY192" i="14609"/>
  <c r="FZ192" i="14609"/>
  <c r="GA192" i="14609"/>
  <c r="GB192" i="14609"/>
  <c r="GC192" i="14609"/>
  <c r="GD192" i="14609"/>
  <c r="GE192" i="14609"/>
  <c r="GF192" i="14609"/>
  <c r="GG192" i="14609"/>
  <c r="GH192" i="14609"/>
  <c r="GI192" i="14609"/>
  <c r="GJ192" i="14609"/>
  <c r="GK192" i="14609"/>
  <c r="GL192" i="14609"/>
  <c r="GM192" i="14609"/>
  <c r="GN192" i="14609"/>
  <c r="GO192" i="14609"/>
  <c r="GP192" i="14609"/>
  <c r="GQ192" i="14609"/>
  <c r="GR192" i="14609"/>
  <c r="GS192" i="14609"/>
  <c r="GT192" i="14609"/>
  <c r="GU192" i="14609"/>
  <c r="GV192" i="14609"/>
  <c r="GW192" i="14609"/>
  <c r="GX192" i="14609"/>
  <c r="GY192" i="14609"/>
  <c r="GZ192" i="14609"/>
  <c r="HA192" i="14609"/>
  <c r="HB192" i="14609"/>
  <c r="HC192" i="14609"/>
  <c r="HD192" i="14609"/>
  <c r="HE192" i="14609"/>
  <c r="HF192" i="14609"/>
  <c r="HG192" i="14609"/>
  <c r="HH192" i="14609"/>
  <c r="HI192" i="14609"/>
  <c r="HJ192" i="14609"/>
  <c r="HK192" i="14609"/>
  <c r="HL192" i="14609"/>
  <c r="HM192" i="14609"/>
  <c r="HN192" i="14609"/>
  <c r="HO192" i="14609"/>
  <c r="HP192" i="14609"/>
  <c r="HQ192" i="14609"/>
  <c r="HR192" i="14609"/>
  <c r="HS192" i="14609"/>
  <c r="HT192" i="14609"/>
  <c r="HU192" i="14609"/>
  <c r="HV192" i="14609"/>
  <c r="HW192" i="14609"/>
  <c r="HX192" i="14609"/>
  <c r="HY192" i="14609"/>
  <c r="HZ192" i="14609"/>
  <c r="IA192" i="14609"/>
  <c r="IB192" i="14609"/>
  <c r="IC192" i="14609"/>
  <c r="ID192" i="14609"/>
  <c r="IE192" i="14609"/>
  <c r="IF192" i="14609"/>
  <c r="IG192" i="14609"/>
  <c r="IH192" i="14609"/>
  <c r="II192" i="14609"/>
  <c r="IJ192" i="14609"/>
  <c r="IK192" i="14609"/>
  <c r="IL192" i="14609"/>
  <c r="IM192" i="14609"/>
  <c r="IN192" i="14609"/>
  <c r="IO192" i="14609"/>
  <c r="IP192" i="14609"/>
  <c r="IQ192" i="14609"/>
  <c r="IR192" i="14609"/>
  <c r="IS192" i="14609"/>
  <c r="IT192" i="14609"/>
  <c r="IU192" i="14609"/>
  <c r="IV192" i="14609"/>
  <c r="A191" i="14609"/>
  <c r="B191" i="14609"/>
  <c r="C191" i="14609"/>
  <c r="D191" i="14609"/>
  <c r="E191" i="14609"/>
  <c r="F191" i="14609"/>
  <c r="G191" i="14609"/>
  <c r="H191" i="14609"/>
  <c r="I191" i="14609"/>
  <c r="J191" i="14609"/>
  <c r="K191" i="14609"/>
  <c r="L191" i="14609"/>
  <c r="M191" i="14609"/>
  <c r="N191" i="14609"/>
  <c r="O191" i="14609"/>
  <c r="P191" i="14609"/>
  <c r="Q191" i="14609"/>
  <c r="R191" i="14609"/>
  <c r="S191" i="14609"/>
  <c r="T191" i="14609"/>
  <c r="U191" i="14609"/>
  <c r="V191" i="14609"/>
  <c r="W191" i="14609"/>
  <c r="X191" i="14609"/>
  <c r="Y191" i="14609"/>
  <c r="Z191" i="14609"/>
  <c r="AA191" i="14609"/>
  <c r="AB191" i="14609"/>
  <c r="AC191" i="14609"/>
  <c r="AD191" i="14609"/>
  <c r="AE191" i="14609"/>
  <c r="AF191" i="14609"/>
  <c r="AG191" i="14609"/>
  <c r="AH191" i="14609"/>
  <c r="AI191" i="14609"/>
  <c r="AJ191" i="14609"/>
  <c r="AK191" i="14609"/>
  <c r="AL191" i="14609"/>
  <c r="AM191" i="14609"/>
  <c r="AN191" i="14609"/>
  <c r="AO191" i="14609"/>
  <c r="AP191" i="14609"/>
  <c r="AQ191" i="14609"/>
  <c r="AR191" i="14609"/>
  <c r="AS191" i="14609"/>
  <c r="AT191" i="14609"/>
  <c r="AU191" i="14609"/>
  <c r="AV191" i="14609"/>
  <c r="AW191" i="14609"/>
  <c r="AX191" i="14609"/>
  <c r="AY191" i="14609"/>
  <c r="AZ191" i="14609"/>
  <c r="BA191" i="14609"/>
  <c r="BB191" i="14609"/>
  <c r="BC191" i="14609"/>
  <c r="BD191" i="14609"/>
  <c r="BE191" i="14609"/>
  <c r="BF191" i="14609"/>
  <c r="BG191" i="14609"/>
  <c r="BH191" i="14609"/>
  <c r="BI191" i="14609"/>
  <c r="BJ191" i="14609"/>
  <c r="BK191" i="14609"/>
  <c r="BL191" i="14609"/>
  <c r="BM191" i="14609"/>
  <c r="BN191" i="14609"/>
  <c r="BO191" i="14609"/>
  <c r="BP191" i="14609"/>
  <c r="BQ191" i="14609"/>
  <c r="BR191" i="14609"/>
  <c r="BS191" i="14609"/>
  <c r="BT191" i="14609"/>
  <c r="BU191" i="14609"/>
  <c r="BV191" i="14609"/>
  <c r="BW191" i="14609"/>
  <c r="BX191" i="14609"/>
  <c r="BY191" i="14609"/>
  <c r="BZ191" i="14609"/>
  <c r="CA191" i="14609"/>
  <c r="CB191" i="14609"/>
  <c r="CC191" i="14609"/>
  <c r="CD191" i="14609"/>
  <c r="CE191" i="14609"/>
  <c r="CF191" i="14609"/>
  <c r="CG191" i="14609"/>
  <c r="CH191" i="14609"/>
  <c r="CI191" i="14609"/>
  <c r="CJ191" i="14609"/>
  <c r="CK191" i="14609"/>
  <c r="CL191" i="14609"/>
  <c r="CM191" i="14609"/>
  <c r="CN191" i="14609"/>
  <c r="CO191" i="14609"/>
  <c r="CP191" i="14609"/>
  <c r="CQ191" i="14609"/>
  <c r="CR191" i="14609"/>
  <c r="CS191" i="14609"/>
  <c r="CT191" i="14609"/>
  <c r="CU191" i="14609"/>
  <c r="CV191" i="14609"/>
  <c r="CW191" i="14609"/>
  <c r="CX191" i="14609"/>
  <c r="CY191" i="14609"/>
  <c r="CZ191" i="14609"/>
  <c r="DA191" i="14609"/>
  <c r="DB191" i="14609"/>
  <c r="DC191" i="14609"/>
  <c r="DD191" i="14609"/>
  <c r="DE191" i="14609"/>
  <c r="DF191" i="14609"/>
  <c r="DG191" i="14609"/>
  <c r="DH191" i="14609"/>
  <c r="DI191" i="14609"/>
  <c r="DJ191" i="14609"/>
  <c r="DK191" i="14609"/>
  <c r="DL191" i="14609"/>
  <c r="DM191" i="14609"/>
  <c r="DN191" i="14609"/>
  <c r="DO191" i="14609"/>
  <c r="DP191" i="14609"/>
  <c r="DQ191" i="14609"/>
  <c r="DR191" i="14609"/>
  <c r="DS191" i="14609"/>
  <c r="DT191" i="14609"/>
  <c r="DU191" i="14609"/>
  <c r="DV191" i="14609"/>
  <c r="DW191" i="14609"/>
  <c r="DX191" i="14609"/>
  <c r="DY191" i="14609"/>
  <c r="DZ191" i="14609"/>
  <c r="EA191" i="14609"/>
  <c r="EB191" i="14609"/>
  <c r="EC191" i="14609"/>
  <c r="ED191" i="14609"/>
  <c r="EE191" i="14609"/>
  <c r="EF191" i="14609"/>
  <c r="EG191" i="14609"/>
  <c r="EH191" i="14609"/>
  <c r="EI191" i="14609"/>
  <c r="EJ191" i="14609"/>
  <c r="EK191" i="14609"/>
  <c r="EL191" i="14609"/>
  <c r="EM191" i="14609"/>
  <c r="EN191" i="14609"/>
  <c r="EO191" i="14609"/>
  <c r="EP191" i="14609"/>
  <c r="EQ191" i="14609"/>
  <c r="ER191" i="14609"/>
  <c r="ES191" i="14609"/>
  <c r="ET191" i="14609"/>
  <c r="EU191" i="14609"/>
  <c r="EV191" i="14609"/>
  <c r="EW191" i="14609"/>
  <c r="EX191" i="14609"/>
  <c r="EY191" i="14609"/>
  <c r="EZ191" i="14609"/>
  <c r="FA191" i="14609"/>
  <c r="FB191" i="14609"/>
  <c r="FC191" i="14609"/>
  <c r="FD191" i="14609"/>
  <c r="FE191" i="14609"/>
  <c r="FF191" i="14609"/>
  <c r="FG191" i="14609"/>
  <c r="FH191" i="14609"/>
  <c r="FI191" i="14609"/>
  <c r="FJ191" i="14609"/>
  <c r="FK191" i="14609"/>
  <c r="FL191" i="14609"/>
  <c r="FM191" i="14609"/>
  <c r="FN191" i="14609"/>
  <c r="FO191" i="14609"/>
  <c r="FP191" i="14609"/>
  <c r="FQ191" i="14609"/>
  <c r="FR191" i="14609"/>
  <c r="FS191" i="14609"/>
  <c r="FT191" i="14609"/>
  <c r="FU191" i="14609"/>
  <c r="FV191" i="14609"/>
  <c r="FW191" i="14609"/>
  <c r="FX191" i="14609"/>
  <c r="FY191" i="14609"/>
  <c r="FZ191" i="14609"/>
  <c r="GA191" i="14609"/>
  <c r="GB191" i="14609"/>
  <c r="GC191" i="14609"/>
  <c r="GD191" i="14609"/>
  <c r="GE191" i="14609"/>
  <c r="GF191" i="14609"/>
  <c r="GG191" i="14609"/>
  <c r="GH191" i="14609"/>
  <c r="GI191" i="14609"/>
  <c r="GJ191" i="14609"/>
  <c r="GK191" i="14609"/>
  <c r="GL191" i="14609"/>
  <c r="GM191" i="14609"/>
  <c r="GN191" i="14609"/>
  <c r="GO191" i="14609"/>
  <c r="GP191" i="14609"/>
  <c r="GQ191" i="14609"/>
  <c r="GR191" i="14609"/>
  <c r="GS191" i="14609"/>
  <c r="GT191" i="14609"/>
  <c r="GU191" i="14609"/>
  <c r="GV191" i="14609"/>
  <c r="GW191" i="14609"/>
  <c r="GX191" i="14609"/>
  <c r="GY191" i="14609"/>
  <c r="GZ191" i="14609"/>
  <c r="HA191" i="14609"/>
  <c r="HB191" i="14609"/>
  <c r="HC191" i="14609"/>
  <c r="HD191" i="14609"/>
  <c r="HE191" i="14609"/>
  <c r="HF191" i="14609"/>
  <c r="HG191" i="14609"/>
  <c r="HH191" i="14609"/>
  <c r="HI191" i="14609"/>
  <c r="HJ191" i="14609"/>
  <c r="HK191" i="14609"/>
  <c r="HL191" i="14609"/>
  <c r="HM191" i="14609"/>
  <c r="HN191" i="14609"/>
  <c r="HO191" i="14609"/>
  <c r="HP191" i="14609"/>
  <c r="HQ191" i="14609"/>
  <c r="HR191" i="14609"/>
  <c r="HS191" i="14609"/>
  <c r="HT191" i="14609"/>
  <c r="HU191" i="14609"/>
  <c r="HV191" i="14609"/>
  <c r="HW191" i="14609"/>
  <c r="HX191" i="14609"/>
  <c r="HY191" i="14609"/>
  <c r="HZ191" i="14609"/>
  <c r="IA191" i="14609"/>
  <c r="IB191" i="14609"/>
  <c r="IC191" i="14609"/>
  <c r="ID191" i="14609"/>
  <c r="IE191" i="14609"/>
  <c r="IF191" i="14609"/>
  <c r="IG191" i="14609"/>
  <c r="IH191" i="14609"/>
  <c r="II191" i="14609"/>
  <c r="IJ191" i="14609"/>
  <c r="IK191" i="14609"/>
  <c r="IL191" i="14609"/>
  <c r="IM191" i="14609"/>
  <c r="IN191" i="14609"/>
  <c r="IO191" i="14609"/>
  <c r="IP191" i="14609"/>
  <c r="IQ191" i="14609"/>
  <c r="IR191" i="14609"/>
  <c r="IS191" i="14609"/>
  <c r="IT191" i="14609"/>
  <c r="IU191" i="14609"/>
  <c r="IV191" i="14609"/>
  <c r="A190" i="14609"/>
  <c r="B190" i="14609"/>
  <c r="C190" i="14609"/>
  <c r="D190" i="14609"/>
  <c r="E190" i="14609"/>
  <c r="F190" i="14609"/>
  <c r="G190" i="14609"/>
  <c r="H190" i="14609"/>
  <c r="I190" i="14609"/>
  <c r="J190" i="14609"/>
  <c r="K190" i="14609"/>
  <c r="L190" i="14609"/>
  <c r="M190" i="14609"/>
  <c r="N190" i="14609"/>
  <c r="O190" i="14609"/>
  <c r="P190" i="14609"/>
  <c r="Q190" i="14609"/>
  <c r="R190" i="14609"/>
  <c r="S190" i="14609"/>
  <c r="T190" i="14609"/>
  <c r="U190" i="14609"/>
  <c r="V190" i="14609"/>
  <c r="W190" i="14609"/>
  <c r="X190" i="14609"/>
  <c r="Y190" i="14609"/>
  <c r="Z190" i="14609"/>
  <c r="AA190" i="14609"/>
  <c r="AB190" i="14609"/>
  <c r="AC190" i="14609"/>
  <c r="AD190" i="14609"/>
  <c r="AE190" i="14609"/>
  <c r="AF190" i="14609"/>
  <c r="AG190" i="14609"/>
  <c r="AH190" i="14609"/>
  <c r="AI190" i="14609"/>
  <c r="AJ190" i="14609"/>
  <c r="AK190" i="14609"/>
  <c r="AL190" i="14609"/>
  <c r="AM190" i="14609"/>
  <c r="AN190" i="14609"/>
  <c r="AO190" i="14609"/>
  <c r="AP190" i="14609"/>
  <c r="AQ190" i="14609"/>
  <c r="AR190" i="14609"/>
  <c r="AS190" i="14609"/>
  <c r="AT190" i="14609"/>
  <c r="AU190" i="14609"/>
  <c r="AV190" i="14609"/>
  <c r="AW190" i="14609"/>
  <c r="AX190" i="14609"/>
  <c r="AY190" i="14609"/>
  <c r="AZ190" i="14609"/>
  <c r="BA190" i="14609"/>
  <c r="BB190" i="14609"/>
  <c r="BC190" i="14609"/>
  <c r="BD190" i="14609"/>
  <c r="BE190" i="14609"/>
  <c r="BF190" i="14609"/>
  <c r="BG190" i="14609"/>
  <c r="BH190" i="14609"/>
  <c r="BI190" i="14609"/>
  <c r="BJ190" i="14609"/>
  <c r="BK190" i="14609"/>
  <c r="BL190" i="14609"/>
  <c r="BM190" i="14609"/>
  <c r="BN190" i="14609"/>
  <c r="BO190" i="14609"/>
  <c r="BP190" i="14609"/>
  <c r="BQ190" i="14609"/>
  <c r="BR190" i="14609"/>
  <c r="BS190" i="14609"/>
  <c r="BT190" i="14609"/>
  <c r="BU190" i="14609"/>
  <c r="BV190" i="14609"/>
  <c r="BW190" i="14609"/>
  <c r="BX190" i="14609"/>
  <c r="BY190" i="14609"/>
  <c r="BZ190" i="14609"/>
  <c r="CA190" i="14609"/>
  <c r="CB190" i="14609"/>
  <c r="CC190" i="14609"/>
  <c r="CD190" i="14609"/>
  <c r="CE190" i="14609"/>
  <c r="CF190" i="14609"/>
  <c r="CG190" i="14609"/>
  <c r="CH190" i="14609"/>
  <c r="CI190" i="14609"/>
  <c r="CJ190" i="14609"/>
  <c r="CK190" i="14609"/>
  <c r="CL190" i="14609"/>
  <c r="CM190" i="14609"/>
  <c r="CN190" i="14609"/>
  <c r="CO190" i="14609"/>
  <c r="CP190" i="14609"/>
  <c r="CQ190" i="14609"/>
  <c r="CR190" i="14609"/>
  <c r="CS190" i="14609"/>
  <c r="CT190" i="14609"/>
  <c r="CU190" i="14609"/>
  <c r="CV190" i="14609"/>
  <c r="CW190" i="14609"/>
  <c r="CX190" i="14609"/>
  <c r="CY190" i="14609"/>
  <c r="CZ190" i="14609"/>
  <c r="DA190" i="14609"/>
  <c r="DB190" i="14609"/>
  <c r="DC190" i="14609"/>
  <c r="DD190" i="14609"/>
  <c r="DE190" i="14609"/>
  <c r="DF190" i="14609"/>
  <c r="DG190" i="14609"/>
  <c r="DH190" i="14609"/>
  <c r="DI190" i="14609"/>
  <c r="DJ190" i="14609"/>
  <c r="DK190" i="14609"/>
  <c r="DL190" i="14609"/>
  <c r="DM190" i="14609"/>
  <c r="DN190" i="14609"/>
  <c r="DO190" i="14609"/>
  <c r="DP190" i="14609"/>
  <c r="DQ190" i="14609"/>
  <c r="DR190" i="14609"/>
  <c r="DS190" i="14609"/>
  <c r="DT190" i="14609"/>
  <c r="DU190" i="14609"/>
  <c r="DV190" i="14609"/>
  <c r="DW190" i="14609"/>
  <c r="DX190" i="14609"/>
  <c r="DY190" i="14609"/>
  <c r="DZ190" i="14609"/>
  <c r="EA190" i="14609"/>
  <c r="EB190" i="14609"/>
  <c r="EC190" i="14609"/>
  <c r="ED190" i="14609"/>
  <c r="EE190" i="14609"/>
  <c r="EF190" i="14609"/>
  <c r="EG190" i="14609"/>
  <c r="EH190" i="14609"/>
  <c r="EI190" i="14609"/>
  <c r="EJ190" i="14609"/>
  <c r="EK190" i="14609"/>
  <c r="EL190" i="14609"/>
  <c r="EM190" i="14609"/>
  <c r="EN190" i="14609"/>
  <c r="EO190" i="14609"/>
  <c r="EP190" i="14609"/>
  <c r="EQ190" i="14609"/>
  <c r="ER190" i="14609"/>
  <c r="ES190" i="14609"/>
  <c r="ET190" i="14609"/>
  <c r="EU190" i="14609"/>
  <c r="EV190" i="14609"/>
  <c r="EW190" i="14609"/>
  <c r="EX190" i="14609"/>
  <c r="EY190" i="14609"/>
  <c r="EZ190" i="14609"/>
  <c r="FA190" i="14609"/>
  <c r="FB190" i="14609"/>
  <c r="FC190" i="14609"/>
  <c r="FD190" i="14609"/>
  <c r="FE190" i="14609"/>
  <c r="FF190" i="14609"/>
  <c r="FG190" i="14609"/>
  <c r="FH190" i="14609"/>
  <c r="FI190" i="14609"/>
  <c r="FJ190" i="14609"/>
  <c r="FK190" i="14609"/>
  <c r="FL190" i="14609"/>
  <c r="FM190" i="14609"/>
  <c r="FN190" i="14609"/>
  <c r="FO190" i="14609"/>
  <c r="FP190" i="14609"/>
  <c r="FQ190" i="14609"/>
  <c r="FR190" i="14609"/>
  <c r="FS190" i="14609"/>
  <c r="FT190" i="14609"/>
  <c r="FU190" i="14609"/>
  <c r="FV190" i="14609"/>
  <c r="FW190" i="14609"/>
  <c r="FX190" i="14609"/>
  <c r="FY190" i="14609"/>
  <c r="FZ190" i="14609"/>
  <c r="GA190" i="14609"/>
  <c r="GB190" i="14609"/>
  <c r="GC190" i="14609"/>
  <c r="GD190" i="14609"/>
  <c r="GE190" i="14609"/>
  <c r="GF190" i="14609"/>
  <c r="GG190" i="14609"/>
  <c r="GH190" i="14609"/>
  <c r="GI190" i="14609"/>
  <c r="GJ190" i="14609"/>
  <c r="GK190" i="14609"/>
  <c r="GL190" i="14609"/>
  <c r="GM190" i="14609"/>
  <c r="GN190" i="14609"/>
  <c r="GO190" i="14609"/>
  <c r="GP190" i="14609"/>
  <c r="GQ190" i="14609"/>
  <c r="GR190" i="14609"/>
  <c r="GS190" i="14609"/>
  <c r="GT190" i="14609"/>
  <c r="GU190" i="14609"/>
  <c r="GV190" i="14609"/>
  <c r="GW190" i="14609"/>
  <c r="GX190" i="14609"/>
  <c r="GY190" i="14609"/>
  <c r="GZ190" i="14609"/>
  <c r="HA190" i="14609"/>
  <c r="HB190" i="14609"/>
  <c r="HC190" i="14609"/>
  <c r="HD190" i="14609"/>
  <c r="HE190" i="14609"/>
  <c r="HF190" i="14609"/>
  <c r="HG190" i="14609"/>
  <c r="HH190" i="14609"/>
  <c r="HI190" i="14609"/>
  <c r="HJ190" i="14609"/>
  <c r="HK190" i="14609"/>
  <c r="HL190" i="14609"/>
  <c r="HM190" i="14609"/>
  <c r="HN190" i="14609"/>
  <c r="HO190" i="14609"/>
  <c r="HP190" i="14609"/>
  <c r="HQ190" i="14609"/>
  <c r="HR190" i="14609"/>
  <c r="HS190" i="14609"/>
  <c r="HT190" i="14609"/>
  <c r="HU190" i="14609"/>
  <c r="HV190" i="14609"/>
  <c r="HW190" i="14609"/>
  <c r="HX190" i="14609"/>
  <c r="HY190" i="14609"/>
  <c r="HZ190" i="14609"/>
  <c r="IA190" i="14609"/>
  <c r="IB190" i="14609"/>
  <c r="IC190" i="14609"/>
  <c r="ID190" i="14609"/>
  <c r="IE190" i="14609"/>
  <c r="IF190" i="14609"/>
  <c r="IG190" i="14609"/>
  <c r="IH190" i="14609"/>
  <c r="II190" i="14609"/>
  <c r="IJ190" i="14609"/>
  <c r="IK190" i="14609"/>
  <c r="IL190" i="14609"/>
  <c r="IM190" i="14609"/>
  <c r="IN190" i="14609"/>
  <c r="IO190" i="14609"/>
  <c r="IP190" i="14609"/>
  <c r="IQ190" i="14609"/>
  <c r="IR190" i="14609"/>
  <c r="IS190" i="14609"/>
  <c r="IT190" i="14609"/>
  <c r="IU190" i="14609"/>
  <c r="IV190" i="14609"/>
  <c r="A189" i="14609"/>
  <c r="B189" i="14609"/>
  <c r="C189" i="14609"/>
  <c r="D189" i="14609"/>
  <c r="E189" i="14609"/>
  <c r="F189" i="14609"/>
  <c r="G189" i="14609"/>
  <c r="H189" i="14609"/>
  <c r="I189" i="14609"/>
  <c r="J189" i="14609"/>
  <c r="K189" i="14609"/>
  <c r="L189" i="14609"/>
  <c r="M189" i="14609"/>
  <c r="N189" i="14609"/>
  <c r="O189" i="14609"/>
  <c r="P189" i="14609"/>
  <c r="Q189" i="14609"/>
  <c r="R189" i="14609"/>
  <c r="S189" i="14609"/>
  <c r="T189" i="14609"/>
  <c r="U189" i="14609"/>
  <c r="V189" i="14609"/>
  <c r="W189" i="14609"/>
  <c r="X189" i="14609"/>
  <c r="Y189" i="14609"/>
  <c r="Z189" i="14609"/>
  <c r="AA189" i="14609"/>
  <c r="AB189" i="14609"/>
  <c r="AC189" i="14609"/>
  <c r="AD189" i="14609"/>
  <c r="AE189" i="14609"/>
  <c r="AF189" i="14609"/>
  <c r="AG189" i="14609"/>
  <c r="AH189" i="14609"/>
  <c r="AI189" i="14609"/>
  <c r="AJ189" i="14609"/>
  <c r="AK189" i="14609"/>
  <c r="AL189" i="14609"/>
  <c r="AM189" i="14609"/>
  <c r="AN189" i="14609"/>
  <c r="AO189" i="14609"/>
  <c r="AP189" i="14609"/>
  <c r="AQ189" i="14609"/>
  <c r="AR189" i="14609"/>
  <c r="AS189" i="14609"/>
  <c r="AT189" i="14609"/>
  <c r="AU189" i="14609"/>
  <c r="AV189" i="14609"/>
  <c r="AW189" i="14609"/>
  <c r="AX189" i="14609"/>
  <c r="AY189" i="14609"/>
  <c r="AZ189" i="14609"/>
  <c r="BA189" i="14609"/>
  <c r="BB189" i="14609"/>
  <c r="BC189" i="14609"/>
  <c r="BD189" i="14609"/>
  <c r="BE189" i="14609"/>
  <c r="BF189" i="14609"/>
  <c r="BG189" i="14609"/>
  <c r="BH189" i="14609"/>
  <c r="BI189" i="14609"/>
  <c r="BJ189" i="14609"/>
  <c r="BK189" i="14609"/>
  <c r="BL189" i="14609"/>
  <c r="BM189" i="14609"/>
  <c r="BN189" i="14609"/>
  <c r="BO189" i="14609"/>
  <c r="BP189" i="14609"/>
  <c r="BQ189" i="14609"/>
  <c r="BR189" i="14609"/>
  <c r="BS189" i="14609"/>
  <c r="BT189" i="14609"/>
  <c r="BU189" i="14609"/>
  <c r="BV189" i="14609"/>
  <c r="BW189" i="14609"/>
  <c r="BX189" i="14609"/>
  <c r="BY189" i="14609"/>
  <c r="BZ189" i="14609"/>
  <c r="CA189" i="14609"/>
  <c r="CB189" i="14609"/>
  <c r="CC189" i="14609"/>
  <c r="CD189" i="14609"/>
  <c r="CE189" i="14609"/>
  <c r="CF189" i="14609"/>
  <c r="CG189" i="14609"/>
  <c r="CH189" i="14609"/>
  <c r="CI189" i="14609"/>
  <c r="CJ189" i="14609"/>
  <c r="CK189" i="14609"/>
  <c r="CL189" i="14609"/>
  <c r="CM189" i="14609"/>
  <c r="CN189" i="14609"/>
  <c r="CO189" i="14609"/>
  <c r="CP189" i="14609"/>
  <c r="CQ189" i="14609"/>
  <c r="CR189" i="14609"/>
  <c r="CS189" i="14609"/>
  <c r="CT189" i="14609"/>
  <c r="CU189" i="14609"/>
  <c r="CV189" i="14609"/>
  <c r="CW189" i="14609"/>
  <c r="CX189" i="14609"/>
  <c r="CY189" i="14609"/>
  <c r="CZ189" i="14609"/>
  <c r="DA189" i="14609"/>
  <c r="DB189" i="14609"/>
  <c r="DC189" i="14609"/>
  <c r="DD189" i="14609"/>
  <c r="DE189" i="14609"/>
  <c r="DF189" i="14609"/>
  <c r="DG189" i="14609"/>
  <c r="DH189" i="14609"/>
  <c r="DI189" i="14609"/>
  <c r="DJ189" i="14609"/>
  <c r="DK189" i="14609"/>
  <c r="DL189" i="14609"/>
  <c r="DM189" i="14609"/>
  <c r="DN189" i="14609"/>
  <c r="DO189" i="14609"/>
  <c r="DP189" i="14609"/>
  <c r="DQ189" i="14609"/>
  <c r="DR189" i="14609"/>
  <c r="DS189" i="14609"/>
  <c r="DT189" i="14609"/>
  <c r="DU189" i="14609"/>
  <c r="DV189" i="14609"/>
  <c r="DW189" i="14609"/>
  <c r="DX189" i="14609"/>
  <c r="DY189" i="14609"/>
  <c r="DZ189" i="14609"/>
  <c r="EA189" i="14609"/>
  <c r="EB189" i="14609"/>
  <c r="EC189" i="14609"/>
  <c r="ED189" i="14609"/>
  <c r="EE189" i="14609"/>
  <c r="EF189" i="14609"/>
  <c r="EG189" i="14609"/>
  <c r="EH189" i="14609"/>
  <c r="EI189" i="14609"/>
  <c r="EJ189" i="14609"/>
  <c r="EK189" i="14609"/>
  <c r="EL189" i="14609"/>
  <c r="EM189" i="14609"/>
  <c r="EN189" i="14609"/>
  <c r="EO189" i="14609"/>
  <c r="EP189" i="14609"/>
  <c r="EQ189" i="14609"/>
  <c r="ER189" i="14609"/>
  <c r="ES189" i="14609"/>
  <c r="ET189" i="14609"/>
  <c r="EU189" i="14609"/>
  <c r="EV189" i="14609"/>
  <c r="EW189" i="14609"/>
  <c r="EX189" i="14609"/>
  <c r="EY189" i="14609"/>
  <c r="EZ189" i="14609"/>
  <c r="FA189" i="14609"/>
  <c r="FB189" i="14609"/>
  <c r="FC189" i="14609"/>
  <c r="FD189" i="14609"/>
  <c r="FE189" i="14609"/>
  <c r="FF189" i="14609"/>
  <c r="FG189" i="14609"/>
  <c r="FH189" i="14609"/>
  <c r="FI189" i="14609"/>
  <c r="FJ189" i="14609"/>
  <c r="FK189" i="14609"/>
  <c r="FL189" i="14609"/>
  <c r="FM189" i="14609"/>
  <c r="FN189" i="14609"/>
  <c r="FO189" i="14609"/>
  <c r="FP189" i="14609"/>
  <c r="FQ189" i="14609"/>
  <c r="FR189" i="14609"/>
  <c r="FS189" i="14609"/>
  <c r="FT189" i="14609"/>
  <c r="FU189" i="14609"/>
  <c r="FV189" i="14609"/>
  <c r="FW189" i="14609"/>
  <c r="FX189" i="14609"/>
  <c r="FY189" i="14609"/>
  <c r="FZ189" i="14609"/>
  <c r="GA189" i="14609"/>
  <c r="GB189" i="14609"/>
  <c r="GC189" i="14609"/>
  <c r="GD189" i="14609"/>
  <c r="GE189" i="14609"/>
  <c r="GF189" i="14609"/>
  <c r="GG189" i="14609"/>
  <c r="GH189" i="14609"/>
  <c r="GI189" i="14609"/>
  <c r="GJ189" i="14609"/>
  <c r="GK189" i="14609"/>
  <c r="GL189" i="14609"/>
  <c r="GM189" i="14609"/>
  <c r="GN189" i="14609"/>
  <c r="GO189" i="14609"/>
  <c r="GP189" i="14609"/>
  <c r="GQ189" i="14609"/>
  <c r="GR189" i="14609"/>
  <c r="GS189" i="14609"/>
  <c r="GT189" i="14609"/>
  <c r="GU189" i="14609"/>
  <c r="GV189" i="14609"/>
  <c r="GW189" i="14609"/>
  <c r="GX189" i="14609"/>
  <c r="GY189" i="14609"/>
  <c r="GZ189" i="14609"/>
  <c r="HA189" i="14609"/>
  <c r="HB189" i="14609"/>
  <c r="HC189" i="14609"/>
  <c r="HD189" i="14609"/>
  <c r="HE189" i="14609"/>
  <c r="HF189" i="14609"/>
  <c r="HG189" i="14609"/>
  <c r="HH189" i="14609"/>
  <c r="HI189" i="14609"/>
  <c r="HJ189" i="14609"/>
  <c r="HK189" i="14609"/>
  <c r="HL189" i="14609"/>
  <c r="HM189" i="14609"/>
  <c r="HN189" i="14609"/>
  <c r="HO189" i="14609"/>
  <c r="HP189" i="14609"/>
  <c r="HQ189" i="14609"/>
  <c r="HR189" i="14609"/>
  <c r="HS189" i="14609"/>
  <c r="HT189" i="14609"/>
  <c r="HU189" i="14609"/>
  <c r="HV189" i="14609"/>
  <c r="HW189" i="14609"/>
  <c r="HX189" i="14609"/>
  <c r="HY189" i="14609"/>
  <c r="HZ189" i="14609"/>
  <c r="IA189" i="14609"/>
  <c r="IB189" i="14609"/>
  <c r="IC189" i="14609"/>
  <c r="ID189" i="14609"/>
  <c r="IE189" i="14609"/>
  <c r="IF189" i="14609"/>
  <c r="IG189" i="14609"/>
  <c r="IH189" i="14609"/>
  <c r="II189" i="14609"/>
  <c r="IJ189" i="14609"/>
  <c r="IK189" i="14609"/>
  <c r="IL189" i="14609"/>
  <c r="IM189" i="14609"/>
  <c r="IN189" i="14609"/>
  <c r="IO189" i="14609"/>
  <c r="IP189" i="14609"/>
  <c r="IQ189" i="14609"/>
  <c r="IR189" i="14609"/>
  <c r="IS189" i="14609"/>
  <c r="IT189" i="14609"/>
  <c r="IU189" i="14609"/>
  <c r="IV189" i="14609"/>
  <c r="A188" i="14609"/>
  <c r="B188" i="14609"/>
  <c r="C188" i="14609"/>
  <c r="D188" i="14609"/>
  <c r="E188" i="14609"/>
  <c r="F188" i="14609"/>
  <c r="G188" i="14609"/>
  <c r="H188" i="14609"/>
  <c r="I188" i="14609"/>
  <c r="J188" i="14609"/>
  <c r="K188" i="14609"/>
  <c r="L188" i="14609"/>
  <c r="M188" i="14609"/>
  <c r="N188" i="14609"/>
  <c r="O188" i="14609"/>
  <c r="P188" i="14609"/>
  <c r="Q188" i="14609"/>
  <c r="R188" i="14609"/>
  <c r="S188" i="14609"/>
  <c r="T188" i="14609"/>
  <c r="U188" i="14609"/>
  <c r="V188" i="14609"/>
  <c r="W188" i="14609"/>
  <c r="X188" i="14609"/>
  <c r="Y188" i="14609"/>
  <c r="Z188" i="14609"/>
  <c r="AA188" i="14609"/>
  <c r="AB188" i="14609"/>
  <c r="AC188" i="14609"/>
  <c r="AD188" i="14609"/>
  <c r="AE188" i="14609"/>
  <c r="AF188" i="14609"/>
  <c r="AG188" i="14609"/>
  <c r="AH188" i="14609"/>
  <c r="AI188" i="14609"/>
  <c r="AJ188" i="14609"/>
  <c r="AK188" i="14609"/>
  <c r="AL188" i="14609"/>
  <c r="AM188" i="14609"/>
  <c r="AN188" i="14609"/>
  <c r="AO188" i="14609"/>
  <c r="AP188" i="14609"/>
  <c r="AQ188" i="14609"/>
  <c r="AR188" i="14609"/>
  <c r="AS188" i="14609"/>
  <c r="AT188" i="14609"/>
  <c r="AU188" i="14609"/>
  <c r="AV188" i="14609"/>
  <c r="AW188" i="14609"/>
  <c r="AX188" i="14609"/>
  <c r="AY188" i="14609"/>
  <c r="AZ188" i="14609"/>
  <c r="BA188" i="14609"/>
  <c r="BB188" i="14609"/>
  <c r="BC188" i="14609"/>
  <c r="BD188" i="14609"/>
  <c r="BE188" i="14609"/>
  <c r="BF188" i="14609"/>
  <c r="BG188" i="14609"/>
  <c r="BH188" i="14609"/>
  <c r="BI188" i="14609"/>
  <c r="BJ188" i="14609"/>
  <c r="BK188" i="14609"/>
  <c r="BL188" i="14609"/>
  <c r="BM188" i="14609"/>
  <c r="BN188" i="14609"/>
  <c r="BO188" i="14609"/>
  <c r="BP188" i="14609"/>
  <c r="BQ188" i="14609"/>
  <c r="BR188" i="14609"/>
  <c r="BS188" i="14609"/>
  <c r="BT188" i="14609"/>
  <c r="BU188" i="14609"/>
  <c r="BV188" i="14609"/>
  <c r="BW188" i="14609"/>
  <c r="BX188" i="14609"/>
  <c r="BY188" i="14609"/>
  <c r="BZ188" i="14609"/>
  <c r="CA188" i="14609"/>
  <c r="CB188" i="14609"/>
  <c r="CC188" i="14609"/>
  <c r="CD188" i="14609"/>
  <c r="CE188" i="14609"/>
  <c r="CF188" i="14609"/>
  <c r="CG188" i="14609"/>
  <c r="CH188" i="14609"/>
  <c r="CI188" i="14609"/>
  <c r="CJ188" i="14609"/>
  <c r="CK188" i="14609"/>
  <c r="CL188" i="14609"/>
  <c r="CM188" i="14609"/>
  <c r="CN188" i="14609"/>
  <c r="CO188" i="14609"/>
  <c r="CP188" i="14609"/>
  <c r="CQ188" i="14609"/>
  <c r="CR188" i="14609"/>
  <c r="CS188" i="14609"/>
  <c r="CT188" i="14609"/>
  <c r="CU188" i="14609"/>
  <c r="CV188" i="14609"/>
  <c r="CW188" i="14609"/>
  <c r="CX188" i="14609"/>
  <c r="CY188" i="14609"/>
  <c r="CZ188" i="14609"/>
  <c r="DA188" i="14609"/>
  <c r="DB188" i="14609"/>
  <c r="DC188" i="14609"/>
  <c r="DD188" i="14609"/>
  <c r="DE188" i="14609"/>
  <c r="DF188" i="14609"/>
  <c r="DG188" i="14609"/>
  <c r="DH188" i="14609"/>
  <c r="DI188" i="14609"/>
  <c r="DJ188" i="14609"/>
  <c r="DK188" i="14609"/>
  <c r="DL188" i="14609"/>
  <c r="DM188" i="14609"/>
  <c r="DN188" i="14609"/>
  <c r="DO188" i="14609"/>
  <c r="DP188" i="14609"/>
  <c r="DQ188" i="14609"/>
  <c r="DR188" i="14609"/>
  <c r="DS188" i="14609"/>
  <c r="DT188" i="14609"/>
  <c r="DU188" i="14609"/>
  <c r="DV188" i="14609"/>
  <c r="DW188" i="14609"/>
  <c r="DX188" i="14609"/>
  <c r="DY188" i="14609"/>
  <c r="DZ188" i="14609"/>
  <c r="EA188" i="14609"/>
  <c r="EB188" i="14609"/>
  <c r="EC188" i="14609"/>
  <c r="ED188" i="14609"/>
  <c r="EE188" i="14609"/>
  <c r="EF188" i="14609"/>
  <c r="EG188" i="14609"/>
  <c r="EH188" i="14609"/>
  <c r="EI188" i="14609"/>
  <c r="EJ188" i="14609"/>
  <c r="EK188" i="14609"/>
  <c r="EL188" i="14609"/>
  <c r="EM188" i="14609"/>
  <c r="EN188" i="14609"/>
  <c r="EO188" i="14609"/>
  <c r="EP188" i="14609"/>
  <c r="EQ188" i="14609"/>
  <c r="ER188" i="14609"/>
  <c r="ES188" i="14609"/>
  <c r="ET188" i="14609"/>
  <c r="EU188" i="14609"/>
  <c r="EV188" i="14609"/>
  <c r="EW188" i="14609"/>
  <c r="EX188" i="14609"/>
  <c r="EY188" i="14609"/>
  <c r="EZ188" i="14609"/>
  <c r="FA188" i="14609"/>
  <c r="FB188" i="14609"/>
  <c r="FC188" i="14609"/>
  <c r="FD188" i="14609"/>
  <c r="FE188" i="14609"/>
  <c r="FF188" i="14609"/>
  <c r="FG188" i="14609"/>
  <c r="FH188" i="14609"/>
  <c r="FI188" i="14609"/>
  <c r="FJ188" i="14609"/>
  <c r="FK188" i="14609"/>
  <c r="FL188" i="14609"/>
  <c r="FM188" i="14609"/>
  <c r="FN188" i="14609"/>
  <c r="FO188" i="14609"/>
  <c r="FP188" i="14609"/>
  <c r="FQ188" i="14609"/>
  <c r="FR188" i="14609"/>
  <c r="FS188" i="14609"/>
  <c r="FT188" i="14609"/>
  <c r="FU188" i="14609"/>
  <c r="FV188" i="14609"/>
  <c r="FW188" i="14609"/>
  <c r="FX188" i="14609"/>
  <c r="FY188" i="14609"/>
  <c r="FZ188" i="14609"/>
  <c r="GA188" i="14609"/>
  <c r="GB188" i="14609"/>
  <c r="GC188" i="14609"/>
  <c r="GD188" i="14609"/>
  <c r="GE188" i="14609"/>
  <c r="GF188" i="14609"/>
  <c r="GG188" i="14609"/>
  <c r="GH188" i="14609"/>
  <c r="GI188" i="14609"/>
  <c r="GJ188" i="14609"/>
  <c r="GK188" i="14609"/>
  <c r="GL188" i="14609"/>
  <c r="GM188" i="14609"/>
  <c r="GN188" i="14609"/>
  <c r="GO188" i="14609"/>
  <c r="GP188" i="14609"/>
  <c r="GQ188" i="14609"/>
  <c r="GR188" i="14609"/>
  <c r="GS188" i="14609"/>
  <c r="GT188" i="14609"/>
  <c r="GU188" i="14609"/>
  <c r="GV188" i="14609"/>
  <c r="GW188" i="14609"/>
  <c r="GX188" i="14609"/>
  <c r="GY188" i="14609"/>
  <c r="GZ188" i="14609"/>
  <c r="HA188" i="14609"/>
  <c r="HB188" i="14609"/>
  <c r="HC188" i="14609"/>
  <c r="HD188" i="14609"/>
  <c r="HE188" i="14609"/>
  <c r="HF188" i="14609"/>
  <c r="HG188" i="14609"/>
  <c r="HH188" i="14609"/>
  <c r="HI188" i="14609"/>
  <c r="HJ188" i="14609"/>
  <c r="HK188" i="14609"/>
  <c r="HL188" i="14609"/>
  <c r="HM188" i="14609"/>
  <c r="HN188" i="14609"/>
  <c r="HO188" i="14609"/>
  <c r="HP188" i="14609"/>
  <c r="HQ188" i="14609"/>
  <c r="HR188" i="14609"/>
  <c r="HS188" i="14609"/>
  <c r="HT188" i="14609"/>
  <c r="HU188" i="14609"/>
  <c r="HV188" i="14609"/>
  <c r="HW188" i="14609"/>
  <c r="HX188" i="14609"/>
  <c r="HY188" i="14609"/>
  <c r="HZ188" i="14609"/>
  <c r="IA188" i="14609"/>
  <c r="IB188" i="14609"/>
  <c r="IC188" i="14609"/>
  <c r="ID188" i="14609"/>
  <c r="IE188" i="14609"/>
  <c r="IF188" i="14609"/>
  <c r="IG188" i="14609"/>
  <c r="IH188" i="14609"/>
  <c r="II188" i="14609"/>
  <c r="IJ188" i="14609"/>
  <c r="IK188" i="14609"/>
  <c r="IL188" i="14609"/>
  <c r="IM188" i="14609"/>
  <c r="IN188" i="14609"/>
  <c r="IO188" i="14609"/>
  <c r="IP188" i="14609"/>
  <c r="IQ188" i="14609"/>
  <c r="IR188" i="14609"/>
  <c r="IS188" i="14609"/>
  <c r="IT188" i="14609"/>
  <c r="IU188" i="14609"/>
  <c r="IV188" i="14609"/>
  <c r="A187" i="14609"/>
  <c r="B187" i="14609"/>
  <c r="C187" i="14609"/>
  <c r="D187" i="14609"/>
  <c r="E187" i="14609"/>
  <c r="F187" i="14609"/>
  <c r="G187" i="14609"/>
  <c r="H187" i="14609"/>
  <c r="I187" i="14609"/>
  <c r="J187" i="14609"/>
  <c r="K187" i="14609"/>
  <c r="L187" i="14609"/>
  <c r="M187" i="14609"/>
  <c r="N187" i="14609"/>
  <c r="O187" i="14609"/>
  <c r="P187" i="14609"/>
  <c r="Q187" i="14609"/>
  <c r="R187" i="14609"/>
  <c r="S187" i="14609"/>
  <c r="T187" i="14609"/>
  <c r="U187" i="14609"/>
  <c r="V187" i="14609"/>
  <c r="W187" i="14609"/>
  <c r="X187" i="14609"/>
  <c r="Y187" i="14609"/>
  <c r="Z187" i="14609"/>
  <c r="AA187" i="14609"/>
  <c r="AB187" i="14609"/>
  <c r="AC187" i="14609"/>
  <c r="AD187" i="14609"/>
  <c r="AE187" i="14609"/>
  <c r="AF187" i="14609"/>
  <c r="AG187" i="14609"/>
  <c r="AH187" i="14609"/>
  <c r="AI187" i="14609"/>
  <c r="AJ187" i="14609"/>
  <c r="AK187" i="14609"/>
  <c r="AL187" i="14609"/>
  <c r="AM187" i="14609"/>
  <c r="AN187" i="14609"/>
  <c r="AO187" i="14609"/>
  <c r="AP187" i="14609"/>
  <c r="AQ187" i="14609"/>
  <c r="AR187" i="14609"/>
  <c r="AS187" i="14609"/>
  <c r="AT187" i="14609"/>
  <c r="AU187" i="14609"/>
  <c r="AV187" i="14609"/>
  <c r="AW187" i="14609"/>
  <c r="AX187" i="14609"/>
  <c r="AY187" i="14609"/>
  <c r="AZ187" i="14609"/>
  <c r="BA187" i="14609"/>
  <c r="BB187" i="14609"/>
  <c r="BC187" i="14609"/>
  <c r="BD187" i="14609"/>
  <c r="BE187" i="14609"/>
  <c r="BF187" i="14609"/>
  <c r="BG187" i="14609"/>
  <c r="BH187" i="14609"/>
  <c r="BI187" i="14609"/>
  <c r="BJ187" i="14609"/>
  <c r="BK187" i="14609"/>
  <c r="BL187" i="14609"/>
  <c r="BM187" i="14609"/>
  <c r="BN187" i="14609"/>
  <c r="BO187" i="14609"/>
  <c r="BP187" i="14609"/>
  <c r="BQ187" i="14609"/>
  <c r="BR187" i="14609"/>
  <c r="BS187" i="14609"/>
  <c r="BT187" i="14609"/>
  <c r="BU187" i="14609"/>
  <c r="BV187" i="14609"/>
  <c r="BW187" i="14609"/>
  <c r="BX187" i="14609"/>
  <c r="BY187" i="14609"/>
  <c r="BZ187" i="14609"/>
  <c r="CA187" i="14609"/>
  <c r="CB187" i="14609"/>
  <c r="CC187" i="14609"/>
  <c r="CD187" i="14609"/>
  <c r="CE187" i="14609"/>
  <c r="CF187" i="14609"/>
  <c r="CG187" i="14609"/>
  <c r="CH187" i="14609"/>
  <c r="CI187" i="14609"/>
  <c r="CJ187" i="14609"/>
  <c r="CK187" i="14609"/>
  <c r="CL187" i="14609"/>
  <c r="CM187" i="14609"/>
  <c r="CN187" i="14609"/>
  <c r="CO187" i="14609"/>
  <c r="CP187" i="14609"/>
  <c r="CQ187" i="14609"/>
  <c r="CR187" i="14609"/>
  <c r="CS187" i="14609"/>
  <c r="CT187" i="14609"/>
  <c r="CU187" i="14609"/>
  <c r="CV187" i="14609"/>
  <c r="CW187" i="14609"/>
  <c r="CX187" i="14609"/>
  <c r="CY187" i="14609"/>
  <c r="CZ187" i="14609"/>
  <c r="DA187" i="14609"/>
  <c r="DB187" i="14609"/>
  <c r="DC187" i="14609"/>
  <c r="DD187" i="14609"/>
  <c r="DE187" i="14609"/>
  <c r="DF187" i="14609"/>
  <c r="DG187" i="14609"/>
  <c r="DH187" i="14609"/>
  <c r="DI187" i="14609"/>
  <c r="DJ187" i="14609"/>
  <c r="DK187" i="14609"/>
  <c r="DL187" i="14609"/>
  <c r="DM187" i="14609"/>
  <c r="DN187" i="14609"/>
  <c r="DO187" i="14609"/>
  <c r="DP187" i="14609"/>
  <c r="DQ187" i="14609"/>
  <c r="DR187" i="14609"/>
  <c r="DS187" i="14609"/>
  <c r="DT187" i="14609"/>
  <c r="DU187" i="14609"/>
  <c r="DV187" i="14609"/>
  <c r="DW187" i="14609"/>
  <c r="DX187" i="14609"/>
  <c r="DY187" i="14609"/>
  <c r="DZ187" i="14609"/>
  <c r="EA187" i="14609"/>
  <c r="EB187" i="14609"/>
  <c r="EC187" i="14609"/>
  <c r="ED187" i="14609"/>
  <c r="EE187" i="14609"/>
  <c r="EF187" i="14609"/>
  <c r="EG187" i="14609"/>
  <c r="EH187" i="14609"/>
  <c r="EI187" i="14609"/>
  <c r="EJ187" i="14609"/>
  <c r="EK187" i="14609"/>
  <c r="EL187" i="14609"/>
  <c r="EM187" i="14609"/>
  <c r="EN187" i="14609"/>
  <c r="EO187" i="14609"/>
  <c r="EP187" i="14609"/>
  <c r="EQ187" i="14609"/>
  <c r="ER187" i="14609"/>
  <c r="ES187" i="14609"/>
  <c r="ET187" i="14609"/>
  <c r="EU187" i="14609"/>
  <c r="EV187" i="14609"/>
  <c r="EW187" i="14609"/>
  <c r="EX187" i="14609"/>
  <c r="EY187" i="14609"/>
  <c r="EZ187" i="14609"/>
  <c r="FA187" i="14609"/>
  <c r="FB187" i="14609"/>
  <c r="FC187" i="14609"/>
  <c r="FD187" i="14609"/>
  <c r="FE187" i="14609"/>
  <c r="FF187" i="14609"/>
  <c r="FG187" i="14609"/>
  <c r="FH187" i="14609"/>
  <c r="FI187" i="14609"/>
  <c r="FJ187" i="14609"/>
  <c r="FK187" i="14609"/>
  <c r="FL187" i="14609"/>
  <c r="FM187" i="14609"/>
  <c r="FN187" i="14609"/>
  <c r="FO187" i="14609"/>
  <c r="FP187" i="14609"/>
  <c r="FQ187" i="14609"/>
  <c r="FR187" i="14609"/>
  <c r="FS187" i="14609"/>
  <c r="FT187" i="14609"/>
  <c r="FU187" i="14609"/>
  <c r="FV187" i="14609"/>
  <c r="FW187" i="14609"/>
  <c r="FX187" i="14609"/>
  <c r="FY187" i="14609"/>
  <c r="FZ187" i="14609"/>
  <c r="GA187" i="14609"/>
  <c r="GB187" i="14609"/>
  <c r="GC187" i="14609"/>
  <c r="GD187" i="14609"/>
  <c r="GE187" i="14609"/>
  <c r="GF187" i="14609"/>
  <c r="GG187" i="14609"/>
  <c r="GH187" i="14609"/>
  <c r="GI187" i="14609"/>
  <c r="GJ187" i="14609"/>
  <c r="GK187" i="14609"/>
  <c r="GL187" i="14609"/>
  <c r="GM187" i="14609"/>
  <c r="GN187" i="14609"/>
  <c r="GO187" i="14609"/>
  <c r="GP187" i="14609"/>
  <c r="GQ187" i="14609"/>
  <c r="GR187" i="14609"/>
  <c r="GS187" i="14609"/>
  <c r="GT187" i="14609"/>
  <c r="GU187" i="14609"/>
  <c r="GV187" i="14609"/>
  <c r="GW187" i="14609"/>
  <c r="GX187" i="14609"/>
  <c r="GY187" i="14609"/>
  <c r="GZ187" i="14609"/>
  <c r="HA187" i="14609"/>
  <c r="HB187" i="14609"/>
  <c r="HC187" i="14609"/>
  <c r="HD187" i="14609"/>
  <c r="HE187" i="14609"/>
  <c r="HF187" i="14609"/>
  <c r="HG187" i="14609"/>
  <c r="HH187" i="14609"/>
  <c r="HI187" i="14609"/>
  <c r="HJ187" i="14609"/>
  <c r="HK187" i="14609"/>
  <c r="HL187" i="14609"/>
  <c r="HM187" i="14609"/>
  <c r="HN187" i="14609"/>
  <c r="HO187" i="14609"/>
  <c r="HP187" i="14609"/>
  <c r="HQ187" i="14609"/>
  <c r="HR187" i="14609"/>
  <c r="HS187" i="14609"/>
  <c r="HT187" i="14609"/>
  <c r="HU187" i="14609"/>
  <c r="HV187" i="14609"/>
  <c r="HW187" i="14609"/>
  <c r="HX187" i="14609"/>
  <c r="HY187" i="14609"/>
  <c r="HZ187" i="14609"/>
  <c r="IA187" i="14609"/>
  <c r="IB187" i="14609"/>
  <c r="IC187" i="14609"/>
  <c r="ID187" i="14609"/>
  <c r="IE187" i="14609"/>
  <c r="IF187" i="14609"/>
  <c r="IG187" i="14609"/>
  <c r="IH187" i="14609"/>
  <c r="II187" i="14609"/>
  <c r="IJ187" i="14609"/>
  <c r="IK187" i="14609"/>
  <c r="IL187" i="14609"/>
  <c r="IM187" i="14609"/>
  <c r="IN187" i="14609"/>
  <c r="IO187" i="14609"/>
  <c r="IP187" i="14609"/>
  <c r="IQ187" i="14609"/>
  <c r="IR187" i="14609"/>
  <c r="IS187" i="14609"/>
  <c r="IT187" i="14609"/>
  <c r="IU187" i="14609"/>
  <c r="IV187" i="14609"/>
  <c r="A186" i="14609"/>
  <c r="B186" i="14609"/>
  <c r="C186" i="14609"/>
  <c r="D186" i="14609"/>
  <c r="E186" i="14609"/>
  <c r="F186" i="14609"/>
  <c r="G186" i="14609"/>
  <c r="H186" i="14609"/>
  <c r="I186" i="14609"/>
  <c r="J186" i="14609"/>
  <c r="K186" i="14609"/>
  <c r="L186" i="14609"/>
  <c r="M186" i="14609"/>
  <c r="N186" i="14609"/>
  <c r="O186" i="14609"/>
  <c r="P186" i="14609"/>
  <c r="Q186" i="14609"/>
  <c r="R186" i="14609"/>
  <c r="S186" i="14609"/>
  <c r="T186" i="14609"/>
  <c r="U186" i="14609"/>
  <c r="V186" i="14609"/>
  <c r="W186" i="14609"/>
  <c r="X186" i="14609"/>
  <c r="Y186" i="14609"/>
  <c r="Z186" i="14609"/>
  <c r="AA186" i="14609"/>
  <c r="AB186" i="14609"/>
  <c r="AC186" i="14609"/>
  <c r="AD186" i="14609"/>
  <c r="AE186" i="14609"/>
  <c r="AF186" i="14609"/>
  <c r="AG186" i="14609"/>
  <c r="AH186" i="14609"/>
  <c r="AI186" i="14609"/>
  <c r="AJ186" i="14609"/>
  <c r="AK186" i="14609"/>
  <c r="AL186" i="14609"/>
  <c r="AM186" i="14609"/>
  <c r="AN186" i="14609"/>
  <c r="AO186" i="14609"/>
  <c r="AP186" i="14609"/>
  <c r="AQ186" i="14609"/>
  <c r="AR186" i="14609"/>
  <c r="AS186" i="14609"/>
  <c r="AT186" i="14609"/>
  <c r="AU186" i="14609"/>
  <c r="AV186" i="14609"/>
  <c r="AW186" i="14609"/>
  <c r="AX186" i="14609"/>
  <c r="AY186" i="14609"/>
  <c r="AZ186" i="14609"/>
  <c r="BA186" i="14609"/>
  <c r="BB186" i="14609"/>
  <c r="BC186" i="14609"/>
  <c r="BD186" i="14609"/>
  <c r="BE186" i="14609"/>
  <c r="BF186" i="14609"/>
  <c r="BG186" i="14609"/>
  <c r="BH186" i="14609"/>
  <c r="BI186" i="14609"/>
  <c r="BJ186" i="14609"/>
  <c r="BK186" i="14609"/>
  <c r="BL186" i="14609"/>
  <c r="BM186" i="14609"/>
  <c r="BN186" i="14609"/>
  <c r="BO186" i="14609"/>
  <c r="BP186" i="14609"/>
  <c r="BQ186" i="14609"/>
  <c r="BR186" i="14609"/>
  <c r="BS186" i="14609"/>
  <c r="BT186" i="14609"/>
  <c r="BU186" i="14609"/>
  <c r="BV186" i="14609"/>
  <c r="BW186" i="14609"/>
  <c r="BX186" i="14609"/>
  <c r="BY186" i="14609"/>
  <c r="BZ186" i="14609"/>
  <c r="CA186" i="14609"/>
  <c r="CB186" i="14609"/>
  <c r="CC186" i="14609"/>
  <c r="CD186" i="14609"/>
  <c r="CE186" i="14609"/>
  <c r="CF186" i="14609"/>
  <c r="CG186" i="14609"/>
  <c r="CH186" i="14609"/>
  <c r="CI186" i="14609"/>
  <c r="CJ186" i="14609"/>
  <c r="CK186" i="14609"/>
  <c r="CL186" i="14609"/>
  <c r="CM186" i="14609"/>
  <c r="CN186" i="14609"/>
  <c r="CO186" i="14609"/>
  <c r="CP186" i="14609"/>
  <c r="CQ186" i="14609"/>
  <c r="CR186" i="14609"/>
  <c r="CS186" i="14609"/>
  <c r="CT186" i="14609"/>
  <c r="CU186" i="14609"/>
  <c r="CV186" i="14609"/>
  <c r="CW186" i="14609"/>
  <c r="CX186" i="14609"/>
  <c r="CY186" i="14609"/>
  <c r="CZ186" i="14609"/>
  <c r="DA186" i="14609"/>
  <c r="DB186" i="14609"/>
  <c r="DC186" i="14609"/>
  <c r="DD186" i="14609"/>
  <c r="DE186" i="14609"/>
  <c r="DF186" i="14609"/>
  <c r="DG186" i="14609"/>
  <c r="DH186" i="14609"/>
  <c r="DI186" i="14609"/>
  <c r="DJ186" i="14609"/>
  <c r="DK186" i="14609"/>
  <c r="DL186" i="14609"/>
  <c r="DM186" i="14609"/>
  <c r="DN186" i="14609"/>
  <c r="DO186" i="14609"/>
  <c r="DP186" i="14609"/>
  <c r="DQ186" i="14609"/>
  <c r="DR186" i="14609"/>
  <c r="DS186" i="14609"/>
  <c r="DT186" i="14609"/>
  <c r="DU186" i="14609"/>
  <c r="DV186" i="14609"/>
  <c r="DW186" i="14609"/>
  <c r="DX186" i="14609"/>
  <c r="DY186" i="14609"/>
  <c r="DZ186" i="14609"/>
  <c r="EA186" i="14609"/>
  <c r="EB186" i="14609"/>
  <c r="EC186" i="14609"/>
  <c r="ED186" i="14609"/>
  <c r="EE186" i="14609"/>
  <c r="EF186" i="14609"/>
  <c r="EG186" i="14609"/>
  <c r="EH186" i="14609"/>
  <c r="EI186" i="14609"/>
  <c r="EJ186" i="14609"/>
  <c r="EK186" i="14609"/>
  <c r="EL186" i="14609"/>
  <c r="EM186" i="14609"/>
  <c r="EN186" i="14609"/>
  <c r="EO186" i="14609"/>
  <c r="EP186" i="14609"/>
  <c r="EQ186" i="14609"/>
  <c r="ER186" i="14609"/>
  <c r="ES186" i="14609"/>
  <c r="ET186" i="14609"/>
  <c r="EU186" i="14609"/>
  <c r="EV186" i="14609"/>
  <c r="EW186" i="14609"/>
  <c r="EX186" i="14609"/>
  <c r="EY186" i="14609"/>
  <c r="EZ186" i="14609"/>
  <c r="FA186" i="14609"/>
  <c r="FB186" i="14609"/>
  <c r="FC186" i="14609"/>
  <c r="FD186" i="14609"/>
  <c r="FE186" i="14609"/>
  <c r="FF186" i="14609"/>
  <c r="FG186" i="14609"/>
  <c r="FH186" i="14609"/>
  <c r="FI186" i="14609"/>
  <c r="FJ186" i="14609"/>
  <c r="FK186" i="14609"/>
  <c r="FL186" i="14609"/>
  <c r="FM186" i="14609"/>
  <c r="FN186" i="14609"/>
  <c r="FO186" i="14609"/>
  <c r="FP186" i="14609"/>
  <c r="FQ186" i="14609"/>
  <c r="FR186" i="14609"/>
  <c r="FS186" i="14609"/>
  <c r="FT186" i="14609"/>
  <c r="FU186" i="14609"/>
  <c r="FV186" i="14609"/>
  <c r="FW186" i="14609"/>
  <c r="FX186" i="14609"/>
  <c r="FY186" i="14609"/>
  <c r="FZ186" i="14609"/>
  <c r="GA186" i="14609"/>
  <c r="GB186" i="14609"/>
  <c r="GC186" i="14609"/>
  <c r="GD186" i="14609"/>
  <c r="GE186" i="14609"/>
  <c r="GF186" i="14609"/>
  <c r="GG186" i="14609"/>
  <c r="GH186" i="14609"/>
  <c r="GI186" i="14609"/>
  <c r="GJ186" i="14609"/>
  <c r="GK186" i="14609"/>
  <c r="GL186" i="14609"/>
  <c r="GM186" i="14609"/>
  <c r="GN186" i="14609"/>
  <c r="GO186" i="14609"/>
  <c r="GP186" i="14609"/>
  <c r="GQ186" i="14609"/>
  <c r="GR186" i="14609"/>
  <c r="GS186" i="14609"/>
  <c r="GT186" i="14609"/>
  <c r="GU186" i="14609"/>
  <c r="GV186" i="14609"/>
  <c r="GW186" i="14609"/>
  <c r="GX186" i="14609"/>
  <c r="GY186" i="14609"/>
  <c r="GZ186" i="14609"/>
  <c r="HA186" i="14609"/>
  <c r="HB186" i="14609"/>
  <c r="HC186" i="14609"/>
  <c r="HD186" i="14609"/>
  <c r="HE186" i="14609"/>
  <c r="HF186" i="14609"/>
  <c r="HG186" i="14609"/>
  <c r="HH186" i="14609"/>
  <c r="HI186" i="14609"/>
  <c r="HJ186" i="14609"/>
  <c r="HK186" i="14609"/>
  <c r="HL186" i="14609"/>
  <c r="HM186" i="14609"/>
  <c r="HN186" i="14609"/>
  <c r="HO186" i="14609"/>
  <c r="HP186" i="14609"/>
  <c r="HQ186" i="14609"/>
  <c r="HR186" i="14609"/>
  <c r="HS186" i="14609"/>
  <c r="HT186" i="14609"/>
  <c r="HU186" i="14609"/>
  <c r="HV186" i="14609"/>
  <c r="HW186" i="14609"/>
  <c r="HX186" i="14609"/>
  <c r="HY186" i="14609"/>
  <c r="HZ186" i="14609"/>
  <c r="IA186" i="14609"/>
  <c r="IB186" i="14609"/>
  <c r="IC186" i="14609"/>
  <c r="ID186" i="14609"/>
  <c r="IE186" i="14609"/>
  <c r="IF186" i="14609"/>
  <c r="IG186" i="14609"/>
  <c r="IH186" i="14609"/>
  <c r="II186" i="14609"/>
  <c r="IJ186" i="14609"/>
  <c r="IK186" i="14609"/>
  <c r="IL186" i="14609"/>
  <c r="IM186" i="14609"/>
  <c r="IN186" i="14609"/>
  <c r="IO186" i="14609"/>
  <c r="IP186" i="14609"/>
  <c r="IQ186" i="14609"/>
  <c r="IR186" i="14609"/>
  <c r="IS186" i="14609"/>
  <c r="IT186" i="14609"/>
  <c r="IU186" i="14609"/>
  <c r="IV186" i="14609"/>
  <c r="A185" i="14609"/>
  <c r="B185" i="14609"/>
  <c r="C185" i="14609"/>
  <c r="D185" i="14609"/>
  <c r="E185" i="14609"/>
  <c r="F185" i="14609"/>
  <c r="G185" i="14609"/>
  <c r="H185" i="14609"/>
  <c r="I185" i="14609"/>
  <c r="J185" i="14609"/>
  <c r="K185" i="14609"/>
  <c r="L185" i="14609"/>
  <c r="M185" i="14609"/>
  <c r="N185" i="14609"/>
  <c r="O185" i="14609"/>
  <c r="P185" i="14609"/>
  <c r="Q185" i="14609"/>
  <c r="R185" i="14609"/>
  <c r="S185" i="14609"/>
  <c r="T185" i="14609"/>
  <c r="U185" i="14609"/>
  <c r="V185" i="14609"/>
  <c r="W185" i="14609"/>
  <c r="X185" i="14609"/>
  <c r="Y185" i="14609"/>
  <c r="Z185" i="14609"/>
  <c r="AA185" i="14609"/>
  <c r="AB185" i="14609"/>
  <c r="AC185" i="14609"/>
  <c r="AD185" i="14609"/>
  <c r="AE185" i="14609"/>
  <c r="AF185" i="14609"/>
  <c r="AG185" i="14609"/>
  <c r="AH185" i="14609"/>
  <c r="AI185" i="14609"/>
  <c r="AJ185" i="14609"/>
  <c r="AK185" i="14609"/>
  <c r="AL185" i="14609"/>
  <c r="AM185" i="14609"/>
  <c r="AN185" i="14609"/>
  <c r="AO185" i="14609"/>
  <c r="AP185" i="14609"/>
  <c r="AQ185" i="14609"/>
  <c r="AR185" i="14609"/>
  <c r="AS185" i="14609"/>
  <c r="AT185" i="14609"/>
  <c r="AU185" i="14609"/>
  <c r="AV185" i="14609"/>
  <c r="AW185" i="14609"/>
  <c r="AX185" i="14609"/>
  <c r="AY185" i="14609"/>
  <c r="AZ185" i="14609"/>
  <c r="BA185" i="14609"/>
  <c r="BB185" i="14609"/>
  <c r="BC185" i="14609"/>
  <c r="BD185" i="14609"/>
  <c r="BE185" i="14609"/>
  <c r="BF185" i="14609"/>
  <c r="BG185" i="14609"/>
  <c r="BH185" i="14609"/>
  <c r="BI185" i="14609"/>
  <c r="BJ185" i="14609"/>
  <c r="BK185" i="14609"/>
  <c r="BL185" i="14609"/>
  <c r="BM185" i="14609"/>
  <c r="BN185" i="14609"/>
  <c r="BO185" i="14609"/>
  <c r="BP185" i="14609"/>
  <c r="BQ185" i="14609"/>
  <c r="BR185" i="14609"/>
  <c r="BS185" i="14609"/>
  <c r="BT185" i="14609"/>
  <c r="BU185" i="14609"/>
  <c r="BV185" i="14609"/>
  <c r="BW185" i="14609"/>
  <c r="BX185" i="14609"/>
  <c r="BY185" i="14609"/>
  <c r="BZ185" i="14609"/>
  <c r="CA185" i="14609"/>
  <c r="CB185" i="14609"/>
  <c r="CC185" i="14609"/>
  <c r="CD185" i="14609"/>
  <c r="CE185" i="14609"/>
  <c r="CF185" i="14609"/>
  <c r="CG185" i="14609"/>
  <c r="CH185" i="14609"/>
  <c r="CI185" i="14609"/>
  <c r="CJ185" i="14609"/>
  <c r="CK185" i="14609"/>
  <c r="CL185" i="14609"/>
  <c r="CM185" i="14609"/>
  <c r="CN185" i="14609"/>
  <c r="CO185" i="14609"/>
  <c r="CP185" i="14609"/>
  <c r="CQ185" i="14609"/>
  <c r="CR185" i="14609"/>
  <c r="CS185" i="14609"/>
  <c r="CT185" i="14609"/>
  <c r="CU185" i="14609"/>
  <c r="CV185" i="14609"/>
  <c r="CW185" i="14609"/>
  <c r="CX185" i="14609"/>
  <c r="CY185" i="14609"/>
  <c r="CZ185" i="14609"/>
  <c r="DA185" i="14609"/>
  <c r="DB185" i="14609"/>
  <c r="DC185" i="14609"/>
  <c r="DD185" i="14609"/>
  <c r="DE185" i="14609"/>
  <c r="DF185" i="14609"/>
  <c r="DG185" i="14609"/>
  <c r="DH185" i="14609"/>
  <c r="DI185" i="14609"/>
  <c r="DJ185" i="14609"/>
  <c r="DK185" i="14609"/>
  <c r="DL185" i="14609"/>
  <c r="DM185" i="14609"/>
  <c r="DN185" i="14609"/>
  <c r="DO185" i="14609"/>
  <c r="DP185" i="14609"/>
  <c r="DQ185" i="14609"/>
  <c r="DR185" i="14609"/>
  <c r="DS185" i="14609"/>
  <c r="DT185" i="14609"/>
  <c r="DU185" i="14609"/>
  <c r="DV185" i="14609"/>
  <c r="DW185" i="14609"/>
  <c r="DX185" i="14609"/>
  <c r="DY185" i="14609"/>
  <c r="DZ185" i="14609"/>
  <c r="EA185" i="14609"/>
  <c r="EB185" i="14609"/>
  <c r="EC185" i="14609"/>
  <c r="ED185" i="14609"/>
  <c r="EE185" i="14609"/>
  <c r="EF185" i="14609"/>
  <c r="EG185" i="14609"/>
  <c r="EH185" i="14609"/>
  <c r="EI185" i="14609"/>
  <c r="EJ185" i="14609"/>
  <c r="EK185" i="14609"/>
  <c r="EL185" i="14609"/>
  <c r="EM185" i="14609"/>
  <c r="EN185" i="14609"/>
  <c r="EO185" i="14609"/>
  <c r="EP185" i="14609"/>
  <c r="EQ185" i="14609"/>
  <c r="ER185" i="14609"/>
  <c r="ES185" i="14609"/>
  <c r="ET185" i="14609"/>
  <c r="EU185" i="14609"/>
  <c r="EV185" i="14609"/>
  <c r="EW185" i="14609"/>
  <c r="EX185" i="14609"/>
  <c r="EY185" i="14609"/>
  <c r="EZ185" i="14609"/>
  <c r="FA185" i="14609"/>
  <c r="FB185" i="14609"/>
  <c r="FC185" i="14609"/>
  <c r="FD185" i="14609"/>
  <c r="FE185" i="14609"/>
  <c r="FF185" i="14609"/>
  <c r="FG185" i="14609"/>
  <c r="FH185" i="14609"/>
  <c r="FI185" i="14609"/>
  <c r="FJ185" i="14609"/>
  <c r="FK185" i="14609"/>
  <c r="FL185" i="14609"/>
  <c r="FM185" i="14609"/>
  <c r="FN185" i="14609"/>
  <c r="FO185" i="14609"/>
  <c r="FP185" i="14609"/>
  <c r="FQ185" i="14609"/>
  <c r="FR185" i="14609"/>
  <c r="FS185" i="14609"/>
  <c r="FT185" i="14609"/>
  <c r="FU185" i="14609"/>
  <c r="FV185" i="14609"/>
  <c r="FW185" i="14609"/>
  <c r="FX185" i="14609"/>
  <c r="FY185" i="14609"/>
  <c r="FZ185" i="14609"/>
  <c r="GA185" i="14609"/>
  <c r="GB185" i="14609"/>
  <c r="GC185" i="14609"/>
  <c r="GD185" i="14609"/>
  <c r="GE185" i="14609"/>
  <c r="GF185" i="14609"/>
  <c r="GG185" i="14609"/>
  <c r="GH185" i="14609"/>
  <c r="GI185" i="14609"/>
  <c r="GJ185" i="14609"/>
  <c r="GK185" i="14609"/>
  <c r="GL185" i="14609"/>
  <c r="GM185" i="14609"/>
  <c r="GN185" i="14609"/>
  <c r="GO185" i="14609"/>
  <c r="GP185" i="14609"/>
  <c r="GQ185" i="14609"/>
  <c r="GR185" i="14609"/>
  <c r="GS185" i="14609"/>
  <c r="GT185" i="14609"/>
  <c r="GU185" i="14609"/>
  <c r="GV185" i="14609"/>
  <c r="GW185" i="14609"/>
  <c r="GX185" i="14609"/>
  <c r="GY185" i="14609"/>
  <c r="GZ185" i="14609"/>
  <c r="HA185" i="14609"/>
  <c r="HB185" i="14609"/>
  <c r="HC185" i="14609"/>
  <c r="HD185" i="14609"/>
  <c r="HE185" i="14609"/>
  <c r="HF185" i="14609"/>
  <c r="HG185" i="14609"/>
  <c r="HH185" i="14609"/>
  <c r="HI185" i="14609"/>
  <c r="HJ185" i="14609"/>
  <c r="HK185" i="14609"/>
  <c r="HL185" i="14609"/>
  <c r="HM185" i="14609"/>
  <c r="HN185" i="14609"/>
  <c r="HO185" i="14609"/>
  <c r="HP185" i="14609"/>
  <c r="HQ185" i="14609"/>
  <c r="HR185" i="14609"/>
  <c r="HS185" i="14609"/>
  <c r="HT185" i="14609"/>
  <c r="HU185" i="14609"/>
  <c r="HV185" i="14609"/>
  <c r="HW185" i="14609"/>
  <c r="HX185" i="14609"/>
  <c r="HY185" i="14609"/>
  <c r="HZ185" i="14609"/>
  <c r="IA185" i="14609"/>
  <c r="IB185" i="14609"/>
  <c r="IC185" i="14609"/>
  <c r="ID185" i="14609"/>
  <c r="IE185" i="14609"/>
  <c r="IF185" i="14609"/>
  <c r="IG185" i="14609"/>
  <c r="IH185" i="14609"/>
  <c r="II185" i="14609"/>
  <c r="IJ185" i="14609"/>
  <c r="IK185" i="14609"/>
  <c r="IL185" i="14609"/>
  <c r="IM185" i="14609"/>
  <c r="IN185" i="14609"/>
  <c r="IO185" i="14609"/>
  <c r="IP185" i="14609"/>
  <c r="IQ185" i="14609"/>
  <c r="IR185" i="14609"/>
  <c r="IS185" i="14609"/>
  <c r="IT185" i="14609"/>
  <c r="IU185" i="14609"/>
  <c r="IV185" i="14609"/>
  <c r="A184" i="14609"/>
  <c r="B184" i="14609"/>
  <c r="C184" i="14609"/>
  <c r="D184" i="14609"/>
  <c r="E184" i="14609"/>
  <c r="F184" i="14609"/>
  <c r="G184" i="14609"/>
  <c r="H184" i="14609"/>
  <c r="I184" i="14609"/>
  <c r="J184" i="14609"/>
  <c r="K184" i="14609"/>
  <c r="L184" i="14609"/>
  <c r="M184" i="14609"/>
  <c r="N184" i="14609"/>
  <c r="O184" i="14609"/>
  <c r="P184" i="14609"/>
  <c r="Q184" i="14609"/>
  <c r="R184" i="14609"/>
  <c r="S184" i="14609"/>
  <c r="T184" i="14609"/>
  <c r="U184" i="14609"/>
  <c r="V184" i="14609"/>
  <c r="W184" i="14609"/>
  <c r="X184" i="14609"/>
  <c r="Y184" i="14609"/>
  <c r="Z184" i="14609"/>
  <c r="AA184" i="14609"/>
  <c r="AB184" i="14609"/>
  <c r="AC184" i="14609"/>
  <c r="AD184" i="14609"/>
  <c r="AE184" i="14609"/>
  <c r="AF184" i="14609"/>
  <c r="AG184" i="14609"/>
  <c r="AH184" i="14609"/>
  <c r="AI184" i="14609"/>
  <c r="AJ184" i="14609"/>
  <c r="AK184" i="14609"/>
  <c r="AL184" i="14609"/>
  <c r="AM184" i="14609"/>
  <c r="AN184" i="14609"/>
  <c r="AO184" i="14609"/>
  <c r="AP184" i="14609"/>
  <c r="AQ184" i="14609"/>
  <c r="AR184" i="14609"/>
  <c r="AS184" i="14609"/>
  <c r="AT184" i="14609"/>
  <c r="AU184" i="14609"/>
  <c r="AV184" i="14609"/>
  <c r="AW184" i="14609"/>
  <c r="AX184" i="14609"/>
  <c r="AY184" i="14609"/>
  <c r="AZ184" i="14609"/>
  <c r="BA184" i="14609"/>
  <c r="BB184" i="14609"/>
  <c r="BC184" i="14609"/>
  <c r="BD184" i="14609"/>
  <c r="BE184" i="14609"/>
  <c r="BF184" i="14609"/>
  <c r="BG184" i="14609"/>
  <c r="BH184" i="14609"/>
  <c r="BI184" i="14609"/>
  <c r="BJ184" i="14609"/>
  <c r="BK184" i="14609"/>
  <c r="BL184" i="14609"/>
  <c r="BM184" i="14609"/>
  <c r="BN184" i="14609"/>
  <c r="BO184" i="14609"/>
  <c r="BP184" i="14609"/>
  <c r="BQ184" i="14609"/>
  <c r="BR184" i="14609"/>
  <c r="BS184" i="14609"/>
  <c r="BT184" i="14609"/>
  <c r="BU184" i="14609"/>
  <c r="BV184" i="14609"/>
  <c r="BW184" i="14609"/>
  <c r="BX184" i="14609"/>
  <c r="BY184" i="14609"/>
  <c r="BZ184" i="14609"/>
  <c r="CA184" i="14609"/>
  <c r="CB184" i="14609"/>
  <c r="CC184" i="14609"/>
  <c r="CD184" i="14609"/>
  <c r="CE184" i="14609"/>
  <c r="CF184" i="14609"/>
  <c r="CG184" i="14609"/>
  <c r="CH184" i="14609"/>
  <c r="CI184" i="14609"/>
  <c r="CJ184" i="14609"/>
  <c r="CK184" i="14609"/>
  <c r="CL184" i="14609"/>
  <c r="CM184" i="14609"/>
  <c r="CN184" i="14609"/>
  <c r="CO184" i="14609"/>
  <c r="CP184" i="14609"/>
  <c r="CQ184" i="14609"/>
  <c r="CR184" i="14609"/>
  <c r="CS184" i="14609"/>
  <c r="CT184" i="14609"/>
  <c r="CU184" i="14609"/>
  <c r="CV184" i="14609"/>
  <c r="CW184" i="14609"/>
  <c r="CX184" i="14609"/>
  <c r="CY184" i="14609"/>
  <c r="CZ184" i="14609"/>
  <c r="DA184" i="14609"/>
  <c r="DB184" i="14609"/>
  <c r="DC184" i="14609"/>
  <c r="DD184" i="14609"/>
  <c r="DE184" i="14609"/>
  <c r="DF184" i="14609"/>
  <c r="DG184" i="14609"/>
  <c r="DH184" i="14609"/>
  <c r="DI184" i="14609"/>
  <c r="DJ184" i="14609"/>
  <c r="DK184" i="14609"/>
  <c r="DL184" i="14609"/>
  <c r="DM184" i="14609"/>
  <c r="DN184" i="14609"/>
  <c r="DO184" i="14609"/>
  <c r="DP184" i="14609"/>
  <c r="DQ184" i="14609"/>
  <c r="DR184" i="14609"/>
  <c r="DS184" i="14609"/>
  <c r="DT184" i="14609"/>
  <c r="DU184" i="14609"/>
  <c r="DV184" i="14609"/>
  <c r="DW184" i="14609"/>
  <c r="DX184" i="14609"/>
  <c r="DY184" i="14609"/>
  <c r="DZ184" i="14609"/>
  <c r="EA184" i="14609"/>
  <c r="EB184" i="14609"/>
  <c r="EC184" i="14609"/>
  <c r="ED184" i="14609"/>
  <c r="EE184" i="14609"/>
  <c r="EF184" i="14609"/>
  <c r="EG184" i="14609"/>
  <c r="EH184" i="14609"/>
  <c r="EI184" i="14609"/>
  <c r="EJ184" i="14609"/>
  <c r="EK184" i="14609"/>
  <c r="EL184" i="14609"/>
  <c r="EM184" i="14609"/>
  <c r="EN184" i="14609"/>
  <c r="EO184" i="14609"/>
  <c r="EP184" i="14609"/>
  <c r="EQ184" i="14609"/>
  <c r="ER184" i="14609"/>
  <c r="ES184" i="14609"/>
  <c r="ET184" i="14609"/>
  <c r="EU184" i="14609"/>
  <c r="EV184" i="14609"/>
  <c r="EW184" i="14609"/>
  <c r="EX184" i="14609"/>
  <c r="EY184" i="14609"/>
  <c r="EZ184" i="14609"/>
  <c r="FA184" i="14609"/>
  <c r="FB184" i="14609"/>
  <c r="FC184" i="14609"/>
  <c r="FD184" i="14609"/>
  <c r="FE184" i="14609"/>
  <c r="FF184" i="14609"/>
  <c r="FG184" i="14609"/>
  <c r="FH184" i="14609"/>
  <c r="FI184" i="14609"/>
  <c r="FJ184" i="14609"/>
  <c r="FK184" i="14609"/>
  <c r="FL184" i="14609"/>
  <c r="FM184" i="14609"/>
  <c r="FN184" i="14609"/>
  <c r="FO184" i="14609"/>
  <c r="FP184" i="14609"/>
  <c r="FQ184" i="14609"/>
  <c r="FR184" i="14609"/>
  <c r="FS184" i="14609"/>
  <c r="FT184" i="14609"/>
  <c r="FU184" i="14609"/>
  <c r="FV184" i="14609"/>
  <c r="FW184" i="14609"/>
  <c r="FX184" i="14609"/>
  <c r="FY184" i="14609"/>
  <c r="FZ184" i="14609"/>
  <c r="GA184" i="14609"/>
  <c r="GB184" i="14609"/>
  <c r="GC184" i="14609"/>
  <c r="GD184" i="14609"/>
  <c r="GE184" i="14609"/>
  <c r="GF184" i="14609"/>
  <c r="GG184" i="14609"/>
  <c r="GH184" i="14609"/>
  <c r="GI184" i="14609"/>
  <c r="GJ184" i="14609"/>
  <c r="GK184" i="14609"/>
  <c r="GL184" i="14609"/>
  <c r="GM184" i="14609"/>
  <c r="GN184" i="14609"/>
  <c r="GO184" i="14609"/>
  <c r="GP184" i="14609"/>
  <c r="GQ184" i="14609"/>
  <c r="GR184" i="14609"/>
  <c r="GS184" i="14609"/>
  <c r="GT184" i="14609"/>
  <c r="GU184" i="14609"/>
  <c r="GV184" i="14609"/>
  <c r="GW184" i="14609"/>
  <c r="GX184" i="14609"/>
  <c r="GY184" i="14609"/>
  <c r="GZ184" i="14609"/>
  <c r="HA184" i="14609"/>
  <c r="HB184" i="14609"/>
  <c r="HC184" i="14609"/>
  <c r="HD184" i="14609"/>
  <c r="HE184" i="14609"/>
  <c r="HF184" i="14609"/>
  <c r="HG184" i="14609"/>
  <c r="HH184" i="14609"/>
  <c r="HI184" i="14609"/>
  <c r="HJ184" i="14609"/>
  <c r="HK184" i="14609"/>
  <c r="HL184" i="14609"/>
  <c r="HM184" i="14609"/>
  <c r="HN184" i="14609"/>
  <c r="HO184" i="14609"/>
  <c r="HP184" i="14609"/>
  <c r="HQ184" i="14609"/>
  <c r="HR184" i="14609"/>
  <c r="HS184" i="14609"/>
  <c r="HT184" i="14609"/>
  <c r="HU184" i="14609"/>
  <c r="HV184" i="14609"/>
  <c r="HW184" i="14609"/>
  <c r="HX184" i="14609"/>
  <c r="HY184" i="14609"/>
  <c r="HZ184" i="14609"/>
  <c r="IA184" i="14609"/>
  <c r="IB184" i="14609"/>
  <c r="IC184" i="14609"/>
  <c r="ID184" i="14609"/>
  <c r="IE184" i="14609"/>
  <c r="IF184" i="14609"/>
  <c r="IG184" i="14609"/>
  <c r="IH184" i="14609"/>
  <c r="II184" i="14609"/>
  <c r="IJ184" i="14609"/>
  <c r="IK184" i="14609"/>
  <c r="IL184" i="14609"/>
  <c r="IM184" i="14609"/>
  <c r="IN184" i="14609"/>
  <c r="IO184" i="14609"/>
  <c r="IP184" i="14609"/>
  <c r="IQ184" i="14609"/>
  <c r="IR184" i="14609"/>
  <c r="IS184" i="14609"/>
  <c r="IT184" i="14609"/>
  <c r="IU184" i="14609"/>
  <c r="IV184" i="14609"/>
  <c r="A183" i="14609"/>
  <c r="B183" i="14609"/>
  <c r="C183" i="14609"/>
  <c r="D183" i="14609"/>
  <c r="E183" i="14609"/>
  <c r="F183" i="14609"/>
  <c r="G183" i="14609"/>
  <c r="H183" i="14609"/>
  <c r="I183" i="14609"/>
  <c r="J183" i="14609"/>
  <c r="K183" i="14609"/>
  <c r="L183" i="14609"/>
  <c r="M183" i="14609"/>
  <c r="N183" i="14609"/>
  <c r="O183" i="14609"/>
  <c r="P183" i="14609"/>
  <c r="Q183" i="14609"/>
  <c r="R183" i="14609"/>
  <c r="S183" i="14609"/>
  <c r="T183" i="14609"/>
  <c r="U183" i="14609"/>
  <c r="V183" i="14609"/>
  <c r="W183" i="14609"/>
  <c r="X183" i="14609"/>
  <c r="Y183" i="14609"/>
  <c r="Z183" i="14609"/>
  <c r="AA183" i="14609"/>
  <c r="AB183" i="14609"/>
  <c r="AC183" i="14609"/>
  <c r="AD183" i="14609"/>
  <c r="AE183" i="14609"/>
  <c r="AF183" i="14609"/>
  <c r="AG183" i="14609"/>
  <c r="AH183" i="14609"/>
  <c r="AI183" i="14609"/>
  <c r="AJ183" i="14609"/>
  <c r="AK183" i="14609"/>
  <c r="AL183" i="14609"/>
  <c r="AM183" i="14609"/>
  <c r="AN183" i="14609"/>
  <c r="AO183" i="14609"/>
  <c r="AP183" i="14609"/>
  <c r="AQ183" i="14609"/>
  <c r="AR183" i="14609"/>
  <c r="AS183" i="14609"/>
  <c r="AT183" i="14609"/>
  <c r="AU183" i="14609"/>
  <c r="AV183" i="14609"/>
  <c r="AW183" i="14609"/>
  <c r="AX183" i="14609"/>
  <c r="AY183" i="14609"/>
  <c r="AZ183" i="14609"/>
  <c r="BA183" i="14609"/>
  <c r="BB183" i="14609"/>
  <c r="BC183" i="14609"/>
  <c r="BD183" i="14609"/>
  <c r="BE183" i="14609"/>
  <c r="BF183" i="14609"/>
  <c r="BG183" i="14609"/>
  <c r="BH183" i="14609"/>
  <c r="BI183" i="14609"/>
  <c r="BJ183" i="14609"/>
  <c r="BK183" i="14609"/>
  <c r="BL183" i="14609"/>
  <c r="BM183" i="14609"/>
  <c r="BN183" i="14609"/>
  <c r="BO183" i="14609"/>
  <c r="BP183" i="14609"/>
  <c r="BQ183" i="14609"/>
  <c r="BR183" i="14609"/>
  <c r="BS183" i="14609"/>
  <c r="BT183" i="14609"/>
  <c r="BU183" i="14609"/>
  <c r="BV183" i="14609"/>
  <c r="BW183" i="14609"/>
  <c r="BX183" i="14609"/>
  <c r="BY183" i="14609"/>
  <c r="BZ183" i="14609"/>
  <c r="CA183" i="14609"/>
  <c r="CB183" i="14609"/>
  <c r="CC183" i="14609"/>
  <c r="CD183" i="14609"/>
  <c r="CE183" i="14609"/>
  <c r="CF183" i="14609"/>
  <c r="CG183" i="14609"/>
  <c r="CH183" i="14609"/>
  <c r="CI183" i="14609"/>
  <c r="CJ183" i="14609"/>
  <c r="CK183" i="14609"/>
  <c r="CL183" i="14609"/>
  <c r="CM183" i="14609"/>
  <c r="CN183" i="14609"/>
  <c r="CO183" i="14609"/>
  <c r="CP183" i="14609"/>
  <c r="CQ183" i="14609"/>
  <c r="CR183" i="14609"/>
  <c r="CS183" i="14609"/>
  <c r="CT183" i="14609"/>
  <c r="CU183" i="14609"/>
  <c r="CV183" i="14609"/>
  <c r="CW183" i="14609"/>
  <c r="CX183" i="14609"/>
  <c r="CY183" i="14609"/>
  <c r="CZ183" i="14609"/>
  <c r="DA183" i="14609"/>
  <c r="DB183" i="14609"/>
  <c r="DC183" i="14609"/>
  <c r="DD183" i="14609"/>
  <c r="DE183" i="14609"/>
  <c r="DF183" i="14609"/>
  <c r="DG183" i="14609"/>
  <c r="DH183" i="14609"/>
  <c r="DI183" i="14609"/>
  <c r="DJ183" i="14609"/>
  <c r="DK183" i="14609"/>
  <c r="DL183" i="14609"/>
  <c r="DM183" i="14609"/>
  <c r="DN183" i="14609"/>
  <c r="DO183" i="14609"/>
  <c r="DP183" i="14609"/>
  <c r="DQ183" i="14609"/>
  <c r="DR183" i="14609"/>
  <c r="DS183" i="14609"/>
  <c r="DT183" i="14609"/>
  <c r="DU183" i="14609"/>
  <c r="DV183" i="14609"/>
  <c r="DW183" i="14609"/>
  <c r="DX183" i="14609"/>
  <c r="DY183" i="14609"/>
  <c r="DZ183" i="14609"/>
  <c r="EA183" i="14609"/>
  <c r="EB183" i="14609"/>
  <c r="EC183" i="14609"/>
  <c r="ED183" i="14609"/>
  <c r="EE183" i="14609"/>
  <c r="EF183" i="14609"/>
  <c r="EG183" i="14609"/>
  <c r="EH183" i="14609"/>
  <c r="EI183" i="14609"/>
  <c r="EJ183" i="14609"/>
  <c r="EK183" i="14609"/>
  <c r="EL183" i="14609"/>
  <c r="EM183" i="14609"/>
  <c r="EN183" i="14609"/>
  <c r="EO183" i="14609"/>
  <c r="EP183" i="14609"/>
  <c r="EQ183" i="14609"/>
  <c r="ER183" i="14609"/>
  <c r="ES183" i="14609"/>
  <c r="ET183" i="14609"/>
  <c r="EU183" i="14609"/>
  <c r="EV183" i="14609"/>
  <c r="EW183" i="14609"/>
  <c r="EX183" i="14609"/>
  <c r="EY183" i="14609"/>
  <c r="EZ183" i="14609"/>
  <c r="FA183" i="14609"/>
  <c r="FB183" i="14609"/>
  <c r="FC183" i="14609"/>
  <c r="FD183" i="14609"/>
  <c r="FE183" i="14609"/>
  <c r="FF183" i="14609"/>
  <c r="FG183" i="14609"/>
  <c r="FH183" i="14609"/>
  <c r="FI183" i="14609"/>
  <c r="FJ183" i="14609"/>
  <c r="FK183" i="14609"/>
  <c r="FL183" i="14609"/>
  <c r="FM183" i="14609"/>
  <c r="FN183" i="14609"/>
  <c r="FO183" i="14609"/>
  <c r="FP183" i="14609"/>
  <c r="FQ183" i="14609"/>
  <c r="FR183" i="14609"/>
  <c r="FS183" i="14609"/>
  <c r="FT183" i="14609"/>
  <c r="FU183" i="14609"/>
  <c r="FV183" i="14609"/>
  <c r="FW183" i="14609"/>
  <c r="FX183" i="14609"/>
  <c r="FY183" i="14609"/>
  <c r="FZ183" i="14609"/>
  <c r="GA183" i="14609"/>
  <c r="GB183" i="14609"/>
  <c r="GC183" i="14609"/>
  <c r="GD183" i="14609"/>
  <c r="GE183" i="14609"/>
  <c r="GF183" i="14609"/>
  <c r="GG183" i="14609"/>
  <c r="GH183" i="14609"/>
  <c r="GI183" i="14609"/>
  <c r="GJ183" i="14609"/>
  <c r="GK183" i="14609"/>
  <c r="GL183" i="14609"/>
  <c r="GM183" i="14609"/>
  <c r="GN183" i="14609"/>
  <c r="GO183" i="14609"/>
  <c r="GP183" i="14609"/>
  <c r="GQ183" i="14609"/>
  <c r="GR183" i="14609"/>
  <c r="GS183" i="14609"/>
  <c r="GT183" i="14609"/>
  <c r="GU183" i="14609"/>
  <c r="GV183" i="14609"/>
  <c r="GW183" i="14609"/>
  <c r="GX183" i="14609"/>
  <c r="GY183" i="14609"/>
  <c r="GZ183" i="14609"/>
  <c r="HA183" i="14609"/>
  <c r="HB183" i="14609"/>
  <c r="HC183" i="14609"/>
  <c r="HD183" i="14609"/>
  <c r="HE183" i="14609"/>
  <c r="HF183" i="14609"/>
  <c r="HG183" i="14609"/>
  <c r="HH183" i="14609"/>
  <c r="HI183" i="14609"/>
  <c r="HJ183" i="14609"/>
  <c r="HK183" i="14609"/>
  <c r="HL183" i="14609"/>
  <c r="HM183" i="14609"/>
  <c r="HN183" i="14609"/>
  <c r="HO183" i="14609"/>
  <c r="HP183" i="14609"/>
  <c r="HQ183" i="14609"/>
  <c r="HR183" i="14609"/>
  <c r="HS183" i="14609"/>
  <c r="HT183" i="14609"/>
  <c r="HU183" i="14609"/>
  <c r="HV183" i="14609"/>
  <c r="HW183" i="14609"/>
  <c r="HX183" i="14609"/>
  <c r="HY183" i="14609"/>
  <c r="HZ183" i="14609"/>
  <c r="IA183" i="14609"/>
  <c r="IB183" i="14609"/>
  <c r="IC183" i="14609"/>
  <c r="ID183" i="14609"/>
  <c r="IE183" i="14609"/>
  <c r="IF183" i="14609"/>
  <c r="IG183" i="14609"/>
  <c r="IH183" i="14609"/>
  <c r="II183" i="14609"/>
  <c r="IJ183" i="14609"/>
  <c r="IK183" i="14609"/>
  <c r="IL183" i="14609"/>
  <c r="IM183" i="14609"/>
  <c r="IN183" i="14609"/>
  <c r="IO183" i="14609"/>
  <c r="IP183" i="14609"/>
  <c r="IQ183" i="14609"/>
  <c r="IR183" i="14609"/>
  <c r="IS183" i="14609"/>
  <c r="IT183" i="14609"/>
  <c r="IU183" i="14609"/>
  <c r="IV183" i="14609"/>
  <c r="A182" i="14609"/>
  <c r="B182" i="14609"/>
  <c r="C182" i="14609"/>
  <c r="D182" i="14609"/>
  <c r="E182" i="14609"/>
  <c r="F182" i="14609"/>
  <c r="G182" i="14609"/>
  <c r="H182" i="14609"/>
  <c r="I182" i="14609"/>
  <c r="J182" i="14609"/>
  <c r="K182" i="14609"/>
  <c r="L182" i="14609"/>
  <c r="M182" i="14609"/>
  <c r="N182" i="14609"/>
  <c r="O182" i="14609"/>
  <c r="P182" i="14609"/>
  <c r="Q182" i="14609"/>
  <c r="R182" i="14609"/>
  <c r="S182" i="14609"/>
  <c r="T182" i="14609"/>
  <c r="U182" i="14609"/>
  <c r="V182" i="14609"/>
  <c r="W182" i="14609"/>
  <c r="X182" i="14609"/>
  <c r="Y182" i="14609"/>
  <c r="Z182" i="14609"/>
  <c r="AA182" i="14609"/>
  <c r="AB182" i="14609"/>
  <c r="AC182" i="14609"/>
  <c r="AD182" i="14609"/>
  <c r="AE182" i="14609"/>
  <c r="AF182" i="14609"/>
  <c r="AG182" i="14609"/>
  <c r="AH182" i="14609"/>
  <c r="AI182" i="14609"/>
  <c r="AJ182" i="14609"/>
  <c r="AK182" i="14609"/>
  <c r="AL182" i="14609"/>
  <c r="AM182" i="14609"/>
  <c r="AN182" i="14609"/>
  <c r="AO182" i="14609"/>
  <c r="AP182" i="14609"/>
  <c r="AQ182" i="14609"/>
  <c r="AR182" i="14609"/>
  <c r="AS182" i="14609"/>
  <c r="AT182" i="14609"/>
  <c r="AU182" i="14609"/>
  <c r="AV182" i="14609"/>
  <c r="AW182" i="14609"/>
  <c r="AX182" i="14609"/>
  <c r="AY182" i="14609"/>
  <c r="AZ182" i="14609"/>
  <c r="BA182" i="14609"/>
  <c r="BB182" i="14609"/>
  <c r="BC182" i="14609"/>
  <c r="BD182" i="14609"/>
  <c r="BE182" i="14609"/>
  <c r="BF182" i="14609"/>
  <c r="BG182" i="14609"/>
  <c r="BH182" i="14609"/>
  <c r="BI182" i="14609"/>
  <c r="BJ182" i="14609"/>
  <c r="BK182" i="14609"/>
  <c r="BL182" i="14609"/>
  <c r="BM182" i="14609"/>
  <c r="BN182" i="14609"/>
  <c r="BO182" i="14609"/>
  <c r="BP182" i="14609"/>
  <c r="BQ182" i="14609"/>
  <c r="BR182" i="14609"/>
  <c r="BS182" i="14609"/>
  <c r="BT182" i="14609"/>
  <c r="BU182" i="14609"/>
  <c r="BV182" i="14609"/>
  <c r="BW182" i="14609"/>
  <c r="BX182" i="14609"/>
  <c r="BY182" i="14609"/>
  <c r="BZ182" i="14609"/>
  <c r="CA182" i="14609"/>
  <c r="CB182" i="14609"/>
  <c r="CC182" i="14609"/>
  <c r="CD182" i="14609"/>
  <c r="CE182" i="14609"/>
  <c r="CF182" i="14609"/>
  <c r="CG182" i="14609"/>
  <c r="CH182" i="14609"/>
  <c r="CI182" i="14609"/>
  <c r="CJ182" i="14609"/>
  <c r="CK182" i="14609"/>
  <c r="CL182" i="14609"/>
  <c r="CM182" i="14609"/>
  <c r="CN182" i="14609"/>
  <c r="CO182" i="14609"/>
  <c r="CP182" i="14609"/>
  <c r="CQ182" i="14609"/>
  <c r="CR182" i="14609"/>
  <c r="CS182" i="14609"/>
  <c r="CT182" i="14609"/>
  <c r="CU182" i="14609"/>
  <c r="CV182" i="14609"/>
  <c r="CW182" i="14609"/>
  <c r="CX182" i="14609"/>
  <c r="CY182" i="14609"/>
  <c r="CZ182" i="14609"/>
  <c r="DA182" i="14609"/>
  <c r="DB182" i="14609"/>
  <c r="DC182" i="14609"/>
  <c r="DD182" i="14609"/>
  <c r="DE182" i="14609"/>
  <c r="DF182" i="14609"/>
  <c r="DG182" i="14609"/>
  <c r="DH182" i="14609"/>
  <c r="DI182" i="14609"/>
  <c r="DJ182" i="14609"/>
  <c r="DK182" i="14609"/>
  <c r="DL182" i="14609"/>
  <c r="DM182" i="14609"/>
  <c r="DN182" i="14609"/>
  <c r="DO182" i="14609"/>
  <c r="DP182" i="14609"/>
  <c r="DQ182" i="14609"/>
  <c r="DR182" i="14609"/>
  <c r="DS182" i="14609"/>
  <c r="DT182" i="14609"/>
  <c r="DU182" i="14609"/>
  <c r="DV182" i="14609"/>
  <c r="DW182" i="14609"/>
  <c r="DX182" i="14609"/>
  <c r="DY182" i="14609"/>
  <c r="DZ182" i="14609"/>
  <c r="EA182" i="14609"/>
  <c r="EB182" i="14609"/>
  <c r="EC182" i="14609"/>
  <c r="ED182" i="14609"/>
  <c r="EE182" i="14609"/>
  <c r="EF182" i="14609"/>
  <c r="EG182" i="14609"/>
  <c r="EH182" i="14609"/>
  <c r="EI182" i="14609"/>
  <c r="EJ182" i="14609"/>
  <c r="EK182" i="14609"/>
  <c r="EL182" i="14609"/>
  <c r="EM182" i="14609"/>
  <c r="EN182" i="14609"/>
  <c r="EO182" i="14609"/>
  <c r="EP182" i="14609"/>
  <c r="EQ182" i="14609"/>
  <c r="ER182" i="14609"/>
  <c r="ES182" i="14609"/>
  <c r="ET182" i="14609"/>
  <c r="EU182" i="14609"/>
  <c r="EV182" i="14609"/>
  <c r="EW182" i="14609"/>
  <c r="EX182" i="14609"/>
  <c r="EY182" i="14609"/>
  <c r="EZ182" i="14609"/>
  <c r="FA182" i="14609"/>
  <c r="FB182" i="14609"/>
  <c r="FC182" i="14609"/>
  <c r="FD182" i="14609"/>
  <c r="FE182" i="14609"/>
  <c r="FF182" i="14609"/>
  <c r="FG182" i="14609"/>
  <c r="FH182" i="14609"/>
  <c r="FI182" i="14609"/>
  <c r="FJ182" i="14609"/>
  <c r="FK182" i="14609"/>
  <c r="FL182" i="14609"/>
  <c r="FM182" i="14609"/>
  <c r="FN182" i="14609"/>
  <c r="FO182" i="14609"/>
  <c r="FP182" i="14609"/>
  <c r="FQ182" i="14609"/>
  <c r="FR182" i="14609"/>
  <c r="FS182" i="14609"/>
  <c r="FT182" i="14609"/>
  <c r="FU182" i="14609"/>
  <c r="FV182" i="14609"/>
  <c r="FW182" i="14609"/>
  <c r="FX182" i="14609"/>
  <c r="FY182" i="14609"/>
  <c r="FZ182" i="14609"/>
  <c r="GA182" i="14609"/>
  <c r="GB182" i="14609"/>
  <c r="GC182" i="14609"/>
  <c r="GD182" i="14609"/>
  <c r="GE182" i="14609"/>
  <c r="GF182" i="14609"/>
  <c r="GG182" i="14609"/>
  <c r="GH182" i="14609"/>
  <c r="GI182" i="14609"/>
  <c r="GJ182" i="14609"/>
  <c r="GK182" i="14609"/>
  <c r="GL182" i="14609"/>
  <c r="GM182" i="14609"/>
  <c r="GN182" i="14609"/>
  <c r="GO182" i="14609"/>
  <c r="GP182" i="14609"/>
  <c r="GQ182" i="14609"/>
  <c r="GR182" i="14609"/>
  <c r="GS182" i="14609"/>
  <c r="GT182" i="14609"/>
  <c r="GU182" i="14609"/>
  <c r="GV182" i="14609"/>
  <c r="GW182" i="14609"/>
  <c r="GX182" i="14609"/>
  <c r="GY182" i="14609"/>
  <c r="GZ182" i="14609"/>
  <c r="HA182" i="14609"/>
  <c r="HB182" i="14609"/>
  <c r="HC182" i="14609"/>
  <c r="HD182" i="14609"/>
  <c r="HE182" i="14609"/>
  <c r="HF182" i="14609"/>
  <c r="HG182" i="14609"/>
  <c r="HH182" i="14609"/>
  <c r="HI182" i="14609"/>
  <c r="HJ182" i="14609"/>
  <c r="HK182" i="14609"/>
  <c r="HL182" i="14609"/>
  <c r="HM182" i="14609"/>
  <c r="HN182" i="14609"/>
  <c r="HO182" i="14609"/>
  <c r="HP182" i="14609"/>
  <c r="HQ182" i="14609"/>
  <c r="HR182" i="14609"/>
  <c r="HS182" i="14609"/>
  <c r="HT182" i="14609"/>
  <c r="HU182" i="14609"/>
  <c r="HV182" i="14609"/>
  <c r="HW182" i="14609"/>
  <c r="HX182" i="14609"/>
  <c r="HY182" i="14609"/>
  <c r="HZ182" i="14609"/>
  <c r="IA182" i="14609"/>
  <c r="IB182" i="14609"/>
  <c r="IC182" i="14609"/>
  <c r="ID182" i="14609"/>
  <c r="IE182" i="14609"/>
  <c r="IF182" i="14609"/>
  <c r="IG182" i="14609"/>
  <c r="IH182" i="14609"/>
  <c r="II182" i="14609"/>
  <c r="IJ182" i="14609"/>
  <c r="IK182" i="14609"/>
  <c r="IL182" i="14609"/>
  <c r="IM182" i="14609"/>
  <c r="IN182" i="14609"/>
  <c r="IO182" i="14609"/>
  <c r="IP182" i="14609"/>
  <c r="IQ182" i="14609"/>
  <c r="IR182" i="14609"/>
  <c r="IS182" i="14609"/>
  <c r="IT182" i="14609"/>
  <c r="IU182" i="14609"/>
  <c r="IV182" i="14609"/>
  <c r="A181" i="14609"/>
  <c r="B181" i="14609"/>
  <c r="C181" i="14609"/>
  <c r="D181" i="14609"/>
  <c r="E181" i="14609"/>
  <c r="F181" i="14609"/>
  <c r="G181" i="14609"/>
  <c r="H181" i="14609"/>
  <c r="I181" i="14609"/>
  <c r="J181" i="14609"/>
  <c r="K181" i="14609"/>
  <c r="L181" i="14609"/>
  <c r="M181" i="14609"/>
  <c r="N181" i="14609"/>
  <c r="O181" i="14609"/>
  <c r="P181" i="14609"/>
  <c r="Q181" i="14609"/>
  <c r="R181" i="14609"/>
  <c r="S181" i="14609"/>
  <c r="T181" i="14609"/>
  <c r="U181" i="14609"/>
  <c r="V181" i="14609"/>
  <c r="W181" i="14609"/>
  <c r="X181" i="14609"/>
  <c r="Y181" i="14609"/>
  <c r="Z181" i="14609"/>
  <c r="AA181" i="14609"/>
  <c r="AB181" i="14609"/>
  <c r="AC181" i="14609"/>
  <c r="AD181" i="14609"/>
  <c r="AE181" i="14609"/>
  <c r="AF181" i="14609"/>
  <c r="AG181" i="14609"/>
  <c r="AH181" i="14609"/>
  <c r="AI181" i="14609"/>
  <c r="AJ181" i="14609"/>
  <c r="AK181" i="14609"/>
  <c r="AL181" i="14609"/>
  <c r="AM181" i="14609"/>
  <c r="AN181" i="14609"/>
  <c r="AO181" i="14609"/>
  <c r="AP181" i="14609"/>
  <c r="AQ181" i="14609"/>
  <c r="AR181" i="14609"/>
  <c r="AS181" i="14609"/>
  <c r="AT181" i="14609"/>
  <c r="AU181" i="14609"/>
  <c r="AV181" i="14609"/>
  <c r="AW181" i="14609"/>
  <c r="AX181" i="14609"/>
  <c r="AY181" i="14609"/>
  <c r="AZ181" i="14609"/>
  <c r="BA181" i="14609"/>
  <c r="BB181" i="14609"/>
  <c r="BC181" i="14609"/>
  <c r="BD181" i="14609"/>
  <c r="BE181" i="14609"/>
  <c r="BF181" i="14609"/>
  <c r="BG181" i="14609"/>
  <c r="BH181" i="14609"/>
  <c r="BI181" i="14609"/>
  <c r="BJ181" i="14609"/>
  <c r="BK181" i="14609"/>
  <c r="BL181" i="14609"/>
  <c r="BM181" i="14609"/>
  <c r="BN181" i="14609"/>
  <c r="BO181" i="14609"/>
  <c r="BP181" i="14609"/>
  <c r="BQ181" i="14609"/>
  <c r="BR181" i="14609"/>
  <c r="BS181" i="14609"/>
  <c r="BT181" i="14609"/>
  <c r="BU181" i="14609"/>
  <c r="BV181" i="14609"/>
  <c r="BW181" i="14609"/>
  <c r="BX181" i="14609"/>
  <c r="BY181" i="14609"/>
  <c r="BZ181" i="14609"/>
  <c r="CA181" i="14609"/>
  <c r="CB181" i="14609"/>
  <c r="CC181" i="14609"/>
  <c r="CD181" i="14609"/>
  <c r="CE181" i="14609"/>
  <c r="CF181" i="14609"/>
  <c r="CG181" i="14609"/>
  <c r="CH181" i="14609"/>
  <c r="CI181" i="14609"/>
  <c r="CJ181" i="14609"/>
  <c r="CK181" i="14609"/>
  <c r="CL181" i="14609"/>
  <c r="CM181" i="14609"/>
  <c r="CN181" i="14609"/>
  <c r="CO181" i="14609"/>
  <c r="CP181" i="14609"/>
  <c r="CQ181" i="14609"/>
  <c r="CR181" i="14609"/>
  <c r="CS181" i="14609"/>
  <c r="CT181" i="14609"/>
  <c r="CU181" i="14609"/>
  <c r="CV181" i="14609"/>
  <c r="CW181" i="14609"/>
  <c r="CX181" i="14609"/>
  <c r="CY181" i="14609"/>
  <c r="CZ181" i="14609"/>
  <c r="DA181" i="14609"/>
  <c r="DB181" i="14609"/>
  <c r="DC181" i="14609"/>
  <c r="DD181" i="14609"/>
  <c r="DE181" i="14609"/>
  <c r="DF181" i="14609"/>
  <c r="DG181" i="14609"/>
  <c r="DH181" i="14609"/>
  <c r="DI181" i="14609"/>
  <c r="DJ181" i="14609"/>
  <c r="DK181" i="14609"/>
  <c r="DL181" i="14609"/>
  <c r="DM181" i="14609"/>
  <c r="DN181" i="14609"/>
  <c r="DO181" i="14609"/>
  <c r="DP181" i="14609"/>
  <c r="DQ181" i="14609"/>
  <c r="DR181" i="14609"/>
  <c r="DS181" i="14609"/>
  <c r="DT181" i="14609"/>
  <c r="DU181" i="14609"/>
  <c r="DV181" i="14609"/>
  <c r="DW181" i="14609"/>
  <c r="DX181" i="14609"/>
  <c r="DY181" i="14609"/>
  <c r="DZ181" i="14609"/>
  <c r="EA181" i="14609"/>
  <c r="EB181" i="14609"/>
  <c r="EC181" i="14609"/>
  <c r="ED181" i="14609"/>
  <c r="EE181" i="14609"/>
  <c r="EF181" i="14609"/>
  <c r="EG181" i="14609"/>
  <c r="EH181" i="14609"/>
  <c r="EI181" i="14609"/>
  <c r="EJ181" i="14609"/>
  <c r="EK181" i="14609"/>
  <c r="EL181" i="14609"/>
  <c r="EM181" i="14609"/>
  <c r="EN181" i="14609"/>
  <c r="EO181" i="14609"/>
  <c r="EP181" i="14609"/>
  <c r="EQ181" i="14609"/>
  <c r="ER181" i="14609"/>
  <c r="ES181" i="14609"/>
  <c r="ET181" i="14609"/>
  <c r="EU181" i="14609"/>
  <c r="EV181" i="14609"/>
  <c r="EW181" i="14609"/>
  <c r="EX181" i="14609"/>
  <c r="EY181" i="14609"/>
  <c r="EZ181" i="14609"/>
  <c r="FA181" i="14609"/>
  <c r="FB181" i="14609"/>
  <c r="FC181" i="14609"/>
  <c r="FD181" i="14609"/>
  <c r="FE181" i="14609"/>
  <c r="FF181" i="14609"/>
  <c r="FG181" i="14609"/>
  <c r="FH181" i="14609"/>
  <c r="FI181" i="14609"/>
  <c r="FJ181" i="14609"/>
  <c r="FK181" i="14609"/>
  <c r="FL181" i="14609"/>
  <c r="FM181" i="14609"/>
  <c r="FN181" i="14609"/>
  <c r="FO181" i="14609"/>
  <c r="FP181" i="14609"/>
  <c r="FQ181" i="14609"/>
  <c r="FR181" i="14609"/>
  <c r="FS181" i="14609"/>
  <c r="FT181" i="14609"/>
  <c r="FU181" i="14609"/>
  <c r="FV181" i="14609"/>
  <c r="FW181" i="14609"/>
  <c r="FX181" i="14609"/>
  <c r="FY181" i="14609"/>
  <c r="FZ181" i="14609"/>
  <c r="GA181" i="14609"/>
  <c r="GB181" i="14609"/>
  <c r="GC181" i="14609"/>
  <c r="GD181" i="14609"/>
  <c r="GE181" i="14609"/>
  <c r="GF181" i="14609"/>
  <c r="GG181" i="14609"/>
  <c r="GH181" i="14609"/>
  <c r="GI181" i="14609"/>
  <c r="GJ181" i="14609"/>
  <c r="GK181" i="14609"/>
  <c r="GL181" i="14609"/>
  <c r="GM181" i="14609"/>
  <c r="GN181" i="14609"/>
  <c r="GO181" i="14609"/>
  <c r="GP181" i="14609"/>
  <c r="GQ181" i="14609"/>
  <c r="GR181" i="14609"/>
  <c r="GS181" i="14609"/>
  <c r="GT181" i="14609"/>
  <c r="GU181" i="14609"/>
  <c r="GV181" i="14609"/>
  <c r="GW181" i="14609"/>
  <c r="GX181" i="14609"/>
  <c r="GY181" i="14609"/>
  <c r="GZ181" i="14609"/>
  <c r="HA181" i="14609"/>
  <c r="HB181" i="14609"/>
  <c r="HC181" i="14609"/>
  <c r="HD181" i="14609"/>
  <c r="HE181" i="14609"/>
  <c r="HF181" i="14609"/>
  <c r="HG181" i="14609"/>
  <c r="HH181" i="14609"/>
  <c r="HI181" i="14609"/>
  <c r="HJ181" i="14609"/>
  <c r="HK181" i="14609"/>
  <c r="HL181" i="14609"/>
  <c r="HM181" i="14609"/>
  <c r="HN181" i="14609"/>
  <c r="HO181" i="14609"/>
  <c r="HP181" i="14609"/>
  <c r="HQ181" i="14609"/>
  <c r="HR181" i="14609"/>
  <c r="HS181" i="14609"/>
  <c r="HT181" i="14609"/>
  <c r="HU181" i="14609"/>
  <c r="HV181" i="14609"/>
  <c r="HW181" i="14609"/>
  <c r="HX181" i="14609"/>
  <c r="HY181" i="14609"/>
  <c r="HZ181" i="14609"/>
  <c r="IA181" i="14609"/>
  <c r="IB181" i="14609"/>
  <c r="IC181" i="14609"/>
  <c r="ID181" i="14609"/>
  <c r="IE181" i="14609"/>
  <c r="IF181" i="14609"/>
  <c r="IG181" i="14609"/>
  <c r="IH181" i="14609"/>
  <c r="II181" i="14609"/>
  <c r="IJ181" i="14609"/>
  <c r="IK181" i="14609"/>
  <c r="IL181" i="14609"/>
  <c r="IM181" i="14609"/>
  <c r="IN181" i="14609"/>
  <c r="IO181" i="14609"/>
  <c r="IP181" i="14609"/>
  <c r="IQ181" i="14609"/>
  <c r="IR181" i="14609"/>
  <c r="IS181" i="14609"/>
  <c r="IT181" i="14609"/>
  <c r="IU181" i="14609"/>
  <c r="IV181" i="14609"/>
  <c r="A180" i="14609"/>
  <c r="B180" i="14609"/>
  <c r="C180" i="14609"/>
  <c r="D180" i="14609"/>
  <c r="E180" i="14609"/>
  <c r="F180" i="14609"/>
  <c r="G180" i="14609"/>
  <c r="H180" i="14609"/>
  <c r="I180" i="14609"/>
  <c r="J180" i="14609"/>
  <c r="K180" i="14609"/>
  <c r="L180" i="14609"/>
  <c r="M180" i="14609"/>
  <c r="N180" i="14609"/>
  <c r="O180" i="14609"/>
  <c r="P180" i="14609"/>
  <c r="Q180" i="14609"/>
  <c r="R180" i="14609"/>
  <c r="S180" i="14609"/>
  <c r="T180" i="14609"/>
  <c r="U180" i="14609"/>
  <c r="V180" i="14609"/>
  <c r="W180" i="14609"/>
  <c r="X180" i="14609"/>
  <c r="Y180" i="14609"/>
  <c r="Z180" i="14609"/>
  <c r="AA180" i="14609"/>
  <c r="AB180" i="14609"/>
  <c r="AC180" i="14609"/>
  <c r="AD180" i="14609"/>
  <c r="AE180" i="14609"/>
  <c r="AF180" i="14609"/>
  <c r="AG180" i="14609"/>
  <c r="AH180" i="14609"/>
  <c r="AI180" i="14609"/>
  <c r="AJ180" i="14609"/>
  <c r="AK180" i="14609"/>
  <c r="AL180" i="14609"/>
  <c r="AM180" i="14609"/>
  <c r="AN180" i="14609"/>
  <c r="AO180" i="14609"/>
  <c r="AP180" i="14609"/>
  <c r="AQ180" i="14609"/>
  <c r="AR180" i="14609"/>
  <c r="AS180" i="14609"/>
  <c r="AT180" i="14609"/>
  <c r="AU180" i="14609"/>
  <c r="AV180" i="14609"/>
  <c r="AW180" i="14609"/>
  <c r="AX180" i="14609"/>
  <c r="AY180" i="14609"/>
  <c r="AZ180" i="14609"/>
  <c r="BA180" i="14609"/>
  <c r="BB180" i="14609"/>
  <c r="BC180" i="14609"/>
  <c r="BD180" i="14609"/>
  <c r="BE180" i="14609"/>
  <c r="BF180" i="14609"/>
  <c r="BG180" i="14609"/>
  <c r="BH180" i="14609"/>
  <c r="BI180" i="14609"/>
  <c r="BJ180" i="14609"/>
  <c r="BK180" i="14609"/>
  <c r="BL180" i="14609"/>
  <c r="BM180" i="14609"/>
  <c r="BN180" i="14609"/>
  <c r="BO180" i="14609"/>
  <c r="BP180" i="14609"/>
  <c r="BQ180" i="14609"/>
  <c r="BR180" i="14609"/>
  <c r="BS180" i="14609"/>
  <c r="BT180" i="14609"/>
  <c r="BU180" i="14609"/>
  <c r="BV180" i="14609"/>
  <c r="BW180" i="14609"/>
  <c r="BX180" i="14609"/>
  <c r="BY180" i="14609"/>
  <c r="BZ180" i="14609"/>
  <c r="CA180" i="14609"/>
  <c r="CB180" i="14609"/>
  <c r="CC180" i="14609"/>
  <c r="CD180" i="14609"/>
  <c r="CE180" i="14609"/>
  <c r="CF180" i="14609"/>
  <c r="CG180" i="14609"/>
  <c r="CH180" i="14609"/>
  <c r="CI180" i="14609"/>
  <c r="CJ180" i="14609"/>
  <c r="CK180" i="14609"/>
  <c r="CL180" i="14609"/>
  <c r="CM180" i="14609"/>
  <c r="CN180" i="14609"/>
  <c r="CO180" i="14609"/>
  <c r="CP180" i="14609"/>
  <c r="CQ180" i="14609"/>
  <c r="CR180" i="14609"/>
  <c r="CS180" i="14609"/>
  <c r="CT180" i="14609"/>
  <c r="CU180" i="14609"/>
  <c r="CV180" i="14609"/>
  <c r="CW180" i="14609"/>
  <c r="CX180" i="14609"/>
  <c r="CY180" i="14609"/>
  <c r="CZ180" i="14609"/>
  <c r="DA180" i="14609"/>
  <c r="DB180" i="14609"/>
  <c r="DC180" i="14609"/>
  <c r="DD180" i="14609"/>
  <c r="DE180" i="14609"/>
  <c r="DF180" i="14609"/>
  <c r="DG180" i="14609"/>
  <c r="DH180" i="14609"/>
  <c r="DI180" i="14609"/>
  <c r="DJ180" i="14609"/>
  <c r="DK180" i="14609"/>
  <c r="DL180" i="14609"/>
  <c r="DM180" i="14609"/>
  <c r="DN180" i="14609"/>
  <c r="DO180" i="14609"/>
  <c r="DP180" i="14609"/>
  <c r="DQ180" i="14609"/>
  <c r="DR180" i="14609"/>
  <c r="DS180" i="14609"/>
  <c r="DT180" i="14609"/>
  <c r="DU180" i="14609"/>
  <c r="DV180" i="14609"/>
  <c r="DW180" i="14609"/>
  <c r="DX180" i="14609"/>
  <c r="DY180" i="14609"/>
  <c r="DZ180" i="14609"/>
  <c r="EA180" i="14609"/>
  <c r="EB180" i="14609"/>
  <c r="EC180" i="14609"/>
  <c r="ED180" i="14609"/>
  <c r="EE180" i="14609"/>
  <c r="EF180" i="14609"/>
  <c r="EG180" i="14609"/>
  <c r="EH180" i="14609"/>
  <c r="EI180" i="14609"/>
  <c r="EJ180" i="14609"/>
  <c r="EK180" i="14609"/>
  <c r="EL180" i="14609"/>
  <c r="EM180" i="14609"/>
  <c r="EN180" i="14609"/>
  <c r="EO180" i="14609"/>
  <c r="EP180" i="14609"/>
  <c r="EQ180" i="14609"/>
  <c r="ER180" i="14609"/>
  <c r="ES180" i="14609"/>
  <c r="ET180" i="14609"/>
  <c r="EU180" i="14609"/>
  <c r="EV180" i="14609"/>
  <c r="EW180" i="14609"/>
  <c r="EX180" i="14609"/>
  <c r="EY180" i="14609"/>
  <c r="EZ180" i="14609"/>
  <c r="FA180" i="14609"/>
  <c r="FB180" i="14609"/>
  <c r="FC180" i="14609"/>
  <c r="FD180" i="14609"/>
  <c r="FE180" i="14609"/>
  <c r="FF180" i="14609"/>
  <c r="FG180" i="14609"/>
  <c r="FH180" i="14609"/>
  <c r="FI180" i="14609"/>
  <c r="FJ180" i="14609"/>
  <c r="FK180" i="14609"/>
  <c r="FL180" i="14609"/>
  <c r="FM180" i="14609"/>
  <c r="FN180" i="14609"/>
  <c r="FO180" i="14609"/>
  <c r="FP180" i="14609"/>
  <c r="FQ180" i="14609"/>
  <c r="FR180" i="14609"/>
  <c r="FS180" i="14609"/>
  <c r="FT180" i="14609"/>
  <c r="FU180" i="14609"/>
  <c r="FV180" i="14609"/>
  <c r="FW180" i="14609"/>
  <c r="FX180" i="14609"/>
  <c r="FY180" i="14609"/>
  <c r="FZ180" i="14609"/>
  <c r="GA180" i="14609"/>
  <c r="GB180" i="14609"/>
  <c r="GC180" i="14609"/>
  <c r="GD180" i="14609"/>
  <c r="GE180" i="14609"/>
  <c r="GF180" i="14609"/>
  <c r="GG180" i="14609"/>
  <c r="GH180" i="14609"/>
  <c r="GI180" i="14609"/>
  <c r="GJ180" i="14609"/>
  <c r="GK180" i="14609"/>
  <c r="GL180" i="14609"/>
  <c r="GM180" i="14609"/>
  <c r="GN180" i="14609"/>
  <c r="GO180" i="14609"/>
  <c r="GP180" i="14609"/>
  <c r="GQ180" i="14609"/>
  <c r="GR180" i="14609"/>
  <c r="GS180" i="14609"/>
  <c r="GT180" i="14609"/>
  <c r="GU180" i="14609"/>
  <c r="GV180" i="14609"/>
  <c r="GW180" i="14609"/>
  <c r="GX180" i="14609"/>
  <c r="GY180" i="14609"/>
  <c r="GZ180" i="14609"/>
  <c r="HA180" i="14609"/>
  <c r="HB180" i="14609"/>
  <c r="HC180" i="14609"/>
  <c r="HD180" i="14609"/>
  <c r="HE180" i="14609"/>
  <c r="HF180" i="14609"/>
  <c r="HG180" i="14609"/>
  <c r="HH180" i="14609"/>
  <c r="HI180" i="14609"/>
  <c r="HJ180" i="14609"/>
  <c r="HK180" i="14609"/>
  <c r="HL180" i="14609"/>
  <c r="HM180" i="14609"/>
  <c r="HN180" i="14609"/>
  <c r="HO180" i="14609"/>
  <c r="HP180" i="14609"/>
  <c r="HQ180" i="14609"/>
  <c r="HR180" i="14609"/>
  <c r="HS180" i="14609"/>
  <c r="HT180" i="14609"/>
  <c r="HU180" i="14609"/>
  <c r="HV180" i="14609"/>
  <c r="HW180" i="14609"/>
  <c r="HX180" i="14609"/>
  <c r="HY180" i="14609"/>
  <c r="HZ180" i="14609"/>
  <c r="IA180" i="14609"/>
  <c r="IB180" i="14609"/>
  <c r="IC180" i="14609"/>
  <c r="ID180" i="14609"/>
  <c r="IE180" i="14609"/>
  <c r="IF180" i="14609"/>
  <c r="IG180" i="14609"/>
  <c r="IH180" i="14609"/>
  <c r="II180" i="14609"/>
  <c r="IJ180" i="14609"/>
  <c r="IK180" i="14609"/>
  <c r="IL180" i="14609"/>
  <c r="IM180" i="14609"/>
  <c r="IN180" i="14609"/>
  <c r="IO180" i="14609"/>
  <c r="IP180" i="14609"/>
  <c r="IQ180" i="14609"/>
  <c r="IR180" i="14609"/>
  <c r="IS180" i="14609"/>
  <c r="IT180" i="14609"/>
  <c r="IU180" i="14609"/>
  <c r="IV180" i="14609"/>
  <c r="A179" i="14609"/>
  <c r="B179" i="14609"/>
  <c r="C179" i="14609"/>
  <c r="D179" i="14609"/>
  <c r="E179" i="14609"/>
  <c r="F179" i="14609"/>
  <c r="G179" i="14609"/>
  <c r="H179" i="14609"/>
  <c r="I179" i="14609"/>
  <c r="J179" i="14609"/>
  <c r="K179" i="14609"/>
  <c r="L179" i="14609"/>
  <c r="M179" i="14609"/>
  <c r="N179" i="14609"/>
  <c r="O179" i="14609"/>
  <c r="P179" i="14609"/>
  <c r="Q179" i="14609"/>
  <c r="R179" i="14609"/>
  <c r="S179" i="14609"/>
  <c r="T179" i="14609"/>
  <c r="U179" i="14609"/>
  <c r="V179" i="14609"/>
  <c r="W179" i="14609"/>
  <c r="X179" i="14609"/>
  <c r="Y179" i="14609"/>
  <c r="Z179" i="14609"/>
  <c r="AA179" i="14609"/>
  <c r="AB179" i="14609"/>
  <c r="AC179" i="14609"/>
  <c r="AD179" i="14609"/>
  <c r="AE179" i="14609"/>
  <c r="AF179" i="14609"/>
  <c r="AG179" i="14609"/>
  <c r="AH179" i="14609"/>
  <c r="AI179" i="14609"/>
  <c r="AJ179" i="14609"/>
  <c r="AK179" i="14609"/>
  <c r="AL179" i="14609"/>
  <c r="AM179" i="14609"/>
  <c r="AN179" i="14609"/>
  <c r="AO179" i="14609"/>
  <c r="AP179" i="14609"/>
  <c r="AQ179" i="14609"/>
  <c r="AR179" i="14609"/>
  <c r="AS179" i="14609"/>
  <c r="AT179" i="14609"/>
  <c r="AU179" i="14609"/>
  <c r="AV179" i="14609"/>
  <c r="AW179" i="14609"/>
  <c r="AX179" i="14609"/>
  <c r="AY179" i="14609"/>
  <c r="AZ179" i="14609"/>
  <c r="BA179" i="14609"/>
  <c r="BB179" i="14609"/>
  <c r="BC179" i="14609"/>
  <c r="BD179" i="14609"/>
  <c r="BE179" i="14609"/>
  <c r="BF179" i="14609"/>
  <c r="BG179" i="14609"/>
  <c r="BH179" i="14609"/>
  <c r="BI179" i="14609"/>
  <c r="BJ179" i="14609"/>
  <c r="BK179" i="14609"/>
  <c r="BL179" i="14609"/>
  <c r="BM179" i="14609"/>
  <c r="BN179" i="14609"/>
  <c r="BO179" i="14609"/>
  <c r="BP179" i="14609"/>
  <c r="BQ179" i="14609"/>
  <c r="BR179" i="14609"/>
  <c r="BS179" i="14609"/>
  <c r="BT179" i="14609"/>
  <c r="BU179" i="14609"/>
  <c r="BV179" i="14609"/>
  <c r="BW179" i="14609"/>
  <c r="BX179" i="14609"/>
  <c r="BY179" i="14609"/>
  <c r="BZ179" i="14609"/>
  <c r="CA179" i="14609"/>
  <c r="CB179" i="14609"/>
  <c r="CC179" i="14609"/>
  <c r="CD179" i="14609"/>
  <c r="CE179" i="14609"/>
  <c r="CF179" i="14609"/>
  <c r="CG179" i="14609"/>
  <c r="CH179" i="14609"/>
  <c r="CI179" i="14609"/>
  <c r="CJ179" i="14609"/>
  <c r="CK179" i="14609"/>
  <c r="CL179" i="14609"/>
  <c r="CM179" i="14609"/>
  <c r="CN179" i="14609"/>
  <c r="CO179" i="14609"/>
  <c r="CP179" i="14609"/>
  <c r="CQ179" i="14609"/>
  <c r="CR179" i="14609"/>
  <c r="CS179" i="14609"/>
  <c r="CT179" i="14609"/>
  <c r="CU179" i="14609"/>
  <c r="CV179" i="14609"/>
  <c r="CW179" i="14609"/>
  <c r="CX179" i="14609"/>
  <c r="CY179" i="14609"/>
  <c r="CZ179" i="14609"/>
  <c r="DA179" i="14609"/>
  <c r="DB179" i="14609"/>
  <c r="DC179" i="14609"/>
  <c r="DD179" i="14609"/>
  <c r="DE179" i="14609"/>
  <c r="DF179" i="14609"/>
  <c r="DG179" i="14609"/>
  <c r="DH179" i="14609"/>
  <c r="DI179" i="14609"/>
  <c r="DJ179" i="14609"/>
  <c r="DK179" i="14609"/>
  <c r="DL179" i="14609"/>
  <c r="DM179" i="14609"/>
  <c r="DN179" i="14609"/>
  <c r="DO179" i="14609"/>
  <c r="DP179" i="14609"/>
  <c r="DQ179" i="14609"/>
  <c r="DR179" i="14609"/>
  <c r="DS179" i="14609"/>
  <c r="DT179" i="14609"/>
  <c r="DU179" i="14609"/>
  <c r="DV179" i="14609"/>
  <c r="DW179" i="14609"/>
  <c r="DX179" i="14609"/>
  <c r="DY179" i="14609"/>
  <c r="DZ179" i="14609"/>
  <c r="EA179" i="14609"/>
  <c r="EB179" i="14609"/>
  <c r="EC179" i="14609"/>
  <c r="ED179" i="14609"/>
  <c r="EE179" i="14609"/>
  <c r="EF179" i="14609"/>
  <c r="EG179" i="14609"/>
  <c r="EH179" i="14609"/>
  <c r="EI179" i="14609"/>
  <c r="EJ179" i="14609"/>
  <c r="EK179" i="14609"/>
  <c r="EL179" i="14609"/>
  <c r="EM179" i="14609"/>
  <c r="EN179" i="14609"/>
  <c r="EO179" i="14609"/>
  <c r="EP179" i="14609"/>
  <c r="EQ179" i="14609"/>
  <c r="ER179" i="14609"/>
  <c r="ES179" i="14609"/>
  <c r="ET179" i="14609"/>
  <c r="EU179" i="14609"/>
  <c r="EV179" i="14609"/>
  <c r="EW179" i="14609"/>
  <c r="EX179" i="14609"/>
  <c r="EY179" i="14609"/>
  <c r="EZ179" i="14609"/>
  <c r="FA179" i="14609"/>
  <c r="FB179" i="14609"/>
  <c r="FC179" i="14609"/>
  <c r="FD179" i="14609"/>
  <c r="FE179" i="14609"/>
  <c r="FF179" i="14609"/>
  <c r="FG179" i="14609"/>
  <c r="FH179" i="14609"/>
  <c r="FI179" i="14609"/>
  <c r="FJ179" i="14609"/>
  <c r="FK179" i="14609"/>
  <c r="FL179" i="14609"/>
  <c r="FM179" i="14609"/>
  <c r="FN179" i="14609"/>
  <c r="FO179" i="14609"/>
  <c r="FP179" i="14609"/>
  <c r="FQ179" i="14609"/>
  <c r="FR179" i="14609"/>
  <c r="FS179" i="14609"/>
  <c r="FT179" i="14609"/>
  <c r="FU179" i="14609"/>
  <c r="FV179" i="14609"/>
  <c r="FW179" i="14609"/>
  <c r="FX179" i="14609"/>
  <c r="FY179" i="14609"/>
  <c r="FZ179" i="14609"/>
  <c r="GA179" i="14609"/>
  <c r="GB179" i="14609"/>
  <c r="GC179" i="14609"/>
  <c r="GD179" i="14609"/>
  <c r="GE179" i="14609"/>
  <c r="GF179" i="14609"/>
  <c r="GG179" i="14609"/>
  <c r="GH179" i="14609"/>
  <c r="GI179" i="14609"/>
  <c r="GJ179" i="14609"/>
  <c r="GK179" i="14609"/>
  <c r="GL179" i="14609"/>
  <c r="GM179" i="14609"/>
  <c r="GN179" i="14609"/>
  <c r="GO179" i="14609"/>
  <c r="GP179" i="14609"/>
  <c r="GQ179" i="14609"/>
  <c r="GR179" i="14609"/>
  <c r="GS179" i="14609"/>
  <c r="GT179" i="14609"/>
  <c r="GU179" i="14609"/>
  <c r="GV179" i="14609"/>
  <c r="GW179" i="14609"/>
  <c r="GX179" i="14609"/>
  <c r="GY179" i="14609"/>
  <c r="GZ179" i="14609"/>
  <c r="HA179" i="14609"/>
  <c r="HB179" i="14609"/>
  <c r="HC179" i="14609"/>
  <c r="HD179" i="14609"/>
  <c r="HE179" i="14609"/>
  <c r="HF179" i="14609"/>
  <c r="HG179" i="14609"/>
  <c r="HH179" i="14609"/>
  <c r="HI179" i="14609"/>
  <c r="HJ179" i="14609"/>
  <c r="HK179" i="14609"/>
  <c r="HL179" i="14609"/>
  <c r="HM179" i="14609"/>
  <c r="HN179" i="14609"/>
  <c r="HO179" i="14609"/>
  <c r="HP179" i="14609"/>
  <c r="HQ179" i="14609"/>
  <c r="HR179" i="14609"/>
  <c r="HS179" i="14609"/>
  <c r="HT179" i="14609"/>
  <c r="HU179" i="14609"/>
  <c r="HV179" i="14609"/>
  <c r="HW179" i="14609"/>
  <c r="HX179" i="14609"/>
  <c r="HY179" i="14609"/>
  <c r="HZ179" i="14609"/>
  <c r="IA179" i="14609"/>
  <c r="IB179" i="14609"/>
  <c r="IC179" i="14609"/>
  <c r="ID179" i="14609"/>
  <c r="IE179" i="14609"/>
  <c r="IF179" i="14609"/>
  <c r="IG179" i="14609"/>
  <c r="IH179" i="14609"/>
  <c r="II179" i="14609"/>
  <c r="IJ179" i="14609"/>
  <c r="IK179" i="14609"/>
  <c r="IL179" i="14609"/>
  <c r="IM179" i="14609"/>
  <c r="IN179" i="14609"/>
  <c r="IO179" i="14609"/>
  <c r="IP179" i="14609"/>
  <c r="IQ179" i="14609"/>
  <c r="IR179" i="14609"/>
  <c r="IS179" i="14609"/>
  <c r="IT179" i="14609"/>
  <c r="IU179" i="14609"/>
  <c r="IV179" i="14609"/>
  <c r="A178" i="14609"/>
  <c r="B178" i="14609"/>
  <c r="C178" i="14609"/>
  <c r="D178" i="14609"/>
  <c r="E178" i="14609"/>
  <c r="F178" i="14609"/>
  <c r="G178" i="14609"/>
  <c r="H178" i="14609"/>
  <c r="I178" i="14609"/>
  <c r="J178" i="14609"/>
  <c r="K178" i="14609"/>
  <c r="L178" i="14609"/>
  <c r="M178" i="14609"/>
  <c r="N178" i="14609"/>
  <c r="O178" i="14609"/>
  <c r="P178" i="14609"/>
  <c r="Q178" i="14609"/>
  <c r="R178" i="14609"/>
  <c r="S178" i="14609"/>
  <c r="T178" i="14609"/>
  <c r="U178" i="14609"/>
  <c r="V178" i="14609"/>
  <c r="W178" i="14609"/>
  <c r="X178" i="14609"/>
  <c r="Y178" i="14609"/>
  <c r="Z178" i="14609"/>
  <c r="AA178" i="14609"/>
  <c r="AB178" i="14609"/>
  <c r="AC178" i="14609"/>
  <c r="AD178" i="14609"/>
  <c r="AE178" i="14609"/>
  <c r="AF178" i="14609"/>
  <c r="AG178" i="14609"/>
  <c r="AH178" i="14609"/>
  <c r="AI178" i="14609"/>
  <c r="AJ178" i="14609"/>
  <c r="AK178" i="14609"/>
  <c r="AL178" i="14609"/>
  <c r="AM178" i="14609"/>
  <c r="AN178" i="14609"/>
  <c r="AO178" i="14609"/>
  <c r="AP178" i="14609"/>
  <c r="AQ178" i="14609"/>
  <c r="AR178" i="14609"/>
  <c r="AS178" i="14609"/>
  <c r="AT178" i="14609"/>
  <c r="AU178" i="14609"/>
  <c r="AV178" i="14609"/>
  <c r="AW178" i="14609"/>
  <c r="AX178" i="14609"/>
  <c r="AY178" i="14609"/>
  <c r="AZ178" i="14609"/>
  <c r="BA178" i="14609"/>
  <c r="BB178" i="14609"/>
  <c r="BC178" i="14609"/>
  <c r="BD178" i="14609"/>
  <c r="BE178" i="14609"/>
  <c r="BF178" i="14609"/>
  <c r="BG178" i="14609"/>
  <c r="BH178" i="14609"/>
  <c r="BI178" i="14609"/>
  <c r="BJ178" i="14609"/>
  <c r="BK178" i="14609"/>
  <c r="BL178" i="14609"/>
  <c r="BM178" i="14609"/>
  <c r="BN178" i="14609"/>
  <c r="BO178" i="14609"/>
  <c r="BP178" i="14609"/>
  <c r="BQ178" i="14609"/>
  <c r="BR178" i="14609"/>
  <c r="BS178" i="14609"/>
  <c r="BT178" i="14609"/>
  <c r="BU178" i="14609"/>
  <c r="BV178" i="14609"/>
  <c r="BW178" i="14609"/>
  <c r="BX178" i="14609"/>
  <c r="BY178" i="14609"/>
  <c r="BZ178" i="14609"/>
  <c r="CA178" i="14609"/>
  <c r="CB178" i="14609"/>
  <c r="CC178" i="14609"/>
  <c r="CD178" i="14609"/>
  <c r="CE178" i="14609"/>
  <c r="CF178" i="14609"/>
  <c r="CG178" i="14609"/>
  <c r="CH178" i="14609"/>
  <c r="CI178" i="14609"/>
  <c r="CJ178" i="14609"/>
  <c r="CK178" i="14609"/>
  <c r="CL178" i="14609"/>
  <c r="CM178" i="14609"/>
  <c r="CN178" i="14609"/>
  <c r="CO178" i="14609"/>
  <c r="CP178" i="14609"/>
  <c r="CQ178" i="14609"/>
  <c r="CR178" i="14609"/>
  <c r="CS178" i="14609"/>
  <c r="CT178" i="14609"/>
  <c r="CU178" i="14609"/>
  <c r="CV178" i="14609"/>
  <c r="CW178" i="14609"/>
  <c r="CX178" i="14609"/>
  <c r="CY178" i="14609"/>
  <c r="CZ178" i="14609"/>
  <c r="DA178" i="14609"/>
  <c r="DB178" i="14609"/>
  <c r="DC178" i="14609"/>
  <c r="DD178" i="14609"/>
  <c r="DE178" i="14609"/>
  <c r="DF178" i="14609"/>
  <c r="DG178" i="14609"/>
  <c r="DH178" i="14609"/>
  <c r="DI178" i="14609"/>
  <c r="DJ178" i="14609"/>
  <c r="DK178" i="14609"/>
  <c r="DL178" i="14609"/>
  <c r="DM178" i="14609"/>
  <c r="DN178" i="14609"/>
  <c r="DO178" i="14609"/>
  <c r="DP178" i="14609"/>
  <c r="DQ178" i="14609"/>
  <c r="DR178" i="14609"/>
  <c r="DS178" i="14609"/>
  <c r="DT178" i="14609"/>
  <c r="DU178" i="14609"/>
  <c r="DV178" i="14609"/>
  <c r="DW178" i="14609"/>
  <c r="DX178" i="14609"/>
  <c r="DY178" i="14609"/>
  <c r="DZ178" i="14609"/>
  <c r="EA178" i="14609"/>
  <c r="EB178" i="14609"/>
  <c r="EC178" i="14609"/>
  <c r="ED178" i="14609"/>
  <c r="EE178" i="14609"/>
  <c r="EF178" i="14609"/>
  <c r="EG178" i="14609"/>
  <c r="EH178" i="14609"/>
  <c r="EI178" i="14609"/>
  <c r="EJ178" i="14609"/>
  <c r="EK178" i="14609"/>
  <c r="EL178" i="14609"/>
  <c r="EM178" i="14609"/>
  <c r="EN178" i="14609"/>
  <c r="EO178" i="14609"/>
  <c r="EP178" i="14609"/>
  <c r="EQ178" i="14609"/>
  <c r="ER178" i="14609"/>
  <c r="ES178" i="14609"/>
  <c r="ET178" i="14609"/>
  <c r="EU178" i="14609"/>
  <c r="EV178" i="14609"/>
  <c r="EW178" i="14609"/>
  <c r="EX178" i="14609"/>
  <c r="EY178" i="14609"/>
  <c r="EZ178" i="14609"/>
  <c r="FA178" i="14609"/>
  <c r="FB178" i="14609"/>
  <c r="FC178" i="14609"/>
  <c r="FD178" i="14609"/>
  <c r="FE178" i="14609"/>
  <c r="FF178" i="14609"/>
  <c r="FG178" i="14609"/>
  <c r="FH178" i="14609"/>
  <c r="FI178" i="14609"/>
  <c r="FJ178" i="14609"/>
  <c r="FK178" i="14609"/>
  <c r="FL178" i="14609"/>
  <c r="FM178" i="14609"/>
  <c r="FN178" i="14609"/>
  <c r="FO178" i="14609"/>
  <c r="FP178" i="14609"/>
  <c r="FQ178" i="14609"/>
  <c r="FR178" i="14609"/>
  <c r="FS178" i="14609"/>
  <c r="FT178" i="14609"/>
  <c r="FU178" i="14609"/>
  <c r="FV178" i="14609"/>
  <c r="FW178" i="14609"/>
  <c r="FX178" i="14609"/>
  <c r="FY178" i="14609"/>
  <c r="FZ178" i="14609"/>
  <c r="GA178" i="14609"/>
  <c r="GB178" i="14609"/>
  <c r="GC178" i="14609"/>
  <c r="GD178" i="14609"/>
  <c r="GE178" i="14609"/>
  <c r="GF178" i="14609"/>
  <c r="GG178" i="14609"/>
  <c r="GH178" i="14609"/>
  <c r="GI178" i="14609"/>
  <c r="GJ178" i="14609"/>
  <c r="GK178" i="14609"/>
  <c r="GL178" i="14609"/>
  <c r="GM178" i="14609"/>
  <c r="GN178" i="14609"/>
  <c r="GO178" i="14609"/>
  <c r="GP178" i="14609"/>
  <c r="GQ178" i="14609"/>
  <c r="GR178" i="14609"/>
  <c r="GS178" i="14609"/>
  <c r="GT178" i="14609"/>
  <c r="GU178" i="14609"/>
  <c r="GV178" i="14609"/>
  <c r="GW178" i="14609"/>
  <c r="GX178" i="14609"/>
  <c r="GY178" i="14609"/>
  <c r="GZ178" i="14609"/>
  <c r="HA178" i="14609"/>
  <c r="HB178" i="14609"/>
  <c r="HC178" i="14609"/>
  <c r="HD178" i="14609"/>
  <c r="HE178" i="14609"/>
  <c r="HF178" i="14609"/>
  <c r="HG178" i="14609"/>
  <c r="HH178" i="14609"/>
  <c r="HI178" i="14609"/>
  <c r="HJ178" i="14609"/>
  <c r="HK178" i="14609"/>
  <c r="HL178" i="14609"/>
  <c r="HM178" i="14609"/>
  <c r="HN178" i="14609"/>
  <c r="HO178" i="14609"/>
  <c r="HP178" i="14609"/>
  <c r="HQ178" i="14609"/>
  <c r="HR178" i="14609"/>
  <c r="HS178" i="14609"/>
  <c r="HT178" i="14609"/>
  <c r="HU178" i="14609"/>
  <c r="HV178" i="14609"/>
  <c r="HW178" i="14609"/>
  <c r="HX178" i="14609"/>
  <c r="HY178" i="14609"/>
  <c r="HZ178" i="14609"/>
  <c r="IA178" i="14609"/>
  <c r="IB178" i="14609"/>
  <c r="IC178" i="14609"/>
  <c r="ID178" i="14609"/>
  <c r="IE178" i="14609"/>
  <c r="IF178" i="14609"/>
  <c r="IG178" i="14609"/>
  <c r="IH178" i="14609"/>
  <c r="II178" i="14609"/>
  <c r="IJ178" i="14609"/>
  <c r="IK178" i="14609"/>
  <c r="IL178" i="14609"/>
  <c r="IM178" i="14609"/>
  <c r="IN178" i="14609"/>
  <c r="IO178" i="14609"/>
  <c r="IP178" i="14609"/>
  <c r="IQ178" i="14609"/>
  <c r="IR178" i="14609"/>
  <c r="IS178" i="14609"/>
  <c r="IT178" i="14609"/>
  <c r="IU178" i="14609"/>
  <c r="IV178" i="14609"/>
  <c r="A177" i="14609"/>
  <c r="B177" i="14609"/>
  <c r="C177" i="14609"/>
  <c r="D177" i="14609"/>
  <c r="E177" i="14609"/>
  <c r="F177" i="14609"/>
  <c r="G177" i="14609"/>
  <c r="H177" i="14609"/>
  <c r="I177" i="14609"/>
  <c r="J177" i="14609"/>
  <c r="K177" i="14609"/>
  <c r="L177" i="14609"/>
  <c r="M177" i="14609"/>
  <c r="N177" i="14609"/>
  <c r="O177" i="14609"/>
  <c r="P177" i="14609"/>
  <c r="Q177" i="14609"/>
  <c r="R177" i="14609"/>
  <c r="S177" i="14609"/>
  <c r="T177" i="14609"/>
  <c r="U177" i="14609"/>
  <c r="V177" i="14609"/>
  <c r="W177" i="14609"/>
  <c r="X177" i="14609"/>
  <c r="Y177" i="14609"/>
  <c r="Z177" i="14609"/>
  <c r="AA177" i="14609"/>
  <c r="AB177" i="14609"/>
  <c r="AC177" i="14609"/>
  <c r="AD177" i="14609"/>
  <c r="AE177" i="14609"/>
  <c r="AF177" i="14609"/>
  <c r="AG177" i="14609"/>
  <c r="AH177" i="14609"/>
  <c r="AI177" i="14609"/>
  <c r="AJ177" i="14609"/>
  <c r="AK177" i="14609"/>
  <c r="AL177" i="14609"/>
  <c r="AM177" i="14609"/>
  <c r="AN177" i="14609"/>
  <c r="AO177" i="14609"/>
  <c r="AP177" i="14609"/>
  <c r="AQ177" i="14609"/>
  <c r="AR177" i="14609"/>
  <c r="AS177" i="14609"/>
  <c r="AT177" i="14609"/>
  <c r="AU177" i="14609"/>
  <c r="AV177" i="14609"/>
  <c r="AW177" i="14609"/>
  <c r="AX177" i="14609"/>
  <c r="AY177" i="14609"/>
  <c r="AZ177" i="14609"/>
  <c r="BA177" i="14609"/>
  <c r="BB177" i="14609"/>
  <c r="BC177" i="14609"/>
  <c r="BD177" i="14609"/>
  <c r="BE177" i="14609"/>
  <c r="BF177" i="14609"/>
  <c r="BG177" i="14609"/>
  <c r="BH177" i="14609"/>
  <c r="BI177" i="14609"/>
  <c r="BJ177" i="14609"/>
  <c r="BK177" i="14609"/>
  <c r="BL177" i="14609"/>
  <c r="BM177" i="14609"/>
  <c r="BN177" i="14609"/>
  <c r="BO177" i="14609"/>
  <c r="BP177" i="14609"/>
  <c r="BQ177" i="14609"/>
  <c r="BR177" i="14609"/>
  <c r="BS177" i="14609"/>
  <c r="BT177" i="14609"/>
  <c r="BU177" i="14609"/>
  <c r="BV177" i="14609"/>
  <c r="BW177" i="14609"/>
  <c r="BX177" i="14609"/>
  <c r="BY177" i="14609"/>
  <c r="BZ177" i="14609"/>
  <c r="CA177" i="14609"/>
  <c r="CB177" i="14609"/>
  <c r="CC177" i="14609"/>
  <c r="CD177" i="14609"/>
  <c r="CE177" i="14609"/>
  <c r="CF177" i="14609"/>
  <c r="CG177" i="14609"/>
  <c r="CH177" i="14609"/>
  <c r="CI177" i="14609"/>
  <c r="CJ177" i="14609"/>
  <c r="CK177" i="14609"/>
  <c r="CL177" i="14609"/>
  <c r="CM177" i="14609"/>
  <c r="CN177" i="14609"/>
  <c r="CO177" i="14609"/>
  <c r="CP177" i="14609"/>
  <c r="CQ177" i="14609"/>
  <c r="CR177" i="14609"/>
  <c r="CS177" i="14609"/>
  <c r="CT177" i="14609"/>
  <c r="CU177" i="14609"/>
  <c r="CV177" i="14609"/>
  <c r="CW177" i="14609"/>
  <c r="CX177" i="14609"/>
  <c r="CY177" i="14609"/>
  <c r="CZ177" i="14609"/>
  <c r="DA177" i="14609"/>
  <c r="DB177" i="14609"/>
  <c r="DC177" i="14609"/>
  <c r="DD177" i="14609"/>
  <c r="DE177" i="14609"/>
  <c r="DF177" i="14609"/>
  <c r="DG177" i="14609"/>
  <c r="DH177" i="14609"/>
  <c r="DI177" i="14609"/>
  <c r="DJ177" i="14609"/>
  <c r="DK177" i="14609"/>
  <c r="DL177" i="14609"/>
  <c r="DM177" i="14609"/>
  <c r="DN177" i="14609"/>
  <c r="DO177" i="14609"/>
  <c r="DP177" i="14609"/>
  <c r="DQ177" i="14609"/>
  <c r="DR177" i="14609"/>
  <c r="DS177" i="14609"/>
  <c r="DT177" i="14609"/>
  <c r="DU177" i="14609"/>
  <c r="DV177" i="14609"/>
  <c r="DW177" i="14609"/>
  <c r="DX177" i="14609"/>
  <c r="DY177" i="14609"/>
  <c r="DZ177" i="14609"/>
  <c r="EA177" i="14609"/>
  <c r="EB177" i="14609"/>
  <c r="EC177" i="14609"/>
  <c r="ED177" i="14609"/>
  <c r="EE177" i="14609"/>
  <c r="EF177" i="14609"/>
  <c r="EG177" i="14609"/>
  <c r="EH177" i="14609"/>
  <c r="EI177" i="14609"/>
  <c r="EJ177" i="14609"/>
  <c r="EK177" i="14609"/>
  <c r="EL177" i="14609"/>
  <c r="EM177" i="14609"/>
  <c r="EN177" i="14609"/>
  <c r="EO177" i="14609"/>
  <c r="EP177" i="14609"/>
  <c r="EQ177" i="14609"/>
  <c r="ER177" i="14609"/>
  <c r="ES177" i="14609"/>
  <c r="ET177" i="14609"/>
  <c r="EU177" i="14609"/>
  <c r="EV177" i="14609"/>
  <c r="EW177" i="14609"/>
  <c r="EX177" i="14609"/>
  <c r="EY177" i="14609"/>
  <c r="EZ177" i="14609"/>
  <c r="FA177" i="14609"/>
  <c r="FB177" i="14609"/>
  <c r="FC177" i="14609"/>
  <c r="FD177" i="14609"/>
  <c r="FE177" i="14609"/>
  <c r="FF177" i="14609"/>
  <c r="FG177" i="14609"/>
  <c r="FH177" i="14609"/>
  <c r="FI177" i="14609"/>
  <c r="FJ177" i="14609"/>
  <c r="FK177" i="14609"/>
  <c r="FL177" i="14609"/>
  <c r="FM177" i="14609"/>
  <c r="FN177" i="14609"/>
  <c r="FO177" i="14609"/>
  <c r="FP177" i="14609"/>
  <c r="FQ177" i="14609"/>
  <c r="FR177" i="14609"/>
  <c r="FS177" i="14609"/>
  <c r="FT177" i="14609"/>
  <c r="FU177" i="14609"/>
  <c r="FV177" i="14609"/>
  <c r="FW177" i="14609"/>
  <c r="FX177" i="14609"/>
  <c r="FY177" i="14609"/>
  <c r="FZ177" i="14609"/>
  <c r="GA177" i="14609"/>
  <c r="GB177" i="14609"/>
  <c r="GC177" i="14609"/>
  <c r="GD177" i="14609"/>
  <c r="GE177" i="14609"/>
  <c r="GF177" i="14609"/>
  <c r="GG177" i="14609"/>
  <c r="GH177" i="14609"/>
  <c r="GI177" i="14609"/>
  <c r="GJ177" i="14609"/>
  <c r="GK177" i="14609"/>
  <c r="GL177" i="14609"/>
  <c r="GM177" i="14609"/>
  <c r="GN177" i="14609"/>
  <c r="GO177" i="14609"/>
  <c r="GP177" i="14609"/>
  <c r="GQ177" i="14609"/>
  <c r="GR177" i="14609"/>
  <c r="GS177" i="14609"/>
  <c r="GT177" i="14609"/>
  <c r="GU177" i="14609"/>
  <c r="GV177" i="14609"/>
  <c r="GW177" i="14609"/>
  <c r="GX177" i="14609"/>
  <c r="GY177" i="14609"/>
  <c r="GZ177" i="14609"/>
  <c r="HA177" i="14609"/>
  <c r="HB177" i="14609"/>
  <c r="HC177" i="14609"/>
  <c r="HD177" i="14609"/>
  <c r="HE177" i="14609"/>
  <c r="HF177" i="14609"/>
  <c r="HG177" i="14609"/>
  <c r="HH177" i="14609"/>
  <c r="HI177" i="14609"/>
  <c r="HJ177" i="14609"/>
  <c r="HK177" i="14609"/>
  <c r="HL177" i="14609"/>
  <c r="HM177" i="14609"/>
  <c r="HN177" i="14609"/>
  <c r="HO177" i="14609"/>
  <c r="HP177" i="14609"/>
  <c r="HQ177" i="14609"/>
  <c r="HR177" i="14609"/>
  <c r="HS177" i="14609"/>
  <c r="HT177" i="14609"/>
  <c r="HU177" i="14609"/>
  <c r="HV177" i="14609"/>
  <c r="HW177" i="14609"/>
  <c r="HX177" i="14609"/>
  <c r="HY177" i="14609"/>
  <c r="HZ177" i="14609"/>
  <c r="IA177" i="14609"/>
  <c r="IB177" i="14609"/>
  <c r="IC177" i="14609"/>
  <c r="ID177" i="14609"/>
  <c r="IE177" i="14609"/>
  <c r="IF177" i="14609"/>
  <c r="IG177" i="14609"/>
  <c r="IH177" i="14609"/>
  <c r="II177" i="14609"/>
  <c r="IJ177" i="14609"/>
  <c r="IK177" i="14609"/>
  <c r="IL177" i="14609"/>
  <c r="IM177" i="14609"/>
  <c r="IN177" i="14609"/>
  <c r="IO177" i="14609"/>
  <c r="IP177" i="14609"/>
  <c r="IQ177" i="14609"/>
  <c r="IR177" i="14609"/>
  <c r="IS177" i="14609"/>
  <c r="IT177" i="14609"/>
  <c r="IU177" i="14609"/>
  <c r="IV177" i="14609"/>
  <c r="A176" i="14609"/>
  <c r="B176" i="14609"/>
  <c r="C176" i="14609"/>
  <c r="D176" i="14609"/>
  <c r="E176" i="14609"/>
  <c r="F176" i="14609"/>
  <c r="G176" i="14609"/>
  <c r="H176" i="14609"/>
  <c r="I176" i="14609"/>
  <c r="J176" i="14609"/>
  <c r="K176" i="14609"/>
  <c r="L176" i="14609"/>
  <c r="M176" i="14609"/>
  <c r="N176" i="14609"/>
  <c r="O176" i="14609"/>
  <c r="P176" i="14609"/>
  <c r="Q176" i="14609"/>
  <c r="R176" i="14609"/>
  <c r="S176" i="14609"/>
  <c r="T176" i="14609"/>
  <c r="U176" i="14609"/>
  <c r="V176" i="14609"/>
  <c r="W176" i="14609"/>
  <c r="X176" i="14609"/>
  <c r="Y176" i="14609"/>
  <c r="Z176" i="14609"/>
  <c r="AA176" i="14609"/>
  <c r="AB176" i="14609"/>
  <c r="AC176" i="14609"/>
  <c r="AD176" i="14609"/>
  <c r="AE176" i="14609"/>
  <c r="AF176" i="14609"/>
  <c r="AG176" i="14609"/>
  <c r="AH176" i="14609"/>
  <c r="AI176" i="14609"/>
  <c r="AJ176" i="14609"/>
  <c r="AK176" i="14609"/>
  <c r="AL176" i="14609"/>
  <c r="AM176" i="14609"/>
  <c r="AN176" i="14609"/>
  <c r="AO176" i="14609"/>
  <c r="AP176" i="14609"/>
  <c r="AQ176" i="14609"/>
  <c r="AR176" i="14609"/>
  <c r="AS176" i="14609"/>
  <c r="AT176" i="14609"/>
  <c r="AU176" i="14609"/>
  <c r="AV176" i="14609"/>
  <c r="AW176" i="14609"/>
  <c r="AX176" i="14609"/>
  <c r="AY176" i="14609"/>
  <c r="AZ176" i="14609"/>
  <c r="BA176" i="14609"/>
  <c r="BB176" i="14609"/>
  <c r="BC176" i="14609"/>
  <c r="BD176" i="14609"/>
  <c r="BE176" i="14609"/>
  <c r="BF176" i="14609"/>
  <c r="BG176" i="14609"/>
  <c r="BH176" i="14609"/>
  <c r="BI176" i="14609"/>
  <c r="BJ176" i="14609"/>
  <c r="BK176" i="14609"/>
  <c r="BL176" i="14609"/>
  <c r="BM176" i="14609"/>
  <c r="BN176" i="14609"/>
  <c r="BO176" i="14609"/>
  <c r="BP176" i="14609"/>
  <c r="BQ176" i="14609"/>
  <c r="BR176" i="14609"/>
  <c r="BS176" i="14609"/>
  <c r="BT176" i="14609"/>
  <c r="BU176" i="14609"/>
  <c r="BV176" i="14609"/>
  <c r="BW176" i="14609"/>
  <c r="BX176" i="14609"/>
  <c r="BY176" i="14609"/>
  <c r="BZ176" i="14609"/>
  <c r="CA176" i="14609"/>
  <c r="CB176" i="14609"/>
  <c r="CC176" i="14609"/>
  <c r="CD176" i="14609"/>
  <c r="CE176" i="14609"/>
  <c r="CF176" i="14609"/>
  <c r="CG176" i="14609"/>
  <c r="CH176" i="14609"/>
  <c r="CI176" i="14609"/>
  <c r="CJ176" i="14609"/>
  <c r="CK176" i="14609"/>
  <c r="CL176" i="14609"/>
  <c r="CM176" i="14609"/>
  <c r="CN176" i="14609"/>
  <c r="CO176" i="14609"/>
  <c r="CP176" i="14609"/>
  <c r="CQ176" i="14609"/>
  <c r="CR176" i="14609"/>
  <c r="CS176" i="14609"/>
  <c r="CT176" i="14609"/>
  <c r="CU176" i="14609"/>
  <c r="CV176" i="14609"/>
  <c r="CW176" i="14609"/>
  <c r="CX176" i="14609"/>
  <c r="CY176" i="14609"/>
  <c r="CZ176" i="14609"/>
  <c r="DA176" i="14609"/>
  <c r="DB176" i="14609"/>
  <c r="DC176" i="14609"/>
  <c r="DD176" i="14609"/>
  <c r="DE176" i="14609"/>
  <c r="DF176" i="14609"/>
  <c r="DG176" i="14609"/>
  <c r="DH176" i="14609"/>
  <c r="DI176" i="14609"/>
  <c r="DJ176" i="14609"/>
  <c r="DK176" i="14609"/>
  <c r="DL176" i="14609"/>
  <c r="DM176" i="14609"/>
  <c r="DN176" i="14609"/>
  <c r="DO176" i="14609"/>
  <c r="DP176" i="14609"/>
  <c r="DQ176" i="14609"/>
  <c r="DR176" i="14609"/>
  <c r="DS176" i="14609"/>
  <c r="DT176" i="14609"/>
  <c r="DU176" i="14609"/>
  <c r="DV176" i="14609"/>
  <c r="DW176" i="14609"/>
  <c r="DX176" i="14609"/>
  <c r="DY176" i="14609"/>
  <c r="DZ176" i="14609"/>
  <c r="EA176" i="14609"/>
  <c r="EB176" i="14609"/>
  <c r="EC176" i="14609"/>
  <c r="ED176" i="14609"/>
  <c r="EE176" i="14609"/>
  <c r="EF176" i="14609"/>
  <c r="EG176" i="14609"/>
  <c r="EH176" i="14609"/>
  <c r="EI176" i="14609"/>
  <c r="EJ176" i="14609"/>
  <c r="EK176" i="14609"/>
  <c r="EL176" i="14609"/>
  <c r="EM176" i="14609"/>
  <c r="EN176" i="14609"/>
  <c r="EO176" i="14609"/>
  <c r="EP176" i="14609"/>
  <c r="EQ176" i="14609"/>
  <c r="ER176" i="14609"/>
  <c r="ES176" i="14609"/>
  <c r="ET176" i="14609"/>
  <c r="EU176" i="14609"/>
  <c r="EV176" i="14609"/>
  <c r="EW176" i="14609"/>
  <c r="EX176" i="14609"/>
  <c r="EY176" i="14609"/>
  <c r="EZ176" i="14609"/>
  <c r="FA176" i="14609"/>
  <c r="FB176" i="14609"/>
  <c r="FC176" i="14609"/>
  <c r="FD176" i="14609"/>
  <c r="FE176" i="14609"/>
  <c r="FF176" i="14609"/>
  <c r="FG176" i="14609"/>
  <c r="FH176" i="14609"/>
  <c r="FI176" i="14609"/>
  <c r="FJ176" i="14609"/>
  <c r="FK176" i="14609"/>
  <c r="FL176" i="14609"/>
  <c r="FM176" i="14609"/>
  <c r="FN176" i="14609"/>
  <c r="FO176" i="14609"/>
  <c r="FP176" i="14609"/>
  <c r="FQ176" i="14609"/>
  <c r="FR176" i="14609"/>
  <c r="FS176" i="14609"/>
  <c r="FT176" i="14609"/>
  <c r="FU176" i="14609"/>
  <c r="FV176" i="14609"/>
  <c r="FW176" i="14609"/>
  <c r="FX176" i="14609"/>
  <c r="FY176" i="14609"/>
  <c r="FZ176" i="14609"/>
  <c r="GA176" i="14609"/>
  <c r="GB176" i="14609"/>
  <c r="GC176" i="14609"/>
  <c r="GD176" i="14609"/>
  <c r="GE176" i="14609"/>
  <c r="GF176" i="14609"/>
  <c r="GG176" i="14609"/>
  <c r="GH176" i="14609"/>
  <c r="GI176" i="14609"/>
  <c r="GJ176" i="14609"/>
  <c r="GK176" i="14609"/>
  <c r="GL176" i="14609"/>
  <c r="GM176" i="14609"/>
  <c r="GN176" i="14609"/>
  <c r="GO176" i="14609"/>
  <c r="GP176" i="14609"/>
  <c r="GQ176" i="14609"/>
  <c r="GR176" i="14609"/>
  <c r="GS176" i="14609"/>
  <c r="GT176" i="14609"/>
  <c r="GU176" i="14609"/>
  <c r="GV176" i="14609"/>
  <c r="GW176" i="14609"/>
  <c r="GX176" i="14609"/>
  <c r="GY176" i="14609"/>
  <c r="GZ176" i="14609"/>
  <c r="HA176" i="14609"/>
  <c r="HB176" i="14609"/>
  <c r="HC176" i="14609"/>
  <c r="HD176" i="14609"/>
  <c r="HE176" i="14609"/>
  <c r="HF176" i="14609"/>
  <c r="HG176" i="14609"/>
  <c r="HH176" i="14609"/>
  <c r="HI176" i="14609"/>
  <c r="HJ176" i="14609"/>
  <c r="HK176" i="14609"/>
  <c r="HL176" i="14609"/>
  <c r="HM176" i="14609"/>
  <c r="HN176" i="14609"/>
  <c r="HO176" i="14609"/>
  <c r="HP176" i="14609"/>
  <c r="HQ176" i="14609"/>
  <c r="HR176" i="14609"/>
  <c r="HS176" i="14609"/>
  <c r="HT176" i="14609"/>
  <c r="HU176" i="14609"/>
  <c r="HV176" i="14609"/>
  <c r="HW176" i="14609"/>
  <c r="HX176" i="14609"/>
  <c r="HY176" i="14609"/>
  <c r="HZ176" i="14609"/>
  <c r="IA176" i="14609"/>
  <c r="IB176" i="14609"/>
  <c r="IC176" i="14609"/>
  <c r="ID176" i="14609"/>
  <c r="IE176" i="14609"/>
  <c r="IF176" i="14609"/>
  <c r="IG176" i="14609"/>
  <c r="IH176" i="14609"/>
  <c r="II176" i="14609"/>
  <c r="IJ176" i="14609"/>
  <c r="IK176" i="14609"/>
  <c r="IL176" i="14609"/>
  <c r="IM176" i="14609"/>
  <c r="IN176" i="14609"/>
  <c r="IO176" i="14609"/>
  <c r="IP176" i="14609"/>
  <c r="IQ176" i="14609"/>
  <c r="IR176" i="14609"/>
  <c r="IS176" i="14609"/>
  <c r="IT176" i="14609"/>
  <c r="IU176" i="14609"/>
  <c r="IV176" i="14609"/>
  <c r="A175" i="14609"/>
  <c r="B175" i="14609"/>
  <c r="C175" i="14609"/>
  <c r="D175" i="14609"/>
  <c r="E175" i="14609"/>
  <c r="F175" i="14609"/>
  <c r="G175" i="14609"/>
  <c r="H175" i="14609"/>
  <c r="I175" i="14609"/>
  <c r="J175" i="14609"/>
  <c r="K175" i="14609"/>
  <c r="L175" i="14609"/>
  <c r="M175" i="14609"/>
  <c r="N175" i="14609"/>
  <c r="O175" i="14609"/>
  <c r="P175" i="14609"/>
  <c r="Q175" i="14609"/>
  <c r="R175" i="14609"/>
  <c r="S175" i="14609"/>
  <c r="T175" i="14609"/>
  <c r="U175" i="14609"/>
  <c r="V175" i="14609"/>
  <c r="W175" i="14609"/>
  <c r="X175" i="14609"/>
  <c r="Y175" i="14609"/>
  <c r="Z175" i="14609"/>
  <c r="AA175" i="14609"/>
  <c r="AB175" i="14609"/>
  <c r="AC175" i="14609"/>
  <c r="AD175" i="14609"/>
  <c r="AE175" i="14609"/>
  <c r="AF175" i="14609"/>
  <c r="AG175" i="14609"/>
  <c r="AH175" i="14609"/>
  <c r="AI175" i="14609"/>
  <c r="AJ175" i="14609"/>
  <c r="AK175" i="14609"/>
  <c r="AL175" i="14609"/>
  <c r="AM175" i="14609"/>
  <c r="AN175" i="14609"/>
  <c r="AO175" i="14609"/>
  <c r="AP175" i="14609"/>
  <c r="AQ175" i="14609"/>
  <c r="AR175" i="14609"/>
  <c r="AS175" i="14609"/>
  <c r="AT175" i="14609"/>
  <c r="AU175" i="14609"/>
  <c r="AV175" i="14609"/>
  <c r="AW175" i="14609"/>
  <c r="AX175" i="14609"/>
  <c r="AY175" i="14609"/>
  <c r="AZ175" i="14609"/>
  <c r="BA175" i="14609"/>
  <c r="BB175" i="14609"/>
  <c r="BC175" i="14609"/>
  <c r="BD175" i="14609"/>
  <c r="BE175" i="14609"/>
  <c r="BF175" i="14609"/>
  <c r="BG175" i="14609"/>
  <c r="BH175" i="14609"/>
  <c r="BI175" i="14609"/>
  <c r="BJ175" i="14609"/>
  <c r="BK175" i="14609"/>
  <c r="BL175" i="14609"/>
  <c r="BM175" i="14609"/>
  <c r="BN175" i="14609"/>
  <c r="BO175" i="14609"/>
  <c r="BP175" i="14609"/>
  <c r="BQ175" i="14609"/>
  <c r="BR175" i="14609"/>
  <c r="BS175" i="14609"/>
  <c r="BT175" i="14609"/>
  <c r="BU175" i="14609"/>
  <c r="BV175" i="14609"/>
  <c r="BW175" i="14609"/>
  <c r="BX175" i="14609"/>
  <c r="BY175" i="14609"/>
  <c r="BZ175" i="14609"/>
  <c r="CA175" i="14609"/>
  <c r="CB175" i="14609"/>
  <c r="CC175" i="14609"/>
  <c r="CD175" i="14609"/>
  <c r="CE175" i="14609"/>
  <c r="CF175" i="14609"/>
  <c r="CG175" i="14609"/>
  <c r="CH175" i="14609"/>
  <c r="CI175" i="14609"/>
  <c r="CJ175" i="14609"/>
  <c r="CK175" i="14609"/>
  <c r="CL175" i="14609"/>
  <c r="CM175" i="14609"/>
  <c r="CN175" i="14609"/>
  <c r="CO175" i="14609"/>
  <c r="CP175" i="14609"/>
  <c r="CQ175" i="14609"/>
  <c r="CR175" i="14609"/>
  <c r="CS175" i="14609"/>
  <c r="CT175" i="14609"/>
  <c r="CU175" i="14609"/>
  <c r="CV175" i="14609"/>
  <c r="CW175" i="14609"/>
  <c r="CX175" i="14609"/>
  <c r="CY175" i="14609"/>
  <c r="CZ175" i="14609"/>
  <c r="DA175" i="14609"/>
  <c r="DB175" i="14609"/>
  <c r="DC175" i="14609"/>
  <c r="DD175" i="14609"/>
  <c r="DE175" i="14609"/>
  <c r="DF175" i="14609"/>
  <c r="DG175" i="14609"/>
  <c r="DH175" i="14609"/>
  <c r="DI175" i="14609"/>
  <c r="DJ175" i="14609"/>
  <c r="DK175" i="14609"/>
  <c r="DL175" i="14609"/>
  <c r="DM175" i="14609"/>
  <c r="DN175" i="14609"/>
  <c r="DO175" i="14609"/>
  <c r="DP175" i="14609"/>
  <c r="DQ175" i="14609"/>
  <c r="DR175" i="14609"/>
  <c r="DS175" i="14609"/>
  <c r="DT175" i="14609"/>
  <c r="DU175" i="14609"/>
  <c r="DV175" i="14609"/>
  <c r="DW175" i="14609"/>
  <c r="DX175" i="14609"/>
  <c r="DY175" i="14609"/>
  <c r="DZ175" i="14609"/>
  <c r="EA175" i="14609"/>
  <c r="EB175" i="14609"/>
  <c r="EC175" i="14609"/>
  <c r="ED175" i="14609"/>
  <c r="EE175" i="14609"/>
  <c r="EF175" i="14609"/>
  <c r="EG175" i="14609"/>
  <c r="EH175" i="14609"/>
  <c r="EI175" i="14609"/>
  <c r="EJ175" i="14609"/>
  <c r="EK175" i="14609"/>
  <c r="EL175" i="14609"/>
  <c r="EM175" i="14609"/>
  <c r="EN175" i="14609"/>
  <c r="EO175" i="14609"/>
  <c r="EP175" i="14609"/>
  <c r="EQ175" i="14609"/>
  <c r="ER175" i="14609"/>
  <c r="ES175" i="14609"/>
  <c r="ET175" i="14609"/>
  <c r="EU175" i="14609"/>
  <c r="EV175" i="14609"/>
  <c r="EW175" i="14609"/>
  <c r="EX175" i="14609"/>
  <c r="EY175" i="14609"/>
  <c r="EZ175" i="14609"/>
  <c r="FA175" i="14609"/>
  <c r="FB175" i="14609"/>
  <c r="FC175" i="14609"/>
  <c r="FD175" i="14609"/>
  <c r="FE175" i="14609"/>
  <c r="FF175" i="14609"/>
  <c r="FG175" i="14609"/>
  <c r="FH175" i="14609"/>
  <c r="FI175" i="14609"/>
  <c r="FJ175" i="14609"/>
  <c r="FK175" i="14609"/>
  <c r="FL175" i="14609"/>
  <c r="FM175" i="14609"/>
  <c r="FN175" i="14609"/>
  <c r="FO175" i="14609"/>
  <c r="FP175" i="14609"/>
  <c r="FQ175" i="14609"/>
  <c r="FR175" i="14609"/>
  <c r="FS175" i="14609"/>
  <c r="FT175" i="14609"/>
  <c r="FU175" i="14609"/>
  <c r="FV175" i="14609"/>
  <c r="FW175" i="14609"/>
  <c r="FX175" i="14609"/>
  <c r="FY175" i="14609"/>
  <c r="FZ175" i="14609"/>
  <c r="GA175" i="14609"/>
  <c r="GB175" i="14609"/>
  <c r="GC175" i="14609"/>
  <c r="GD175" i="14609"/>
  <c r="GE175" i="14609"/>
  <c r="GF175" i="14609"/>
  <c r="GG175" i="14609"/>
  <c r="GH175" i="14609"/>
  <c r="GI175" i="14609"/>
  <c r="GJ175" i="14609"/>
  <c r="GK175" i="14609"/>
  <c r="GL175" i="14609"/>
  <c r="GM175" i="14609"/>
  <c r="GN175" i="14609"/>
  <c r="GO175" i="14609"/>
  <c r="GP175" i="14609"/>
  <c r="GQ175" i="14609"/>
  <c r="GR175" i="14609"/>
  <c r="GS175" i="14609"/>
  <c r="GT175" i="14609"/>
  <c r="GU175" i="14609"/>
  <c r="GV175" i="14609"/>
  <c r="GW175" i="14609"/>
  <c r="GX175" i="14609"/>
  <c r="GY175" i="14609"/>
  <c r="GZ175" i="14609"/>
  <c r="HA175" i="14609"/>
  <c r="HB175" i="14609"/>
  <c r="HC175" i="14609"/>
  <c r="HD175" i="14609"/>
  <c r="HE175" i="14609"/>
  <c r="HF175" i="14609"/>
  <c r="HG175" i="14609"/>
  <c r="HH175" i="14609"/>
  <c r="HI175" i="14609"/>
  <c r="HJ175" i="14609"/>
  <c r="HK175" i="14609"/>
  <c r="HL175" i="14609"/>
  <c r="HM175" i="14609"/>
  <c r="HN175" i="14609"/>
  <c r="HO175" i="14609"/>
  <c r="HP175" i="14609"/>
  <c r="HQ175" i="14609"/>
  <c r="HR175" i="14609"/>
  <c r="HS175" i="14609"/>
  <c r="HT175" i="14609"/>
  <c r="HU175" i="14609"/>
  <c r="HV175" i="14609"/>
  <c r="HW175" i="14609"/>
  <c r="HX175" i="14609"/>
  <c r="HY175" i="14609"/>
  <c r="HZ175" i="14609"/>
  <c r="IA175" i="14609"/>
  <c r="IB175" i="14609"/>
  <c r="IC175" i="14609"/>
  <c r="ID175" i="14609"/>
  <c r="IE175" i="14609"/>
  <c r="IF175" i="14609"/>
  <c r="IG175" i="14609"/>
  <c r="IH175" i="14609"/>
  <c r="II175" i="14609"/>
  <c r="IJ175" i="14609"/>
  <c r="IK175" i="14609"/>
  <c r="IL175" i="14609"/>
  <c r="IM175" i="14609"/>
  <c r="IN175" i="14609"/>
  <c r="IO175" i="14609"/>
  <c r="IP175" i="14609"/>
  <c r="IQ175" i="14609"/>
  <c r="IR175" i="14609"/>
  <c r="IS175" i="14609"/>
  <c r="IT175" i="14609"/>
  <c r="IU175" i="14609"/>
  <c r="IV175" i="14609"/>
  <c r="A174" i="14609"/>
  <c r="B174" i="14609"/>
  <c r="C174" i="14609"/>
  <c r="D174" i="14609"/>
  <c r="E174" i="14609"/>
  <c r="F174" i="14609"/>
  <c r="G174" i="14609"/>
  <c r="H174" i="14609"/>
  <c r="I174" i="14609"/>
  <c r="J174" i="14609"/>
  <c r="K174" i="14609"/>
  <c r="L174" i="14609"/>
  <c r="M174" i="14609"/>
  <c r="N174" i="14609"/>
  <c r="O174" i="14609"/>
  <c r="P174" i="14609"/>
  <c r="Q174" i="14609"/>
  <c r="R174" i="14609"/>
  <c r="S174" i="14609"/>
  <c r="T174" i="14609"/>
  <c r="U174" i="14609"/>
  <c r="V174" i="14609"/>
  <c r="W174" i="14609"/>
  <c r="X174" i="14609"/>
  <c r="Y174" i="14609"/>
  <c r="Z174" i="14609"/>
  <c r="AA174" i="14609"/>
  <c r="AB174" i="14609"/>
  <c r="AC174" i="14609"/>
  <c r="AD174" i="14609"/>
  <c r="AE174" i="14609"/>
  <c r="AF174" i="14609"/>
  <c r="AG174" i="14609"/>
  <c r="AH174" i="14609"/>
  <c r="AI174" i="14609"/>
  <c r="AJ174" i="14609"/>
  <c r="AK174" i="14609"/>
  <c r="AL174" i="14609"/>
  <c r="AM174" i="14609"/>
  <c r="AN174" i="14609"/>
  <c r="AO174" i="14609"/>
  <c r="AP174" i="14609"/>
  <c r="AQ174" i="14609"/>
  <c r="AR174" i="14609"/>
  <c r="AS174" i="14609"/>
  <c r="AT174" i="14609"/>
  <c r="AU174" i="14609"/>
  <c r="AV174" i="14609"/>
  <c r="AW174" i="14609"/>
  <c r="AX174" i="14609"/>
  <c r="AY174" i="14609"/>
  <c r="AZ174" i="14609"/>
  <c r="BA174" i="14609"/>
  <c r="BB174" i="14609"/>
  <c r="BC174" i="14609"/>
  <c r="BD174" i="14609"/>
  <c r="BE174" i="14609"/>
  <c r="BF174" i="14609"/>
  <c r="BG174" i="14609"/>
  <c r="BH174" i="14609"/>
  <c r="BI174" i="14609"/>
  <c r="BJ174" i="14609"/>
  <c r="BK174" i="14609"/>
  <c r="BL174" i="14609"/>
  <c r="BM174" i="14609"/>
  <c r="BN174" i="14609"/>
  <c r="BO174" i="14609"/>
  <c r="BP174" i="14609"/>
  <c r="BQ174" i="14609"/>
  <c r="BR174" i="14609"/>
  <c r="BS174" i="14609"/>
  <c r="BT174" i="14609"/>
  <c r="BU174" i="14609"/>
  <c r="BV174" i="14609"/>
  <c r="BW174" i="14609"/>
  <c r="BX174" i="14609"/>
  <c r="BY174" i="14609"/>
  <c r="BZ174" i="14609"/>
  <c r="CA174" i="14609"/>
  <c r="CB174" i="14609"/>
  <c r="CC174" i="14609"/>
  <c r="CD174" i="14609"/>
  <c r="CE174" i="14609"/>
  <c r="CF174" i="14609"/>
  <c r="CG174" i="14609"/>
  <c r="CH174" i="14609"/>
  <c r="CI174" i="14609"/>
  <c r="CJ174" i="14609"/>
  <c r="CK174" i="14609"/>
  <c r="CL174" i="14609"/>
  <c r="CM174" i="14609"/>
  <c r="CN174" i="14609"/>
  <c r="CO174" i="14609"/>
  <c r="CP174" i="14609"/>
  <c r="CQ174" i="14609"/>
  <c r="CR174" i="14609"/>
  <c r="CS174" i="14609"/>
  <c r="CT174" i="14609"/>
  <c r="CU174" i="14609"/>
  <c r="CV174" i="14609"/>
  <c r="CW174" i="14609"/>
  <c r="CX174" i="14609"/>
  <c r="CY174" i="14609"/>
  <c r="CZ174" i="14609"/>
  <c r="DA174" i="14609"/>
  <c r="DB174" i="14609"/>
  <c r="DC174" i="14609"/>
  <c r="DD174" i="14609"/>
  <c r="DE174" i="14609"/>
  <c r="DF174" i="14609"/>
  <c r="DG174" i="14609"/>
  <c r="DH174" i="14609"/>
  <c r="DI174" i="14609"/>
  <c r="DJ174" i="14609"/>
  <c r="DK174" i="14609"/>
  <c r="DL174" i="14609"/>
  <c r="DM174" i="14609"/>
  <c r="DN174" i="14609"/>
  <c r="DO174" i="14609"/>
  <c r="DP174" i="14609"/>
  <c r="DQ174" i="14609"/>
  <c r="DR174" i="14609"/>
  <c r="DS174" i="14609"/>
  <c r="DT174" i="14609"/>
  <c r="DU174" i="14609"/>
  <c r="DV174" i="14609"/>
  <c r="DW174" i="14609"/>
  <c r="DX174" i="14609"/>
  <c r="DY174" i="14609"/>
  <c r="DZ174" i="14609"/>
  <c r="EA174" i="14609"/>
  <c r="EB174" i="14609"/>
  <c r="EC174" i="14609"/>
  <c r="ED174" i="14609"/>
  <c r="EE174" i="14609"/>
  <c r="EF174" i="14609"/>
  <c r="EG174" i="14609"/>
  <c r="EH174" i="14609"/>
  <c r="EI174" i="14609"/>
  <c r="EJ174" i="14609"/>
  <c r="EK174" i="14609"/>
  <c r="EL174" i="14609"/>
  <c r="EM174" i="14609"/>
  <c r="EN174" i="14609"/>
  <c r="EO174" i="14609"/>
  <c r="EP174" i="14609"/>
  <c r="EQ174" i="14609"/>
  <c r="ER174" i="14609"/>
  <c r="ES174" i="14609"/>
  <c r="ET174" i="14609"/>
  <c r="EU174" i="14609"/>
  <c r="EV174" i="14609"/>
  <c r="EW174" i="14609"/>
  <c r="EX174" i="14609"/>
  <c r="EY174" i="14609"/>
  <c r="EZ174" i="14609"/>
  <c r="FA174" i="14609"/>
  <c r="FB174" i="14609"/>
  <c r="FC174" i="14609"/>
  <c r="FD174" i="14609"/>
  <c r="FE174" i="14609"/>
  <c r="FF174" i="14609"/>
  <c r="FG174" i="14609"/>
  <c r="FH174" i="14609"/>
  <c r="FI174" i="14609"/>
  <c r="FJ174" i="14609"/>
  <c r="FK174" i="14609"/>
  <c r="FL174" i="14609"/>
  <c r="FM174" i="14609"/>
  <c r="FN174" i="14609"/>
  <c r="FO174" i="14609"/>
  <c r="FP174" i="14609"/>
  <c r="FQ174" i="14609"/>
  <c r="FR174" i="14609"/>
  <c r="FS174" i="14609"/>
  <c r="FT174" i="14609"/>
  <c r="FU174" i="14609"/>
  <c r="FV174" i="14609"/>
  <c r="FW174" i="14609"/>
  <c r="FX174" i="14609"/>
  <c r="FY174" i="14609"/>
  <c r="FZ174" i="14609"/>
  <c r="GA174" i="14609"/>
  <c r="GB174" i="14609"/>
  <c r="GC174" i="14609"/>
  <c r="GD174" i="14609"/>
  <c r="GE174" i="14609"/>
  <c r="GF174" i="14609"/>
  <c r="GG174" i="14609"/>
  <c r="GH174" i="14609"/>
  <c r="GI174" i="14609"/>
  <c r="GJ174" i="14609"/>
  <c r="GK174" i="14609"/>
  <c r="GL174" i="14609"/>
  <c r="GM174" i="14609"/>
  <c r="GN174" i="14609"/>
  <c r="GO174" i="14609"/>
  <c r="GP174" i="14609"/>
  <c r="GQ174" i="14609"/>
  <c r="GR174" i="14609"/>
  <c r="GS174" i="14609"/>
  <c r="GT174" i="14609"/>
  <c r="GU174" i="14609"/>
  <c r="GV174" i="14609"/>
  <c r="GW174" i="14609"/>
  <c r="GX174" i="14609"/>
  <c r="GY174" i="14609"/>
  <c r="GZ174" i="14609"/>
  <c r="HA174" i="14609"/>
  <c r="HB174" i="14609"/>
  <c r="HC174" i="14609"/>
  <c r="HD174" i="14609"/>
  <c r="HE174" i="14609"/>
  <c r="HF174" i="14609"/>
  <c r="HG174" i="14609"/>
  <c r="HH174" i="14609"/>
  <c r="HI174" i="14609"/>
  <c r="HJ174" i="14609"/>
  <c r="HK174" i="14609"/>
  <c r="HL174" i="14609"/>
  <c r="HM174" i="14609"/>
  <c r="HN174" i="14609"/>
  <c r="HO174" i="14609"/>
  <c r="HP174" i="14609"/>
  <c r="HQ174" i="14609"/>
  <c r="HR174" i="14609"/>
  <c r="HS174" i="14609"/>
  <c r="HT174" i="14609"/>
  <c r="HU174" i="14609"/>
  <c r="HV174" i="14609"/>
  <c r="HW174" i="14609"/>
  <c r="HX174" i="14609"/>
  <c r="HY174" i="14609"/>
  <c r="HZ174" i="14609"/>
  <c r="IA174" i="14609"/>
  <c r="IB174" i="14609"/>
  <c r="IC174" i="14609"/>
  <c r="ID174" i="14609"/>
  <c r="IE174" i="14609"/>
  <c r="IF174" i="14609"/>
  <c r="IG174" i="14609"/>
  <c r="IH174" i="14609"/>
  <c r="II174" i="14609"/>
  <c r="IJ174" i="14609"/>
  <c r="IK174" i="14609"/>
  <c r="IL174" i="14609"/>
  <c r="IM174" i="14609"/>
  <c r="IN174" i="14609"/>
  <c r="IO174" i="14609"/>
  <c r="IP174" i="14609"/>
  <c r="IQ174" i="14609"/>
  <c r="IR174" i="14609"/>
  <c r="IS174" i="14609"/>
  <c r="IT174" i="14609"/>
  <c r="IU174" i="14609"/>
  <c r="IV174" i="14609"/>
  <c r="A173" i="14609"/>
  <c r="B173" i="14609"/>
  <c r="C173" i="14609"/>
  <c r="D173" i="14609"/>
  <c r="E173" i="14609"/>
  <c r="F173" i="14609"/>
  <c r="G173" i="14609"/>
  <c r="H173" i="14609"/>
  <c r="I173" i="14609"/>
  <c r="J173" i="14609"/>
  <c r="K173" i="14609"/>
  <c r="L173" i="14609"/>
  <c r="M173" i="14609"/>
  <c r="N173" i="14609"/>
  <c r="O173" i="14609"/>
  <c r="P173" i="14609"/>
  <c r="Q173" i="14609"/>
  <c r="R173" i="14609"/>
  <c r="S173" i="14609"/>
  <c r="T173" i="14609"/>
  <c r="U173" i="14609"/>
  <c r="V173" i="14609"/>
  <c r="W173" i="14609"/>
  <c r="X173" i="14609"/>
  <c r="Y173" i="14609"/>
  <c r="Z173" i="14609"/>
  <c r="AA173" i="14609"/>
  <c r="AB173" i="14609"/>
  <c r="AC173" i="14609"/>
  <c r="AD173" i="14609"/>
  <c r="AE173" i="14609"/>
  <c r="AF173" i="14609"/>
  <c r="AG173" i="14609"/>
  <c r="AH173" i="14609"/>
  <c r="AI173" i="14609"/>
  <c r="AJ173" i="14609"/>
  <c r="AK173" i="14609"/>
  <c r="AL173" i="14609"/>
  <c r="AM173" i="14609"/>
  <c r="AN173" i="14609"/>
  <c r="AO173" i="14609"/>
  <c r="AP173" i="14609"/>
  <c r="AQ173" i="14609"/>
  <c r="AR173" i="14609"/>
  <c r="AS173" i="14609"/>
  <c r="AT173" i="14609"/>
  <c r="AU173" i="14609"/>
  <c r="AV173" i="14609"/>
  <c r="AW173" i="14609"/>
  <c r="AX173" i="14609"/>
  <c r="AY173" i="14609"/>
  <c r="AZ173" i="14609"/>
  <c r="BA173" i="14609"/>
  <c r="BB173" i="14609"/>
  <c r="BC173" i="14609"/>
  <c r="BD173" i="14609"/>
  <c r="BE173" i="14609"/>
  <c r="BF173" i="14609"/>
  <c r="BG173" i="14609"/>
  <c r="BH173" i="14609"/>
  <c r="BI173" i="14609"/>
  <c r="BJ173" i="14609"/>
  <c r="BK173" i="14609"/>
  <c r="BL173" i="14609"/>
  <c r="BM173" i="14609"/>
  <c r="BN173" i="14609"/>
  <c r="BO173" i="14609"/>
  <c r="BP173" i="14609"/>
  <c r="BQ173" i="14609"/>
  <c r="BR173" i="14609"/>
  <c r="BS173" i="14609"/>
  <c r="BT173" i="14609"/>
  <c r="BU173" i="14609"/>
  <c r="BV173" i="14609"/>
  <c r="BW173" i="14609"/>
  <c r="BX173" i="14609"/>
  <c r="BY173" i="14609"/>
  <c r="BZ173" i="14609"/>
  <c r="CA173" i="14609"/>
  <c r="CB173" i="14609"/>
  <c r="CC173" i="14609"/>
  <c r="CD173" i="14609"/>
  <c r="CE173" i="14609"/>
  <c r="CF173" i="14609"/>
  <c r="CG173" i="14609"/>
  <c r="CH173" i="14609"/>
  <c r="CI173" i="14609"/>
  <c r="CJ173" i="14609"/>
  <c r="CK173" i="14609"/>
  <c r="CL173" i="14609"/>
  <c r="CM173" i="14609"/>
  <c r="CN173" i="14609"/>
  <c r="CO173" i="14609"/>
  <c r="CP173" i="14609"/>
  <c r="CQ173" i="14609"/>
  <c r="CR173" i="14609"/>
  <c r="CS173" i="14609"/>
  <c r="CT173" i="14609"/>
  <c r="CU173" i="14609"/>
  <c r="CV173" i="14609"/>
  <c r="CW173" i="14609"/>
  <c r="CX173" i="14609"/>
  <c r="CY173" i="14609"/>
  <c r="CZ173" i="14609"/>
  <c r="DA173" i="14609"/>
  <c r="DB173" i="14609"/>
  <c r="DC173" i="14609"/>
  <c r="DD173" i="14609"/>
  <c r="DE173" i="14609"/>
  <c r="DF173" i="14609"/>
  <c r="DG173" i="14609"/>
  <c r="DH173" i="14609"/>
  <c r="DI173" i="14609"/>
  <c r="DJ173" i="14609"/>
  <c r="DK173" i="14609"/>
  <c r="DL173" i="14609"/>
  <c r="DM173" i="14609"/>
  <c r="DN173" i="14609"/>
  <c r="DO173" i="14609"/>
  <c r="DP173" i="14609"/>
  <c r="DQ173" i="14609"/>
  <c r="DR173" i="14609"/>
  <c r="DS173" i="14609"/>
  <c r="DT173" i="14609"/>
  <c r="DU173" i="14609"/>
  <c r="DV173" i="14609"/>
  <c r="DW173" i="14609"/>
  <c r="DX173" i="14609"/>
  <c r="DY173" i="14609"/>
  <c r="DZ173" i="14609"/>
  <c r="EA173" i="14609"/>
  <c r="EB173" i="14609"/>
  <c r="EC173" i="14609"/>
  <c r="ED173" i="14609"/>
  <c r="EE173" i="14609"/>
  <c r="EF173" i="14609"/>
  <c r="EG173" i="14609"/>
  <c r="EH173" i="14609"/>
  <c r="EI173" i="14609"/>
  <c r="EJ173" i="14609"/>
  <c r="EK173" i="14609"/>
  <c r="EL173" i="14609"/>
  <c r="EM173" i="14609"/>
  <c r="EN173" i="14609"/>
  <c r="EO173" i="14609"/>
  <c r="EP173" i="14609"/>
  <c r="EQ173" i="14609"/>
  <c r="ER173" i="14609"/>
  <c r="ES173" i="14609"/>
  <c r="ET173" i="14609"/>
  <c r="EU173" i="14609"/>
  <c r="EV173" i="14609"/>
  <c r="EW173" i="14609"/>
  <c r="EX173" i="14609"/>
  <c r="EY173" i="14609"/>
  <c r="EZ173" i="14609"/>
  <c r="FA173" i="14609"/>
  <c r="FB173" i="14609"/>
  <c r="FC173" i="14609"/>
  <c r="FD173" i="14609"/>
  <c r="FE173" i="14609"/>
  <c r="FF173" i="14609"/>
  <c r="FG173" i="14609"/>
  <c r="FH173" i="14609"/>
  <c r="FI173" i="14609"/>
  <c r="FJ173" i="14609"/>
  <c r="FK173" i="14609"/>
  <c r="FL173" i="14609"/>
  <c r="FM173" i="14609"/>
  <c r="FN173" i="14609"/>
  <c r="FO173" i="14609"/>
  <c r="FP173" i="14609"/>
  <c r="FQ173" i="14609"/>
  <c r="FR173" i="14609"/>
  <c r="FS173" i="14609"/>
  <c r="FT173" i="14609"/>
  <c r="FU173" i="14609"/>
  <c r="FV173" i="14609"/>
  <c r="FW173" i="14609"/>
  <c r="FX173" i="14609"/>
  <c r="FY173" i="14609"/>
  <c r="FZ173" i="14609"/>
  <c r="GA173" i="14609"/>
  <c r="GB173" i="14609"/>
  <c r="GC173" i="14609"/>
  <c r="GD173" i="14609"/>
  <c r="GE173" i="14609"/>
  <c r="GF173" i="14609"/>
  <c r="GG173" i="14609"/>
  <c r="GH173" i="14609"/>
  <c r="GI173" i="14609"/>
  <c r="GJ173" i="14609"/>
  <c r="GK173" i="14609"/>
  <c r="GL173" i="14609"/>
  <c r="GM173" i="14609"/>
  <c r="GN173" i="14609"/>
  <c r="GO173" i="14609"/>
  <c r="GP173" i="14609"/>
  <c r="GQ173" i="14609"/>
  <c r="GR173" i="14609"/>
  <c r="GS173" i="14609"/>
  <c r="GT173" i="14609"/>
  <c r="GU173" i="14609"/>
  <c r="GV173" i="14609"/>
  <c r="GW173" i="14609"/>
  <c r="GX173" i="14609"/>
  <c r="GY173" i="14609"/>
  <c r="GZ173" i="14609"/>
  <c r="HA173" i="14609"/>
  <c r="HB173" i="14609"/>
  <c r="HC173" i="14609"/>
  <c r="HD173" i="14609"/>
  <c r="HE173" i="14609"/>
  <c r="HF173" i="14609"/>
  <c r="HG173" i="14609"/>
  <c r="HH173" i="14609"/>
  <c r="HI173" i="14609"/>
  <c r="HJ173" i="14609"/>
  <c r="HK173" i="14609"/>
  <c r="HL173" i="14609"/>
  <c r="HM173" i="14609"/>
  <c r="HN173" i="14609"/>
  <c r="HO173" i="14609"/>
  <c r="HP173" i="14609"/>
  <c r="HQ173" i="14609"/>
  <c r="HR173" i="14609"/>
  <c r="HS173" i="14609"/>
  <c r="HT173" i="14609"/>
  <c r="HU173" i="14609"/>
  <c r="HV173" i="14609"/>
  <c r="HW173" i="14609"/>
  <c r="HX173" i="14609"/>
  <c r="HY173" i="14609"/>
  <c r="HZ173" i="14609"/>
  <c r="IA173" i="14609"/>
  <c r="IB173" i="14609"/>
  <c r="IC173" i="14609"/>
  <c r="ID173" i="14609"/>
  <c r="IE173" i="14609"/>
  <c r="IF173" i="14609"/>
  <c r="IG173" i="14609"/>
  <c r="IH173" i="14609"/>
  <c r="II173" i="14609"/>
  <c r="IJ173" i="14609"/>
  <c r="IK173" i="14609"/>
  <c r="IL173" i="14609"/>
  <c r="IM173" i="14609"/>
  <c r="IN173" i="14609"/>
  <c r="IO173" i="14609"/>
  <c r="IP173" i="14609"/>
  <c r="IQ173" i="14609"/>
  <c r="IR173" i="14609"/>
  <c r="IS173" i="14609"/>
  <c r="IT173" i="14609"/>
  <c r="IU173" i="14609"/>
  <c r="IV173" i="14609"/>
  <c r="A172" i="14609"/>
  <c r="B172" i="14609"/>
  <c r="C172" i="14609"/>
  <c r="D172" i="14609"/>
  <c r="E172" i="14609"/>
  <c r="F172" i="14609"/>
  <c r="G172" i="14609"/>
  <c r="H172" i="14609"/>
  <c r="I172" i="14609"/>
  <c r="J172" i="14609"/>
  <c r="K172" i="14609"/>
  <c r="L172" i="14609"/>
  <c r="M172" i="14609"/>
  <c r="N172" i="14609"/>
  <c r="O172" i="14609"/>
  <c r="P172" i="14609"/>
  <c r="Q172" i="14609"/>
  <c r="R172" i="14609"/>
  <c r="S172" i="14609"/>
  <c r="T172" i="14609"/>
  <c r="U172" i="14609"/>
  <c r="V172" i="14609"/>
  <c r="W172" i="14609"/>
  <c r="X172" i="14609"/>
  <c r="Y172" i="14609"/>
  <c r="Z172" i="14609"/>
  <c r="AA172" i="14609"/>
  <c r="AB172" i="14609"/>
  <c r="AC172" i="14609"/>
  <c r="AD172" i="14609"/>
  <c r="AE172" i="14609"/>
  <c r="AF172" i="14609"/>
  <c r="AG172" i="14609"/>
  <c r="AH172" i="14609"/>
  <c r="AI172" i="14609"/>
  <c r="AJ172" i="14609"/>
  <c r="AK172" i="14609"/>
  <c r="AL172" i="14609"/>
  <c r="AM172" i="14609"/>
  <c r="AN172" i="14609"/>
  <c r="AO172" i="14609"/>
  <c r="AP172" i="14609"/>
  <c r="AQ172" i="14609"/>
  <c r="AR172" i="14609"/>
  <c r="AS172" i="14609"/>
  <c r="AT172" i="14609"/>
  <c r="AU172" i="14609"/>
  <c r="AV172" i="14609"/>
  <c r="AW172" i="14609"/>
  <c r="AX172" i="14609"/>
  <c r="AY172" i="14609"/>
  <c r="AZ172" i="14609"/>
  <c r="BA172" i="14609"/>
  <c r="BB172" i="14609"/>
  <c r="BC172" i="14609"/>
  <c r="BD172" i="14609"/>
  <c r="BE172" i="14609"/>
  <c r="BF172" i="14609"/>
  <c r="BG172" i="14609"/>
  <c r="BH172" i="14609"/>
  <c r="BI172" i="14609"/>
  <c r="BJ172" i="14609"/>
  <c r="BK172" i="14609"/>
  <c r="BL172" i="14609"/>
  <c r="BM172" i="14609"/>
  <c r="BN172" i="14609"/>
  <c r="BO172" i="14609"/>
  <c r="BP172" i="14609"/>
  <c r="BQ172" i="14609"/>
  <c r="BR172" i="14609"/>
  <c r="BS172" i="14609"/>
  <c r="BT172" i="14609"/>
  <c r="BU172" i="14609"/>
  <c r="BV172" i="14609"/>
  <c r="BW172" i="14609"/>
  <c r="BX172" i="14609"/>
  <c r="BY172" i="14609"/>
  <c r="BZ172" i="14609"/>
  <c r="CA172" i="14609"/>
  <c r="CB172" i="14609"/>
  <c r="CC172" i="14609"/>
  <c r="CD172" i="14609"/>
  <c r="CE172" i="14609"/>
  <c r="CF172" i="14609"/>
  <c r="CG172" i="14609"/>
  <c r="CH172" i="14609"/>
  <c r="CI172" i="14609"/>
  <c r="CJ172" i="14609"/>
  <c r="CK172" i="14609"/>
  <c r="CL172" i="14609"/>
  <c r="CM172" i="14609"/>
  <c r="CN172" i="14609"/>
  <c r="CO172" i="14609"/>
  <c r="CP172" i="14609"/>
  <c r="CQ172" i="14609"/>
  <c r="CR172" i="14609"/>
  <c r="CS172" i="14609"/>
  <c r="CT172" i="14609"/>
  <c r="CU172" i="14609"/>
  <c r="CV172" i="14609"/>
  <c r="CW172" i="14609"/>
  <c r="CX172" i="14609"/>
  <c r="CY172" i="14609"/>
  <c r="CZ172" i="14609"/>
  <c r="DA172" i="14609"/>
  <c r="DB172" i="14609"/>
  <c r="DC172" i="14609"/>
  <c r="DD172" i="14609"/>
  <c r="DE172" i="14609"/>
  <c r="DF172" i="14609"/>
  <c r="DG172" i="14609"/>
  <c r="DH172" i="14609"/>
  <c r="DI172" i="14609"/>
  <c r="DJ172" i="14609"/>
  <c r="DK172" i="14609"/>
  <c r="DL172" i="14609"/>
  <c r="DM172" i="14609"/>
  <c r="DN172" i="14609"/>
  <c r="DO172" i="14609"/>
  <c r="DP172" i="14609"/>
  <c r="DQ172" i="14609"/>
  <c r="DR172" i="14609"/>
  <c r="DS172" i="14609"/>
  <c r="DT172" i="14609"/>
  <c r="DU172" i="14609"/>
  <c r="DV172" i="14609"/>
  <c r="DW172" i="14609"/>
  <c r="DX172" i="14609"/>
  <c r="DY172" i="14609"/>
  <c r="DZ172" i="14609"/>
  <c r="EA172" i="14609"/>
  <c r="EB172" i="14609"/>
  <c r="EC172" i="14609"/>
  <c r="ED172" i="14609"/>
  <c r="EE172" i="14609"/>
  <c r="EF172" i="14609"/>
  <c r="EG172" i="14609"/>
  <c r="EH172" i="14609"/>
  <c r="EI172" i="14609"/>
  <c r="EJ172" i="14609"/>
  <c r="EK172" i="14609"/>
  <c r="EL172" i="14609"/>
  <c r="EM172" i="14609"/>
  <c r="EN172" i="14609"/>
  <c r="EO172" i="14609"/>
  <c r="EP172" i="14609"/>
  <c r="EQ172" i="14609"/>
  <c r="ER172" i="14609"/>
  <c r="ES172" i="14609"/>
  <c r="ET172" i="14609"/>
  <c r="EU172" i="14609"/>
  <c r="EV172" i="14609"/>
  <c r="EW172" i="14609"/>
  <c r="EX172" i="14609"/>
  <c r="EY172" i="14609"/>
  <c r="EZ172" i="14609"/>
  <c r="FA172" i="14609"/>
  <c r="FB172" i="14609"/>
  <c r="FC172" i="14609"/>
  <c r="FD172" i="14609"/>
  <c r="FE172" i="14609"/>
  <c r="FF172" i="14609"/>
  <c r="FG172" i="14609"/>
  <c r="FH172" i="14609"/>
  <c r="FI172" i="14609"/>
  <c r="FJ172" i="14609"/>
  <c r="FK172" i="14609"/>
  <c r="FL172" i="14609"/>
  <c r="FM172" i="14609"/>
  <c r="FN172" i="14609"/>
  <c r="FO172" i="14609"/>
  <c r="FP172" i="14609"/>
  <c r="FQ172" i="14609"/>
  <c r="FR172" i="14609"/>
  <c r="FS172" i="14609"/>
  <c r="FT172" i="14609"/>
  <c r="FU172" i="14609"/>
  <c r="FV172" i="14609"/>
  <c r="FW172" i="14609"/>
  <c r="FX172" i="14609"/>
  <c r="FY172" i="14609"/>
  <c r="FZ172" i="14609"/>
  <c r="GA172" i="14609"/>
  <c r="GB172" i="14609"/>
  <c r="GC172" i="14609"/>
  <c r="GD172" i="14609"/>
  <c r="GE172" i="14609"/>
  <c r="GF172" i="14609"/>
  <c r="GG172" i="14609"/>
  <c r="GH172" i="14609"/>
  <c r="GI172" i="14609"/>
  <c r="GJ172" i="14609"/>
  <c r="GK172" i="14609"/>
  <c r="GL172" i="14609"/>
  <c r="GM172" i="14609"/>
  <c r="GN172" i="14609"/>
  <c r="GO172" i="14609"/>
  <c r="GP172" i="14609"/>
  <c r="GQ172" i="14609"/>
  <c r="GR172" i="14609"/>
  <c r="GS172" i="14609"/>
  <c r="GT172" i="14609"/>
  <c r="GU172" i="14609"/>
  <c r="GV172" i="14609"/>
  <c r="GW172" i="14609"/>
  <c r="GX172" i="14609"/>
  <c r="GY172" i="14609"/>
  <c r="GZ172" i="14609"/>
  <c r="HA172" i="14609"/>
  <c r="HB172" i="14609"/>
  <c r="HC172" i="14609"/>
  <c r="HD172" i="14609"/>
  <c r="HE172" i="14609"/>
  <c r="HF172" i="14609"/>
  <c r="HG172" i="14609"/>
  <c r="HH172" i="14609"/>
  <c r="HI172" i="14609"/>
  <c r="HJ172" i="14609"/>
  <c r="HK172" i="14609"/>
  <c r="HL172" i="14609"/>
  <c r="HM172" i="14609"/>
  <c r="HN172" i="14609"/>
  <c r="HO172" i="14609"/>
  <c r="HP172" i="14609"/>
  <c r="HQ172" i="14609"/>
  <c r="HR172" i="14609"/>
  <c r="HS172" i="14609"/>
  <c r="HT172" i="14609"/>
  <c r="HU172" i="14609"/>
  <c r="HV172" i="14609"/>
  <c r="HW172" i="14609"/>
  <c r="HX172" i="14609"/>
  <c r="HY172" i="14609"/>
  <c r="HZ172" i="14609"/>
  <c r="IA172" i="14609"/>
  <c r="IB172" i="14609"/>
  <c r="IC172" i="14609"/>
  <c r="ID172" i="14609"/>
  <c r="IE172" i="14609"/>
  <c r="IF172" i="14609"/>
  <c r="IG172" i="14609"/>
  <c r="IH172" i="14609"/>
  <c r="II172" i="14609"/>
  <c r="IJ172" i="14609"/>
  <c r="IK172" i="14609"/>
  <c r="IL172" i="14609"/>
  <c r="IM172" i="14609"/>
  <c r="IN172" i="14609"/>
  <c r="IO172" i="14609"/>
  <c r="IP172" i="14609"/>
  <c r="IQ172" i="14609"/>
  <c r="IR172" i="14609"/>
  <c r="IS172" i="14609"/>
  <c r="IT172" i="14609"/>
  <c r="IU172" i="14609"/>
  <c r="IV172" i="14609"/>
  <c r="A171" i="14609"/>
  <c r="B171" i="14609"/>
  <c r="C171" i="14609"/>
  <c r="D171" i="14609"/>
  <c r="E171" i="14609"/>
  <c r="F171" i="14609"/>
  <c r="G171" i="14609"/>
  <c r="H171" i="14609"/>
  <c r="I171" i="14609"/>
  <c r="J171" i="14609"/>
  <c r="K171" i="14609"/>
  <c r="L171" i="14609"/>
  <c r="M171" i="14609"/>
  <c r="N171" i="14609"/>
  <c r="O171" i="14609"/>
  <c r="P171" i="14609"/>
  <c r="Q171" i="14609"/>
  <c r="R171" i="14609"/>
  <c r="S171" i="14609"/>
  <c r="T171" i="14609"/>
  <c r="U171" i="14609"/>
  <c r="V171" i="14609"/>
  <c r="W171" i="14609"/>
  <c r="X171" i="14609"/>
  <c r="Y171" i="14609"/>
  <c r="Z171" i="14609"/>
  <c r="AA171" i="14609"/>
  <c r="AB171" i="14609"/>
  <c r="AC171" i="14609"/>
  <c r="AD171" i="14609"/>
  <c r="AE171" i="14609"/>
  <c r="AF171" i="14609"/>
  <c r="AG171" i="14609"/>
  <c r="AH171" i="14609"/>
  <c r="AI171" i="14609"/>
  <c r="AJ171" i="14609"/>
  <c r="AK171" i="14609"/>
  <c r="AL171" i="14609"/>
  <c r="AM171" i="14609"/>
  <c r="AN171" i="14609"/>
  <c r="AO171" i="14609"/>
  <c r="AP171" i="14609"/>
  <c r="AQ171" i="14609"/>
  <c r="AR171" i="14609"/>
  <c r="AS171" i="14609"/>
  <c r="AT171" i="14609"/>
  <c r="AU171" i="14609"/>
  <c r="AV171" i="14609"/>
  <c r="AW171" i="14609"/>
  <c r="AX171" i="14609"/>
  <c r="AY171" i="14609"/>
  <c r="AZ171" i="14609"/>
  <c r="BA171" i="14609"/>
  <c r="BB171" i="14609"/>
  <c r="BC171" i="14609"/>
  <c r="BD171" i="14609"/>
  <c r="BE171" i="14609"/>
  <c r="BF171" i="14609"/>
  <c r="BG171" i="14609"/>
  <c r="BH171" i="14609"/>
  <c r="BI171" i="14609"/>
  <c r="BJ171" i="14609"/>
  <c r="BK171" i="14609"/>
  <c r="BL171" i="14609"/>
  <c r="BM171" i="14609"/>
  <c r="BN171" i="14609"/>
  <c r="BO171" i="14609"/>
  <c r="BP171" i="14609"/>
  <c r="BQ171" i="14609"/>
  <c r="BR171" i="14609"/>
  <c r="BS171" i="14609"/>
  <c r="BT171" i="14609"/>
  <c r="BU171" i="14609"/>
  <c r="BV171" i="14609"/>
  <c r="BW171" i="14609"/>
  <c r="BX171" i="14609"/>
  <c r="BY171" i="14609"/>
  <c r="BZ171" i="14609"/>
  <c r="CA171" i="14609"/>
  <c r="CB171" i="14609"/>
  <c r="CC171" i="14609"/>
  <c r="CD171" i="14609"/>
  <c r="CE171" i="14609"/>
  <c r="CF171" i="14609"/>
  <c r="CG171" i="14609"/>
  <c r="CH171" i="14609"/>
  <c r="CI171" i="14609"/>
  <c r="CJ171" i="14609"/>
  <c r="CK171" i="14609"/>
  <c r="CL171" i="14609"/>
  <c r="CM171" i="14609"/>
  <c r="CN171" i="14609"/>
  <c r="CO171" i="14609"/>
  <c r="CP171" i="14609"/>
  <c r="CQ171" i="14609"/>
  <c r="CR171" i="14609"/>
  <c r="CS171" i="14609"/>
  <c r="CT171" i="14609"/>
  <c r="CU171" i="14609"/>
  <c r="CV171" i="14609"/>
  <c r="CW171" i="14609"/>
  <c r="CX171" i="14609"/>
  <c r="CY171" i="14609"/>
  <c r="CZ171" i="14609"/>
  <c r="DA171" i="14609"/>
  <c r="DB171" i="14609"/>
  <c r="DC171" i="14609"/>
  <c r="DD171" i="14609"/>
  <c r="DE171" i="14609"/>
  <c r="DF171" i="14609"/>
  <c r="DG171" i="14609"/>
  <c r="DH171" i="14609"/>
  <c r="DI171" i="14609"/>
  <c r="DJ171" i="14609"/>
  <c r="DK171" i="14609"/>
  <c r="DL171" i="14609"/>
  <c r="DM171" i="14609"/>
  <c r="DN171" i="14609"/>
  <c r="DO171" i="14609"/>
  <c r="DP171" i="14609"/>
  <c r="DQ171" i="14609"/>
  <c r="DR171" i="14609"/>
  <c r="DS171" i="14609"/>
  <c r="DT171" i="14609"/>
  <c r="DU171" i="14609"/>
  <c r="DV171" i="14609"/>
  <c r="DW171" i="14609"/>
  <c r="DX171" i="14609"/>
  <c r="DY171" i="14609"/>
  <c r="DZ171" i="14609"/>
  <c r="EA171" i="14609"/>
  <c r="EB171" i="14609"/>
  <c r="EC171" i="14609"/>
  <c r="ED171" i="14609"/>
  <c r="EE171" i="14609"/>
  <c r="EF171" i="14609"/>
  <c r="EG171" i="14609"/>
  <c r="EH171" i="14609"/>
  <c r="EI171" i="14609"/>
  <c r="EJ171" i="14609"/>
  <c r="EK171" i="14609"/>
  <c r="EL171" i="14609"/>
  <c r="EM171" i="14609"/>
  <c r="EN171" i="14609"/>
  <c r="EO171" i="14609"/>
  <c r="EP171" i="14609"/>
  <c r="EQ171" i="14609"/>
  <c r="ER171" i="14609"/>
  <c r="ES171" i="14609"/>
  <c r="ET171" i="14609"/>
  <c r="EU171" i="14609"/>
  <c r="EV171" i="14609"/>
  <c r="EW171" i="14609"/>
  <c r="EX171" i="14609"/>
  <c r="EY171" i="14609"/>
  <c r="EZ171" i="14609"/>
  <c r="FA171" i="14609"/>
  <c r="FB171" i="14609"/>
  <c r="FC171" i="14609"/>
  <c r="FD171" i="14609"/>
  <c r="FE171" i="14609"/>
  <c r="FF171" i="14609"/>
  <c r="FG171" i="14609"/>
  <c r="FH171" i="14609"/>
  <c r="FI171" i="14609"/>
  <c r="FJ171" i="14609"/>
  <c r="FK171" i="14609"/>
  <c r="FL171" i="14609"/>
  <c r="FM171" i="14609"/>
  <c r="FN171" i="14609"/>
  <c r="FO171" i="14609"/>
  <c r="FP171" i="14609"/>
  <c r="FQ171" i="14609"/>
  <c r="FR171" i="14609"/>
  <c r="FS171" i="14609"/>
  <c r="FT171" i="14609"/>
  <c r="FU171" i="14609"/>
  <c r="FV171" i="14609"/>
  <c r="FW171" i="14609"/>
  <c r="FX171" i="14609"/>
  <c r="FY171" i="14609"/>
  <c r="FZ171" i="14609"/>
  <c r="GA171" i="14609"/>
  <c r="GB171" i="14609"/>
  <c r="GC171" i="14609"/>
  <c r="GD171" i="14609"/>
  <c r="GE171" i="14609"/>
  <c r="GF171" i="14609"/>
  <c r="GG171" i="14609"/>
  <c r="GH171" i="14609"/>
  <c r="GI171" i="14609"/>
  <c r="GJ171" i="14609"/>
  <c r="GK171" i="14609"/>
  <c r="GL171" i="14609"/>
  <c r="GM171" i="14609"/>
  <c r="GN171" i="14609"/>
  <c r="GO171" i="14609"/>
  <c r="GP171" i="14609"/>
  <c r="GQ171" i="14609"/>
  <c r="GR171" i="14609"/>
  <c r="GS171" i="14609"/>
  <c r="GT171" i="14609"/>
  <c r="GU171" i="14609"/>
  <c r="GV171" i="14609"/>
  <c r="GW171" i="14609"/>
  <c r="GX171" i="14609"/>
  <c r="GY171" i="14609"/>
  <c r="GZ171" i="14609"/>
  <c r="HA171" i="14609"/>
  <c r="HB171" i="14609"/>
  <c r="HC171" i="14609"/>
  <c r="HD171" i="14609"/>
  <c r="HE171" i="14609"/>
  <c r="HF171" i="14609"/>
  <c r="HG171" i="14609"/>
  <c r="HH171" i="14609"/>
  <c r="HI171" i="14609"/>
  <c r="HJ171" i="14609"/>
  <c r="HK171" i="14609"/>
  <c r="HL171" i="14609"/>
  <c r="HM171" i="14609"/>
  <c r="HN171" i="14609"/>
  <c r="HO171" i="14609"/>
  <c r="HP171" i="14609"/>
  <c r="HQ171" i="14609"/>
  <c r="HR171" i="14609"/>
  <c r="HS171" i="14609"/>
  <c r="HT171" i="14609"/>
  <c r="HU171" i="14609"/>
  <c r="HV171" i="14609"/>
  <c r="HW171" i="14609"/>
  <c r="HX171" i="14609"/>
  <c r="HY171" i="14609"/>
  <c r="HZ171" i="14609"/>
  <c r="IA171" i="14609"/>
  <c r="IB171" i="14609"/>
  <c r="IC171" i="14609"/>
  <c r="ID171" i="14609"/>
  <c r="IE171" i="14609"/>
  <c r="IF171" i="14609"/>
  <c r="IG171" i="14609"/>
  <c r="IH171" i="14609"/>
  <c r="II171" i="14609"/>
  <c r="IJ171" i="14609"/>
  <c r="IK171" i="14609"/>
  <c r="IL171" i="14609"/>
  <c r="IM171" i="14609"/>
  <c r="IN171" i="14609"/>
  <c r="IO171" i="14609"/>
  <c r="IP171" i="14609"/>
  <c r="IQ171" i="14609"/>
  <c r="IR171" i="14609"/>
  <c r="IS171" i="14609"/>
  <c r="IT171" i="14609"/>
  <c r="IU171" i="14609"/>
  <c r="IV171" i="14609"/>
  <c r="A170" i="14609"/>
  <c r="B170" i="14609"/>
  <c r="C170" i="14609"/>
  <c r="D170" i="14609"/>
  <c r="E170" i="14609"/>
  <c r="F170" i="14609"/>
  <c r="G170" i="14609"/>
  <c r="H170" i="14609"/>
  <c r="I170" i="14609"/>
  <c r="J170" i="14609"/>
  <c r="K170" i="14609"/>
  <c r="L170" i="14609"/>
  <c r="M170" i="14609"/>
  <c r="N170" i="14609"/>
  <c r="O170" i="14609"/>
  <c r="P170" i="14609"/>
  <c r="Q170" i="14609"/>
  <c r="R170" i="14609"/>
  <c r="S170" i="14609"/>
  <c r="T170" i="14609"/>
  <c r="U170" i="14609"/>
  <c r="V170" i="14609"/>
  <c r="W170" i="14609"/>
  <c r="X170" i="14609"/>
  <c r="Y170" i="14609"/>
  <c r="Z170" i="14609"/>
  <c r="AA170" i="14609"/>
  <c r="AB170" i="14609"/>
  <c r="AC170" i="14609"/>
  <c r="AD170" i="14609"/>
  <c r="AE170" i="14609"/>
  <c r="AF170" i="14609"/>
  <c r="AG170" i="14609"/>
  <c r="AH170" i="14609"/>
  <c r="AI170" i="14609"/>
  <c r="AJ170" i="14609"/>
  <c r="AK170" i="14609"/>
  <c r="AL170" i="14609"/>
  <c r="AM170" i="14609"/>
  <c r="AN170" i="14609"/>
  <c r="AO170" i="14609"/>
  <c r="AP170" i="14609"/>
  <c r="AQ170" i="14609"/>
  <c r="AR170" i="14609"/>
  <c r="AS170" i="14609"/>
  <c r="AT170" i="14609"/>
  <c r="AU170" i="14609"/>
  <c r="AV170" i="14609"/>
  <c r="AW170" i="14609"/>
  <c r="AX170" i="14609"/>
  <c r="AY170" i="14609"/>
  <c r="AZ170" i="14609"/>
  <c r="BA170" i="14609"/>
  <c r="BB170" i="14609"/>
  <c r="BC170" i="14609"/>
  <c r="BD170" i="14609"/>
  <c r="BE170" i="14609"/>
  <c r="BF170" i="14609"/>
  <c r="BG170" i="14609"/>
  <c r="BH170" i="14609"/>
  <c r="BI170" i="14609"/>
  <c r="BJ170" i="14609"/>
  <c r="BK170" i="14609"/>
  <c r="BL170" i="14609"/>
  <c r="BM170" i="14609"/>
  <c r="BN170" i="14609"/>
  <c r="BO170" i="14609"/>
  <c r="BP170" i="14609"/>
  <c r="BQ170" i="14609"/>
  <c r="BR170" i="14609"/>
  <c r="BS170" i="14609"/>
  <c r="BT170" i="14609"/>
  <c r="BU170" i="14609"/>
  <c r="BV170" i="14609"/>
  <c r="BW170" i="14609"/>
  <c r="BX170" i="14609"/>
  <c r="BY170" i="14609"/>
  <c r="BZ170" i="14609"/>
  <c r="CA170" i="14609"/>
  <c r="CB170" i="14609"/>
  <c r="CC170" i="14609"/>
  <c r="CD170" i="14609"/>
  <c r="CE170" i="14609"/>
  <c r="CF170" i="14609"/>
  <c r="CG170" i="14609"/>
  <c r="CH170" i="14609"/>
  <c r="CI170" i="14609"/>
  <c r="CJ170" i="14609"/>
  <c r="CK170" i="14609"/>
  <c r="CL170" i="14609"/>
  <c r="CM170" i="14609"/>
  <c r="CN170" i="14609"/>
  <c r="CO170" i="14609"/>
  <c r="CP170" i="14609"/>
  <c r="CQ170" i="14609"/>
  <c r="CR170" i="14609"/>
  <c r="CS170" i="14609"/>
  <c r="CT170" i="14609"/>
  <c r="CU170" i="14609"/>
  <c r="CV170" i="14609"/>
  <c r="CW170" i="14609"/>
  <c r="CX170" i="14609"/>
  <c r="CY170" i="14609"/>
  <c r="CZ170" i="14609"/>
  <c r="DA170" i="14609"/>
  <c r="DB170" i="14609"/>
  <c r="DC170" i="14609"/>
  <c r="DD170" i="14609"/>
  <c r="DE170" i="14609"/>
  <c r="DF170" i="14609"/>
  <c r="DG170" i="14609"/>
  <c r="DH170" i="14609"/>
  <c r="DI170" i="14609"/>
  <c r="DJ170" i="14609"/>
  <c r="DK170" i="14609"/>
  <c r="DL170" i="14609"/>
  <c r="DM170" i="14609"/>
  <c r="DN170" i="14609"/>
  <c r="DO170" i="14609"/>
  <c r="DP170" i="14609"/>
  <c r="DQ170" i="14609"/>
  <c r="DR170" i="14609"/>
  <c r="DS170" i="14609"/>
  <c r="DT170" i="14609"/>
  <c r="DU170" i="14609"/>
  <c r="DV170" i="14609"/>
  <c r="DW170" i="14609"/>
  <c r="DX170" i="14609"/>
  <c r="DY170" i="14609"/>
  <c r="DZ170" i="14609"/>
  <c r="EA170" i="14609"/>
  <c r="EB170" i="14609"/>
  <c r="EC170" i="14609"/>
  <c r="ED170" i="14609"/>
  <c r="EE170" i="14609"/>
  <c r="EF170" i="14609"/>
  <c r="EG170" i="14609"/>
  <c r="EH170" i="14609"/>
  <c r="EI170" i="14609"/>
  <c r="EJ170" i="14609"/>
  <c r="EK170" i="14609"/>
  <c r="EL170" i="14609"/>
  <c r="EM170" i="14609"/>
  <c r="EN170" i="14609"/>
  <c r="EO170" i="14609"/>
  <c r="EP170" i="14609"/>
  <c r="EQ170" i="14609"/>
  <c r="ER170" i="14609"/>
  <c r="ES170" i="14609"/>
  <c r="ET170" i="14609"/>
  <c r="EU170" i="14609"/>
  <c r="EV170" i="14609"/>
  <c r="EW170" i="14609"/>
  <c r="EX170" i="14609"/>
  <c r="EY170" i="14609"/>
  <c r="EZ170" i="14609"/>
  <c r="FA170" i="14609"/>
  <c r="FB170" i="14609"/>
  <c r="FC170" i="14609"/>
  <c r="FD170" i="14609"/>
  <c r="FE170" i="14609"/>
  <c r="FF170" i="14609"/>
  <c r="FG170" i="14609"/>
  <c r="FH170" i="14609"/>
  <c r="FI170" i="14609"/>
  <c r="FJ170" i="14609"/>
  <c r="FK170" i="14609"/>
  <c r="FL170" i="14609"/>
  <c r="FM170" i="14609"/>
  <c r="FN170" i="14609"/>
  <c r="FO170" i="14609"/>
  <c r="FP170" i="14609"/>
  <c r="FQ170" i="14609"/>
  <c r="FR170" i="14609"/>
  <c r="FS170" i="14609"/>
  <c r="FT170" i="14609"/>
  <c r="FU170" i="14609"/>
  <c r="FV170" i="14609"/>
  <c r="FW170" i="14609"/>
  <c r="FX170" i="14609"/>
  <c r="FY170" i="14609"/>
  <c r="FZ170" i="14609"/>
  <c r="GA170" i="14609"/>
  <c r="GB170" i="14609"/>
  <c r="GC170" i="14609"/>
  <c r="GD170" i="14609"/>
  <c r="GE170" i="14609"/>
  <c r="GF170" i="14609"/>
  <c r="GG170" i="14609"/>
  <c r="GH170" i="14609"/>
  <c r="GI170" i="14609"/>
  <c r="GJ170" i="14609"/>
  <c r="GK170" i="14609"/>
  <c r="GL170" i="14609"/>
  <c r="GM170" i="14609"/>
  <c r="GN170" i="14609"/>
  <c r="GO170" i="14609"/>
  <c r="GP170" i="14609"/>
  <c r="GQ170" i="14609"/>
  <c r="GR170" i="14609"/>
  <c r="GS170" i="14609"/>
  <c r="GT170" i="14609"/>
  <c r="GU170" i="14609"/>
  <c r="GV170" i="14609"/>
  <c r="GW170" i="14609"/>
  <c r="GX170" i="14609"/>
  <c r="GY170" i="14609"/>
  <c r="GZ170" i="14609"/>
  <c r="HA170" i="14609"/>
  <c r="HB170" i="14609"/>
  <c r="HC170" i="14609"/>
  <c r="HD170" i="14609"/>
  <c r="HE170" i="14609"/>
  <c r="HF170" i="14609"/>
  <c r="HG170" i="14609"/>
  <c r="HH170" i="14609"/>
  <c r="HI170" i="14609"/>
  <c r="HJ170" i="14609"/>
  <c r="HK170" i="14609"/>
  <c r="HL170" i="14609"/>
  <c r="HM170" i="14609"/>
  <c r="HN170" i="14609"/>
  <c r="HO170" i="14609"/>
  <c r="HP170" i="14609"/>
  <c r="HQ170" i="14609"/>
  <c r="HR170" i="14609"/>
  <c r="HS170" i="14609"/>
  <c r="HT170" i="14609"/>
  <c r="HU170" i="14609"/>
  <c r="HV170" i="14609"/>
  <c r="HW170" i="14609"/>
  <c r="HX170" i="14609"/>
  <c r="HY170" i="14609"/>
  <c r="HZ170" i="14609"/>
  <c r="IA170" i="14609"/>
  <c r="IB170" i="14609"/>
  <c r="IC170" i="14609"/>
  <c r="ID170" i="14609"/>
  <c r="IE170" i="14609"/>
  <c r="IF170" i="14609"/>
  <c r="IG170" i="14609"/>
  <c r="IH170" i="14609"/>
  <c r="II170" i="14609"/>
  <c r="IJ170" i="14609"/>
  <c r="IK170" i="14609"/>
  <c r="IL170" i="14609"/>
  <c r="IM170" i="14609"/>
  <c r="IN170" i="14609"/>
  <c r="IO170" i="14609"/>
  <c r="IP170" i="14609"/>
  <c r="IQ170" i="14609"/>
  <c r="IR170" i="14609"/>
  <c r="IS170" i="14609"/>
  <c r="IT170" i="14609"/>
  <c r="IU170" i="14609"/>
  <c r="IV170" i="14609"/>
  <c r="A169" i="14609"/>
  <c r="B169" i="14609"/>
  <c r="C169" i="14609"/>
  <c r="D169" i="14609"/>
  <c r="E169" i="14609"/>
  <c r="F169" i="14609"/>
  <c r="G169" i="14609"/>
  <c r="H169" i="14609"/>
  <c r="I169" i="14609"/>
  <c r="J169" i="14609"/>
  <c r="K169" i="14609"/>
  <c r="L169" i="14609"/>
  <c r="M169" i="14609"/>
  <c r="N169" i="14609"/>
  <c r="O169" i="14609"/>
  <c r="P169" i="14609"/>
  <c r="Q169" i="14609"/>
  <c r="R169" i="14609"/>
  <c r="S169" i="14609"/>
  <c r="T169" i="14609"/>
  <c r="U169" i="14609"/>
  <c r="V169" i="14609"/>
  <c r="W169" i="14609"/>
  <c r="X169" i="14609"/>
  <c r="Y169" i="14609"/>
  <c r="Z169" i="14609"/>
  <c r="AA169" i="14609"/>
  <c r="AB169" i="14609"/>
  <c r="AC169" i="14609"/>
  <c r="AD169" i="14609"/>
  <c r="AE169" i="14609"/>
  <c r="AF169" i="14609"/>
  <c r="AG169" i="14609"/>
  <c r="AH169" i="14609"/>
  <c r="AI169" i="14609"/>
  <c r="AJ169" i="14609"/>
  <c r="AK169" i="14609"/>
  <c r="AL169" i="14609"/>
  <c r="AM169" i="14609"/>
  <c r="AN169" i="14609"/>
  <c r="AO169" i="14609"/>
  <c r="AP169" i="14609"/>
  <c r="AQ169" i="14609"/>
  <c r="AR169" i="14609"/>
  <c r="AS169" i="14609"/>
  <c r="AT169" i="14609"/>
  <c r="AU169" i="14609"/>
  <c r="AV169" i="14609"/>
  <c r="AW169" i="14609"/>
  <c r="AX169" i="14609"/>
  <c r="AY169" i="14609"/>
  <c r="AZ169" i="14609"/>
  <c r="BA169" i="14609"/>
  <c r="BB169" i="14609"/>
  <c r="BC169" i="14609"/>
  <c r="BD169" i="14609"/>
  <c r="BE169" i="14609"/>
  <c r="BF169" i="14609"/>
  <c r="BG169" i="14609"/>
  <c r="BH169" i="14609"/>
  <c r="BI169" i="14609"/>
  <c r="BJ169" i="14609"/>
  <c r="BK169" i="14609"/>
  <c r="BL169" i="14609"/>
  <c r="BM169" i="14609"/>
  <c r="BN169" i="14609"/>
  <c r="BO169" i="14609"/>
  <c r="BP169" i="14609"/>
  <c r="BQ169" i="14609"/>
  <c r="BR169" i="14609"/>
  <c r="BS169" i="14609"/>
  <c r="BT169" i="14609"/>
  <c r="BU169" i="14609"/>
  <c r="BV169" i="14609"/>
  <c r="BW169" i="14609"/>
  <c r="BX169" i="14609"/>
  <c r="BY169" i="14609"/>
  <c r="BZ169" i="14609"/>
  <c r="CA169" i="14609"/>
  <c r="CB169" i="14609"/>
  <c r="CC169" i="14609"/>
  <c r="CD169" i="14609"/>
  <c r="CE169" i="14609"/>
  <c r="CF169" i="14609"/>
  <c r="CG169" i="14609"/>
  <c r="CH169" i="14609"/>
  <c r="CI169" i="14609"/>
  <c r="CJ169" i="14609"/>
  <c r="CK169" i="14609"/>
  <c r="CL169" i="14609"/>
  <c r="CM169" i="14609"/>
  <c r="CN169" i="14609"/>
  <c r="CO169" i="14609"/>
  <c r="CP169" i="14609"/>
  <c r="CQ169" i="14609"/>
  <c r="CR169" i="14609"/>
  <c r="CS169" i="14609"/>
  <c r="CT169" i="14609"/>
  <c r="CU169" i="14609"/>
  <c r="CV169" i="14609"/>
  <c r="CW169" i="14609"/>
  <c r="CX169" i="14609"/>
  <c r="CY169" i="14609"/>
  <c r="CZ169" i="14609"/>
  <c r="DA169" i="14609"/>
  <c r="DB169" i="14609"/>
  <c r="DC169" i="14609"/>
  <c r="DD169" i="14609"/>
  <c r="DE169" i="14609"/>
  <c r="DF169" i="14609"/>
  <c r="DG169" i="14609"/>
  <c r="DH169" i="14609"/>
  <c r="DI169" i="14609"/>
  <c r="DJ169" i="14609"/>
  <c r="DK169" i="14609"/>
  <c r="DL169" i="14609"/>
  <c r="DM169" i="14609"/>
  <c r="DN169" i="14609"/>
  <c r="DO169" i="14609"/>
  <c r="DP169" i="14609"/>
  <c r="DQ169" i="14609"/>
  <c r="DR169" i="14609"/>
  <c r="DS169" i="14609"/>
  <c r="DT169" i="14609"/>
  <c r="DU169" i="14609"/>
  <c r="DV169" i="14609"/>
  <c r="DW169" i="14609"/>
  <c r="DX169" i="14609"/>
  <c r="DY169" i="14609"/>
  <c r="DZ169" i="14609"/>
  <c r="EA169" i="14609"/>
  <c r="EB169" i="14609"/>
  <c r="EC169" i="14609"/>
  <c r="ED169" i="14609"/>
  <c r="EE169" i="14609"/>
  <c r="EF169" i="14609"/>
  <c r="EG169" i="14609"/>
  <c r="EH169" i="14609"/>
  <c r="EI169" i="14609"/>
  <c r="EJ169" i="14609"/>
  <c r="EK169" i="14609"/>
  <c r="EL169" i="14609"/>
  <c r="EM169" i="14609"/>
  <c r="EN169" i="14609"/>
  <c r="EO169" i="14609"/>
  <c r="EP169" i="14609"/>
  <c r="EQ169" i="14609"/>
  <c r="ER169" i="14609"/>
  <c r="ES169" i="14609"/>
  <c r="ET169" i="14609"/>
  <c r="EU169" i="14609"/>
  <c r="EV169" i="14609"/>
  <c r="EW169" i="14609"/>
  <c r="EX169" i="14609"/>
  <c r="EY169" i="14609"/>
  <c r="EZ169" i="14609"/>
  <c r="FA169" i="14609"/>
  <c r="FB169" i="14609"/>
  <c r="FC169" i="14609"/>
  <c r="FD169" i="14609"/>
  <c r="FE169" i="14609"/>
  <c r="FF169" i="14609"/>
  <c r="FG169" i="14609"/>
  <c r="FH169" i="14609"/>
  <c r="FI169" i="14609"/>
  <c r="FJ169" i="14609"/>
  <c r="FK169" i="14609"/>
  <c r="FL169" i="14609"/>
  <c r="FM169" i="14609"/>
  <c r="FN169" i="14609"/>
  <c r="FO169" i="14609"/>
  <c r="FP169" i="14609"/>
  <c r="FQ169" i="14609"/>
  <c r="FR169" i="14609"/>
  <c r="FS169" i="14609"/>
  <c r="FT169" i="14609"/>
  <c r="FU169" i="14609"/>
  <c r="FV169" i="14609"/>
  <c r="FW169" i="14609"/>
  <c r="FX169" i="14609"/>
  <c r="FY169" i="14609"/>
  <c r="FZ169" i="14609"/>
  <c r="GA169" i="14609"/>
  <c r="GB169" i="14609"/>
  <c r="GC169" i="14609"/>
  <c r="GD169" i="14609"/>
  <c r="GE169" i="14609"/>
  <c r="GF169" i="14609"/>
  <c r="GG169" i="14609"/>
  <c r="GH169" i="14609"/>
  <c r="GI169" i="14609"/>
  <c r="GJ169" i="14609"/>
  <c r="GK169" i="14609"/>
  <c r="GL169" i="14609"/>
  <c r="GM169" i="14609"/>
  <c r="GN169" i="14609"/>
  <c r="GO169" i="14609"/>
  <c r="GP169" i="14609"/>
  <c r="GQ169" i="14609"/>
  <c r="GR169" i="14609"/>
  <c r="GS169" i="14609"/>
  <c r="GT169" i="14609"/>
  <c r="GU169" i="14609"/>
  <c r="GV169" i="14609"/>
  <c r="GW169" i="14609"/>
  <c r="GX169" i="14609"/>
  <c r="GY169" i="14609"/>
  <c r="GZ169" i="14609"/>
  <c r="HA169" i="14609"/>
  <c r="HB169" i="14609"/>
  <c r="HC169" i="14609"/>
  <c r="HD169" i="14609"/>
  <c r="HE169" i="14609"/>
  <c r="HF169" i="14609"/>
  <c r="HG169" i="14609"/>
  <c r="HH169" i="14609"/>
  <c r="HI169" i="14609"/>
  <c r="HJ169" i="14609"/>
  <c r="HK169" i="14609"/>
  <c r="HL169" i="14609"/>
  <c r="HM169" i="14609"/>
  <c r="HN169" i="14609"/>
  <c r="HO169" i="14609"/>
  <c r="HP169" i="14609"/>
  <c r="HQ169" i="14609"/>
  <c r="HR169" i="14609"/>
  <c r="HS169" i="14609"/>
  <c r="HT169" i="14609"/>
  <c r="HU169" i="14609"/>
  <c r="HV169" i="14609"/>
  <c r="HW169" i="14609"/>
  <c r="HX169" i="14609"/>
  <c r="HY169" i="14609"/>
  <c r="HZ169" i="14609"/>
  <c r="IA169" i="14609"/>
  <c r="IB169" i="14609"/>
  <c r="IC169" i="14609"/>
  <c r="ID169" i="14609"/>
  <c r="IE169" i="14609"/>
  <c r="IF169" i="14609"/>
  <c r="IG169" i="14609"/>
  <c r="IH169" i="14609"/>
  <c r="II169" i="14609"/>
  <c r="IJ169" i="14609"/>
  <c r="IK169" i="14609"/>
  <c r="IL169" i="14609"/>
  <c r="IM169" i="14609"/>
  <c r="IN169" i="14609"/>
  <c r="IO169" i="14609"/>
  <c r="IP169" i="14609"/>
  <c r="IQ169" i="14609"/>
  <c r="IR169" i="14609"/>
  <c r="IS169" i="14609"/>
  <c r="IT169" i="14609"/>
  <c r="IU169" i="14609"/>
  <c r="IV169" i="14609"/>
  <c r="A168" i="14609"/>
  <c r="B168" i="14609"/>
  <c r="C168" i="14609"/>
  <c r="D168" i="14609"/>
  <c r="E168" i="14609"/>
  <c r="F168" i="14609"/>
  <c r="G168" i="14609"/>
  <c r="H168" i="14609"/>
  <c r="I168" i="14609"/>
  <c r="J168" i="14609"/>
  <c r="K168" i="14609"/>
  <c r="L168" i="14609"/>
  <c r="M168" i="14609"/>
  <c r="N168" i="14609"/>
  <c r="O168" i="14609"/>
  <c r="P168" i="14609"/>
  <c r="Q168" i="14609"/>
  <c r="R168" i="14609"/>
  <c r="S168" i="14609"/>
  <c r="T168" i="14609"/>
  <c r="U168" i="14609"/>
  <c r="V168" i="14609"/>
  <c r="W168" i="14609"/>
  <c r="X168" i="14609"/>
  <c r="Y168" i="14609"/>
  <c r="Z168" i="14609"/>
  <c r="AA168" i="14609"/>
  <c r="AB168" i="14609"/>
  <c r="AC168" i="14609"/>
  <c r="AD168" i="14609"/>
  <c r="AE168" i="14609"/>
  <c r="AF168" i="14609"/>
  <c r="AG168" i="14609"/>
  <c r="AH168" i="14609"/>
  <c r="AI168" i="14609"/>
  <c r="AJ168" i="14609"/>
  <c r="AK168" i="14609"/>
  <c r="AL168" i="14609"/>
  <c r="AM168" i="14609"/>
  <c r="AN168" i="14609"/>
  <c r="AO168" i="14609"/>
  <c r="AP168" i="14609"/>
  <c r="AQ168" i="14609"/>
  <c r="AR168" i="14609"/>
  <c r="AS168" i="14609"/>
  <c r="AT168" i="14609"/>
  <c r="AU168" i="14609"/>
  <c r="AV168" i="14609"/>
  <c r="AW168" i="14609"/>
  <c r="AX168" i="14609"/>
  <c r="AY168" i="14609"/>
  <c r="AZ168" i="14609"/>
  <c r="BA168" i="14609"/>
  <c r="BB168" i="14609"/>
  <c r="BC168" i="14609"/>
  <c r="BD168" i="14609"/>
  <c r="BE168" i="14609"/>
  <c r="BF168" i="14609"/>
  <c r="BG168" i="14609"/>
  <c r="BH168" i="14609"/>
  <c r="BI168" i="14609"/>
  <c r="BJ168" i="14609"/>
  <c r="BK168" i="14609"/>
  <c r="BL168" i="14609"/>
  <c r="BM168" i="14609"/>
  <c r="BN168" i="14609"/>
  <c r="BO168" i="14609"/>
  <c r="BP168" i="14609"/>
  <c r="BQ168" i="14609"/>
  <c r="BR168" i="14609"/>
  <c r="BS168" i="14609"/>
  <c r="BT168" i="14609"/>
  <c r="BU168" i="14609"/>
  <c r="BV168" i="14609"/>
  <c r="BW168" i="14609"/>
  <c r="BX168" i="14609"/>
  <c r="BY168" i="14609"/>
  <c r="BZ168" i="14609"/>
  <c r="CA168" i="14609"/>
  <c r="CB168" i="14609"/>
  <c r="CC168" i="14609"/>
  <c r="CD168" i="14609"/>
  <c r="CE168" i="14609"/>
  <c r="CF168" i="14609"/>
  <c r="CG168" i="14609"/>
  <c r="CH168" i="14609"/>
  <c r="CI168" i="14609"/>
  <c r="CJ168" i="14609"/>
  <c r="CK168" i="14609"/>
  <c r="CL168" i="14609"/>
  <c r="CM168" i="14609"/>
  <c r="CN168" i="14609"/>
  <c r="CO168" i="14609"/>
  <c r="CP168" i="14609"/>
  <c r="CQ168" i="14609"/>
  <c r="CR168" i="14609"/>
  <c r="CS168" i="14609"/>
  <c r="CT168" i="14609"/>
  <c r="CU168" i="14609"/>
  <c r="CV168" i="14609"/>
  <c r="CW168" i="14609"/>
  <c r="CX168" i="14609"/>
  <c r="CY168" i="14609"/>
  <c r="CZ168" i="14609"/>
  <c r="DA168" i="14609"/>
  <c r="DB168" i="14609"/>
  <c r="DC168" i="14609"/>
  <c r="DD168" i="14609"/>
  <c r="DE168" i="14609"/>
  <c r="DF168" i="14609"/>
  <c r="DG168" i="14609"/>
  <c r="DH168" i="14609"/>
  <c r="DI168" i="14609"/>
  <c r="DJ168" i="14609"/>
  <c r="DK168" i="14609"/>
  <c r="DL168" i="14609"/>
  <c r="DM168" i="14609"/>
  <c r="DN168" i="14609"/>
  <c r="DO168" i="14609"/>
  <c r="DP168" i="14609"/>
  <c r="DQ168" i="14609"/>
  <c r="DR168" i="14609"/>
  <c r="DS168" i="14609"/>
  <c r="DT168" i="14609"/>
  <c r="DU168" i="14609"/>
  <c r="DV168" i="14609"/>
  <c r="DW168" i="14609"/>
  <c r="DX168" i="14609"/>
  <c r="DY168" i="14609"/>
  <c r="DZ168" i="14609"/>
  <c r="EA168" i="14609"/>
  <c r="EB168" i="14609"/>
  <c r="EC168" i="14609"/>
  <c r="ED168" i="14609"/>
  <c r="EE168" i="14609"/>
  <c r="EF168" i="14609"/>
  <c r="EG168" i="14609"/>
  <c r="EH168" i="14609"/>
  <c r="EI168" i="14609"/>
  <c r="EJ168" i="14609"/>
  <c r="EK168" i="14609"/>
  <c r="EL168" i="14609"/>
  <c r="EM168" i="14609"/>
  <c r="EN168" i="14609"/>
  <c r="EO168" i="14609"/>
  <c r="EP168" i="14609"/>
  <c r="EQ168" i="14609"/>
  <c r="ER168" i="14609"/>
  <c r="ES168" i="14609"/>
  <c r="ET168" i="14609"/>
  <c r="EU168" i="14609"/>
  <c r="EV168" i="14609"/>
  <c r="EW168" i="14609"/>
  <c r="EX168" i="14609"/>
  <c r="EY168" i="14609"/>
  <c r="EZ168" i="14609"/>
  <c r="FA168" i="14609"/>
  <c r="FB168" i="14609"/>
  <c r="FC168" i="14609"/>
  <c r="FD168" i="14609"/>
  <c r="FE168" i="14609"/>
  <c r="FF168" i="14609"/>
  <c r="FG168" i="14609"/>
  <c r="FH168" i="14609"/>
  <c r="FI168" i="14609"/>
  <c r="FJ168" i="14609"/>
  <c r="FK168" i="14609"/>
  <c r="FL168" i="14609"/>
  <c r="FM168" i="14609"/>
  <c r="FN168" i="14609"/>
  <c r="FO168" i="14609"/>
  <c r="FP168" i="14609"/>
  <c r="FQ168" i="14609"/>
  <c r="FR168" i="14609"/>
  <c r="FS168" i="14609"/>
  <c r="FT168" i="14609"/>
  <c r="FU168" i="14609"/>
  <c r="FV168" i="14609"/>
  <c r="FW168" i="14609"/>
  <c r="FX168" i="14609"/>
  <c r="FY168" i="14609"/>
  <c r="FZ168" i="14609"/>
  <c r="GA168" i="14609"/>
  <c r="GB168" i="14609"/>
  <c r="GC168" i="14609"/>
  <c r="GD168" i="14609"/>
  <c r="GE168" i="14609"/>
  <c r="GF168" i="14609"/>
  <c r="GG168" i="14609"/>
  <c r="GH168" i="14609"/>
  <c r="GI168" i="14609"/>
  <c r="GJ168" i="14609"/>
  <c r="GK168" i="14609"/>
  <c r="GL168" i="14609"/>
  <c r="GM168" i="14609"/>
  <c r="GN168" i="14609"/>
  <c r="GO168" i="14609"/>
  <c r="GP168" i="14609"/>
  <c r="GQ168" i="14609"/>
  <c r="GR168" i="14609"/>
  <c r="GS168" i="14609"/>
  <c r="GT168" i="14609"/>
  <c r="GU168" i="14609"/>
  <c r="GV168" i="14609"/>
  <c r="GW168" i="14609"/>
  <c r="GX168" i="14609"/>
  <c r="GY168" i="14609"/>
  <c r="GZ168" i="14609"/>
  <c r="HA168" i="14609"/>
  <c r="HB168" i="14609"/>
  <c r="HC168" i="14609"/>
  <c r="HD168" i="14609"/>
  <c r="HE168" i="14609"/>
  <c r="HF168" i="14609"/>
  <c r="HG168" i="14609"/>
  <c r="HH168" i="14609"/>
  <c r="HI168" i="14609"/>
  <c r="HJ168" i="14609"/>
  <c r="HK168" i="14609"/>
  <c r="HL168" i="14609"/>
  <c r="HM168" i="14609"/>
  <c r="HN168" i="14609"/>
  <c r="HO168" i="14609"/>
  <c r="HP168" i="14609"/>
  <c r="HQ168" i="14609"/>
  <c r="HR168" i="14609"/>
  <c r="HS168" i="14609"/>
  <c r="HT168" i="14609"/>
  <c r="HU168" i="14609"/>
  <c r="HV168" i="14609"/>
  <c r="HW168" i="14609"/>
  <c r="HX168" i="14609"/>
  <c r="HY168" i="14609"/>
  <c r="HZ168" i="14609"/>
  <c r="IA168" i="14609"/>
  <c r="IB168" i="14609"/>
  <c r="IC168" i="14609"/>
  <c r="ID168" i="14609"/>
  <c r="IE168" i="14609"/>
  <c r="IF168" i="14609"/>
  <c r="IG168" i="14609"/>
  <c r="IH168" i="14609"/>
  <c r="II168" i="14609"/>
  <c r="IJ168" i="14609"/>
  <c r="IK168" i="14609"/>
  <c r="IL168" i="14609"/>
  <c r="IM168" i="14609"/>
  <c r="IN168" i="14609"/>
  <c r="IO168" i="14609"/>
  <c r="IP168" i="14609"/>
  <c r="IQ168" i="14609"/>
  <c r="IR168" i="14609"/>
  <c r="IS168" i="14609"/>
  <c r="IT168" i="14609"/>
  <c r="IU168" i="14609"/>
  <c r="IV168" i="14609"/>
  <c r="A167" i="14609"/>
  <c r="B167" i="14609"/>
  <c r="C167" i="14609"/>
  <c r="D167" i="14609"/>
  <c r="E167" i="14609"/>
  <c r="F167" i="14609"/>
  <c r="G167" i="14609"/>
  <c r="H167" i="14609"/>
  <c r="I167" i="14609"/>
  <c r="J167" i="14609"/>
  <c r="K167" i="14609"/>
  <c r="L167" i="14609"/>
  <c r="M167" i="14609"/>
  <c r="N167" i="14609"/>
  <c r="O167" i="14609"/>
  <c r="P167" i="14609"/>
  <c r="Q167" i="14609"/>
  <c r="R167" i="14609"/>
  <c r="S167" i="14609"/>
  <c r="T167" i="14609"/>
  <c r="U167" i="14609"/>
  <c r="V167" i="14609"/>
  <c r="W167" i="14609"/>
  <c r="X167" i="14609"/>
  <c r="Y167" i="14609"/>
  <c r="Z167" i="14609"/>
  <c r="AA167" i="14609"/>
  <c r="AB167" i="14609"/>
  <c r="AC167" i="14609"/>
  <c r="AD167" i="14609"/>
  <c r="AE167" i="14609"/>
  <c r="AF167" i="14609"/>
  <c r="AG167" i="14609"/>
  <c r="AH167" i="14609"/>
  <c r="AI167" i="14609"/>
  <c r="AJ167" i="14609"/>
  <c r="AK167" i="14609"/>
  <c r="AL167" i="14609"/>
  <c r="AM167" i="14609"/>
  <c r="AN167" i="14609"/>
  <c r="AO167" i="14609"/>
  <c r="AP167" i="14609"/>
  <c r="AQ167" i="14609"/>
  <c r="AR167" i="14609"/>
  <c r="AS167" i="14609"/>
  <c r="AT167" i="14609"/>
  <c r="AU167" i="14609"/>
  <c r="AV167" i="14609"/>
  <c r="AW167" i="14609"/>
  <c r="AX167" i="14609"/>
  <c r="AY167" i="14609"/>
  <c r="AZ167" i="14609"/>
  <c r="BA167" i="14609"/>
  <c r="BB167" i="14609"/>
  <c r="BC167" i="14609"/>
  <c r="BD167" i="14609"/>
  <c r="BE167" i="14609"/>
  <c r="BF167" i="14609"/>
  <c r="BG167" i="14609"/>
  <c r="BH167" i="14609"/>
  <c r="BI167" i="14609"/>
  <c r="BJ167" i="14609"/>
  <c r="BK167" i="14609"/>
  <c r="BL167" i="14609"/>
  <c r="BM167" i="14609"/>
  <c r="BN167" i="14609"/>
  <c r="BO167" i="14609"/>
  <c r="BP167" i="14609"/>
  <c r="BQ167" i="14609"/>
  <c r="BR167" i="14609"/>
  <c r="BS167" i="14609"/>
  <c r="BT167" i="14609"/>
  <c r="BU167" i="14609"/>
  <c r="BV167" i="14609"/>
  <c r="BW167" i="14609"/>
  <c r="BX167" i="14609"/>
  <c r="BY167" i="14609"/>
  <c r="BZ167" i="14609"/>
  <c r="CA167" i="14609"/>
  <c r="CB167" i="14609"/>
  <c r="CC167" i="14609"/>
  <c r="CD167" i="14609"/>
  <c r="CE167" i="14609"/>
  <c r="CF167" i="14609"/>
  <c r="CG167" i="14609"/>
  <c r="CH167" i="14609"/>
  <c r="CI167" i="14609"/>
  <c r="CJ167" i="14609"/>
  <c r="CK167" i="14609"/>
  <c r="CL167" i="14609"/>
  <c r="CM167" i="14609"/>
  <c r="CN167" i="14609"/>
  <c r="CO167" i="14609"/>
  <c r="CP167" i="14609"/>
  <c r="CQ167" i="14609"/>
  <c r="CR167" i="14609"/>
  <c r="CS167" i="14609"/>
  <c r="CT167" i="14609"/>
  <c r="CU167" i="14609"/>
  <c r="CV167" i="14609"/>
  <c r="CW167" i="14609"/>
  <c r="CX167" i="14609"/>
  <c r="CY167" i="14609"/>
  <c r="CZ167" i="14609"/>
  <c r="DA167" i="14609"/>
  <c r="DB167" i="14609"/>
  <c r="DC167" i="14609"/>
  <c r="DD167" i="14609"/>
  <c r="DE167" i="14609"/>
  <c r="DF167" i="14609"/>
  <c r="DG167" i="14609"/>
  <c r="DH167" i="14609"/>
  <c r="DI167" i="14609"/>
  <c r="DJ167" i="14609"/>
  <c r="DK167" i="14609"/>
  <c r="DL167" i="14609"/>
  <c r="DM167" i="14609"/>
  <c r="DN167" i="14609"/>
  <c r="DO167" i="14609"/>
  <c r="DP167" i="14609"/>
  <c r="DQ167" i="14609"/>
  <c r="DR167" i="14609"/>
  <c r="DS167" i="14609"/>
  <c r="DT167" i="14609"/>
  <c r="DU167" i="14609"/>
  <c r="DV167" i="14609"/>
  <c r="DW167" i="14609"/>
  <c r="DX167" i="14609"/>
  <c r="DY167" i="14609"/>
  <c r="DZ167" i="14609"/>
  <c r="EA167" i="14609"/>
  <c r="EB167" i="14609"/>
  <c r="EC167" i="14609"/>
  <c r="ED167" i="14609"/>
  <c r="EE167" i="14609"/>
  <c r="EF167" i="14609"/>
  <c r="EG167" i="14609"/>
  <c r="EH167" i="14609"/>
  <c r="EI167" i="14609"/>
  <c r="EJ167" i="14609"/>
  <c r="EK167" i="14609"/>
  <c r="EL167" i="14609"/>
  <c r="EM167" i="14609"/>
  <c r="EN167" i="14609"/>
  <c r="EO167" i="14609"/>
  <c r="EP167" i="14609"/>
  <c r="EQ167" i="14609"/>
  <c r="ER167" i="14609"/>
  <c r="ES167" i="14609"/>
  <c r="ET167" i="14609"/>
  <c r="EU167" i="14609"/>
  <c r="EV167" i="14609"/>
  <c r="EW167" i="14609"/>
  <c r="EX167" i="14609"/>
  <c r="EY167" i="14609"/>
  <c r="EZ167" i="14609"/>
  <c r="FA167" i="14609"/>
  <c r="FB167" i="14609"/>
  <c r="FC167" i="14609"/>
  <c r="FD167" i="14609"/>
  <c r="FE167" i="14609"/>
  <c r="FF167" i="14609"/>
  <c r="FG167" i="14609"/>
  <c r="FH167" i="14609"/>
  <c r="FI167" i="14609"/>
  <c r="FJ167" i="14609"/>
  <c r="FK167" i="14609"/>
  <c r="FL167" i="14609"/>
  <c r="FM167" i="14609"/>
  <c r="FN167" i="14609"/>
  <c r="FO167" i="14609"/>
  <c r="FP167" i="14609"/>
  <c r="FQ167" i="14609"/>
  <c r="FR167" i="14609"/>
  <c r="FS167" i="14609"/>
  <c r="FT167" i="14609"/>
  <c r="FU167" i="14609"/>
  <c r="FV167" i="14609"/>
  <c r="FW167" i="14609"/>
  <c r="FX167" i="14609"/>
  <c r="FY167" i="14609"/>
  <c r="FZ167" i="14609"/>
  <c r="GA167" i="14609"/>
  <c r="GB167" i="14609"/>
  <c r="GC167" i="14609"/>
  <c r="GD167" i="14609"/>
  <c r="GE167" i="14609"/>
  <c r="GF167" i="14609"/>
  <c r="GG167" i="14609"/>
  <c r="GH167" i="14609"/>
  <c r="GI167" i="14609"/>
  <c r="GJ167" i="14609"/>
  <c r="GK167" i="14609"/>
  <c r="GL167" i="14609"/>
  <c r="GM167" i="14609"/>
  <c r="GN167" i="14609"/>
  <c r="GO167" i="14609"/>
  <c r="GP167" i="14609"/>
  <c r="GQ167" i="14609"/>
  <c r="GR167" i="14609"/>
  <c r="GS167" i="14609"/>
  <c r="GT167" i="14609"/>
  <c r="GU167" i="14609"/>
  <c r="GV167" i="14609"/>
  <c r="GW167" i="14609"/>
  <c r="GX167" i="14609"/>
  <c r="GY167" i="14609"/>
  <c r="GZ167" i="14609"/>
  <c r="HA167" i="14609"/>
  <c r="HB167" i="14609"/>
  <c r="HC167" i="14609"/>
  <c r="HD167" i="14609"/>
  <c r="HE167" i="14609"/>
  <c r="HF167" i="14609"/>
  <c r="HG167" i="14609"/>
  <c r="HH167" i="14609"/>
  <c r="HI167" i="14609"/>
  <c r="HJ167" i="14609"/>
  <c r="HK167" i="14609"/>
  <c r="HL167" i="14609"/>
  <c r="HM167" i="14609"/>
  <c r="HN167" i="14609"/>
  <c r="HO167" i="14609"/>
  <c r="HP167" i="14609"/>
  <c r="HQ167" i="14609"/>
  <c r="HR167" i="14609"/>
  <c r="HS167" i="14609"/>
  <c r="HT167" i="14609"/>
  <c r="HU167" i="14609"/>
  <c r="HV167" i="14609"/>
  <c r="HW167" i="14609"/>
  <c r="HX167" i="14609"/>
  <c r="HY167" i="14609"/>
  <c r="HZ167" i="14609"/>
  <c r="IA167" i="14609"/>
  <c r="IB167" i="14609"/>
  <c r="IC167" i="14609"/>
  <c r="ID167" i="14609"/>
  <c r="IE167" i="14609"/>
  <c r="IF167" i="14609"/>
  <c r="IG167" i="14609"/>
  <c r="IH167" i="14609"/>
  <c r="II167" i="14609"/>
  <c r="IJ167" i="14609"/>
  <c r="IK167" i="14609"/>
  <c r="IL167" i="14609"/>
  <c r="IM167" i="14609"/>
  <c r="IN167" i="14609"/>
  <c r="IO167" i="14609"/>
  <c r="IP167" i="14609"/>
  <c r="IQ167" i="14609"/>
  <c r="IR167" i="14609"/>
  <c r="IS167" i="14609"/>
  <c r="IT167" i="14609"/>
  <c r="IU167" i="14609"/>
  <c r="IV167" i="14609"/>
  <c r="A166" i="14609"/>
  <c r="B166" i="14609"/>
  <c r="C166" i="14609"/>
  <c r="D166" i="14609"/>
  <c r="E166" i="14609"/>
  <c r="F166" i="14609"/>
  <c r="G166" i="14609"/>
  <c r="H166" i="14609"/>
  <c r="I166" i="14609"/>
  <c r="J166" i="14609"/>
  <c r="K166" i="14609"/>
  <c r="L166" i="14609"/>
  <c r="M166" i="14609"/>
  <c r="N166" i="14609"/>
  <c r="O166" i="14609"/>
  <c r="P166" i="14609"/>
  <c r="Q166" i="14609"/>
  <c r="R166" i="14609"/>
  <c r="S166" i="14609"/>
  <c r="T166" i="14609"/>
  <c r="U166" i="14609"/>
  <c r="V166" i="14609"/>
  <c r="W166" i="14609"/>
  <c r="X166" i="14609"/>
  <c r="Y166" i="14609"/>
  <c r="Z166" i="14609"/>
  <c r="AA166" i="14609"/>
  <c r="AB166" i="14609"/>
  <c r="AC166" i="14609"/>
  <c r="AD166" i="14609"/>
  <c r="AE166" i="14609"/>
  <c r="AF166" i="14609"/>
  <c r="AG166" i="14609"/>
  <c r="AH166" i="14609"/>
  <c r="AI166" i="14609"/>
  <c r="AJ166" i="14609"/>
  <c r="AK166" i="14609"/>
  <c r="AL166" i="14609"/>
  <c r="AM166" i="14609"/>
  <c r="AN166" i="14609"/>
  <c r="AO166" i="14609"/>
  <c r="AP166" i="14609"/>
  <c r="AQ166" i="14609"/>
  <c r="AR166" i="14609"/>
  <c r="AS166" i="14609"/>
  <c r="AT166" i="14609"/>
  <c r="AU166" i="14609"/>
  <c r="AV166" i="14609"/>
  <c r="AW166" i="14609"/>
  <c r="AX166" i="14609"/>
  <c r="AY166" i="14609"/>
  <c r="AZ166" i="14609"/>
  <c r="BA166" i="14609"/>
  <c r="BB166" i="14609"/>
  <c r="BC166" i="14609"/>
  <c r="BD166" i="14609"/>
  <c r="BE166" i="14609"/>
  <c r="BF166" i="14609"/>
  <c r="BG166" i="14609"/>
  <c r="BH166" i="14609"/>
  <c r="BI166" i="14609"/>
  <c r="BJ166" i="14609"/>
  <c r="BK166" i="14609"/>
  <c r="BL166" i="14609"/>
  <c r="BM166" i="14609"/>
  <c r="BN166" i="14609"/>
  <c r="BO166" i="14609"/>
  <c r="BP166" i="14609"/>
  <c r="BQ166" i="14609"/>
  <c r="BR166" i="14609"/>
  <c r="BS166" i="14609"/>
  <c r="BT166" i="14609"/>
  <c r="BU166" i="14609"/>
  <c r="BV166" i="14609"/>
  <c r="BW166" i="14609"/>
  <c r="BX166" i="14609"/>
  <c r="BY166" i="14609"/>
  <c r="BZ166" i="14609"/>
  <c r="CA166" i="14609"/>
  <c r="CB166" i="14609"/>
  <c r="CC166" i="14609"/>
  <c r="CD166" i="14609"/>
  <c r="CE166" i="14609"/>
  <c r="CF166" i="14609"/>
  <c r="CG166" i="14609"/>
  <c r="CH166" i="14609"/>
  <c r="CI166" i="14609"/>
  <c r="CJ166" i="14609"/>
  <c r="CK166" i="14609"/>
  <c r="CL166" i="14609"/>
  <c r="CM166" i="14609"/>
  <c r="CN166" i="14609"/>
  <c r="CO166" i="14609"/>
  <c r="CP166" i="14609"/>
  <c r="CQ166" i="14609"/>
  <c r="CR166" i="14609"/>
  <c r="CS166" i="14609"/>
  <c r="CT166" i="14609"/>
  <c r="CU166" i="14609"/>
  <c r="CV166" i="14609"/>
  <c r="CW166" i="14609"/>
  <c r="CX166" i="14609"/>
  <c r="CY166" i="14609"/>
  <c r="CZ166" i="14609"/>
  <c r="DA166" i="14609"/>
  <c r="DB166" i="14609"/>
  <c r="DC166" i="14609"/>
  <c r="DD166" i="14609"/>
  <c r="DE166" i="14609"/>
  <c r="DF166" i="14609"/>
  <c r="DG166" i="14609"/>
  <c r="DH166" i="14609"/>
  <c r="DI166" i="14609"/>
  <c r="DJ166" i="14609"/>
  <c r="DK166" i="14609"/>
  <c r="DL166" i="14609"/>
  <c r="DM166" i="14609"/>
  <c r="DN166" i="14609"/>
  <c r="DO166" i="14609"/>
  <c r="DP166" i="14609"/>
  <c r="DQ166" i="14609"/>
  <c r="DR166" i="14609"/>
  <c r="DS166" i="14609"/>
  <c r="DT166" i="14609"/>
  <c r="DU166" i="14609"/>
  <c r="DV166" i="14609"/>
  <c r="DW166" i="14609"/>
  <c r="DX166" i="14609"/>
  <c r="DY166" i="14609"/>
  <c r="DZ166" i="14609"/>
  <c r="EA166" i="14609"/>
  <c r="EB166" i="14609"/>
  <c r="EC166" i="14609"/>
  <c r="ED166" i="14609"/>
  <c r="EE166" i="14609"/>
  <c r="EF166" i="14609"/>
  <c r="EG166" i="14609"/>
  <c r="EH166" i="14609"/>
  <c r="EI166" i="14609"/>
  <c r="EJ166" i="14609"/>
  <c r="EK166" i="14609"/>
  <c r="EL166" i="14609"/>
  <c r="EM166" i="14609"/>
  <c r="EN166" i="14609"/>
  <c r="EO166" i="14609"/>
  <c r="EP166" i="14609"/>
  <c r="EQ166" i="14609"/>
  <c r="ER166" i="14609"/>
  <c r="ES166" i="14609"/>
  <c r="ET166" i="14609"/>
  <c r="EU166" i="14609"/>
  <c r="EV166" i="14609"/>
  <c r="EW166" i="14609"/>
  <c r="EX166" i="14609"/>
  <c r="EY166" i="14609"/>
  <c r="EZ166" i="14609"/>
  <c r="FA166" i="14609"/>
  <c r="FB166" i="14609"/>
  <c r="FC166" i="14609"/>
  <c r="FD166" i="14609"/>
  <c r="FE166" i="14609"/>
  <c r="FF166" i="14609"/>
  <c r="FG166" i="14609"/>
  <c r="FH166" i="14609"/>
  <c r="FI166" i="14609"/>
  <c r="FJ166" i="14609"/>
  <c r="FK166" i="14609"/>
  <c r="FL166" i="14609"/>
  <c r="FM166" i="14609"/>
  <c r="FN166" i="14609"/>
  <c r="FO166" i="14609"/>
  <c r="FP166" i="14609"/>
  <c r="FQ166" i="14609"/>
  <c r="FR166" i="14609"/>
  <c r="FS166" i="14609"/>
  <c r="FT166" i="14609"/>
  <c r="FU166" i="14609"/>
  <c r="FV166" i="14609"/>
  <c r="FW166" i="14609"/>
  <c r="FX166" i="14609"/>
  <c r="FY166" i="14609"/>
  <c r="FZ166" i="14609"/>
  <c r="GA166" i="14609"/>
  <c r="GB166" i="14609"/>
  <c r="GC166" i="14609"/>
  <c r="GD166" i="14609"/>
  <c r="GE166" i="14609"/>
  <c r="GF166" i="14609"/>
  <c r="GG166" i="14609"/>
  <c r="GH166" i="14609"/>
  <c r="GI166" i="14609"/>
  <c r="GJ166" i="14609"/>
  <c r="GK166" i="14609"/>
  <c r="GL166" i="14609"/>
  <c r="GM166" i="14609"/>
  <c r="GN166" i="14609"/>
  <c r="GO166" i="14609"/>
  <c r="GP166" i="14609"/>
  <c r="GQ166" i="14609"/>
  <c r="GR166" i="14609"/>
  <c r="GS166" i="14609"/>
  <c r="GT166" i="14609"/>
  <c r="GU166" i="14609"/>
  <c r="GV166" i="14609"/>
  <c r="GW166" i="14609"/>
  <c r="GX166" i="14609"/>
  <c r="GY166" i="14609"/>
  <c r="GZ166" i="14609"/>
  <c r="HA166" i="14609"/>
  <c r="HB166" i="14609"/>
  <c r="HC166" i="14609"/>
  <c r="HD166" i="14609"/>
  <c r="HE166" i="14609"/>
  <c r="HF166" i="14609"/>
  <c r="HG166" i="14609"/>
  <c r="HH166" i="14609"/>
  <c r="HI166" i="14609"/>
  <c r="HJ166" i="14609"/>
  <c r="HK166" i="14609"/>
  <c r="HL166" i="14609"/>
  <c r="HM166" i="14609"/>
  <c r="HN166" i="14609"/>
  <c r="HO166" i="14609"/>
  <c r="HP166" i="14609"/>
  <c r="HQ166" i="14609"/>
  <c r="HR166" i="14609"/>
  <c r="HS166" i="14609"/>
  <c r="HT166" i="14609"/>
  <c r="HU166" i="14609"/>
  <c r="HV166" i="14609"/>
  <c r="HW166" i="14609"/>
  <c r="HX166" i="14609"/>
  <c r="HY166" i="14609"/>
  <c r="HZ166" i="14609"/>
  <c r="IA166" i="14609"/>
  <c r="IB166" i="14609"/>
  <c r="IC166" i="14609"/>
  <c r="ID166" i="14609"/>
  <c r="IE166" i="14609"/>
  <c r="IF166" i="14609"/>
  <c r="IG166" i="14609"/>
  <c r="IH166" i="14609"/>
  <c r="II166" i="14609"/>
  <c r="IJ166" i="14609"/>
  <c r="IK166" i="14609"/>
  <c r="IL166" i="14609"/>
  <c r="IM166" i="14609"/>
  <c r="IN166" i="14609"/>
  <c r="IO166" i="14609"/>
  <c r="IP166" i="14609"/>
  <c r="IQ166" i="14609"/>
  <c r="IR166" i="14609"/>
  <c r="IS166" i="14609"/>
  <c r="IT166" i="14609"/>
  <c r="IU166" i="14609"/>
  <c r="IV166" i="14609"/>
  <c r="A165" i="14609"/>
  <c r="B165" i="14609"/>
  <c r="C165" i="14609"/>
  <c r="D165" i="14609"/>
  <c r="E165" i="14609"/>
  <c r="F165" i="14609"/>
  <c r="G165" i="14609"/>
  <c r="H165" i="14609"/>
  <c r="I165" i="14609"/>
  <c r="J165" i="14609"/>
  <c r="K165" i="14609"/>
  <c r="L165" i="14609"/>
  <c r="M165" i="14609"/>
  <c r="N165" i="14609"/>
  <c r="O165" i="14609"/>
  <c r="P165" i="14609"/>
  <c r="Q165" i="14609"/>
  <c r="R165" i="14609"/>
  <c r="S165" i="14609"/>
  <c r="T165" i="14609"/>
  <c r="U165" i="14609"/>
  <c r="V165" i="14609"/>
  <c r="W165" i="14609"/>
  <c r="X165" i="14609"/>
  <c r="Y165" i="14609"/>
  <c r="Z165" i="14609"/>
  <c r="AA165" i="14609"/>
  <c r="AB165" i="14609"/>
  <c r="AC165" i="14609"/>
  <c r="AD165" i="14609"/>
  <c r="AE165" i="14609"/>
  <c r="AF165" i="14609"/>
  <c r="AG165" i="14609"/>
  <c r="AH165" i="14609"/>
  <c r="AI165" i="14609"/>
  <c r="AJ165" i="14609"/>
  <c r="AK165" i="14609"/>
  <c r="AL165" i="14609"/>
  <c r="AM165" i="14609"/>
  <c r="AN165" i="14609"/>
  <c r="AO165" i="14609"/>
  <c r="AP165" i="14609"/>
  <c r="AQ165" i="14609"/>
  <c r="AR165" i="14609"/>
  <c r="AS165" i="14609"/>
  <c r="AT165" i="14609"/>
  <c r="AU165" i="14609"/>
  <c r="AV165" i="14609"/>
  <c r="AW165" i="14609"/>
  <c r="AX165" i="14609"/>
  <c r="AY165" i="14609"/>
  <c r="AZ165" i="14609"/>
  <c r="BA165" i="14609"/>
  <c r="BB165" i="14609"/>
  <c r="BC165" i="14609"/>
  <c r="BD165" i="14609"/>
  <c r="BE165" i="14609"/>
  <c r="BF165" i="14609"/>
  <c r="BG165" i="14609"/>
  <c r="BH165" i="14609"/>
  <c r="BI165" i="14609"/>
  <c r="BJ165" i="14609"/>
  <c r="BK165" i="14609"/>
  <c r="BL165" i="14609"/>
  <c r="BM165" i="14609"/>
  <c r="BN165" i="14609"/>
  <c r="BO165" i="14609"/>
  <c r="BP165" i="14609"/>
  <c r="BQ165" i="14609"/>
  <c r="BR165" i="14609"/>
  <c r="BS165" i="14609"/>
  <c r="BT165" i="14609"/>
  <c r="BU165" i="14609"/>
  <c r="BV165" i="14609"/>
  <c r="BW165" i="14609"/>
  <c r="BX165" i="14609"/>
  <c r="BY165" i="14609"/>
  <c r="BZ165" i="14609"/>
  <c r="CA165" i="14609"/>
  <c r="CB165" i="14609"/>
  <c r="CC165" i="14609"/>
  <c r="CD165" i="14609"/>
  <c r="CE165" i="14609"/>
  <c r="CF165" i="14609"/>
  <c r="CG165" i="14609"/>
  <c r="CH165" i="14609"/>
  <c r="CI165" i="14609"/>
  <c r="CJ165" i="14609"/>
  <c r="CK165" i="14609"/>
  <c r="CL165" i="14609"/>
  <c r="CM165" i="14609"/>
  <c r="CN165" i="14609"/>
  <c r="CO165" i="14609"/>
  <c r="CP165" i="14609"/>
  <c r="CQ165" i="14609"/>
  <c r="CR165" i="14609"/>
  <c r="CS165" i="14609"/>
  <c r="CT165" i="14609"/>
  <c r="CU165" i="14609"/>
  <c r="CV165" i="14609"/>
  <c r="CW165" i="14609"/>
  <c r="CX165" i="14609"/>
  <c r="CY165" i="14609"/>
  <c r="CZ165" i="14609"/>
  <c r="DA165" i="14609"/>
  <c r="DB165" i="14609"/>
  <c r="DC165" i="14609"/>
  <c r="DD165" i="14609"/>
  <c r="DE165" i="14609"/>
  <c r="DF165" i="14609"/>
  <c r="DG165" i="14609"/>
  <c r="DH165" i="14609"/>
  <c r="DI165" i="14609"/>
  <c r="DJ165" i="14609"/>
  <c r="DK165" i="14609"/>
  <c r="DL165" i="14609"/>
  <c r="DM165" i="14609"/>
  <c r="DN165" i="14609"/>
  <c r="DO165" i="14609"/>
  <c r="DP165" i="14609"/>
  <c r="DQ165" i="14609"/>
  <c r="DR165" i="14609"/>
  <c r="DS165" i="14609"/>
  <c r="DT165" i="14609"/>
  <c r="DU165" i="14609"/>
  <c r="DV165" i="14609"/>
  <c r="DW165" i="14609"/>
  <c r="DX165" i="14609"/>
  <c r="DY165" i="14609"/>
  <c r="DZ165" i="14609"/>
  <c r="EA165" i="14609"/>
  <c r="EB165" i="14609"/>
  <c r="EC165" i="14609"/>
  <c r="ED165" i="14609"/>
  <c r="EE165" i="14609"/>
  <c r="EF165" i="14609"/>
  <c r="EG165" i="14609"/>
  <c r="EH165" i="14609"/>
  <c r="EI165" i="14609"/>
  <c r="EJ165" i="14609"/>
  <c r="EK165" i="14609"/>
  <c r="EL165" i="14609"/>
  <c r="EM165" i="14609"/>
  <c r="EN165" i="14609"/>
  <c r="EO165" i="14609"/>
  <c r="EP165" i="14609"/>
  <c r="EQ165" i="14609"/>
  <c r="ER165" i="14609"/>
  <c r="ES165" i="14609"/>
  <c r="ET165" i="14609"/>
  <c r="EU165" i="14609"/>
  <c r="EV165" i="14609"/>
  <c r="EW165" i="14609"/>
  <c r="EX165" i="14609"/>
  <c r="EY165" i="14609"/>
  <c r="EZ165" i="14609"/>
  <c r="FA165" i="14609"/>
  <c r="FB165" i="14609"/>
  <c r="FC165" i="14609"/>
  <c r="FD165" i="14609"/>
  <c r="FE165" i="14609"/>
  <c r="FF165" i="14609"/>
  <c r="FG165" i="14609"/>
  <c r="FH165" i="14609"/>
  <c r="FI165" i="14609"/>
  <c r="FJ165" i="14609"/>
  <c r="FK165" i="14609"/>
  <c r="FL165" i="14609"/>
  <c r="FM165" i="14609"/>
  <c r="FN165" i="14609"/>
  <c r="FO165" i="14609"/>
  <c r="FP165" i="14609"/>
  <c r="FQ165" i="14609"/>
  <c r="FR165" i="14609"/>
  <c r="FS165" i="14609"/>
  <c r="FT165" i="14609"/>
  <c r="FU165" i="14609"/>
  <c r="FV165" i="14609"/>
  <c r="FW165" i="14609"/>
  <c r="FX165" i="14609"/>
  <c r="FY165" i="14609"/>
  <c r="FZ165" i="14609"/>
  <c r="GA165" i="14609"/>
  <c r="GB165" i="14609"/>
  <c r="GC165" i="14609"/>
  <c r="GD165" i="14609"/>
  <c r="GE165" i="14609"/>
  <c r="GF165" i="14609"/>
  <c r="GG165" i="14609"/>
  <c r="GH165" i="14609"/>
  <c r="GI165" i="14609"/>
  <c r="GJ165" i="14609"/>
  <c r="GK165" i="14609"/>
  <c r="GL165" i="14609"/>
  <c r="GM165" i="14609"/>
  <c r="GN165" i="14609"/>
  <c r="GO165" i="14609"/>
  <c r="GP165" i="14609"/>
  <c r="GQ165" i="14609"/>
  <c r="GR165" i="14609"/>
  <c r="GS165" i="14609"/>
  <c r="GT165" i="14609"/>
  <c r="GU165" i="14609"/>
  <c r="GV165" i="14609"/>
  <c r="GW165" i="14609"/>
  <c r="GX165" i="14609"/>
  <c r="GY165" i="14609"/>
  <c r="GZ165" i="14609"/>
  <c r="HA165" i="14609"/>
  <c r="HB165" i="14609"/>
  <c r="HC165" i="14609"/>
  <c r="HD165" i="14609"/>
  <c r="HE165" i="14609"/>
  <c r="HF165" i="14609"/>
  <c r="HG165" i="14609"/>
  <c r="HH165" i="14609"/>
  <c r="HI165" i="14609"/>
  <c r="HJ165" i="14609"/>
  <c r="HK165" i="14609"/>
  <c r="HL165" i="14609"/>
  <c r="HM165" i="14609"/>
  <c r="HN165" i="14609"/>
  <c r="HO165" i="14609"/>
  <c r="HP165" i="14609"/>
  <c r="HQ165" i="14609"/>
  <c r="HR165" i="14609"/>
  <c r="HS165" i="14609"/>
  <c r="HT165" i="14609"/>
  <c r="HU165" i="14609"/>
  <c r="HV165" i="14609"/>
  <c r="HW165" i="14609"/>
  <c r="HX165" i="14609"/>
  <c r="HY165" i="14609"/>
  <c r="HZ165" i="14609"/>
  <c r="IA165" i="14609"/>
  <c r="IB165" i="14609"/>
  <c r="IC165" i="14609"/>
  <c r="ID165" i="14609"/>
  <c r="IE165" i="14609"/>
  <c r="IF165" i="14609"/>
  <c r="IG165" i="14609"/>
  <c r="IH165" i="14609"/>
  <c r="II165" i="14609"/>
  <c r="IJ165" i="14609"/>
  <c r="IK165" i="14609"/>
  <c r="IL165" i="14609"/>
  <c r="IM165" i="14609"/>
  <c r="IN165" i="14609"/>
  <c r="IO165" i="14609"/>
  <c r="IP165" i="14609"/>
  <c r="IQ165" i="14609"/>
  <c r="IR165" i="14609"/>
  <c r="IS165" i="14609"/>
  <c r="IT165" i="14609"/>
  <c r="IU165" i="14609"/>
  <c r="IV165" i="14609"/>
  <c r="A164" i="14609"/>
  <c r="B164" i="14609"/>
  <c r="C164" i="14609"/>
  <c r="D164" i="14609"/>
  <c r="E164" i="14609"/>
  <c r="F164" i="14609"/>
  <c r="G164" i="14609"/>
  <c r="H164" i="14609"/>
  <c r="I164" i="14609"/>
  <c r="J164" i="14609"/>
  <c r="K164" i="14609"/>
  <c r="L164" i="14609"/>
  <c r="M164" i="14609"/>
  <c r="N164" i="14609"/>
  <c r="O164" i="14609"/>
  <c r="P164" i="14609"/>
  <c r="Q164" i="14609"/>
  <c r="R164" i="14609"/>
  <c r="S164" i="14609"/>
  <c r="T164" i="14609"/>
  <c r="U164" i="14609"/>
  <c r="V164" i="14609"/>
  <c r="W164" i="14609"/>
  <c r="X164" i="14609"/>
  <c r="Y164" i="14609"/>
  <c r="Z164" i="14609"/>
  <c r="AA164" i="14609"/>
  <c r="AB164" i="14609"/>
  <c r="AC164" i="14609"/>
  <c r="AD164" i="14609"/>
  <c r="AE164" i="14609"/>
  <c r="AF164" i="14609"/>
  <c r="AG164" i="14609"/>
  <c r="AH164" i="14609"/>
  <c r="AI164" i="14609"/>
  <c r="AJ164" i="14609"/>
  <c r="AK164" i="14609"/>
  <c r="AL164" i="14609"/>
  <c r="AM164" i="14609"/>
  <c r="AN164" i="14609"/>
  <c r="AO164" i="14609"/>
  <c r="AP164" i="14609"/>
  <c r="AQ164" i="14609"/>
  <c r="AR164" i="14609"/>
  <c r="AS164" i="14609"/>
  <c r="AT164" i="14609"/>
  <c r="AU164" i="14609"/>
  <c r="AV164" i="14609"/>
  <c r="AW164" i="14609"/>
  <c r="AX164" i="14609"/>
  <c r="AY164" i="14609"/>
  <c r="AZ164" i="14609"/>
  <c r="BA164" i="14609"/>
  <c r="BB164" i="14609"/>
  <c r="BC164" i="14609"/>
  <c r="BD164" i="14609"/>
  <c r="BE164" i="14609"/>
  <c r="BF164" i="14609"/>
  <c r="BG164" i="14609"/>
  <c r="BH164" i="14609"/>
  <c r="BI164" i="14609"/>
  <c r="BJ164" i="14609"/>
  <c r="BK164" i="14609"/>
  <c r="BL164" i="14609"/>
  <c r="BM164" i="14609"/>
  <c r="BN164" i="14609"/>
  <c r="BO164" i="14609"/>
  <c r="BP164" i="14609"/>
  <c r="BQ164" i="14609"/>
  <c r="BR164" i="14609"/>
  <c r="BS164" i="14609"/>
  <c r="BT164" i="14609"/>
  <c r="BU164" i="14609"/>
  <c r="BV164" i="14609"/>
  <c r="BW164" i="14609"/>
  <c r="BX164" i="14609"/>
  <c r="BY164" i="14609"/>
  <c r="BZ164" i="14609"/>
  <c r="CA164" i="14609"/>
  <c r="CB164" i="14609"/>
  <c r="CC164" i="14609"/>
  <c r="CD164" i="14609"/>
  <c r="CE164" i="14609"/>
  <c r="CF164" i="14609"/>
  <c r="CG164" i="14609"/>
  <c r="CH164" i="14609"/>
  <c r="CI164" i="14609"/>
  <c r="CJ164" i="14609"/>
  <c r="CK164" i="14609"/>
  <c r="CL164" i="14609"/>
  <c r="CM164" i="14609"/>
  <c r="CN164" i="14609"/>
  <c r="CO164" i="14609"/>
  <c r="CP164" i="14609"/>
  <c r="CQ164" i="14609"/>
  <c r="CR164" i="14609"/>
  <c r="CS164" i="14609"/>
  <c r="CT164" i="14609"/>
  <c r="CU164" i="14609"/>
  <c r="CV164" i="14609"/>
  <c r="CW164" i="14609"/>
  <c r="CX164" i="14609"/>
  <c r="CY164" i="14609"/>
  <c r="CZ164" i="14609"/>
  <c r="DA164" i="14609"/>
  <c r="DB164" i="14609"/>
  <c r="DC164" i="14609"/>
  <c r="DD164" i="14609"/>
  <c r="DE164" i="14609"/>
  <c r="DF164" i="14609"/>
  <c r="DG164" i="14609"/>
  <c r="DH164" i="14609"/>
  <c r="DI164" i="14609"/>
  <c r="DJ164" i="14609"/>
  <c r="DK164" i="14609"/>
  <c r="DL164" i="14609"/>
  <c r="DM164" i="14609"/>
  <c r="DN164" i="14609"/>
  <c r="DO164" i="14609"/>
  <c r="DP164" i="14609"/>
  <c r="DQ164" i="14609"/>
  <c r="DR164" i="14609"/>
  <c r="DS164" i="14609"/>
  <c r="DT164" i="14609"/>
  <c r="DU164" i="14609"/>
  <c r="DV164" i="14609"/>
  <c r="DW164" i="14609"/>
  <c r="DX164" i="14609"/>
  <c r="DY164" i="14609"/>
  <c r="DZ164" i="14609"/>
  <c r="EA164" i="14609"/>
  <c r="EB164" i="14609"/>
  <c r="EC164" i="14609"/>
  <c r="ED164" i="14609"/>
  <c r="EE164" i="14609"/>
  <c r="EF164" i="14609"/>
  <c r="EG164" i="14609"/>
  <c r="EH164" i="14609"/>
  <c r="EI164" i="14609"/>
  <c r="EJ164" i="14609"/>
  <c r="EK164" i="14609"/>
  <c r="EL164" i="14609"/>
  <c r="EM164" i="14609"/>
  <c r="EN164" i="14609"/>
  <c r="EO164" i="14609"/>
  <c r="EP164" i="14609"/>
  <c r="EQ164" i="14609"/>
  <c r="ER164" i="14609"/>
  <c r="ES164" i="14609"/>
  <c r="ET164" i="14609"/>
  <c r="EU164" i="14609"/>
  <c r="EV164" i="14609"/>
  <c r="EW164" i="14609"/>
  <c r="EX164" i="14609"/>
  <c r="EY164" i="14609"/>
  <c r="EZ164" i="14609"/>
  <c r="FA164" i="14609"/>
  <c r="FB164" i="14609"/>
  <c r="FC164" i="14609"/>
  <c r="FD164" i="14609"/>
  <c r="FE164" i="14609"/>
  <c r="FF164" i="14609"/>
  <c r="FG164" i="14609"/>
  <c r="FH164" i="14609"/>
  <c r="FI164" i="14609"/>
  <c r="FJ164" i="14609"/>
  <c r="FK164" i="14609"/>
  <c r="FL164" i="14609"/>
  <c r="FM164" i="14609"/>
  <c r="FN164" i="14609"/>
  <c r="FO164" i="14609"/>
  <c r="FP164" i="14609"/>
  <c r="FQ164" i="14609"/>
  <c r="FR164" i="14609"/>
  <c r="FS164" i="14609"/>
  <c r="FT164" i="14609"/>
  <c r="FU164" i="14609"/>
  <c r="FV164" i="14609"/>
  <c r="FW164" i="14609"/>
  <c r="FX164" i="14609"/>
  <c r="FY164" i="14609"/>
  <c r="FZ164" i="14609"/>
  <c r="GA164" i="14609"/>
  <c r="GB164" i="14609"/>
  <c r="GC164" i="14609"/>
  <c r="GD164" i="14609"/>
  <c r="GE164" i="14609"/>
  <c r="GF164" i="14609"/>
  <c r="GG164" i="14609"/>
  <c r="GH164" i="14609"/>
  <c r="GI164" i="14609"/>
  <c r="GJ164" i="14609"/>
  <c r="GK164" i="14609"/>
  <c r="GL164" i="14609"/>
  <c r="GM164" i="14609"/>
  <c r="GN164" i="14609"/>
  <c r="GO164" i="14609"/>
  <c r="GP164" i="14609"/>
  <c r="GQ164" i="14609"/>
  <c r="GR164" i="14609"/>
  <c r="GS164" i="14609"/>
  <c r="GT164" i="14609"/>
  <c r="GU164" i="14609"/>
  <c r="GV164" i="14609"/>
  <c r="GW164" i="14609"/>
  <c r="GX164" i="14609"/>
  <c r="GY164" i="14609"/>
  <c r="GZ164" i="14609"/>
  <c r="HA164" i="14609"/>
  <c r="HB164" i="14609"/>
  <c r="HC164" i="14609"/>
  <c r="HD164" i="14609"/>
  <c r="HE164" i="14609"/>
  <c r="HF164" i="14609"/>
  <c r="HG164" i="14609"/>
  <c r="HH164" i="14609"/>
  <c r="HI164" i="14609"/>
  <c r="HJ164" i="14609"/>
  <c r="HK164" i="14609"/>
  <c r="HL164" i="14609"/>
  <c r="HM164" i="14609"/>
  <c r="HN164" i="14609"/>
  <c r="HO164" i="14609"/>
  <c r="HP164" i="14609"/>
  <c r="HQ164" i="14609"/>
  <c r="HR164" i="14609"/>
  <c r="HS164" i="14609"/>
  <c r="HT164" i="14609"/>
  <c r="HU164" i="14609"/>
  <c r="HV164" i="14609"/>
  <c r="HW164" i="14609"/>
  <c r="HX164" i="14609"/>
  <c r="HY164" i="14609"/>
  <c r="HZ164" i="14609"/>
  <c r="IA164" i="14609"/>
  <c r="IB164" i="14609"/>
  <c r="IC164" i="14609"/>
  <c r="ID164" i="14609"/>
  <c r="IE164" i="14609"/>
  <c r="IF164" i="14609"/>
  <c r="IG164" i="14609"/>
  <c r="IH164" i="14609"/>
  <c r="II164" i="14609"/>
  <c r="IJ164" i="14609"/>
  <c r="IK164" i="14609"/>
  <c r="IL164" i="14609"/>
  <c r="IM164" i="14609"/>
  <c r="IN164" i="14609"/>
  <c r="IO164" i="14609"/>
  <c r="IP164" i="14609"/>
  <c r="IQ164" i="14609"/>
  <c r="IR164" i="14609"/>
  <c r="IS164" i="14609"/>
  <c r="IT164" i="14609"/>
  <c r="IU164" i="14609"/>
  <c r="IV164" i="14609"/>
  <c r="A163" i="14609"/>
  <c r="B163" i="14609"/>
  <c r="C163" i="14609"/>
  <c r="D163" i="14609"/>
  <c r="E163" i="14609"/>
  <c r="F163" i="14609"/>
  <c r="G163" i="14609"/>
  <c r="H163" i="14609"/>
  <c r="I163" i="14609"/>
  <c r="J163" i="14609"/>
  <c r="K163" i="14609"/>
  <c r="L163" i="14609"/>
  <c r="M163" i="14609"/>
  <c r="N163" i="14609"/>
  <c r="O163" i="14609"/>
  <c r="P163" i="14609"/>
  <c r="Q163" i="14609"/>
  <c r="R163" i="14609"/>
  <c r="S163" i="14609"/>
  <c r="T163" i="14609"/>
  <c r="U163" i="14609"/>
  <c r="V163" i="14609"/>
  <c r="W163" i="14609"/>
  <c r="X163" i="14609"/>
  <c r="Y163" i="14609"/>
  <c r="Z163" i="14609"/>
  <c r="AA163" i="14609"/>
  <c r="AB163" i="14609"/>
  <c r="AC163" i="14609"/>
  <c r="AD163" i="14609"/>
  <c r="AE163" i="14609"/>
  <c r="AF163" i="14609"/>
  <c r="AG163" i="14609"/>
  <c r="AH163" i="14609"/>
  <c r="AI163" i="14609"/>
  <c r="AJ163" i="14609"/>
  <c r="AK163" i="14609"/>
  <c r="AL163" i="14609"/>
  <c r="AM163" i="14609"/>
  <c r="AN163" i="14609"/>
  <c r="AO163" i="14609"/>
  <c r="AP163" i="14609"/>
  <c r="AQ163" i="14609"/>
  <c r="AR163" i="14609"/>
  <c r="AS163" i="14609"/>
  <c r="AT163" i="14609"/>
  <c r="AU163" i="14609"/>
  <c r="AV163" i="14609"/>
  <c r="AW163" i="14609"/>
  <c r="AX163" i="14609"/>
  <c r="AY163" i="14609"/>
  <c r="AZ163" i="14609"/>
  <c r="BA163" i="14609"/>
  <c r="BB163" i="14609"/>
  <c r="BC163" i="14609"/>
  <c r="BD163" i="14609"/>
  <c r="BE163" i="14609"/>
  <c r="BF163" i="14609"/>
  <c r="BG163" i="14609"/>
  <c r="BH163" i="14609"/>
  <c r="BI163" i="14609"/>
  <c r="BJ163" i="14609"/>
  <c r="BK163" i="14609"/>
  <c r="BL163" i="14609"/>
  <c r="BM163" i="14609"/>
  <c r="BN163" i="14609"/>
  <c r="BO163" i="14609"/>
  <c r="BP163" i="14609"/>
  <c r="BQ163" i="14609"/>
  <c r="BR163" i="14609"/>
  <c r="BS163" i="14609"/>
  <c r="BT163" i="14609"/>
  <c r="BU163" i="14609"/>
  <c r="BV163" i="14609"/>
  <c r="BW163" i="14609"/>
  <c r="BX163" i="14609"/>
  <c r="BY163" i="14609"/>
  <c r="BZ163" i="14609"/>
  <c r="CA163" i="14609"/>
  <c r="CB163" i="14609"/>
  <c r="CC163" i="14609"/>
  <c r="CD163" i="14609"/>
  <c r="CE163" i="14609"/>
  <c r="CF163" i="14609"/>
  <c r="CG163" i="14609"/>
  <c r="CH163" i="14609"/>
  <c r="CI163" i="14609"/>
  <c r="CJ163" i="14609"/>
  <c r="CK163" i="14609"/>
  <c r="CL163" i="14609"/>
  <c r="CM163" i="14609"/>
  <c r="CN163" i="14609"/>
  <c r="CO163" i="14609"/>
  <c r="CP163" i="14609"/>
  <c r="CQ163" i="14609"/>
  <c r="CR163" i="14609"/>
  <c r="CS163" i="14609"/>
  <c r="CT163" i="14609"/>
  <c r="CU163" i="14609"/>
  <c r="CV163" i="14609"/>
  <c r="CW163" i="14609"/>
  <c r="CX163" i="14609"/>
  <c r="CY163" i="14609"/>
  <c r="CZ163" i="14609"/>
  <c r="DA163" i="14609"/>
  <c r="DB163" i="14609"/>
  <c r="DC163" i="14609"/>
  <c r="DD163" i="14609"/>
  <c r="DE163" i="14609"/>
  <c r="DF163" i="14609"/>
  <c r="DG163" i="14609"/>
  <c r="DH163" i="14609"/>
  <c r="DI163" i="14609"/>
  <c r="DJ163" i="14609"/>
  <c r="DK163" i="14609"/>
  <c r="DL163" i="14609"/>
  <c r="DM163" i="14609"/>
  <c r="DN163" i="14609"/>
  <c r="DO163" i="14609"/>
  <c r="DP163" i="14609"/>
  <c r="DQ163" i="14609"/>
  <c r="DR163" i="14609"/>
  <c r="DS163" i="14609"/>
  <c r="DT163" i="14609"/>
  <c r="DU163" i="14609"/>
  <c r="DV163" i="14609"/>
  <c r="DW163" i="14609"/>
  <c r="DX163" i="14609"/>
  <c r="DY163" i="14609"/>
  <c r="DZ163" i="14609"/>
  <c r="EA163" i="14609"/>
  <c r="EB163" i="14609"/>
  <c r="EC163" i="14609"/>
  <c r="ED163" i="14609"/>
  <c r="EE163" i="14609"/>
  <c r="EF163" i="14609"/>
  <c r="EG163" i="14609"/>
  <c r="EH163" i="14609"/>
  <c r="EI163" i="14609"/>
  <c r="EJ163" i="14609"/>
  <c r="EK163" i="14609"/>
  <c r="EL163" i="14609"/>
  <c r="EM163" i="14609"/>
  <c r="EN163" i="14609"/>
  <c r="EO163" i="14609"/>
  <c r="EP163" i="14609"/>
  <c r="EQ163" i="14609"/>
  <c r="ER163" i="14609"/>
  <c r="ES163" i="14609"/>
  <c r="ET163" i="14609"/>
  <c r="EU163" i="14609"/>
  <c r="EV163" i="14609"/>
  <c r="EW163" i="14609"/>
  <c r="EX163" i="14609"/>
  <c r="EY163" i="14609"/>
  <c r="EZ163" i="14609"/>
  <c r="FA163" i="14609"/>
  <c r="FB163" i="14609"/>
  <c r="FC163" i="14609"/>
  <c r="FD163" i="14609"/>
  <c r="FE163" i="14609"/>
  <c r="FF163" i="14609"/>
  <c r="FG163" i="14609"/>
  <c r="FH163" i="14609"/>
  <c r="FI163" i="14609"/>
  <c r="FJ163" i="14609"/>
  <c r="FK163" i="14609"/>
  <c r="FL163" i="14609"/>
  <c r="FM163" i="14609"/>
  <c r="FN163" i="14609"/>
  <c r="FO163" i="14609"/>
  <c r="FP163" i="14609"/>
  <c r="FQ163" i="14609"/>
  <c r="FR163" i="14609"/>
  <c r="FS163" i="14609"/>
  <c r="FT163" i="14609"/>
  <c r="FU163" i="14609"/>
  <c r="FV163" i="14609"/>
  <c r="FW163" i="14609"/>
  <c r="FX163" i="14609"/>
  <c r="FY163" i="14609"/>
  <c r="FZ163" i="14609"/>
  <c r="GA163" i="14609"/>
  <c r="GB163" i="14609"/>
  <c r="GC163" i="14609"/>
  <c r="GD163" i="14609"/>
  <c r="GE163" i="14609"/>
  <c r="GF163" i="14609"/>
  <c r="GG163" i="14609"/>
  <c r="GH163" i="14609"/>
  <c r="GI163" i="14609"/>
  <c r="GJ163" i="14609"/>
  <c r="GK163" i="14609"/>
  <c r="GL163" i="14609"/>
  <c r="GM163" i="14609"/>
  <c r="GN163" i="14609"/>
  <c r="GO163" i="14609"/>
  <c r="GP163" i="14609"/>
  <c r="GQ163" i="14609"/>
  <c r="GR163" i="14609"/>
  <c r="GS163" i="14609"/>
  <c r="GT163" i="14609"/>
  <c r="GU163" i="14609"/>
  <c r="GV163" i="14609"/>
  <c r="GW163" i="14609"/>
  <c r="GX163" i="14609"/>
  <c r="GY163" i="14609"/>
  <c r="GZ163" i="14609"/>
  <c r="HA163" i="14609"/>
  <c r="HB163" i="14609"/>
  <c r="HC163" i="14609"/>
  <c r="HD163" i="14609"/>
  <c r="HE163" i="14609"/>
  <c r="HF163" i="14609"/>
  <c r="HG163" i="14609"/>
  <c r="HH163" i="14609"/>
  <c r="HI163" i="14609"/>
  <c r="HJ163" i="14609"/>
  <c r="HK163" i="14609"/>
  <c r="HL163" i="14609"/>
  <c r="HM163" i="14609"/>
  <c r="HN163" i="14609"/>
  <c r="HO163" i="14609"/>
  <c r="HP163" i="14609"/>
  <c r="HQ163" i="14609"/>
  <c r="HR163" i="14609"/>
  <c r="HS163" i="14609"/>
  <c r="HT163" i="14609"/>
  <c r="HU163" i="14609"/>
  <c r="HV163" i="14609"/>
  <c r="HW163" i="14609"/>
  <c r="HX163" i="14609"/>
  <c r="HY163" i="14609"/>
  <c r="HZ163" i="14609"/>
  <c r="IA163" i="14609"/>
  <c r="IB163" i="14609"/>
  <c r="IC163" i="14609"/>
  <c r="ID163" i="14609"/>
  <c r="IE163" i="14609"/>
  <c r="IF163" i="14609"/>
  <c r="IG163" i="14609"/>
  <c r="IH163" i="14609"/>
  <c r="II163" i="14609"/>
  <c r="IJ163" i="14609"/>
  <c r="IK163" i="14609"/>
  <c r="IL163" i="14609"/>
  <c r="IM163" i="14609"/>
  <c r="IN163" i="14609"/>
  <c r="IO163" i="14609"/>
  <c r="IP163" i="14609"/>
  <c r="IQ163" i="14609"/>
  <c r="IR163" i="14609"/>
  <c r="IS163" i="14609"/>
  <c r="IT163" i="14609"/>
  <c r="IU163" i="14609"/>
  <c r="IV163" i="14609"/>
  <c r="A162" i="14609"/>
  <c r="B162" i="14609"/>
  <c r="C162" i="14609"/>
  <c r="D162" i="14609"/>
  <c r="E162" i="14609"/>
  <c r="F162" i="14609"/>
  <c r="G162" i="14609"/>
  <c r="H162" i="14609"/>
  <c r="I162" i="14609"/>
  <c r="J162" i="14609"/>
  <c r="K162" i="14609"/>
  <c r="L162" i="14609"/>
  <c r="M162" i="14609"/>
  <c r="N162" i="14609"/>
  <c r="O162" i="14609"/>
  <c r="P162" i="14609"/>
  <c r="Q162" i="14609"/>
  <c r="R162" i="14609"/>
  <c r="S162" i="14609"/>
  <c r="T162" i="14609"/>
  <c r="U162" i="14609"/>
  <c r="V162" i="14609"/>
  <c r="W162" i="14609"/>
  <c r="X162" i="14609"/>
  <c r="Y162" i="14609"/>
  <c r="Z162" i="14609"/>
  <c r="AA162" i="14609"/>
  <c r="AB162" i="14609"/>
  <c r="AC162" i="14609"/>
  <c r="AD162" i="14609"/>
  <c r="AE162" i="14609"/>
  <c r="AF162" i="14609"/>
  <c r="AG162" i="14609"/>
  <c r="AH162" i="14609"/>
  <c r="AI162" i="14609"/>
  <c r="AJ162" i="14609"/>
  <c r="AK162" i="14609"/>
  <c r="AL162" i="14609"/>
  <c r="AM162" i="14609"/>
  <c r="AN162" i="14609"/>
  <c r="AO162" i="14609"/>
  <c r="AP162" i="14609"/>
  <c r="AQ162" i="14609"/>
  <c r="AR162" i="14609"/>
  <c r="AS162" i="14609"/>
  <c r="AT162" i="14609"/>
  <c r="AU162" i="14609"/>
  <c r="AV162" i="14609"/>
  <c r="AW162" i="14609"/>
  <c r="AX162" i="14609"/>
  <c r="AY162" i="14609"/>
  <c r="AZ162" i="14609"/>
  <c r="BA162" i="14609"/>
  <c r="BB162" i="14609"/>
  <c r="BC162" i="14609"/>
  <c r="BD162" i="14609"/>
  <c r="BE162" i="14609"/>
  <c r="BF162" i="14609"/>
  <c r="BG162" i="14609"/>
  <c r="BH162" i="14609"/>
  <c r="BI162" i="14609"/>
  <c r="BJ162" i="14609"/>
  <c r="BK162" i="14609"/>
  <c r="BL162" i="14609"/>
  <c r="BM162" i="14609"/>
  <c r="BN162" i="14609"/>
  <c r="BO162" i="14609"/>
  <c r="BP162" i="14609"/>
  <c r="BQ162" i="14609"/>
  <c r="BR162" i="14609"/>
  <c r="BS162" i="14609"/>
  <c r="BT162" i="14609"/>
  <c r="BU162" i="14609"/>
  <c r="BV162" i="14609"/>
  <c r="BW162" i="14609"/>
  <c r="BX162" i="14609"/>
  <c r="BY162" i="14609"/>
  <c r="BZ162" i="14609"/>
  <c r="CA162" i="14609"/>
  <c r="CB162" i="14609"/>
  <c r="CC162" i="14609"/>
  <c r="CD162" i="14609"/>
  <c r="CE162" i="14609"/>
  <c r="CF162" i="14609"/>
  <c r="CG162" i="14609"/>
  <c r="CH162" i="14609"/>
  <c r="CI162" i="14609"/>
  <c r="CJ162" i="14609"/>
  <c r="CK162" i="14609"/>
  <c r="CL162" i="14609"/>
  <c r="CM162" i="14609"/>
  <c r="CN162" i="14609"/>
  <c r="CO162" i="14609"/>
  <c r="CP162" i="14609"/>
  <c r="CQ162" i="14609"/>
  <c r="CR162" i="14609"/>
  <c r="CS162" i="14609"/>
  <c r="CT162" i="14609"/>
  <c r="CU162" i="14609"/>
  <c r="CV162" i="14609"/>
  <c r="CW162" i="14609"/>
  <c r="CX162" i="14609"/>
  <c r="CY162" i="14609"/>
  <c r="CZ162" i="14609"/>
  <c r="DA162" i="14609"/>
  <c r="DB162" i="14609"/>
  <c r="DC162" i="14609"/>
  <c r="DD162" i="14609"/>
  <c r="DE162" i="14609"/>
  <c r="DF162" i="14609"/>
  <c r="DG162" i="14609"/>
  <c r="DH162" i="14609"/>
  <c r="DI162" i="14609"/>
  <c r="DJ162" i="14609"/>
  <c r="DK162" i="14609"/>
  <c r="DL162" i="14609"/>
  <c r="DM162" i="14609"/>
  <c r="DN162" i="14609"/>
  <c r="DO162" i="14609"/>
  <c r="DP162" i="14609"/>
  <c r="DQ162" i="14609"/>
  <c r="DR162" i="14609"/>
  <c r="DS162" i="14609"/>
  <c r="DT162" i="14609"/>
  <c r="DU162" i="14609"/>
  <c r="DV162" i="14609"/>
  <c r="DW162" i="14609"/>
  <c r="DX162" i="14609"/>
  <c r="DY162" i="14609"/>
  <c r="DZ162" i="14609"/>
  <c r="EA162" i="14609"/>
  <c r="EB162" i="14609"/>
  <c r="EC162" i="14609"/>
  <c r="ED162" i="14609"/>
  <c r="EE162" i="14609"/>
  <c r="EF162" i="14609"/>
  <c r="EG162" i="14609"/>
  <c r="EH162" i="14609"/>
  <c r="EI162" i="14609"/>
  <c r="EJ162" i="14609"/>
  <c r="EK162" i="14609"/>
  <c r="EL162" i="14609"/>
  <c r="EM162" i="14609"/>
  <c r="EN162" i="14609"/>
  <c r="EO162" i="14609"/>
  <c r="EP162" i="14609"/>
  <c r="EQ162" i="14609"/>
  <c r="ER162" i="14609"/>
  <c r="ES162" i="14609"/>
  <c r="ET162" i="14609"/>
  <c r="EU162" i="14609"/>
  <c r="EV162" i="14609"/>
  <c r="EW162" i="14609"/>
  <c r="EX162" i="14609"/>
  <c r="EY162" i="14609"/>
  <c r="EZ162" i="14609"/>
  <c r="FA162" i="14609"/>
  <c r="FB162" i="14609"/>
  <c r="FC162" i="14609"/>
  <c r="FD162" i="14609"/>
  <c r="FE162" i="14609"/>
  <c r="FF162" i="14609"/>
  <c r="FG162" i="14609"/>
  <c r="FH162" i="14609"/>
  <c r="FI162" i="14609"/>
  <c r="FJ162" i="14609"/>
  <c r="FK162" i="14609"/>
  <c r="FL162" i="14609"/>
  <c r="FM162" i="14609"/>
  <c r="FN162" i="14609"/>
  <c r="FO162" i="14609"/>
  <c r="FP162" i="14609"/>
  <c r="FQ162" i="14609"/>
  <c r="FR162" i="14609"/>
  <c r="FS162" i="14609"/>
  <c r="FT162" i="14609"/>
  <c r="FU162" i="14609"/>
  <c r="FV162" i="14609"/>
  <c r="FW162" i="14609"/>
  <c r="FX162" i="14609"/>
  <c r="FY162" i="14609"/>
  <c r="FZ162" i="14609"/>
  <c r="GA162" i="14609"/>
  <c r="GB162" i="14609"/>
  <c r="GC162" i="14609"/>
  <c r="GD162" i="14609"/>
  <c r="GE162" i="14609"/>
  <c r="GF162" i="14609"/>
  <c r="GG162" i="14609"/>
  <c r="GH162" i="14609"/>
  <c r="GI162" i="14609"/>
  <c r="GJ162" i="14609"/>
  <c r="GK162" i="14609"/>
  <c r="GL162" i="14609"/>
  <c r="GM162" i="14609"/>
  <c r="GN162" i="14609"/>
  <c r="GO162" i="14609"/>
  <c r="GP162" i="14609"/>
  <c r="GQ162" i="14609"/>
  <c r="GR162" i="14609"/>
  <c r="GS162" i="14609"/>
  <c r="GT162" i="14609"/>
  <c r="GU162" i="14609"/>
  <c r="GV162" i="14609"/>
  <c r="GW162" i="14609"/>
  <c r="GX162" i="14609"/>
  <c r="GY162" i="14609"/>
  <c r="GZ162" i="14609"/>
  <c r="HA162" i="14609"/>
  <c r="HB162" i="14609"/>
  <c r="HC162" i="14609"/>
  <c r="HD162" i="14609"/>
  <c r="HE162" i="14609"/>
  <c r="HF162" i="14609"/>
  <c r="HG162" i="14609"/>
  <c r="HH162" i="14609"/>
  <c r="HI162" i="14609"/>
  <c r="HJ162" i="14609"/>
  <c r="HK162" i="14609"/>
  <c r="HL162" i="14609"/>
  <c r="HM162" i="14609"/>
  <c r="HN162" i="14609"/>
  <c r="HO162" i="14609"/>
  <c r="HP162" i="14609"/>
  <c r="HQ162" i="14609"/>
  <c r="HR162" i="14609"/>
  <c r="HS162" i="14609"/>
  <c r="HT162" i="14609"/>
  <c r="HU162" i="14609"/>
  <c r="HV162" i="14609"/>
  <c r="HW162" i="14609"/>
  <c r="HX162" i="14609"/>
  <c r="HY162" i="14609"/>
  <c r="HZ162" i="14609"/>
  <c r="IA162" i="14609"/>
  <c r="IB162" i="14609"/>
  <c r="IC162" i="14609"/>
  <c r="ID162" i="14609"/>
  <c r="IE162" i="14609"/>
  <c r="IF162" i="14609"/>
  <c r="IG162" i="14609"/>
  <c r="IH162" i="14609"/>
  <c r="II162" i="14609"/>
  <c r="IJ162" i="14609"/>
  <c r="IK162" i="14609"/>
  <c r="IL162" i="14609"/>
  <c r="IM162" i="14609"/>
  <c r="IN162" i="14609"/>
  <c r="IO162" i="14609"/>
  <c r="IP162" i="14609"/>
  <c r="IQ162" i="14609"/>
  <c r="IR162" i="14609"/>
  <c r="IS162" i="14609"/>
  <c r="IT162" i="14609"/>
  <c r="IU162" i="14609"/>
  <c r="IV162" i="14609"/>
  <c r="A161" i="14609"/>
  <c r="B161" i="14609"/>
  <c r="C161" i="14609"/>
  <c r="D161" i="14609"/>
  <c r="E161" i="14609"/>
  <c r="F161" i="14609"/>
  <c r="G161" i="14609"/>
  <c r="H161" i="14609"/>
  <c r="I161" i="14609"/>
  <c r="J161" i="14609"/>
  <c r="K161" i="14609"/>
  <c r="L161" i="14609"/>
  <c r="M161" i="14609"/>
  <c r="N161" i="14609"/>
  <c r="O161" i="14609"/>
  <c r="P161" i="14609"/>
  <c r="Q161" i="14609"/>
  <c r="R161" i="14609"/>
  <c r="S161" i="14609"/>
  <c r="T161" i="14609"/>
  <c r="U161" i="14609"/>
  <c r="V161" i="14609"/>
  <c r="W161" i="14609"/>
  <c r="X161" i="14609"/>
  <c r="Y161" i="14609"/>
  <c r="Z161" i="14609"/>
  <c r="AA161" i="14609"/>
  <c r="AB161" i="14609"/>
  <c r="AC161" i="14609"/>
  <c r="AD161" i="14609"/>
  <c r="AE161" i="14609"/>
  <c r="AF161" i="14609"/>
  <c r="AG161" i="14609"/>
  <c r="AH161" i="14609"/>
  <c r="AI161" i="14609"/>
  <c r="AJ161" i="14609"/>
  <c r="AK161" i="14609"/>
  <c r="AL161" i="14609"/>
  <c r="AM161" i="14609"/>
  <c r="AN161" i="14609"/>
  <c r="AO161" i="14609"/>
  <c r="AP161" i="14609"/>
  <c r="AQ161" i="14609"/>
  <c r="AR161" i="14609"/>
  <c r="AS161" i="14609"/>
  <c r="AT161" i="14609"/>
  <c r="AU161" i="14609"/>
  <c r="AV161" i="14609"/>
  <c r="AW161" i="14609"/>
  <c r="AX161" i="14609"/>
  <c r="AY161" i="14609"/>
  <c r="AZ161" i="14609"/>
  <c r="BA161" i="14609"/>
  <c r="BB161" i="14609"/>
  <c r="BC161" i="14609"/>
  <c r="BD161" i="14609"/>
  <c r="BE161" i="14609"/>
  <c r="BF161" i="14609"/>
  <c r="BG161" i="14609"/>
  <c r="BH161" i="14609"/>
  <c r="BI161" i="14609"/>
  <c r="BJ161" i="14609"/>
  <c r="BK161" i="14609"/>
  <c r="BL161" i="14609"/>
  <c r="BM161" i="14609"/>
  <c r="BN161" i="14609"/>
  <c r="BO161" i="14609"/>
  <c r="BP161" i="14609"/>
  <c r="BQ161" i="14609"/>
  <c r="BR161" i="14609"/>
  <c r="BS161" i="14609"/>
  <c r="BT161" i="14609"/>
  <c r="BU161" i="14609"/>
  <c r="BV161" i="14609"/>
  <c r="BW161" i="14609"/>
  <c r="BX161" i="14609"/>
  <c r="BY161" i="14609"/>
  <c r="BZ161" i="14609"/>
  <c r="CA161" i="14609"/>
  <c r="CB161" i="14609"/>
  <c r="CC161" i="14609"/>
  <c r="CD161" i="14609"/>
  <c r="CE161" i="14609"/>
  <c r="CF161" i="14609"/>
  <c r="CG161" i="14609"/>
  <c r="CH161" i="14609"/>
  <c r="CI161" i="14609"/>
  <c r="CJ161" i="14609"/>
  <c r="CK161" i="14609"/>
  <c r="CL161" i="14609"/>
  <c r="CM161" i="14609"/>
  <c r="CN161" i="14609"/>
  <c r="CO161" i="14609"/>
  <c r="CP161" i="14609"/>
  <c r="CQ161" i="14609"/>
  <c r="CR161" i="14609"/>
  <c r="CS161" i="14609"/>
  <c r="CT161" i="14609"/>
  <c r="CU161" i="14609"/>
  <c r="CV161" i="14609"/>
  <c r="CW161" i="14609"/>
  <c r="CX161" i="14609"/>
  <c r="CY161" i="14609"/>
  <c r="CZ161" i="14609"/>
  <c r="DA161" i="14609"/>
  <c r="DB161" i="14609"/>
  <c r="DC161" i="14609"/>
  <c r="DD161" i="14609"/>
  <c r="DE161" i="14609"/>
  <c r="DF161" i="14609"/>
  <c r="DG161" i="14609"/>
  <c r="DH161" i="14609"/>
  <c r="DI161" i="14609"/>
  <c r="DJ161" i="14609"/>
  <c r="DK161" i="14609"/>
  <c r="DL161" i="14609"/>
  <c r="DM161" i="14609"/>
  <c r="DN161" i="14609"/>
  <c r="DO161" i="14609"/>
  <c r="DP161" i="14609"/>
  <c r="DQ161" i="14609"/>
  <c r="DR161" i="14609"/>
  <c r="DS161" i="14609"/>
  <c r="DT161" i="14609"/>
  <c r="DU161" i="14609"/>
  <c r="DV161" i="14609"/>
  <c r="DW161" i="14609"/>
  <c r="DX161" i="14609"/>
  <c r="DY161" i="14609"/>
  <c r="DZ161" i="14609"/>
  <c r="EA161" i="14609"/>
  <c r="EB161" i="14609"/>
  <c r="EC161" i="14609"/>
  <c r="ED161" i="14609"/>
  <c r="EE161" i="14609"/>
  <c r="EF161" i="14609"/>
  <c r="EG161" i="14609"/>
  <c r="EH161" i="14609"/>
  <c r="EI161" i="14609"/>
  <c r="EJ161" i="14609"/>
  <c r="EK161" i="14609"/>
  <c r="EL161" i="14609"/>
  <c r="EM161" i="14609"/>
  <c r="EN161" i="14609"/>
  <c r="EO161" i="14609"/>
  <c r="EP161" i="14609"/>
  <c r="EQ161" i="14609"/>
  <c r="ER161" i="14609"/>
  <c r="ES161" i="14609"/>
  <c r="ET161" i="14609"/>
  <c r="EU161" i="14609"/>
  <c r="EV161" i="14609"/>
  <c r="EW161" i="14609"/>
  <c r="EX161" i="14609"/>
  <c r="EY161" i="14609"/>
  <c r="EZ161" i="14609"/>
  <c r="FA161" i="14609"/>
  <c r="FB161" i="14609"/>
  <c r="FC161" i="14609"/>
  <c r="FD161" i="14609"/>
  <c r="FE161" i="14609"/>
  <c r="FF161" i="14609"/>
  <c r="FG161" i="14609"/>
  <c r="FH161" i="14609"/>
  <c r="FI161" i="14609"/>
  <c r="FJ161" i="14609"/>
  <c r="FK161" i="14609"/>
  <c r="FL161" i="14609"/>
  <c r="FM161" i="14609"/>
  <c r="FN161" i="14609"/>
  <c r="FO161" i="14609"/>
  <c r="FP161" i="14609"/>
  <c r="FQ161" i="14609"/>
  <c r="FR161" i="14609"/>
  <c r="FS161" i="14609"/>
  <c r="FT161" i="14609"/>
  <c r="FU161" i="14609"/>
  <c r="FV161" i="14609"/>
  <c r="FW161" i="14609"/>
  <c r="FX161" i="14609"/>
  <c r="FY161" i="14609"/>
  <c r="FZ161" i="14609"/>
  <c r="GA161" i="14609"/>
  <c r="GB161" i="14609"/>
  <c r="GC161" i="14609"/>
  <c r="GD161" i="14609"/>
  <c r="GE161" i="14609"/>
  <c r="GF161" i="14609"/>
  <c r="GG161" i="14609"/>
  <c r="GH161" i="14609"/>
  <c r="GI161" i="14609"/>
  <c r="GJ161" i="14609"/>
  <c r="GK161" i="14609"/>
  <c r="GL161" i="14609"/>
  <c r="GM161" i="14609"/>
  <c r="GN161" i="14609"/>
  <c r="GO161" i="14609"/>
  <c r="GP161" i="14609"/>
  <c r="GQ161" i="14609"/>
  <c r="GR161" i="14609"/>
  <c r="GS161" i="14609"/>
  <c r="GT161" i="14609"/>
  <c r="GU161" i="14609"/>
  <c r="GV161" i="14609"/>
  <c r="GW161" i="14609"/>
  <c r="GX161" i="14609"/>
  <c r="GY161" i="14609"/>
  <c r="GZ161" i="14609"/>
  <c r="HA161" i="14609"/>
  <c r="HB161" i="14609"/>
  <c r="HC161" i="14609"/>
  <c r="HD161" i="14609"/>
  <c r="HE161" i="14609"/>
  <c r="HF161" i="14609"/>
  <c r="HG161" i="14609"/>
  <c r="HH161" i="14609"/>
  <c r="HI161" i="14609"/>
  <c r="HJ161" i="14609"/>
  <c r="HK161" i="14609"/>
  <c r="HL161" i="14609"/>
  <c r="HM161" i="14609"/>
  <c r="HN161" i="14609"/>
  <c r="HO161" i="14609"/>
  <c r="HP161" i="14609"/>
  <c r="HQ161" i="14609"/>
  <c r="HR161" i="14609"/>
  <c r="HS161" i="14609"/>
  <c r="HT161" i="14609"/>
  <c r="HU161" i="14609"/>
  <c r="HV161" i="14609"/>
  <c r="HW161" i="14609"/>
  <c r="HX161" i="14609"/>
  <c r="HY161" i="14609"/>
  <c r="HZ161" i="14609"/>
  <c r="IA161" i="14609"/>
  <c r="IB161" i="14609"/>
  <c r="IC161" i="14609"/>
  <c r="ID161" i="14609"/>
  <c r="IE161" i="14609"/>
  <c r="IF161" i="14609"/>
  <c r="IG161" i="14609"/>
  <c r="IH161" i="14609"/>
  <c r="II161" i="14609"/>
  <c r="IJ161" i="14609"/>
  <c r="IK161" i="14609"/>
  <c r="IL161" i="14609"/>
  <c r="IM161" i="14609"/>
  <c r="IN161" i="14609"/>
  <c r="IO161" i="14609"/>
  <c r="IP161" i="14609"/>
  <c r="IQ161" i="14609"/>
  <c r="IR161" i="14609"/>
  <c r="IS161" i="14609"/>
  <c r="IT161" i="14609"/>
  <c r="IU161" i="14609"/>
  <c r="IV161" i="14609"/>
  <c r="A160" i="14609"/>
  <c r="B160" i="14609"/>
  <c r="C160" i="14609"/>
  <c r="D160" i="14609"/>
  <c r="E160" i="14609"/>
  <c r="F160" i="14609"/>
  <c r="G160" i="14609"/>
  <c r="H160" i="14609"/>
  <c r="I160" i="14609"/>
  <c r="J160" i="14609"/>
  <c r="K160" i="14609"/>
  <c r="L160" i="14609"/>
  <c r="M160" i="14609"/>
  <c r="N160" i="14609"/>
  <c r="O160" i="14609"/>
  <c r="P160" i="14609"/>
  <c r="Q160" i="14609"/>
  <c r="R160" i="14609"/>
  <c r="S160" i="14609"/>
  <c r="T160" i="14609"/>
  <c r="U160" i="14609"/>
  <c r="V160" i="14609"/>
  <c r="W160" i="14609"/>
  <c r="X160" i="14609"/>
  <c r="Y160" i="14609"/>
  <c r="Z160" i="14609"/>
  <c r="AA160" i="14609"/>
  <c r="AB160" i="14609"/>
  <c r="AC160" i="14609"/>
  <c r="AD160" i="14609"/>
  <c r="AE160" i="14609"/>
  <c r="AF160" i="14609"/>
  <c r="AG160" i="14609"/>
  <c r="AH160" i="14609"/>
  <c r="AI160" i="14609"/>
  <c r="AJ160" i="14609"/>
  <c r="AK160" i="14609"/>
  <c r="AL160" i="14609"/>
  <c r="AM160" i="14609"/>
  <c r="AN160" i="14609"/>
  <c r="AO160" i="14609"/>
  <c r="AP160" i="14609"/>
  <c r="AQ160" i="14609"/>
  <c r="AR160" i="14609"/>
  <c r="AS160" i="14609"/>
  <c r="AT160" i="14609"/>
  <c r="AU160" i="14609"/>
  <c r="AV160" i="14609"/>
  <c r="AW160" i="14609"/>
  <c r="AX160" i="14609"/>
  <c r="AY160" i="14609"/>
  <c r="AZ160" i="14609"/>
  <c r="BA160" i="14609"/>
  <c r="BB160" i="14609"/>
  <c r="BC160" i="14609"/>
  <c r="BD160" i="14609"/>
  <c r="BE160" i="14609"/>
  <c r="BF160" i="14609"/>
  <c r="BG160" i="14609"/>
  <c r="BH160" i="14609"/>
  <c r="BI160" i="14609"/>
  <c r="BJ160" i="14609"/>
  <c r="BK160" i="14609"/>
  <c r="BL160" i="14609"/>
  <c r="BM160" i="14609"/>
  <c r="BN160" i="14609"/>
  <c r="BO160" i="14609"/>
  <c r="BP160" i="14609"/>
  <c r="BQ160" i="14609"/>
  <c r="BR160" i="14609"/>
  <c r="BS160" i="14609"/>
  <c r="BT160" i="14609"/>
  <c r="BU160" i="14609"/>
  <c r="BV160" i="14609"/>
  <c r="BW160" i="14609"/>
  <c r="BX160" i="14609"/>
  <c r="BY160" i="14609"/>
  <c r="BZ160" i="14609"/>
  <c r="CA160" i="14609"/>
  <c r="CB160" i="14609"/>
  <c r="CC160" i="14609"/>
  <c r="CD160" i="14609"/>
  <c r="CE160" i="14609"/>
  <c r="CF160" i="14609"/>
  <c r="CG160" i="14609"/>
  <c r="CH160" i="14609"/>
  <c r="CI160" i="14609"/>
  <c r="CJ160" i="14609"/>
  <c r="CK160" i="14609"/>
  <c r="CL160" i="14609"/>
  <c r="CM160" i="14609"/>
  <c r="CN160" i="14609"/>
  <c r="CO160" i="14609"/>
  <c r="CP160" i="14609"/>
  <c r="CQ160" i="14609"/>
  <c r="CR160" i="14609"/>
  <c r="CS160" i="14609"/>
  <c r="CT160" i="14609"/>
  <c r="CU160" i="14609"/>
  <c r="CV160" i="14609"/>
  <c r="CW160" i="14609"/>
  <c r="CX160" i="14609"/>
  <c r="CY160" i="14609"/>
  <c r="CZ160" i="14609"/>
  <c r="DA160" i="14609"/>
  <c r="DB160" i="14609"/>
  <c r="DC160" i="14609"/>
  <c r="DD160" i="14609"/>
  <c r="DE160" i="14609"/>
  <c r="DF160" i="14609"/>
  <c r="DG160" i="14609"/>
  <c r="DH160" i="14609"/>
  <c r="DI160" i="14609"/>
  <c r="DJ160" i="14609"/>
  <c r="DK160" i="14609"/>
  <c r="DL160" i="14609"/>
  <c r="DM160" i="14609"/>
  <c r="DN160" i="14609"/>
  <c r="DO160" i="14609"/>
  <c r="DP160" i="14609"/>
  <c r="DQ160" i="14609"/>
  <c r="DR160" i="14609"/>
  <c r="DS160" i="14609"/>
  <c r="DT160" i="14609"/>
  <c r="DU160" i="14609"/>
  <c r="DV160" i="14609"/>
  <c r="DW160" i="14609"/>
  <c r="DX160" i="14609"/>
  <c r="DY160" i="14609"/>
  <c r="DZ160" i="14609"/>
  <c r="EA160" i="14609"/>
  <c r="EB160" i="14609"/>
  <c r="EC160" i="14609"/>
  <c r="ED160" i="14609"/>
  <c r="EE160" i="14609"/>
  <c r="EF160" i="14609"/>
  <c r="EG160" i="14609"/>
  <c r="EH160" i="14609"/>
  <c r="EI160" i="14609"/>
  <c r="EJ160" i="14609"/>
  <c r="EK160" i="14609"/>
  <c r="EL160" i="14609"/>
  <c r="EM160" i="14609"/>
  <c r="EN160" i="14609"/>
  <c r="EO160" i="14609"/>
  <c r="EP160" i="14609"/>
  <c r="EQ160" i="14609"/>
  <c r="ER160" i="14609"/>
  <c r="ES160" i="14609"/>
  <c r="ET160" i="14609"/>
  <c r="EU160" i="14609"/>
  <c r="EV160" i="14609"/>
  <c r="EW160" i="14609"/>
  <c r="EX160" i="14609"/>
  <c r="EY160" i="14609"/>
  <c r="EZ160" i="14609"/>
  <c r="FA160" i="14609"/>
  <c r="FB160" i="14609"/>
  <c r="FC160" i="14609"/>
  <c r="FD160" i="14609"/>
  <c r="FE160" i="14609"/>
  <c r="FF160" i="14609"/>
  <c r="FG160" i="14609"/>
  <c r="FH160" i="14609"/>
  <c r="FI160" i="14609"/>
  <c r="FJ160" i="14609"/>
  <c r="FK160" i="14609"/>
  <c r="FL160" i="14609"/>
  <c r="FM160" i="14609"/>
  <c r="FN160" i="14609"/>
  <c r="FO160" i="14609"/>
  <c r="FP160" i="14609"/>
  <c r="FQ160" i="14609"/>
  <c r="FR160" i="14609"/>
  <c r="FS160" i="14609"/>
  <c r="FT160" i="14609"/>
  <c r="FU160" i="14609"/>
  <c r="FV160" i="14609"/>
  <c r="FW160" i="14609"/>
  <c r="FX160" i="14609"/>
  <c r="FY160" i="14609"/>
  <c r="FZ160" i="14609"/>
  <c r="GA160" i="14609"/>
  <c r="GB160" i="14609"/>
  <c r="GC160" i="14609"/>
  <c r="GD160" i="14609"/>
  <c r="GE160" i="14609"/>
  <c r="GF160" i="14609"/>
  <c r="GG160" i="14609"/>
  <c r="GH160" i="14609"/>
  <c r="GI160" i="14609"/>
  <c r="GJ160" i="14609"/>
  <c r="GK160" i="14609"/>
  <c r="GL160" i="14609"/>
  <c r="GM160" i="14609"/>
  <c r="GN160" i="14609"/>
  <c r="GO160" i="14609"/>
  <c r="GP160" i="14609"/>
  <c r="GQ160" i="14609"/>
  <c r="GR160" i="14609"/>
  <c r="GS160" i="14609"/>
  <c r="GT160" i="14609"/>
  <c r="GU160" i="14609"/>
  <c r="GV160" i="14609"/>
  <c r="GW160" i="14609"/>
  <c r="GX160" i="14609"/>
  <c r="GY160" i="14609"/>
  <c r="GZ160" i="14609"/>
  <c r="HA160" i="14609"/>
  <c r="HB160" i="14609"/>
  <c r="HC160" i="14609"/>
  <c r="HD160" i="14609"/>
  <c r="HE160" i="14609"/>
  <c r="HF160" i="14609"/>
  <c r="HG160" i="14609"/>
  <c r="HH160" i="14609"/>
  <c r="HI160" i="14609"/>
  <c r="HJ160" i="14609"/>
  <c r="HK160" i="14609"/>
  <c r="HL160" i="14609"/>
  <c r="HM160" i="14609"/>
  <c r="HN160" i="14609"/>
  <c r="HO160" i="14609"/>
  <c r="HP160" i="14609"/>
  <c r="HQ160" i="14609"/>
  <c r="HR160" i="14609"/>
  <c r="HS160" i="14609"/>
  <c r="HT160" i="14609"/>
  <c r="HU160" i="14609"/>
  <c r="HV160" i="14609"/>
  <c r="HW160" i="14609"/>
  <c r="HX160" i="14609"/>
  <c r="HY160" i="14609"/>
  <c r="HZ160" i="14609"/>
  <c r="IA160" i="14609"/>
  <c r="IB160" i="14609"/>
  <c r="IC160" i="14609"/>
  <c r="ID160" i="14609"/>
  <c r="IE160" i="14609"/>
  <c r="IF160" i="14609"/>
  <c r="IG160" i="14609"/>
  <c r="IH160" i="14609"/>
  <c r="II160" i="14609"/>
  <c r="IJ160" i="14609"/>
  <c r="IK160" i="14609"/>
  <c r="IL160" i="14609"/>
  <c r="IM160" i="14609"/>
  <c r="IN160" i="14609"/>
  <c r="IO160" i="14609"/>
  <c r="IP160" i="14609"/>
  <c r="IQ160" i="14609"/>
  <c r="IR160" i="14609"/>
  <c r="IS160" i="14609"/>
  <c r="IT160" i="14609"/>
  <c r="IU160" i="14609"/>
  <c r="IV160" i="14609"/>
  <c r="A159" i="14609"/>
  <c r="B159" i="14609"/>
  <c r="C159" i="14609"/>
  <c r="D159" i="14609"/>
  <c r="E159" i="14609"/>
  <c r="F159" i="14609"/>
  <c r="G159" i="14609"/>
  <c r="H159" i="14609"/>
  <c r="I159" i="14609"/>
  <c r="J159" i="14609"/>
  <c r="K159" i="14609"/>
  <c r="L159" i="14609"/>
  <c r="M159" i="14609"/>
  <c r="N159" i="14609"/>
  <c r="O159" i="14609"/>
  <c r="P159" i="14609"/>
  <c r="Q159" i="14609"/>
  <c r="R159" i="14609"/>
  <c r="S159" i="14609"/>
  <c r="T159" i="14609"/>
  <c r="U159" i="14609"/>
  <c r="V159" i="14609"/>
  <c r="W159" i="14609"/>
  <c r="X159" i="14609"/>
  <c r="Y159" i="14609"/>
  <c r="Z159" i="14609"/>
  <c r="AA159" i="14609"/>
  <c r="AB159" i="14609"/>
  <c r="AC159" i="14609"/>
  <c r="AD159" i="14609"/>
  <c r="AE159" i="14609"/>
  <c r="AF159" i="14609"/>
  <c r="AG159" i="14609"/>
  <c r="AH159" i="14609"/>
  <c r="AI159" i="14609"/>
  <c r="AJ159" i="14609"/>
  <c r="AK159" i="14609"/>
  <c r="AL159" i="14609"/>
  <c r="AM159" i="14609"/>
  <c r="AN159" i="14609"/>
  <c r="AO159" i="14609"/>
  <c r="AP159" i="14609"/>
  <c r="AQ159" i="14609"/>
  <c r="AR159" i="14609"/>
  <c r="AS159" i="14609"/>
  <c r="AT159" i="14609"/>
  <c r="AU159" i="14609"/>
  <c r="AV159" i="14609"/>
  <c r="AW159" i="14609"/>
  <c r="AX159" i="14609"/>
  <c r="AY159" i="14609"/>
  <c r="AZ159" i="14609"/>
  <c r="BA159" i="14609"/>
  <c r="BB159" i="14609"/>
  <c r="BC159" i="14609"/>
  <c r="BD159" i="14609"/>
  <c r="BE159" i="14609"/>
  <c r="BF159" i="14609"/>
  <c r="BG159" i="14609"/>
  <c r="BH159" i="14609"/>
  <c r="BI159" i="14609"/>
  <c r="BJ159" i="14609"/>
  <c r="BK159" i="14609"/>
  <c r="BL159" i="14609"/>
  <c r="BM159" i="14609"/>
  <c r="BN159" i="14609"/>
  <c r="BO159" i="14609"/>
  <c r="BP159" i="14609"/>
  <c r="BQ159" i="14609"/>
  <c r="BR159" i="14609"/>
  <c r="BS159" i="14609"/>
  <c r="BT159" i="14609"/>
  <c r="BU159" i="14609"/>
  <c r="BV159" i="14609"/>
  <c r="BW159" i="14609"/>
  <c r="BX159" i="14609"/>
  <c r="BY159" i="14609"/>
  <c r="BZ159" i="14609"/>
  <c r="CA159" i="14609"/>
  <c r="CB159" i="14609"/>
  <c r="CC159" i="14609"/>
  <c r="CD159" i="14609"/>
  <c r="CE159" i="14609"/>
  <c r="CF159" i="14609"/>
  <c r="CG159" i="14609"/>
  <c r="CH159" i="14609"/>
  <c r="CI159" i="14609"/>
  <c r="CJ159" i="14609"/>
  <c r="CK159" i="14609"/>
  <c r="CL159" i="14609"/>
  <c r="CM159" i="14609"/>
  <c r="CN159" i="14609"/>
  <c r="CO159" i="14609"/>
  <c r="CP159" i="14609"/>
  <c r="CQ159" i="14609"/>
  <c r="CR159" i="14609"/>
  <c r="CS159" i="14609"/>
  <c r="CT159" i="14609"/>
  <c r="CU159" i="14609"/>
  <c r="CV159" i="14609"/>
  <c r="CW159" i="14609"/>
  <c r="CX159" i="14609"/>
  <c r="CY159" i="14609"/>
  <c r="CZ159" i="14609"/>
  <c r="DA159" i="14609"/>
  <c r="DB159" i="14609"/>
  <c r="DC159" i="14609"/>
  <c r="DD159" i="14609"/>
  <c r="DE159" i="14609"/>
  <c r="DF159" i="14609"/>
  <c r="DG159" i="14609"/>
  <c r="DH159" i="14609"/>
  <c r="DI159" i="14609"/>
  <c r="DJ159" i="14609"/>
  <c r="DK159" i="14609"/>
  <c r="DL159" i="14609"/>
  <c r="DM159" i="14609"/>
  <c r="DN159" i="14609"/>
  <c r="DO159" i="14609"/>
  <c r="DP159" i="14609"/>
  <c r="DQ159" i="14609"/>
  <c r="DR159" i="14609"/>
  <c r="DS159" i="14609"/>
  <c r="DT159" i="14609"/>
  <c r="DU159" i="14609"/>
  <c r="DV159" i="14609"/>
  <c r="DW159" i="14609"/>
  <c r="DX159" i="14609"/>
  <c r="DY159" i="14609"/>
  <c r="DZ159" i="14609"/>
  <c r="EA159" i="14609"/>
  <c r="EB159" i="14609"/>
  <c r="EC159" i="14609"/>
  <c r="ED159" i="14609"/>
  <c r="EE159" i="14609"/>
  <c r="EF159" i="14609"/>
  <c r="EG159" i="14609"/>
  <c r="EH159" i="14609"/>
  <c r="EI159" i="14609"/>
  <c r="EJ159" i="14609"/>
  <c r="EK159" i="14609"/>
  <c r="EL159" i="14609"/>
  <c r="EM159" i="14609"/>
  <c r="EN159" i="14609"/>
  <c r="EO159" i="14609"/>
  <c r="EP159" i="14609"/>
  <c r="EQ159" i="14609"/>
  <c r="ER159" i="14609"/>
  <c r="ES159" i="14609"/>
  <c r="ET159" i="14609"/>
  <c r="EU159" i="14609"/>
  <c r="EV159" i="14609"/>
  <c r="EW159" i="14609"/>
  <c r="EX159" i="14609"/>
  <c r="EY159" i="14609"/>
  <c r="EZ159" i="14609"/>
  <c r="FA159" i="14609"/>
  <c r="FB159" i="14609"/>
  <c r="FC159" i="14609"/>
  <c r="FD159" i="14609"/>
  <c r="FE159" i="14609"/>
  <c r="FF159" i="14609"/>
  <c r="FG159" i="14609"/>
  <c r="FH159" i="14609"/>
  <c r="FI159" i="14609"/>
  <c r="FJ159" i="14609"/>
  <c r="FK159" i="14609"/>
  <c r="FL159" i="14609"/>
  <c r="FM159" i="14609"/>
  <c r="FN159" i="14609"/>
  <c r="FO159" i="14609"/>
  <c r="FP159" i="14609"/>
  <c r="FQ159" i="14609"/>
  <c r="FR159" i="14609"/>
  <c r="FS159" i="14609"/>
  <c r="FT159" i="14609"/>
  <c r="FU159" i="14609"/>
  <c r="FV159" i="14609"/>
  <c r="FW159" i="14609"/>
  <c r="FX159" i="14609"/>
  <c r="FY159" i="14609"/>
  <c r="FZ159" i="14609"/>
  <c r="GA159" i="14609"/>
  <c r="GB159" i="14609"/>
  <c r="GC159" i="14609"/>
  <c r="GD159" i="14609"/>
  <c r="GE159" i="14609"/>
  <c r="GF159" i="14609"/>
  <c r="GG159" i="14609"/>
  <c r="GH159" i="14609"/>
  <c r="GI159" i="14609"/>
  <c r="GJ159" i="14609"/>
  <c r="GK159" i="14609"/>
  <c r="GL159" i="14609"/>
  <c r="GM159" i="14609"/>
  <c r="GN159" i="14609"/>
  <c r="GO159" i="14609"/>
  <c r="GP159" i="14609"/>
  <c r="GQ159" i="14609"/>
  <c r="GR159" i="14609"/>
  <c r="GS159" i="14609"/>
  <c r="GT159" i="14609"/>
  <c r="GU159" i="14609"/>
  <c r="GV159" i="14609"/>
  <c r="GW159" i="14609"/>
  <c r="GX159" i="14609"/>
  <c r="GY159" i="14609"/>
  <c r="GZ159" i="14609"/>
  <c r="HA159" i="14609"/>
  <c r="HB159" i="14609"/>
  <c r="HC159" i="14609"/>
  <c r="HD159" i="14609"/>
  <c r="HE159" i="14609"/>
  <c r="HF159" i="14609"/>
  <c r="HG159" i="14609"/>
  <c r="HH159" i="14609"/>
  <c r="HI159" i="14609"/>
  <c r="HJ159" i="14609"/>
  <c r="HK159" i="14609"/>
  <c r="HL159" i="14609"/>
  <c r="HM159" i="14609"/>
  <c r="HN159" i="14609"/>
  <c r="HO159" i="14609"/>
  <c r="HP159" i="14609"/>
  <c r="HQ159" i="14609"/>
  <c r="HR159" i="14609"/>
  <c r="HS159" i="14609"/>
  <c r="HT159" i="14609"/>
  <c r="HU159" i="14609"/>
  <c r="HV159" i="14609"/>
  <c r="HW159" i="14609"/>
  <c r="HX159" i="14609"/>
  <c r="HY159" i="14609"/>
  <c r="HZ159" i="14609"/>
  <c r="IA159" i="14609"/>
  <c r="IB159" i="14609"/>
  <c r="IC159" i="14609"/>
  <c r="ID159" i="14609"/>
  <c r="IE159" i="14609"/>
  <c r="IF159" i="14609"/>
  <c r="IG159" i="14609"/>
  <c r="IH159" i="14609"/>
  <c r="II159" i="14609"/>
  <c r="IJ159" i="14609"/>
  <c r="IK159" i="14609"/>
  <c r="IL159" i="14609"/>
  <c r="IM159" i="14609"/>
  <c r="IN159" i="14609"/>
  <c r="IO159" i="14609"/>
  <c r="IP159" i="14609"/>
  <c r="IQ159" i="14609"/>
  <c r="IR159" i="14609"/>
  <c r="IS159" i="14609"/>
  <c r="IT159" i="14609"/>
  <c r="IU159" i="14609"/>
  <c r="IV159" i="14609"/>
  <c r="A158" i="14609"/>
  <c r="B158" i="14609"/>
  <c r="C158" i="14609"/>
  <c r="D158" i="14609"/>
  <c r="E158" i="14609"/>
  <c r="F158" i="14609"/>
  <c r="G158" i="14609"/>
  <c r="H158" i="14609"/>
  <c r="I158" i="14609"/>
  <c r="J158" i="14609"/>
  <c r="K158" i="14609"/>
  <c r="L158" i="14609"/>
  <c r="M158" i="14609"/>
  <c r="N158" i="14609"/>
  <c r="O158" i="14609"/>
  <c r="P158" i="14609"/>
  <c r="Q158" i="14609"/>
  <c r="R158" i="14609"/>
  <c r="S158" i="14609"/>
  <c r="T158" i="14609"/>
  <c r="U158" i="14609"/>
  <c r="V158" i="14609"/>
  <c r="W158" i="14609"/>
  <c r="X158" i="14609"/>
  <c r="Y158" i="14609"/>
  <c r="Z158" i="14609"/>
  <c r="AA158" i="14609"/>
  <c r="AB158" i="14609"/>
  <c r="AC158" i="14609"/>
  <c r="AD158" i="14609"/>
  <c r="AE158" i="14609"/>
  <c r="AF158" i="14609"/>
  <c r="AG158" i="14609"/>
  <c r="AH158" i="14609"/>
  <c r="AI158" i="14609"/>
  <c r="AJ158" i="14609"/>
  <c r="AK158" i="14609"/>
  <c r="AL158" i="14609"/>
  <c r="AM158" i="14609"/>
  <c r="AN158" i="14609"/>
  <c r="AO158" i="14609"/>
  <c r="AP158" i="14609"/>
  <c r="AQ158" i="14609"/>
  <c r="AR158" i="14609"/>
  <c r="AS158" i="14609"/>
  <c r="AT158" i="14609"/>
  <c r="AU158" i="14609"/>
  <c r="AV158" i="14609"/>
  <c r="AW158" i="14609"/>
  <c r="AX158" i="14609"/>
  <c r="AY158" i="14609"/>
  <c r="AZ158" i="14609"/>
  <c r="BA158" i="14609"/>
  <c r="BB158" i="14609"/>
  <c r="BC158" i="14609"/>
  <c r="BD158" i="14609"/>
  <c r="BE158" i="14609"/>
  <c r="BF158" i="14609"/>
  <c r="BG158" i="14609"/>
  <c r="BH158" i="14609"/>
  <c r="BI158" i="14609"/>
  <c r="BJ158" i="14609"/>
  <c r="BK158" i="14609"/>
  <c r="BL158" i="14609"/>
  <c r="BM158" i="14609"/>
  <c r="BN158" i="14609"/>
  <c r="BO158" i="14609"/>
  <c r="BP158" i="14609"/>
  <c r="BQ158" i="14609"/>
  <c r="BR158" i="14609"/>
  <c r="BS158" i="14609"/>
  <c r="BT158" i="14609"/>
  <c r="BU158" i="14609"/>
  <c r="BV158" i="14609"/>
  <c r="BW158" i="14609"/>
  <c r="BX158" i="14609"/>
  <c r="BY158" i="14609"/>
  <c r="BZ158" i="14609"/>
  <c r="CA158" i="14609"/>
  <c r="CB158" i="14609"/>
  <c r="CC158" i="14609"/>
  <c r="CD158" i="14609"/>
  <c r="CE158" i="14609"/>
  <c r="CF158" i="14609"/>
  <c r="CG158" i="14609"/>
  <c r="CH158" i="14609"/>
  <c r="CI158" i="14609"/>
  <c r="CJ158" i="14609"/>
  <c r="CK158" i="14609"/>
  <c r="CL158" i="14609"/>
  <c r="CM158" i="14609"/>
  <c r="CN158" i="14609"/>
  <c r="CO158" i="14609"/>
  <c r="CP158" i="14609"/>
  <c r="CQ158" i="14609"/>
  <c r="CR158" i="14609"/>
  <c r="CS158" i="14609"/>
  <c r="CT158" i="14609"/>
  <c r="CU158" i="14609"/>
  <c r="CV158" i="14609"/>
  <c r="CW158" i="14609"/>
  <c r="CX158" i="14609"/>
  <c r="CY158" i="14609"/>
  <c r="CZ158" i="14609"/>
  <c r="DA158" i="14609"/>
  <c r="DB158" i="14609"/>
  <c r="DC158" i="14609"/>
  <c r="DD158" i="14609"/>
  <c r="DE158" i="14609"/>
  <c r="DF158" i="14609"/>
  <c r="DG158" i="14609"/>
  <c r="DH158" i="14609"/>
  <c r="DI158" i="14609"/>
  <c r="DJ158" i="14609"/>
  <c r="DK158" i="14609"/>
  <c r="DL158" i="14609"/>
  <c r="DM158" i="14609"/>
  <c r="DN158" i="14609"/>
  <c r="DO158" i="14609"/>
  <c r="DP158" i="14609"/>
  <c r="DQ158" i="14609"/>
  <c r="DR158" i="14609"/>
  <c r="DS158" i="14609"/>
  <c r="DT158" i="14609"/>
  <c r="DU158" i="14609"/>
  <c r="DV158" i="14609"/>
  <c r="DW158" i="14609"/>
  <c r="DX158" i="14609"/>
  <c r="DY158" i="14609"/>
  <c r="DZ158" i="14609"/>
  <c r="EA158" i="14609"/>
  <c r="EB158" i="14609"/>
  <c r="EC158" i="14609"/>
  <c r="ED158" i="14609"/>
  <c r="EE158" i="14609"/>
  <c r="EF158" i="14609"/>
  <c r="EG158" i="14609"/>
  <c r="EH158" i="14609"/>
  <c r="EI158" i="14609"/>
  <c r="EJ158" i="14609"/>
  <c r="EK158" i="14609"/>
  <c r="EL158" i="14609"/>
  <c r="EM158" i="14609"/>
  <c r="EN158" i="14609"/>
  <c r="EO158" i="14609"/>
  <c r="EP158" i="14609"/>
  <c r="EQ158" i="14609"/>
  <c r="ER158" i="14609"/>
  <c r="ES158" i="14609"/>
  <c r="ET158" i="14609"/>
  <c r="EU158" i="14609"/>
  <c r="EV158" i="14609"/>
  <c r="EW158" i="14609"/>
  <c r="EX158" i="14609"/>
  <c r="EY158" i="14609"/>
  <c r="EZ158" i="14609"/>
  <c r="FA158" i="14609"/>
  <c r="FB158" i="14609"/>
  <c r="FC158" i="14609"/>
  <c r="FD158" i="14609"/>
  <c r="FE158" i="14609"/>
  <c r="FF158" i="14609"/>
  <c r="FG158" i="14609"/>
  <c r="FH158" i="14609"/>
  <c r="FI158" i="14609"/>
  <c r="FJ158" i="14609"/>
  <c r="FK158" i="14609"/>
  <c r="FL158" i="14609"/>
  <c r="FM158" i="14609"/>
  <c r="FN158" i="14609"/>
  <c r="FO158" i="14609"/>
  <c r="FP158" i="14609"/>
  <c r="FQ158" i="14609"/>
  <c r="FR158" i="14609"/>
  <c r="FS158" i="14609"/>
  <c r="FT158" i="14609"/>
  <c r="FU158" i="14609"/>
  <c r="FV158" i="14609"/>
  <c r="FW158" i="14609"/>
  <c r="FX158" i="14609"/>
  <c r="FY158" i="14609"/>
  <c r="FZ158" i="14609"/>
  <c r="GA158" i="14609"/>
  <c r="GB158" i="14609"/>
  <c r="GC158" i="14609"/>
  <c r="GD158" i="14609"/>
  <c r="GE158" i="14609"/>
  <c r="GF158" i="14609"/>
  <c r="GG158" i="14609"/>
  <c r="GH158" i="14609"/>
  <c r="GI158" i="14609"/>
  <c r="GJ158" i="14609"/>
  <c r="GK158" i="14609"/>
  <c r="GL158" i="14609"/>
  <c r="GM158" i="14609"/>
  <c r="GN158" i="14609"/>
  <c r="GO158" i="14609"/>
  <c r="GP158" i="14609"/>
  <c r="GQ158" i="14609"/>
  <c r="GR158" i="14609"/>
  <c r="GS158" i="14609"/>
  <c r="GT158" i="14609"/>
  <c r="GU158" i="14609"/>
  <c r="GV158" i="14609"/>
  <c r="GW158" i="14609"/>
  <c r="GX158" i="14609"/>
  <c r="GY158" i="14609"/>
  <c r="GZ158" i="14609"/>
  <c r="HA158" i="14609"/>
  <c r="HB158" i="14609"/>
  <c r="HC158" i="14609"/>
  <c r="HD158" i="14609"/>
  <c r="HE158" i="14609"/>
  <c r="HF158" i="14609"/>
  <c r="HG158" i="14609"/>
  <c r="HH158" i="14609"/>
  <c r="HI158" i="14609"/>
  <c r="HJ158" i="14609"/>
  <c r="HK158" i="14609"/>
  <c r="HL158" i="14609"/>
  <c r="HM158" i="14609"/>
  <c r="HN158" i="14609"/>
  <c r="HO158" i="14609"/>
  <c r="HP158" i="14609"/>
  <c r="HQ158" i="14609"/>
  <c r="HR158" i="14609"/>
  <c r="HS158" i="14609"/>
  <c r="HT158" i="14609"/>
  <c r="HU158" i="14609"/>
  <c r="HV158" i="14609"/>
  <c r="HW158" i="14609"/>
  <c r="HX158" i="14609"/>
  <c r="HY158" i="14609"/>
  <c r="HZ158" i="14609"/>
  <c r="IA158" i="14609"/>
  <c r="IB158" i="14609"/>
  <c r="IC158" i="14609"/>
  <c r="ID158" i="14609"/>
  <c r="IE158" i="14609"/>
  <c r="IF158" i="14609"/>
  <c r="IG158" i="14609"/>
  <c r="IH158" i="14609"/>
  <c r="II158" i="14609"/>
  <c r="IJ158" i="14609"/>
  <c r="IK158" i="14609"/>
  <c r="IL158" i="14609"/>
  <c r="IM158" i="14609"/>
  <c r="IN158" i="14609"/>
  <c r="IO158" i="14609"/>
  <c r="IP158" i="14609"/>
  <c r="IQ158" i="14609"/>
  <c r="IR158" i="14609"/>
  <c r="IS158" i="14609"/>
  <c r="IT158" i="14609"/>
  <c r="IU158" i="14609"/>
  <c r="IV158" i="14609"/>
  <c r="A157" i="14609"/>
  <c r="B157" i="14609"/>
  <c r="C157" i="14609"/>
  <c r="D157" i="14609"/>
  <c r="E157" i="14609"/>
  <c r="F157" i="14609"/>
  <c r="G157" i="14609"/>
  <c r="H157" i="14609"/>
  <c r="I157" i="14609"/>
  <c r="J157" i="14609"/>
  <c r="K157" i="14609"/>
  <c r="L157" i="14609"/>
  <c r="M157" i="14609"/>
  <c r="N157" i="14609"/>
  <c r="O157" i="14609"/>
  <c r="P157" i="14609"/>
  <c r="Q157" i="14609"/>
  <c r="R157" i="14609"/>
  <c r="S157" i="14609"/>
  <c r="T157" i="14609"/>
  <c r="U157" i="14609"/>
  <c r="V157" i="14609"/>
  <c r="W157" i="14609"/>
  <c r="X157" i="14609"/>
  <c r="Y157" i="14609"/>
  <c r="Z157" i="14609"/>
  <c r="AA157" i="14609"/>
  <c r="AB157" i="14609"/>
  <c r="AC157" i="14609"/>
  <c r="AD157" i="14609"/>
  <c r="AE157" i="14609"/>
  <c r="AF157" i="14609"/>
  <c r="AG157" i="14609"/>
  <c r="AH157" i="14609"/>
  <c r="AI157" i="14609"/>
  <c r="AJ157" i="14609"/>
  <c r="AK157" i="14609"/>
  <c r="AL157" i="14609"/>
  <c r="AM157" i="14609"/>
  <c r="AN157" i="14609"/>
  <c r="AO157" i="14609"/>
  <c r="AP157" i="14609"/>
  <c r="AQ157" i="14609"/>
  <c r="AR157" i="14609"/>
  <c r="AS157" i="14609"/>
  <c r="AT157" i="14609"/>
  <c r="AU157" i="14609"/>
  <c r="AV157" i="14609"/>
  <c r="AW157" i="14609"/>
  <c r="AX157" i="14609"/>
  <c r="AY157" i="14609"/>
  <c r="AZ157" i="14609"/>
  <c r="BA157" i="14609"/>
  <c r="BB157" i="14609"/>
  <c r="BC157" i="14609"/>
  <c r="BD157" i="14609"/>
  <c r="BE157" i="14609"/>
  <c r="BF157" i="14609"/>
  <c r="BG157" i="14609"/>
  <c r="BH157" i="14609"/>
  <c r="BI157" i="14609"/>
  <c r="BJ157" i="14609"/>
  <c r="BK157" i="14609"/>
  <c r="BL157" i="14609"/>
  <c r="BM157" i="14609"/>
  <c r="BN157" i="14609"/>
  <c r="BO157" i="14609"/>
  <c r="BP157" i="14609"/>
  <c r="BQ157" i="14609"/>
  <c r="BR157" i="14609"/>
  <c r="BS157" i="14609"/>
  <c r="BT157" i="14609"/>
  <c r="BU157" i="14609"/>
  <c r="BV157" i="14609"/>
  <c r="BW157" i="14609"/>
  <c r="BX157" i="14609"/>
  <c r="BY157" i="14609"/>
  <c r="BZ157" i="14609"/>
  <c r="CA157" i="14609"/>
  <c r="CB157" i="14609"/>
  <c r="CC157" i="14609"/>
  <c r="CD157" i="14609"/>
  <c r="CE157" i="14609"/>
  <c r="CF157" i="14609"/>
  <c r="CG157" i="14609"/>
  <c r="CH157" i="14609"/>
  <c r="CI157" i="14609"/>
  <c r="CJ157" i="14609"/>
  <c r="CK157" i="14609"/>
  <c r="CL157" i="14609"/>
  <c r="CM157" i="14609"/>
  <c r="CN157" i="14609"/>
  <c r="CO157" i="14609"/>
  <c r="CP157" i="14609"/>
  <c r="CQ157" i="14609"/>
  <c r="CR157" i="14609"/>
  <c r="CS157" i="14609"/>
  <c r="CT157" i="14609"/>
  <c r="CU157" i="14609"/>
  <c r="CV157" i="14609"/>
  <c r="CW157" i="14609"/>
  <c r="CX157" i="14609"/>
  <c r="CY157" i="14609"/>
  <c r="CZ157" i="14609"/>
  <c r="DA157" i="14609"/>
  <c r="DB157" i="14609"/>
  <c r="DC157" i="14609"/>
  <c r="DD157" i="14609"/>
  <c r="DE157" i="14609"/>
  <c r="DF157" i="14609"/>
  <c r="DG157" i="14609"/>
  <c r="DH157" i="14609"/>
  <c r="DI157" i="14609"/>
  <c r="DJ157" i="14609"/>
  <c r="DK157" i="14609"/>
  <c r="DL157" i="14609"/>
  <c r="DM157" i="14609"/>
  <c r="DN157" i="14609"/>
  <c r="DO157" i="14609"/>
  <c r="DP157" i="14609"/>
  <c r="DQ157" i="14609"/>
  <c r="DR157" i="14609"/>
  <c r="DS157" i="14609"/>
  <c r="DT157" i="14609"/>
  <c r="DU157" i="14609"/>
  <c r="DV157" i="14609"/>
  <c r="DW157" i="14609"/>
  <c r="DX157" i="14609"/>
  <c r="DY157" i="14609"/>
  <c r="DZ157" i="14609"/>
  <c r="EA157" i="14609"/>
  <c r="EB157" i="14609"/>
  <c r="EC157" i="14609"/>
  <c r="ED157" i="14609"/>
  <c r="EE157" i="14609"/>
  <c r="EF157" i="14609"/>
  <c r="EG157" i="14609"/>
  <c r="EH157" i="14609"/>
  <c r="EI157" i="14609"/>
  <c r="EJ157" i="14609"/>
  <c r="EK157" i="14609"/>
  <c r="EL157" i="14609"/>
  <c r="EM157" i="14609"/>
  <c r="EN157" i="14609"/>
  <c r="EO157" i="14609"/>
  <c r="EP157" i="14609"/>
  <c r="EQ157" i="14609"/>
  <c r="ER157" i="14609"/>
  <c r="ES157" i="14609"/>
  <c r="ET157" i="14609"/>
  <c r="EU157" i="14609"/>
  <c r="EV157" i="14609"/>
  <c r="EW157" i="14609"/>
  <c r="EX157" i="14609"/>
  <c r="EY157" i="14609"/>
  <c r="EZ157" i="14609"/>
  <c r="FA157" i="14609"/>
  <c r="FB157" i="14609"/>
  <c r="FC157" i="14609"/>
  <c r="FD157" i="14609"/>
  <c r="FE157" i="14609"/>
  <c r="FF157" i="14609"/>
  <c r="FG157" i="14609"/>
  <c r="FH157" i="14609"/>
  <c r="FI157" i="14609"/>
  <c r="FJ157" i="14609"/>
  <c r="FK157" i="14609"/>
  <c r="FL157" i="14609"/>
  <c r="FM157" i="14609"/>
  <c r="FN157" i="14609"/>
  <c r="FO157" i="14609"/>
  <c r="FP157" i="14609"/>
  <c r="FQ157" i="14609"/>
  <c r="FR157" i="14609"/>
  <c r="FS157" i="14609"/>
  <c r="FT157" i="14609"/>
  <c r="FU157" i="14609"/>
  <c r="FV157" i="14609"/>
  <c r="FW157" i="14609"/>
  <c r="FX157" i="14609"/>
  <c r="FY157" i="14609"/>
  <c r="FZ157" i="14609"/>
  <c r="GA157" i="14609"/>
  <c r="GB157" i="14609"/>
  <c r="GC157" i="14609"/>
  <c r="GD157" i="14609"/>
  <c r="GE157" i="14609"/>
  <c r="GF157" i="14609"/>
  <c r="GG157" i="14609"/>
  <c r="GH157" i="14609"/>
  <c r="GI157" i="14609"/>
  <c r="GJ157" i="14609"/>
  <c r="GK157" i="14609"/>
  <c r="GL157" i="14609"/>
  <c r="GM157" i="14609"/>
  <c r="GN157" i="14609"/>
  <c r="GO157" i="14609"/>
  <c r="GP157" i="14609"/>
  <c r="GQ157" i="14609"/>
  <c r="GR157" i="14609"/>
  <c r="GS157" i="14609"/>
  <c r="GT157" i="14609"/>
  <c r="GU157" i="14609"/>
  <c r="GV157" i="14609"/>
  <c r="GW157" i="14609"/>
  <c r="GX157" i="14609"/>
  <c r="GY157" i="14609"/>
  <c r="GZ157" i="14609"/>
  <c r="HA157" i="14609"/>
  <c r="HB157" i="14609"/>
  <c r="HC157" i="14609"/>
  <c r="HD157" i="14609"/>
  <c r="HE157" i="14609"/>
  <c r="HF157" i="14609"/>
  <c r="HG157" i="14609"/>
  <c r="HH157" i="14609"/>
  <c r="HI157" i="14609"/>
  <c r="HJ157" i="14609"/>
  <c r="HK157" i="14609"/>
  <c r="HL157" i="14609"/>
  <c r="HM157" i="14609"/>
  <c r="HN157" i="14609"/>
  <c r="HO157" i="14609"/>
  <c r="HP157" i="14609"/>
  <c r="HQ157" i="14609"/>
  <c r="HR157" i="14609"/>
  <c r="HS157" i="14609"/>
  <c r="HT157" i="14609"/>
  <c r="HU157" i="14609"/>
  <c r="HV157" i="14609"/>
  <c r="HW157" i="14609"/>
  <c r="HX157" i="14609"/>
  <c r="HY157" i="14609"/>
  <c r="HZ157" i="14609"/>
  <c r="IA157" i="14609"/>
  <c r="IB157" i="14609"/>
  <c r="IC157" i="14609"/>
  <c r="ID157" i="14609"/>
  <c r="IE157" i="14609"/>
  <c r="IF157" i="14609"/>
  <c r="IG157" i="14609"/>
  <c r="IH157" i="14609"/>
  <c r="II157" i="14609"/>
  <c r="IJ157" i="14609"/>
  <c r="IK157" i="14609"/>
  <c r="IL157" i="14609"/>
  <c r="IM157" i="14609"/>
  <c r="IN157" i="14609"/>
  <c r="IO157" i="14609"/>
  <c r="IP157" i="14609"/>
  <c r="IQ157" i="14609"/>
  <c r="IR157" i="14609"/>
  <c r="IS157" i="14609"/>
  <c r="IT157" i="14609"/>
  <c r="IU157" i="14609"/>
  <c r="IV157" i="14609"/>
  <c r="A156" i="14609"/>
  <c r="B156" i="14609"/>
  <c r="C156" i="14609"/>
  <c r="D156" i="14609"/>
  <c r="E156" i="14609"/>
  <c r="F156" i="14609"/>
  <c r="G156" i="14609"/>
  <c r="H156" i="14609"/>
  <c r="I156" i="14609"/>
  <c r="J156" i="14609"/>
  <c r="K156" i="14609"/>
  <c r="L156" i="14609"/>
  <c r="M156" i="14609"/>
  <c r="N156" i="14609"/>
  <c r="O156" i="14609"/>
  <c r="P156" i="14609"/>
  <c r="Q156" i="14609"/>
  <c r="R156" i="14609"/>
  <c r="S156" i="14609"/>
  <c r="T156" i="14609"/>
  <c r="U156" i="14609"/>
  <c r="V156" i="14609"/>
  <c r="W156" i="14609"/>
  <c r="X156" i="14609"/>
  <c r="Y156" i="14609"/>
  <c r="Z156" i="14609"/>
  <c r="AA156" i="14609"/>
  <c r="AB156" i="14609"/>
  <c r="AC156" i="14609"/>
  <c r="AD156" i="14609"/>
  <c r="AE156" i="14609"/>
  <c r="AF156" i="14609"/>
  <c r="AG156" i="14609"/>
  <c r="AH156" i="14609"/>
  <c r="AI156" i="14609"/>
  <c r="AJ156" i="14609"/>
  <c r="AK156" i="14609"/>
  <c r="AL156" i="14609"/>
  <c r="AM156" i="14609"/>
  <c r="AN156" i="14609"/>
  <c r="AO156" i="14609"/>
  <c r="AP156" i="14609"/>
  <c r="AQ156" i="14609"/>
  <c r="AR156" i="14609"/>
  <c r="AS156" i="14609"/>
  <c r="AT156" i="14609"/>
  <c r="AU156" i="14609"/>
  <c r="AV156" i="14609"/>
  <c r="AW156" i="14609"/>
  <c r="AX156" i="14609"/>
  <c r="AY156" i="14609"/>
  <c r="AZ156" i="14609"/>
  <c r="BA156" i="14609"/>
  <c r="BB156" i="14609"/>
  <c r="BC156" i="14609"/>
  <c r="BD156" i="14609"/>
  <c r="BE156" i="14609"/>
  <c r="BF156" i="14609"/>
  <c r="BG156" i="14609"/>
  <c r="BH156" i="14609"/>
  <c r="BI156" i="14609"/>
  <c r="BJ156" i="14609"/>
  <c r="BK156" i="14609"/>
  <c r="BL156" i="14609"/>
  <c r="BM156" i="14609"/>
  <c r="BN156" i="14609"/>
  <c r="BO156" i="14609"/>
  <c r="BP156" i="14609"/>
  <c r="BQ156" i="14609"/>
  <c r="BR156" i="14609"/>
  <c r="BS156" i="14609"/>
  <c r="BT156" i="14609"/>
  <c r="BU156" i="14609"/>
  <c r="BV156" i="14609"/>
  <c r="BW156" i="14609"/>
  <c r="BX156" i="14609"/>
  <c r="BY156" i="14609"/>
  <c r="BZ156" i="14609"/>
  <c r="CA156" i="14609"/>
  <c r="CB156" i="14609"/>
  <c r="CC156" i="14609"/>
  <c r="CD156" i="14609"/>
  <c r="CE156" i="14609"/>
  <c r="CF156" i="14609"/>
  <c r="CG156" i="14609"/>
  <c r="CH156" i="14609"/>
  <c r="CI156" i="14609"/>
  <c r="CJ156" i="14609"/>
  <c r="CK156" i="14609"/>
  <c r="CL156" i="14609"/>
  <c r="CM156" i="14609"/>
  <c r="CN156" i="14609"/>
  <c r="CO156" i="14609"/>
  <c r="CP156" i="14609"/>
  <c r="CQ156" i="14609"/>
  <c r="CR156" i="14609"/>
  <c r="CS156" i="14609"/>
  <c r="CT156" i="14609"/>
  <c r="CU156" i="14609"/>
  <c r="CV156" i="14609"/>
  <c r="CW156" i="14609"/>
  <c r="CX156" i="14609"/>
  <c r="CY156" i="14609"/>
  <c r="CZ156" i="14609"/>
  <c r="DA156" i="14609"/>
  <c r="DB156" i="14609"/>
  <c r="DC156" i="14609"/>
  <c r="DD156" i="14609"/>
  <c r="DE156" i="14609"/>
  <c r="DF156" i="14609"/>
  <c r="DG156" i="14609"/>
  <c r="DH156" i="14609"/>
  <c r="DI156" i="14609"/>
  <c r="DJ156" i="14609"/>
  <c r="DK156" i="14609"/>
  <c r="DL156" i="14609"/>
  <c r="DM156" i="14609"/>
  <c r="DN156" i="14609"/>
  <c r="DO156" i="14609"/>
  <c r="DP156" i="14609"/>
  <c r="DQ156" i="14609"/>
  <c r="DR156" i="14609"/>
  <c r="DS156" i="14609"/>
  <c r="DT156" i="14609"/>
  <c r="DU156" i="14609"/>
  <c r="DV156" i="14609"/>
  <c r="DW156" i="14609"/>
  <c r="DX156" i="14609"/>
  <c r="DY156" i="14609"/>
  <c r="DZ156" i="14609"/>
  <c r="EA156" i="14609"/>
  <c r="EB156" i="14609"/>
  <c r="EC156" i="14609"/>
  <c r="ED156" i="14609"/>
  <c r="EE156" i="14609"/>
  <c r="EF156" i="14609"/>
  <c r="EG156" i="14609"/>
  <c r="EH156" i="14609"/>
  <c r="EI156" i="14609"/>
  <c r="EJ156" i="14609"/>
  <c r="EK156" i="14609"/>
  <c r="EL156" i="14609"/>
  <c r="EM156" i="14609"/>
  <c r="EN156" i="14609"/>
  <c r="EO156" i="14609"/>
  <c r="EP156" i="14609"/>
  <c r="EQ156" i="14609"/>
  <c r="ER156" i="14609"/>
  <c r="ES156" i="14609"/>
  <c r="ET156" i="14609"/>
  <c r="EU156" i="14609"/>
  <c r="EV156" i="14609"/>
  <c r="EW156" i="14609"/>
  <c r="EX156" i="14609"/>
  <c r="EY156" i="14609"/>
  <c r="EZ156" i="14609"/>
  <c r="FA156" i="14609"/>
  <c r="FB156" i="14609"/>
  <c r="FC156" i="14609"/>
  <c r="FD156" i="14609"/>
  <c r="FE156" i="14609"/>
  <c r="FF156" i="14609"/>
  <c r="FG156" i="14609"/>
  <c r="FH156" i="14609"/>
  <c r="FI156" i="14609"/>
  <c r="FJ156" i="14609"/>
  <c r="FK156" i="14609"/>
  <c r="FL156" i="14609"/>
  <c r="FM156" i="14609"/>
  <c r="FN156" i="14609"/>
  <c r="FO156" i="14609"/>
  <c r="FP156" i="14609"/>
  <c r="FQ156" i="14609"/>
  <c r="FR156" i="14609"/>
  <c r="FS156" i="14609"/>
  <c r="FT156" i="14609"/>
  <c r="FU156" i="14609"/>
  <c r="FV156" i="14609"/>
  <c r="FW156" i="14609"/>
  <c r="FX156" i="14609"/>
  <c r="FY156" i="14609"/>
  <c r="FZ156" i="14609"/>
  <c r="GA156" i="14609"/>
  <c r="GB156" i="14609"/>
  <c r="GC156" i="14609"/>
  <c r="GD156" i="14609"/>
  <c r="GE156" i="14609"/>
  <c r="GF156" i="14609"/>
  <c r="GG156" i="14609"/>
  <c r="GH156" i="14609"/>
  <c r="GI156" i="14609"/>
  <c r="GJ156" i="14609"/>
  <c r="GK156" i="14609"/>
  <c r="GL156" i="14609"/>
  <c r="GM156" i="14609"/>
  <c r="GN156" i="14609"/>
  <c r="GO156" i="14609"/>
  <c r="GP156" i="14609"/>
  <c r="GQ156" i="14609"/>
  <c r="GR156" i="14609"/>
  <c r="GS156" i="14609"/>
  <c r="GT156" i="14609"/>
  <c r="GU156" i="14609"/>
  <c r="GV156" i="14609"/>
  <c r="GW156" i="14609"/>
  <c r="GX156" i="14609"/>
  <c r="GY156" i="14609"/>
  <c r="GZ156" i="14609"/>
  <c r="HA156" i="14609"/>
  <c r="HB156" i="14609"/>
  <c r="HC156" i="14609"/>
  <c r="HD156" i="14609"/>
  <c r="HE156" i="14609"/>
  <c r="HF156" i="14609"/>
  <c r="HG156" i="14609"/>
  <c r="HH156" i="14609"/>
  <c r="HI156" i="14609"/>
  <c r="HJ156" i="14609"/>
  <c r="HK156" i="14609"/>
  <c r="HL156" i="14609"/>
  <c r="HM156" i="14609"/>
  <c r="HN156" i="14609"/>
  <c r="HO156" i="14609"/>
  <c r="HP156" i="14609"/>
  <c r="HQ156" i="14609"/>
  <c r="HR156" i="14609"/>
  <c r="HS156" i="14609"/>
  <c r="HT156" i="14609"/>
  <c r="HU156" i="14609"/>
  <c r="HV156" i="14609"/>
  <c r="HW156" i="14609"/>
  <c r="HX156" i="14609"/>
  <c r="HY156" i="14609"/>
  <c r="HZ156" i="14609"/>
  <c r="IA156" i="14609"/>
  <c r="IB156" i="14609"/>
  <c r="IC156" i="14609"/>
  <c r="ID156" i="14609"/>
  <c r="IE156" i="14609"/>
  <c r="IF156" i="14609"/>
  <c r="IG156" i="14609"/>
  <c r="IH156" i="14609"/>
  <c r="II156" i="14609"/>
  <c r="IJ156" i="14609"/>
  <c r="IK156" i="14609"/>
  <c r="IL156" i="14609"/>
  <c r="IM156" i="14609"/>
  <c r="IN156" i="14609"/>
  <c r="IO156" i="14609"/>
  <c r="IP156" i="14609"/>
  <c r="IQ156" i="14609"/>
  <c r="IR156" i="14609"/>
  <c r="IS156" i="14609"/>
  <c r="IT156" i="14609"/>
  <c r="IU156" i="14609"/>
  <c r="IV156" i="14609"/>
  <c r="A155" i="14609"/>
  <c r="B155" i="14609"/>
  <c r="C155" i="14609"/>
  <c r="D155" i="14609"/>
  <c r="E155" i="14609"/>
  <c r="F155" i="14609"/>
  <c r="G155" i="14609"/>
  <c r="H155" i="14609"/>
  <c r="I155" i="14609"/>
  <c r="J155" i="14609"/>
  <c r="K155" i="14609"/>
  <c r="L155" i="14609"/>
  <c r="M155" i="14609"/>
  <c r="N155" i="14609"/>
  <c r="O155" i="14609"/>
  <c r="P155" i="14609"/>
  <c r="Q155" i="14609"/>
  <c r="R155" i="14609"/>
  <c r="S155" i="14609"/>
  <c r="T155" i="14609"/>
  <c r="U155" i="14609"/>
  <c r="V155" i="14609"/>
  <c r="W155" i="14609"/>
  <c r="X155" i="14609"/>
  <c r="Y155" i="14609"/>
  <c r="Z155" i="14609"/>
  <c r="AA155" i="14609"/>
  <c r="AB155" i="14609"/>
  <c r="AC155" i="14609"/>
  <c r="AD155" i="14609"/>
  <c r="AE155" i="14609"/>
  <c r="AF155" i="14609"/>
  <c r="AG155" i="14609"/>
  <c r="AH155" i="14609"/>
  <c r="AI155" i="14609"/>
  <c r="AJ155" i="14609"/>
  <c r="AK155" i="14609"/>
  <c r="AL155" i="14609"/>
  <c r="AM155" i="14609"/>
  <c r="AN155" i="14609"/>
  <c r="AO155" i="14609"/>
  <c r="AP155" i="14609"/>
  <c r="AQ155" i="14609"/>
  <c r="AR155" i="14609"/>
  <c r="AS155" i="14609"/>
  <c r="AT155" i="14609"/>
  <c r="AU155" i="14609"/>
  <c r="AV155" i="14609"/>
  <c r="AW155" i="14609"/>
  <c r="AX155" i="14609"/>
  <c r="AY155" i="14609"/>
  <c r="AZ155" i="14609"/>
  <c r="BA155" i="14609"/>
  <c r="BB155" i="14609"/>
  <c r="BC155" i="14609"/>
  <c r="BD155" i="14609"/>
  <c r="BE155" i="14609"/>
  <c r="BF155" i="14609"/>
  <c r="BG155" i="14609"/>
  <c r="BH155" i="14609"/>
  <c r="BI155" i="14609"/>
  <c r="BJ155" i="14609"/>
  <c r="BK155" i="14609"/>
  <c r="BL155" i="14609"/>
  <c r="BM155" i="14609"/>
  <c r="BN155" i="14609"/>
  <c r="BO155" i="14609"/>
  <c r="BP155" i="14609"/>
  <c r="BQ155" i="14609"/>
  <c r="BR155" i="14609"/>
  <c r="BS155" i="14609"/>
  <c r="BT155" i="14609"/>
  <c r="BU155" i="14609"/>
  <c r="BV155" i="14609"/>
  <c r="BW155" i="14609"/>
  <c r="BX155" i="14609"/>
  <c r="BY155" i="14609"/>
  <c r="BZ155" i="14609"/>
  <c r="CA155" i="14609"/>
  <c r="CB155" i="14609"/>
  <c r="CC155" i="14609"/>
  <c r="CD155" i="14609"/>
  <c r="CE155" i="14609"/>
  <c r="CF155" i="14609"/>
  <c r="CG155" i="14609"/>
  <c r="CH155" i="14609"/>
  <c r="CI155" i="14609"/>
  <c r="CJ155" i="14609"/>
  <c r="CK155" i="14609"/>
  <c r="CL155" i="14609"/>
  <c r="CM155" i="14609"/>
  <c r="CN155" i="14609"/>
  <c r="CO155" i="14609"/>
  <c r="CP155" i="14609"/>
  <c r="CQ155" i="14609"/>
  <c r="CR155" i="14609"/>
  <c r="CS155" i="14609"/>
  <c r="CT155" i="14609"/>
  <c r="CU155" i="14609"/>
  <c r="CV155" i="14609"/>
  <c r="CW155" i="14609"/>
  <c r="CX155" i="14609"/>
  <c r="CY155" i="14609"/>
  <c r="CZ155" i="14609"/>
  <c r="DA155" i="14609"/>
  <c r="DB155" i="14609"/>
  <c r="DC155" i="14609"/>
  <c r="DD155" i="14609"/>
  <c r="DE155" i="14609"/>
  <c r="DF155" i="14609"/>
  <c r="DG155" i="14609"/>
  <c r="DH155" i="14609"/>
  <c r="DI155" i="14609"/>
  <c r="DJ155" i="14609"/>
  <c r="DK155" i="14609"/>
  <c r="DL155" i="14609"/>
  <c r="DM155" i="14609"/>
  <c r="DN155" i="14609"/>
  <c r="DO155" i="14609"/>
  <c r="DP155" i="14609"/>
  <c r="DQ155" i="14609"/>
  <c r="DR155" i="14609"/>
  <c r="DS155" i="14609"/>
  <c r="DT155" i="14609"/>
  <c r="DU155" i="14609"/>
  <c r="DV155" i="14609"/>
  <c r="DW155" i="14609"/>
  <c r="DX155" i="14609"/>
  <c r="DY155" i="14609"/>
  <c r="DZ155" i="14609"/>
  <c r="EA155" i="14609"/>
  <c r="EB155" i="14609"/>
  <c r="EC155" i="14609"/>
  <c r="ED155" i="14609"/>
  <c r="EE155" i="14609"/>
  <c r="EF155" i="14609"/>
  <c r="EG155" i="14609"/>
  <c r="EH155" i="14609"/>
  <c r="EI155" i="14609"/>
  <c r="EJ155" i="14609"/>
  <c r="EK155" i="14609"/>
  <c r="EL155" i="14609"/>
  <c r="EM155" i="14609"/>
  <c r="EN155" i="14609"/>
  <c r="EO155" i="14609"/>
  <c r="EP155" i="14609"/>
  <c r="EQ155" i="14609"/>
  <c r="ER155" i="14609"/>
  <c r="ES155" i="14609"/>
  <c r="ET155" i="14609"/>
  <c r="EU155" i="14609"/>
  <c r="EV155" i="14609"/>
  <c r="EW155" i="14609"/>
  <c r="EX155" i="14609"/>
  <c r="EY155" i="14609"/>
  <c r="EZ155" i="14609"/>
  <c r="FA155" i="14609"/>
  <c r="FB155" i="14609"/>
  <c r="FC155" i="14609"/>
  <c r="FD155" i="14609"/>
  <c r="FE155" i="14609"/>
  <c r="FF155" i="14609"/>
  <c r="FG155" i="14609"/>
  <c r="FH155" i="14609"/>
  <c r="FI155" i="14609"/>
  <c r="FJ155" i="14609"/>
  <c r="FK155" i="14609"/>
  <c r="FL155" i="14609"/>
  <c r="FM155" i="14609"/>
  <c r="FN155" i="14609"/>
  <c r="FO155" i="14609"/>
  <c r="FP155" i="14609"/>
  <c r="FQ155" i="14609"/>
  <c r="FR155" i="14609"/>
  <c r="FS155" i="14609"/>
  <c r="FT155" i="14609"/>
  <c r="FU155" i="14609"/>
  <c r="FV155" i="14609"/>
  <c r="FW155" i="14609"/>
  <c r="FX155" i="14609"/>
  <c r="FY155" i="14609"/>
  <c r="FZ155" i="14609"/>
  <c r="GA155" i="14609"/>
  <c r="GB155" i="14609"/>
  <c r="GC155" i="14609"/>
  <c r="GD155" i="14609"/>
  <c r="GE155" i="14609"/>
  <c r="GF155" i="14609"/>
  <c r="GG155" i="14609"/>
  <c r="GH155" i="14609"/>
  <c r="GI155" i="14609"/>
  <c r="GJ155" i="14609"/>
  <c r="GK155" i="14609"/>
  <c r="GL155" i="14609"/>
  <c r="GM155" i="14609"/>
  <c r="GN155" i="14609"/>
  <c r="GO155" i="14609"/>
  <c r="GP155" i="14609"/>
  <c r="GQ155" i="14609"/>
  <c r="GR155" i="14609"/>
  <c r="GS155" i="14609"/>
  <c r="GT155" i="14609"/>
  <c r="GU155" i="14609"/>
  <c r="GV155" i="14609"/>
  <c r="GW155" i="14609"/>
  <c r="GX155" i="14609"/>
  <c r="GY155" i="14609"/>
  <c r="GZ155" i="14609"/>
  <c r="HA155" i="14609"/>
  <c r="HB155" i="14609"/>
  <c r="HC155" i="14609"/>
  <c r="HD155" i="14609"/>
  <c r="HE155" i="14609"/>
  <c r="HF155" i="14609"/>
  <c r="HG155" i="14609"/>
  <c r="HH155" i="14609"/>
  <c r="HI155" i="14609"/>
  <c r="HJ155" i="14609"/>
  <c r="HK155" i="14609"/>
  <c r="HL155" i="14609"/>
  <c r="HM155" i="14609"/>
  <c r="HN155" i="14609"/>
  <c r="HO155" i="14609"/>
  <c r="HP155" i="14609"/>
  <c r="HQ155" i="14609"/>
  <c r="HR155" i="14609"/>
  <c r="HS155" i="14609"/>
  <c r="HT155" i="14609"/>
  <c r="HU155" i="14609"/>
  <c r="HV155" i="14609"/>
  <c r="HW155" i="14609"/>
  <c r="HX155" i="14609"/>
  <c r="HY155" i="14609"/>
  <c r="HZ155" i="14609"/>
  <c r="IA155" i="14609"/>
  <c r="IB155" i="14609"/>
  <c r="IC155" i="14609"/>
  <c r="ID155" i="14609"/>
  <c r="IE155" i="14609"/>
  <c r="IF155" i="14609"/>
  <c r="IG155" i="14609"/>
  <c r="IH155" i="14609"/>
  <c r="II155" i="14609"/>
  <c r="IJ155" i="14609"/>
  <c r="IK155" i="14609"/>
  <c r="IL155" i="14609"/>
  <c r="IM155" i="14609"/>
  <c r="IN155" i="14609"/>
  <c r="IO155" i="14609"/>
  <c r="IP155" i="14609"/>
  <c r="IQ155" i="14609"/>
  <c r="IR155" i="14609"/>
  <c r="IS155" i="14609"/>
  <c r="IT155" i="14609"/>
  <c r="IU155" i="14609"/>
  <c r="IV155" i="14609"/>
  <c r="A154" i="14609"/>
  <c r="B154" i="14609"/>
  <c r="C154" i="14609"/>
  <c r="D154" i="14609"/>
  <c r="E154" i="14609"/>
  <c r="F154" i="14609"/>
  <c r="G154" i="14609"/>
  <c r="H154" i="14609"/>
  <c r="I154" i="14609"/>
  <c r="J154" i="14609"/>
  <c r="K154" i="14609"/>
  <c r="L154" i="14609"/>
  <c r="M154" i="14609"/>
  <c r="N154" i="14609"/>
  <c r="O154" i="14609"/>
  <c r="P154" i="14609"/>
  <c r="Q154" i="14609"/>
  <c r="R154" i="14609"/>
  <c r="S154" i="14609"/>
  <c r="T154" i="14609"/>
  <c r="U154" i="14609"/>
  <c r="V154" i="14609"/>
  <c r="W154" i="14609"/>
  <c r="X154" i="14609"/>
  <c r="Y154" i="14609"/>
  <c r="Z154" i="14609"/>
  <c r="AA154" i="14609"/>
  <c r="AB154" i="14609"/>
  <c r="AC154" i="14609"/>
  <c r="AD154" i="14609"/>
  <c r="AE154" i="14609"/>
  <c r="AF154" i="14609"/>
  <c r="AG154" i="14609"/>
  <c r="AH154" i="14609"/>
  <c r="AI154" i="14609"/>
  <c r="AJ154" i="14609"/>
  <c r="AK154" i="14609"/>
  <c r="AL154" i="14609"/>
  <c r="AM154" i="14609"/>
  <c r="AN154" i="14609"/>
  <c r="AO154" i="14609"/>
  <c r="AP154" i="14609"/>
  <c r="AQ154" i="14609"/>
  <c r="AR154" i="14609"/>
  <c r="AS154" i="14609"/>
  <c r="AT154" i="14609"/>
  <c r="AU154" i="14609"/>
  <c r="AV154" i="14609"/>
  <c r="AW154" i="14609"/>
  <c r="AX154" i="14609"/>
  <c r="AY154" i="14609"/>
  <c r="AZ154" i="14609"/>
  <c r="BA154" i="14609"/>
  <c r="BB154" i="14609"/>
  <c r="BC154" i="14609"/>
  <c r="BD154" i="14609"/>
  <c r="BE154" i="14609"/>
  <c r="BF154" i="14609"/>
  <c r="BG154" i="14609"/>
  <c r="BH154" i="14609"/>
  <c r="BI154" i="14609"/>
  <c r="BJ154" i="14609"/>
  <c r="BK154" i="14609"/>
  <c r="BL154" i="14609"/>
  <c r="BM154" i="14609"/>
  <c r="BN154" i="14609"/>
  <c r="BO154" i="14609"/>
  <c r="BP154" i="14609"/>
  <c r="BQ154" i="14609"/>
  <c r="BR154" i="14609"/>
  <c r="BS154" i="14609"/>
  <c r="BT154" i="14609"/>
  <c r="BU154" i="14609"/>
  <c r="BV154" i="14609"/>
  <c r="BW154" i="14609"/>
  <c r="BX154" i="14609"/>
  <c r="BY154" i="14609"/>
  <c r="BZ154" i="14609"/>
  <c r="CA154" i="14609"/>
  <c r="CB154" i="14609"/>
  <c r="CC154" i="14609"/>
  <c r="CD154" i="14609"/>
  <c r="CE154" i="14609"/>
  <c r="CF154" i="14609"/>
  <c r="CG154" i="14609"/>
  <c r="CH154" i="14609"/>
  <c r="CI154" i="14609"/>
  <c r="CJ154" i="14609"/>
  <c r="CK154" i="14609"/>
  <c r="CL154" i="14609"/>
  <c r="CM154" i="14609"/>
  <c r="CN154" i="14609"/>
  <c r="CO154" i="14609"/>
  <c r="CP154" i="14609"/>
  <c r="CQ154" i="14609"/>
  <c r="CR154" i="14609"/>
  <c r="CS154" i="14609"/>
  <c r="CT154" i="14609"/>
  <c r="CU154" i="14609"/>
  <c r="CV154" i="14609"/>
  <c r="CW154" i="14609"/>
  <c r="CX154" i="14609"/>
  <c r="CY154" i="14609"/>
  <c r="CZ154" i="14609"/>
  <c r="DA154" i="14609"/>
  <c r="DB154" i="14609"/>
  <c r="DC154" i="14609"/>
  <c r="DD154" i="14609"/>
  <c r="DE154" i="14609"/>
  <c r="DF154" i="14609"/>
  <c r="DG154" i="14609"/>
  <c r="DH154" i="14609"/>
  <c r="DI154" i="14609"/>
  <c r="DJ154" i="14609"/>
  <c r="DK154" i="14609"/>
  <c r="DL154" i="14609"/>
  <c r="DM154" i="14609"/>
  <c r="DN154" i="14609"/>
  <c r="DO154" i="14609"/>
  <c r="DP154" i="14609"/>
  <c r="DQ154" i="14609"/>
  <c r="DR154" i="14609"/>
  <c r="DS154" i="14609"/>
  <c r="DT154" i="14609"/>
  <c r="DU154" i="14609"/>
  <c r="DV154" i="14609"/>
  <c r="DW154" i="14609"/>
  <c r="DX154" i="14609"/>
  <c r="DY154" i="14609"/>
  <c r="DZ154" i="14609"/>
  <c r="EA154" i="14609"/>
  <c r="EB154" i="14609"/>
  <c r="EC154" i="14609"/>
  <c r="ED154" i="14609"/>
  <c r="EE154" i="14609"/>
  <c r="EF154" i="14609"/>
  <c r="EG154" i="14609"/>
  <c r="EH154" i="14609"/>
  <c r="EI154" i="14609"/>
  <c r="EJ154" i="14609"/>
  <c r="EK154" i="14609"/>
  <c r="EL154" i="14609"/>
  <c r="EM154" i="14609"/>
  <c r="EN154" i="14609"/>
  <c r="EO154" i="14609"/>
  <c r="EP154" i="14609"/>
  <c r="EQ154" i="14609"/>
  <c r="ER154" i="14609"/>
  <c r="ES154" i="14609"/>
  <c r="ET154" i="14609"/>
  <c r="EU154" i="14609"/>
  <c r="EV154" i="14609"/>
  <c r="EW154" i="14609"/>
  <c r="EX154" i="14609"/>
  <c r="EY154" i="14609"/>
  <c r="EZ154" i="14609"/>
  <c r="FA154" i="14609"/>
  <c r="FB154" i="14609"/>
  <c r="FC154" i="14609"/>
  <c r="FD154" i="14609"/>
  <c r="FE154" i="14609"/>
  <c r="FF154" i="14609"/>
  <c r="FG154" i="14609"/>
  <c r="FH154" i="14609"/>
  <c r="FI154" i="14609"/>
  <c r="FJ154" i="14609"/>
  <c r="FK154" i="14609"/>
  <c r="FL154" i="14609"/>
  <c r="FM154" i="14609"/>
  <c r="FN154" i="14609"/>
  <c r="FO154" i="14609"/>
  <c r="FP154" i="14609"/>
  <c r="FQ154" i="14609"/>
  <c r="FR154" i="14609"/>
  <c r="FS154" i="14609"/>
  <c r="FT154" i="14609"/>
  <c r="FU154" i="14609"/>
  <c r="FV154" i="14609"/>
  <c r="FW154" i="14609"/>
  <c r="FX154" i="14609"/>
  <c r="FY154" i="14609"/>
  <c r="FZ154" i="14609"/>
  <c r="GA154" i="14609"/>
  <c r="GB154" i="14609"/>
  <c r="GC154" i="14609"/>
  <c r="GD154" i="14609"/>
  <c r="GE154" i="14609"/>
  <c r="GF154" i="14609"/>
  <c r="GG154" i="14609"/>
  <c r="GH154" i="14609"/>
  <c r="GI154" i="14609"/>
  <c r="GJ154" i="14609"/>
  <c r="GK154" i="14609"/>
  <c r="GL154" i="14609"/>
  <c r="GM154" i="14609"/>
  <c r="GN154" i="14609"/>
  <c r="GO154" i="14609"/>
  <c r="GP154" i="14609"/>
  <c r="GQ154" i="14609"/>
  <c r="GR154" i="14609"/>
  <c r="GS154" i="14609"/>
  <c r="GT154" i="14609"/>
  <c r="GU154" i="14609"/>
  <c r="GV154" i="14609"/>
  <c r="GW154" i="14609"/>
  <c r="GX154" i="14609"/>
  <c r="GY154" i="14609"/>
  <c r="GZ154" i="14609"/>
  <c r="HA154" i="14609"/>
  <c r="HB154" i="14609"/>
  <c r="HC154" i="14609"/>
  <c r="HD154" i="14609"/>
  <c r="HE154" i="14609"/>
  <c r="HF154" i="14609"/>
  <c r="HG154" i="14609"/>
  <c r="HH154" i="14609"/>
  <c r="HI154" i="14609"/>
  <c r="HJ154" i="14609"/>
  <c r="HK154" i="14609"/>
  <c r="HL154" i="14609"/>
  <c r="HM154" i="14609"/>
  <c r="HN154" i="14609"/>
  <c r="HO154" i="14609"/>
  <c r="HP154" i="14609"/>
  <c r="HQ154" i="14609"/>
  <c r="HR154" i="14609"/>
  <c r="HS154" i="14609"/>
  <c r="HT154" i="14609"/>
  <c r="HU154" i="14609"/>
  <c r="HV154" i="14609"/>
  <c r="HW154" i="14609"/>
  <c r="HX154" i="14609"/>
  <c r="HY154" i="14609"/>
  <c r="HZ154" i="14609"/>
  <c r="IA154" i="14609"/>
  <c r="IB154" i="14609"/>
  <c r="IC154" i="14609"/>
  <c r="ID154" i="14609"/>
  <c r="IE154" i="14609"/>
  <c r="IF154" i="14609"/>
  <c r="IG154" i="14609"/>
  <c r="IH154" i="14609"/>
  <c r="II154" i="14609"/>
  <c r="IJ154" i="14609"/>
  <c r="IK154" i="14609"/>
  <c r="IL154" i="14609"/>
  <c r="IM154" i="14609"/>
  <c r="IN154" i="14609"/>
  <c r="IO154" i="14609"/>
  <c r="IP154" i="14609"/>
  <c r="IQ154" i="14609"/>
  <c r="IR154" i="14609"/>
  <c r="IS154" i="14609"/>
  <c r="IT154" i="14609"/>
  <c r="IU154" i="14609"/>
  <c r="IV154" i="14609"/>
  <c r="A153" i="14609"/>
  <c r="B153" i="14609"/>
  <c r="C153" i="14609"/>
  <c r="D153" i="14609"/>
  <c r="E153" i="14609"/>
  <c r="F153" i="14609"/>
  <c r="G153" i="14609"/>
  <c r="H153" i="14609"/>
  <c r="I153" i="14609"/>
  <c r="J153" i="14609"/>
  <c r="K153" i="14609"/>
  <c r="L153" i="14609"/>
  <c r="M153" i="14609"/>
  <c r="N153" i="14609"/>
  <c r="O153" i="14609"/>
  <c r="P153" i="14609"/>
  <c r="Q153" i="14609"/>
  <c r="R153" i="14609"/>
  <c r="S153" i="14609"/>
  <c r="T153" i="14609"/>
  <c r="U153" i="14609"/>
  <c r="V153" i="14609"/>
  <c r="W153" i="14609"/>
  <c r="X153" i="14609"/>
  <c r="Y153" i="14609"/>
  <c r="Z153" i="14609"/>
  <c r="AA153" i="14609"/>
  <c r="AB153" i="14609"/>
  <c r="AC153" i="14609"/>
  <c r="AD153" i="14609"/>
  <c r="AE153" i="14609"/>
  <c r="AF153" i="14609"/>
  <c r="AG153" i="14609"/>
  <c r="AH153" i="14609"/>
  <c r="AI153" i="14609"/>
  <c r="AJ153" i="14609"/>
  <c r="AK153" i="14609"/>
  <c r="AL153" i="14609"/>
  <c r="AM153" i="14609"/>
  <c r="AN153" i="14609"/>
  <c r="AO153" i="14609"/>
  <c r="AP153" i="14609"/>
  <c r="AQ153" i="14609"/>
  <c r="AR153" i="14609"/>
  <c r="AS153" i="14609"/>
  <c r="AT153" i="14609"/>
  <c r="AU153" i="14609"/>
  <c r="AV153" i="14609"/>
  <c r="AW153" i="14609"/>
  <c r="AX153" i="14609"/>
  <c r="AY153" i="14609"/>
  <c r="AZ153" i="14609"/>
  <c r="BA153" i="14609"/>
  <c r="BB153" i="14609"/>
  <c r="BC153" i="14609"/>
  <c r="BD153" i="14609"/>
  <c r="BE153" i="14609"/>
  <c r="BF153" i="14609"/>
  <c r="BG153" i="14609"/>
  <c r="BH153" i="14609"/>
  <c r="BI153" i="14609"/>
  <c r="BJ153" i="14609"/>
  <c r="BK153" i="14609"/>
  <c r="BL153" i="14609"/>
  <c r="BM153" i="14609"/>
  <c r="BN153" i="14609"/>
  <c r="BO153" i="14609"/>
  <c r="BP153" i="14609"/>
  <c r="BQ153" i="14609"/>
  <c r="BR153" i="14609"/>
  <c r="BS153" i="14609"/>
  <c r="BT153" i="14609"/>
  <c r="BU153" i="14609"/>
  <c r="BV153" i="14609"/>
  <c r="BW153" i="14609"/>
  <c r="BX153" i="14609"/>
  <c r="BY153" i="14609"/>
  <c r="BZ153" i="14609"/>
  <c r="CA153" i="14609"/>
  <c r="CB153" i="14609"/>
  <c r="CC153" i="14609"/>
  <c r="CD153" i="14609"/>
  <c r="CE153" i="14609"/>
  <c r="CF153" i="14609"/>
  <c r="CG153" i="14609"/>
  <c r="CH153" i="14609"/>
  <c r="CI153" i="14609"/>
  <c r="CJ153" i="14609"/>
  <c r="CK153" i="14609"/>
  <c r="CL153" i="14609"/>
  <c r="CM153" i="14609"/>
  <c r="CN153" i="14609"/>
  <c r="CO153" i="14609"/>
  <c r="CP153" i="14609"/>
  <c r="CQ153" i="14609"/>
  <c r="CR153" i="14609"/>
  <c r="CS153" i="14609"/>
  <c r="CT153" i="14609"/>
  <c r="CU153" i="14609"/>
  <c r="CV153" i="14609"/>
  <c r="CW153" i="14609"/>
  <c r="CX153" i="14609"/>
  <c r="CY153" i="14609"/>
  <c r="CZ153" i="14609"/>
  <c r="DA153" i="14609"/>
  <c r="DB153" i="14609"/>
  <c r="DC153" i="14609"/>
  <c r="DD153" i="14609"/>
  <c r="DE153" i="14609"/>
  <c r="DF153" i="14609"/>
  <c r="DG153" i="14609"/>
  <c r="DH153" i="14609"/>
  <c r="DI153" i="14609"/>
  <c r="DJ153" i="14609"/>
  <c r="DK153" i="14609"/>
  <c r="DL153" i="14609"/>
  <c r="DM153" i="14609"/>
  <c r="DN153" i="14609"/>
  <c r="DO153" i="14609"/>
  <c r="DP153" i="14609"/>
  <c r="DQ153" i="14609"/>
  <c r="DR153" i="14609"/>
  <c r="DS153" i="14609"/>
  <c r="DT153" i="14609"/>
  <c r="DU153" i="14609"/>
  <c r="DV153" i="14609"/>
  <c r="DW153" i="14609"/>
  <c r="DX153" i="14609"/>
  <c r="DY153" i="14609"/>
  <c r="DZ153" i="14609"/>
  <c r="EA153" i="14609"/>
  <c r="EB153" i="14609"/>
  <c r="EC153" i="14609"/>
  <c r="ED153" i="14609"/>
  <c r="EE153" i="14609"/>
  <c r="EF153" i="14609"/>
  <c r="EG153" i="14609"/>
  <c r="EH153" i="14609"/>
  <c r="EI153" i="14609"/>
  <c r="EJ153" i="14609"/>
  <c r="EK153" i="14609"/>
  <c r="EL153" i="14609"/>
  <c r="EM153" i="14609"/>
  <c r="EN153" i="14609"/>
  <c r="EO153" i="14609"/>
  <c r="EP153" i="14609"/>
  <c r="EQ153" i="14609"/>
  <c r="ER153" i="14609"/>
  <c r="ES153" i="14609"/>
  <c r="ET153" i="14609"/>
  <c r="EU153" i="14609"/>
  <c r="EV153" i="14609"/>
  <c r="EW153" i="14609"/>
  <c r="EX153" i="14609"/>
  <c r="EY153" i="14609"/>
  <c r="EZ153" i="14609"/>
  <c r="FA153" i="14609"/>
  <c r="FB153" i="14609"/>
  <c r="FC153" i="14609"/>
  <c r="FD153" i="14609"/>
  <c r="FE153" i="14609"/>
  <c r="FF153" i="14609"/>
  <c r="FG153" i="14609"/>
  <c r="FH153" i="14609"/>
  <c r="FI153" i="14609"/>
  <c r="FJ153" i="14609"/>
  <c r="FK153" i="14609"/>
  <c r="FL153" i="14609"/>
  <c r="FM153" i="14609"/>
  <c r="FN153" i="14609"/>
  <c r="FO153" i="14609"/>
  <c r="FP153" i="14609"/>
  <c r="FQ153" i="14609"/>
  <c r="FR153" i="14609"/>
  <c r="FS153" i="14609"/>
  <c r="FT153" i="14609"/>
  <c r="FU153" i="14609"/>
  <c r="FV153" i="14609"/>
  <c r="FW153" i="14609"/>
  <c r="FX153" i="14609"/>
  <c r="FY153" i="14609"/>
  <c r="FZ153" i="14609"/>
  <c r="GA153" i="14609"/>
  <c r="GB153" i="14609"/>
  <c r="GC153" i="14609"/>
  <c r="GD153" i="14609"/>
  <c r="GE153" i="14609"/>
  <c r="GF153" i="14609"/>
  <c r="GG153" i="14609"/>
  <c r="GH153" i="14609"/>
  <c r="GI153" i="14609"/>
  <c r="GJ153" i="14609"/>
  <c r="GK153" i="14609"/>
  <c r="GL153" i="14609"/>
  <c r="GM153" i="14609"/>
  <c r="GN153" i="14609"/>
  <c r="GO153" i="14609"/>
  <c r="GP153" i="14609"/>
  <c r="GQ153" i="14609"/>
  <c r="GR153" i="14609"/>
  <c r="GS153" i="14609"/>
  <c r="GT153" i="14609"/>
  <c r="GU153" i="14609"/>
  <c r="GV153" i="14609"/>
  <c r="GW153" i="14609"/>
  <c r="GX153" i="14609"/>
  <c r="GY153" i="14609"/>
  <c r="GZ153" i="14609"/>
  <c r="HA153" i="14609"/>
  <c r="HB153" i="14609"/>
  <c r="HC153" i="14609"/>
  <c r="HD153" i="14609"/>
  <c r="HE153" i="14609"/>
  <c r="HF153" i="14609"/>
  <c r="HG153" i="14609"/>
  <c r="HH153" i="14609"/>
  <c r="HI153" i="14609"/>
  <c r="HJ153" i="14609"/>
  <c r="HK153" i="14609"/>
  <c r="HL153" i="14609"/>
  <c r="HM153" i="14609"/>
  <c r="HN153" i="14609"/>
  <c r="HO153" i="14609"/>
  <c r="HP153" i="14609"/>
  <c r="HQ153" i="14609"/>
  <c r="HR153" i="14609"/>
  <c r="HS153" i="14609"/>
  <c r="HT153" i="14609"/>
  <c r="HU153" i="14609"/>
  <c r="HV153" i="14609"/>
  <c r="HW153" i="14609"/>
  <c r="HX153" i="14609"/>
  <c r="HY153" i="14609"/>
  <c r="HZ153" i="14609"/>
  <c r="IA153" i="14609"/>
  <c r="IB153" i="14609"/>
  <c r="IC153" i="14609"/>
  <c r="ID153" i="14609"/>
  <c r="IE153" i="14609"/>
  <c r="IF153" i="14609"/>
  <c r="IG153" i="14609"/>
  <c r="IH153" i="14609"/>
  <c r="II153" i="14609"/>
  <c r="IJ153" i="14609"/>
  <c r="IK153" i="14609"/>
  <c r="IL153" i="14609"/>
  <c r="IM153" i="14609"/>
  <c r="IN153" i="14609"/>
  <c r="IO153" i="14609"/>
  <c r="IP153" i="14609"/>
  <c r="IQ153" i="14609"/>
  <c r="IR153" i="14609"/>
  <c r="IS153" i="14609"/>
  <c r="IT153" i="14609"/>
  <c r="IU153" i="14609"/>
  <c r="IV153" i="14609"/>
  <c r="A152" i="14609"/>
  <c r="B152" i="14609"/>
  <c r="C152" i="14609"/>
  <c r="D152" i="14609"/>
  <c r="E152" i="14609"/>
  <c r="F152" i="14609"/>
  <c r="G152" i="14609"/>
  <c r="H152" i="14609"/>
  <c r="I152" i="14609"/>
  <c r="J152" i="14609"/>
  <c r="K152" i="14609"/>
  <c r="L152" i="14609"/>
  <c r="M152" i="14609"/>
  <c r="N152" i="14609"/>
  <c r="O152" i="14609"/>
  <c r="P152" i="14609"/>
  <c r="Q152" i="14609"/>
  <c r="R152" i="14609"/>
  <c r="S152" i="14609"/>
  <c r="T152" i="14609"/>
  <c r="U152" i="14609"/>
  <c r="V152" i="14609"/>
  <c r="W152" i="14609"/>
  <c r="X152" i="14609"/>
  <c r="Y152" i="14609"/>
  <c r="Z152" i="14609"/>
  <c r="AA152" i="14609"/>
  <c r="AB152" i="14609"/>
  <c r="AC152" i="14609"/>
  <c r="AD152" i="14609"/>
  <c r="AE152" i="14609"/>
  <c r="AF152" i="14609"/>
  <c r="AG152" i="14609"/>
  <c r="AH152" i="14609"/>
  <c r="AI152" i="14609"/>
  <c r="AJ152" i="14609"/>
  <c r="AK152" i="14609"/>
  <c r="AL152" i="14609"/>
  <c r="AM152" i="14609"/>
  <c r="AN152" i="14609"/>
  <c r="AO152" i="14609"/>
  <c r="AP152" i="14609"/>
  <c r="AQ152" i="14609"/>
  <c r="AR152" i="14609"/>
  <c r="AS152" i="14609"/>
  <c r="AT152" i="14609"/>
  <c r="AU152" i="14609"/>
  <c r="AV152" i="14609"/>
  <c r="AW152" i="14609"/>
  <c r="AX152" i="14609"/>
  <c r="AY152" i="14609"/>
  <c r="AZ152" i="14609"/>
  <c r="BA152" i="14609"/>
  <c r="BB152" i="14609"/>
  <c r="BC152" i="14609"/>
  <c r="BD152" i="14609"/>
  <c r="BE152" i="14609"/>
  <c r="BF152" i="14609"/>
  <c r="BG152" i="14609"/>
  <c r="BH152" i="14609"/>
  <c r="BI152" i="14609"/>
  <c r="BJ152" i="14609"/>
  <c r="BK152" i="14609"/>
  <c r="BL152" i="14609"/>
  <c r="BM152" i="14609"/>
  <c r="BN152" i="14609"/>
  <c r="BO152" i="14609"/>
  <c r="BP152" i="14609"/>
  <c r="BQ152" i="14609"/>
  <c r="BR152" i="14609"/>
  <c r="BS152" i="14609"/>
  <c r="BT152" i="14609"/>
  <c r="BU152" i="14609"/>
  <c r="BV152" i="14609"/>
  <c r="BW152" i="14609"/>
  <c r="BX152" i="14609"/>
  <c r="BY152" i="14609"/>
  <c r="BZ152" i="14609"/>
  <c r="CA152" i="14609"/>
  <c r="CB152" i="14609"/>
  <c r="CC152" i="14609"/>
  <c r="CD152" i="14609"/>
  <c r="CE152" i="14609"/>
  <c r="CF152" i="14609"/>
  <c r="CG152" i="14609"/>
  <c r="CH152" i="14609"/>
  <c r="CI152" i="14609"/>
  <c r="CJ152" i="14609"/>
  <c r="CK152" i="14609"/>
  <c r="CL152" i="14609"/>
  <c r="CM152" i="14609"/>
  <c r="CN152" i="14609"/>
  <c r="CO152" i="14609"/>
  <c r="CP152" i="14609"/>
  <c r="CQ152" i="14609"/>
  <c r="CR152" i="14609"/>
  <c r="CS152" i="14609"/>
  <c r="CT152" i="14609"/>
  <c r="CU152" i="14609"/>
  <c r="CV152" i="14609"/>
  <c r="CW152" i="14609"/>
  <c r="CX152" i="14609"/>
  <c r="CY152" i="14609"/>
  <c r="CZ152" i="14609"/>
  <c r="DA152" i="14609"/>
  <c r="DB152" i="14609"/>
  <c r="DC152" i="14609"/>
  <c r="DD152" i="14609"/>
  <c r="DE152" i="14609"/>
  <c r="DF152" i="14609"/>
  <c r="DG152" i="14609"/>
  <c r="DH152" i="14609"/>
  <c r="DI152" i="14609"/>
  <c r="DJ152" i="14609"/>
  <c r="DK152" i="14609"/>
  <c r="DL152" i="14609"/>
  <c r="DM152" i="14609"/>
  <c r="DN152" i="14609"/>
  <c r="DO152" i="14609"/>
  <c r="DP152" i="14609"/>
  <c r="DQ152" i="14609"/>
  <c r="DR152" i="14609"/>
  <c r="DS152" i="14609"/>
  <c r="DT152" i="14609"/>
  <c r="DU152" i="14609"/>
  <c r="DV152" i="14609"/>
  <c r="DW152" i="14609"/>
  <c r="DX152" i="14609"/>
  <c r="DY152" i="14609"/>
  <c r="DZ152" i="14609"/>
  <c r="EA152" i="14609"/>
  <c r="EB152" i="14609"/>
  <c r="EC152" i="14609"/>
  <c r="ED152" i="14609"/>
  <c r="EE152" i="14609"/>
  <c r="EF152" i="14609"/>
  <c r="EG152" i="14609"/>
  <c r="EH152" i="14609"/>
  <c r="EI152" i="14609"/>
  <c r="EJ152" i="14609"/>
  <c r="EK152" i="14609"/>
  <c r="EL152" i="14609"/>
  <c r="EM152" i="14609"/>
  <c r="EN152" i="14609"/>
  <c r="EO152" i="14609"/>
  <c r="EP152" i="14609"/>
  <c r="EQ152" i="14609"/>
  <c r="ER152" i="14609"/>
  <c r="ES152" i="14609"/>
  <c r="ET152" i="14609"/>
  <c r="EU152" i="14609"/>
  <c r="EV152" i="14609"/>
  <c r="EW152" i="14609"/>
  <c r="EX152" i="14609"/>
  <c r="EY152" i="14609"/>
  <c r="EZ152" i="14609"/>
  <c r="FA152" i="14609"/>
  <c r="FB152" i="14609"/>
  <c r="FC152" i="14609"/>
  <c r="FD152" i="14609"/>
  <c r="FE152" i="14609"/>
  <c r="FF152" i="14609"/>
  <c r="FG152" i="14609"/>
  <c r="FH152" i="14609"/>
  <c r="FI152" i="14609"/>
  <c r="FJ152" i="14609"/>
  <c r="FK152" i="14609"/>
  <c r="FL152" i="14609"/>
  <c r="FM152" i="14609"/>
  <c r="FN152" i="14609"/>
  <c r="FO152" i="14609"/>
  <c r="FP152" i="14609"/>
  <c r="FQ152" i="14609"/>
  <c r="FR152" i="14609"/>
  <c r="FS152" i="14609"/>
  <c r="FT152" i="14609"/>
  <c r="FU152" i="14609"/>
  <c r="FV152" i="14609"/>
  <c r="FW152" i="14609"/>
  <c r="FX152" i="14609"/>
  <c r="FY152" i="14609"/>
  <c r="FZ152" i="14609"/>
  <c r="GA152" i="14609"/>
  <c r="GB152" i="14609"/>
  <c r="GC152" i="14609"/>
  <c r="GD152" i="14609"/>
  <c r="GE152" i="14609"/>
  <c r="GF152" i="14609"/>
  <c r="GG152" i="14609"/>
  <c r="GH152" i="14609"/>
  <c r="GI152" i="14609"/>
  <c r="GJ152" i="14609"/>
  <c r="GK152" i="14609"/>
  <c r="GL152" i="14609"/>
  <c r="GM152" i="14609"/>
  <c r="GN152" i="14609"/>
  <c r="GO152" i="14609"/>
  <c r="GP152" i="14609"/>
  <c r="GQ152" i="14609"/>
  <c r="GR152" i="14609"/>
  <c r="GS152" i="14609"/>
  <c r="GT152" i="14609"/>
  <c r="GU152" i="14609"/>
  <c r="GV152" i="14609"/>
  <c r="GW152" i="14609"/>
  <c r="GX152" i="14609"/>
  <c r="GY152" i="14609"/>
  <c r="GZ152" i="14609"/>
  <c r="HA152" i="14609"/>
  <c r="HB152" i="14609"/>
  <c r="HC152" i="14609"/>
  <c r="HD152" i="14609"/>
  <c r="HE152" i="14609"/>
  <c r="HF152" i="14609"/>
  <c r="HG152" i="14609"/>
  <c r="HH152" i="14609"/>
  <c r="HI152" i="14609"/>
  <c r="HJ152" i="14609"/>
  <c r="HK152" i="14609"/>
  <c r="HL152" i="14609"/>
  <c r="HM152" i="14609"/>
  <c r="HN152" i="14609"/>
  <c r="HO152" i="14609"/>
  <c r="HP152" i="14609"/>
  <c r="HQ152" i="14609"/>
  <c r="HR152" i="14609"/>
  <c r="HS152" i="14609"/>
  <c r="HT152" i="14609"/>
  <c r="HU152" i="14609"/>
  <c r="HV152" i="14609"/>
  <c r="HW152" i="14609"/>
  <c r="HX152" i="14609"/>
  <c r="HY152" i="14609"/>
  <c r="HZ152" i="14609"/>
  <c r="IA152" i="14609"/>
  <c r="IB152" i="14609"/>
  <c r="IC152" i="14609"/>
  <c r="ID152" i="14609"/>
  <c r="IE152" i="14609"/>
  <c r="IF152" i="14609"/>
  <c r="IG152" i="14609"/>
  <c r="IH152" i="14609"/>
  <c r="II152" i="14609"/>
  <c r="IJ152" i="14609"/>
  <c r="IK152" i="14609"/>
  <c r="IL152" i="14609"/>
  <c r="IM152" i="14609"/>
  <c r="IN152" i="14609"/>
  <c r="IO152" i="14609"/>
  <c r="IP152" i="14609"/>
  <c r="IQ152" i="14609"/>
  <c r="IR152" i="14609"/>
  <c r="IS152" i="14609"/>
  <c r="IT152" i="14609"/>
  <c r="IU152" i="14609"/>
  <c r="IV152" i="14609"/>
  <c r="A151" i="14609"/>
  <c r="B151" i="14609"/>
  <c r="C151" i="14609"/>
  <c r="D151" i="14609"/>
  <c r="E151" i="14609"/>
  <c r="F151" i="14609"/>
  <c r="G151" i="14609"/>
  <c r="H151" i="14609"/>
  <c r="I151" i="14609"/>
  <c r="J151" i="14609"/>
  <c r="K151" i="14609"/>
  <c r="L151" i="14609"/>
  <c r="M151" i="14609"/>
  <c r="N151" i="14609"/>
  <c r="O151" i="14609"/>
  <c r="P151" i="14609"/>
  <c r="Q151" i="14609"/>
  <c r="R151" i="14609"/>
  <c r="S151" i="14609"/>
  <c r="T151" i="14609"/>
  <c r="U151" i="14609"/>
  <c r="V151" i="14609"/>
  <c r="W151" i="14609"/>
  <c r="X151" i="14609"/>
  <c r="Y151" i="14609"/>
  <c r="Z151" i="14609"/>
  <c r="AA151" i="14609"/>
  <c r="AB151" i="14609"/>
  <c r="AC151" i="14609"/>
  <c r="AD151" i="14609"/>
  <c r="AE151" i="14609"/>
  <c r="AF151" i="14609"/>
  <c r="AG151" i="14609"/>
  <c r="AH151" i="14609"/>
  <c r="AI151" i="14609"/>
  <c r="AJ151" i="14609"/>
  <c r="AK151" i="14609"/>
  <c r="AL151" i="14609"/>
  <c r="AM151" i="14609"/>
  <c r="AN151" i="14609"/>
  <c r="AO151" i="14609"/>
  <c r="AP151" i="14609"/>
  <c r="AQ151" i="14609"/>
  <c r="AR151" i="14609"/>
  <c r="AS151" i="14609"/>
  <c r="AT151" i="14609"/>
  <c r="AU151" i="14609"/>
  <c r="AV151" i="14609"/>
  <c r="AW151" i="14609"/>
  <c r="AX151" i="14609"/>
  <c r="AY151" i="14609"/>
  <c r="AZ151" i="14609"/>
  <c r="BA151" i="14609"/>
  <c r="BB151" i="14609"/>
  <c r="BC151" i="14609"/>
  <c r="BD151" i="14609"/>
  <c r="BE151" i="14609"/>
  <c r="BF151" i="14609"/>
  <c r="BG151" i="14609"/>
  <c r="BH151" i="14609"/>
  <c r="BI151" i="14609"/>
  <c r="BJ151" i="14609"/>
  <c r="BK151" i="14609"/>
  <c r="BL151" i="14609"/>
  <c r="BM151" i="14609"/>
  <c r="BN151" i="14609"/>
  <c r="BO151" i="14609"/>
  <c r="BP151" i="14609"/>
  <c r="BQ151" i="14609"/>
  <c r="BR151" i="14609"/>
  <c r="BS151" i="14609"/>
  <c r="BT151" i="14609"/>
  <c r="BU151" i="14609"/>
  <c r="BV151" i="14609"/>
  <c r="BW151" i="14609"/>
  <c r="BX151" i="14609"/>
  <c r="BY151" i="14609"/>
  <c r="BZ151" i="14609"/>
  <c r="CA151" i="14609"/>
  <c r="CB151" i="14609"/>
  <c r="CC151" i="14609"/>
  <c r="CD151" i="14609"/>
  <c r="CE151" i="14609"/>
  <c r="CF151" i="14609"/>
  <c r="CG151" i="14609"/>
  <c r="CH151" i="14609"/>
  <c r="CI151" i="14609"/>
  <c r="CJ151" i="14609"/>
  <c r="CK151" i="14609"/>
  <c r="CL151" i="14609"/>
  <c r="CM151" i="14609"/>
  <c r="CN151" i="14609"/>
  <c r="CO151" i="14609"/>
  <c r="CP151" i="14609"/>
  <c r="CQ151" i="14609"/>
  <c r="CR151" i="14609"/>
  <c r="CS151" i="14609"/>
  <c r="CT151" i="14609"/>
  <c r="CU151" i="14609"/>
  <c r="CV151" i="14609"/>
  <c r="CW151" i="14609"/>
  <c r="CX151" i="14609"/>
  <c r="CY151" i="14609"/>
  <c r="CZ151" i="14609"/>
  <c r="DA151" i="14609"/>
  <c r="DB151" i="14609"/>
  <c r="DC151" i="14609"/>
  <c r="DD151" i="14609"/>
  <c r="DE151" i="14609"/>
  <c r="DF151" i="14609"/>
  <c r="DG151" i="14609"/>
  <c r="DH151" i="14609"/>
  <c r="DI151" i="14609"/>
  <c r="DJ151" i="14609"/>
  <c r="DK151" i="14609"/>
  <c r="DL151" i="14609"/>
  <c r="DM151" i="14609"/>
  <c r="DN151" i="14609"/>
  <c r="DO151" i="14609"/>
  <c r="DP151" i="14609"/>
  <c r="DQ151" i="14609"/>
  <c r="DR151" i="14609"/>
  <c r="DS151" i="14609"/>
  <c r="DT151" i="14609"/>
  <c r="DU151" i="14609"/>
  <c r="DV151" i="14609"/>
  <c r="DW151" i="14609"/>
  <c r="DX151" i="14609"/>
  <c r="DY151" i="14609"/>
  <c r="DZ151" i="14609"/>
  <c r="EA151" i="14609"/>
  <c r="EB151" i="14609"/>
  <c r="EC151" i="14609"/>
  <c r="ED151" i="14609"/>
  <c r="EE151" i="14609"/>
  <c r="EF151" i="14609"/>
  <c r="EG151" i="14609"/>
  <c r="EH151" i="14609"/>
  <c r="EI151" i="14609"/>
  <c r="EJ151" i="14609"/>
  <c r="EK151" i="14609"/>
  <c r="EL151" i="14609"/>
  <c r="EM151" i="14609"/>
  <c r="EN151" i="14609"/>
  <c r="EO151" i="14609"/>
  <c r="EP151" i="14609"/>
  <c r="EQ151" i="14609"/>
  <c r="ER151" i="14609"/>
  <c r="ES151" i="14609"/>
  <c r="ET151" i="14609"/>
  <c r="EU151" i="14609"/>
  <c r="EV151" i="14609"/>
  <c r="EW151" i="14609"/>
  <c r="EX151" i="14609"/>
  <c r="EY151" i="14609"/>
  <c r="EZ151" i="14609"/>
  <c r="FA151" i="14609"/>
  <c r="FB151" i="14609"/>
  <c r="FC151" i="14609"/>
  <c r="FD151" i="14609"/>
  <c r="FE151" i="14609"/>
  <c r="FF151" i="14609"/>
  <c r="FG151" i="14609"/>
  <c r="FH151" i="14609"/>
  <c r="FI151" i="14609"/>
  <c r="FJ151" i="14609"/>
  <c r="FK151" i="14609"/>
  <c r="FL151" i="14609"/>
  <c r="FM151" i="14609"/>
  <c r="FN151" i="14609"/>
  <c r="FO151" i="14609"/>
  <c r="FP151" i="14609"/>
  <c r="FQ151" i="14609"/>
  <c r="FR151" i="14609"/>
  <c r="FS151" i="14609"/>
  <c r="FT151" i="14609"/>
  <c r="FU151" i="14609"/>
  <c r="FV151" i="14609"/>
  <c r="FW151" i="14609"/>
  <c r="FX151" i="14609"/>
  <c r="FY151" i="14609"/>
  <c r="FZ151" i="14609"/>
  <c r="GA151" i="14609"/>
  <c r="GB151" i="14609"/>
  <c r="GC151" i="14609"/>
  <c r="GD151" i="14609"/>
  <c r="GE151" i="14609"/>
  <c r="GF151" i="14609"/>
  <c r="GG151" i="14609"/>
  <c r="GH151" i="14609"/>
  <c r="GI151" i="14609"/>
  <c r="GJ151" i="14609"/>
  <c r="GK151" i="14609"/>
  <c r="GL151" i="14609"/>
  <c r="GM151" i="14609"/>
  <c r="GN151" i="14609"/>
  <c r="GO151" i="14609"/>
  <c r="GP151" i="14609"/>
  <c r="GQ151" i="14609"/>
  <c r="GR151" i="14609"/>
  <c r="GS151" i="14609"/>
  <c r="GT151" i="14609"/>
  <c r="GU151" i="14609"/>
  <c r="GV151" i="14609"/>
  <c r="GW151" i="14609"/>
  <c r="GX151" i="14609"/>
  <c r="GY151" i="14609"/>
  <c r="GZ151" i="14609"/>
  <c r="HA151" i="14609"/>
  <c r="HB151" i="14609"/>
  <c r="HC151" i="14609"/>
  <c r="HD151" i="14609"/>
  <c r="HE151" i="14609"/>
  <c r="HF151" i="14609"/>
  <c r="HG151" i="14609"/>
  <c r="HH151" i="14609"/>
  <c r="HI151" i="14609"/>
  <c r="HJ151" i="14609"/>
  <c r="HK151" i="14609"/>
  <c r="HL151" i="14609"/>
  <c r="HM151" i="14609"/>
  <c r="HN151" i="14609"/>
  <c r="HO151" i="14609"/>
  <c r="HP151" i="14609"/>
  <c r="HQ151" i="14609"/>
  <c r="HR151" i="14609"/>
  <c r="HS151" i="14609"/>
  <c r="HT151" i="14609"/>
  <c r="HU151" i="14609"/>
  <c r="HV151" i="14609"/>
  <c r="HW151" i="14609"/>
  <c r="HX151" i="14609"/>
  <c r="HY151" i="14609"/>
  <c r="HZ151" i="14609"/>
  <c r="IA151" i="14609"/>
  <c r="IB151" i="14609"/>
  <c r="IC151" i="14609"/>
  <c r="ID151" i="14609"/>
  <c r="IE151" i="14609"/>
  <c r="IF151" i="14609"/>
  <c r="IG151" i="14609"/>
  <c r="IH151" i="14609"/>
  <c r="II151" i="14609"/>
  <c r="IJ151" i="14609"/>
  <c r="IK151" i="14609"/>
  <c r="IL151" i="14609"/>
  <c r="IM151" i="14609"/>
  <c r="IN151" i="14609"/>
  <c r="IO151" i="14609"/>
  <c r="IP151" i="14609"/>
  <c r="IQ151" i="14609"/>
  <c r="IR151" i="14609"/>
  <c r="IS151" i="14609"/>
  <c r="IT151" i="14609"/>
  <c r="IU151" i="14609"/>
  <c r="IV151" i="14609"/>
  <c r="A150" i="14609"/>
  <c r="B150" i="14609"/>
  <c r="C150" i="14609"/>
  <c r="D150" i="14609"/>
  <c r="E150" i="14609"/>
  <c r="F150" i="14609"/>
  <c r="G150" i="14609"/>
  <c r="H150" i="14609"/>
  <c r="I150" i="14609"/>
  <c r="J150" i="14609"/>
  <c r="K150" i="14609"/>
  <c r="L150" i="14609"/>
  <c r="M150" i="14609"/>
  <c r="N150" i="14609"/>
  <c r="O150" i="14609"/>
  <c r="P150" i="14609"/>
  <c r="Q150" i="14609"/>
  <c r="R150" i="14609"/>
  <c r="S150" i="14609"/>
  <c r="T150" i="14609"/>
  <c r="U150" i="14609"/>
  <c r="V150" i="14609"/>
  <c r="W150" i="14609"/>
  <c r="X150" i="14609"/>
  <c r="Y150" i="14609"/>
  <c r="Z150" i="14609"/>
  <c r="AA150" i="14609"/>
  <c r="AB150" i="14609"/>
  <c r="AC150" i="14609"/>
  <c r="AD150" i="14609"/>
  <c r="AE150" i="14609"/>
  <c r="AF150" i="14609"/>
  <c r="AG150" i="14609"/>
  <c r="AH150" i="14609"/>
  <c r="AI150" i="14609"/>
  <c r="AJ150" i="14609"/>
  <c r="AK150" i="14609"/>
  <c r="AL150" i="14609"/>
  <c r="AM150" i="14609"/>
  <c r="AN150" i="14609"/>
  <c r="AO150" i="14609"/>
  <c r="AP150" i="14609"/>
  <c r="AQ150" i="14609"/>
  <c r="AR150" i="14609"/>
  <c r="AS150" i="14609"/>
  <c r="AT150" i="14609"/>
  <c r="AU150" i="14609"/>
  <c r="AV150" i="14609"/>
  <c r="AW150" i="14609"/>
  <c r="AX150" i="14609"/>
  <c r="AY150" i="14609"/>
  <c r="AZ150" i="14609"/>
  <c r="BA150" i="14609"/>
  <c r="BB150" i="14609"/>
  <c r="BC150" i="14609"/>
  <c r="BD150" i="14609"/>
  <c r="BE150" i="14609"/>
  <c r="BF150" i="14609"/>
  <c r="BG150" i="14609"/>
  <c r="BH150" i="14609"/>
  <c r="BI150" i="14609"/>
  <c r="BJ150" i="14609"/>
  <c r="BK150" i="14609"/>
  <c r="BL150" i="14609"/>
  <c r="BM150" i="14609"/>
  <c r="BN150" i="14609"/>
  <c r="BO150" i="14609"/>
  <c r="BP150" i="14609"/>
  <c r="BQ150" i="14609"/>
  <c r="BR150" i="14609"/>
  <c r="BS150" i="14609"/>
  <c r="BT150" i="14609"/>
  <c r="BU150" i="14609"/>
  <c r="BV150" i="14609"/>
  <c r="BW150" i="14609"/>
  <c r="BX150" i="14609"/>
  <c r="BY150" i="14609"/>
  <c r="BZ150" i="14609"/>
  <c r="CA150" i="14609"/>
  <c r="CB150" i="14609"/>
  <c r="CC150" i="14609"/>
  <c r="CD150" i="14609"/>
  <c r="CE150" i="14609"/>
  <c r="CF150" i="14609"/>
  <c r="CG150" i="14609"/>
  <c r="CH150" i="14609"/>
  <c r="CI150" i="14609"/>
  <c r="CJ150" i="14609"/>
  <c r="CK150" i="14609"/>
  <c r="CL150" i="14609"/>
  <c r="CM150" i="14609"/>
  <c r="CN150" i="14609"/>
  <c r="CO150" i="14609"/>
  <c r="CP150" i="14609"/>
  <c r="CQ150" i="14609"/>
  <c r="CR150" i="14609"/>
  <c r="CS150" i="14609"/>
  <c r="CT150" i="14609"/>
  <c r="CU150" i="14609"/>
  <c r="CV150" i="14609"/>
  <c r="CW150" i="14609"/>
  <c r="CX150" i="14609"/>
  <c r="CY150" i="14609"/>
  <c r="CZ150" i="14609"/>
  <c r="DA150" i="14609"/>
  <c r="DB150" i="14609"/>
  <c r="DC150" i="14609"/>
  <c r="DD150" i="14609"/>
  <c r="DE150" i="14609"/>
  <c r="DF150" i="14609"/>
  <c r="DG150" i="14609"/>
  <c r="DH150" i="14609"/>
  <c r="DI150" i="14609"/>
  <c r="DJ150" i="14609"/>
  <c r="DK150" i="14609"/>
  <c r="DL150" i="14609"/>
  <c r="DM150" i="14609"/>
  <c r="DN150" i="14609"/>
  <c r="DO150" i="14609"/>
  <c r="DP150" i="14609"/>
  <c r="DQ150" i="14609"/>
  <c r="DR150" i="14609"/>
  <c r="DS150" i="14609"/>
  <c r="DT150" i="14609"/>
  <c r="DU150" i="14609"/>
  <c r="DV150" i="14609"/>
  <c r="DW150" i="14609"/>
  <c r="DX150" i="14609"/>
  <c r="DY150" i="14609"/>
  <c r="DZ150" i="14609"/>
  <c r="EA150" i="14609"/>
  <c r="EB150" i="14609"/>
  <c r="EC150" i="14609"/>
  <c r="ED150" i="14609"/>
  <c r="EE150" i="14609"/>
  <c r="EF150" i="14609"/>
  <c r="EG150" i="14609"/>
  <c r="EH150" i="14609"/>
  <c r="EI150" i="14609"/>
  <c r="EJ150" i="14609"/>
  <c r="EK150" i="14609"/>
  <c r="EL150" i="14609"/>
  <c r="EM150" i="14609"/>
  <c r="EN150" i="14609"/>
  <c r="EO150" i="14609"/>
  <c r="EP150" i="14609"/>
  <c r="EQ150" i="14609"/>
  <c r="ER150" i="14609"/>
  <c r="ES150" i="14609"/>
  <c r="ET150" i="14609"/>
  <c r="EU150" i="14609"/>
  <c r="EV150" i="14609"/>
  <c r="EW150" i="14609"/>
  <c r="EX150" i="14609"/>
  <c r="EY150" i="14609"/>
  <c r="EZ150" i="14609"/>
  <c r="FA150" i="14609"/>
  <c r="FB150" i="14609"/>
  <c r="FC150" i="14609"/>
  <c r="FD150" i="14609"/>
  <c r="FE150" i="14609"/>
  <c r="FF150" i="14609"/>
  <c r="FG150" i="14609"/>
  <c r="FH150" i="14609"/>
  <c r="FI150" i="14609"/>
  <c r="FJ150" i="14609"/>
  <c r="FK150" i="14609"/>
  <c r="FL150" i="14609"/>
  <c r="FM150" i="14609"/>
  <c r="FN150" i="14609"/>
  <c r="FO150" i="14609"/>
  <c r="FP150" i="14609"/>
  <c r="FQ150" i="14609"/>
  <c r="FR150" i="14609"/>
  <c r="FS150" i="14609"/>
  <c r="FT150" i="14609"/>
  <c r="FU150" i="14609"/>
  <c r="FV150" i="14609"/>
  <c r="FW150" i="14609"/>
  <c r="FX150" i="14609"/>
  <c r="FY150" i="14609"/>
  <c r="FZ150" i="14609"/>
  <c r="GA150" i="14609"/>
  <c r="GB150" i="14609"/>
  <c r="GC150" i="14609"/>
  <c r="GD150" i="14609"/>
  <c r="GE150" i="14609"/>
  <c r="GF150" i="14609"/>
  <c r="GG150" i="14609"/>
  <c r="GH150" i="14609"/>
  <c r="GI150" i="14609"/>
  <c r="GJ150" i="14609"/>
  <c r="GK150" i="14609"/>
  <c r="GL150" i="14609"/>
  <c r="GM150" i="14609"/>
  <c r="GN150" i="14609"/>
  <c r="GO150" i="14609"/>
  <c r="GP150" i="14609"/>
  <c r="GQ150" i="14609"/>
  <c r="GR150" i="14609"/>
  <c r="GS150" i="14609"/>
  <c r="GT150" i="14609"/>
  <c r="GU150" i="14609"/>
  <c r="GV150" i="14609"/>
  <c r="GW150" i="14609"/>
  <c r="GX150" i="14609"/>
  <c r="GY150" i="14609"/>
  <c r="GZ150" i="14609"/>
  <c r="HA150" i="14609"/>
  <c r="HB150" i="14609"/>
  <c r="HC150" i="14609"/>
  <c r="HD150" i="14609"/>
  <c r="HE150" i="14609"/>
  <c r="HF150" i="14609"/>
  <c r="HG150" i="14609"/>
  <c r="HH150" i="14609"/>
  <c r="HI150" i="14609"/>
  <c r="HJ150" i="14609"/>
  <c r="HK150" i="14609"/>
  <c r="HL150" i="14609"/>
  <c r="HM150" i="14609"/>
  <c r="HN150" i="14609"/>
  <c r="HO150" i="14609"/>
  <c r="HP150" i="14609"/>
  <c r="HQ150" i="14609"/>
  <c r="HR150" i="14609"/>
  <c r="HS150" i="14609"/>
  <c r="HT150" i="14609"/>
  <c r="HU150" i="14609"/>
  <c r="HV150" i="14609"/>
  <c r="HW150" i="14609"/>
  <c r="HX150" i="14609"/>
  <c r="HY150" i="14609"/>
  <c r="HZ150" i="14609"/>
  <c r="IA150" i="14609"/>
  <c r="IB150" i="14609"/>
  <c r="IC150" i="14609"/>
  <c r="ID150" i="14609"/>
  <c r="IE150" i="14609"/>
  <c r="IF150" i="14609"/>
  <c r="IG150" i="14609"/>
  <c r="IH150" i="14609"/>
  <c r="II150" i="14609"/>
  <c r="IJ150" i="14609"/>
  <c r="IK150" i="14609"/>
  <c r="IL150" i="14609"/>
  <c r="IM150" i="14609"/>
  <c r="IN150" i="14609"/>
  <c r="IO150" i="14609"/>
  <c r="IP150" i="14609"/>
  <c r="IQ150" i="14609"/>
  <c r="IR150" i="14609"/>
  <c r="IS150" i="14609"/>
  <c r="IT150" i="14609"/>
  <c r="IU150" i="14609"/>
  <c r="IV150" i="14609"/>
  <c r="A149" i="14609"/>
  <c r="B149" i="14609"/>
  <c r="C149" i="14609"/>
  <c r="D149" i="14609"/>
  <c r="E149" i="14609"/>
  <c r="F149" i="14609"/>
  <c r="G149" i="14609"/>
  <c r="H149" i="14609"/>
  <c r="I149" i="14609"/>
  <c r="J149" i="14609"/>
  <c r="K149" i="14609"/>
  <c r="L149" i="14609"/>
  <c r="M149" i="14609"/>
  <c r="N149" i="14609"/>
  <c r="O149" i="14609"/>
  <c r="P149" i="14609"/>
  <c r="Q149" i="14609"/>
  <c r="R149" i="14609"/>
  <c r="S149" i="14609"/>
  <c r="T149" i="14609"/>
  <c r="U149" i="14609"/>
  <c r="V149" i="14609"/>
  <c r="W149" i="14609"/>
  <c r="X149" i="14609"/>
  <c r="Y149" i="14609"/>
  <c r="Z149" i="14609"/>
  <c r="AA149" i="14609"/>
  <c r="AB149" i="14609"/>
  <c r="AC149" i="14609"/>
  <c r="AD149" i="14609"/>
  <c r="AE149" i="14609"/>
  <c r="AF149" i="14609"/>
  <c r="AG149" i="14609"/>
  <c r="AH149" i="14609"/>
  <c r="AI149" i="14609"/>
  <c r="AJ149" i="14609"/>
  <c r="AK149" i="14609"/>
  <c r="AL149" i="14609"/>
  <c r="AM149" i="14609"/>
  <c r="AN149" i="14609"/>
  <c r="AO149" i="14609"/>
  <c r="AP149" i="14609"/>
  <c r="AQ149" i="14609"/>
  <c r="AR149" i="14609"/>
  <c r="AS149" i="14609"/>
  <c r="AT149" i="14609"/>
  <c r="AU149" i="14609"/>
  <c r="AV149" i="14609"/>
  <c r="AW149" i="14609"/>
  <c r="AX149" i="14609"/>
  <c r="AY149" i="14609"/>
  <c r="AZ149" i="14609"/>
  <c r="BA149" i="14609"/>
  <c r="BB149" i="14609"/>
  <c r="BC149" i="14609"/>
  <c r="BD149" i="14609"/>
  <c r="BE149" i="14609"/>
  <c r="BF149" i="14609"/>
  <c r="BG149" i="14609"/>
  <c r="BH149" i="14609"/>
  <c r="BI149" i="14609"/>
  <c r="BJ149" i="14609"/>
  <c r="BK149" i="14609"/>
  <c r="BL149" i="14609"/>
  <c r="BM149" i="14609"/>
  <c r="BN149" i="14609"/>
  <c r="BO149" i="14609"/>
  <c r="BP149" i="14609"/>
  <c r="BQ149" i="14609"/>
  <c r="BR149" i="14609"/>
  <c r="BS149" i="14609"/>
  <c r="BT149" i="14609"/>
  <c r="BU149" i="14609"/>
  <c r="BV149" i="14609"/>
  <c r="BW149" i="14609"/>
  <c r="BX149" i="14609"/>
  <c r="BY149" i="14609"/>
  <c r="BZ149" i="14609"/>
  <c r="CA149" i="14609"/>
  <c r="CB149" i="14609"/>
  <c r="CC149" i="14609"/>
  <c r="CD149" i="14609"/>
  <c r="CE149" i="14609"/>
  <c r="CF149" i="14609"/>
  <c r="CG149" i="14609"/>
  <c r="CH149" i="14609"/>
  <c r="CI149" i="14609"/>
  <c r="CJ149" i="14609"/>
  <c r="CK149" i="14609"/>
  <c r="CL149" i="14609"/>
  <c r="CM149" i="14609"/>
  <c r="CN149" i="14609"/>
  <c r="CO149" i="14609"/>
  <c r="CP149" i="14609"/>
  <c r="CQ149" i="14609"/>
  <c r="CR149" i="14609"/>
  <c r="CS149" i="14609"/>
  <c r="CT149" i="14609"/>
  <c r="CU149" i="14609"/>
  <c r="CV149" i="14609"/>
  <c r="CW149" i="14609"/>
  <c r="CX149" i="14609"/>
  <c r="CY149" i="14609"/>
  <c r="CZ149" i="14609"/>
  <c r="DA149" i="14609"/>
  <c r="DB149" i="14609"/>
  <c r="DC149" i="14609"/>
  <c r="DD149" i="14609"/>
  <c r="DE149" i="14609"/>
  <c r="DF149" i="14609"/>
  <c r="DG149" i="14609"/>
  <c r="DH149" i="14609"/>
  <c r="DI149" i="14609"/>
  <c r="DJ149" i="14609"/>
  <c r="DK149" i="14609"/>
  <c r="DL149" i="14609"/>
  <c r="DM149" i="14609"/>
  <c r="DN149" i="14609"/>
  <c r="DO149" i="14609"/>
  <c r="DP149" i="14609"/>
  <c r="DQ149" i="14609"/>
  <c r="DR149" i="14609"/>
  <c r="DS149" i="14609"/>
  <c r="DT149" i="14609"/>
  <c r="DU149" i="14609"/>
  <c r="DV149" i="14609"/>
  <c r="DW149" i="14609"/>
  <c r="DX149" i="14609"/>
  <c r="DY149" i="14609"/>
  <c r="DZ149" i="14609"/>
  <c r="EA149" i="14609"/>
  <c r="EB149" i="14609"/>
  <c r="EC149" i="14609"/>
  <c r="ED149" i="14609"/>
  <c r="EE149" i="14609"/>
  <c r="EF149" i="14609"/>
  <c r="EG149" i="14609"/>
  <c r="EH149" i="14609"/>
  <c r="EI149" i="14609"/>
  <c r="EJ149" i="14609"/>
  <c r="EK149" i="14609"/>
  <c r="EL149" i="14609"/>
  <c r="EM149" i="14609"/>
  <c r="EN149" i="14609"/>
  <c r="EO149" i="14609"/>
  <c r="EP149" i="14609"/>
  <c r="EQ149" i="14609"/>
  <c r="ER149" i="14609"/>
  <c r="ES149" i="14609"/>
  <c r="ET149" i="14609"/>
  <c r="EU149" i="14609"/>
  <c r="EV149" i="14609"/>
  <c r="EW149" i="14609"/>
  <c r="EX149" i="14609"/>
  <c r="EY149" i="14609"/>
  <c r="EZ149" i="14609"/>
  <c r="FA149" i="14609"/>
  <c r="FB149" i="14609"/>
  <c r="FC149" i="14609"/>
  <c r="FD149" i="14609"/>
  <c r="FE149" i="14609"/>
  <c r="FF149" i="14609"/>
  <c r="FG149" i="14609"/>
  <c r="FH149" i="14609"/>
  <c r="FI149" i="14609"/>
  <c r="FJ149" i="14609"/>
  <c r="FK149" i="14609"/>
  <c r="FL149" i="14609"/>
  <c r="FM149" i="14609"/>
  <c r="FN149" i="14609"/>
  <c r="FO149" i="14609"/>
  <c r="FP149" i="14609"/>
  <c r="FQ149" i="14609"/>
  <c r="FR149" i="14609"/>
  <c r="FS149" i="14609"/>
  <c r="FT149" i="14609"/>
  <c r="FU149" i="14609"/>
  <c r="FV149" i="14609"/>
  <c r="FW149" i="14609"/>
  <c r="FX149" i="14609"/>
  <c r="FY149" i="14609"/>
  <c r="FZ149" i="14609"/>
  <c r="GA149" i="14609"/>
  <c r="GB149" i="14609"/>
  <c r="GC149" i="14609"/>
  <c r="GD149" i="14609"/>
  <c r="GE149" i="14609"/>
  <c r="GF149" i="14609"/>
  <c r="GG149" i="14609"/>
  <c r="GH149" i="14609"/>
  <c r="GI149" i="14609"/>
  <c r="GJ149" i="14609"/>
  <c r="GK149" i="14609"/>
  <c r="GL149" i="14609"/>
  <c r="GM149" i="14609"/>
  <c r="GN149" i="14609"/>
  <c r="GO149" i="14609"/>
  <c r="GP149" i="14609"/>
  <c r="GQ149" i="14609"/>
  <c r="GR149" i="14609"/>
  <c r="GS149" i="14609"/>
  <c r="GT149" i="14609"/>
  <c r="GU149" i="14609"/>
  <c r="GV149" i="14609"/>
  <c r="GW149" i="14609"/>
  <c r="GX149" i="14609"/>
  <c r="GY149" i="14609"/>
  <c r="GZ149" i="14609"/>
  <c r="HA149" i="14609"/>
  <c r="HB149" i="14609"/>
  <c r="HC149" i="14609"/>
  <c r="HD149" i="14609"/>
  <c r="HE149" i="14609"/>
  <c r="HF149" i="14609"/>
  <c r="HG149" i="14609"/>
  <c r="HH149" i="14609"/>
  <c r="HI149" i="14609"/>
  <c r="HJ149" i="14609"/>
  <c r="HK149" i="14609"/>
  <c r="HL149" i="14609"/>
  <c r="HM149" i="14609"/>
  <c r="HN149" i="14609"/>
  <c r="HO149" i="14609"/>
  <c r="HP149" i="14609"/>
  <c r="HQ149" i="14609"/>
  <c r="HR149" i="14609"/>
  <c r="HS149" i="14609"/>
  <c r="HT149" i="14609"/>
  <c r="HU149" i="14609"/>
  <c r="HV149" i="14609"/>
  <c r="HW149" i="14609"/>
  <c r="HX149" i="14609"/>
  <c r="HY149" i="14609"/>
  <c r="HZ149" i="14609"/>
  <c r="IA149" i="14609"/>
  <c r="IB149" i="14609"/>
  <c r="IC149" i="14609"/>
  <c r="ID149" i="14609"/>
  <c r="IE149" i="14609"/>
  <c r="IF149" i="14609"/>
  <c r="IG149" i="14609"/>
  <c r="IH149" i="14609"/>
  <c r="II149" i="14609"/>
  <c r="IJ149" i="14609"/>
  <c r="IK149" i="14609"/>
  <c r="IL149" i="14609"/>
  <c r="IM149" i="14609"/>
  <c r="IN149" i="14609"/>
  <c r="IO149" i="14609"/>
  <c r="IP149" i="14609"/>
  <c r="IQ149" i="14609"/>
  <c r="IR149" i="14609"/>
  <c r="IS149" i="14609"/>
  <c r="IT149" i="14609"/>
  <c r="IU149" i="14609"/>
  <c r="IV149" i="14609"/>
  <c r="A148" i="14609"/>
  <c r="B148" i="14609"/>
  <c r="C148" i="14609"/>
  <c r="D148" i="14609"/>
  <c r="E148" i="14609"/>
  <c r="F148" i="14609"/>
  <c r="G148" i="14609"/>
  <c r="H148" i="14609"/>
  <c r="I148" i="14609"/>
  <c r="J148" i="14609"/>
  <c r="K148" i="14609"/>
  <c r="L148" i="14609"/>
  <c r="M148" i="14609"/>
  <c r="N148" i="14609"/>
  <c r="O148" i="14609"/>
  <c r="P148" i="14609"/>
  <c r="Q148" i="14609"/>
  <c r="R148" i="14609"/>
  <c r="S148" i="14609"/>
  <c r="T148" i="14609"/>
  <c r="U148" i="14609"/>
  <c r="V148" i="14609"/>
  <c r="W148" i="14609"/>
  <c r="X148" i="14609"/>
  <c r="Y148" i="14609"/>
  <c r="Z148" i="14609"/>
  <c r="AA148" i="14609"/>
  <c r="AB148" i="14609"/>
  <c r="AC148" i="14609"/>
  <c r="AD148" i="14609"/>
  <c r="AE148" i="14609"/>
  <c r="AF148" i="14609"/>
  <c r="AG148" i="14609"/>
  <c r="AH148" i="14609"/>
  <c r="AI148" i="14609"/>
  <c r="AJ148" i="14609"/>
  <c r="AK148" i="14609"/>
  <c r="AL148" i="14609"/>
  <c r="AM148" i="14609"/>
  <c r="AN148" i="14609"/>
  <c r="AO148" i="14609"/>
  <c r="AP148" i="14609"/>
  <c r="AQ148" i="14609"/>
  <c r="AR148" i="14609"/>
  <c r="AS148" i="14609"/>
  <c r="AT148" i="14609"/>
  <c r="AU148" i="14609"/>
  <c r="AV148" i="14609"/>
  <c r="AW148" i="14609"/>
  <c r="AX148" i="14609"/>
  <c r="AY148" i="14609"/>
  <c r="AZ148" i="14609"/>
  <c r="BA148" i="14609"/>
  <c r="BB148" i="14609"/>
  <c r="BC148" i="14609"/>
  <c r="BD148" i="14609"/>
  <c r="BE148" i="14609"/>
  <c r="BF148" i="14609"/>
  <c r="BG148" i="14609"/>
  <c r="BH148" i="14609"/>
  <c r="BI148" i="14609"/>
  <c r="BJ148" i="14609"/>
  <c r="BK148" i="14609"/>
  <c r="BL148" i="14609"/>
  <c r="BM148" i="14609"/>
  <c r="BN148" i="14609"/>
  <c r="BO148" i="14609"/>
  <c r="BP148" i="14609"/>
  <c r="BQ148" i="14609"/>
  <c r="BR148" i="14609"/>
  <c r="BS148" i="14609"/>
  <c r="BT148" i="14609"/>
  <c r="BU148" i="14609"/>
  <c r="BV148" i="14609"/>
  <c r="BW148" i="14609"/>
  <c r="BX148" i="14609"/>
  <c r="BY148" i="14609"/>
  <c r="BZ148" i="14609"/>
  <c r="CA148" i="14609"/>
  <c r="CB148" i="14609"/>
  <c r="CC148" i="14609"/>
  <c r="CD148" i="14609"/>
  <c r="CE148" i="14609"/>
  <c r="CF148" i="14609"/>
  <c r="CG148" i="14609"/>
  <c r="CH148" i="14609"/>
  <c r="CI148" i="14609"/>
  <c r="CJ148" i="14609"/>
  <c r="CK148" i="14609"/>
  <c r="CL148" i="14609"/>
  <c r="CM148" i="14609"/>
  <c r="CN148" i="14609"/>
  <c r="CO148" i="14609"/>
  <c r="CP148" i="14609"/>
  <c r="CQ148" i="14609"/>
  <c r="CR148" i="14609"/>
  <c r="CS148" i="14609"/>
  <c r="CT148" i="14609"/>
  <c r="CU148" i="14609"/>
  <c r="CV148" i="14609"/>
  <c r="CW148" i="14609"/>
  <c r="CX148" i="14609"/>
  <c r="CY148" i="14609"/>
  <c r="CZ148" i="14609"/>
  <c r="DA148" i="14609"/>
  <c r="DB148" i="14609"/>
  <c r="DC148" i="14609"/>
  <c r="DD148" i="14609"/>
  <c r="DE148" i="14609"/>
  <c r="DF148" i="14609"/>
  <c r="DG148" i="14609"/>
  <c r="DH148" i="14609"/>
  <c r="DI148" i="14609"/>
  <c r="DJ148" i="14609"/>
  <c r="DK148" i="14609"/>
  <c r="DL148" i="14609"/>
  <c r="DM148" i="14609"/>
  <c r="DN148" i="14609"/>
  <c r="DO148" i="14609"/>
  <c r="DP148" i="14609"/>
  <c r="DQ148" i="14609"/>
  <c r="DR148" i="14609"/>
  <c r="DS148" i="14609"/>
  <c r="DT148" i="14609"/>
  <c r="DU148" i="14609"/>
  <c r="DV148" i="14609"/>
  <c r="DW148" i="14609"/>
  <c r="DX148" i="14609"/>
  <c r="DY148" i="14609"/>
  <c r="DZ148" i="14609"/>
  <c r="EA148" i="14609"/>
  <c r="EB148" i="14609"/>
  <c r="EC148" i="14609"/>
  <c r="ED148" i="14609"/>
  <c r="EE148" i="14609"/>
  <c r="EF148" i="14609"/>
  <c r="EG148" i="14609"/>
  <c r="EH148" i="14609"/>
  <c r="EI148" i="14609"/>
  <c r="EJ148" i="14609"/>
  <c r="EK148" i="14609"/>
  <c r="EL148" i="14609"/>
  <c r="EM148" i="14609"/>
  <c r="EN148" i="14609"/>
  <c r="EO148" i="14609"/>
  <c r="EP148" i="14609"/>
  <c r="EQ148" i="14609"/>
  <c r="ER148" i="14609"/>
  <c r="ES148" i="14609"/>
  <c r="ET148" i="14609"/>
  <c r="EU148" i="14609"/>
  <c r="EV148" i="14609"/>
  <c r="EW148" i="14609"/>
  <c r="EX148" i="14609"/>
  <c r="EY148" i="14609"/>
  <c r="EZ148" i="14609"/>
  <c r="FA148" i="14609"/>
  <c r="FB148" i="14609"/>
  <c r="FC148" i="14609"/>
  <c r="FD148" i="14609"/>
  <c r="FE148" i="14609"/>
  <c r="FF148" i="14609"/>
  <c r="FG148" i="14609"/>
  <c r="FH148" i="14609"/>
  <c r="FI148" i="14609"/>
  <c r="FJ148" i="14609"/>
  <c r="FK148" i="14609"/>
  <c r="FL148" i="14609"/>
  <c r="FM148" i="14609"/>
  <c r="FN148" i="14609"/>
  <c r="FO148" i="14609"/>
  <c r="FP148" i="14609"/>
  <c r="FQ148" i="14609"/>
  <c r="FR148" i="14609"/>
  <c r="FS148" i="14609"/>
  <c r="FT148" i="14609"/>
  <c r="FU148" i="14609"/>
  <c r="FV148" i="14609"/>
  <c r="FW148" i="14609"/>
  <c r="FX148" i="14609"/>
  <c r="FY148" i="14609"/>
  <c r="FZ148" i="14609"/>
  <c r="GA148" i="14609"/>
  <c r="GB148" i="14609"/>
  <c r="GC148" i="14609"/>
  <c r="GD148" i="14609"/>
  <c r="GE148" i="14609"/>
  <c r="GF148" i="14609"/>
  <c r="GG148" i="14609"/>
  <c r="GH148" i="14609"/>
  <c r="GI148" i="14609"/>
  <c r="GJ148" i="14609"/>
  <c r="GK148" i="14609"/>
  <c r="GL148" i="14609"/>
  <c r="GM148" i="14609"/>
  <c r="GN148" i="14609"/>
  <c r="GO148" i="14609"/>
  <c r="GP148" i="14609"/>
  <c r="GQ148" i="14609"/>
  <c r="GR148" i="14609"/>
  <c r="GS148" i="14609"/>
  <c r="GT148" i="14609"/>
  <c r="GU148" i="14609"/>
  <c r="GV148" i="14609"/>
  <c r="GW148" i="14609"/>
  <c r="GX148" i="14609"/>
  <c r="GY148" i="14609"/>
  <c r="GZ148" i="14609"/>
  <c r="HA148" i="14609"/>
  <c r="HB148" i="14609"/>
  <c r="HC148" i="14609"/>
  <c r="HD148" i="14609"/>
  <c r="HE148" i="14609"/>
  <c r="HF148" i="14609"/>
  <c r="HG148" i="14609"/>
  <c r="HH148" i="14609"/>
  <c r="HI148" i="14609"/>
  <c r="HJ148" i="14609"/>
  <c r="HK148" i="14609"/>
  <c r="HL148" i="14609"/>
  <c r="HM148" i="14609"/>
  <c r="HN148" i="14609"/>
  <c r="HO148" i="14609"/>
  <c r="HP148" i="14609"/>
  <c r="HQ148" i="14609"/>
  <c r="HR148" i="14609"/>
  <c r="HS148" i="14609"/>
  <c r="HT148" i="14609"/>
  <c r="HU148" i="14609"/>
  <c r="HV148" i="14609"/>
  <c r="HW148" i="14609"/>
  <c r="HX148" i="14609"/>
  <c r="HY148" i="14609"/>
  <c r="HZ148" i="14609"/>
  <c r="IA148" i="14609"/>
  <c r="IB148" i="14609"/>
  <c r="IC148" i="14609"/>
  <c r="ID148" i="14609"/>
  <c r="IE148" i="14609"/>
  <c r="IF148" i="14609"/>
  <c r="IG148" i="14609"/>
  <c r="IH148" i="14609"/>
  <c r="II148" i="14609"/>
  <c r="IJ148" i="14609"/>
  <c r="IK148" i="14609"/>
  <c r="IL148" i="14609"/>
  <c r="IM148" i="14609"/>
  <c r="IN148" i="14609"/>
  <c r="IO148" i="14609"/>
  <c r="IP148" i="14609"/>
  <c r="IQ148" i="14609"/>
  <c r="IR148" i="14609"/>
  <c r="IS148" i="14609"/>
  <c r="IT148" i="14609"/>
  <c r="IU148" i="14609"/>
  <c r="IV148" i="14609"/>
  <c r="A147" i="14609"/>
  <c r="B147" i="14609"/>
  <c r="C147" i="14609"/>
  <c r="D147" i="14609"/>
  <c r="E147" i="14609"/>
  <c r="F147" i="14609"/>
  <c r="G147" i="14609"/>
  <c r="H147" i="14609"/>
  <c r="I147" i="14609"/>
  <c r="J147" i="14609"/>
  <c r="K147" i="14609"/>
  <c r="L147" i="14609"/>
  <c r="M147" i="14609"/>
  <c r="N147" i="14609"/>
  <c r="O147" i="14609"/>
  <c r="P147" i="14609"/>
  <c r="Q147" i="14609"/>
  <c r="R147" i="14609"/>
  <c r="S147" i="14609"/>
  <c r="T147" i="14609"/>
  <c r="U147" i="14609"/>
  <c r="V147" i="14609"/>
  <c r="W147" i="14609"/>
  <c r="X147" i="14609"/>
  <c r="Y147" i="14609"/>
  <c r="Z147" i="14609"/>
  <c r="AA147" i="14609"/>
  <c r="AB147" i="14609"/>
  <c r="AC147" i="14609"/>
  <c r="AD147" i="14609"/>
  <c r="AE147" i="14609"/>
  <c r="AF147" i="14609"/>
  <c r="AG147" i="14609"/>
  <c r="AH147" i="14609"/>
  <c r="AI147" i="14609"/>
  <c r="AJ147" i="14609"/>
  <c r="AK147" i="14609"/>
  <c r="AL147" i="14609"/>
  <c r="AM147" i="14609"/>
  <c r="AN147" i="14609"/>
  <c r="AO147" i="14609"/>
  <c r="AP147" i="14609"/>
  <c r="AQ147" i="14609"/>
  <c r="AR147" i="14609"/>
  <c r="AS147" i="14609"/>
  <c r="AT147" i="14609"/>
  <c r="AU147" i="14609"/>
  <c r="AV147" i="14609"/>
  <c r="AW147" i="14609"/>
  <c r="AX147" i="14609"/>
  <c r="AY147" i="14609"/>
  <c r="AZ147" i="14609"/>
  <c r="BA147" i="14609"/>
  <c r="BB147" i="14609"/>
  <c r="BC147" i="14609"/>
  <c r="BD147" i="14609"/>
  <c r="BE147" i="14609"/>
  <c r="BF147" i="14609"/>
  <c r="BG147" i="14609"/>
  <c r="BH147" i="14609"/>
  <c r="BI147" i="14609"/>
  <c r="BJ147" i="14609"/>
  <c r="BK147" i="14609"/>
  <c r="BL147" i="14609"/>
  <c r="BM147" i="14609"/>
  <c r="BN147" i="14609"/>
  <c r="BO147" i="14609"/>
  <c r="BP147" i="14609"/>
  <c r="BQ147" i="14609"/>
  <c r="BR147" i="14609"/>
  <c r="BS147" i="14609"/>
  <c r="BT147" i="14609"/>
  <c r="BU147" i="14609"/>
  <c r="BV147" i="14609"/>
  <c r="BW147" i="14609"/>
  <c r="BX147" i="14609"/>
  <c r="BY147" i="14609"/>
  <c r="BZ147" i="14609"/>
  <c r="CA147" i="14609"/>
  <c r="CB147" i="14609"/>
  <c r="CC147" i="14609"/>
  <c r="CD147" i="14609"/>
  <c r="CE147" i="14609"/>
  <c r="CF147" i="14609"/>
  <c r="CG147" i="14609"/>
  <c r="CH147" i="14609"/>
  <c r="CI147" i="14609"/>
  <c r="CJ147" i="14609"/>
  <c r="CK147" i="14609"/>
  <c r="CL147" i="14609"/>
  <c r="CM147" i="14609"/>
  <c r="CN147" i="14609"/>
  <c r="CO147" i="14609"/>
  <c r="CP147" i="14609"/>
  <c r="CQ147" i="14609"/>
  <c r="CR147" i="14609"/>
  <c r="CS147" i="14609"/>
  <c r="CT147" i="14609"/>
  <c r="CU147" i="14609"/>
  <c r="CV147" i="14609"/>
  <c r="CW147" i="14609"/>
  <c r="CX147" i="14609"/>
  <c r="CY147" i="14609"/>
  <c r="CZ147" i="14609"/>
  <c r="DA147" i="14609"/>
  <c r="DB147" i="14609"/>
  <c r="DC147" i="14609"/>
  <c r="DD147" i="14609"/>
  <c r="DE147" i="14609"/>
  <c r="DF147" i="14609"/>
  <c r="DG147" i="14609"/>
  <c r="DH147" i="14609"/>
  <c r="DI147" i="14609"/>
  <c r="DJ147" i="14609"/>
  <c r="DK147" i="14609"/>
  <c r="DL147" i="14609"/>
  <c r="DM147" i="14609"/>
  <c r="DN147" i="14609"/>
  <c r="DO147" i="14609"/>
  <c r="DP147" i="14609"/>
  <c r="DQ147" i="14609"/>
  <c r="DR147" i="14609"/>
  <c r="DS147" i="14609"/>
  <c r="DT147" i="14609"/>
  <c r="DU147" i="14609"/>
  <c r="DV147" i="14609"/>
  <c r="DW147" i="14609"/>
  <c r="DX147" i="14609"/>
  <c r="DY147" i="14609"/>
  <c r="DZ147" i="14609"/>
  <c r="EA147" i="14609"/>
  <c r="EB147" i="14609"/>
  <c r="EC147" i="14609"/>
  <c r="ED147" i="14609"/>
  <c r="EE147" i="14609"/>
  <c r="EF147" i="14609"/>
  <c r="EG147" i="14609"/>
  <c r="EH147" i="14609"/>
  <c r="EI147" i="14609"/>
  <c r="EJ147" i="14609"/>
  <c r="EK147" i="14609"/>
  <c r="EL147" i="14609"/>
  <c r="EM147" i="14609"/>
  <c r="EN147" i="14609"/>
  <c r="EO147" i="14609"/>
  <c r="EP147" i="14609"/>
  <c r="EQ147" i="14609"/>
  <c r="ER147" i="14609"/>
  <c r="ES147" i="14609"/>
  <c r="ET147" i="14609"/>
  <c r="EU147" i="14609"/>
  <c r="EV147" i="14609"/>
  <c r="EW147" i="14609"/>
  <c r="EX147" i="14609"/>
  <c r="EY147" i="14609"/>
  <c r="EZ147" i="14609"/>
  <c r="FA147" i="14609"/>
  <c r="FB147" i="14609"/>
  <c r="FC147" i="14609"/>
  <c r="FD147" i="14609"/>
  <c r="FE147" i="14609"/>
  <c r="FF147" i="14609"/>
  <c r="FG147" i="14609"/>
  <c r="FH147" i="14609"/>
  <c r="FI147" i="14609"/>
  <c r="FJ147" i="14609"/>
  <c r="FK147" i="14609"/>
  <c r="FL147" i="14609"/>
  <c r="FM147" i="14609"/>
  <c r="FN147" i="14609"/>
  <c r="FO147" i="14609"/>
  <c r="FP147" i="14609"/>
  <c r="FQ147" i="14609"/>
  <c r="FR147" i="14609"/>
  <c r="FS147" i="14609"/>
  <c r="FT147" i="14609"/>
  <c r="FU147" i="14609"/>
  <c r="FV147" i="14609"/>
  <c r="FW147" i="14609"/>
  <c r="FX147" i="14609"/>
  <c r="FY147" i="14609"/>
  <c r="FZ147" i="14609"/>
  <c r="GA147" i="14609"/>
  <c r="GB147" i="14609"/>
  <c r="GC147" i="14609"/>
  <c r="GD147" i="14609"/>
  <c r="GE147" i="14609"/>
  <c r="GF147" i="14609"/>
  <c r="GG147" i="14609"/>
  <c r="GH147" i="14609"/>
  <c r="GI147" i="14609"/>
  <c r="GJ147" i="14609"/>
  <c r="GK147" i="14609"/>
  <c r="GL147" i="14609"/>
  <c r="GM147" i="14609"/>
  <c r="GN147" i="14609"/>
  <c r="GO147" i="14609"/>
  <c r="GP147" i="14609"/>
  <c r="GQ147" i="14609"/>
  <c r="GR147" i="14609"/>
  <c r="GS147" i="14609"/>
  <c r="GT147" i="14609"/>
  <c r="GU147" i="14609"/>
  <c r="GV147" i="14609"/>
  <c r="GW147" i="14609"/>
  <c r="GX147" i="14609"/>
  <c r="GY147" i="14609"/>
  <c r="GZ147" i="14609"/>
  <c r="HA147" i="14609"/>
  <c r="HB147" i="14609"/>
  <c r="HC147" i="14609"/>
  <c r="HD147" i="14609"/>
  <c r="HE147" i="14609"/>
  <c r="HF147" i="14609"/>
  <c r="HG147" i="14609"/>
  <c r="HH147" i="14609"/>
  <c r="HI147" i="14609"/>
  <c r="HJ147" i="14609"/>
  <c r="HK147" i="14609"/>
  <c r="HL147" i="14609"/>
  <c r="HM147" i="14609"/>
  <c r="HN147" i="14609"/>
  <c r="HO147" i="14609"/>
  <c r="HP147" i="14609"/>
  <c r="HQ147" i="14609"/>
  <c r="HR147" i="14609"/>
  <c r="HS147" i="14609"/>
  <c r="HT147" i="14609"/>
  <c r="HU147" i="14609"/>
  <c r="HV147" i="14609"/>
  <c r="HW147" i="14609"/>
  <c r="HX147" i="14609"/>
  <c r="HY147" i="14609"/>
  <c r="HZ147" i="14609"/>
  <c r="IA147" i="14609"/>
  <c r="IB147" i="14609"/>
  <c r="IC147" i="14609"/>
  <c r="ID147" i="14609"/>
  <c r="IE147" i="14609"/>
  <c r="IF147" i="14609"/>
  <c r="IG147" i="14609"/>
  <c r="IH147" i="14609"/>
  <c r="II147" i="14609"/>
  <c r="IJ147" i="14609"/>
  <c r="IK147" i="14609"/>
  <c r="IL147" i="14609"/>
  <c r="IM147" i="14609"/>
  <c r="IN147" i="14609"/>
  <c r="IO147" i="14609"/>
  <c r="IP147" i="14609"/>
  <c r="IQ147" i="14609"/>
  <c r="IR147" i="14609"/>
  <c r="IS147" i="14609"/>
  <c r="IT147" i="14609"/>
  <c r="IU147" i="14609"/>
  <c r="IV147" i="14609"/>
  <c r="A146" i="14609"/>
  <c r="B146" i="14609"/>
  <c r="C146" i="14609"/>
  <c r="D146" i="14609"/>
  <c r="E146" i="14609"/>
  <c r="F146" i="14609"/>
  <c r="G146" i="14609"/>
  <c r="H146" i="14609"/>
  <c r="I146" i="14609"/>
  <c r="J146" i="14609"/>
  <c r="K146" i="14609"/>
  <c r="L146" i="14609"/>
  <c r="M146" i="14609"/>
  <c r="N146" i="14609"/>
  <c r="O146" i="14609"/>
  <c r="P146" i="14609"/>
  <c r="Q146" i="14609"/>
  <c r="R146" i="14609"/>
  <c r="S146" i="14609"/>
  <c r="T146" i="14609"/>
  <c r="U146" i="14609"/>
  <c r="V146" i="14609"/>
  <c r="W146" i="14609"/>
  <c r="X146" i="14609"/>
  <c r="Y146" i="14609"/>
  <c r="Z146" i="14609"/>
  <c r="AA146" i="14609"/>
  <c r="AB146" i="14609"/>
  <c r="AC146" i="14609"/>
  <c r="AD146" i="14609"/>
  <c r="AE146" i="14609"/>
  <c r="AF146" i="14609"/>
  <c r="AG146" i="14609"/>
  <c r="AH146" i="14609"/>
  <c r="AI146" i="14609"/>
  <c r="AJ146" i="14609"/>
  <c r="AK146" i="14609"/>
  <c r="AL146" i="14609"/>
  <c r="AM146" i="14609"/>
  <c r="AN146" i="14609"/>
  <c r="AO146" i="14609"/>
  <c r="AP146" i="14609"/>
  <c r="AQ146" i="14609"/>
  <c r="AR146" i="14609"/>
  <c r="AS146" i="14609"/>
  <c r="AT146" i="14609"/>
  <c r="AU146" i="14609"/>
  <c r="AV146" i="14609"/>
  <c r="AW146" i="14609"/>
  <c r="AX146" i="14609"/>
  <c r="AY146" i="14609"/>
  <c r="AZ146" i="14609"/>
  <c r="BA146" i="14609"/>
  <c r="BB146" i="14609"/>
  <c r="BC146" i="14609"/>
  <c r="BD146" i="14609"/>
  <c r="BE146" i="14609"/>
  <c r="BF146" i="14609"/>
  <c r="BG146" i="14609"/>
  <c r="BH146" i="14609"/>
  <c r="BI146" i="14609"/>
  <c r="BJ146" i="14609"/>
  <c r="BK146" i="14609"/>
  <c r="BL146" i="14609"/>
  <c r="BM146" i="14609"/>
  <c r="BN146" i="14609"/>
  <c r="BO146" i="14609"/>
  <c r="BP146" i="14609"/>
  <c r="BQ146" i="14609"/>
  <c r="BR146" i="14609"/>
  <c r="BS146" i="14609"/>
  <c r="BT146" i="14609"/>
  <c r="BU146" i="14609"/>
  <c r="BV146" i="14609"/>
  <c r="BW146" i="14609"/>
  <c r="BX146" i="14609"/>
  <c r="BY146" i="14609"/>
  <c r="BZ146" i="14609"/>
  <c r="CA146" i="14609"/>
  <c r="CB146" i="14609"/>
  <c r="CC146" i="14609"/>
  <c r="CD146" i="14609"/>
  <c r="CE146" i="14609"/>
  <c r="CF146" i="14609"/>
  <c r="CG146" i="14609"/>
  <c r="CH146" i="14609"/>
  <c r="CI146" i="14609"/>
  <c r="CJ146" i="14609"/>
  <c r="CK146" i="14609"/>
  <c r="CL146" i="14609"/>
  <c r="CM146" i="14609"/>
  <c r="CN146" i="14609"/>
  <c r="CO146" i="14609"/>
  <c r="CP146" i="14609"/>
  <c r="CQ146" i="14609"/>
  <c r="CR146" i="14609"/>
  <c r="CS146" i="14609"/>
  <c r="CT146" i="14609"/>
  <c r="CU146" i="14609"/>
  <c r="CV146" i="14609"/>
  <c r="CW146" i="14609"/>
  <c r="CX146" i="14609"/>
  <c r="CY146" i="14609"/>
  <c r="CZ146" i="14609"/>
  <c r="DA146" i="14609"/>
  <c r="DB146" i="14609"/>
  <c r="DC146" i="14609"/>
  <c r="DD146" i="14609"/>
  <c r="DE146" i="14609"/>
  <c r="DF146" i="14609"/>
  <c r="DG146" i="14609"/>
  <c r="DH146" i="14609"/>
  <c r="DI146" i="14609"/>
  <c r="DJ146" i="14609"/>
  <c r="DK146" i="14609"/>
  <c r="DL146" i="14609"/>
  <c r="DM146" i="14609"/>
  <c r="DN146" i="14609"/>
  <c r="DO146" i="14609"/>
  <c r="DP146" i="14609"/>
  <c r="DQ146" i="14609"/>
  <c r="DR146" i="14609"/>
  <c r="DS146" i="14609"/>
  <c r="DT146" i="14609"/>
  <c r="DU146" i="14609"/>
  <c r="DV146" i="14609"/>
  <c r="DW146" i="14609"/>
  <c r="DX146" i="14609"/>
  <c r="DY146" i="14609"/>
  <c r="DZ146" i="14609"/>
  <c r="EA146" i="14609"/>
  <c r="EB146" i="14609"/>
  <c r="EC146" i="14609"/>
  <c r="ED146" i="14609"/>
  <c r="EE146" i="14609"/>
  <c r="EF146" i="14609"/>
  <c r="EG146" i="14609"/>
  <c r="EH146" i="14609"/>
  <c r="EI146" i="14609"/>
  <c r="EJ146" i="14609"/>
  <c r="EK146" i="14609"/>
  <c r="EL146" i="14609"/>
  <c r="EM146" i="14609"/>
  <c r="EN146" i="14609"/>
  <c r="EO146" i="14609"/>
  <c r="EP146" i="14609"/>
  <c r="EQ146" i="14609"/>
  <c r="ER146" i="14609"/>
  <c r="ES146" i="14609"/>
  <c r="ET146" i="14609"/>
  <c r="EU146" i="14609"/>
  <c r="EV146" i="14609"/>
  <c r="EW146" i="14609"/>
  <c r="EX146" i="14609"/>
  <c r="EY146" i="14609"/>
  <c r="EZ146" i="14609"/>
  <c r="FA146" i="14609"/>
  <c r="FB146" i="14609"/>
  <c r="FC146" i="14609"/>
  <c r="FD146" i="14609"/>
  <c r="FE146" i="14609"/>
  <c r="FF146" i="14609"/>
  <c r="FG146" i="14609"/>
  <c r="FH146" i="14609"/>
  <c r="FI146" i="14609"/>
  <c r="FJ146" i="14609"/>
  <c r="FK146" i="14609"/>
  <c r="FL146" i="14609"/>
  <c r="FM146" i="14609"/>
  <c r="FN146" i="14609"/>
  <c r="FO146" i="14609"/>
  <c r="FP146" i="14609"/>
  <c r="FQ146" i="14609"/>
  <c r="FR146" i="14609"/>
  <c r="FS146" i="14609"/>
  <c r="FT146" i="14609"/>
  <c r="FU146" i="14609"/>
  <c r="FV146" i="14609"/>
  <c r="FW146" i="14609"/>
  <c r="FX146" i="14609"/>
  <c r="FY146" i="14609"/>
  <c r="FZ146" i="14609"/>
  <c r="GA146" i="14609"/>
  <c r="GB146" i="14609"/>
  <c r="GC146" i="14609"/>
  <c r="GD146" i="14609"/>
  <c r="GE146" i="14609"/>
  <c r="GF146" i="14609"/>
  <c r="GG146" i="14609"/>
  <c r="GH146" i="14609"/>
  <c r="GI146" i="14609"/>
  <c r="GJ146" i="14609"/>
  <c r="GK146" i="14609"/>
  <c r="GL146" i="14609"/>
  <c r="GM146" i="14609"/>
  <c r="GN146" i="14609"/>
  <c r="GO146" i="14609"/>
  <c r="GP146" i="14609"/>
  <c r="GQ146" i="14609"/>
  <c r="GR146" i="14609"/>
  <c r="GS146" i="14609"/>
  <c r="GT146" i="14609"/>
  <c r="GU146" i="14609"/>
  <c r="GV146" i="14609"/>
  <c r="GW146" i="14609"/>
  <c r="GX146" i="14609"/>
  <c r="GY146" i="14609"/>
  <c r="GZ146" i="14609"/>
  <c r="HA146" i="14609"/>
  <c r="HB146" i="14609"/>
  <c r="HC146" i="14609"/>
  <c r="HD146" i="14609"/>
  <c r="HE146" i="14609"/>
  <c r="HF146" i="14609"/>
  <c r="HG146" i="14609"/>
  <c r="HH146" i="14609"/>
  <c r="HI146" i="14609"/>
  <c r="HJ146" i="14609"/>
  <c r="HK146" i="14609"/>
  <c r="HL146" i="14609"/>
  <c r="HM146" i="14609"/>
  <c r="HN146" i="14609"/>
  <c r="HO146" i="14609"/>
  <c r="HP146" i="14609"/>
  <c r="HQ146" i="14609"/>
  <c r="HR146" i="14609"/>
  <c r="HS146" i="14609"/>
  <c r="HT146" i="14609"/>
  <c r="HU146" i="14609"/>
  <c r="HV146" i="14609"/>
  <c r="HW146" i="14609"/>
  <c r="HX146" i="14609"/>
  <c r="HY146" i="14609"/>
  <c r="HZ146" i="14609"/>
  <c r="IA146" i="14609"/>
  <c r="IB146" i="14609"/>
  <c r="IC146" i="14609"/>
  <c r="ID146" i="14609"/>
  <c r="IE146" i="14609"/>
  <c r="IF146" i="14609"/>
  <c r="IG146" i="14609"/>
  <c r="IH146" i="14609"/>
  <c r="II146" i="14609"/>
  <c r="IJ146" i="14609"/>
  <c r="IK146" i="14609"/>
  <c r="IL146" i="14609"/>
  <c r="IM146" i="14609"/>
  <c r="IN146" i="14609"/>
  <c r="IO146" i="14609"/>
  <c r="IP146" i="14609"/>
  <c r="IQ146" i="14609"/>
  <c r="IR146" i="14609"/>
  <c r="IS146" i="14609"/>
  <c r="IT146" i="14609"/>
  <c r="IU146" i="14609"/>
  <c r="IV146" i="14609"/>
  <c r="A145" i="14609"/>
  <c r="B145" i="14609"/>
  <c r="C145" i="14609"/>
  <c r="D145" i="14609"/>
  <c r="E145" i="14609"/>
  <c r="F145" i="14609"/>
  <c r="G145" i="14609"/>
  <c r="H145" i="14609"/>
  <c r="I145" i="14609"/>
  <c r="J145" i="14609"/>
  <c r="K145" i="14609"/>
  <c r="L145" i="14609"/>
  <c r="M145" i="14609"/>
  <c r="N145" i="14609"/>
  <c r="O145" i="14609"/>
  <c r="P145" i="14609"/>
  <c r="Q145" i="14609"/>
  <c r="R145" i="14609"/>
  <c r="S145" i="14609"/>
  <c r="T145" i="14609"/>
  <c r="U145" i="14609"/>
  <c r="V145" i="14609"/>
  <c r="W145" i="14609"/>
  <c r="X145" i="14609"/>
  <c r="Y145" i="14609"/>
  <c r="Z145" i="14609"/>
  <c r="AA145" i="14609"/>
  <c r="AB145" i="14609"/>
  <c r="AC145" i="14609"/>
  <c r="AD145" i="14609"/>
  <c r="AE145" i="14609"/>
  <c r="AF145" i="14609"/>
  <c r="AG145" i="14609"/>
  <c r="AH145" i="14609"/>
  <c r="AI145" i="14609"/>
  <c r="AJ145" i="14609"/>
  <c r="AK145" i="14609"/>
  <c r="AL145" i="14609"/>
  <c r="AM145" i="14609"/>
  <c r="AN145" i="14609"/>
  <c r="AO145" i="14609"/>
  <c r="AP145" i="14609"/>
  <c r="AQ145" i="14609"/>
  <c r="AR145" i="14609"/>
  <c r="AS145" i="14609"/>
  <c r="AT145" i="14609"/>
  <c r="AU145" i="14609"/>
  <c r="AV145" i="14609"/>
  <c r="AW145" i="14609"/>
  <c r="AX145" i="14609"/>
  <c r="AY145" i="14609"/>
  <c r="AZ145" i="14609"/>
  <c r="BA145" i="14609"/>
  <c r="BB145" i="14609"/>
  <c r="BC145" i="14609"/>
  <c r="BD145" i="14609"/>
  <c r="BE145" i="14609"/>
  <c r="BF145" i="14609"/>
  <c r="BG145" i="14609"/>
  <c r="BH145" i="14609"/>
  <c r="BI145" i="14609"/>
  <c r="BJ145" i="14609"/>
  <c r="BK145" i="14609"/>
  <c r="BL145" i="14609"/>
  <c r="BM145" i="14609"/>
  <c r="BN145" i="14609"/>
  <c r="BO145" i="14609"/>
  <c r="BP145" i="14609"/>
  <c r="BQ145" i="14609"/>
  <c r="BR145" i="14609"/>
  <c r="BS145" i="14609"/>
  <c r="BT145" i="14609"/>
  <c r="BU145" i="14609"/>
  <c r="BV145" i="14609"/>
  <c r="BW145" i="14609"/>
  <c r="BX145" i="14609"/>
  <c r="BY145" i="14609"/>
  <c r="BZ145" i="14609"/>
  <c r="CA145" i="14609"/>
  <c r="CB145" i="14609"/>
  <c r="CC145" i="14609"/>
  <c r="CD145" i="14609"/>
  <c r="CE145" i="14609"/>
  <c r="CF145" i="14609"/>
  <c r="CG145" i="14609"/>
  <c r="CH145" i="14609"/>
  <c r="CI145" i="14609"/>
  <c r="CJ145" i="14609"/>
  <c r="CK145" i="14609"/>
  <c r="CL145" i="14609"/>
  <c r="CM145" i="14609"/>
  <c r="CN145" i="14609"/>
  <c r="CO145" i="14609"/>
  <c r="CP145" i="14609"/>
  <c r="CQ145" i="14609"/>
  <c r="CR145" i="14609"/>
  <c r="CS145" i="14609"/>
  <c r="CT145" i="14609"/>
  <c r="CU145" i="14609"/>
  <c r="CV145" i="14609"/>
  <c r="CW145" i="14609"/>
  <c r="CX145" i="14609"/>
  <c r="CY145" i="14609"/>
  <c r="CZ145" i="14609"/>
  <c r="DA145" i="14609"/>
  <c r="DB145" i="14609"/>
  <c r="DC145" i="14609"/>
  <c r="DD145" i="14609"/>
  <c r="DE145" i="14609"/>
  <c r="DF145" i="14609"/>
  <c r="DG145" i="14609"/>
  <c r="DH145" i="14609"/>
  <c r="DI145" i="14609"/>
  <c r="DJ145" i="14609"/>
  <c r="DK145" i="14609"/>
  <c r="DL145" i="14609"/>
  <c r="DM145" i="14609"/>
  <c r="DN145" i="14609"/>
  <c r="DO145" i="14609"/>
  <c r="DP145" i="14609"/>
  <c r="DQ145" i="14609"/>
  <c r="DR145" i="14609"/>
  <c r="DS145" i="14609"/>
  <c r="DT145" i="14609"/>
  <c r="DU145" i="14609"/>
  <c r="DV145" i="14609"/>
  <c r="DW145" i="14609"/>
  <c r="DX145" i="14609"/>
  <c r="DY145" i="14609"/>
  <c r="DZ145" i="14609"/>
  <c r="EA145" i="14609"/>
  <c r="EB145" i="14609"/>
  <c r="EC145" i="14609"/>
  <c r="ED145" i="14609"/>
  <c r="EE145" i="14609"/>
  <c r="EF145" i="14609"/>
  <c r="EG145" i="14609"/>
  <c r="EH145" i="14609"/>
  <c r="EI145" i="14609"/>
  <c r="EJ145" i="14609"/>
  <c r="EK145" i="14609"/>
  <c r="EL145" i="14609"/>
  <c r="EM145" i="14609"/>
  <c r="EN145" i="14609"/>
  <c r="EO145" i="14609"/>
  <c r="EP145" i="14609"/>
  <c r="EQ145" i="14609"/>
  <c r="ER145" i="14609"/>
  <c r="ES145" i="14609"/>
  <c r="ET145" i="14609"/>
  <c r="EU145" i="14609"/>
  <c r="EV145" i="14609"/>
  <c r="EW145" i="14609"/>
  <c r="EX145" i="14609"/>
  <c r="EY145" i="14609"/>
  <c r="EZ145" i="14609"/>
  <c r="FA145" i="14609"/>
  <c r="FB145" i="14609"/>
  <c r="FC145" i="14609"/>
  <c r="FD145" i="14609"/>
  <c r="FE145" i="14609"/>
  <c r="FF145" i="14609"/>
  <c r="FG145" i="14609"/>
  <c r="FH145" i="14609"/>
  <c r="FI145" i="14609"/>
  <c r="FJ145" i="14609"/>
  <c r="FK145" i="14609"/>
  <c r="FL145" i="14609"/>
  <c r="FM145" i="14609"/>
  <c r="FN145" i="14609"/>
  <c r="FO145" i="14609"/>
  <c r="FP145" i="14609"/>
  <c r="FQ145" i="14609"/>
  <c r="FR145" i="14609"/>
  <c r="FS145" i="14609"/>
  <c r="FT145" i="14609"/>
  <c r="FU145" i="14609"/>
  <c r="FV145" i="14609"/>
  <c r="FW145" i="14609"/>
  <c r="FX145" i="14609"/>
  <c r="FY145" i="14609"/>
  <c r="FZ145" i="14609"/>
  <c r="GA145" i="14609"/>
  <c r="GB145" i="14609"/>
  <c r="GC145" i="14609"/>
  <c r="GD145" i="14609"/>
  <c r="GE145" i="14609"/>
  <c r="GF145" i="14609"/>
  <c r="GG145" i="14609"/>
  <c r="GH145" i="14609"/>
  <c r="GI145" i="14609"/>
  <c r="GJ145" i="14609"/>
  <c r="GK145" i="14609"/>
  <c r="GL145" i="14609"/>
  <c r="GM145" i="14609"/>
  <c r="GN145" i="14609"/>
  <c r="GO145" i="14609"/>
  <c r="GP145" i="14609"/>
  <c r="GQ145" i="14609"/>
  <c r="GR145" i="14609"/>
  <c r="GS145" i="14609"/>
  <c r="GT145" i="14609"/>
  <c r="GU145" i="14609"/>
  <c r="GV145" i="14609"/>
  <c r="GW145" i="14609"/>
  <c r="GX145" i="14609"/>
  <c r="GY145" i="14609"/>
  <c r="GZ145" i="14609"/>
  <c r="HA145" i="14609"/>
  <c r="HB145" i="14609"/>
  <c r="HC145" i="14609"/>
  <c r="HD145" i="14609"/>
  <c r="HE145" i="14609"/>
  <c r="HF145" i="14609"/>
  <c r="HG145" i="14609"/>
  <c r="HH145" i="14609"/>
  <c r="HI145" i="14609"/>
  <c r="HJ145" i="14609"/>
  <c r="HK145" i="14609"/>
  <c r="HL145" i="14609"/>
  <c r="HM145" i="14609"/>
  <c r="HN145" i="14609"/>
  <c r="HO145" i="14609"/>
  <c r="HP145" i="14609"/>
  <c r="HQ145" i="14609"/>
  <c r="HR145" i="14609"/>
  <c r="HS145" i="14609"/>
  <c r="HT145" i="14609"/>
  <c r="HU145" i="14609"/>
  <c r="HV145" i="14609"/>
  <c r="HW145" i="14609"/>
  <c r="HX145" i="14609"/>
  <c r="HY145" i="14609"/>
  <c r="HZ145" i="14609"/>
  <c r="IA145" i="14609"/>
  <c r="IB145" i="14609"/>
  <c r="IC145" i="14609"/>
  <c r="ID145" i="14609"/>
  <c r="IE145" i="14609"/>
  <c r="IF145" i="14609"/>
  <c r="IG145" i="14609"/>
  <c r="IH145" i="14609"/>
  <c r="II145" i="14609"/>
  <c r="IJ145" i="14609"/>
  <c r="IK145" i="14609"/>
  <c r="IL145" i="14609"/>
  <c r="IM145" i="14609"/>
  <c r="IN145" i="14609"/>
  <c r="IO145" i="14609"/>
  <c r="IP145" i="14609"/>
  <c r="IQ145" i="14609"/>
  <c r="IR145" i="14609"/>
  <c r="IS145" i="14609"/>
  <c r="IT145" i="14609"/>
  <c r="IU145" i="14609"/>
  <c r="IV145" i="14609"/>
  <c r="A144" i="14609"/>
  <c r="B144" i="14609"/>
  <c r="C144" i="14609"/>
  <c r="D144" i="14609"/>
  <c r="E144" i="14609"/>
  <c r="F144" i="14609"/>
  <c r="G144" i="14609"/>
  <c r="H144" i="14609"/>
  <c r="I144" i="14609"/>
  <c r="J144" i="14609"/>
  <c r="K144" i="14609"/>
  <c r="L144" i="14609"/>
  <c r="M144" i="14609"/>
  <c r="N144" i="14609"/>
  <c r="O144" i="14609"/>
  <c r="P144" i="14609"/>
  <c r="Q144" i="14609"/>
  <c r="R144" i="14609"/>
  <c r="S144" i="14609"/>
  <c r="T144" i="14609"/>
  <c r="U144" i="14609"/>
  <c r="V144" i="14609"/>
  <c r="W144" i="14609"/>
  <c r="X144" i="14609"/>
  <c r="Y144" i="14609"/>
  <c r="Z144" i="14609"/>
  <c r="AA144" i="14609"/>
  <c r="AB144" i="14609"/>
  <c r="AC144" i="14609"/>
  <c r="AD144" i="14609"/>
  <c r="AE144" i="14609"/>
  <c r="AF144" i="14609"/>
  <c r="AG144" i="14609"/>
  <c r="AH144" i="14609"/>
  <c r="AI144" i="14609"/>
  <c r="AJ144" i="14609"/>
  <c r="AK144" i="14609"/>
  <c r="AL144" i="14609"/>
  <c r="AM144" i="14609"/>
  <c r="AN144" i="14609"/>
  <c r="AO144" i="14609"/>
  <c r="AP144" i="14609"/>
  <c r="AQ144" i="14609"/>
  <c r="AR144" i="14609"/>
  <c r="AS144" i="14609"/>
  <c r="AT144" i="14609"/>
  <c r="AU144" i="14609"/>
  <c r="AV144" i="14609"/>
  <c r="AW144" i="14609"/>
  <c r="AX144" i="14609"/>
  <c r="AY144" i="14609"/>
  <c r="AZ144" i="14609"/>
  <c r="BA144" i="14609"/>
  <c r="BB144" i="14609"/>
  <c r="BC144" i="14609"/>
  <c r="BD144" i="14609"/>
  <c r="BE144" i="14609"/>
  <c r="BF144" i="14609"/>
  <c r="BG144" i="14609"/>
  <c r="BH144" i="14609"/>
  <c r="BI144" i="14609"/>
  <c r="BJ144" i="14609"/>
  <c r="BK144" i="14609"/>
  <c r="BL144" i="14609"/>
  <c r="BM144" i="14609"/>
  <c r="BN144" i="14609"/>
  <c r="BO144" i="14609"/>
  <c r="BP144" i="14609"/>
  <c r="BQ144" i="14609"/>
  <c r="BR144" i="14609"/>
  <c r="BS144" i="14609"/>
  <c r="BT144" i="14609"/>
  <c r="BU144" i="14609"/>
  <c r="BV144" i="14609"/>
  <c r="BW144" i="14609"/>
  <c r="BX144" i="14609"/>
  <c r="BY144" i="14609"/>
  <c r="BZ144" i="14609"/>
  <c r="CA144" i="14609"/>
  <c r="CB144" i="14609"/>
  <c r="CC144" i="14609"/>
  <c r="CD144" i="14609"/>
  <c r="CE144" i="14609"/>
  <c r="CF144" i="14609"/>
  <c r="CG144" i="14609"/>
  <c r="CH144" i="14609"/>
  <c r="CI144" i="14609"/>
  <c r="CJ144" i="14609"/>
  <c r="CK144" i="14609"/>
  <c r="CL144" i="14609"/>
  <c r="CM144" i="14609"/>
  <c r="CN144" i="14609"/>
  <c r="CO144" i="14609"/>
  <c r="CP144" i="14609"/>
  <c r="CQ144" i="14609"/>
  <c r="CR144" i="14609"/>
  <c r="CS144" i="14609"/>
  <c r="CT144" i="14609"/>
  <c r="CU144" i="14609"/>
  <c r="CV144" i="14609"/>
  <c r="CW144" i="14609"/>
  <c r="CX144" i="14609"/>
  <c r="CY144" i="14609"/>
  <c r="CZ144" i="14609"/>
  <c r="DA144" i="14609"/>
  <c r="DB144" i="14609"/>
  <c r="DC144" i="14609"/>
  <c r="DD144" i="14609"/>
  <c r="DE144" i="14609"/>
  <c r="DF144" i="14609"/>
  <c r="DG144" i="14609"/>
  <c r="DH144" i="14609"/>
  <c r="DI144" i="14609"/>
  <c r="DJ144" i="14609"/>
  <c r="DK144" i="14609"/>
  <c r="DL144" i="14609"/>
  <c r="DM144" i="14609"/>
  <c r="DN144" i="14609"/>
  <c r="DO144" i="14609"/>
  <c r="DP144" i="14609"/>
  <c r="DQ144" i="14609"/>
  <c r="DR144" i="14609"/>
  <c r="DS144" i="14609"/>
  <c r="DT144" i="14609"/>
  <c r="DU144" i="14609"/>
  <c r="DV144" i="14609"/>
  <c r="DW144" i="14609"/>
  <c r="DX144" i="14609"/>
  <c r="DY144" i="14609"/>
  <c r="DZ144" i="14609"/>
  <c r="EA144" i="14609"/>
  <c r="EB144" i="14609"/>
  <c r="EC144" i="14609"/>
  <c r="ED144" i="14609"/>
  <c r="EE144" i="14609"/>
  <c r="EF144" i="14609"/>
  <c r="EG144" i="14609"/>
  <c r="EH144" i="14609"/>
  <c r="EI144" i="14609"/>
  <c r="EJ144" i="14609"/>
  <c r="EK144" i="14609"/>
  <c r="EL144" i="14609"/>
  <c r="EM144" i="14609"/>
  <c r="EN144" i="14609"/>
  <c r="EO144" i="14609"/>
  <c r="EP144" i="14609"/>
  <c r="EQ144" i="14609"/>
  <c r="ER144" i="14609"/>
  <c r="ES144" i="14609"/>
  <c r="ET144" i="14609"/>
  <c r="EU144" i="14609"/>
  <c r="EV144" i="14609"/>
  <c r="EW144" i="14609"/>
  <c r="EX144" i="14609"/>
  <c r="EY144" i="14609"/>
  <c r="EZ144" i="14609"/>
  <c r="FA144" i="14609"/>
  <c r="FB144" i="14609"/>
  <c r="FC144" i="14609"/>
  <c r="FD144" i="14609"/>
  <c r="FE144" i="14609"/>
  <c r="FF144" i="14609"/>
  <c r="FG144" i="14609"/>
  <c r="FH144" i="14609"/>
  <c r="FI144" i="14609"/>
  <c r="FJ144" i="14609"/>
  <c r="FK144" i="14609"/>
  <c r="FL144" i="14609"/>
  <c r="FM144" i="14609"/>
  <c r="FN144" i="14609"/>
  <c r="FO144" i="14609"/>
  <c r="FP144" i="14609"/>
  <c r="FQ144" i="14609"/>
  <c r="FR144" i="14609"/>
  <c r="FS144" i="14609"/>
  <c r="FT144" i="14609"/>
  <c r="FU144" i="14609"/>
  <c r="FV144" i="14609"/>
  <c r="FW144" i="14609"/>
  <c r="FX144" i="14609"/>
  <c r="FY144" i="14609"/>
  <c r="FZ144" i="14609"/>
  <c r="GA144" i="14609"/>
  <c r="GB144" i="14609"/>
  <c r="GC144" i="14609"/>
  <c r="GD144" i="14609"/>
  <c r="GE144" i="14609"/>
  <c r="GF144" i="14609"/>
  <c r="GG144" i="14609"/>
  <c r="GH144" i="14609"/>
  <c r="GI144" i="14609"/>
  <c r="GJ144" i="14609"/>
  <c r="GK144" i="14609"/>
  <c r="GL144" i="14609"/>
  <c r="GM144" i="14609"/>
  <c r="GN144" i="14609"/>
  <c r="GO144" i="14609"/>
  <c r="GP144" i="14609"/>
  <c r="GQ144" i="14609"/>
  <c r="GR144" i="14609"/>
  <c r="GS144" i="14609"/>
  <c r="GT144" i="14609"/>
  <c r="GU144" i="14609"/>
  <c r="GV144" i="14609"/>
  <c r="GW144" i="14609"/>
  <c r="GX144" i="14609"/>
  <c r="GY144" i="14609"/>
  <c r="GZ144" i="14609"/>
  <c r="HA144" i="14609"/>
  <c r="HB144" i="14609"/>
  <c r="HC144" i="14609"/>
  <c r="HD144" i="14609"/>
  <c r="HE144" i="14609"/>
  <c r="HF144" i="14609"/>
  <c r="HG144" i="14609"/>
  <c r="HH144" i="14609"/>
  <c r="HI144" i="14609"/>
  <c r="HJ144" i="14609"/>
  <c r="HK144" i="14609"/>
  <c r="HL144" i="14609"/>
  <c r="HM144" i="14609"/>
  <c r="HN144" i="14609"/>
  <c r="HO144" i="14609"/>
  <c r="HP144" i="14609"/>
  <c r="HQ144" i="14609"/>
  <c r="HR144" i="14609"/>
  <c r="HS144" i="14609"/>
  <c r="HT144" i="14609"/>
  <c r="HU144" i="14609"/>
  <c r="HV144" i="14609"/>
  <c r="HW144" i="14609"/>
  <c r="HX144" i="14609"/>
  <c r="HY144" i="14609"/>
  <c r="HZ144" i="14609"/>
  <c r="IA144" i="14609"/>
  <c r="IB144" i="14609"/>
  <c r="IC144" i="14609"/>
  <c r="ID144" i="14609"/>
  <c r="IE144" i="14609"/>
  <c r="IF144" i="14609"/>
  <c r="IG144" i="14609"/>
  <c r="IH144" i="14609"/>
  <c r="II144" i="14609"/>
  <c r="IJ144" i="14609"/>
  <c r="IK144" i="14609"/>
  <c r="IL144" i="14609"/>
  <c r="IM144" i="14609"/>
  <c r="IN144" i="14609"/>
  <c r="IO144" i="14609"/>
  <c r="IP144" i="14609"/>
  <c r="IQ144" i="14609"/>
  <c r="IR144" i="14609"/>
  <c r="IS144" i="14609"/>
  <c r="IT144" i="14609"/>
  <c r="IU144" i="14609"/>
  <c r="IV144" i="14609"/>
  <c r="A143" i="14609"/>
  <c r="B143" i="14609"/>
  <c r="C143" i="14609"/>
  <c r="D143" i="14609"/>
  <c r="E143" i="14609"/>
  <c r="F143" i="14609"/>
  <c r="G143" i="14609"/>
  <c r="H143" i="14609"/>
  <c r="I143" i="14609"/>
  <c r="J143" i="14609"/>
  <c r="K143" i="14609"/>
  <c r="L143" i="14609"/>
  <c r="M143" i="14609"/>
  <c r="N143" i="14609"/>
  <c r="O143" i="14609"/>
  <c r="P143" i="14609"/>
  <c r="Q143" i="14609"/>
  <c r="R143" i="14609"/>
  <c r="S143" i="14609"/>
  <c r="T143" i="14609"/>
  <c r="U143" i="14609"/>
  <c r="V143" i="14609"/>
  <c r="W143" i="14609"/>
  <c r="X143" i="14609"/>
  <c r="Y143" i="14609"/>
  <c r="Z143" i="14609"/>
  <c r="AA143" i="14609"/>
  <c r="AB143" i="14609"/>
  <c r="AC143" i="14609"/>
  <c r="AD143" i="14609"/>
  <c r="AE143" i="14609"/>
  <c r="AF143" i="14609"/>
  <c r="AG143" i="14609"/>
  <c r="AH143" i="14609"/>
  <c r="AI143" i="14609"/>
  <c r="AJ143" i="14609"/>
  <c r="AK143" i="14609"/>
  <c r="AL143" i="14609"/>
  <c r="AM143" i="14609"/>
  <c r="AN143" i="14609"/>
  <c r="AO143" i="14609"/>
  <c r="AP143" i="14609"/>
  <c r="AQ143" i="14609"/>
  <c r="AR143" i="14609"/>
  <c r="AS143" i="14609"/>
  <c r="AT143" i="14609"/>
  <c r="AU143" i="14609"/>
  <c r="AV143" i="14609"/>
  <c r="AW143" i="14609"/>
  <c r="AX143" i="14609"/>
  <c r="AY143" i="14609"/>
  <c r="AZ143" i="14609"/>
  <c r="BA143" i="14609"/>
  <c r="BB143" i="14609"/>
  <c r="BC143" i="14609"/>
  <c r="BD143" i="14609"/>
  <c r="BE143" i="14609"/>
  <c r="BF143" i="14609"/>
  <c r="BG143" i="14609"/>
  <c r="BH143" i="14609"/>
  <c r="BI143" i="14609"/>
  <c r="BJ143" i="14609"/>
  <c r="BK143" i="14609"/>
  <c r="BL143" i="14609"/>
  <c r="BM143" i="14609"/>
  <c r="BN143" i="14609"/>
  <c r="BO143" i="14609"/>
  <c r="BP143" i="14609"/>
  <c r="BQ143" i="14609"/>
  <c r="BR143" i="14609"/>
  <c r="BS143" i="14609"/>
  <c r="BT143" i="14609"/>
  <c r="BU143" i="14609"/>
  <c r="BV143" i="14609"/>
  <c r="BW143" i="14609"/>
  <c r="BX143" i="14609"/>
  <c r="BY143" i="14609"/>
  <c r="BZ143" i="14609"/>
  <c r="CA143" i="14609"/>
  <c r="CB143" i="14609"/>
  <c r="CC143" i="14609"/>
  <c r="CD143" i="14609"/>
  <c r="CE143" i="14609"/>
  <c r="CF143" i="14609"/>
  <c r="CG143" i="14609"/>
  <c r="CH143" i="14609"/>
  <c r="CI143" i="14609"/>
  <c r="CJ143" i="14609"/>
  <c r="CK143" i="14609"/>
  <c r="CL143" i="14609"/>
  <c r="CM143" i="14609"/>
  <c r="CN143" i="14609"/>
  <c r="CO143" i="14609"/>
  <c r="CP143" i="14609"/>
  <c r="CQ143" i="14609"/>
  <c r="CR143" i="14609"/>
  <c r="CS143" i="14609"/>
  <c r="CT143" i="14609"/>
  <c r="CU143" i="14609"/>
  <c r="CV143" i="14609"/>
  <c r="CW143" i="14609"/>
  <c r="CX143" i="14609"/>
  <c r="CY143" i="14609"/>
  <c r="CZ143" i="14609"/>
  <c r="DA143" i="14609"/>
  <c r="DB143" i="14609"/>
  <c r="DC143" i="14609"/>
  <c r="DD143" i="14609"/>
  <c r="DE143" i="14609"/>
  <c r="DF143" i="14609"/>
  <c r="DG143" i="14609"/>
  <c r="DH143" i="14609"/>
  <c r="DI143" i="14609"/>
  <c r="DJ143" i="14609"/>
  <c r="DK143" i="14609"/>
  <c r="DL143" i="14609"/>
  <c r="DM143" i="14609"/>
  <c r="DN143" i="14609"/>
  <c r="DO143" i="14609"/>
  <c r="DP143" i="14609"/>
  <c r="DQ143" i="14609"/>
  <c r="DR143" i="14609"/>
  <c r="DS143" i="14609"/>
  <c r="DT143" i="14609"/>
  <c r="DU143" i="14609"/>
  <c r="DV143" i="14609"/>
  <c r="DW143" i="14609"/>
  <c r="DX143" i="14609"/>
  <c r="DY143" i="14609"/>
  <c r="DZ143" i="14609"/>
  <c r="EA143" i="14609"/>
  <c r="EB143" i="14609"/>
  <c r="EC143" i="14609"/>
  <c r="ED143" i="14609"/>
  <c r="EE143" i="14609"/>
  <c r="EF143" i="14609"/>
  <c r="EG143" i="14609"/>
  <c r="EH143" i="14609"/>
  <c r="EI143" i="14609"/>
  <c r="EJ143" i="14609"/>
  <c r="EK143" i="14609"/>
  <c r="EL143" i="14609"/>
  <c r="EM143" i="14609"/>
  <c r="EN143" i="14609"/>
  <c r="EO143" i="14609"/>
  <c r="EP143" i="14609"/>
  <c r="EQ143" i="14609"/>
  <c r="ER143" i="14609"/>
  <c r="ES143" i="14609"/>
  <c r="ET143" i="14609"/>
  <c r="EU143" i="14609"/>
  <c r="EV143" i="14609"/>
  <c r="EW143" i="14609"/>
  <c r="EX143" i="14609"/>
  <c r="EY143" i="14609"/>
  <c r="EZ143" i="14609"/>
  <c r="FA143" i="14609"/>
  <c r="FB143" i="14609"/>
  <c r="FC143" i="14609"/>
  <c r="FD143" i="14609"/>
  <c r="FE143" i="14609"/>
  <c r="FF143" i="14609"/>
  <c r="FG143" i="14609"/>
  <c r="FH143" i="14609"/>
  <c r="FI143" i="14609"/>
  <c r="FJ143" i="14609"/>
  <c r="FK143" i="14609"/>
  <c r="FL143" i="14609"/>
  <c r="FM143" i="14609"/>
  <c r="FN143" i="14609"/>
  <c r="FO143" i="14609"/>
  <c r="FP143" i="14609"/>
  <c r="FQ143" i="14609"/>
  <c r="FR143" i="14609"/>
  <c r="FS143" i="14609"/>
  <c r="FT143" i="14609"/>
  <c r="FU143" i="14609"/>
  <c r="FV143" i="14609"/>
  <c r="FW143" i="14609"/>
  <c r="FX143" i="14609"/>
  <c r="FY143" i="14609"/>
  <c r="FZ143" i="14609"/>
  <c r="GA143" i="14609"/>
  <c r="GB143" i="14609"/>
  <c r="GC143" i="14609"/>
  <c r="GD143" i="14609"/>
  <c r="GE143" i="14609"/>
  <c r="GF143" i="14609"/>
  <c r="GG143" i="14609"/>
  <c r="GH143" i="14609"/>
  <c r="GI143" i="14609"/>
  <c r="GJ143" i="14609"/>
  <c r="GK143" i="14609"/>
  <c r="GL143" i="14609"/>
  <c r="GM143" i="14609"/>
  <c r="GN143" i="14609"/>
  <c r="GO143" i="14609"/>
  <c r="GP143" i="14609"/>
  <c r="GQ143" i="14609"/>
  <c r="GR143" i="14609"/>
  <c r="GS143" i="14609"/>
  <c r="GT143" i="14609"/>
  <c r="GU143" i="14609"/>
  <c r="GV143" i="14609"/>
  <c r="GW143" i="14609"/>
  <c r="GX143" i="14609"/>
  <c r="GY143" i="14609"/>
  <c r="GZ143" i="14609"/>
  <c r="HA143" i="14609"/>
  <c r="HB143" i="14609"/>
  <c r="HC143" i="14609"/>
  <c r="HD143" i="14609"/>
  <c r="HE143" i="14609"/>
  <c r="HF143" i="14609"/>
  <c r="HG143" i="14609"/>
  <c r="HH143" i="14609"/>
  <c r="HI143" i="14609"/>
  <c r="HJ143" i="14609"/>
  <c r="HK143" i="14609"/>
  <c r="HL143" i="14609"/>
  <c r="HM143" i="14609"/>
  <c r="HN143" i="14609"/>
  <c r="HO143" i="14609"/>
  <c r="HP143" i="14609"/>
  <c r="HQ143" i="14609"/>
  <c r="HR143" i="14609"/>
  <c r="HS143" i="14609"/>
  <c r="HT143" i="14609"/>
  <c r="HU143" i="14609"/>
  <c r="HV143" i="14609"/>
  <c r="HW143" i="14609"/>
  <c r="HX143" i="14609"/>
  <c r="HY143" i="14609"/>
  <c r="HZ143" i="14609"/>
  <c r="IA143" i="14609"/>
  <c r="IB143" i="14609"/>
  <c r="IC143" i="14609"/>
  <c r="ID143" i="14609"/>
  <c r="IE143" i="14609"/>
  <c r="IF143" i="14609"/>
  <c r="IG143" i="14609"/>
  <c r="IH143" i="14609"/>
  <c r="II143" i="14609"/>
  <c r="IJ143" i="14609"/>
  <c r="IK143" i="14609"/>
  <c r="IL143" i="14609"/>
  <c r="IM143" i="14609"/>
  <c r="IN143" i="14609"/>
  <c r="IO143" i="14609"/>
  <c r="IP143" i="14609"/>
  <c r="IQ143" i="14609"/>
  <c r="IR143" i="14609"/>
  <c r="IS143" i="14609"/>
  <c r="IT143" i="14609"/>
  <c r="IU143" i="14609"/>
  <c r="IV143" i="14609"/>
  <c r="A142" i="14609"/>
  <c r="B142" i="14609"/>
  <c r="C142" i="14609"/>
  <c r="D142" i="14609"/>
  <c r="E142" i="14609"/>
  <c r="F142" i="14609"/>
  <c r="G142" i="14609"/>
  <c r="H142" i="14609"/>
  <c r="I142" i="14609"/>
  <c r="J142" i="14609"/>
  <c r="K142" i="14609"/>
  <c r="L142" i="14609"/>
  <c r="M142" i="14609"/>
  <c r="N142" i="14609"/>
  <c r="O142" i="14609"/>
  <c r="P142" i="14609"/>
  <c r="Q142" i="14609"/>
  <c r="R142" i="14609"/>
  <c r="S142" i="14609"/>
  <c r="T142" i="14609"/>
  <c r="U142" i="14609"/>
  <c r="V142" i="14609"/>
  <c r="W142" i="14609"/>
  <c r="X142" i="14609"/>
  <c r="Y142" i="14609"/>
  <c r="Z142" i="14609"/>
  <c r="AA142" i="14609"/>
  <c r="AB142" i="14609"/>
  <c r="AC142" i="14609"/>
  <c r="AD142" i="14609"/>
  <c r="AE142" i="14609"/>
  <c r="AF142" i="14609"/>
  <c r="AG142" i="14609"/>
  <c r="AH142" i="14609"/>
  <c r="AI142" i="14609"/>
  <c r="AJ142" i="14609"/>
  <c r="AK142" i="14609"/>
  <c r="AL142" i="14609"/>
  <c r="AM142" i="14609"/>
  <c r="AN142" i="14609"/>
  <c r="AO142" i="14609"/>
  <c r="AP142" i="14609"/>
  <c r="AQ142" i="14609"/>
  <c r="AR142" i="14609"/>
  <c r="AS142" i="14609"/>
  <c r="AT142" i="14609"/>
  <c r="AU142" i="14609"/>
  <c r="AV142" i="14609"/>
  <c r="AW142" i="14609"/>
  <c r="AX142" i="14609"/>
  <c r="AY142" i="14609"/>
  <c r="AZ142" i="14609"/>
  <c r="BA142" i="14609"/>
  <c r="BB142" i="14609"/>
  <c r="BC142" i="14609"/>
  <c r="BD142" i="14609"/>
  <c r="BE142" i="14609"/>
  <c r="BF142" i="14609"/>
  <c r="BG142" i="14609"/>
  <c r="BH142" i="14609"/>
  <c r="BI142" i="14609"/>
  <c r="BJ142" i="14609"/>
  <c r="BK142" i="14609"/>
  <c r="BL142" i="14609"/>
  <c r="BM142" i="14609"/>
  <c r="BN142" i="14609"/>
  <c r="BO142" i="14609"/>
  <c r="BP142" i="14609"/>
  <c r="BQ142" i="14609"/>
  <c r="BR142" i="14609"/>
  <c r="BS142" i="14609"/>
  <c r="BT142" i="14609"/>
  <c r="BU142" i="14609"/>
  <c r="BV142" i="14609"/>
  <c r="BW142" i="14609"/>
  <c r="BX142" i="14609"/>
  <c r="BY142" i="14609"/>
  <c r="BZ142" i="14609"/>
  <c r="CA142" i="14609"/>
  <c r="CB142" i="14609"/>
  <c r="CC142" i="14609"/>
  <c r="CD142" i="14609"/>
  <c r="CE142" i="14609"/>
  <c r="CF142" i="14609"/>
  <c r="CG142" i="14609"/>
  <c r="CH142" i="14609"/>
  <c r="CI142" i="14609"/>
  <c r="CJ142" i="14609"/>
  <c r="CK142" i="14609"/>
  <c r="CL142" i="14609"/>
  <c r="CM142" i="14609"/>
  <c r="CN142" i="14609"/>
  <c r="CO142" i="14609"/>
  <c r="CP142" i="14609"/>
  <c r="CQ142" i="14609"/>
  <c r="CR142" i="14609"/>
  <c r="CS142" i="14609"/>
  <c r="CT142" i="14609"/>
  <c r="CU142" i="14609"/>
  <c r="CV142" i="14609"/>
  <c r="CW142" i="14609"/>
  <c r="CX142" i="14609"/>
  <c r="CY142" i="14609"/>
  <c r="CZ142" i="14609"/>
  <c r="DA142" i="14609"/>
  <c r="DB142" i="14609"/>
  <c r="DC142" i="14609"/>
  <c r="DD142" i="14609"/>
  <c r="DE142" i="14609"/>
  <c r="DF142" i="14609"/>
  <c r="DG142" i="14609"/>
  <c r="DH142" i="14609"/>
  <c r="DI142" i="14609"/>
  <c r="DJ142" i="14609"/>
  <c r="DK142" i="14609"/>
  <c r="DL142" i="14609"/>
  <c r="DM142" i="14609"/>
  <c r="DN142" i="14609"/>
  <c r="DO142" i="14609"/>
  <c r="DP142" i="14609"/>
  <c r="DQ142" i="14609"/>
  <c r="DR142" i="14609"/>
  <c r="DS142" i="14609"/>
  <c r="DT142" i="14609"/>
  <c r="DU142" i="14609"/>
  <c r="DV142" i="14609"/>
  <c r="DW142" i="14609"/>
  <c r="DX142" i="14609"/>
  <c r="DY142" i="14609"/>
  <c r="DZ142" i="14609"/>
  <c r="EA142" i="14609"/>
  <c r="EB142" i="14609"/>
  <c r="EC142" i="14609"/>
  <c r="ED142" i="14609"/>
  <c r="EE142" i="14609"/>
  <c r="EF142" i="14609"/>
  <c r="EG142" i="14609"/>
  <c r="EH142" i="14609"/>
  <c r="EI142" i="14609"/>
  <c r="EJ142" i="14609"/>
  <c r="EK142" i="14609"/>
  <c r="EL142" i="14609"/>
  <c r="EM142" i="14609"/>
  <c r="EN142" i="14609"/>
  <c r="EO142" i="14609"/>
  <c r="EP142" i="14609"/>
  <c r="EQ142" i="14609"/>
  <c r="ER142" i="14609"/>
  <c r="ES142" i="14609"/>
  <c r="ET142" i="14609"/>
  <c r="EU142" i="14609"/>
  <c r="EV142" i="14609"/>
  <c r="EW142" i="14609"/>
  <c r="EX142" i="14609"/>
  <c r="EY142" i="14609"/>
  <c r="EZ142" i="14609"/>
  <c r="FA142" i="14609"/>
  <c r="FB142" i="14609"/>
  <c r="FC142" i="14609"/>
  <c r="FD142" i="14609"/>
  <c r="FE142" i="14609"/>
  <c r="FF142" i="14609"/>
  <c r="FG142" i="14609"/>
  <c r="FH142" i="14609"/>
  <c r="FI142" i="14609"/>
  <c r="FJ142" i="14609"/>
  <c r="FK142" i="14609"/>
  <c r="FL142" i="14609"/>
  <c r="FM142" i="14609"/>
  <c r="FN142" i="14609"/>
  <c r="FO142" i="14609"/>
  <c r="FP142" i="14609"/>
  <c r="FQ142" i="14609"/>
  <c r="FR142" i="14609"/>
  <c r="FS142" i="14609"/>
  <c r="FT142" i="14609"/>
  <c r="FU142" i="14609"/>
  <c r="FV142" i="14609"/>
  <c r="FW142" i="14609"/>
  <c r="FX142" i="14609"/>
  <c r="FY142" i="14609"/>
  <c r="FZ142" i="14609"/>
  <c r="GA142" i="14609"/>
  <c r="GB142" i="14609"/>
  <c r="GC142" i="14609"/>
  <c r="GD142" i="14609"/>
  <c r="GE142" i="14609"/>
  <c r="GF142" i="14609"/>
  <c r="GG142" i="14609"/>
  <c r="GH142" i="14609"/>
  <c r="GI142" i="14609"/>
  <c r="GJ142" i="14609"/>
  <c r="GK142" i="14609"/>
  <c r="GL142" i="14609"/>
  <c r="GM142" i="14609"/>
  <c r="GN142" i="14609"/>
  <c r="GO142" i="14609"/>
  <c r="GP142" i="14609"/>
  <c r="GQ142" i="14609"/>
  <c r="GR142" i="14609"/>
  <c r="GS142" i="14609"/>
  <c r="GT142" i="14609"/>
  <c r="GU142" i="14609"/>
  <c r="GV142" i="14609"/>
  <c r="GW142" i="14609"/>
  <c r="GX142" i="14609"/>
  <c r="GY142" i="14609"/>
  <c r="GZ142" i="14609"/>
  <c r="HA142" i="14609"/>
  <c r="HB142" i="14609"/>
  <c r="HC142" i="14609"/>
  <c r="HD142" i="14609"/>
  <c r="HE142" i="14609"/>
  <c r="HF142" i="14609"/>
  <c r="HG142" i="14609"/>
  <c r="HH142" i="14609"/>
  <c r="HI142" i="14609"/>
  <c r="HJ142" i="14609"/>
  <c r="HK142" i="14609"/>
  <c r="HL142" i="14609"/>
  <c r="HM142" i="14609"/>
  <c r="HN142" i="14609"/>
  <c r="HO142" i="14609"/>
  <c r="HP142" i="14609"/>
  <c r="HQ142" i="14609"/>
  <c r="HR142" i="14609"/>
  <c r="HS142" i="14609"/>
  <c r="HT142" i="14609"/>
  <c r="HU142" i="14609"/>
  <c r="HV142" i="14609"/>
  <c r="HW142" i="14609"/>
  <c r="HX142" i="14609"/>
  <c r="HY142" i="14609"/>
  <c r="HZ142" i="14609"/>
  <c r="IA142" i="14609"/>
  <c r="IB142" i="14609"/>
  <c r="IC142" i="14609"/>
  <c r="ID142" i="14609"/>
  <c r="IE142" i="14609"/>
  <c r="IF142" i="14609"/>
  <c r="IG142" i="14609"/>
  <c r="IH142" i="14609"/>
  <c r="II142" i="14609"/>
  <c r="IJ142" i="14609"/>
  <c r="IK142" i="14609"/>
  <c r="IL142" i="14609"/>
  <c r="IM142" i="14609"/>
  <c r="IN142" i="14609"/>
  <c r="IO142" i="14609"/>
  <c r="IP142" i="14609"/>
  <c r="IQ142" i="14609"/>
  <c r="IR142" i="14609"/>
  <c r="IS142" i="14609"/>
  <c r="IT142" i="14609"/>
  <c r="IU142" i="14609"/>
  <c r="IV142" i="14609"/>
  <c r="A141" i="14609"/>
  <c r="Q141" i="14609"/>
  <c r="T141" i="14609"/>
  <c r="AG141" i="14609"/>
  <c r="AJ141" i="14609"/>
  <c r="AW141" i="14609"/>
  <c r="AZ141" i="14609"/>
  <c r="BM141" i="14609"/>
  <c r="BP141" i="14609"/>
  <c r="CC141" i="14609"/>
  <c r="CF141" i="14609"/>
  <c r="CS141" i="14609"/>
  <c r="CV141" i="14609"/>
  <c r="DI141" i="14609"/>
  <c r="DX141" i="14609"/>
  <c r="EA141" i="14609"/>
  <c r="EB141" i="14609"/>
  <c r="EC141" i="14609"/>
  <c r="ED141" i="14609"/>
  <c r="EE141" i="14609"/>
  <c r="EF141" i="14609"/>
  <c r="EG141" i="14609"/>
  <c r="EH141" i="14609"/>
  <c r="EI141" i="14609"/>
  <c r="EJ141" i="14609"/>
  <c r="EK141" i="14609"/>
  <c r="EL141" i="14609"/>
  <c r="EM141" i="14609"/>
  <c r="EN141" i="14609"/>
  <c r="EO141" i="14609"/>
  <c r="EP141" i="14609"/>
  <c r="EQ141" i="14609"/>
  <c r="ER141" i="14609"/>
  <c r="ES141" i="14609"/>
  <c r="ET141" i="14609"/>
  <c r="EU141" i="14609"/>
  <c r="EV141" i="14609"/>
  <c r="EW141" i="14609"/>
  <c r="EX141" i="14609"/>
  <c r="EY141" i="14609"/>
  <c r="EZ141" i="14609"/>
  <c r="FA141" i="14609"/>
  <c r="FB141" i="14609"/>
  <c r="FC141" i="14609"/>
  <c r="FD141" i="14609"/>
  <c r="FE141" i="14609"/>
  <c r="FF141" i="14609"/>
  <c r="FG141" i="14609"/>
  <c r="FH141" i="14609"/>
  <c r="FI141" i="14609"/>
  <c r="FJ141" i="14609"/>
  <c r="FK141" i="14609"/>
  <c r="FL141" i="14609"/>
  <c r="FM141" i="14609"/>
  <c r="FN141" i="14609"/>
  <c r="FO141" i="14609"/>
  <c r="FP141" i="14609"/>
  <c r="FQ141" i="14609"/>
  <c r="FR141" i="14609"/>
  <c r="FS141" i="14609"/>
  <c r="FT141" i="14609"/>
  <c r="FU141" i="14609"/>
  <c r="FV141" i="14609"/>
  <c r="FW141" i="14609"/>
  <c r="FX141" i="14609"/>
  <c r="FY141" i="14609"/>
  <c r="FZ141" i="14609"/>
  <c r="GA141" i="14609"/>
  <c r="GB141" i="14609"/>
  <c r="GC141" i="14609"/>
  <c r="GD141" i="14609"/>
  <c r="GE141" i="14609"/>
  <c r="GF141" i="14609"/>
  <c r="GG141" i="14609"/>
  <c r="GH141" i="14609"/>
  <c r="GI141" i="14609"/>
  <c r="GJ141" i="14609"/>
  <c r="GK141" i="14609"/>
  <c r="GL141" i="14609"/>
  <c r="GM141" i="14609"/>
  <c r="GN141" i="14609"/>
  <c r="GO141" i="14609"/>
  <c r="GP141" i="14609"/>
  <c r="GQ141" i="14609"/>
  <c r="GR141" i="14609"/>
  <c r="GS141" i="14609"/>
  <c r="GT141" i="14609"/>
  <c r="GU141" i="14609"/>
  <c r="GV141" i="14609"/>
  <c r="GW141" i="14609"/>
  <c r="GX141" i="14609"/>
  <c r="GY141" i="14609"/>
  <c r="GZ141" i="14609"/>
  <c r="HA141" i="14609"/>
  <c r="HB141" i="14609"/>
  <c r="HC141" i="14609"/>
  <c r="HD141" i="14609"/>
  <c r="HE141" i="14609"/>
  <c r="HF141" i="14609"/>
  <c r="HG141" i="14609"/>
  <c r="HH141" i="14609"/>
  <c r="HI141" i="14609"/>
  <c r="HJ141" i="14609"/>
  <c r="HK141" i="14609"/>
  <c r="HL141" i="14609"/>
  <c r="HM141" i="14609"/>
  <c r="HN141" i="14609"/>
  <c r="HO141" i="14609"/>
  <c r="HP141" i="14609"/>
  <c r="HQ141" i="14609"/>
  <c r="HR141" i="14609"/>
  <c r="HS141" i="14609"/>
  <c r="HT141" i="14609"/>
  <c r="HU141" i="14609"/>
  <c r="HV141" i="14609"/>
  <c r="HW141" i="14609"/>
  <c r="HX141" i="14609"/>
  <c r="HY141" i="14609"/>
  <c r="HZ141" i="14609"/>
  <c r="IA141" i="14609"/>
  <c r="IB141" i="14609"/>
  <c r="IC141" i="14609"/>
  <c r="ID141" i="14609"/>
  <c r="IE141" i="14609"/>
  <c r="IF141" i="14609"/>
  <c r="IG141" i="14609"/>
  <c r="IH141" i="14609"/>
  <c r="II141" i="14609"/>
  <c r="IJ141" i="14609"/>
  <c r="IK141" i="14609"/>
  <c r="IL141" i="14609"/>
  <c r="IM141" i="14609"/>
  <c r="IN141" i="14609"/>
  <c r="IO141" i="14609"/>
  <c r="IP141" i="14609"/>
  <c r="IQ141" i="14609"/>
  <c r="IR141" i="14609"/>
  <c r="IS141" i="14609"/>
  <c r="IT141" i="14609"/>
  <c r="IU141" i="14609"/>
  <c r="IV141" i="14609"/>
  <c r="A140" i="14609"/>
  <c r="Q140" i="14609"/>
  <c r="T140" i="14609"/>
  <c r="AG140" i="14609"/>
  <c r="AJ140" i="14609"/>
  <c r="AW140" i="14609"/>
  <c r="AZ140" i="14609"/>
  <c r="BM140" i="14609"/>
  <c r="BP140" i="14609"/>
  <c r="CC140" i="14609"/>
  <c r="CF140" i="14609"/>
  <c r="CS140" i="14609"/>
  <c r="CV140" i="14609"/>
  <c r="DI140" i="14609"/>
  <c r="DL140" i="14609"/>
  <c r="DY140" i="14609"/>
  <c r="EB140" i="14609"/>
  <c r="EO140" i="14609"/>
  <c r="ER140" i="14609"/>
  <c r="FE140" i="14609"/>
  <c r="FH140" i="14609"/>
  <c r="FU140" i="14609"/>
  <c r="FX140" i="14609"/>
  <c r="GK140" i="14609"/>
  <c r="GN140" i="14609"/>
  <c r="HA140" i="14609"/>
  <c r="HD140" i="14609"/>
  <c r="HQ140" i="14609"/>
  <c r="HT140" i="14609"/>
  <c r="IG140" i="14609"/>
  <c r="IJ140" i="14609"/>
  <c r="A139" i="14609"/>
  <c r="Q139" i="14609"/>
  <c r="T139" i="14609"/>
  <c r="AG139" i="14609"/>
  <c r="AJ139" i="14609"/>
  <c r="AW139" i="14609"/>
  <c r="AZ139" i="14609"/>
  <c r="BM139" i="14609"/>
  <c r="BP139" i="14609"/>
  <c r="CC139" i="14609"/>
  <c r="CF139" i="14609"/>
  <c r="CS139" i="14609"/>
  <c r="CV139" i="14609"/>
  <c r="DI139" i="14609"/>
  <c r="DL139" i="14609"/>
  <c r="DY139" i="14609"/>
  <c r="EB139" i="14609"/>
  <c r="EO139" i="14609"/>
  <c r="ER139" i="14609"/>
  <c r="FE139" i="14609"/>
  <c r="FH139" i="14609"/>
  <c r="FU139" i="14609"/>
  <c r="FX139" i="14609"/>
  <c r="GK139" i="14609"/>
  <c r="GN139" i="14609"/>
  <c r="HA139" i="14609"/>
  <c r="HD139" i="14609"/>
  <c r="HQ139" i="14609"/>
  <c r="HT139" i="14609"/>
  <c r="IG139" i="14609"/>
  <c r="IJ139" i="14609"/>
  <c r="A138" i="14609"/>
  <c r="Q138" i="14609"/>
  <c r="T138" i="14609"/>
  <c r="AG138" i="14609"/>
  <c r="AJ138" i="14609"/>
  <c r="AW138" i="14609"/>
  <c r="AZ138" i="14609"/>
  <c r="BM138" i="14609"/>
  <c r="BP138" i="14609"/>
  <c r="CC138" i="14609"/>
  <c r="CF138" i="14609"/>
  <c r="CS138" i="14609"/>
  <c r="CV138" i="14609"/>
  <c r="DI138" i="14609"/>
  <c r="DL138" i="14609"/>
  <c r="DY138" i="14609"/>
  <c r="EB138" i="14609"/>
  <c r="EO138" i="14609"/>
  <c r="ER138" i="14609"/>
  <c r="FE138" i="14609"/>
  <c r="FH138" i="14609"/>
  <c r="FU138" i="14609"/>
  <c r="FX138" i="14609"/>
  <c r="GK138" i="14609"/>
  <c r="GN138" i="14609"/>
  <c r="HA138" i="14609"/>
  <c r="HD138" i="14609"/>
  <c r="HQ138" i="14609"/>
  <c r="HT138" i="14609"/>
  <c r="IG138" i="14609"/>
  <c r="IJ138" i="14609"/>
  <c r="A137" i="14609"/>
  <c r="Q137" i="14609"/>
  <c r="T137" i="14609"/>
  <c r="AG137" i="14609"/>
  <c r="AJ137" i="14609"/>
  <c r="AW137" i="14609"/>
  <c r="AZ137" i="14609"/>
  <c r="BM137" i="14609"/>
  <c r="BP137" i="14609"/>
  <c r="CC137" i="14609"/>
  <c r="CF137" i="14609"/>
  <c r="CS137" i="14609"/>
  <c r="CV137" i="14609"/>
  <c r="DI137" i="14609"/>
  <c r="DL137" i="14609"/>
  <c r="DY137" i="14609"/>
  <c r="EB137" i="14609"/>
  <c r="EO137" i="14609"/>
  <c r="ER137" i="14609"/>
  <c r="FE137" i="14609"/>
  <c r="FH137" i="14609"/>
  <c r="FU137" i="14609"/>
  <c r="FX137" i="14609"/>
  <c r="GK137" i="14609"/>
  <c r="GN137" i="14609"/>
  <c r="HA137" i="14609"/>
  <c r="HD137" i="14609"/>
  <c r="HQ137" i="14609"/>
  <c r="HT137" i="14609"/>
  <c r="IG137" i="14609"/>
  <c r="IJ137" i="14609"/>
  <c r="A136" i="14609"/>
  <c r="Q136" i="14609"/>
  <c r="T136" i="14609"/>
  <c r="AG136" i="14609"/>
  <c r="AJ136" i="14609"/>
  <c r="AW136" i="14609"/>
  <c r="AZ136" i="14609"/>
  <c r="BM136" i="14609"/>
  <c r="BP136" i="14609"/>
  <c r="CC136" i="14609"/>
  <c r="CF136" i="14609"/>
  <c r="CS136" i="14609"/>
  <c r="CV136" i="14609"/>
  <c r="DI136" i="14609"/>
  <c r="DL136" i="14609"/>
  <c r="DY136" i="14609"/>
  <c r="EB136" i="14609"/>
  <c r="EO136" i="14609"/>
  <c r="ER136" i="14609"/>
  <c r="FE136" i="14609"/>
  <c r="FH136" i="14609"/>
  <c r="FU136" i="14609"/>
  <c r="FX136" i="14609"/>
  <c r="GK136" i="14609"/>
  <c r="GN136" i="14609"/>
  <c r="HA136" i="14609"/>
  <c r="HD136" i="14609"/>
  <c r="HQ136" i="14609"/>
  <c r="HT136" i="14609"/>
  <c r="IG136" i="14609"/>
  <c r="IJ136" i="14609"/>
  <c r="A135" i="14609"/>
  <c r="Q135" i="14609"/>
  <c r="T135" i="14609"/>
  <c r="AG135" i="14609"/>
  <c r="AJ135" i="14609"/>
  <c r="AW135" i="14609"/>
  <c r="AZ135" i="14609"/>
  <c r="BM135" i="14609"/>
  <c r="BP135" i="14609"/>
  <c r="CC135" i="14609"/>
  <c r="CF135" i="14609"/>
  <c r="CS135" i="14609"/>
  <c r="CV135" i="14609"/>
  <c r="DI135" i="14609"/>
  <c r="DL135" i="14609"/>
  <c r="DY135" i="14609"/>
  <c r="EB135" i="14609"/>
  <c r="EO135" i="14609"/>
  <c r="ER135" i="14609"/>
  <c r="FE135" i="14609"/>
  <c r="FH135" i="14609"/>
  <c r="FU135" i="14609"/>
  <c r="FX135" i="14609"/>
  <c r="GK135" i="14609"/>
  <c r="GN135" i="14609"/>
  <c r="HA135" i="14609"/>
  <c r="HD135" i="14609"/>
  <c r="HQ135" i="14609"/>
  <c r="HT135" i="14609"/>
  <c r="IG135" i="14609"/>
  <c r="IJ135" i="14609"/>
  <c r="A134" i="14609"/>
  <c r="Q134" i="14609"/>
  <c r="T134" i="14609"/>
  <c r="AG134" i="14609"/>
  <c r="AJ134" i="14609"/>
  <c r="AW134" i="14609"/>
  <c r="AZ134" i="14609"/>
  <c r="BM134" i="14609"/>
  <c r="BP134" i="14609"/>
  <c r="CC134" i="14609"/>
  <c r="CF134" i="14609"/>
  <c r="CS134" i="14609"/>
  <c r="CV134" i="14609"/>
  <c r="DI134" i="14609"/>
  <c r="DL134" i="14609"/>
  <c r="DY134" i="14609"/>
  <c r="EB134" i="14609"/>
  <c r="EO134" i="14609"/>
  <c r="ER134" i="14609"/>
  <c r="FE134" i="14609"/>
  <c r="FH134" i="14609"/>
  <c r="FU134" i="14609"/>
  <c r="FX134" i="14609"/>
  <c r="GK134" i="14609"/>
  <c r="GN134" i="14609"/>
  <c r="HA134" i="14609"/>
  <c r="HD134" i="14609"/>
  <c r="HQ134" i="14609"/>
  <c r="HT134" i="14609"/>
  <c r="IG134" i="14609"/>
  <c r="IJ134" i="14609"/>
  <c r="A133" i="14609"/>
  <c r="Q133" i="14609"/>
  <c r="T133" i="14609"/>
  <c r="AG133" i="14609"/>
  <c r="AJ133" i="14609"/>
  <c r="AW133" i="14609"/>
  <c r="AZ133" i="14609"/>
  <c r="BM133" i="14609"/>
  <c r="BP133" i="14609"/>
  <c r="CC133" i="14609"/>
  <c r="CF133" i="14609"/>
  <c r="CS133" i="14609"/>
  <c r="CV133" i="14609"/>
  <c r="DI133" i="14609"/>
  <c r="DL133" i="14609"/>
  <c r="DY133" i="14609"/>
  <c r="EB133" i="14609"/>
  <c r="EO133" i="14609"/>
  <c r="ER133" i="14609"/>
  <c r="FE133" i="14609"/>
  <c r="FH133" i="14609"/>
  <c r="FU133" i="14609"/>
  <c r="FX133" i="14609"/>
  <c r="GK133" i="14609"/>
  <c r="GN133" i="14609"/>
  <c r="HA133" i="14609"/>
  <c r="HD133" i="14609"/>
  <c r="HQ133" i="14609"/>
  <c r="HT133" i="14609"/>
  <c r="IG133" i="14609"/>
  <c r="IJ133" i="14609"/>
  <c r="A132" i="14609"/>
  <c r="Q132" i="14609"/>
  <c r="T132" i="14609"/>
  <c r="AG132" i="14609"/>
  <c r="AJ132" i="14609"/>
  <c r="AW132" i="14609"/>
  <c r="AZ132" i="14609"/>
  <c r="BM132" i="14609"/>
  <c r="BP132" i="14609"/>
  <c r="CC132" i="14609"/>
  <c r="CF132" i="14609"/>
  <c r="CS132" i="14609"/>
  <c r="CV132" i="14609"/>
  <c r="DI132" i="14609"/>
  <c r="DL132" i="14609"/>
  <c r="DY132" i="14609"/>
  <c r="EB132" i="14609"/>
  <c r="EO132" i="14609"/>
  <c r="ER132" i="14609"/>
  <c r="FE132" i="14609"/>
  <c r="FH132" i="14609"/>
  <c r="FU132" i="14609"/>
  <c r="FX132" i="14609"/>
  <c r="GK132" i="14609"/>
  <c r="GN132" i="14609"/>
  <c r="HA132" i="14609"/>
  <c r="HD132" i="14609"/>
  <c r="HQ132" i="14609"/>
  <c r="HT132" i="14609"/>
  <c r="IG132" i="14609"/>
  <c r="IJ132" i="14609"/>
  <c r="A131" i="14609"/>
  <c r="Q131" i="14609"/>
  <c r="T131" i="14609"/>
  <c r="AG131" i="14609"/>
  <c r="AJ131" i="14609"/>
  <c r="AW131" i="14609"/>
  <c r="AZ131" i="14609"/>
  <c r="BM131" i="14609"/>
  <c r="BP131" i="14609"/>
  <c r="CC131" i="14609"/>
  <c r="CF131" i="14609"/>
  <c r="CS131" i="14609"/>
  <c r="CV131" i="14609"/>
  <c r="DI131" i="14609"/>
  <c r="DL131" i="14609"/>
  <c r="DY131" i="14609"/>
  <c r="EB131" i="14609"/>
  <c r="EO131" i="14609"/>
  <c r="ER131" i="14609"/>
  <c r="FE131" i="14609"/>
  <c r="FH131" i="14609"/>
  <c r="FU131" i="14609"/>
  <c r="FX131" i="14609"/>
  <c r="GK131" i="14609"/>
  <c r="GN131" i="14609"/>
  <c r="HA131" i="14609"/>
  <c r="HD131" i="14609"/>
  <c r="HQ131" i="14609"/>
  <c r="HT131" i="14609"/>
  <c r="IG131" i="14609"/>
  <c r="IJ131" i="14609"/>
  <c r="A130" i="14609"/>
  <c r="Q130" i="14609"/>
  <c r="T130" i="14609"/>
  <c r="AG130" i="14609"/>
  <c r="AJ130" i="14609"/>
  <c r="AW130" i="14609"/>
  <c r="AZ130" i="14609"/>
  <c r="BM130" i="14609"/>
  <c r="BP130" i="14609"/>
  <c r="CC130" i="14609"/>
  <c r="CF130" i="14609"/>
  <c r="CS130" i="14609"/>
  <c r="CV130" i="14609"/>
  <c r="DI130" i="14609"/>
  <c r="DL130" i="14609"/>
  <c r="DY130" i="14609"/>
  <c r="EB130" i="14609"/>
  <c r="EO130" i="14609"/>
  <c r="ER130" i="14609"/>
  <c r="FE130" i="14609"/>
  <c r="FH130" i="14609"/>
  <c r="FU130" i="14609"/>
  <c r="FX130" i="14609"/>
  <c r="GK130" i="14609"/>
  <c r="GN130" i="14609"/>
  <c r="HA130" i="14609"/>
  <c r="HD130" i="14609"/>
  <c r="HQ130" i="14609"/>
  <c r="HT130" i="14609"/>
  <c r="IG130" i="14609"/>
  <c r="IJ130" i="14609"/>
  <c r="A129" i="14609"/>
  <c r="Q129" i="14609"/>
  <c r="T129" i="14609"/>
  <c r="AG129" i="14609"/>
  <c r="AJ129" i="14609"/>
  <c r="AW129" i="14609"/>
  <c r="AZ129" i="14609"/>
  <c r="BM129" i="14609"/>
  <c r="BP129" i="14609"/>
  <c r="CC129" i="14609"/>
  <c r="CF129" i="14609"/>
  <c r="CS129" i="14609"/>
  <c r="CV129" i="14609"/>
  <c r="DI129" i="14609"/>
  <c r="DL129" i="14609"/>
  <c r="DY129" i="14609"/>
  <c r="EB129" i="14609"/>
  <c r="EO129" i="14609"/>
  <c r="ER129" i="14609"/>
  <c r="FE129" i="14609"/>
  <c r="FH129" i="14609"/>
  <c r="FU129" i="14609"/>
  <c r="FX129" i="14609"/>
  <c r="GK129" i="14609"/>
  <c r="GN129" i="14609"/>
  <c r="HA129" i="14609"/>
  <c r="HD129" i="14609"/>
  <c r="HQ129" i="14609"/>
  <c r="HT129" i="14609"/>
  <c r="IG129" i="14609"/>
  <c r="IJ129" i="14609"/>
  <c r="A128" i="14609"/>
  <c r="Q128" i="14609"/>
  <c r="T128" i="14609"/>
  <c r="AG128" i="14609"/>
  <c r="AJ128" i="14609"/>
  <c r="AW128" i="14609"/>
  <c r="AZ128" i="14609"/>
  <c r="BM128" i="14609"/>
  <c r="BP128" i="14609"/>
  <c r="CC128" i="14609"/>
  <c r="CF128" i="14609"/>
  <c r="CS128" i="14609"/>
  <c r="CV128" i="14609"/>
  <c r="DI128" i="14609"/>
  <c r="DL128" i="14609"/>
  <c r="DY128" i="14609"/>
  <c r="EB128" i="14609"/>
  <c r="EO128" i="14609"/>
  <c r="ER128" i="14609"/>
  <c r="FE128" i="14609"/>
  <c r="FH128" i="14609"/>
  <c r="FU128" i="14609"/>
  <c r="FX128" i="14609"/>
  <c r="GK128" i="14609"/>
  <c r="GN128" i="14609"/>
  <c r="HA128" i="14609"/>
  <c r="HD128" i="14609"/>
  <c r="HQ128" i="14609"/>
  <c r="HT128" i="14609"/>
  <c r="IG128" i="14609"/>
  <c r="IJ128" i="14609"/>
  <c r="A127" i="14609"/>
  <c r="Q127" i="14609"/>
  <c r="T127" i="14609"/>
  <c r="AG127" i="14609"/>
  <c r="AJ127" i="14609"/>
  <c r="AW127" i="14609"/>
  <c r="AZ127" i="14609"/>
  <c r="BM127" i="14609"/>
  <c r="BP127" i="14609"/>
  <c r="CC127" i="14609"/>
  <c r="CF127" i="14609"/>
  <c r="CS127" i="14609"/>
  <c r="CV127" i="14609"/>
  <c r="DI127" i="14609"/>
  <c r="DL127" i="14609"/>
  <c r="DY127" i="14609"/>
  <c r="EB127" i="14609"/>
  <c r="EO127" i="14609"/>
  <c r="ER127" i="14609"/>
  <c r="FE127" i="14609"/>
  <c r="FH127" i="14609"/>
  <c r="FU127" i="14609"/>
  <c r="FX127" i="14609"/>
  <c r="GK127" i="14609"/>
  <c r="GN127" i="14609"/>
  <c r="HA127" i="14609"/>
  <c r="HD127" i="14609"/>
  <c r="HQ127" i="14609"/>
  <c r="HT127" i="14609"/>
  <c r="IG127" i="14609"/>
  <c r="IJ127" i="14609"/>
  <c r="A126" i="14609"/>
  <c r="Q126" i="14609"/>
  <c r="T126" i="14609"/>
  <c r="AG126" i="14609"/>
  <c r="AJ126" i="14609"/>
  <c r="AW126" i="14609"/>
  <c r="AZ126" i="14609"/>
  <c r="BM126" i="14609"/>
  <c r="BP126" i="14609"/>
  <c r="CC126" i="14609"/>
  <c r="CF126" i="14609"/>
  <c r="CS126" i="14609"/>
  <c r="CV126" i="14609"/>
  <c r="DI126" i="14609"/>
  <c r="DL126" i="14609"/>
  <c r="DY126" i="14609"/>
  <c r="EB126" i="14609"/>
  <c r="EO126" i="14609"/>
  <c r="ER126" i="14609"/>
  <c r="FE126" i="14609"/>
  <c r="FH126" i="14609"/>
  <c r="FU126" i="14609"/>
  <c r="FX126" i="14609"/>
  <c r="GK126" i="14609"/>
  <c r="GN126" i="14609"/>
  <c r="HA126" i="14609"/>
  <c r="HD126" i="14609"/>
  <c r="HQ126" i="14609"/>
  <c r="HT126" i="14609"/>
  <c r="IG126" i="14609"/>
  <c r="IJ126" i="14609"/>
  <c r="A125" i="14609"/>
  <c r="Q125" i="14609"/>
  <c r="T125" i="14609"/>
  <c r="AG125" i="14609"/>
  <c r="AJ125" i="14609"/>
  <c r="AW125" i="14609"/>
  <c r="AZ125" i="14609"/>
  <c r="BM125" i="14609"/>
  <c r="BP125" i="14609"/>
  <c r="CC125" i="14609"/>
  <c r="CF125" i="14609"/>
  <c r="CS125" i="14609"/>
  <c r="CV125" i="14609"/>
  <c r="DI125" i="14609"/>
  <c r="DL125" i="14609"/>
  <c r="DY125" i="14609"/>
  <c r="EB125" i="14609"/>
  <c r="EO125" i="14609"/>
  <c r="ER125" i="14609"/>
  <c r="FE125" i="14609"/>
  <c r="FH125" i="14609"/>
  <c r="FU125" i="14609"/>
  <c r="FX125" i="14609"/>
  <c r="GK125" i="14609"/>
  <c r="GN125" i="14609"/>
  <c r="HA125" i="14609"/>
  <c r="HD125" i="14609"/>
  <c r="HQ125" i="14609"/>
  <c r="HT125" i="14609"/>
  <c r="IG125" i="14609"/>
  <c r="IJ125" i="14609"/>
  <c r="A124" i="14609"/>
  <c r="Q124" i="14609"/>
  <c r="T124" i="14609"/>
  <c r="AG124" i="14609"/>
  <c r="AJ124" i="14609"/>
  <c r="AW124" i="14609"/>
  <c r="AZ124" i="14609"/>
  <c r="BM124" i="14609"/>
  <c r="BP124" i="14609"/>
  <c r="CC124" i="14609"/>
  <c r="CF124" i="14609"/>
  <c r="CS124" i="14609"/>
  <c r="CV124" i="14609"/>
  <c r="DI124" i="14609"/>
  <c r="DL124" i="14609"/>
  <c r="DY124" i="14609"/>
  <c r="EB124" i="14609"/>
  <c r="EO124" i="14609"/>
  <c r="ER124" i="14609"/>
  <c r="FE124" i="14609"/>
  <c r="FH124" i="14609"/>
  <c r="FU124" i="14609"/>
  <c r="FX124" i="14609"/>
  <c r="GK124" i="14609"/>
  <c r="GN124" i="14609"/>
  <c r="HA124" i="14609"/>
  <c r="HD124" i="14609"/>
  <c r="HQ124" i="14609"/>
  <c r="HT124" i="14609"/>
  <c r="IG124" i="14609"/>
  <c r="IJ124" i="14609"/>
  <c r="A123" i="14609"/>
  <c r="Q123" i="14609"/>
  <c r="T123" i="14609"/>
  <c r="AG123" i="14609"/>
  <c r="AJ123" i="14609"/>
  <c r="AW123" i="14609"/>
  <c r="AZ123" i="14609"/>
  <c r="BM123" i="14609"/>
  <c r="BP123" i="14609"/>
  <c r="CC123" i="14609"/>
  <c r="CF123" i="14609"/>
  <c r="CS123" i="14609"/>
  <c r="CV123" i="14609"/>
  <c r="DI123" i="14609"/>
  <c r="DL123" i="14609"/>
  <c r="DY123" i="14609"/>
  <c r="EB123" i="14609"/>
  <c r="EO123" i="14609"/>
  <c r="ER123" i="14609"/>
  <c r="FE123" i="14609"/>
  <c r="FH123" i="14609"/>
  <c r="FU123" i="14609"/>
  <c r="FX123" i="14609"/>
  <c r="GK123" i="14609"/>
  <c r="GN123" i="14609"/>
  <c r="HA123" i="14609"/>
  <c r="HD123" i="14609"/>
  <c r="HQ123" i="14609"/>
  <c r="HT123" i="14609"/>
  <c r="IG123" i="14609"/>
  <c r="IJ123" i="14609"/>
  <c r="A122" i="14609"/>
  <c r="Q122" i="14609"/>
  <c r="T122" i="14609"/>
  <c r="AG122" i="14609"/>
  <c r="AJ122" i="14609"/>
  <c r="AW122" i="14609"/>
  <c r="AZ122" i="14609"/>
  <c r="BM122" i="14609"/>
  <c r="BP122" i="14609"/>
  <c r="CC122" i="14609"/>
  <c r="CF122" i="14609"/>
  <c r="CS122" i="14609"/>
  <c r="CV122" i="14609"/>
  <c r="DI122" i="14609"/>
  <c r="DL122" i="14609"/>
  <c r="DY122" i="14609"/>
  <c r="EB122" i="14609"/>
  <c r="EO122" i="14609"/>
  <c r="ER122" i="14609"/>
  <c r="FE122" i="14609"/>
  <c r="FH122" i="14609"/>
  <c r="FU122" i="14609"/>
  <c r="FX122" i="14609"/>
  <c r="GK122" i="14609"/>
  <c r="GN122" i="14609"/>
  <c r="HA122" i="14609"/>
  <c r="HD122" i="14609"/>
  <c r="HQ122" i="14609"/>
  <c r="HT122" i="14609"/>
  <c r="IG122" i="14609"/>
  <c r="IJ122" i="14609"/>
  <c r="A121" i="14609"/>
  <c r="Q121" i="14609"/>
  <c r="T121" i="14609"/>
  <c r="AG121" i="14609"/>
  <c r="AJ121" i="14609"/>
  <c r="AW121" i="14609"/>
  <c r="AZ121" i="14609"/>
  <c r="BM121" i="14609"/>
  <c r="BP121" i="14609"/>
  <c r="CC121" i="14609"/>
  <c r="CF121" i="14609"/>
  <c r="CS121" i="14609"/>
  <c r="CV121" i="14609"/>
  <c r="DI121" i="14609"/>
  <c r="DL121" i="14609"/>
  <c r="DY121" i="14609"/>
  <c r="EB121" i="14609"/>
  <c r="EO121" i="14609"/>
  <c r="ER121" i="14609"/>
  <c r="FE121" i="14609"/>
  <c r="FH121" i="14609"/>
  <c r="FU121" i="14609"/>
  <c r="FX121" i="14609"/>
  <c r="GK121" i="14609"/>
  <c r="GN121" i="14609"/>
  <c r="HA121" i="14609"/>
  <c r="HD121" i="14609"/>
  <c r="HQ121" i="14609"/>
  <c r="HT121" i="14609"/>
  <c r="IG121" i="14609"/>
  <c r="IJ121" i="14609"/>
  <c r="A120" i="14609"/>
  <c r="Q120" i="14609"/>
  <c r="T120" i="14609"/>
  <c r="AG120" i="14609"/>
  <c r="AJ120" i="14609"/>
  <c r="AW120" i="14609"/>
  <c r="AZ120" i="14609"/>
  <c r="BM120" i="14609"/>
  <c r="BP120" i="14609"/>
  <c r="CC120" i="14609"/>
  <c r="CF120" i="14609"/>
  <c r="CS120" i="14609"/>
  <c r="CV120" i="14609"/>
  <c r="DI120" i="14609"/>
  <c r="DL120" i="14609"/>
  <c r="DY120" i="14609"/>
  <c r="EB120" i="14609"/>
  <c r="EO120" i="14609"/>
  <c r="ER120" i="14609"/>
  <c r="FE120" i="14609"/>
  <c r="FH120" i="14609"/>
  <c r="FU120" i="14609"/>
  <c r="FX120" i="14609"/>
  <c r="GK120" i="14609"/>
  <c r="GN120" i="14609"/>
  <c r="HA120" i="14609"/>
  <c r="HD120" i="14609"/>
  <c r="HQ120" i="14609"/>
  <c r="HT120" i="14609"/>
  <c r="IG120" i="14609"/>
  <c r="IJ120" i="14609"/>
  <c r="A119" i="14609"/>
  <c r="Q119" i="14609"/>
  <c r="T119" i="14609"/>
  <c r="AG119" i="14609"/>
  <c r="AJ119" i="14609"/>
  <c r="AW119" i="14609"/>
  <c r="AZ119" i="14609"/>
  <c r="BM119" i="14609"/>
  <c r="BP119" i="14609"/>
  <c r="CC119" i="14609"/>
  <c r="CF119" i="14609"/>
  <c r="CS119" i="14609"/>
  <c r="CV119" i="14609"/>
  <c r="DI119" i="14609"/>
  <c r="DL119" i="14609"/>
  <c r="DY119" i="14609"/>
  <c r="EB119" i="14609"/>
  <c r="EO119" i="14609"/>
  <c r="ER119" i="14609"/>
  <c r="FE119" i="14609"/>
  <c r="FH119" i="14609"/>
  <c r="FU119" i="14609"/>
  <c r="FX119" i="14609"/>
  <c r="GK119" i="14609"/>
  <c r="GN119" i="14609"/>
  <c r="HA119" i="14609"/>
  <c r="HD119" i="14609"/>
  <c r="HQ119" i="14609"/>
  <c r="HT119" i="14609"/>
  <c r="IG119" i="14609"/>
  <c r="IJ119" i="14609"/>
  <c r="A118" i="14609"/>
  <c r="Q118" i="14609"/>
  <c r="T118" i="14609"/>
  <c r="AG118" i="14609"/>
  <c r="AJ118" i="14609"/>
  <c r="AW118" i="14609"/>
  <c r="AZ118" i="14609"/>
  <c r="BM118" i="14609"/>
  <c r="BP118" i="14609"/>
  <c r="CC118" i="14609"/>
  <c r="CF118" i="14609"/>
  <c r="CS118" i="14609"/>
  <c r="CV118" i="14609"/>
  <c r="DI118" i="14609"/>
  <c r="DL118" i="14609"/>
  <c r="DY118" i="14609"/>
  <c r="EB118" i="14609"/>
  <c r="EO118" i="14609"/>
  <c r="ER118" i="14609"/>
  <c r="FE118" i="14609"/>
  <c r="FH118" i="14609"/>
  <c r="FU118" i="14609"/>
  <c r="FX118" i="14609"/>
  <c r="GK118" i="14609"/>
  <c r="GN118" i="14609"/>
  <c r="HA118" i="14609"/>
  <c r="HD118" i="14609"/>
  <c r="HQ118" i="14609"/>
  <c r="HT118" i="14609"/>
  <c r="IG118" i="14609"/>
  <c r="IJ118" i="14609"/>
  <c r="A117" i="14609"/>
  <c r="B117" i="14609"/>
  <c r="Q117" i="14609"/>
  <c r="R117" i="14609"/>
  <c r="T117" i="14609"/>
  <c r="AG117" i="14609"/>
  <c r="AH117" i="14609"/>
  <c r="AJ117" i="14609"/>
  <c r="AW117" i="14609"/>
  <c r="AX117" i="14609"/>
  <c r="AZ117" i="14609"/>
  <c r="BM117" i="14609"/>
  <c r="BP117" i="14609"/>
  <c r="CC117" i="14609"/>
  <c r="CF117" i="14609"/>
  <c r="CS117" i="14609"/>
  <c r="CV117" i="14609"/>
  <c r="DI117" i="14609"/>
  <c r="DL117" i="14609"/>
  <c r="DY117" i="14609"/>
  <c r="EB117" i="14609"/>
  <c r="EO117" i="14609"/>
  <c r="ER117" i="14609"/>
  <c r="FE117" i="14609"/>
  <c r="FH117" i="14609"/>
  <c r="FU117" i="14609"/>
  <c r="FX117" i="14609"/>
  <c r="GK117" i="14609"/>
  <c r="GN117" i="14609"/>
  <c r="HA117" i="14609"/>
  <c r="HD117" i="14609"/>
  <c r="HQ117" i="14609"/>
  <c r="HT117" i="14609"/>
  <c r="IG117" i="14609"/>
  <c r="IJ117" i="14609"/>
  <c r="A116" i="14609"/>
  <c r="B116" i="14609"/>
  <c r="C116" i="14609"/>
  <c r="D116" i="14609"/>
  <c r="E116" i="14609"/>
  <c r="F116" i="14609"/>
  <c r="G116" i="14609"/>
  <c r="H116" i="14609"/>
  <c r="I116" i="14609"/>
  <c r="J116" i="14609"/>
  <c r="K116" i="14609"/>
  <c r="L116" i="14609"/>
  <c r="M116" i="14609"/>
  <c r="N116" i="14609"/>
  <c r="O116" i="14609"/>
  <c r="P116" i="14609"/>
  <c r="Q116" i="14609"/>
  <c r="R116" i="14609"/>
  <c r="S116" i="14609"/>
  <c r="T116" i="14609"/>
  <c r="U116" i="14609"/>
  <c r="V116" i="14609"/>
  <c r="W116" i="14609"/>
  <c r="X116" i="14609"/>
  <c r="Y116" i="14609"/>
  <c r="Z116" i="14609"/>
  <c r="AA116" i="14609"/>
  <c r="AB116" i="14609"/>
  <c r="AC116" i="14609"/>
  <c r="AD116" i="14609"/>
  <c r="AE116" i="14609"/>
  <c r="AF116" i="14609"/>
  <c r="AG116" i="14609"/>
  <c r="AH116" i="14609"/>
  <c r="AI116" i="14609"/>
  <c r="AJ116" i="14609"/>
  <c r="AK116" i="14609"/>
  <c r="AL116" i="14609"/>
  <c r="AM116" i="14609"/>
  <c r="AN116" i="14609"/>
  <c r="AO116" i="14609"/>
  <c r="AP116" i="14609"/>
  <c r="AQ116" i="14609"/>
  <c r="AR116" i="14609"/>
  <c r="AS116" i="14609"/>
  <c r="AT116" i="14609"/>
  <c r="AU116" i="14609"/>
  <c r="AV116" i="14609"/>
  <c r="AW116" i="14609"/>
  <c r="AX116" i="14609"/>
  <c r="AY116" i="14609"/>
  <c r="AZ116" i="14609"/>
  <c r="BA116" i="14609"/>
  <c r="BB116" i="14609"/>
  <c r="BC116" i="14609"/>
  <c r="BD116" i="14609"/>
  <c r="BE116" i="14609"/>
  <c r="BF116" i="14609"/>
  <c r="BG116" i="14609"/>
  <c r="BH116" i="14609"/>
  <c r="BI116" i="14609"/>
  <c r="BJ116" i="14609"/>
  <c r="BK116" i="14609"/>
  <c r="BL116" i="14609"/>
  <c r="BM116" i="14609"/>
  <c r="BN116" i="14609"/>
  <c r="BO116" i="14609"/>
  <c r="BP116" i="14609"/>
  <c r="BQ116" i="14609"/>
  <c r="BR116" i="14609"/>
  <c r="BS116" i="14609"/>
  <c r="BT116" i="14609"/>
  <c r="BU116" i="14609"/>
  <c r="BV116" i="14609"/>
  <c r="BW116" i="14609"/>
  <c r="BX116" i="14609"/>
  <c r="BZ116" i="14609"/>
  <c r="CA116" i="14609"/>
  <c r="CB116" i="14609"/>
  <c r="CC116" i="14609"/>
  <c r="CD116" i="14609"/>
  <c r="CE116" i="14609"/>
  <c r="CF116" i="14609"/>
  <c r="CG116" i="14609"/>
  <c r="CH116" i="14609"/>
  <c r="CI116" i="14609"/>
  <c r="CJ116" i="14609"/>
  <c r="CK116" i="14609"/>
  <c r="CL116" i="14609"/>
  <c r="CM116" i="14609"/>
  <c r="CN116" i="14609"/>
  <c r="CO116" i="14609"/>
  <c r="CP116" i="14609"/>
  <c r="CQ116" i="14609"/>
  <c r="CR116" i="14609"/>
  <c r="CS116" i="14609"/>
  <c r="CT116" i="14609"/>
  <c r="CU116" i="14609"/>
  <c r="CV116" i="14609"/>
  <c r="CW116" i="14609"/>
  <c r="CX116" i="14609"/>
  <c r="CY116" i="14609"/>
  <c r="CZ116" i="14609"/>
  <c r="DA116" i="14609"/>
  <c r="DC116" i="14609"/>
  <c r="DD116" i="14609"/>
  <c r="DE116" i="14609"/>
  <c r="DF116" i="14609"/>
  <c r="DG116" i="14609"/>
  <c r="DH116" i="14609"/>
  <c r="DI116" i="14609"/>
  <c r="DK116" i="14609"/>
  <c r="DL116" i="14609"/>
  <c r="DM116" i="14609"/>
  <c r="DN116" i="14609"/>
  <c r="DO116" i="14609"/>
  <c r="DP116" i="14609"/>
  <c r="DQ116" i="14609"/>
  <c r="DR116" i="14609"/>
  <c r="DS116" i="14609"/>
  <c r="DT116" i="14609"/>
  <c r="DU116" i="14609"/>
  <c r="DV116" i="14609"/>
  <c r="DW116" i="14609"/>
  <c r="DX116" i="14609"/>
  <c r="DZ116" i="14609"/>
  <c r="EA116" i="14609"/>
  <c r="EB116" i="14609"/>
  <c r="EC116" i="14609"/>
  <c r="ED116" i="14609"/>
  <c r="EE116" i="14609"/>
  <c r="EF116" i="14609"/>
  <c r="EG116" i="14609"/>
  <c r="EH116" i="14609"/>
  <c r="EI116" i="14609"/>
  <c r="EJ116" i="14609"/>
  <c r="EK116" i="14609"/>
  <c r="EL116" i="14609"/>
  <c r="EM116" i="14609"/>
  <c r="EN116" i="14609"/>
  <c r="EO116" i="14609"/>
  <c r="EP116" i="14609"/>
  <c r="EQ116" i="14609"/>
  <c r="ER116" i="14609"/>
  <c r="ET116" i="14609"/>
  <c r="EU116" i="14609"/>
  <c r="EV116" i="14609"/>
  <c r="FI116" i="14609"/>
  <c r="FJ116" i="14609"/>
  <c r="FK116" i="14609"/>
  <c r="FN116" i="14609"/>
  <c r="FO116" i="14609"/>
  <c r="FP116" i="14609"/>
  <c r="FQ116" i="14609"/>
  <c r="GC116" i="14609"/>
  <c r="GD116" i="14609"/>
  <c r="GF116" i="14609"/>
  <c r="GH116" i="14609"/>
  <c r="GI116" i="14609"/>
  <c r="GJ116" i="14609"/>
  <c r="GW116" i="14609"/>
  <c r="GX116" i="14609"/>
  <c r="GZ116" i="14609"/>
  <c r="HB116" i="14609"/>
  <c r="HC116" i="14609"/>
  <c r="HD116" i="14609"/>
  <c r="HQ116" i="14609"/>
  <c r="HR116" i="14609"/>
  <c r="HT116" i="14609"/>
  <c r="IG116" i="14609"/>
  <c r="IH116" i="14609"/>
  <c r="IJ116" i="14609"/>
  <c r="A115" i="14609"/>
  <c r="B115" i="14609"/>
  <c r="C115" i="14609"/>
  <c r="D115" i="14609"/>
  <c r="E115" i="14609"/>
  <c r="F115" i="14609"/>
  <c r="G115" i="14609"/>
  <c r="H115" i="14609"/>
  <c r="I115" i="14609"/>
  <c r="J115" i="14609"/>
  <c r="K115" i="14609"/>
  <c r="L115" i="14609"/>
  <c r="M115" i="14609"/>
  <c r="N115" i="14609"/>
  <c r="O115" i="14609"/>
  <c r="P115" i="14609"/>
  <c r="Q115" i="14609"/>
  <c r="R115" i="14609"/>
  <c r="S115" i="14609"/>
  <c r="T115" i="14609"/>
  <c r="U115" i="14609"/>
  <c r="V115" i="14609"/>
  <c r="W115" i="14609"/>
  <c r="X115" i="14609"/>
  <c r="Y115" i="14609"/>
  <c r="Z115" i="14609"/>
  <c r="AA115" i="14609"/>
  <c r="AB115" i="14609"/>
  <c r="AC115" i="14609"/>
  <c r="AD115" i="14609"/>
  <c r="AE115" i="14609"/>
  <c r="AF115" i="14609"/>
  <c r="AG115" i="14609"/>
  <c r="AH115" i="14609"/>
  <c r="AI115" i="14609"/>
  <c r="AJ115" i="14609"/>
  <c r="AK115" i="14609"/>
  <c r="AL115" i="14609"/>
  <c r="AM115" i="14609"/>
  <c r="AN115" i="14609"/>
  <c r="AO115" i="14609"/>
  <c r="AP115" i="14609"/>
  <c r="AQ115" i="14609"/>
  <c r="AR115" i="14609"/>
  <c r="AS115" i="14609"/>
  <c r="AT115" i="14609"/>
  <c r="AU115" i="14609"/>
  <c r="AV115" i="14609"/>
  <c r="AW115" i="14609"/>
  <c r="AX115" i="14609"/>
  <c r="AY115" i="14609"/>
  <c r="AZ115" i="14609"/>
  <c r="BA115" i="14609"/>
  <c r="BB115" i="14609"/>
  <c r="BC115" i="14609"/>
  <c r="BD115" i="14609"/>
  <c r="BE115" i="14609"/>
  <c r="BF115" i="14609"/>
  <c r="BG115" i="14609"/>
  <c r="BH115" i="14609"/>
  <c r="BI115" i="14609"/>
  <c r="BJ115" i="14609"/>
  <c r="BK115" i="14609"/>
  <c r="BL115" i="14609"/>
  <c r="BM115" i="14609"/>
  <c r="BN115" i="14609"/>
  <c r="BO115" i="14609"/>
  <c r="BP115" i="14609"/>
  <c r="BQ115" i="14609"/>
  <c r="BR115" i="14609"/>
  <c r="BS115" i="14609"/>
  <c r="BT115" i="14609"/>
  <c r="BU115" i="14609"/>
  <c r="BV115" i="14609"/>
  <c r="BW115" i="14609"/>
  <c r="BX115" i="14609"/>
  <c r="BY115" i="14609"/>
  <c r="BZ115" i="14609"/>
  <c r="CA115" i="14609"/>
  <c r="CB115" i="14609"/>
  <c r="CC115" i="14609"/>
  <c r="CD115" i="14609"/>
  <c r="CE115" i="14609"/>
  <c r="CF115" i="14609"/>
  <c r="CG115" i="14609"/>
  <c r="CH115" i="14609"/>
  <c r="CI115" i="14609"/>
  <c r="CJ115" i="14609"/>
  <c r="CK115" i="14609"/>
  <c r="CL115" i="14609"/>
  <c r="CM115" i="14609"/>
  <c r="CN115" i="14609"/>
  <c r="CO115" i="14609"/>
  <c r="CP115" i="14609"/>
  <c r="CQ115" i="14609"/>
  <c r="CR115" i="14609"/>
  <c r="CS115" i="14609"/>
  <c r="CT115" i="14609"/>
  <c r="CU115" i="14609"/>
  <c r="CV115" i="14609"/>
  <c r="CW115" i="14609"/>
  <c r="CX115" i="14609"/>
  <c r="CY115" i="14609"/>
  <c r="CZ115" i="14609"/>
  <c r="DA115" i="14609"/>
  <c r="DB115" i="14609"/>
  <c r="DC115" i="14609"/>
  <c r="DD115" i="14609"/>
  <c r="DE115" i="14609"/>
  <c r="DF115" i="14609"/>
  <c r="DG115" i="14609"/>
  <c r="DH115" i="14609"/>
  <c r="DI115" i="14609"/>
  <c r="DJ115" i="14609"/>
  <c r="DK115" i="14609"/>
  <c r="DL115" i="14609"/>
  <c r="DM115" i="14609"/>
  <c r="DN115" i="14609"/>
  <c r="DO115" i="14609"/>
  <c r="DP115" i="14609"/>
  <c r="DQ115" i="14609"/>
  <c r="DR115" i="14609"/>
  <c r="DS115" i="14609"/>
  <c r="DT115" i="14609"/>
  <c r="DU115" i="14609"/>
  <c r="DV115" i="14609"/>
  <c r="DW115" i="14609"/>
  <c r="DX115" i="14609"/>
  <c r="DY115" i="14609"/>
  <c r="DZ115" i="14609"/>
  <c r="EA115" i="14609"/>
  <c r="EB115" i="14609"/>
  <c r="EC115" i="14609"/>
  <c r="ED115" i="14609"/>
  <c r="EE115" i="14609"/>
  <c r="EF115" i="14609"/>
  <c r="EG115" i="14609"/>
  <c r="EH115" i="14609"/>
  <c r="EI115" i="14609"/>
  <c r="EJ115" i="14609"/>
  <c r="EK115" i="14609"/>
  <c r="EL115" i="14609"/>
  <c r="EM115" i="14609"/>
  <c r="EN115" i="14609"/>
  <c r="EO115" i="14609"/>
  <c r="EP115" i="14609"/>
  <c r="EQ115" i="14609"/>
  <c r="ER115" i="14609"/>
  <c r="ES115" i="14609"/>
  <c r="ET115" i="14609"/>
  <c r="EU115" i="14609"/>
  <c r="EV115" i="14609"/>
  <c r="EW115" i="14609"/>
  <c r="EX115" i="14609"/>
  <c r="EY115" i="14609"/>
  <c r="EZ115" i="14609"/>
  <c r="FA115" i="14609"/>
  <c r="FB115" i="14609"/>
  <c r="FC115" i="14609"/>
  <c r="FD115" i="14609"/>
  <c r="FE115" i="14609"/>
  <c r="FF115" i="14609"/>
  <c r="FG115" i="14609"/>
  <c r="FH115" i="14609"/>
  <c r="FI115" i="14609"/>
  <c r="FJ115" i="14609"/>
  <c r="FK115" i="14609"/>
  <c r="FL115" i="14609"/>
  <c r="FM115" i="14609"/>
  <c r="FN115" i="14609"/>
  <c r="FO115" i="14609"/>
  <c r="FP115" i="14609"/>
  <c r="FQ115" i="14609"/>
  <c r="FR115" i="14609"/>
  <c r="FS115" i="14609"/>
  <c r="FT115" i="14609"/>
  <c r="FU115" i="14609"/>
  <c r="FV115" i="14609"/>
  <c r="FW115" i="14609"/>
  <c r="FX115" i="14609"/>
  <c r="FY115" i="14609"/>
  <c r="FZ115" i="14609"/>
  <c r="GA115" i="14609"/>
  <c r="GB115" i="14609"/>
  <c r="GC115" i="14609"/>
  <c r="GD115" i="14609"/>
  <c r="GE115" i="14609"/>
  <c r="GF115" i="14609"/>
  <c r="GG115" i="14609"/>
  <c r="GH115" i="14609"/>
  <c r="GI115" i="14609"/>
  <c r="GJ115" i="14609"/>
  <c r="GK115" i="14609"/>
  <c r="GL115" i="14609"/>
  <c r="GM115" i="14609"/>
  <c r="GN115" i="14609"/>
  <c r="GO115" i="14609"/>
  <c r="GP115" i="14609"/>
  <c r="GQ115" i="14609"/>
  <c r="GR115" i="14609"/>
  <c r="GS115" i="14609"/>
  <c r="GT115" i="14609"/>
  <c r="GU115" i="14609"/>
  <c r="GV115" i="14609"/>
  <c r="GW115" i="14609"/>
  <c r="GX115" i="14609"/>
  <c r="GY115" i="14609"/>
  <c r="GZ115" i="14609"/>
  <c r="HA115" i="14609"/>
  <c r="HB115" i="14609"/>
  <c r="HC115" i="14609"/>
  <c r="HD115" i="14609"/>
  <c r="HE115" i="14609"/>
  <c r="HF115" i="14609"/>
  <c r="HG115" i="14609"/>
  <c r="HH115" i="14609"/>
  <c r="HI115" i="14609"/>
  <c r="HJ115" i="14609"/>
  <c r="HK115" i="14609"/>
  <c r="HL115" i="14609"/>
  <c r="HM115" i="14609"/>
  <c r="HN115" i="14609"/>
  <c r="HO115" i="14609"/>
  <c r="HP115" i="14609"/>
  <c r="HQ115" i="14609"/>
  <c r="HR115" i="14609"/>
  <c r="HS115" i="14609"/>
  <c r="HT115" i="14609"/>
  <c r="HU115" i="14609"/>
  <c r="HV115" i="14609"/>
  <c r="HW115" i="14609"/>
  <c r="HX115" i="14609"/>
  <c r="HY115" i="14609"/>
  <c r="HZ115" i="14609"/>
  <c r="IA115" i="14609"/>
  <c r="IB115" i="14609"/>
  <c r="IC115" i="14609"/>
  <c r="ID115" i="14609"/>
  <c r="IE115" i="14609"/>
  <c r="IF115" i="14609"/>
  <c r="IG115" i="14609"/>
  <c r="IH115" i="14609"/>
  <c r="II115" i="14609"/>
  <c r="IJ115" i="14609"/>
  <c r="IK115" i="14609"/>
  <c r="IL115" i="14609"/>
  <c r="IM115" i="14609"/>
  <c r="IN115" i="14609"/>
  <c r="IO115" i="14609"/>
  <c r="IP115" i="14609"/>
  <c r="IQ115" i="14609"/>
  <c r="IR115" i="14609"/>
  <c r="IS115" i="14609"/>
  <c r="IT115" i="14609"/>
  <c r="IU115" i="14609"/>
  <c r="IV115" i="14609"/>
  <c r="A114" i="14609"/>
  <c r="B114" i="14609"/>
  <c r="C114" i="14609"/>
  <c r="D114" i="14609"/>
  <c r="E114" i="14609"/>
  <c r="F114" i="14609"/>
  <c r="G114" i="14609"/>
  <c r="H114" i="14609"/>
  <c r="I114" i="14609"/>
  <c r="K114" i="14609"/>
  <c r="L114" i="14609"/>
  <c r="M114" i="14609"/>
  <c r="N114" i="14609"/>
  <c r="O114" i="14609"/>
  <c r="P114" i="14609"/>
  <c r="Q114" i="14609"/>
  <c r="R114" i="14609"/>
  <c r="Y114" i="14609"/>
  <c r="Z114" i="14609"/>
  <c r="AA114" i="14609"/>
  <c r="AB114" i="14609"/>
  <c r="AC114" i="14609"/>
  <c r="AD114" i="14609"/>
  <c r="AE114" i="14609"/>
  <c r="AF114" i="14609"/>
  <c r="AG114" i="14609"/>
  <c r="AH114" i="14609"/>
  <c r="AI114" i="14609"/>
  <c r="AJ114" i="14609"/>
  <c r="AK114" i="14609"/>
  <c r="AL114" i="14609"/>
  <c r="AM114" i="14609"/>
  <c r="AN114" i="14609"/>
  <c r="AO114" i="14609"/>
  <c r="AP114" i="14609"/>
  <c r="AQ114" i="14609"/>
  <c r="AR114" i="14609"/>
  <c r="AT114" i="14609"/>
  <c r="AU114" i="14609"/>
  <c r="AV114" i="14609"/>
  <c r="AW114" i="14609"/>
  <c r="AX114" i="14609"/>
  <c r="AY114" i="14609"/>
  <c r="AZ114" i="14609"/>
  <c r="BA114" i="14609"/>
  <c r="BH114" i="14609"/>
  <c r="BI114" i="14609"/>
  <c r="BJ114" i="14609"/>
  <c r="BK114" i="14609"/>
  <c r="BL114" i="14609"/>
  <c r="BM114" i="14609"/>
  <c r="BN114" i="14609"/>
  <c r="BO114" i="14609"/>
  <c r="BP114" i="14609"/>
  <c r="BQ114" i="14609"/>
  <c r="BR114" i="14609"/>
  <c r="BS114" i="14609"/>
  <c r="BT114" i="14609"/>
  <c r="BU114" i="14609"/>
  <c r="BV114" i="14609"/>
  <c r="BW114" i="14609"/>
  <c r="BX114" i="14609"/>
  <c r="BY114" i="14609"/>
  <c r="BZ114" i="14609"/>
  <c r="CA114" i="14609"/>
  <c r="CB114" i="14609"/>
  <c r="CC114" i="14609"/>
  <c r="CD114" i="14609"/>
  <c r="CE114" i="14609"/>
  <c r="CF114" i="14609"/>
  <c r="CG114" i="14609"/>
  <c r="CH114" i="14609"/>
  <c r="CI114" i="14609"/>
  <c r="CJ114" i="14609"/>
  <c r="CK114" i="14609"/>
  <c r="CL114" i="14609"/>
  <c r="CM114" i="14609"/>
  <c r="CN114" i="14609"/>
  <c r="CO114" i="14609"/>
  <c r="CP114" i="14609"/>
  <c r="CQ114" i="14609"/>
  <c r="CR114" i="14609"/>
  <c r="CS114" i="14609"/>
  <c r="CT114" i="14609"/>
  <c r="CU114" i="14609"/>
  <c r="CV114" i="14609"/>
  <c r="CW114" i="14609"/>
  <c r="CX114" i="14609"/>
  <c r="CY114" i="14609"/>
  <c r="CZ114" i="14609"/>
  <c r="DA114" i="14609"/>
  <c r="DB114" i="14609"/>
  <c r="DC114" i="14609"/>
  <c r="DD114" i="14609"/>
  <c r="DE114" i="14609"/>
  <c r="DF114" i="14609"/>
  <c r="DG114" i="14609"/>
  <c r="DH114" i="14609"/>
  <c r="DI114" i="14609"/>
  <c r="DJ114" i="14609"/>
  <c r="DK114" i="14609"/>
  <c r="DL114" i="14609"/>
  <c r="DM114" i="14609"/>
  <c r="DN114" i="14609"/>
  <c r="DO114" i="14609"/>
  <c r="DP114" i="14609"/>
  <c r="DQ114" i="14609"/>
  <c r="DR114" i="14609"/>
  <c r="DS114" i="14609"/>
  <c r="DT114" i="14609"/>
  <c r="DU114" i="14609"/>
  <c r="DV114" i="14609"/>
  <c r="DW114" i="14609"/>
  <c r="DX114" i="14609"/>
  <c r="DY114" i="14609"/>
  <c r="DZ114" i="14609"/>
  <c r="EA114" i="14609"/>
  <c r="EB114" i="14609"/>
  <c r="EC114" i="14609"/>
  <c r="ED114" i="14609"/>
  <c r="EE114" i="14609"/>
  <c r="EF114" i="14609"/>
  <c r="EG114" i="14609"/>
  <c r="EH114" i="14609"/>
  <c r="EI114" i="14609"/>
  <c r="EJ114" i="14609"/>
  <c r="EK114" i="14609"/>
  <c r="EL114" i="14609"/>
  <c r="EM114" i="14609"/>
  <c r="EN114" i="14609"/>
  <c r="EO114" i="14609"/>
  <c r="EP114" i="14609"/>
  <c r="EQ114" i="14609"/>
  <c r="ER114" i="14609"/>
  <c r="ES114" i="14609"/>
  <c r="ET114" i="14609"/>
  <c r="EU114" i="14609"/>
  <c r="EV114" i="14609"/>
  <c r="EW114" i="14609"/>
  <c r="EX114" i="14609"/>
  <c r="EY114" i="14609"/>
  <c r="EZ114" i="14609"/>
  <c r="FA114" i="14609"/>
  <c r="FB114" i="14609"/>
  <c r="FC114" i="14609"/>
  <c r="FD114" i="14609"/>
  <c r="FE114" i="14609"/>
  <c r="FF114" i="14609"/>
  <c r="FG114" i="14609"/>
  <c r="FH114" i="14609"/>
  <c r="FI114" i="14609"/>
  <c r="FJ114" i="14609"/>
  <c r="FK114" i="14609"/>
  <c r="FL114" i="14609"/>
  <c r="FM114" i="14609"/>
  <c r="FN114" i="14609"/>
  <c r="FO114" i="14609"/>
  <c r="FP114" i="14609"/>
  <c r="FQ114" i="14609"/>
  <c r="FR114" i="14609"/>
  <c r="FS114" i="14609"/>
  <c r="FT114" i="14609"/>
  <c r="FU114" i="14609"/>
  <c r="FV114" i="14609"/>
  <c r="FW114" i="14609"/>
  <c r="FX114" i="14609"/>
  <c r="FY114" i="14609"/>
  <c r="FZ114" i="14609"/>
  <c r="GA114" i="14609"/>
  <c r="GB114" i="14609"/>
  <c r="GC114" i="14609"/>
  <c r="GD114" i="14609"/>
  <c r="GE114" i="14609"/>
  <c r="GF114" i="14609"/>
  <c r="GG114" i="14609"/>
  <c r="GH114" i="14609"/>
  <c r="GI114" i="14609"/>
  <c r="GJ114" i="14609"/>
  <c r="GK114" i="14609"/>
  <c r="GL114" i="14609"/>
  <c r="GM114" i="14609"/>
  <c r="GN114" i="14609"/>
  <c r="GO114" i="14609"/>
  <c r="GP114" i="14609"/>
  <c r="GQ114" i="14609"/>
  <c r="GR114" i="14609"/>
  <c r="GS114" i="14609"/>
  <c r="GT114" i="14609"/>
  <c r="GU114" i="14609"/>
  <c r="GV114" i="14609"/>
  <c r="GW114" i="14609"/>
  <c r="GX114" i="14609"/>
  <c r="GY114" i="14609"/>
  <c r="GZ114" i="14609"/>
  <c r="HA114" i="14609"/>
  <c r="HB114" i="14609"/>
  <c r="HC114" i="14609"/>
  <c r="HD114" i="14609"/>
  <c r="HE114" i="14609"/>
  <c r="HF114" i="14609"/>
  <c r="HG114" i="14609"/>
  <c r="HH114" i="14609"/>
  <c r="HI114" i="14609"/>
  <c r="HJ114" i="14609"/>
  <c r="HK114" i="14609"/>
  <c r="HL114" i="14609"/>
  <c r="HM114" i="14609"/>
  <c r="HN114" i="14609"/>
  <c r="HO114" i="14609"/>
  <c r="HP114" i="14609"/>
  <c r="HQ114" i="14609"/>
  <c r="HR114" i="14609"/>
  <c r="HS114" i="14609"/>
  <c r="HT114" i="14609"/>
  <c r="HU114" i="14609"/>
  <c r="HV114" i="14609"/>
  <c r="HW114" i="14609"/>
  <c r="HX114" i="14609"/>
  <c r="HY114" i="14609"/>
  <c r="HZ114" i="14609"/>
  <c r="IA114" i="14609"/>
  <c r="IB114" i="14609"/>
  <c r="IC114" i="14609"/>
  <c r="ID114" i="14609"/>
  <c r="IE114" i="14609"/>
  <c r="IF114" i="14609"/>
  <c r="IG114" i="14609"/>
  <c r="IH114" i="14609"/>
  <c r="II114" i="14609"/>
  <c r="IJ114" i="14609"/>
  <c r="IK114" i="14609"/>
  <c r="IL114" i="14609"/>
  <c r="IM114" i="14609"/>
  <c r="IN114" i="14609"/>
  <c r="IO114" i="14609"/>
  <c r="IP114" i="14609"/>
  <c r="IQ114" i="14609"/>
  <c r="IR114" i="14609"/>
  <c r="IS114" i="14609"/>
  <c r="IT114" i="14609"/>
  <c r="IU114" i="14609"/>
  <c r="IV114" i="14609"/>
  <c r="A113" i="14609"/>
  <c r="B113" i="14609"/>
  <c r="C113" i="14609"/>
  <c r="D113" i="14609"/>
  <c r="E113" i="14609"/>
  <c r="F113" i="14609"/>
  <c r="G113" i="14609"/>
  <c r="H113" i="14609"/>
  <c r="I113" i="14609"/>
  <c r="J113" i="14609"/>
  <c r="K113" i="14609"/>
  <c r="L113" i="14609"/>
  <c r="M113" i="14609"/>
  <c r="N113" i="14609"/>
  <c r="O113" i="14609"/>
  <c r="P113" i="14609"/>
  <c r="Q113" i="14609"/>
  <c r="R113" i="14609"/>
  <c r="S113" i="14609"/>
  <c r="V113" i="14609"/>
  <c r="W113" i="14609"/>
  <c r="X113" i="14609"/>
  <c r="Y113" i="14609"/>
  <c r="Z113" i="14609"/>
  <c r="AA113" i="14609"/>
  <c r="AB113" i="14609"/>
  <c r="AC113" i="14609"/>
  <c r="AD113" i="14609"/>
  <c r="AE113" i="14609"/>
  <c r="AF113" i="14609"/>
  <c r="AG113" i="14609"/>
  <c r="AH113" i="14609"/>
  <c r="AI113" i="14609"/>
  <c r="AJ113" i="14609"/>
  <c r="AK113" i="14609"/>
  <c r="AL113" i="14609"/>
  <c r="AM113" i="14609"/>
  <c r="AN113" i="14609"/>
  <c r="AO113" i="14609"/>
  <c r="AP113" i="14609"/>
  <c r="AQ113" i="14609"/>
  <c r="AR113" i="14609"/>
  <c r="AS113" i="14609"/>
  <c r="AT113" i="14609"/>
  <c r="AU113" i="14609"/>
  <c r="AV113" i="14609"/>
  <c r="AW113" i="14609"/>
  <c r="AX113" i="14609"/>
  <c r="AY113" i="14609"/>
  <c r="AZ113" i="14609"/>
  <c r="BA113" i="14609"/>
  <c r="BB113" i="14609"/>
  <c r="BC113" i="14609"/>
  <c r="BE113" i="14609"/>
  <c r="BF113" i="14609"/>
  <c r="BG113" i="14609"/>
  <c r="BH113" i="14609"/>
  <c r="BI113" i="14609"/>
  <c r="BJ113" i="14609"/>
  <c r="BK113" i="14609"/>
  <c r="BL113" i="14609"/>
  <c r="BN113" i="14609"/>
  <c r="BO113" i="14609"/>
  <c r="BP113" i="14609"/>
  <c r="BQ113" i="14609"/>
  <c r="BR113" i="14609"/>
  <c r="BS113" i="14609"/>
  <c r="BT113" i="14609"/>
  <c r="BU113" i="14609"/>
  <c r="BV113" i="14609"/>
  <c r="BW113" i="14609"/>
  <c r="BX113" i="14609"/>
  <c r="BY113" i="14609"/>
  <c r="BZ113" i="14609"/>
  <c r="CA113" i="14609"/>
  <c r="CB113" i="14609"/>
  <c r="CC113" i="14609"/>
  <c r="CD113" i="14609"/>
  <c r="CE113" i="14609"/>
  <c r="CF113" i="14609"/>
  <c r="CG113" i="14609"/>
  <c r="CH113" i="14609"/>
  <c r="CI113" i="14609"/>
  <c r="CJ113" i="14609"/>
  <c r="CK113" i="14609"/>
  <c r="CL113" i="14609"/>
  <c r="CM113" i="14609"/>
  <c r="CN113" i="14609"/>
  <c r="CO113" i="14609"/>
  <c r="CP113" i="14609"/>
  <c r="CQ113" i="14609"/>
  <c r="CR113" i="14609"/>
  <c r="CS113" i="14609"/>
  <c r="CT113" i="14609"/>
  <c r="CU113" i="14609"/>
  <c r="CV113" i="14609"/>
  <c r="CW113" i="14609"/>
  <c r="CX113" i="14609"/>
  <c r="CY113" i="14609"/>
  <c r="CZ113" i="14609"/>
  <c r="DA113" i="14609"/>
  <c r="DB113" i="14609"/>
  <c r="DC113" i="14609"/>
  <c r="DD113" i="14609"/>
  <c r="DE113" i="14609"/>
  <c r="DF113" i="14609"/>
  <c r="DG113" i="14609"/>
  <c r="DH113" i="14609"/>
  <c r="DI113" i="14609"/>
  <c r="DJ113" i="14609"/>
  <c r="DK113" i="14609"/>
  <c r="DL113" i="14609"/>
  <c r="DM113" i="14609"/>
  <c r="DN113" i="14609"/>
  <c r="DO113" i="14609"/>
  <c r="DP113" i="14609"/>
  <c r="DQ113" i="14609"/>
  <c r="DR113" i="14609"/>
  <c r="DS113" i="14609"/>
  <c r="DT113" i="14609"/>
  <c r="DU113" i="14609"/>
  <c r="DW113" i="14609"/>
  <c r="DX113" i="14609"/>
  <c r="DY113" i="14609"/>
  <c r="DZ113" i="14609"/>
  <c r="EA113" i="14609"/>
  <c r="EB113" i="14609"/>
  <c r="EC113" i="14609"/>
  <c r="ED113" i="14609"/>
  <c r="EE113" i="14609"/>
  <c r="EF113" i="14609"/>
  <c r="EG113" i="14609"/>
  <c r="EH113" i="14609"/>
  <c r="EI113" i="14609"/>
  <c r="EK113" i="14609"/>
  <c r="EL113" i="14609"/>
  <c r="EM113" i="14609"/>
  <c r="EN113" i="14609"/>
  <c r="EO113" i="14609"/>
  <c r="EP113" i="14609"/>
  <c r="EQ113" i="14609"/>
  <c r="ER113" i="14609"/>
  <c r="ES113" i="14609"/>
  <c r="ET113" i="14609"/>
  <c r="EU113" i="14609"/>
  <c r="EV113" i="14609"/>
  <c r="EW113" i="14609"/>
  <c r="EX113" i="14609"/>
  <c r="EY113" i="14609"/>
  <c r="EZ113" i="14609"/>
  <c r="FA113" i="14609"/>
  <c r="FB113" i="14609"/>
  <c r="FC113" i="14609"/>
  <c r="FD113" i="14609"/>
  <c r="FF113" i="14609"/>
  <c r="FG113" i="14609"/>
  <c r="FH113" i="14609"/>
  <c r="FI113" i="14609"/>
  <c r="FJ113" i="14609"/>
  <c r="FK113" i="14609"/>
  <c r="FL113" i="14609"/>
  <c r="FM113" i="14609"/>
  <c r="FT113" i="14609"/>
  <c r="FU113" i="14609"/>
  <c r="FV113" i="14609"/>
  <c r="FW113" i="14609"/>
  <c r="FX113" i="14609"/>
  <c r="FY113" i="14609"/>
  <c r="FZ113" i="14609"/>
  <c r="GA113" i="14609"/>
  <c r="GB113" i="14609"/>
  <c r="GC113" i="14609"/>
  <c r="GD113" i="14609"/>
  <c r="GE113" i="14609"/>
  <c r="GF113" i="14609"/>
  <c r="GG113" i="14609"/>
  <c r="GH113" i="14609"/>
  <c r="GI113" i="14609"/>
  <c r="GJ113" i="14609"/>
  <c r="GK113" i="14609"/>
  <c r="GL113" i="14609"/>
  <c r="GM113" i="14609"/>
  <c r="GO113" i="14609"/>
  <c r="GP113" i="14609"/>
  <c r="GQ113" i="14609"/>
  <c r="GR113" i="14609"/>
  <c r="GS113" i="14609"/>
  <c r="GT113" i="14609"/>
  <c r="GU113" i="14609"/>
  <c r="GV113" i="14609"/>
  <c r="HC113" i="14609"/>
  <c r="HD113" i="14609"/>
  <c r="HE113" i="14609"/>
  <c r="HF113" i="14609"/>
  <c r="HG113" i="14609"/>
  <c r="HH113" i="14609"/>
  <c r="HI113" i="14609"/>
  <c r="HJ113" i="14609"/>
  <c r="HK113" i="14609"/>
  <c r="HL113" i="14609"/>
  <c r="HM113" i="14609"/>
  <c r="HN113" i="14609"/>
  <c r="HO113" i="14609"/>
  <c r="HP113" i="14609"/>
  <c r="HQ113" i="14609"/>
  <c r="HR113" i="14609"/>
  <c r="HS113" i="14609"/>
  <c r="HT113" i="14609"/>
  <c r="HU113" i="14609"/>
  <c r="HV113" i="14609"/>
  <c r="HX113" i="14609"/>
  <c r="HY113" i="14609"/>
  <c r="HZ113" i="14609"/>
  <c r="IA113" i="14609"/>
  <c r="IB113" i="14609"/>
  <c r="IC113" i="14609"/>
  <c r="ID113" i="14609"/>
  <c r="IE113" i="14609"/>
  <c r="IL113" i="14609"/>
  <c r="IM113" i="14609"/>
  <c r="IN113" i="14609"/>
  <c r="IO113" i="14609"/>
  <c r="IP113" i="14609"/>
  <c r="IQ113" i="14609"/>
  <c r="IR113" i="14609"/>
  <c r="IS113" i="14609"/>
  <c r="IT113" i="14609"/>
  <c r="IU113" i="14609"/>
  <c r="IV113" i="14609"/>
  <c r="A112" i="14609"/>
  <c r="B112" i="14609"/>
  <c r="C112" i="14609"/>
  <c r="D112" i="14609"/>
  <c r="E112" i="14609"/>
  <c r="F112" i="14609"/>
  <c r="G112" i="14609"/>
  <c r="H112" i="14609"/>
  <c r="I112" i="14609"/>
  <c r="J112" i="14609"/>
  <c r="K112" i="14609"/>
  <c r="L112" i="14609"/>
  <c r="M112" i="14609"/>
  <c r="N112" i="14609"/>
  <c r="O112" i="14609"/>
  <c r="P112" i="14609"/>
  <c r="Q112" i="14609"/>
  <c r="R112" i="14609"/>
  <c r="S112" i="14609"/>
  <c r="T112" i="14609"/>
  <c r="U112" i="14609"/>
  <c r="V112" i="14609"/>
  <c r="W112" i="14609"/>
  <c r="X112" i="14609"/>
  <c r="Y112" i="14609"/>
  <c r="Z112" i="14609"/>
  <c r="AA112" i="14609"/>
  <c r="AB112" i="14609"/>
  <c r="AC112" i="14609"/>
  <c r="AD112" i="14609"/>
  <c r="AE112" i="14609"/>
  <c r="AF112" i="14609"/>
  <c r="AG112" i="14609"/>
  <c r="AH112" i="14609"/>
  <c r="AI112" i="14609"/>
  <c r="AJ112" i="14609"/>
  <c r="AK112" i="14609"/>
  <c r="AL112" i="14609"/>
  <c r="AM112" i="14609"/>
  <c r="AN112" i="14609"/>
  <c r="AO112" i="14609"/>
  <c r="AP112" i="14609"/>
  <c r="AQ112" i="14609"/>
  <c r="AR112" i="14609"/>
  <c r="AS112" i="14609"/>
  <c r="AT112" i="14609"/>
  <c r="AU112" i="14609"/>
  <c r="AV112" i="14609"/>
  <c r="AW112" i="14609"/>
  <c r="AX112" i="14609"/>
  <c r="AY112" i="14609"/>
  <c r="AZ112" i="14609"/>
  <c r="BA112" i="14609"/>
  <c r="BB112" i="14609"/>
  <c r="BC112" i="14609"/>
  <c r="BD112" i="14609"/>
  <c r="BE112" i="14609"/>
  <c r="BF112" i="14609"/>
  <c r="BG112" i="14609"/>
  <c r="BH112" i="14609"/>
  <c r="BI112" i="14609"/>
  <c r="BJ112" i="14609"/>
  <c r="BK112" i="14609"/>
  <c r="BL112" i="14609"/>
  <c r="BM112" i="14609"/>
  <c r="BN112" i="14609"/>
  <c r="BO112" i="14609"/>
  <c r="BP112" i="14609"/>
  <c r="BQ112" i="14609"/>
  <c r="BR112" i="14609"/>
  <c r="BS112" i="14609"/>
  <c r="BT112" i="14609"/>
  <c r="BU112" i="14609"/>
  <c r="BV112" i="14609"/>
  <c r="BW112" i="14609"/>
  <c r="BX112" i="14609"/>
  <c r="BY112" i="14609"/>
  <c r="BZ112" i="14609"/>
  <c r="CA112" i="14609"/>
  <c r="CB112" i="14609"/>
  <c r="CC112" i="14609"/>
  <c r="CD112" i="14609"/>
  <c r="CE112" i="14609"/>
  <c r="CF112" i="14609"/>
  <c r="CG112" i="14609"/>
  <c r="CH112" i="14609"/>
  <c r="CI112" i="14609"/>
  <c r="CJ112" i="14609"/>
  <c r="CK112" i="14609"/>
  <c r="CL112" i="14609"/>
  <c r="CM112" i="14609"/>
  <c r="CN112" i="14609"/>
  <c r="CO112" i="14609"/>
  <c r="CP112" i="14609"/>
  <c r="CQ112" i="14609"/>
  <c r="CR112" i="14609"/>
  <c r="CS112" i="14609"/>
  <c r="CT112" i="14609"/>
  <c r="CU112" i="14609"/>
  <c r="CV112" i="14609"/>
  <c r="CW112" i="14609"/>
  <c r="CX112" i="14609"/>
  <c r="CY112" i="14609"/>
  <c r="CZ112" i="14609"/>
  <c r="DA112" i="14609"/>
  <c r="DB112" i="14609"/>
  <c r="DC112" i="14609"/>
  <c r="DD112" i="14609"/>
  <c r="DE112" i="14609"/>
  <c r="DF112" i="14609"/>
  <c r="DG112" i="14609"/>
  <c r="DH112" i="14609"/>
  <c r="DI112" i="14609"/>
  <c r="DJ112" i="14609"/>
  <c r="DK112" i="14609"/>
  <c r="DL112" i="14609"/>
  <c r="DM112" i="14609"/>
  <c r="DN112" i="14609"/>
  <c r="DO112" i="14609"/>
  <c r="DP112" i="14609"/>
  <c r="DQ112" i="14609"/>
  <c r="DR112" i="14609"/>
  <c r="DS112" i="14609"/>
  <c r="DT112" i="14609"/>
  <c r="DU112" i="14609"/>
  <c r="DV112" i="14609"/>
  <c r="DW112" i="14609"/>
  <c r="DX112" i="14609"/>
  <c r="DY112" i="14609"/>
  <c r="DZ112" i="14609"/>
  <c r="EA112" i="14609"/>
  <c r="EB112" i="14609"/>
  <c r="EC112" i="14609"/>
  <c r="ED112" i="14609"/>
  <c r="EE112" i="14609"/>
  <c r="EF112" i="14609"/>
  <c r="EG112" i="14609"/>
  <c r="EH112" i="14609"/>
  <c r="EI112" i="14609"/>
  <c r="EJ112" i="14609"/>
  <c r="EK112" i="14609"/>
  <c r="EL112" i="14609"/>
  <c r="EM112" i="14609"/>
  <c r="EN112" i="14609"/>
  <c r="EP112" i="14609"/>
  <c r="EQ112" i="14609"/>
  <c r="ER112" i="14609"/>
  <c r="ES112" i="14609"/>
  <c r="ET112" i="14609"/>
  <c r="EU112" i="14609"/>
  <c r="EV112" i="14609"/>
  <c r="EW112" i="14609"/>
  <c r="EX112" i="14609"/>
  <c r="EY112" i="14609"/>
  <c r="EZ112" i="14609"/>
  <c r="FA112" i="14609"/>
  <c r="FB112" i="14609"/>
  <c r="FC112" i="14609"/>
  <c r="FD112" i="14609"/>
  <c r="FE112" i="14609"/>
  <c r="FF112" i="14609"/>
  <c r="FG112" i="14609"/>
  <c r="FH112" i="14609"/>
  <c r="FI112" i="14609"/>
  <c r="FJ112" i="14609"/>
  <c r="FK112" i="14609"/>
  <c r="FL112" i="14609"/>
  <c r="FM112" i="14609"/>
  <c r="FN112" i="14609"/>
  <c r="FO112" i="14609"/>
  <c r="FP112" i="14609"/>
  <c r="FQ112" i="14609"/>
  <c r="FR112" i="14609"/>
  <c r="FS112" i="14609"/>
  <c r="FT112" i="14609"/>
  <c r="FU112" i="14609"/>
  <c r="FV112" i="14609"/>
  <c r="FW112" i="14609"/>
  <c r="FX112" i="14609"/>
  <c r="FY112" i="14609"/>
  <c r="FZ112" i="14609"/>
  <c r="GA112" i="14609"/>
  <c r="GB112" i="14609"/>
  <c r="GC112" i="14609"/>
  <c r="GD112" i="14609"/>
  <c r="GE112" i="14609"/>
  <c r="GF112" i="14609"/>
  <c r="GG112" i="14609"/>
  <c r="GH112" i="14609"/>
  <c r="GI112" i="14609"/>
  <c r="GJ112" i="14609"/>
  <c r="GK112" i="14609"/>
  <c r="GL112" i="14609"/>
  <c r="GM112" i="14609"/>
  <c r="GN112" i="14609"/>
  <c r="GO112" i="14609"/>
  <c r="GP112" i="14609"/>
  <c r="GQ112" i="14609"/>
  <c r="GR112" i="14609"/>
  <c r="GS112" i="14609"/>
  <c r="GT112" i="14609"/>
  <c r="GU112" i="14609"/>
  <c r="GV112" i="14609"/>
  <c r="GW112" i="14609"/>
  <c r="GX112" i="14609"/>
  <c r="GY112" i="14609"/>
  <c r="GZ112" i="14609"/>
  <c r="HA112" i="14609"/>
  <c r="HB112" i="14609"/>
  <c r="HC112" i="14609"/>
  <c r="HD112" i="14609"/>
  <c r="HE112" i="14609"/>
  <c r="HF112" i="14609"/>
  <c r="HG112" i="14609"/>
  <c r="HH112" i="14609"/>
  <c r="HI112" i="14609"/>
  <c r="HJ112" i="14609"/>
  <c r="HK112" i="14609"/>
  <c r="HL112" i="14609"/>
  <c r="HM112" i="14609"/>
  <c r="HN112" i="14609"/>
  <c r="HO112" i="14609"/>
  <c r="HP112" i="14609"/>
  <c r="HQ112" i="14609"/>
  <c r="HR112" i="14609"/>
  <c r="HS112" i="14609"/>
  <c r="HT112" i="14609"/>
  <c r="HU112" i="14609"/>
  <c r="HV112" i="14609"/>
  <c r="HW112" i="14609"/>
  <c r="HX112" i="14609"/>
  <c r="HY112" i="14609"/>
  <c r="HZ112" i="14609"/>
  <c r="IA112" i="14609"/>
  <c r="IB112" i="14609"/>
  <c r="IC112" i="14609"/>
  <c r="ID112" i="14609"/>
  <c r="IE112" i="14609"/>
  <c r="IF112" i="14609"/>
  <c r="IG112" i="14609"/>
  <c r="IH112" i="14609"/>
  <c r="II112" i="14609"/>
  <c r="IJ112" i="14609"/>
  <c r="IK112" i="14609"/>
  <c r="IL112" i="14609"/>
  <c r="IM112" i="14609"/>
  <c r="IN112" i="14609"/>
  <c r="IO112" i="14609"/>
  <c r="IP112" i="14609"/>
  <c r="IQ112" i="14609"/>
  <c r="IR112" i="14609"/>
  <c r="IS112" i="14609"/>
  <c r="IT112" i="14609"/>
  <c r="IU112" i="14609"/>
  <c r="IV112" i="14609"/>
  <c r="A111" i="14609"/>
  <c r="B111" i="14609"/>
  <c r="C111" i="14609"/>
  <c r="D111" i="14609"/>
  <c r="E111" i="14609"/>
  <c r="F111" i="14609"/>
  <c r="G111" i="14609"/>
  <c r="H111" i="14609"/>
  <c r="I111" i="14609"/>
  <c r="J111" i="14609"/>
  <c r="K111" i="14609"/>
  <c r="L111" i="14609"/>
  <c r="M111" i="14609"/>
  <c r="N111" i="14609"/>
  <c r="O111" i="14609"/>
  <c r="P111" i="14609"/>
  <c r="Q111" i="14609"/>
  <c r="R111" i="14609"/>
  <c r="S111" i="14609"/>
  <c r="T111" i="14609"/>
  <c r="U111" i="14609"/>
  <c r="V111" i="14609"/>
  <c r="W111" i="14609"/>
  <c r="X111" i="14609"/>
  <c r="Y111" i="14609"/>
  <c r="Z111" i="14609"/>
  <c r="AA111" i="14609"/>
  <c r="AB111" i="14609"/>
  <c r="AC111" i="14609"/>
  <c r="AD111" i="14609"/>
  <c r="AE111" i="14609"/>
  <c r="AF111" i="14609"/>
  <c r="AG111" i="14609"/>
  <c r="AH111" i="14609"/>
  <c r="AI111" i="14609"/>
  <c r="AJ111" i="14609"/>
  <c r="AK111" i="14609"/>
  <c r="AL111" i="14609"/>
  <c r="AM111" i="14609"/>
  <c r="AN111" i="14609"/>
  <c r="AO111" i="14609"/>
  <c r="AP111" i="14609"/>
  <c r="AQ111" i="14609"/>
  <c r="AR111" i="14609"/>
  <c r="AS111" i="14609"/>
  <c r="AT111" i="14609"/>
  <c r="AU111" i="14609"/>
  <c r="AV111" i="14609"/>
  <c r="AW111" i="14609"/>
  <c r="AX111" i="14609"/>
  <c r="AY111" i="14609"/>
  <c r="AZ111" i="14609"/>
  <c r="BA111" i="14609"/>
  <c r="BB111" i="14609"/>
  <c r="BC111" i="14609"/>
  <c r="BD111" i="14609"/>
  <c r="BE111" i="14609"/>
  <c r="BF111" i="14609"/>
  <c r="BG111" i="14609"/>
  <c r="BH111" i="14609"/>
  <c r="BI111" i="14609"/>
  <c r="BJ111" i="14609"/>
  <c r="BK111" i="14609"/>
  <c r="BL111" i="14609"/>
  <c r="BM111" i="14609"/>
  <c r="BN111" i="14609"/>
  <c r="BO111" i="14609"/>
  <c r="BP111" i="14609"/>
  <c r="BQ111" i="14609"/>
  <c r="BR111" i="14609"/>
  <c r="BS111" i="14609"/>
  <c r="BT111" i="14609"/>
  <c r="BU111" i="14609"/>
  <c r="BV111" i="14609"/>
  <c r="BW111" i="14609"/>
  <c r="BX111" i="14609"/>
  <c r="BY111" i="14609"/>
  <c r="BZ111" i="14609"/>
  <c r="CA111" i="14609"/>
  <c r="CB111" i="14609"/>
  <c r="CC111" i="14609"/>
  <c r="CD111" i="14609"/>
  <c r="CE111" i="14609"/>
  <c r="CF111" i="14609"/>
  <c r="CG111" i="14609"/>
  <c r="CH111" i="14609"/>
  <c r="CI111" i="14609"/>
  <c r="CJ111" i="14609"/>
  <c r="CK111" i="14609"/>
  <c r="CL111" i="14609"/>
  <c r="CM111" i="14609"/>
  <c r="CN111" i="14609"/>
  <c r="CO111" i="14609"/>
  <c r="CP111" i="14609"/>
  <c r="CQ111" i="14609"/>
  <c r="CR111" i="14609"/>
  <c r="CS111" i="14609"/>
  <c r="CT111" i="14609"/>
  <c r="CU111" i="14609"/>
  <c r="CV111" i="14609"/>
  <c r="CW111" i="14609"/>
  <c r="CX111" i="14609"/>
  <c r="CY111" i="14609"/>
  <c r="CZ111" i="14609"/>
  <c r="DA111" i="14609"/>
  <c r="DB111" i="14609"/>
  <c r="DC111" i="14609"/>
  <c r="DD111" i="14609"/>
  <c r="DE111" i="14609"/>
  <c r="DF111" i="14609"/>
  <c r="DG111" i="14609"/>
  <c r="DH111" i="14609"/>
  <c r="DI111" i="14609"/>
  <c r="DJ111" i="14609"/>
  <c r="DK111" i="14609"/>
  <c r="DL111" i="14609"/>
  <c r="DM111" i="14609"/>
  <c r="DN111" i="14609"/>
  <c r="DO111" i="14609"/>
  <c r="DP111" i="14609"/>
  <c r="DQ111" i="14609"/>
  <c r="DR111" i="14609"/>
  <c r="DS111" i="14609"/>
  <c r="DT111" i="14609"/>
  <c r="DU111" i="14609"/>
  <c r="DV111" i="14609"/>
  <c r="DW111" i="14609"/>
  <c r="DX111" i="14609"/>
  <c r="DY111" i="14609"/>
  <c r="DZ111" i="14609"/>
  <c r="EA111" i="14609"/>
  <c r="EB111" i="14609"/>
  <c r="EC111" i="14609"/>
  <c r="ED111" i="14609"/>
  <c r="EE111" i="14609"/>
  <c r="EF111" i="14609"/>
  <c r="EG111" i="14609"/>
  <c r="EH111" i="14609"/>
  <c r="EI111" i="14609"/>
  <c r="EJ111" i="14609"/>
  <c r="EK111" i="14609"/>
  <c r="EL111" i="14609"/>
  <c r="EM111" i="14609"/>
  <c r="EN111" i="14609"/>
  <c r="EO111" i="14609"/>
  <c r="EP111" i="14609"/>
  <c r="EQ111" i="14609"/>
  <c r="ER111" i="14609"/>
  <c r="ES111" i="14609"/>
  <c r="ET111" i="14609"/>
  <c r="EU111" i="14609"/>
  <c r="EV111" i="14609"/>
  <c r="EW111" i="14609"/>
  <c r="EX111" i="14609"/>
  <c r="EY111" i="14609"/>
  <c r="EZ111" i="14609"/>
  <c r="FA111" i="14609"/>
  <c r="FB111" i="14609"/>
  <c r="FC111" i="14609"/>
  <c r="FD111" i="14609"/>
  <c r="FE111" i="14609"/>
  <c r="FF111" i="14609"/>
  <c r="FG111" i="14609"/>
  <c r="FH111" i="14609"/>
  <c r="FI111" i="14609"/>
  <c r="FJ111" i="14609"/>
  <c r="FK111" i="14609"/>
  <c r="FL111" i="14609"/>
  <c r="FM111" i="14609"/>
  <c r="FN111" i="14609"/>
  <c r="FO111" i="14609"/>
  <c r="FP111" i="14609"/>
  <c r="FQ111" i="14609"/>
  <c r="FR111" i="14609"/>
  <c r="FS111" i="14609"/>
  <c r="FT111" i="14609"/>
  <c r="FU111" i="14609"/>
  <c r="FV111" i="14609"/>
  <c r="FW111" i="14609"/>
  <c r="FX111" i="14609"/>
  <c r="FY111" i="14609"/>
  <c r="FZ111" i="14609"/>
  <c r="GA111" i="14609"/>
  <c r="GB111" i="14609"/>
  <c r="GC111" i="14609"/>
  <c r="GD111" i="14609"/>
  <c r="GE111" i="14609"/>
  <c r="GF111" i="14609"/>
  <c r="GG111" i="14609"/>
  <c r="GH111" i="14609"/>
  <c r="GI111" i="14609"/>
  <c r="GJ111" i="14609"/>
  <c r="GK111" i="14609"/>
  <c r="GL111" i="14609"/>
  <c r="GM111" i="14609"/>
  <c r="GN111" i="14609"/>
  <c r="GO111" i="14609"/>
  <c r="GP111" i="14609"/>
  <c r="GQ111" i="14609"/>
  <c r="GR111" i="14609"/>
  <c r="GS111" i="14609"/>
  <c r="GT111" i="14609"/>
  <c r="GU111" i="14609"/>
  <c r="GV111" i="14609"/>
  <c r="GW111" i="14609"/>
  <c r="GX111" i="14609"/>
  <c r="GY111" i="14609"/>
  <c r="GZ111" i="14609"/>
  <c r="HA111" i="14609"/>
  <c r="HB111" i="14609"/>
  <c r="HC111" i="14609"/>
  <c r="HD111" i="14609"/>
  <c r="HE111" i="14609"/>
  <c r="HF111" i="14609"/>
  <c r="HG111" i="14609"/>
  <c r="HH111" i="14609"/>
  <c r="HI111" i="14609"/>
  <c r="HJ111" i="14609"/>
  <c r="HK111" i="14609"/>
  <c r="HL111" i="14609"/>
  <c r="HM111" i="14609"/>
  <c r="HN111" i="14609"/>
  <c r="HO111" i="14609"/>
  <c r="HP111" i="14609"/>
  <c r="HQ111" i="14609"/>
  <c r="HR111" i="14609"/>
  <c r="HS111" i="14609"/>
  <c r="HT111" i="14609"/>
  <c r="HU111" i="14609"/>
  <c r="HV111" i="14609"/>
  <c r="HW111" i="14609"/>
  <c r="HX111" i="14609"/>
  <c r="HY111" i="14609"/>
  <c r="HZ111" i="14609"/>
  <c r="IA111" i="14609"/>
  <c r="IB111" i="14609"/>
  <c r="IC111" i="14609"/>
  <c r="ID111" i="14609"/>
  <c r="IE111" i="14609"/>
  <c r="IF111" i="14609"/>
  <c r="IG111" i="14609"/>
  <c r="IH111" i="14609"/>
  <c r="II111" i="14609"/>
  <c r="IJ111" i="14609"/>
  <c r="IK111" i="14609"/>
  <c r="IL111" i="14609"/>
  <c r="IM111" i="14609"/>
  <c r="IN111" i="14609"/>
  <c r="IO111" i="14609"/>
  <c r="IP111" i="14609"/>
  <c r="IQ111" i="14609"/>
  <c r="IR111" i="14609"/>
  <c r="IS111" i="14609"/>
  <c r="IT111" i="14609"/>
  <c r="IU111" i="14609"/>
  <c r="IV111" i="14609"/>
  <c r="A110" i="14609"/>
  <c r="B110" i="14609"/>
  <c r="C110" i="14609"/>
  <c r="D110" i="14609"/>
  <c r="E110" i="14609"/>
  <c r="F110" i="14609"/>
  <c r="G110" i="14609"/>
  <c r="H110" i="14609"/>
  <c r="I110" i="14609"/>
  <c r="J110" i="14609"/>
  <c r="K110" i="14609"/>
  <c r="L110" i="14609"/>
  <c r="M110" i="14609"/>
  <c r="N110" i="14609"/>
  <c r="O110" i="14609"/>
  <c r="P110" i="14609"/>
  <c r="Q110" i="14609"/>
  <c r="R110" i="14609"/>
  <c r="S110" i="14609"/>
  <c r="T110" i="14609"/>
  <c r="U110" i="14609"/>
  <c r="V110" i="14609"/>
  <c r="W110" i="14609"/>
  <c r="X110" i="14609"/>
  <c r="Y110" i="14609"/>
  <c r="Z110" i="14609"/>
  <c r="AA110" i="14609"/>
  <c r="AB110" i="14609"/>
  <c r="AC110" i="14609"/>
  <c r="AD110" i="14609"/>
  <c r="AE110" i="14609"/>
  <c r="AF110" i="14609"/>
  <c r="AG110" i="14609"/>
  <c r="AH110" i="14609"/>
  <c r="AI110" i="14609"/>
  <c r="AJ110" i="14609"/>
  <c r="AK110" i="14609"/>
  <c r="AL110" i="14609"/>
  <c r="AM110" i="14609"/>
  <c r="AN110" i="14609"/>
  <c r="AO110" i="14609"/>
  <c r="AP110" i="14609"/>
  <c r="AS110" i="14609"/>
  <c r="AT110" i="14609"/>
  <c r="AU110" i="14609"/>
  <c r="AV110" i="14609"/>
  <c r="AW110" i="14609"/>
  <c r="AX110" i="14609"/>
  <c r="AY110" i="14609"/>
  <c r="AZ110" i="14609"/>
  <c r="BA110" i="14609"/>
  <c r="BB110" i="14609"/>
  <c r="BC110" i="14609"/>
  <c r="BD110" i="14609"/>
  <c r="BE110" i="14609"/>
  <c r="BF110" i="14609"/>
  <c r="BG110" i="14609"/>
  <c r="BH110" i="14609"/>
  <c r="BI110" i="14609"/>
  <c r="BJ110" i="14609"/>
  <c r="BK110" i="14609"/>
  <c r="BL110" i="14609"/>
  <c r="BM110" i="14609"/>
  <c r="BN110" i="14609"/>
  <c r="BO110" i="14609"/>
  <c r="BP110" i="14609"/>
  <c r="BQ110" i="14609"/>
  <c r="BR110" i="14609"/>
  <c r="BS110" i="14609"/>
  <c r="BT110" i="14609"/>
  <c r="BU110" i="14609"/>
  <c r="BV110" i="14609"/>
  <c r="BW110" i="14609"/>
  <c r="BX110" i="14609"/>
  <c r="BY110" i="14609"/>
  <c r="BZ110" i="14609"/>
  <c r="CA110" i="14609"/>
  <c r="CB110" i="14609"/>
  <c r="CC110" i="14609"/>
  <c r="CD110" i="14609"/>
  <c r="CH110" i="14609"/>
  <c r="CI110" i="14609"/>
  <c r="CJ110" i="14609"/>
  <c r="CK110" i="14609"/>
  <c r="CL110" i="14609"/>
  <c r="CM110" i="14609"/>
  <c r="CN110" i="14609"/>
  <c r="CO110" i="14609"/>
  <c r="CP110" i="14609"/>
  <c r="CQ110" i="14609"/>
  <c r="CR110" i="14609"/>
  <c r="CS110" i="14609"/>
  <c r="CT110" i="14609"/>
  <c r="CU110" i="14609"/>
  <c r="CV110" i="14609"/>
  <c r="CW110" i="14609"/>
  <c r="CX110" i="14609"/>
  <c r="CY110" i="14609"/>
  <c r="CZ110" i="14609"/>
  <c r="DB110" i="14609"/>
  <c r="DC110" i="14609"/>
  <c r="DD110" i="14609"/>
  <c r="DE110" i="14609"/>
  <c r="DF110" i="14609"/>
  <c r="DG110" i="14609"/>
  <c r="DH110" i="14609"/>
  <c r="DI110" i="14609"/>
  <c r="DJ110" i="14609"/>
  <c r="DK110" i="14609"/>
  <c r="DL110" i="14609"/>
  <c r="DM110" i="14609"/>
  <c r="DN110" i="14609"/>
  <c r="DO110" i="14609"/>
  <c r="DP110" i="14609"/>
  <c r="DQ110" i="14609"/>
  <c r="DR110" i="14609"/>
  <c r="DS110" i="14609"/>
  <c r="DT110" i="14609"/>
  <c r="DU110" i="14609"/>
  <c r="DV110" i="14609"/>
  <c r="DW110" i="14609"/>
  <c r="DX110" i="14609"/>
  <c r="DY110" i="14609"/>
  <c r="DZ110" i="14609"/>
  <c r="EA110" i="14609"/>
  <c r="EB110" i="14609"/>
  <c r="EC110" i="14609"/>
  <c r="ED110" i="14609"/>
  <c r="EE110" i="14609"/>
  <c r="EF110" i="14609"/>
  <c r="EG110" i="14609"/>
  <c r="EH110" i="14609"/>
  <c r="EI110" i="14609"/>
  <c r="EJ110" i="14609"/>
  <c r="EK110" i="14609"/>
  <c r="EL110" i="14609"/>
  <c r="EM110" i="14609"/>
  <c r="EN110" i="14609"/>
  <c r="EO110" i="14609"/>
  <c r="EP110" i="14609"/>
  <c r="EQ110" i="14609"/>
  <c r="ER110" i="14609"/>
  <c r="ES110" i="14609"/>
  <c r="ET110" i="14609"/>
  <c r="EU110" i="14609"/>
  <c r="EV110" i="14609"/>
  <c r="EW110" i="14609"/>
  <c r="EX110" i="14609"/>
  <c r="EY110" i="14609"/>
  <c r="EZ110" i="14609"/>
  <c r="FA110" i="14609"/>
  <c r="FB110" i="14609"/>
  <c r="FC110" i="14609"/>
  <c r="FD110" i="14609"/>
  <c r="FE110" i="14609"/>
  <c r="FF110" i="14609"/>
  <c r="FG110" i="14609"/>
  <c r="FH110" i="14609"/>
  <c r="FI110" i="14609"/>
  <c r="FJ110" i="14609"/>
  <c r="FK110" i="14609"/>
  <c r="FL110" i="14609"/>
  <c r="FM110" i="14609"/>
  <c r="FN110" i="14609"/>
  <c r="FO110" i="14609"/>
  <c r="FP110" i="14609"/>
  <c r="FQ110" i="14609"/>
  <c r="FR110" i="14609"/>
  <c r="FS110" i="14609"/>
  <c r="FT110" i="14609"/>
  <c r="FU110" i="14609"/>
  <c r="FV110" i="14609"/>
  <c r="FW110" i="14609"/>
  <c r="FX110" i="14609"/>
  <c r="FY110" i="14609"/>
  <c r="FZ110" i="14609"/>
  <c r="GA110" i="14609"/>
  <c r="GB110" i="14609"/>
  <c r="GC110" i="14609"/>
  <c r="GD110" i="14609"/>
  <c r="GE110" i="14609"/>
  <c r="GF110" i="14609"/>
  <c r="GG110" i="14609"/>
  <c r="GH110" i="14609"/>
  <c r="GI110" i="14609"/>
  <c r="GJ110" i="14609"/>
  <c r="GK110" i="14609"/>
  <c r="GL110" i="14609"/>
  <c r="GM110" i="14609"/>
  <c r="GN110" i="14609"/>
  <c r="GO110" i="14609"/>
  <c r="GP110" i="14609"/>
  <c r="GQ110" i="14609"/>
  <c r="GR110" i="14609"/>
  <c r="GS110" i="14609"/>
  <c r="GT110" i="14609"/>
  <c r="GU110" i="14609"/>
  <c r="GV110" i="14609"/>
  <c r="GW110" i="14609"/>
  <c r="GX110" i="14609"/>
  <c r="GY110" i="14609"/>
  <c r="GZ110" i="14609"/>
  <c r="HA110" i="14609"/>
  <c r="HB110" i="14609"/>
  <c r="HC110" i="14609"/>
  <c r="HD110" i="14609"/>
  <c r="HE110" i="14609"/>
  <c r="HF110" i="14609"/>
  <c r="HG110" i="14609"/>
  <c r="HH110" i="14609"/>
  <c r="HI110" i="14609"/>
  <c r="HJ110" i="14609"/>
  <c r="HK110" i="14609"/>
  <c r="HL110" i="14609"/>
  <c r="HM110" i="14609"/>
  <c r="HN110" i="14609"/>
  <c r="HO110" i="14609"/>
  <c r="HP110" i="14609"/>
  <c r="HQ110" i="14609"/>
  <c r="HR110" i="14609"/>
  <c r="HS110" i="14609"/>
  <c r="HT110" i="14609"/>
  <c r="HU110" i="14609"/>
  <c r="HV110" i="14609"/>
  <c r="HW110" i="14609"/>
  <c r="HX110" i="14609"/>
  <c r="HY110" i="14609"/>
  <c r="HZ110" i="14609"/>
  <c r="IA110" i="14609"/>
  <c r="IB110" i="14609"/>
  <c r="IC110" i="14609"/>
  <c r="ID110" i="14609"/>
  <c r="IE110" i="14609"/>
  <c r="IF110" i="14609"/>
  <c r="IG110" i="14609"/>
  <c r="IH110" i="14609"/>
  <c r="II110" i="14609"/>
  <c r="IJ110" i="14609"/>
  <c r="IK110" i="14609"/>
  <c r="IL110" i="14609"/>
  <c r="IM110" i="14609"/>
  <c r="IN110" i="14609"/>
  <c r="IO110" i="14609"/>
  <c r="IP110" i="14609"/>
  <c r="IQ110" i="14609"/>
  <c r="IR110" i="14609"/>
  <c r="IS110" i="14609"/>
  <c r="IT110" i="14609"/>
  <c r="IU110" i="14609"/>
  <c r="IV110" i="14609"/>
  <c r="A109" i="14609"/>
  <c r="B109" i="14609"/>
  <c r="C109" i="14609"/>
  <c r="D109" i="14609"/>
  <c r="E109" i="14609"/>
  <c r="F109" i="14609"/>
  <c r="G109" i="14609"/>
  <c r="H109" i="14609"/>
  <c r="I109" i="14609"/>
  <c r="J109" i="14609"/>
  <c r="K109" i="14609"/>
  <c r="L109" i="14609"/>
  <c r="M109" i="14609"/>
  <c r="N109" i="14609"/>
  <c r="O109" i="14609"/>
  <c r="P109" i="14609"/>
  <c r="Q109" i="14609"/>
  <c r="R109" i="14609"/>
  <c r="S109" i="14609"/>
  <c r="T109" i="14609"/>
  <c r="U109" i="14609"/>
  <c r="V109" i="14609"/>
  <c r="W109" i="14609"/>
  <c r="X109" i="14609"/>
  <c r="Y109" i="14609"/>
  <c r="Z109" i="14609"/>
  <c r="AA109" i="14609"/>
  <c r="AB109" i="14609"/>
  <c r="AC109" i="14609"/>
  <c r="AD109" i="14609"/>
  <c r="AE109" i="14609"/>
  <c r="AF109" i="14609"/>
  <c r="AG109" i="14609"/>
  <c r="AH109" i="14609"/>
  <c r="AI109" i="14609"/>
  <c r="AJ109" i="14609"/>
  <c r="AK109" i="14609"/>
  <c r="AL109" i="14609"/>
  <c r="AM109" i="14609"/>
  <c r="AN109" i="14609"/>
  <c r="AO109" i="14609"/>
  <c r="AP109" i="14609"/>
  <c r="AQ109" i="14609"/>
  <c r="AR109" i="14609"/>
  <c r="AS109" i="14609"/>
  <c r="AT109" i="14609"/>
  <c r="AU109" i="14609"/>
  <c r="AV109" i="14609"/>
  <c r="AW109" i="14609"/>
  <c r="AX109" i="14609"/>
  <c r="AY109" i="14609"/>
  <c r="AZ109" i="14609"/>
  <c r="BA109" i="14609"/>
  <c r="BB109" i="14609"/>
  <c r="BC109" i="14609"/>
  <c r="BD109" i="14609"/>
  <c r="BE109" i="14609"/>
  <c r="BF109" i="14609"/>
  <c r="BG109" i="14609"/>
  <c r="BH109" i="14609"/>
  <c r="BI109" i="14609"/>
  <c r="BJ109" i="14609"/>
  <c r="BK109" i="14609"/>
  <c r="BL109" i="14609"/>
  <c r="BM109" i="14609"/>
  <c r="BN109" i="14609"/>
  <c r="BO109" i="14609"/>
  <c r="BP109" i="14609"/>
  <c r="BQ109" i="14609"/>
  <c r="BR109" i="14609"/>
  <c r="BS109" i="14609"/>
  <c r="BT109" i="14609"/>
  <c r="BU109" i="14609"/>
  <c r="BV109" i="14609"/>
  <c r="BW109" i="14609"/>
  <c r="BX109" i="14609"/>
  <c r="BY109" i="14609"/>
  <c r="BZ109" i="14609"/>
  <c r="CA109" i="14609"/>
  <c r="CB109" i="14609"/>
  <c r="CC109" i="14609"/>
  <c r="CD109" i="14609"/>
  <c r="CE109" i="14609"/>
  <c r="CF109" i="14609"/>
  <c r="CG109" i="14609"/>
  <c r="CH109" i="14609"/>
  <c r="CI109" i="14609"/>
  <c r="CJ109" i="14609"/>
  <c r="CK109" i="14609"/>
  <c r="CL109" i="14609"/>
  <c r="CM109" i="14609"/>
  <c r="CN109" i="14609"/>
  <c r="CO109" i="14609"/>
  <c r="CP109" i="14609"/>
  <c r="CQ109" i="14609"/>
  <c r="CR109" i="14609"/>
  <c r="CS109" i="14609"/>
  <c r="CT109" i="14609"/>
  <c r="CU109" i="14609"/>
  <c r="CV109" i="14609"/>
  <c r="CW109" i="14609"/>
  <c r="CX109" i="14609"/>
  <c r="CY109" i="14609"/>
  <c r="CZ109" i="14609"/>
  <c r="DA109" i="14609"/>
  <c r="DB109" i="14609"/>
  <c r="DC109" i="14609"/>
  <c r="DD109" i="14609"/>
  <c r="DE109" i="14609"/>
  <c r="DF109" i="14609"/>
  <c r="DG109" i="14609"/>
  <c r="DH109" i="14609"/>
  <c r="DI109" i="14609"/>
  <c r="DJ109" i="14609"/>
  <c r="DK109" i="14609"/>
  <c r="DL109" i="14609"/>
  <c r="DM109" i="14609"/>
  <c r="DN109" i="14609"/>
  <c r="DO109" i="14609"/>
  <c r="DP109" i="14609"/>
  <c r="DQ109" i="14609"/>
  <c r="DR109" i="14609"/>
  <c r="DS109" i="14609"/>
  <c r="DT109" i="14609"/>
  <c r="DU109" i="14609"/>
  <c r="DV109" i="14609"/>
  <c r="DW109" i="14609"/>
  <c r="DX109" i="14609"/>
  <c r="DY109" i="14609"/>
  <c r="DZ109" i="14609"/>
  <c r="EA109" i="14609"/>
  <c r="EB109" i="14609"/>
  <c r="EC109" i="14609"/>
  <c r="ED109" i="14609"/>
  <c r="EE109" i="14609"/>
  <c r="EF109" i="14609"/>
  <c r="EG109" i="14609"/>
  <c r="EH109" i="14609"/>
  <c r="EI109" i="14609"/>
  <c r="EJ109" i="14609"/>
  <c r="EK109" i="14609"/>
  <c r="EL109" i="14609"/>
  <c r="EM109" i="14609"/>
  <c r="EN109" i="14609"/>
  <c r="EO109" i="14609"/>
  <c r="EP109" i="14609"/>
  <c r="EQ109" i="14609"/>
  <c r="ER109" i="14609"/>
  <c r="ES109" i="14609"/>
  <c r="ET109" i="14609"/>
  <c r="EU109" i="14609"/>
  <c r="EV109" i="14609"/>
  <c r="EW109" i="14609"/>
  <c r="EX109" i="14609"/>
  <c r="EY109" i="14609"/>
  <c r="EZ109" i="14609"/>
  <c r="FA109" i="14609"/>
  <c r="FB109" i="14609"/>
  <c r="FC109" i="14609"/>
  <c r="FD109" i="14609"/>
  <c r="FE109" i="14609"/>
  <c r="FF109" i="14609"/>
  <c r="FG109" i="14609"/>
  <c r="FH109" i="14609"/>
  <c r="FI109" i="14609"/>
  <c r="FJ109" i="14609"/>
  <c r="FK109" i="14609"/>
  <c r="FL109" i="14609"/>
  <c r="FM109" i="14609"/>
  <c r="FN109" i="14609"/>
  <c r="FO109" i="14609"/>
  <c r="FP109" i="14609"/>
  <c r="FQ109" i="14609"/>
  <c r="FR109" i="14609"/>
  <c r="FS109" i="14609"/>
  <c r="FT109" i="14609"/>
  <c r="FU109" i="14609"/>
  <c r="FV109" i="14609"/>
  <c r="FW109" i="14609"/>
  <c r="FX109" i="14609"/>
  <c r="FY109" i="14609"/>
  <c r="FZ109" i="14609"/>
  <c r="GA109" i="14609"/>
  <c r="GB109" i="14609"/>
  <c r="GC109" i="14609"/>
  <c r="GD109" i="14609"/>
  <c r="GE109" i="14609"/>
  <c r="GF109" i="14609"/>
  <c r="GG109" i="14609"/>
  <c r="GH109" i="14609"/>
  <c r="GI109" i="14609"/>
  <c r="GJ109" i="14609"/>
  <c r="GK109" i="14609"/>
  <c r="GL109" i="14609"/>
  <c r="GM109" i="14609"/>
  <c r="GN109" i="14609"/>
  <c r="GO109" i="14609"/>
  <c r="GP109" i="14609"/>
  <c r="GQ109" i="14609"/>
  <c r="GR109" i="14609"/>
  <c r="GS109" i="14609"/>
  <c r="GT109" i="14609"/>
  <c r="GU109" i="14609"/>
  <c r="GV109" i="14609"/>
  <c r="GW109" i="14609"/>
  <c r="GX109" i="14609"/>
  <c r="GY109" i="14609"/>
  <c r="GZ109" i="14609"/>
  <c r="HA109" i="14609"/>
  <c r="HB109" i="14609"/>
  <c r="HC109" i="14609"/>
  <c r="HD109" i="14609"/>
  <c r="HE109" i="14609"/>
  <c r="HF109" i="14609"/>
  <c r="HG109" i="14609"/>
  <c r="HH109" i="14609"/>
  <c r="HI109" i="14609"/>
  <c r="HJ109" i="14609"/>
  <c r="HK109" i="14609"/>
  <c r="HL109" i="14609"/>
  <c r="HM109" i="14609"/>
  <c r="HN109" i="14609"/>
  <c r="HO109" i="14609"/>
  <c r="HP109" i="14609"/>
  <c r="HQ109" i="14609"/>
  <c r="HR109" i="14609"/>
  <c r="HS109" i="14609"/>
  <c r="HT109" i="14609"/>
  <c r="HU109" i="14609"/>
  <c r="HV109" i="14609"/>
  <c r="HW109" i="14609"/>
  <c r="HX109" i="14609"/>
  <c r="HY109" i="14609"/>
  <c r="HZ109" i="14609"/>
  <c r="IA109" i="14609"/>
  <c r="IB109" i="14609"/>
  <c r="IC109" i="14609"/>
  <c r="ID109" i="14609"/>
  <c r="IE109" i="14609"/>
  <c r="IF109" i="14609"/>
  <c r="IG109" i="14609"/>
  <c r="IH109" i="14609"/>
  <c r="II109" i="14609"/>
  <c r="IJ109" i="14609"/>
  <c r="IK109" i="14609"/>
  <c r="IL109" i="14609"/>
  <c r="IM109" i="14609"/>
  <c r="IN109" i="14609"/>
  <c r="IO109" i="14609"/>
  <c r="IP109" i="14609"/>
  <c r="IQ109" i="14609"/>
  <c r="IR109" i="14609"/>
  <c r="IS109" i="14609"/>
  <c r="IT109" i="14609"/>
  <c r="IU109" i="14609"/>
  <c r="IV109" i="14609"/>
  <c r="A108" i="14609"/>
  <c r="B108" i="14609"/>
  <c r="C108" i="14609"/>
  <c r="D108" i="14609"/>
  <c r="E108" i="14609"/>
  <c r="F108" i="14609"/>
  <c r="G108" i="14609"/>
  <c r="H108" i="14609"/>
  <c r="I108" i="14609"/>
  <c r="J108" i="14609"/>
  <c r="K108" i="14609"/>
  <c r="L108" i="14609"/>
  <c r="M108" i="14609"/>
  <c r="N108" i="14609"/>
  <c r="O108" i="14609"/>
  <c r="P108" i="14609"/>
  <c r="Q108" i="14609"/>
  <c r="R108" i="14609"/>
  <c r="S108" i="14609"/>
  <c r="T108" i="14609"/>
  <c r="U108" i="14609"/>
  <c r="V108" i="14609"/>
  <c r="W108" i="14609"/>
  <c r="X108" i="14609"/>
  <c r="Y108" i="14609"/>
  <c r="Z108" i="14609"/>
  <c r="AA108" i="14609"/>
  <c r="AB108" i="14609"/>
  <c r="AC108" i="14609"/>
  <c r="AD108" i="14609"/>
  <c r="AE108" i="14609"/>
  <c r="AF108" i="14609"/>
  <c r="AG108" i="14609"/>
  <c r="AH108" i="14609"/>
  <c r="AI108" i="14609"/>
  <c r="AJ108" i="14609"/>
  <c r="AK108" i="14609"/>
  <c r="AL108" i="14609"/>
  <c r="AM108" i="14609"/>
  <c r="AN108" i="14609"/>
  <c r="AO108" i="14609"/>
  <c r="AP108" i="14609"/>
  <c r="AQ108" i="14609"/>
  <c r="AR108" i="14609"/>
  <c r="AS108" i="14609"/>
  <c r="AT108" i="14609"/>
  <c r="AU108" i="14609"/>
  <c r="AV108" i="14609"/>
  <c r="AW108" i="14609"/>
  <c r="AX108" i="14609"/>
  <c r="AY108" i="14609"/>
  <c r="AZ108" i="14609"/>
  <c r="BA108" i="14609"/>
  <c r="BB108" i="14609"/>
  <c r="BC108" i="14609"/>
  <c r="BD108" i="14609"/>
  <c r="BE108" i="14609"/>
  <c r="BF108" i="14609"/>
  <c r="BG108" i="14609"/>
  <c r="BH108" i="14609"/>
  <c r="BI108" i="14609"/>
  <c r="BJ108" i="14609"/>
  <c r="BK108" i="14609"/>
  <c r="BL108" i="14609"/>
  <c r="BM108" i="14609"/>
  <c r="BN108" i="14609"/>
  <c r="BO108" i="14609"/>
  <c r="BP108" i="14609"/>
  <c r="BQ108" i="14609"/>
  <c r="BR108" i="14609"/>
  <c r="BS108" i="14609"/>
  <c r="BT108" i="14609"/>
  <c r="BU108" i="14609"/>
  <c r="BV108" i="14609"/>
  <c r="BW108" i="14609"/>
  <c r="BX108" i="14609"/>
  <c r="BY108" i="14609"/>
  <c r="BZ108" i="14609"/>
  <c r="CA108" i="14609"/>
  <c r="CB108" i="14609"/>
  <c r="CC108" i="14609"/>
  <c r="CD108" i="14609"/>
  <c r="CE108" i="14609"/>
  <c r="CF108" i="14609"/>
  <c r="CG108" i="14609"/>
  <c r="CH108" i="14609"/>
  <c r="CI108" i="14609"/>
  <c r="CJ108" i="14609"/>
  <c r="CK108" i="14609"/>
  <c r="CL108" i="14609"/>
  <c r="CM108" i="14609"/>
  <c r="CN108" i="14609"/>
  <c r="CO108" i="14609"/>
  <c r="CP108" i="14609"/>
  <c r="CQ108" i="14609"/>
  <c r="CR108" i="14609"/>
  <c r="CS108" i="14609"/>
  <c r="CT108" i="14609"/>
  <c r="CU108" i="14609"/>
  <c r="CV108" i="14609"/>
  <c r="CW108" i="14609"/>
  <c r="CX108" i="14609"/>
  <c r="CY108" i="14609"/>
  <c r="CZ108" i="14609"/>
  <c r="DA108" i="14609"/>
  <c r="DB108" i="14609"/>
  <c r="DC108" i="14609"/>
  <c r="DD108" i="14609"/>
  <c r="DE108" i="14609"/>
  <c r="DF108" i="14609"/>
  <c r="DG108" i="14609"/>
  <c r="DH108" i="14609"/>
  <c r="DI108" i="14609"/>
  <c r="DJ108" i="14609"/>
  <c r="DK108" i="14609"/>
  <c r="DL108" i="14609"/>
  <c r="DM108" i="14609"/>
  <c r="DN108" i="14609"/>
  <c r="DO108" i="14609"/>
  <c r="DP108" i="14609"/>
  <c r="DQ108" i="14609"/>
  <c r="DR108" i="14609"/>
  <c r="DS108" i="14609"/>
  <c r="DT108" i="14609"/>
  <c r="DU108" i="14609"/>
  <c r="DV108" i="14609"/>
  <c r="DW108" i="14609"/>
  <c r="DX108" i="14609"/>
  <c r="DY108" i="14609"/>
  <c r="DZ108" i="14609"/>
  <c r="EA108" i="14609"/>
  <c r="EB108" i="14609"/>
  <c r="EC108" i="14609"/>
  <c r="ED108" i="14609"/>
  <c r="EE108" i="14609"/>
  <c r="EF108" i="14609"/>
  <c r="EG108" i="14609"/>
  <c r="EH108" i="14609"/>
  <c r="EI108" i="14609"/>
  <c r="EJ108" i="14609"/>
  <c r="EK108" i="14609"/>
  <c r="EL108" i="14609"/>
  <c r="EM108" i="14609"/>
  <c r="EN108" i="14609"/>
  <c r="EO108" i="14609"/>
  <c r="EP108" i="14609"/>
  <c r="EQ108" i="14609"/>
  <c r="ER108" i="14609"/>
  <c r="ES108" i="14609"/>
  <c r="ET108" i="14609"/>
  <c r="EU108" i="14609"/>
  <c r="EV108" i="14609"/>
  <c r="EW108" i="14609"/>
  <c r="EX108" i="14609"/>
  <c r="EY108" i="14609"/>
  <c r="EZ108" i="14609"/>
  <c r="FA108" i="14609"/>
  <c r="FB108" i="14609"/>
  <c r="FC108" i="14609"/>
  <c r="FD108" i="14609"/>
  <c r="FE108" i="14609"/>
  <c r="FF108" i="14609"/>
  <c r="FG108" i="14609"/>
  <c r="FH108" i="14609"/>
  <c r="FI108" i="14609"/>
  <c r="FJ108" i="14609"/>
  <c r="FK108" i="14609"/>
  <c r="FL108" i="14609"/>
  <c r="FM108" i="14609"/>
  <c r="FN108" i="14609"/>
  <c r="FO108" i="14609"/>
  <c r="FP108" i="14609"/>
  <c r="FQ108" i="14609"/>
  <c r="FR108" i="14609"/>
  <c r="FS108" i="14609"/>
  <c r="FT108" i="14609"/>
  <c r="FU108" i="14609"/>
  <c r="FV108" i="14609"/>
  <c r="FW108" i="14609"/>
  <c r="FX108" i="14609"/>
  <c r="FY108" i="14609"/>
  <c r="FZ108" i="14609"/>
  <c r="GA108" i="14609"/>
  <c r="GB108" i="14609"/>
  <c r="GC108" i="14609"/>
  <c r="GD108" i="14609"/>
  <c r="GE108" i="14609"/>
  <c r="GF108" i="14609"/>
  <c r="GG108" i="14609"/>
  <c r="GH108" i="14609"/>
  <c r="GI108" i="14609"/>
  <c r="GJ108" i="14609"/>
  <c r="GK108" i="14609"/>
  <c r="GL108" i="14609"/>
  <c r="GM108" i="14609"/>
  <c r="GN108" i="14609"/>
  <c r="GO108" i="14609"/>
  <c r="GP108" i="14609"/>
  <c r="GQ108" i="14609"/>
  <c r="GR108" i="14609"/>
  <c r="GS108" i="14609"/>
  <c r="GT108" i="14609"/>
  <c r="GU108" i="14609"/>
  <c r="GV108" i="14609"/>
  <c r="GW108" i="14609"/>
  <c r="GX108" i="14609"/>
  <c r="GY108" i="14609"/>
  <c r="GZ108" i="14609"/>
  <c r="HA108" i="14609"/>
  <c r="HB108" i="14609"/>
  <c r="HC108" i="14609"/>
  <c r="HD108" i="14609"/>
  <c r="HE108" i="14609"/>
  <c r="HF108" i="14609"/>
  <c r="HG108" i="14609"/>
  <c r="HH108" i="14609"/>
  <c r="HI108" i="14609"/>
  <c r="HJ108" i="14609"/>
  <c r="HK108" i="14609"/>
  <c r="HL108" i="14609"/>
  <c r="HM108" i="14609"/>
  <c r="HN108" i="14609"/>
  <c r="HO108" i="14609"/>
  <c r="HP108" i="14609"/>
  <c r="HQ108" i="14609"/>
  <c r="HR108" i="14609"/>
  <c r="HS108" i="14609"/>
  <c r="HT108" i="14609"/>
  <c r="HU108" i="14609"/>
  <c r="HV108" i="14609"/>
  <c r="HW108" i="14609"/>
  <c r="HX108" i="14609"/>
  <c r="HY108" i="14609"/>
  <c r="HZ108" i="14609"/>
  <c r="IA108" i="14609"/>
  <c r="IB108" i="14609"/>
  <c r="IC108" i="14609"/>
  <c r="ID108" i="14609"/>
  <c r="IE108" i="14609"/>
  <c r="IF108" i="14609"/>
  <c r="IG108" i="14609"/>
  <c r="IH108" i="14609"/>
  <c r="II108" i="14609"/>
  <c r="IJ108" i="14609"/>
  <c r="IK108" i="14609"/>
  <c r="IL108" i="14609"/>
  <c r="IM108" i="14609"/>
  <c r="IN108" i="14609"/>
  <c r="IO108" i="14609"/>
  <c r="IP108" i="14609"/>
  <c r="IQ108" i="14609"/>
  <c r="IR108" i="14609"/>
  <c r="IS108" i="14609"/>
  <c r="IT108" i="14609"/>
  <c r="IU108" i="14609"/>
  <c r="IV108" i="14609"/>
  <c r="A107" i="14609"/>
  <c r="B107" i="14609"/>
  <c r="C107" i="14609"/>
  <c r="D107" i="14609"/>
  <c r="E107" i="14609"/>
  <c r="F107" i="14609"/>
  <c r="G107" i="14609"/>
  <c r="H107" i="14609"/>
  <c r="I107" i="14609"/>
  <c r="J107" i="14609"/>
  <c r="K107" i="14609"/>
  <c r="L107" i="14609"/>
  <c r="M107" i="14609"/>
  <c r="N107" i="14609"/>
  <c r="O107" i="14609"/>
  <c r="P107" i="14609"/>
  <c r="Q107" i="14609"/>
  <c r="R107" i="14609"/>
  <c r="S107" i="14609"/>
  <c r="T107" i="14609"/>
  <c r="U107" i="14609"/>
  <c r="V107" i="14609"/>
  <c r="W107" i="14609"/>
  <c r="X107" i="14609"/>
  <c r="Y107" i="14609"/>
  <c r="Z107" i="14609"/>
  <c r="AA107" i="14609"/>
  <c r="AB107" i="14609"/>
  <c r="AC107" i="14609"/>
  <c r="AD107" i="14609"/>
  <c r="AE107" i="14609"/>
  <c r="AF107" i="14609"/>
  <c r="AG107" i="14609"/>
  <c r="AH107" i="14609"/>
  <c r="AI107" i="14609"/>
  <c r="AJ107" i="14609"/>
  <c r="AK107" i="14609"/>
  <c r="AL107" i="14609"/>
  <c r="AM107" i="14609"/>
  <c r="AN107" i="14609"/>
  <c r="AO107" i="14609"/>
  <c r="AP107" i="14609"/>
  <c r="AQ107" i="14609"/>
  <c r="AR107" i="14609"/>
  <c r="AS107" i="14609"/>
  <c r="AT107" i="14609"/>
  <c r="AU107" i="14609"/>
  <c r="AV107" i="14609"/>
  <c r="AW107" i="14609"/>
  <c r="AX107" i="14609"/>
  <c r="AY107" i="14609"/>
  <c r="AZ107" i="14609"/>
  <c r="BA107" i="14609"/>
  <c r="BB107" i="14609"/>
  <c r="BC107" i="14609"/>
  <c r="BD107" i="14609"/>
  <c r="BE107" i="14609"/>
  <c r="BF107" i="14609"/>
  <c r="BG107" i="14609"/>
  <c r="BH107" i="14609"/>
  <c r="BI107" i="14609"/>
  <c r="BJ107" i="14609"/>
  <c r="BK107" i="14609"/>
  <c r="BL107" i="14609"/>
  <c r="BM107" i="14609"/>
  <c r="BN107" i="14609"/>
  <c r="BO107" i="14609"/>
  <c r="BP107" i="14609"/>
  <c r="BQ107" i="14609"/>
  <c r="BR107" i="14609"/>
  <c r="BS107" i="14609"/>
  <c r="BT107" i="14609"/>
  <c r="BU107" i="14609"/>
  <c r="BV107" i="14609"/>
  <c r="BW107" i="14609"/>
  <c r="BX107" i="14609"/>
  <c r="BY107" i="14609"/>
  <c r="BZ107" i="14609"/>
  <c r="CA107" i="14609"/>
  <c r="CB107" i="14609"/>
  <c r="CC107" i="14609"/>
  <c r="CD107" i="14609"/>
  <c r="CE107" i="14609"/>
  <c r="CF107" i="14609"/>
  <c r="CG107" i="14609"/>
  <c r="CH107" i="14609"/>
  <c r="CI107" i="14609"/>
  <c r="CJ107" i="14609"/>
  <c r="CK107" i="14609"/>
  <c r="CL107" i="14609"/>
  <c r="CM107" i="14609"/>
  <c r="CN107" i="14609"/>
  <c r="CO107" i="14609"/>
  <c r="CP107" i="14609"/>
  <c r="CQ107" i="14609"/>
  <c r="CR107" i="14609"/>
  <c r="CS107" i="14609"/>
  <c r="CT107" i="14609"/>
  <c r="CU107" i="14609"/>
  <c r="CV107" i="14609"/>
  <c r="CW107" i="14609"/>
  <c r="CX107" i="14609"/>
  <c r="CY107" i="14609"/>
  <c r="CZ107" i="14609"/>
  <c r="DA107" i="14609"/>
  <c r="DB107" i="14609"/>
  <c r="DC107" i="14609"/>
  <c r="DD107" i="14609"/>
  <c r="DE107" i="14609"/>
  <c r="DF107" i="14609"/>
  <c r="DG107" i="14609"/>
  <c r="DH107" i="14609"/>
  <c r="DI107" i="14609"/>
  <c r="DJ107" i="14609"/>
  <c r="DK107" i="14609"/>
  <c r="DL107" i="14609"/>
  <c r="DM107" i="14609"/>
  <c r="DN107" i="14609"/>
  <c r="DO107" i="14609"/>
  <c r="DP107" i="14609"/>
  <c r="DQ107" i="14609"/>
  <c r="DR107" i="14609"/>
  <c r="DS107" i="14609"/>
  <c r="DT107" i="14609"/>
  <c r="DU107" i="14609"/>
  <c r="DV107" i="14609"/>
  <c r="DW107" i="14609"/>
  <c r="DX107" i="14609"/>
  <c r="DY107" i="14609"/>
  <c r="DZ107" i="14609"/>
  <c r="EA107" i="14609"/>
  <c r="EB107" i="14609"/>
  <c r="EC107" i="14609"/>
  <c r="ED107" i="14609"/>
  <c r="EE107" i="14609"/>
  <c r="EF107" i="14609"/>
  <c r="EG107" i="14609"/>
  <c r="EH107" i="14609"/>
  <c r="EI107" i="14609"/>
  <c r="EJ107" i="14609"/>
  <c r="EK107" i="14609"/>
  <c r="EL107" i="14609"/>
  <c r="EM107" i="14609"/>
  <c r="EN107" i="14609"/>
  <c r="EO107" i="14609"/>
  <c r="EP107" i="14609"/>
  <c r="EQ107" i="14609"/>
  <c r="ER107" i="14609"/>
  <c r="ES107" i="14609"/>
  <c r="ET107" i="14609"/>
  <c r="EU107" i="14609"/>
  <c r="EV107" i="14609"/>
  <c r="EW107" i="14609"/>
  <c r="EX107" i="14609"/>
  <c r="EY107" i="14609"/>
  <c r="EZ107" i="14609"/>
  <c r="FA107" i="14609"/>
  <c r="FB107" i="14609"/>
  <c r="FC107" i="14609"/>
  <c r="FD107" i="14609"/>
  <c r="FE107" i="14609"/>
  <c r="FF107" i="14609"/>
  <c r="FG107" i="14609"/>
  <c r="FH107" i="14609"/>
  <c r="FI107" i="14609"/>
  <c r="FJ107" i="14609"/>
  <c r="FK107" i="14609"/>
  <c r="FL107" i="14609"/>
  <c r="FM107" i="14609"/>
  <c r="FN107" i="14609"/>
  <c r="FO107" i="14609"/>
  <c r="FP107" i="14609"/>
  <c r="FQ107" i="14609"/>
  <c r="FR107" i="14609"/>
  <c r="FS107" i="14609"/>
  <c r="FT107" i="14609"/>
  <c r="FU107" i="14609"/>
  <c r="FV107" i="14609"/>
  <c r="FW107" i="14609"/>
  <c r="FX107" i="14609"/>
  <c r="FY107" i="14609"/>
  <c r="FZ107" i="14609"/>
  <c r="GA107" i="14609"/>
  <c r="GB107" i="14609"/>
  <c r="GC107" i="14609"/>
  <c r="GD107" i="14609"/>
  <c r="GE107" i="14609"/>
  <c r="GF107" i="14609"/>
  <c r="GG107" i="14609"/>
  <c r="GH107" i="14609"/>
  <c r="GI107" i="14609"/>
  <c r="GJ107" i="14609"/>
  <c r="GK107" i="14609"/>
  <c r="GL107" i="14609"/>
  <c r="GM107" i="14609"/>
  <c r="GN107" i="14609"/>
  <c r="GO107" i="14609"/>
  <c r="GP107" i="14609"/>
  <c r="GQ107" i="14609"/>
  <c r="GR107" i="14609"/>
  <c r="GS107" i="14609"/>
  <c r="GT107" i="14609"/>
  <c r="GU107" i="14609"/>
  <c r="GV107" i="14609"/>
  <c r="GW107" i="14609"/>
  <c r="GX107" i="14609"/>
  <c r="GY107" i="14609"/>
  <c r="GZ107" i="14609"/>
  <c r="HA107" i="14609"/>
  <c r="HB107" i="14609"/>
  <c r="HC107" i="14609"/>
  <c r="HD107" i="14609"/>
  <c r="HE107" i="14609"/>
  <c r="HF107" i="14609"/>
  <c r="HG107" i="14609"/>
  <c r="HH107" i="14609"/>
  <c r="HI107" i="14609"/>
  <c r="HJ107" i="14609"/>
  <c r="HK107" i="14609"/>
  <c r="HL107" i="14609"/>
  <c r="HM107" i="14609"/>
  <c r="HN107" i="14609"/>
  <c r="HO107" i="14609"/>
  <c r="HP107" i="14609"/>
  <c r="HQ107" i="14609"/>
  <c r="HR107" i="14609"/>
  <c r="HS107" i="14609"/>
  <c r="HT107" i="14609"/>
  <c r="HU107" i="14609"/>
  <c r="HV107" i="14609"/>
  <c r="HW107" i="14609"/>
  <c r="HX107" i="14609"/>
  <c r="HY107" i="14609"/>
  <c r="HZ107" i="14609"/>
  <c r="IA107" i="14609"/>
  <c r="IB107" i="14609"/>
  <c r="IC107" i="14609"/>
  <c r="ID107" i="14609"/>
  <c r="IE107" i="14609"/>
  <c r="IF107" i="14609"/>
  <c r="IG107" i="14609"/>
  <c r="IH107" i="14609"/>
  <c r="II107" i="14609"/>
  <c r="IJ107" i="14609"/>
  <c r="IK107" i="14609"/>
  <c r="IL107" i="14609"/>
  <c r="IM107" i="14609"/>
  <c r="IN107" i="14609"/>
  <c r="IO107" i="14609"/>
  <c r="IP107" i="14609"/>
  <c r="IQ107" i="14609"/>
  <c r="IR107" i="14609"/>
  <c r="IS107" i="14609"/>
  <c r="IT107" i="14609"/>
  <c r="IU107" i="14609"/>
  <c r="IV107" i="14609"/>
  <c r="A106" i="14609"/>
  <c r="B106" i="14609"/>
  <c r="C106" i="14609"/>
  <c r="D106" i="14609"/>
  <c r="E106" i="14609"/>
  <c r="F106" i="14609"/>
  <c r="G106" i="14609"/>
  <c r="H106" i="14609"/>
  <c r="I106" i="14609"/>
  <c r="J106" i="14609"/>
  <c r="K106" i="14609"/>
  <c r="L106" i="14609"/>
  <c r="M106" i="14609"/>
  <c r="N106" i="14609"/>
  <c r="O106" i="14609"/>
  <c r="P106" i="14609"/>
  <c r="Q106" i="14609"/>
  <c r="R106" i="14609"/>
  <c r="S106" i="14609"/>
  <c r="T106" i="14609"/>
  <c r="U106" i="14609"/>
  <c r="V106" i="14609"/>
  <c r="W106" i="14609"/>
  <c r="X106" i="14609"/>
  <c r="Y106" i="14609"/>
  <c r="Z106" i="14609"/>
  <c r="AA106" i="14609"/>
  <c r="AB106" i="14609"/>
  <c r="AC106" i="14609"/>
  <c r="AD106" i="14609"/>
  <c r="AE106" i="14609"/>
  <c r="AF106" i="14609"/>
  <c r="AG106" i="14609"/>
  <c r="AH106" i="14609"/>
  <c r="AI106" i="14609"/>
  <c r="AJ106" i="14609"/>
  <c r="AK106" i="14609"/>
  <c r="AL106" i="14609"/>
  <c r="AM106" i="14609"/>
  <c r="AN106" i="14609"/>
  <c r="AO106" i="14609"/>
  <c r="AP106" i="14609"/>
  <c r="AQ106" i="14609"/>
  <c r="AR106" i="14609"/>
  <c r="AS106" i="14609"/>
  <c r="AT106" i="14609"/>
  <c r="AU106" i="14609"/>
  <c r="AV106" i="14609"/>
  <c r="AW106" i="14609"/>
  <c r="AX106" i="14609"/>
  <c r="AY106" i="14609"/>
  <c r="AZ106" i="14609"/>
  <c r="BA106" i="14609"/>
  <c r="BB106" i="14609"/>
  <c r="BC106" i="14609"/>
  <c r="BD106" i="14609"/>
  <c r="BE106" i="14609"/>
  <c r="BF106" i="14609"/>
  <c r="BG106" i="14609"/>
  <c r="BH106" i="14609"/>
  <c r="BI106" i="14609"/>
  <c r="BJ106" i="14609"/>
  <c r="BK106" i="14609"/>
  <c r="BL106" i="14609"/>
  <c r="BM106" i="14609"/>
  <c r="BN106" i="14609"/>
  <c r="BO106" i="14609"/>
  <c r="BP106" i="14609"/>
  <c r="BQ106" i="14609"/>
  <c r="BR106" i="14609"/>
  <c r="BS106" i="14609"/>
  <c r="BT106" i="14609"/>
  <c r="BU106" i="14609"/>
  <c r="BV106" i="14609"/>
  <c r="BW106" i="14609"/>
  <c r="BX106" i="14609"/>
  <c r="BY106" i="14609"/>
  <c r="BZ106" i="14609"/>
  <c r="CA106" i="14609"/>
  <c r="CB106" i="14609"/>
  <c r="CC106" i="14609"/>
  <c r="CD106" i="14609"/>
  <c r="CE106" i="14609"/>
  <c r="CF106" i="14609"/>
  <c r="CG106" i="14609"/>
  <c r="CH106" i="14609"/>
  <c r="CI106" i="14609"/>
  <c r="CJ106" i="14609"/>
  <c r="CK106" i="14609"/>
  <c r="CL106" i="14609"/>
  <c r="CM106" i="14609"/>
  <c r="CN106" i="14609"/>
  <c r="CO106" i="14609"/>
  <c r="CP106" i="14609"/>
  <c r="CQ106" i="14609"/>
  <c r="CR106" i="14609"/>
  <c r="CS106" i="14609"/>
  <c r="CT106" i="14609"/>
  <c r="CU106" i="14609"/>
  <c r="CV106" i="14609"/>
  <c r="CW106" i="14609"/>
  <c r="CX106" i="14609"/>
  <c r="CY106" i="14609"/>
  <c r="CZ106" i="14609"/>
  <c r="DA106" i="14609"/>
  <c r="DB106" i="14609"/>
  <c r="DC106" i="14609"/>
  <c r="DD106" i="14609"/>
  <c r="DE106" i="14609"/>
  <c r="DF106" i="14609"/>
  <c r="DG106" i="14609"/>
  <c r="DH106" i="14609"/>
  <c r="DI106" i="14609"/>
  <c r="DJ106" i="14609"/>
  <c r="DK106" i="14609"/>
  <c r="DL106" i="14609"/>
  <c r="DM106" i="14609"/>
  <c r="DN106" i="14609"/>
  <c r="DO106" i="14609"/>
  <c r="DP106" i="14609"/>
  <c r="DQ106" i="14609"/>
  <c r="DR106" i="14609"/>
  <c r="DS106" i="14609"/>
  <c r="DT106" i="14609"/>
  <c r="DU106" i="14609"/>
  <c r="DV106" i="14609"/>
  <c r="DW106" i="14609"/>
  <c r="DX106" i="14609"/>
  <c r="DY106" i="14609"/>
  <c r="DZ106" i="14609"/>
  <c r="EA106" i="14609"/>
  <c r="EB106" i="14609"/>
  <c r="EC106" i="14609"/>
  <c r="ED106" i="14609"/>
  <c r="EE106" i="14609"/>
  <c r="EF106" i="14609"/>
  <c r="EG106" i="14609"/>
  <c r="EH106" i="14609"/>
  <c r="EI106" i="14609"/>
  <c r="EJ106" i="14609"/>
  <c r="EK106" i="14609"/>
  <c r="EL106" i="14609"/>
  <c r="EM106" i="14609"/>
  <c r="EN106" i="14609"/>
  <c r="EO106" i="14609"/>
  <c r="EP106" i="14609"/>
  <c r="EQ106" i="14609"/>
  <c r="ER106" i="14609"/>
  <c r="ES106" i="14609"/>
  <c r="ET106" i="14609"/>
  <c r="EU106" i="14609"/>
  <c r="EV106" i="14609"/>
  <c r="EW106" i="14609"/>
  <c r="EX106" i="14609"/>
  <c r="EY106" i="14609"/>
  <c r="EZ106" i="14609"/>
  <c r="FA106" i="14609"/>
  <c r="FB106" i="14609"/>
  <c r="FC106" i="14609"/>
  <c r="FD106" i="14609"/>
  <c r="FE106" i="14609"/>
  <c r="FF106" i="14609"/>
  <c r="FG106" i="14609"/>
  <c r="FH106" i="14609"/>
  <c r="FI106" i="14609"/>
  <c r="FJ106" i="14609"/>
  <c r="FK106" i="14609"/>
  <c r="FL106" i="14609"/>
  <c r="FM106" i="14609"/>
  <c r="FN106" i="14609"/>
  <c r="FO106" i="14609"/>
  <c r="FP106" i="14609"/>
  <c r="FQ106" i="14609"/>
  <c r="FR106" i="14609"/>
  <c r="FS106" i="14609"/>
  <c r="FT106" i="14609"/>
  <c r="FU106" i="14609"/>
  <c r="FV106" i="14609"/>
  <c r="FW106" i="14609"/>
  <c r="FX106" i="14609"/>
  <c r="FY106" i="14609"/>
  <c r="FZ106" i="14609"/>
  <c r="GA106" i="14609"/>
  <c r="GB106" i="14609"/>
  <c r="GC106" i="14609"/>
  <c r="GD106" i="14609"/>
  <c r="GE106" i="14609"/>
  <c r="GF106" i="14609"/>
  <c r="GG106" i="14609"/>
  <c r="GH106" i="14609"/>
  <c r="GI106" i="14609"/>
  <c r="GJ106" i="14609"/>
  <c r="GK106" i="14609"/>
  <c r="GL106" i="14609"/>
  <c r="GM106" i="14609"/>
  <c r="GN106" i="14609"/>
  <c r="GO106" i="14609"/>
  <c r="GP106" i="14609"/>
  <c r="GQ106" i="14609"/>
  <c r="GR106" i="14609"/>
  <c r="GS106" i="14609"/>
  <c r="GT106" i="14609"/>
  <c r="GU106" i="14609"/>
  <c r="GV106" i="14609"/>
  <c r="GW106" i="14609"/>
  <c r="GX106" i="14609"/>
  <c r="GY106" i="14609"/>
  <c r="GZ106" i="14609"/>
  <c r="HA106" i="14609"/>
  <c r="HB106" i="14609"/>
  <c r="HC106" i="14609"/>
  <c r="HD106" i="14609"/>
  <c r="HE106" i="14609"/>
  <c r="HF106" i="14609"/>
  <c r="HG106" i="14609"/>
  <c r="HH106" i="14609"/>
  <c r="HI106" i="14609"/>
  <c r="HJ106" i="14609"/>
  <c r="HK106" i="14609"/>
  <c r="HL106" i="14609"/>
  <c r="HM106" i="14609"/>
  <c r="HN106" i="14609"/>
  <c r="HO106" i="14609"/>
  <c r="HP106" i="14609"/>
  <c r="HQ106" i="14609"/>
  <c r="HR106" i="14609"/>
  <c r="HS106" i="14609"/>
  <c r="HT106" i="14609"/>
  <c r="HU106" i="14609"/>
  <c r="HV106" i="14609"/>
  <c r="HW106" i="14609"/>
  <c r="HX106" i="14609"/>
  <c r="HY106" i="14609"/>
  <c r="HZ106" i="14609"/>
  <c r="IA106" i="14609"/>
  <c r="IB106" i="14609"/>
  <c r="IC106" i="14609"/>
  <c r="ID106" i="14609"/>
  <c r="IE106" i="14609"/>
  <c r="IF106" i="14609"/>
  <c r="IG106" i="14609"/>
  <c r="IH106" i="14609"/>
  <c r="II106" i="14609"/>
  <c r="IJ106" i="14609"/>
  <c r="IK106" i="14609"/>
  <c r="IL106" i="14609"/>
  <c r="IM106" i="14609"/>
  <c r="IN106" i="14609"/>
  <c r="IO106" i="14609"/>
  <c r="IP106" i="14609"/>
  <c r="IQ106" i="14609"/>
  <c r="IR106" i="14609"/>
  <c r="IS106" i="14609"/>
  <c r="IT106" i="14609"/>
  <c r="IU106" i="14609"/>
  <c r="IV106" i="14609"/>
  <c r="A105" i="14609"/>
  <c r="B105" i="14609"/>
  <c r="C105" i="14609"/>
  <c r="D105" i="14609"/>
  <c r="E105" i="14609"/>
  <c r="F105" i="14609"/>
  <c r="G105" i="14609"/>
  <c r="H105" i="14609"/>
  <c r="I105" i="14609"/>
  <c r="J105" i="14609"/>
  <c r="K105" i="14609"/>
  <c r="L105" i="14609"/>
  <c r="M105" i="14609"/>
  <c r="N105" i="14609"/>
  <c r="O105" i="14609"/>
  <c r="P105" i="14609"/>
  <c r="Q105" i="14609"/>
  <c r="R105" i="14609"/>
  <c r="S105" i="14609"/>
  <c r="T105" i="14609"/>
  <c r="U105" i="14609"/>
  <c r="V105" i="14609"/>
  <c r="W105" i="14609"/>
  <c r="X105" i="14609"/>
  <c r="Y105" i="14609"/>
  <c r="Z105" i="14609"/>
  <c r="AA105" i="14609"/>
  <c r="AB105" i="14609"/>
  <c r="AC105" i="14609"/>
  <c r="AD105" i="14609"/>
  <c r="AE105" i="14609"/>
  <c r="AF105" i="14609"/>
  <c r="AG105" i="14609"/>
  <c r="AH105" i="14609"/>
  <c r="AI105" i="14609"/>
  <c r="AJ105" i="14609"/>
  <c r="AK105" i="14609"/>
  <c r="AL105" i="14609"/>
  <c r="AM105" i="14609"/>
  <c r="AN105" i="14609"/>
  <c r="AO105" i="14609"/>
  <c r="AP105" i="14609"/>
  <c r="AQ105" i="14609"/>
  <c r="AR105" i="14609"/>
  <c r="AS105" i="14609"/>
  <c r="AT105" i="14609"/>
  <c r="AU105" i="14609"/>
  <c r="AV105" i="14609"/>
  <c r="AW105" i="14609"/>
  <c r="AX105" i="14609"/>
  <c r="AY105" i="14609"/>
  <c r="AZ105" i="14609"/>
  <c r="BA105" i="14609"/>
  <c r="BB105" i="14609"/>
  <c r="BC105" i="14609"/>
  <c r="BD105" i="14609"/>
  <c r="BE105" i="14609"/>
  <c r="BF105" i="14609"/>
  <c r="BG105" i="14609"/>
  <c r="BH105" i="14609"/>
  <c r="BI105" i="14609"/>
  <c r="BJ105" i="14609"/>
  <c r="BK105" i="14609"/>
  <c r="BL105" i="14609"/>
  <c r="BM105" i="14609"/>
  <c r="BN105" i="14609"/>
  <c r="BO105" i="14609"/>
  <c r="BP105" i="14609"/>
  <c r="BQ105" i="14609"/>
  <c r="BR105" i="14609"/>
  <c r="BS105" i="14609"/>
  <c r="BT105" i="14609"/>
  <c r="BU105" i="14609"/>
  <c r="BV105" i="14609"/>
  <c r="BW105" i="14609"/>
  <c r="BX105" i="14609"/>
  <c r="BY105" i="14609"/>
  <c r="BZ105" i="14609"/>
  <c r="CA105" i="14609"/>
  <c r="CB105" i="14609"/>
  <c r="CC105" i="14609"/>
  <c r="CD105" i="14609"/>
  <c r="CE105" i="14609"/>
  <c r="CF105" i="14609"/>
  <c r="CG105" i="14609"/>
  <c r="CH105" i="14609"/>
  <c r="CI105" i="14609"/>
  <c r="CJ105" i="14609"/>
  <c r="CK105" i="14609"/>
  <c r="CL105" i="14609"/>
  <c r="CM105" i="14609"/>
  <c r="CN105" i="14609"/>
  <c r="CO105" i="14609"/>
  <c r="CP105" i="14609"/>
  <c r="CQ105" i="14609"/>
  <c r="CR105" i="14609"/>
  <c r="CS105" i="14609"/>
  <c r="CT105" i="14609"/>
  <c r="CU105" i="14609"/>
  <c r="CV105" i="14609"/>
  <c r="CW105" i="14609"/>
  <c r="CX105" i="14609"/>
  <c r="CY105" i="14609"/>
  <c r="CZ105" i="14609"/>
  <c r="DA105" i="14609"/>
  <c r="DB105" i="14609"/>
  <c r="DC105" i="14609"/>
  <c r="DD105" i="14609"/>
  <c r="DE105" i="14609"/>
  <c r="DF105" i="14609"/>
  <c r="DG105" i="14609"/>
  <c r="DH105" i="14609"/>
  <c r="DI105" i="14609"/>
  <c r="DJ105" i="14609"/>
  <c r="DK105" i="14609"/>
  <c r="DL105" i="14609"/>
  <c r="DM105" i="14609"/>
  <c r="DN105" i="14609"/>
  <c r="DO105" i="14609"/>
  <c r="DP105" i="14609"/>
  <c r="DQ105" i="14609"/>
  <c r="DR105" i="14609"/>
  <c r="DS105" i="14609"/>
  <c r="DT105" i="14609"/>
  <c r="DU105" i="14609"/>
  <c r="DV105" i="14609"/>
  <c r="DW105" i="14609"/>
  <c r="DX105" i="14609"/>
  <c r="DY105" i="14609"/>
  <c r="DZ105" i="14609"/>
  <c r="EA105" i="14609"/>
  <c r="EB105" i="14609"/>
  <c r="EC105" i="14609"/>
  <c r="ED105" i="14609"/>
  <c r="EE105" i="14609"/>
  <c r="EF105" i="14609"/>
  <c r="EG105" i="14609"/>
  <c r="EH105" i="14609"/>
  <c r="EI105" i="14609"/>
  <c r="EJ105" i="14609"/>
  <c r="EK105" i="14609"/>
  <c r="EL105" i="14609"/>
  <c r="EM105" i="14609"/>
  <c r="EN105" i="14609"/>
  <c r="EO105" i="14609"/>
  <c r="EP105" i="14609"/>
  <c r="EQ105" i="14609"/>
  <c r="ER105" i="14609"/>
  <c r="ES105" i="14609"/>
  <c r="ET105" i="14609"/>
  <c r="EU105" i="14609"/>
  <c r="EV105" i="14609"/>
  <c r="EW105" i="14609"/>
  <c r="EX105" i="14609"/>
  <c r="EY105" i="14609"/>
  <c r="EZ105" i="14609"/>
  <c r="FA105" i="14609"/>
  <c r="FB105" i="14609"/>
  <c r="FC105" i="14609"/>
  <c r="FD105" i="14609"/>
  <c r="FE105" i="14609"/>
  <c r="FF105" i="14609"/>
  <c r="FG105" i="14609"/>
  <c r="FH105" i="14609"/>
  <c r="FI105" i="14609"/>
  <c r="FJ105" i="14609"/>
  <c r="FK105" i="14609"/>
  <c r="FL105" i="14609"/>
  <c r="FM105" i="14609"/>
  <c r="FN105" i="14609"/>
  <c r="FO105" i="14609"/>
  <c r="FP105" i="14609"/>
  <c r="FQ105" i="14609"/>
  <c r="FR105" i="14609"/>
  <c r="FS105" i="14609"/>
  <c r="FT105" i="14609"/>
  <c r="FU105" i="14609"/>
  <c r="FV105" i="14609"/>
  <c r="FW105" i="14609"/>
  <c r="FX105" i="14609"/>
  <c r="FY105" i="14609"/>
  <c r="FZ105" i="14609"/>
  <c r="GA105" i="14609"/>
  <c r="GB105" i="14609"/>
  <c r="GC105" i="14609"/>
  <c r="GD105" i="14609"/>
  <c r="GE105" i="14609"/>
  <c r="GF105" i="14609"/>
  <c r="GG105" i="14609"/>
  <c r="GH105" i="14609"/>
  <c r="GI105" i="14609"/>
  <c r="GJ105" i="14609"/>
  <c r="GK105" i="14609"/>
  <c r="GL105" i="14609"/>
  <c r="GM105" i="14609"/>
  <c r="GN105" i="14609"/>
  <c r="GO105" i="14609"/>
  <c r="GP105" i="14609"/>
  <c r="GQ105" i="14609"/>
  <c r="GR105" i="14609"/>
  <c r="GS105" i="14609"/>
  <c r="GT105" i="14609"/>
  <c r="GU105" i="14609"/>
  <c r="GV105" i="14609"/>
  <c r="GW105" i="14609"/>
  <c r="GX105" i="14609"/>
  <c r="GY105" i="14609"/>
  <c r="GZ105" i="14609"/>
  <c r="HA105" i="14609"/>
  <c r="HB105" i="14609"/>
  <c r="HC105" i="14609"/>
  <c r="HD105" i="14609"/>
  <c r="HE105" i="14609"/>
  <c r="HF105" i="14609"/>
  <c r="HG105" i="14609"/>
  <c r="HH105" i="14609"/>
  <c r="HI105" i="14609"/>
  <c r="HJ105" i="14609"/>
  <c r="HK105" i="14609"/>
  <c r="HL105" i="14609"/>
  <c r="HM105" i="14609"/>
  <c r="HN105" i="14609"/>
  <c r="HO105" i="14609"/>
  <c r="HP105" i="14609"/>
  <c r="HQ105" i="14609"/>
  <c r="HR105" i="14609"/>
  <c r="HS105" i="14609"/>
  <c r="HT105" i="14609"/>
  <c r="HU105" i="14609"/>
  <c r="HV105" i="14609"/>
  <c r="HW105" i="14609"/>
  <c r="HX105" i="14609"/>
  <c r="HY105" i="14609"/>
  <c r="HZ105" i="14609"/>
  <c r="IA105" i="14609"/>
  <c r="IB105" i="14609"/>
  <c r="IC105" i="14609"/>
  <c r="ID105" i="14609"/>
  <c r="IE105" i="14609"/>
  <c r="IF105" i="14609"/>
  <c r="IG105" i="14609"/>
  <c r="IH105" i="14609"/>
  <c r="II105" i="14609"/>
  <c r="IJ105" i="14609"/>
  <c r="IK105" i="14609"/>
  <c r="IL105" i="14609"/>
  <c r="IM105" i="14609"/>
  <c r="IN105" i="14609"/>
  <c r="IO105" i="14609"/>
  <c r="IP105" i="14609"/>
  <c r="IQ105" i="14609"/>
  <c r="IR105" i="14609"/>
  <c r="IS105" i="14609"/>
  <c r="IT105" i="14609"/>
  <c r="IU105" i="14609"/>
  <c r="IV105" i="14609"/>
  <c r="A104" i="14609"/>
  <c r="B104" i="14609"/>
  <c r="C104" i="14609"/>
  <c r="D104" i="14609"/>
  <c r="E104" i="14609"/>
  <c r="F104" i="14609"/>
  <c r="G104" i="14609"/>
  <c r="H104" i="14609"/>
  <c r="I104" i="14609"/>
  <c r="J104" i="14609"/>
  <c r="K104" i="14609"/>
  <c r="L104" i="14609"/>
  <c r="M104" i="14609"/>
  <c r="N104" i="14609"/>
  <c r="O104" i="14609"/>
  <c r="P104" i="14609"/>
  <c r="Q104" i="14609"/>
  <c r="R104" i="14609"/>
  <c r="S104" i="14609"/>
  <c r="T104" i="14609"/>
  <c r="U104" i="14609"/>
  <c r="V104" i="14609"/>
  <c r="W104" i="14609"/>
  <c r="X104" i="14609"/>
  <c r="Y104" i="14609"/>
  <c r="Z104" i="14609"/>
  <c r="AA104" i="14609"/>
  <c r="AB104" i="14609"/>
  <c r="AC104" i="14609"/>
  <c r="AD104" i="14609"/>
  <c r="AE104" i="14609"/>
  <c r="AF104" i="14609"/>
  <c r="AG104" i="14609"/>
  <c r="AH104" i="14609"/>
  <c r="AI104" i="14609"/>
  <c r="AJ104" i="14609"/>
  <c r="AK104" i="14609"/>
  <c r="AL104" i="14609"/>
  <c r="AM104" i="14609"/>
  <c r="AN104" i="14609"/>
  <c r="AO104" i="14609"/>
  <c r="AP104" i="14609"/>
  <c r="AQ104" i="14609"/>
  <c r="AR104" i="14609"/>
  <c r="AS104" i="14609"/>
  <c r="AT104" i="14609"/>
  <c r="AU104" i="14609"/>
  <c r="AV104" i="14609"/>
  <c r="AW104" i="14609"/>
  <c r="AX104" i="14609"/>
  <c r="AY104" i="14609"/>
  <c r="AZ104" i="14609"/>
  <c r="BA104" i="14609"/>
  <c r="BB104" i="14609"/>
  <c r="BC104" i="14609"/>
  <c r="BD104" i="14609"/>
  <c r="BE104" i="14609"/>
  <c r="BF104" i="14609"/>
  <c r="BG104" i="14609"/>
  <c r="BH104" i="14609"/>
  <c r="BI104" i="14609"/>
  <c r="BJ104" i="14609"/>
  <c r="BK104" i="14609"/>
  <c r="BL104" i="14609"/>
  <c r="BM104" i="14609"/>
  <c r="BN104" i="14609"/>
  <c r="BO104" i="14609"/>
  <c r="BP104" i="14609"/>
  <c r="BQ104" i="14609"/>
  <c r="BR104" i="14609"/>
  <c r="BS104" i="14609"/>
  <c r="BT104" i="14609"/>
  <c r="BU104" i="14609"/>
  <c r="BV104" i="14609"/>
  <c r="BW104" i="14609"/>
  <c r="BX104" i="14609"/>
  <c r="BY104" i="14609"/>
  <c r="BZ104" i="14609"/>
  <c r="CA104" i="14609"/>
  <c r="CB104" i="14609"/>
  <c r="CC104" i="14609"/>
  <c r="CD104" i="14609"/>
  <c r="CE104" i="14609"/>
  <c r="CF104" i="14609"/>
  <c r="CG104" i="14609"/>
  <c r="CH104" i="14609"/>
  <c r="CI104" i="14609"/>
  <c r="CJ104" i="14609"/>
  <c r="CK104" i="14609"/>
  <c r="CL104" i="14609"/>
  <c r="CM104" i="14609"/>
  <c r="CN104" i="14609"/>
  <c r="CO104" i="14609"/>
  <c r="CP104" i="14609"/>
  <c r="CQ104" i="14609"/>
  <c r="CR104" i="14609"/>
  <c r="CS104" i="14609"/>
  <c r="CT104" i="14609"/>
  <c r="CU104" i="14609"/>
  <c r="CV104" i="14609"/>
  <c r="CW104" i="14609"/>
  <c r="CX104" i="14609"/>
  <c r="CY104" i="14609"/>
  <c r="CZ104" i="14609"/>
  <c r="DA104" i="14609"/>
  <c r="DB104" i="14609"/>
  <c r="DC104" i="14609"/>
  <c r="DD104" i="14609"/>
  <c r="DE104" i="14609"/>
  <c r="DF104" i="14609"/>
  <c r="DG104" i="14609"/>
  <c r="DH104" i="14609"/>
  <c r="DI104" i="14609"/>
  <c r="DJ104" i="14609"/>
  <c r="DK104" i="14609"/>
  <c r="DL104" i="14609"/>
  <c r="DM104" i="14609"/>
  <c r="DN104" i="14609"/>
  <c r="DO104" i="14609"/>
  <c r="DP104" i="14609"/>
  <c r="DQ104" i="14609"/>
  <c r="DR104" i="14609"/>
  <c r="DS104" i="14609"/>
  <c r="DT104" i="14609"/>
  <c r="DU104" i="14609"/>
  <c r="DV104" i="14609"/>
  <c r="DW104" i="14609"/>
  <c r="DX104" i="14609"/>
  <c r="DY104" i="14609"/>
  <c r="DZ104" i="14609"/>
  <c r="EA104" i="14609"/>
  <c r="EB104" i="14609"/>
  <c r="EC104" i="14609"/>
  <c r="ED104" i="14609"/>
  <c r="EE104" i="14609"/>
  <c r="EF104" i="14609"/>
  <c r="EG104" i="14609"/>
  <c r="EH104" i="14609"/>
  <c r="EI104" i="14609"/>
  <c r="EJ104" i="14609"/>
  <c r="EK104" i="14609"/>
  <c r="EL104" i="14609"/>
  <c r="EM104" i="14609"/>
  <c r="EN104" i="14609"/>
  <c r="EO104" i="14609"/>
  <c r="EP104" i="14609"/>
  <c r="EQ104" i="14609"/>
  <c r="ER104" i="14609"/>
  <c r="ES104" i="14609"/>
  <c r="ET104" i="14609"/>
  <c r="EU104" i="14609"/>
  <c r="EV104" i="14609"/>
  <c r="EW104" i="14609"/>
  <c r="EX104" i="14609"/>
  <c r="EY104" i="14609"/>
  <c r="EZ104" i="14609"/>
  <c r="FA104" i="14609"/>
  <c r="FB104" i="14609"/>
  <c r="FC104" i="14609"/>
  <c r="FD104" i="14609"/>
  <c r="FE104" i="14609"/>
  <c r="FF104" i="14609"/>
  <c r="FG104" i="14609"/>
  <c r="FH104" i="14609"/>
  <c r="FI104" i="14609"/>
  <c r="FJ104" i="14609"/>
  <c r="FK104" i="14609"/>
  <c r="FL104" i="14609"/>
  <c r="FM104" i="14609"/>
  <c r="FN104" i="14609"/>
  <c r="FO104" i="14609"/>
  <c r="FP104" i="14609"/>
  <c r="FQ104" i="14609"/>
  <c r="FR104" i="14609"/>
  <c r="FS104" i="14609"/>
  <c r="FT104" i="14609"/>
  <c r="FU104" i="14609"/>
  <c r="FV104" i="14609"/>
  <c r="FW104" i="14609"/>
  <c r="FX104" i="14609"/>
  <c r="FY104" i="14609"/>
  <c r="FZ104" i="14609"/>
  <c r="GA104" i="14609"/>
  <c r="GB104" i="14609"/>
  <c r="GC104" i="14609"/>
  <c r="GD104" i="14609"/>
  <c r="GE104" i="14609"/>
  <c r="GF104" i="14609"/>
  <c r="GG104" i="14609"/>
  <c r="GH104" i="14609"/>
  <c r="GI104" i="14609"/>
  <c r="GJ104" i="14609"/>
  <c r="GK104" i="14609"/>
  <c r="GL104" i="14609"/>
  <c r="GM104" i="14609"/>
  <c r="GN104" i="14609"/>
  <c r="GO104" i="14609"/>
  <c r="GP104" i="14609"/>
  <c r="GQ104" i="14609"/>
  <c r="GR104" i="14609"/>
  <c r="GS104" i="14609"/>
  <c r="GT104" i="14609"/>
  <c r="GU104" i="14609"/>
  <c r="GV104" i="14609"/>
  <c r="GW104" i="14609"/>
  <c r="GX104" i="14609"/>
  <c r="GY104" i="14609"/>
  <c r="GZ104" i="14609"/>
  <c r="HA104" i="14609"/>
  <c r="HB104" i="14609"/>
  <c r="HC104" i="14609"/>
  <c r="HD104" i="14609"/>
  <c r="HE104" i="14609"/>
  <c r="HF104" i="14609"/>
  <c r="HG104" i="14609"/>
  <c r="HH104" i="14609"/>
  <c r="HI104" i="14609"/>
  <c r="HJ104" i="14609"/>
  <c r="HK104" i="14609"/>
  <c r="HL104" i="14609"/>
  <c r="HM104" i="14609"/>
  <c r="HN104" i="14609"/>
  <c r="HO104" i="14609"/>
  <c r="HP104" i="14609"/>
  <c r="HQ104" i="14609"/>
  <c r="HR104" i="14609"/>
  <c r="HS104" i="14609"/>
  <c r="HT104" i="14609"/>
  <c r="HU104" i="14609"/>
  <c r="HV104" i="14609"/>
  <c r="HW104" i="14609"/>
  <c r="HX104" i="14609"/>
  <c r="HY104" i="14609"/>
  <c r="HZ104" i="14609"/>
  <c r="IA104" i="14609"/>
  <c r="IB104" i="14609"/>
  <c r="IC104" i="14609"/>
  <c r="ID104" i="14609"/>
  <c r="IE104" i="14609"/>
  <c r="IF104" i="14609"/>
  <c r="IG104" i="14609"/>
  <c r="IH104" i="14609"/>
  <c r="II104" i="14609"/>
  <c r="IJ104" i="14609"/>
  <c r="IK104" i="14609"/>
  <c r="IL104" i="14609"/>
  <c r="IM104" i="14609"/>
  <c r="IN104" i="14609"/>
  <c r="IO104" i="14609"/>
  <c r="IP104" i="14609"/>
  <c r="IQ104" i="14609"/>
  <c r="IR104" i="14609"/>
  <c r="IS104" i="14609"/>
  <c r="IT104" i="14609"/>
  <c r="IU104" i="14609"/>
  <c r="IV104" i="14609"/>
  <c r="A103" i="14609"/>
  <c r="B103" i="14609"/>
  <c r="C103" i="14609"/>
  <c r="D103" i="14609"/>
  <c r="E103" i="14609"/>
  <c r="F103" i="14609"/>
  <c r="G103" i="14609"/>
  <c r="H103" i="14609"/>
  <c r="I103" i="14609"/>
  <c r="J103" i="14609"/>
  <c r="K103" i="14609"/>
  <c r="L103" i="14609"/>
  <c r="M103" i="14609"/>
  <c r="N103" i="14609"/>
  <c r="O103" i="14609"/>
  <c r="P103" i="14609"/>
  <c r="Q103" i="14609"/>
  <c r="R103" i="14609"/>
  <c r="S103" i="14609"/>
  <c r="T103" i="14609"/>
  <c r="U103" i="14609"/>
  <c r="V103" i="14609"/>
  <c r="W103" i="14609"/>
  <c r="X103" i="14609"/>
  <c r="Y103" i="14609"/>
  <c r="Z103" i="14609"/>
  <c r="AA103" i="14609"/>
  <c r="AB103" i="14609"/>
  <c r="AC103" i="14609"/>
  <c r="AD103" i="14609"/>
  <c r="AE103" i="14609"/>
  <c r="AF103" i="14609"/>
  <c r="AG103" i="14609"/>
  <c r="AH103" i="14609"/>
  <c r="AI103" i="14609"/>
  <c r="AJ103" i="14609"/>
  <c r="AK103" i="14609"/>
  <c r="AL103" i="14609"/>
  <c r="AM103" i="14609"/>
  <c r="AN103" i="14609"/>
  <c r="AO103" i="14609"/>
  <c r="AP103" i="14609"/>
  <c r="AQ103" i="14609"/>
  <c r="AR103" i="14609"/>
  <c r="AS103" i="14609"/>
  <c r="AT103" i="14609"/>
  <c r="AU103" i="14609"/>
  <c r="AV103" i="14609"/>
  <c r="AW103" i="14609"/>
  <c r="AX103" i="14609"/>
  <c r="AY103" i="14609"/>
  <c r="AZ103" i="14609"/>
  <c r="BA103" i="14609"/>
  <c r="BB103" i="14609"/>
  <c r="BC103" i="14609"/>
  <c r="BD103" i="14609"/>
  <c r="BE103" i="14609"/>
  <c r="BF103" i="14609"/>
  <c r="BG103" i="14609"/>
  <c r="BH103" i="14609"/>
  <c r="BI103" i="14609"/>
  <c r="BJ103" i="14609"/>
  <c r="BK103" i="14609"/>
  <c r="BL103" i="14609"/>
  <c r="BM103" i="14609"/>
  <c r="BN103" i="14609"/>
  <c r="BO103" i="14609"/>
  <c r="BP103" i="14609"/>
  <c r="BQ103" i="14609"/>
  <c r="BR103" i="14609"/>
  <c r="BS103" i="14609"/>
  <c r="BT103" i="14609"/>
  <c r="BU103" i="14609"/>
  <c r="BV103" i="14609"/>
  <c r="BW103" i="14609"/>
  <c r="BX103" i="14609"/>
  <c r="BY103" i="14609"/>
  <c r="BZ103" i="14609"/>
  <c r="CA103" i="14609"/>
  <c r="CB103" i="14609"/>
  <c r="CC103" i="14609"/>
  <c r="CD103" i="14609"/>
  <c r="CE103" i="14609"/>
  <c r="CF103" i="14609"/>
  <c r="CG103" i="14609"/>
  <c r="CH103" i="14609"/>
  <c r="CI103" i="14609"/>
  <c r="CJ103" i="14609"/>
  <c r="CK103" i="14609"/>
  <c r="CL103" i="14609"/>
  <c r="CM103" i="14609"/>
  <c r="CN103" i="14609"/>
  <c r="CO103" i="14609"/>
  <c r="CP103" i="14609"/>
  <c r="CQ103" i="14609"/>
  <c r="CR103" i="14609"/>
  <c r="CS103" i="14609"/>
  <c r="CT103" i="14609"/>
  <c r="CU103" i="14609"/>
  <c r="CV103" i="14609"/>
  <c r="CW103" i="14609"/>
  <c r="CX103" i="14609"/>
  <c r="CY103" i="14609"/>
  <c r="CZ103" i="14609"/>
  <c r="DA103" i="14609"/>
  <c r="DB103" i="14609"/>
  <c r="DC103" i="14609"/>
  <c r="DD103" i="14609"/>
  <c r="DE103" i="14609"/>
  <c r="DF103" i="14609"/>
  <c r="DG103" i="14609"/>
  <c r="DH103" i="14609"/>
  <c r="DI103" i="14609"/>
  <c r="DJ103" i="14609"/>
  <c r="DK103" i="14609"/>
  <c r="DL103" i="14609"/>
  <c r="DM103" i="14609"/>
  <c r="DN103" i="14609"/>
  <c r="DO103" i="14609"/>
  <c r="DP103" i="14609"/>
  <c r="DQ103" i="14609"/>
  <c r="DR103" i="14609"/>
  <c r="DS103" i="14609"/>
  <c r="DT103" i="14609"/>
  <c r="DU103" i="14609"/>
  <c r="DV103" i="14609"/>
  <c r="DW103" i="14609"/>
  <c r="DX103" i="14609"/>
  <c r="DY103" i="14609"/>
  <c r="DZ103" i="14609"/>
  <c r="EA103" i="14609"/>
  <c r="EB103" i="14609"/>
  <c r="EC103" i="14609"/>
  <c r="ED103" i="14609"/>
  <c r="EE103" i="14609"/>
  <c r="EF103" i="14609"/>
  <c r="EG103" i="14609"/>
  <c r="EH103" i="14609"/>
  <c r="EI103" i="14609"/>
  <c r="EJ103" i="14609"/>
  <c r="EK103" i="14609"/>
  <c r="EL103" i="14609"/>
  <c r="EM103" i="14609"/>
  <c r="EN103" i="14609"/>
  <c r="EO103" i="14609"/>
  <c r="EP103" i="14609"/>
  <c r="EQ103" i="14609"/>
  <c r="ER103" i="14609"/>
  <c r="ES103" i="14609"/>
  <c r="ET103" i="14609"/>
  <c r="EU103" i="14609"/>
  <c r="EV103" i="14609"/>
  <c r="EW103" i="14609"/>
  <c r="EX103" i="14609"/>
  <c r="EY103" i="14609"/>
  <c r="EZ103" i="14609"/>
  <c r="FA103" i="14609"/>
  <c r="FB103" i="14609"/>
  <c r="FC103" i="14609"/>
  <c r="FD103" i="14609"/>
  <c r="FE103" i="14609"/>
  <c r="FF103" i="14609"/>
  <c r="FG103" i="14609"/>
  <c r="FH103" i="14609"/>
  <c r="FI103" i="14609"/>
  <c r="FJ103" i="14609"/>
  <c r="FK103" i="14609"/>
  <c r="FL103" i="14609"/>
  <c r="FM103" i="14609"/>
  <c r="FN103" i="14609"/>
  <c r="FO103" i="14609"/>
  <c r="FP103" i="14609"/>
  <c r="FQ103" i="14609"/>
  <c r="FR103" i="14609"/>
  <c r="FS103" i="14609"/>
  <c r="FT103" i="14609"/>
  <c r="FU103" i="14609"/>
  <c r="FV103" i="14609"/>
  <c r="FW103" i="14609"/>
  <c r="FX103" i="14609"/>
  <c r="FY103" i="14609"/>
  <c r="FZ103" i="14609"/>
  <c r="GA103" i="14609"/>
  <c r="GB103" i="14609"/>
  <c r="GC103" i="14609"/>
  <c r="GD103" i="14609"/>
  <c r="GE103" i="14609"/>
  <c r="GF103" i="14609"/>
  <c r="GG103" i="14609"/>
  <c r="GH103" i="14609"/>
  <c r="GI103" i="14609"/>
  <c r="GJ103" i="14609"/>
  <c r="GK103" i="14609"/>
  <c r="GL103" i="14609"/>
  <c r="GM103" i="14609"/>
  <c r="GN103" i="14609"/>
  <c r="GO103" i="14609"/>
  <c r="GP103" i="14609"/>
  <c r="GQ103" i="14609"/>
  <c r="GR103" i="14609"/>
  <c r="GS103" i="14609"/>
  <c r="GT103" i="14609"/>
  <c r="GU103" i="14609"/>
  <c r="GV103" i="14609"/>
  <c r="GW103" i="14609"/>
  <c r="GX103" i="14609"/>
  <c r="GY103" i="14609"/>
  <c r="GZ103" i="14609"/>
  <c r="HA103" i="14609"/>
  <c r="HB103" i="14609"/>
  <c r="HC103" i="14609"/>
  <c r="HD103" i="14609"/>
  <c r="HE103" i="14609"/>
  <c r="HF103" i="14609"/>
  <c r="HG103" i="14609"/>
  <c r="HH103" i="14609"/>
  <c r="HI103" i="14609"/>
  <c r="HJ103" i="14609"/>
  <c r="HK103" i="14609"/>
  <c r="HL103" i="14609"/>
  <c r="HM103" i="14609"/>
  <c r="HN103" i="14609"/>
  <c r="HO103" i="14609"/>
  <c r="HP103" i="14609"/>
  <c r="HQ103" i="14609"/>
  <c r="HR103" i="14609"/>
  <c r="HS103" i="14609"/>
  <c r="HT103" i="14609"/>
  <c r="HU103" i="14609"/>
  <c r="HV103" i="14609"/>
  <c r="HW103" i="14609"/>
  <c r="HX103" i="14609"/>
  <c r="HY103" i="14609"/>
  <c r="HZ103" i="14609"/>
  <c r="IA103" i="14609"/>
  <c r="IB103" i="14609"/>
  <c r="IC103" i="14609"/>
  <c r="ID103" i="14609"/>
  <c r="IE103" i="14609"/>
  <c r="IF103" i="14609"/>
  <c r="IG103" i="14609"/>
  <c r="IH103" i="14609"/>
  <c r="II103" i="14609"/>
  <c r="IJ103" i="14609"/>
  <c r="IK103" i="14609"/>
  <c r="IL103" i="14609"/>
  <c r="IM103" i="14609"/>
  <c r="IN103" i="14609"/>
  <c r="IO103" i="14609"/>
  <c r="IP103" i="14609"/>
  <c r="IQ103" i="14609"/>
  <c r="IR103" i="14609"/>
  <c r="IS103" i="14609"/>
  <c r="IT103" i="14609"/>
  <c r="IU103" i="14609"/>
  <c r="IV103" i="14609"/>
  <c r="A102" i="14609"/>
  <c r="B102" i="14609"/>
  <c r="C102" i="14609"/>
  <c r="D102" i="14609"/>
  <c r="E102" i="14609"/>
  <c r="F102" i="14609"/>
  <c r="G102" i="14609"/>
  <c r="H102" i="14609"/>
  <c r="I102" i="14609"/>
  <c r="J102" i="14609"/>
  <c r="K102" i="14609"/>
  <c r="L102" i="14609"/>
  <c r="M102" i="14609"/>
  <c r="N102" i="14609"/>
  <c r="O102" i="14609"/>
  <c r="P102" i="14609"/>
  <c r="Q102" i="14609"/>
  <c r="R102" i="14609"/>
  <c r="S102" i="14609"/>
  <c r="T102" i="14609"/>
  <c r="U102" i="14609"/>
  <c r="V102" i="14609"/>
  <c r="W102" i="14609"/>
  <c r="X102" i="14609"/>
  <c r="Y102" i="14609"/>
  <c r="Z102" i="14609"/>
  <c r="AA102" i="14609"/>
  <c r="AB102" i="14609"/>
  <c r="AC102" i="14609"/>
  <c r="AD102" i="14609"/>
  <c r="AE102" i="14609"/>
  <c r="AF102" i="14609"/>
  <c r="AG102" i="14609"/>
  <c r="AH102" i="14609"/>
  <c r="AI102" i="14609"/>
  <c r="AJ102" i="14609"/>
  <c r="AK102" i="14609"/>
  <c r="AL102" i="14609"/>
  <c r="AM102" i="14609"/>
  <c r="AN102" i="14609"/>
  <c r="AO102" i="14609"/>
  <c r="AP102" i="14609"/>
  <c r="AQ102" i="14609"/>
  <c r="AR102" i="14609"/>
  <c r="AS102" i="14609"/>
  <c r="AT102" i="14609"/>
  <c r="AU102" i="14609"/>
  <c r="AV102" i="14609"/>
  <c r="AW102" i="14609"/>
  <c r="AX102" i="14609"/>
  <c r="AY102" i="14609"/>
  <c r="AZ102" i="14609"/>
  <c r="BA102" i="14609"/>
  <c r="BB102" i="14609"/>
  <c r="BC102" i="14609"/>
  <c r="BD102" i="14609"/>
  <c r="BE102" i="14609"/>
  <c r="BF102" i="14609"/>
  <c r="BG102" i="14609"/>
  <c r="BH102" i="14609"/>
  <c r="BI102" i="14609"/>
  <c r="BJ102" i="14609"/>
  <c r="BK102" i="14609"/>
  <c r="BL102" i="14609"/>
  <c r="BM102" i="14609"/>
  <c r="BN102" i="14609"/>
  <c r="BO102" i="14609"/>
  <c r="BP102" i="14609"/>
  <c r="BQ102" i="14609"/>
  <c r="BR102" i="14609"/>
  <c r="BS102" i="14609"/>
  <c r="BT102" i="14609"/>
  <c r="BU102" i="14609"/>
  <c r="BV102" i="14609"/>
  <c r="BW102" i="14609"/>
  <c r="BX102" i="14609"/>
  <c r="BY102" i="14609"/>
  <c r="BZ102" i="14609"/>
  <c r="CA102" i="14609"/>
  <c r="CB102" i="14609"/>
  <c r="CC102" i="14609"/>
  <c r="CD102" i="14609"/>
  <c r="CE102" i="14609"/>
  <c r="CF102" i="14609"/>
  <c r="CG102" i="14609"/>
  <c r="CH102" i="14609"/>
  <c r="CI102" i="14609"/>
  <c r="CJ102" i="14609"/>
  <c r="CK102" i="14609"/>
  <c r="CL102" i="14609"/>
  <c r="CM102" i="14609"/>
  <c r="CN102" i="14609"/>
  <c r="CO102" i="14609"/>
  <c r="CP102" i="14609"/>
  <c r="CQ102" i="14609"/>
  <c r="CR102" i="14609"/>
  <c r="CS102" i="14609"/>
  <c r="CT102" i="14609"/>
  <c r="CU102" i="14609"/>
  <c r="CV102" i="14609"/>
  <c r="CW102" i="14609"/>
  <c r="CX102" i="14609"/>
  <c r="CY102" i="14609"/>
  <c r="CZ102" i="14609"/>
  <c r="DA102" i="14609"/>
  <c r="DB102" i="14609"/>
  <c r="DC102" i="14609"/>
  <c r="DD102" i="14609"/>
  <c r="DE102" i="14609"/>
  <c r="DF102" i="14609"/>
  <c r="DG102" i="14609"/>
  <c r="DH102" i="14609"/>
  <c r="DI102" i="14609"/>
  <c r="DJ102" i="14609"/>
  <c r="DK102" i="14609"/>
  <c r="DL102" i="14609"/>
  <c r="DM102" i="14609"/>
  <c r="DN102" i="14609"/>
  <c r="DO102" i="14609"/>
  <c r="DP102" i="14609"/>
  <c r="DQ102" i="14609"/>
  <c r="DR102" i="14609"/>
  <c r="DS102" i="14609"/>
  <c r="DT102" i="14609"/>
  <c r="DU102" i="14609"/>
  <c r="DV102" i="14609"/>
  <c r="DW102" i="14609"/>
  <c r="DX102" i="14609"/>
  <c r="DY102" i="14609"/>
  <c r="DZ102" i="14609"/>
  <c r="EA102" i="14609"/>
  <c r="EB102" i="14609"/>
  <c r="EC102" i="14609"/>
  <c r="ED102" i="14609"/>
  <c r="EE102" i="14609"/>
  <c r="EF102" i="14609"/>
  <c r="EG102" i="14609"/>
  <c r="EH102" i="14609"/>
  <c r="EI102" i="14609"/>
  <c r="EJ102" i="14609"/>
  <c r="EK102" i="14609"/>
  <c r="EL102" i="14609"/>
  <c r="EM102" i="14609"/>
  <c r="EN102" i="14609"/>
  <c r="EO102" i="14609"/>
  <c r="EP102" i="14609"/>
  <c r="EQ102" i="14609"/>
  <c r="ER102" i="14609"/>
  <c r="ES102" i="14609"/>
  <c r="ET102" i="14609"/>
  <c r="EU102" i="14609"/>
  <c r="EV102" i="14609"/>
  <c r="EW102" i="14609"/>
  <c r="EX102" i="14609"/>
  <c r="EY102" i="14609"/>
  <c r="EZ102" i="14609"/>
  <c r="FA102" i="14609"/>
  <c r="FB102" i="14609"/>
  <c r="FC102" i="14609"/>
  <c r="FD102" i="14609"/>
  <c r="FE102" i="14609"/>
  <c r="FF102" i="14609"/>
  <c r="FG102" i="14609"/>
  <c r="FH102" i="14609"/>
  <c r="FI102" i="14609"/>
  <c r="FJ102" i="14609"/>
  <c r="FK102" i="14609"/>
  <c r="FL102" i="14609"/>
  <c r="FM102" i="14609"/>
  <c r="FN102" i="14609"/>
  <c r="FO102" i="14609"/>
  <c r="FP102" i="14609"/>
  <c r="FQ102" i="14609"/>
  <c r="FR102" i="14609"/>
  <c r="FS102" i="14609"/>
  <c r="FT102" i="14609"/>
  <c r="FU102" i="14609"/>
  <c r="FV102" i="14609"/>
  <c r="FW102" i="14609"/>
  <c r="FX102" i="14609"/>
  <c r="FY102" i="14609"/>
  <c r="FZ102" i="14609"/>
  <c r="GA102" i="14609"/>
  <c r="GB102" i="14609"/>
  <c r="GC102" i="14609"/>
  <c r="GD102" i="14609"/>
  <c r="GE102" i="14609"/>
  <c r="GF102" i="14609"/>
  <c r="GG102" i="14609"/>
  <c r="GH102" i="14609"/>
  <c r="GI102" i="14609"/>
  <c r="GJ102" i="14609"/>
  <c r="GK102" i="14609"/>
  <c r="GL102" i="14609"/>
  <c r="GM102" i="14609"/>
  <c r="GN102" i="14609"/>
  <c r="GO102" i="14609"/>
  <c r="GP102" i="14609"/>
  <c r="GQ102" i="14609"/>
  <c r="GR102" i="14609"/>
  <c r="GS102" i="14609"/>
  <c r="GT102" i="14609"/>
  <c r="GU102" i="14609"/>
  <c r="GV102" i="14609"/>
  <c r="GW102" i="14609"/>
  <c r="GX102" i="14609"/>
  <c r="GY102" i="14609"/>
  <c r="GZ102" i="14609"/>
  <c r="HA102" i="14609"/>
  <c r="HB102" i="14609"/>
  <c r="HC102" i="14609"/>
  <c r="HD102" i="14609"/>
  <c r="HE102" i="14609"/>
  <c r="HF102" i="14609"/>
  <c r="HG102" i="14609"/>
  <c r="HH102" i="14609"/>
  <c r="HI102" i="14609"/>
  <c r="HJ102" i="14609"/>
  <c r="HK102" i="14609"/>
  <c r="HL102" i="14609"/>
  <c r="HM102" i="14609"/>
  <c r="HN102" i="14609"/>
  <c r="HO102" i="14609"/>
  <c r="HP102" i="14609"/>
  <c r="HQ102" i="14609"/>
  <c r="HR102" i="14609"/>
  <c r="HS102" i="14609"/>
  <c r="HT102" i="14609"/>
  <c r="HU102" i="14609"/>
  <c r="HV102" i="14609"/>
  <c r="HW102" i="14609"/>
  <c r="HX102" i="14609"/>
  <c r="HY102" i="14609"/>
  <c r="HZ102" i="14609"/>
  <c r="IA102" i="14609"/>
  <c r="IB102" i="14609"/>
  <c r="IC102" i="14609"/>
  <c r="ID102" i="14609"/>
  <c r="IE102" i="14609"/>
  <c r="IF102" i="14609"/>
  <c r="IG102" i="14609"/>
  <c r="IH102" i="14609"/>
  <c r="II102" i="14609"/>
  <c r="IJ102" i="14609"/>
  <c r="IK102" i="14609"/>
  <c r="IL102" i="14609"/>
  <c r="IM102" i="14609"/>
  <c r="IN102" i="14609"/>
  <c r="IO102" i="14609"/>
  <c r="IP102" i="14609"/>
  <c r="IQ102" i="14609"/>
  <c r="IR102" i="14609"/>
  <c r="IS102" i="14609"/>
  <c r="IT102" i="14609"/>
  <c r="IU102" i="14609"/>
  <c r="IV102" i="14609"/>
  <c r="A101" i="14609"/>
  <c r="B101" i="14609"/>
  <c r="C101" i="14609"/>
  <c r="D101" i="14609"/>
  <c r="E101" i="14609"/>
  <c r="F101" i="14609"/>
  <c r="G101" i="14609"/>
  <c r="H101" i="14609"/>
  <c r="I101" i="14609"/>
  <c r="J101" i="14609"/>
  <c r="K101" i="14609"/>
  <c r="L101" i="14609"/>
  <c r="M101" i="14609"/>
  <c r="N101" i="14609"/>
  <c r="O101" i="14609"/>
  <c r="P101" i="14609"/>
  <c r="Q101" i="14609"/>
  <c r="R101" i="14609"/>
  <c r="S101" i="14609"/>
  <c r="T101" i="14609"/>
  <c r="U101" i="14609"/>
  <c r="V101" i="14609"/>
  <c r="W101" i="14609"/>
  <c r="X101" i="14609"/>
  <c r="Y101" i="14609"/>
  <c r="Z101" i="14609"/>
  <c r="AA101" i="14609"/>
  <c r="AB101" i="14609"/>
  <c r="AC101" i="14609"/>
  <c r="AD101" i="14609"/>
  <c r="AE101" i="14609"/>
  <c r="AF101" i="14609"/>
  <c r="AG101" i="14609"/>
  <c r="AH101" i="14609"/>
  <c r="AI101" i="14609"/>
  <c r="AJ101" i="14609"/>
  <c r="AK101" i="14609"/>
  <c r="AL101" i="14609"/>
  <c r="AM101" i="14609"/>
  <c r="AN101" i="14609"/>
  <c r="AO101" i="14609"/>
  <c r="AP101" i="14609"/>
  <c r="AQ101" i="14609"/>
  <c r="AR101" i="14609"/>
  <c r="AS101" i="14609"/>
  <c r="AT101" i="14609"/>
  <c r="AU101" i="14609"/>
  <c r="AV101" i="14609"/>
  <c r="AW101" i="14609"/>
  <c r="AX101" i="14609"/>
  <c r="AY101" i="14609"/>
  <c r="AZ101" i="14609"/>
  <c r="BA101" i="14609"/>
  <c r="BB101" i="14609"/>
  <c r="BC101" i="14609"/>
  <c r="BD101" i="14609"/>
  <c r="BE101" i="14609"/>
  <c r="BF101" i="14609"/>
  <c r="BG101" i="14609"/>
  <c r="BH101" i="14609"/>
  <c r="BI101" i="14609"/>
  <c r="BJ101" i="14609"/>
  <c r="BK101" i="14609"/>
  <c r="BL101" i="14609"/>
  <c r="BM101" i="14609"/>
  <c r="BN101" i="14609"/>
  <c r="BO101" i="14609"/>
  <c r="BP101" i="14609"/>
  <c r="BQ101" i="14609"/>
  <c r="BR101" i="14609"/>
  <c r="BS101" i="14609"/>
  <c r="BT101" i="14609"/>
  <c r="BU101" i="14609"/>
  <c r="BV101" i="14609"/>
  <c r="BW101" i="14609"/>
  <c r="BX101" i="14609"/>
  <c r="BY101" i="14609"/>
  <c r="BZ101" i="14609"/>
  <c r="CA101" i="14609"/>
  <c r="CB101" i="14609"/>
  <c r="CC101" i="14609"/>
  <c r="CD101" i="14609"/>
  <c r="CE101" i="14609"/>
  <c r="CF101" i="14609"/>
  <c r="CG101" i="14609"/>
  <c r="CH101" i="14609"/>
  <c r="CI101" i="14609"/>
  <c r="CJ101" i="14609"/>
  <c r="CK101" i="14609"/>
  <c r="CL101" i="14609"/>
  <c r="CM101" i="14609"/>
  <c r="CN101" i="14609"/>
  <c r="CO101" i="14609"/>
  <c r="CP101" i="14609"/>
  <c r="CQ101" i="14609"/>
  <c r="CR101" i="14609"/>
  <c r="CS101" i="14609"/>
  <c r="CT101" i="14609"/>
  <c r="CU101" i="14609"/>
  <c r="CV101" i="14609"/>
  <c r="CW101" i="14609"/>
  <c r="CX101" i="14609"/>
  <c r="CY101" i="14609"/>
  <c r="CZ101" i="14609"/>
  <c r="DA101" i="14609"/>
  <c r="DB101" i="14609"/>
  <c r="DC101" i="14609"/>
  <c r="DD101" i="14609"/>
  <c r="DE101" i="14609"/>
  <c r="DF101" i="14609"/>
  <c r="DG101" i="14609"/>
  <c r="DH101" i="14609"/>
  <c r="DI101" i="14609"/>
  <c r="DJ101" i="14609"/>
  <c r="DK101" i="14609"/>
  <c r="DL101" i="14609"/>
  <c r="DM101" i="14609"/>
  <c r="DN101" i="14609"/>
  <c r="DO101" i="14609"/>
  <c r="DP101" i="14609"/>
  <c r="DQ101" i="14609"/>
  <c r="DR101" i="14609"/>
  <c r="DS101" i="14609"/>
  <c r="DT101" i="14609"/>
  <c r="DU101" i="14609"/>
  <c r="DV101" i="14609"/>
  <c r="DW101" i="14609"/>
  <c r="DX101" i="14609"/>
  <c r="DY101" i="14609"/>
  <c r="DZ101" i="14609"/>
  <c r="EA101" i="14609"/>
  <c r="EB101" i="14609"/>
  <c r="EC101" i="14609"/>
  <c r="ED101" i="14609"/>
  <c r="EE101" i="14609"/>
  <c r="EF101" i="14609"/>
  <c r="EG101" i="14609"/>
  <c r="EH101" i="14609"/>
  <c r="EI101" i="14609"/>
  <c r="EJ101" i="14609"/>
  <c r="EK101" i="14609"/>
  <c r="EL101" i="14609"/>
  <c r="EM101" i="14609"/>
  <c r="EN101" i="14609"/>
  <c r="EO101" i="14609"/>
  <c r="EP101" i="14609"/>
  <c r="EQ101" i="14609"/>
  <c r="ER101" i="14609"/>
  <c r="ES101" i="14609"/>
  <c r="ET101" i="14609"/>
  <c r="EU101" i="14609"/>
  <c r="EV101" i="14609"/>
  <c r="EW101" i="14609"/>
  <c r="EX101" i="14609"/>
  <c r="EY101" i="14609"/>
  <c r="EZ101" i="14609"/>
  <c r="FA101" i="14609"/>
  <c r="FB101" i="14609"/>
  <c r="FC101" i="14609"/>
  <c r="FD101" i="14609"/>
  <c r="FE101" i="14609"/>
  <c r="FF101" i="14609"/>
  <c r="FG101" i="14609"/>
  <c r="FH101" i="14609"/>
  <c r="FI101" i="14609"/>
  <c r="FJ101" i="14609"/>
  <c r="FK101" i="14609"/>
  <c r="FL101" i="14609"/>
  <c r="FM101" i="14609"/>
  <c r="FN101" i="14609"/>
  <c r="FO101" i="14609"/>
  <c r="FP101" i="14609"/>
  <c r="FQ101" i="14609"/>
  <c r="FR101" i="14609"/>
  <c r="FS101" i="14609"/>
  <c r="FT101" i="14609"/>
  <c r="FU101" i="14609"/>
  <c r="FV101" i="14609"/>
  <c r="FW101" i="14609"/>
  <c r="FX101" i="14609"/>
  <c r="FY101" i="14609"/>
  <c r="FZ101" i="14609"/>
  <c r="GA101" i="14609"/>
  <c r="GB101" i="14609"/>
  <c r="GC101" i="14609"/>
  <c r="GD101" i="14609"/>
  <c r="GE101" i="14609"/>
  <c r="GF101" i="14609"/>
  <c r="GG101" i="14609"/>
  <c r="GH101" i="14609"/>
  <c r="GI101" i="14609"/>
  <c r="GJ101" i="14609"/>
  <c r="GK101" i="14609"/>
  <c r="GL101" i="14609"/>
  <c r="GM101" i="14609"/>
  <c r="GN101" i="14609"/>
  <c r="GO101" i="14609"/>
  <c r="GP101" i="14609"/>
  <c r="GQ101" i="14609"/>
  <c r="GR101" i="14609"/>
  <c r="GS101" i="14609"/>
  <c r="GT101" i="14609"/>
  <c r="GU101" i="14609"/>
  <c r="GV101" i="14609"/>
  <c r="GW101" i="14609"/>
  <c r="GX101" i="14609"/>
  <c r="GY101" i="14609"/>
  <c r="GZ101" i="14609"/>
  <c r="HA101" i="14609"/>
  <c r="HB101" i="14609"/>
  <c r="HC101" i="14609"/>
  <c r="HD101" i="14609"/>
  <c r="HE101" i="14609"/>
  <c r="HF101" i="14609"/>
  <c r="HG101" i="14609"/>
  <c r="HH101" i="14609"/>
  <c r="HI101" i="14609"/>
  <c r="HJ101" i="14609"/>
  <c r="HK101" i="14609"/>
  <c r="HL101" i="14609"/>
  <c r="HM101" i="14609"/>
  <c r="HN101" i="14609"/>
  <c r="HO101" i="14609"/>
  <c r="HP101" i="14609"/>
  <c r="HQ101" i="14609"/>
  <c r="HR101" i="14609"/>
  <c r="HS101" i="14609"/>
  <c r="HT101" i="14609"/>
  <c r="HU101" i="14609"/>
  <c r="HV101" i="14609"/>
  <c r="HW101" i="14609"/>
  <c r="HX101" i="14609"/>
  <c r="HY101" i="14609"/>
  <c r="HZ101" i="14609"/>
  <c r="IA101" i="14609"/>
  <c r="IB101" i="14609"/>
  <c r="IC101" i="14609"/>
  <c r="ID101" i="14609"/>
  <c r="IE101" i="14609"/>
  <c r="IF101" i="14609"/>
  <c r="IG101" i="14609"/>
  <c r="IH101" i="14609"/>
  <c r="II101" i="14609"/>
  <c r="IJ101" i="14609"/>
  <c r="IK101" i="14609"/>
  <c r="IL101" i="14609"/>
  <c r="IM101" i="14609"/>
  <c r="IN101" i="14609"/>
  <c r="IO101" i="14609"/>
  <c r="IP101" i="14609"/>
  <c r="IQ101" i="14609"/>
  <c r="IR101" i="14609"/>
  <c r="IS101" i="14609"/>
  <c r="IT101" i="14609"/>
  <c r="IU101" i="14609"/>
  <c r="IV101" i="14609"/>
  <c r="A100" i="14609"/>
  <c r="B100" i="14609"/>
  <c r="C100" i="14609"/>
  <c r="D100" i="14609"/>
  <c r="E100" i="14609"/>
  <c r="F100" i="14609"/>
  <c r="G100" i="14609"/>
  <c r="H100" i="14609"/>
  <c r="I100" i="14609"/>
  <c r="J100" i="14609"/>
  <c r="K100" i="14609"/>
  <c r="L100" i="14609"/>
  <c r="M100" i="14609"/>
  <c r="N100" i="14609"/>
  <c r="O100" i="14609"/>
  <c r="P100" i="14609"/>
  <c r="Q100" i="14609"/>
  <c r="R100" i="14609"/>
  <c r="S100" i="14609"/>
  <c r="T100" i="14609"/>
  <c r="U100" i="14609"/>
  <c r="V100" i="14609"/>
  <c r="W100" i="14609"/>
  <c r="X100" i="14609"/>
  <c r="Y100" i="14609"/>
  <c r="Z100" i="14609"/>
  <c r="AA100" i="14609"/>
  <c r="AB100" i="14609"/>
  <c r="AC100" i="14609"/>
  <c r="AD100" i="14609"/>
  <c r="AE100" i="14609"/>
  <c r="AF100" i="14609"/>
  <c r="AG100" i="14609"/>
  <c r="AH100" i="14609"/>
  <c r="AI100" i="14609"/>
  <c r="AJ100" i="14609"/>
  <c r="AK100" i="14609"/>
  <c r="AL100" i="14609"/>
  <c r="AM100" i="14609"/>
  <c r="AN100" i="14609"/>
  <c r="AO100" i="14609"/>
  <c r="AP100" i="14609"/>
  <c r="AQ100" i="14609"/>
  <c r="AR100" i="14609"/>
  <c r="AS100" i="14609"/>
  <c r="AT100" i="14609"/>
  <c r="AU100" i="14609"/>
  <c r="AV100" i="14609"/>
  <c r="AW100" i="14609"/>
  <c r="AX100" i="14609"/>
  <c r="AY100" i="14609"/>
  <c r="AZ100" i="14609"/>
  <c r="BA100" i="14609"/>
  <c r="BB100" i="14609"/>
  <c r="BC100" i="14609"/>
  <c r="BD100" i="14609"/>
  <c r="BE100" i="14609"/>
  <c r="BF100" i="14609"/>
  <c r="BG100" i="14609"/>
  <c r="BH100" i="14609"/>
  <c r="BI100" i="14609"/>
  <c r="BJ100" i="14609"/>
  <c r="BK100" i="14609"/>
  <c r="BL100" i="14609"/>
  <c r="BM100" i="14609"/>
  <c r="BN100" i="14609"/>
  <c r="BO100" i="14609"/>
  <c r="BP100" i="14609"/>
  <c r="BQ100" i="14609"/>
  <c r="BR100" i="14609"/>
  <c r="BS100" i="14609"/>
  <c r="BT100" i="14609"/>
  <c r="BU100" i="14609"/>
  <c r="BV100" i="14609"/>
  <c r="BW100" i="14609"/>
  <c r="BX100" i="14609"/>
  <c r="BY100" i="14609"/>
  <c r="BZ100" i="14609"/>
  <c r="CA100" i="14609"/>
  <c r="CB100" i="14609"/>
  <c r="CC100" i="14609"/>
  <c r="CD100" i="14609"/>
  <c r="CE100" i="14609"/>
  <c r="CF100" i="14609"/>
  <c r="CG100" i="14609"/>
  <c r="CH100" i="14609"/>
  <c r="CI100" i="14609"/>
  <c r="CJ100" i="14609"/>
  <c r="CK100" i="14609"/>
  <c r="CL100" i="14609"/>
  <c r="CM100" i="14609"/>
  <c r="CN100" i="14609"/>
  <c r="CO100" i="14609"/>
  <c r="CP100" i="14609"/>
  <c r="CQ100" i="14609"/>
  <c r="CR100" i="14609"/>
  <c r="CS100" i="14609"/>
  <c r="CT100" i="14609"/>
  <c r="CU100" i="14609"/>
  <c r="CV100" i="14609"/>
  <c r="CW100" i="14609"/>
  <c r="CX100" i="14609"/>
  <c r="CY100" i="14609"/>
  <c r="CZ100" i="14609"/>
  <c r="DA100" i="14609"/>
  <c r="DB100" i="14609"/>
  <c r="DC100" i="14609"/>
  <c r="DD100" i="14609"/>
  <c r="DE100" i="14609"/>
  <c r="DF100" i="14609"/>
  <c r="DG100" i="14609"/>
  <c r="DH100" i="14609"/>
  <c r="DI100" i="14609"/>
  <c r="DJ100" i="14609"/>
  <c r="DK100" i="14609"/>
  <c r="DL100" i="14609"/>
  <c r="DM100" i="14609"/>
  <c r="DN100" i="14609"/>
  <c r="DO100" i="14609"/>
  <c r="DP100" i="14609"/>
  <c r="DQ100" i="14609"/>
  <c r="DR100" i="14609"/>
  <c r="DS100" i="14609"/>
  <c r="DT100" i="14609"/>
  <c r="DU100" i="14609"/>
  <c r="DV100" i="14609"/>
  <c r="DW100" i="14609"/>
  <c r="DX100" i="14609"/>
  <c r="DY100" i="14609"/>
  <c r="DZ100" i="14609"/>
  <c r="EA100" i="14609"/>
  <c r="EB100" i="14609"/>
  <c r="EC100" i="14609"/>
  <c r="ED100" i="14609"/>
  <c r="EE100" i="14609"/>
  <c r="EF100" i="14609"/>
  <c r="EG100" i="14609"/>
  <c r="EH100" i="14609"/>
  <c r="EI100" i="14609"/>
  <c r="EJ100" i="14609"/>
  <c r="EK100" i="14609"/>
  <c r="EL100" i="14609"/>
  <c r="EM100" i="14609"/>
  <c r="EN100" i="14609"/>
  <c r="EO100" i="14609"/>
  <c r="EP100" i="14609"/>
  <c r="EQ100" i="14609"/>
  <c r="ER100" i="14609"/>
  <c r="ES100" i="14609"/>
  <c r="ET100" i="14609"/>
  <c r="EU100" i="14609"/>
  <c r="EV100" i="14609"/>
  <c r="EW100" i="14609"/>
  <c r="EX100" i="14609"/>
  <c r="EY100" i="14609"/>
  <c r="EZ100" i="14609"/>
  <c r="FA100" i="14609"/>
  <c r="FB100" i="14609"/>
  <c r="FC100" i="14609"/>
  <c r="FD100" i="14609"/>
  <c r="FE100" i="14609"/>
  <c r="FF100" i="14609"/>
  <c r="FG100" i="14609"/>
  <c r="FH100" i="14609"/>
  <c r="FI100" i="14609"/>
  <c r="FJ100" i="14609"/>
  <c r="FK100" i="14609"/>
  <c r="FL100" i="14609"/>
  <c r="FM100" i="14609"/>
  <c r="FN100" i="14609"/>
  <c r="FO100" i="14609"/>
  <c r="FP100" i="14609"/>
  <c r="FQ100" i="14609"/>
  <c r="FR100" i="14609"/>
  <c r="FS100" i="14609"/>
  <c r="FT100" i="14609"/>
  <c r="FU100" i="14609"/>
  <c r="FV100" i="14609"/>
  <c r="FW100" i="14609"/>
  <c r="FX100" i="14609"/>
  <c r="FY100" i="14609"/>
  <c r="FZ100" i="14609"/>
  <c r="GA100" i="14609"/>
  <c r="GB100" i="14609"/>
  <c r="GC100" i="14609"/>
  <c r="GD100" i="14609"/>
  <c r="GE100" i="14609"/>
  <c r="GF100" i="14609"/>
  <c r="GG100" i="14609"/>
  <c r="GH100" i="14609"/>
  <c r="GI100" i="14609"/>
  <c r="GJ100" i="14609"/>
  <c r="GK100" i="14609"/>
  <c r="GL100" i="14609"/>
  <c r="GM100" i="14609"/>
  <c r="GN100" i="14609"/>
  <c r="GO100" i="14609"/>
  <c r="GP100" i="14609"/>
  <c r="GQ100" i="14609"/>
  <c r="GR100" i="14609"/>
  <c r="GS100" i="14609"/>
  <c r="GT100" i="14609"/>
  <c r="GU100" i="14609"/>
  <c r="GV100" i="14609"/>
  <c r="GW100" i="14609"/>
  <c r="GX100" i="14609"/>
  <c r="GY100" i="14609"/>
  <c r="GZ100" i="14609"/>
  <c r="HA100" i="14609"/>
  <c r="HB100" i="14609"/>
  <c r="HC100" i="14609"/>
  <c r="HD100" i="14609"/>
  <c r="HE100" i="14609"/>
  <c r="HF100" i="14609"/>
  <c r="HG100" i="14609"/>
  <c r="HH100" i="14609"/>
  <c r="HI100" i="14609"/>
  <c r="HJ100" i="14609"/>
  <c r="HK100" i="14609"/>
  <c r="HL100" i="14609"/>
  <c r="HM100" i="14609"/>
  <c r="HN100" i="14609"/>
  <c r="HO100" i="14609"/>
  <c r="HP100" i="14609"/>
  <c r="HQ100" i="14609"/>
  <c r="HR100" i="14609"/>
  <c r="HS100" i="14609"/>
  <c r="HT100" i="14609"/>
  <c r="HU100" i="14609"/>
  <c r="HV100" i="14609"/>
  <c r="HW100" i="14609"/>
  <c r="HX100" i="14609"/>
  <c r="HY100" i="14609"/>
  <c r="HZ100" i="14609"/>
  <c r="IA100" i="14609"/>
  <c r="IB100" i="14609"/>
  <c r="IC100" i="14609"/>
  <c r="ID100" i="14609"/>
  <c r="IE100" i="14609"/>
  <c r="IF100" i="14609"/>
  <c r="IG100" i="14609"/>
  <c r="IH100" i="14609"/>
  <c r="II100" i="14609"/>
  <c r="IJ100" i="14609"/>
  <c r="IK100" i="14609"/>
  <c r="IL100" i="14609"/>
  <c r="IM100" i="14609"/>
  <c r="IN100" i="14609"/>
  <c r="IO100" i="14609"/>
  <c r="IP100" i="14609"/>
  <c r="IQ100" i="14609"/>
  <c r="IR100" i="14609"/>
  <c r="IS100" i="14609"/>
  <c r="IT100" i="14609"/>
  <c r="IU100" i="14609"/>
  <c r="IV100" i="14609"/>
  <c r="A99" i="14609"/>
  <c r="B99" i="14609"/>
  <c r="C99" i="14609"/>
  <c r="D99" i="14609"/>
  <c r="E99" i="14609"/>
  <c r="F99" i="14609"/>
  <c r="G99" i="14609"/>
  <c r="H99" i="14609"/>
  <c r="I99" i="14609"/>
  <c r="J99" i="14609"/>
  <c r="K99" i="14609"/>
  <c r="L99" i="14609"/>
  <c r="M99" i="14609"/>
  <c r="N99" i="14609"/>
  <c r="O99" i="14609"/>
  <c r="P99" i="14609"/>
  <c r="Q99" i="14609"/>
  <c r="R99" i="14609"/>
  <c r="S99" i="14609"/>
  <c r="T99" i="14609"/>
  <c r="U99" i="14609"/>
  <c r="V99" i="14609"/>
  <c r="W99" i="14609"/>
  <c r="X99" i="14609"/>
  <c r="Y99" i="14609"/>
  <c r="Z99" i="14609"/>
  <c r="AA99" i="14609"/>
  <c r="AB99" i="14609"/>
  <c r="AC99" i="14609"/>
  <c r="AD99" i="14609"/>
  <c r="AE99" i="14609"/>
  <c r="AF99" i="14609"/>
  <c r="AG99" i="14609"/>
  <c r="AH99" i="14609"/>
  <c r="AI99" i="14609"/>
  <c r="AJ99" i="14609"/>
  <c r="AK99" i="14609"/>
  <c r="AL99" i="14609"/>
  <c r="AM99" i="14609"/>
  <c r="AN99" i="14609"/>
  <c r="AO99" i="14609"/>
  <c r="AP99" i="14609"/>
  <c r="AQ99" i="14609"/>
  <c r="AR99" i="14609"/>
  <c r="AS99" i="14609"/>
  <c r="AT99" i="14609"/>
  <c r="AU99" i="14609"/>
  <c r="AV99" i="14609"/>
  <c r="AW99" i="14609"/>
  <c r="AX99" i="14609"/>
  <c r="AY99" i="14609"/>
  <c r="AZ99" i="14609"/>
  <c r="BA99" i="14609"/>
  <c r="BB99" i="14609"/>
  <c r="BC99" i="14609"/>
  <c r="BD99" i="14609"/>
  <c r="BE99" i="14609"/>
  <c r="BF99" i="14609"/>
  <c r="BG99" i="14609"/>
  <c r="BH99" i="14609"/>
  <c r="BI99" i="14609"/>
  <c r="BJ99" i="14609"/>
  <c r="BK99" i="14609"/>
  <c r="BL99" i="14609"/>
  <c r="BM99" i="14609"/>
  <c r="BN99" i="14609"/>
  <c r="BO99" i="14609"/>
  <c r="BP99" i="14609"/>
  <c r="BQ99" i="14609"/>
  <c r="BR99" i="14609"/>
  <c r="BS99" i="14609"/>
  <c r="BT99" i="14609"/>
  <c r="BU99" i="14609"/>
  <c r="BV99" i="14609"/>
  <c r="BW99" i="14609"/>
  <c r="BX99" i="14609"/>
  <c r="BY99" i="14609"/>
  <c r="BZ99" i="14609"/>
  <c r="CA99" i="14609"/>
  <c r="CB99" i="14609"/>
  <c r="CC99" i="14609"/>
  <c r="CD99" i="14609"/>
  <c r="CE99" i="14609"/>
  <c r="CF99" i="14609"/>
  <c r="CG99" i="14609"/>
  <c r="CH99" i="14609"/>
  <c r="CI99" i="14609"/>
  <c r="CJ99" i="14609"/>
  <c r="CK99" i="14609"/>
  <c r="CL99" i="14609"/>
  <c r="CM99" i="14609"/>
  <c r="CN99" i="14609"/>
  <c r="CO99" i="14609"/>
  <c r="CP99" i="14609"/>
  <c r="CQ99" i="14609"/>
  <c r="CR99" i="14609"/>
  <c r="CS99" i="14609"/>
  <c r="CT99" i="14609"/>
  <c r="CU99" i="14609"/>
  <c r="CV99" i="14609"/>
  <c r="CW99" i="14609"/>
  <c r="CX99" i="14609"/>
  <c r="CY99" i="14609"/>
  <c r="CZ99" i="14609"/>
  <c r="DA99" i="14609"/>
  <c r="DB99" i="14609"/>
  <c r="DC99" i="14609"/>
  <c r="DD99" i="14609"/>
  <c r="DE99" i="14609"/>
  <c r="DF99" i="14609"/>
  <c r="DG99" i="14609"/>
  <c r="DH99" i="14609"/>
  <c r="DI99" i="14609"/>
  <c r="DJ99" i="14609"/>
  <c r="DK99" i="14609"/>
  <c r="DL99" i="14609"/>
  <c r="DM99" i="14609"/>
  <c r="DN99" i="14609"/>
  <c r="DO99" i="14609"/>
  <c r="DP99" i="14609"/>
  <c r="DQ99" i="14609"/>
  <c r="DR99" i="14609"/>
  <c r="DS99" i="14609"/>
  <c r="DT99" i="14609"/>
  <c r="DU99" i="14609"/>
  <c r="DV99" i="14609"/>
  <c r="DW99" i="14609"/>
  <c r="DX99" i="14609"/>
  <c r="DY99" i="14609"/>
  <c r="DZ99" i="14609"/>
  <c r="EA99" i="14609"/>
  <c r="EB99" i="14609"/>
  <c r="EC99" i="14609"/>
  <c r="ED99" i="14609"/>
  <c r="EE99" i="14609"/>
  <c r="EF99" i="14609"/>
  <c r="EG99" i="14609"/>
  <c r="EH99" i="14609"/>
  <c r="EI99" i="14609"/>
  <c r="EJ99" i="14609"/>
  <c r="EK99" i="14609"/>
  <c r="EL99" i="14609"/>
  <c r="EM99" i="14609"/>
  <c r="EN99" i="14609"/>
  <c r="EO99" i="14609"/>
  <c r="EP99" i="14609"/>
  <c r="EQ99" i="14609"/>
  <c r="ER99" i="14609"/>
  <c r="ES99" i="14609"/>
  <c r="ET99" i="14609"/>
  <c r="EU99" i="14609"/>
  <c r="EV99" i="14609"/>
  <c r="EW99" i="14609"/>
  <c r="EX99" i="14609"/>
  <c r="EY99" i="14609"/>
  <c r="EZ99" i="14609"/>
  <c r="FA99" i="14609"/>
  <c r="FB99" i="14609"/>
  <c r="FC99" i="14609"/>
  <c r="FD99" i="14609"/>
  <c r="FE99" i="14609"/>
  <c r="FF99" i="14609"/>
  <c r="FG99" i="14609"/>
  <c r="FH99" i="14609"/>
  <c r="FI99" i="14609"/>
  <c r="FJ99" i="14609"/>
  <c r="FK99" i="14609"/>
  <c r="FL99" i="14609"/>
  <c r="FM99" i="14609"/>
  <c r="FN99" i="14609"/>
  <c r="FO99" i="14609"/>
  <c r="FP99" i="14609"/>
  <c r="FQ99" i="14609"/>
  <c r="FR99" i="14609"/>
  <c r="FS99" i="14609"/>
  <c r="FT99" i="14609"/>
  <c r="FU99" i="14609"/>
  <c r="FV99" i="14609"/>
  <c r="FW99" i="14609"/>
  <c r="FX99" i="14609"/>
  <c r="FY99" i="14609"/>
  <c r="FZ99" i="14609"/>
  <c r="GA99" i="14609"/>
  <c r="GB99" i="14609"/>
  <c r="GC99" i="14609"/>
  <c r="GD99" i="14609"/>
  <c r="GE99" i="14609"/>
  <c r="GF99" i="14609"/>
  <c r="GG99" i="14609"/>
  <c r="GH99" i="14609"/>
  <c r="GI99" i="14609"/>
  <c r="GJ99" i="14609"/>
  <c r="GK99" i="14609"/>
  <c r="GL99" i="14609"/>
  <c r="GM99" i="14609"/>
  <c r="GN99" i="14609"/>
  <c r="GO99" i="14609"/>
  <c r="GP99" i="14609"/>
  <c r="GQ99" i="14609"/>
  <c r="GR99" i="14609"/>
  <c r="GS99" i="14609"/>
  <c r="GT99" i="14609"/>
  <c r="GU99" i="14609"/>
  <c r="GV99" i="14609"/>
  <c r="GW99" i="14609"/>
  <c r="GX99" i="14609"/>
  <c r="GY99" i="14609"/>
  <c r="GZ99" i="14609"/>
  <c r="HA99" i="14609"/>
  <c r="HB99" i="14609"/>
  <c r="HC99" i="14609"/>
  <c r="HD99" i="14609"/>
  <c r="HE99" i="14609"/>
  <c r="HF99" i="14609"/>
  <c r="HG99" i="14609"/>
  <c r="HH99" i="14609"/>
  <c r="HI99" i="14609"/>
  <c r="HJ99" i="14609"/>
  <c r="HK99" i="14609"/>
  <c r="HL99" i="14609"/>
  <c r="HM99" i="14609"/>
  <c r="HN99" i="14609"/>
  <c r="HO99" i="14609"/>
  <c r="HP99" i="14609"/>
  <c r="HQ99" i="14609"/>
  <c r="HR99" i="14609"/>
  <c r="HS99" i="14609"/>
  <c r="HT99" i="14609"/>
  <c r="HU99" i="14609"/>
  <c r="HV99" i="14609"/>
  <c r="HW99" i="14609"/>
  <c r="HX99" i="14609"/>
  <c r="HY99" i="14609"/>
  <c r="HZ99" i="14609"/>
  <c r="IA99" i="14609"/>
  <c r="IB99" i="14609"/>
  <c r="IC99" i="14609"/>
  <c r="ID99" i="14609"/>
  <c r="IE99" i="14609"/>
  <c r="IF99" i="14609"/>
  <c r="IG99" i="14609"/>
  <c r="IH99" i="14609"/>
  <c r="II99" i="14609"/>
  <c r="IJ99" i="14609"/>
  <c r="IK99" i="14609"/>
  <c r="IL99" i="14609"/>
  <c r="IM99" i="14609"/>
  <c r="IN99" i="14609"/>
  <c r="IO99" i="14609"/>
  <c r="IP99" i="14609"/>
  <c r="IQ99" i="14609"/>
  <c r="IR99" i="14609"/>
  <c r="IS99" i="14609"/>
  <c r="IT99" i="14609"/>
  <c r="IU99" i="14609"/>
  <c r="IV99" i="14609"/>
  <c r="A98" i="14609"/>
  <c r="B98" i="14609"/>
  <c r="C98" i="14609"/>
  <c r="D98" i="14609"/>
  <c r="E98" i="14609"/>
  <c r="F98" i="14609"/>
  <c r="G98" i="14609"/>
  <c r="H98" i="14609"/>
  <c r="I98" i="14609"/>
  <c r="J98" i="14609"/>
  <c r="K98" i="14609"/>
  <c r="L98" i="14609"/>
  <c r="M98" i="14609"/>
  <c r="N98" i="14609"/>
  <c r="O98" i="14609"/>
  <c r="P98" i="14609"/>
  <c r="Q98" i="14609"/>
  <c r="R98" i="14609"/>
  <c r="S98" i="14609"/>
  <c r="T98" i="14609"/>
  <c r="U98" i="14609"/>
  <c r="V98" i="14609"/>
  <c r="W98" i="14609"/>
  <c r="X98" i="14609"/>
  <c r="Y98" i="14609"/>
  <c r="Z98" i="14609"/>
  <c r="AA98" i="14609"/>
  <c r="AB98" i="14609"/>
  <c r="AC98" i="14609"/>
  <c r="AD98" i="14609"/>
  <c r="AE98" i="14609"/>
  <c r="AF98" i="14609"/>
  <c r="AG98" i="14609"/>
  <c r="AH98" i="14609"/>
  <c r="AI98" i="14609"/>
  <c r="AJ98" i="14609"/>
  <c r="AK98" i="14609"/>
  <c r="AL98" i="14609"/>
  <c r="AM98" i="14609"/>
  <c r="AN98" i="14609"/>
  <c r="AO98" i="14609"/>
  <c r="AP98" i="14609"/>
  <c r="AQ98" i="14609"/>
  <c r="AR98" i="14609"/>
  <c r="AS98" i="14609"/>
  <c r="AT98" i="14609"/>
  <c r="AU98" i="14609"/>
  <c r="AV98" i="14609"/>
  <c r="AW98" i="14609"/>
  <c r="AX98" i="14609"/>
  <c r="AY98" i="14609"/>
  <c r="AZ98" i="14609"/>
  <c r="BA98" i="14609"/>
  <c r="BB98" i="14609"/>
  <c r="BC98" i="14609"/>
  <c r="BD98" i="14609"/>
  <c r="BE98" i="14609"/>
  <c r="BF98" i="14609"/>
  <c r="BG98" i="14609"/>
  <c r="BH98" i="14609"/>
  <c r="BI98" i="14609"/>
  <c r="BJ98" i="14609"/>
  <c r="BK98" i="14609"/>
  <c r="BL98" i="14609"/>
  <c r="BM98" i="14609"/>
  <c r="BN98" i="14609"/>
  <c r="BO98" i="14609"/>
  <c r="BP98" i="14609"/>
  <c r="BQ98" i="14609"/>
  <c r="BR98" i="14609"/>
  <c r="BS98" i="14609"/>
  <c r="BT98" i="14609"/>
  <c r="BU98" i="14609"/>
  <c r="BV98" i="14609"/>
  <c r="BW98" i="14609"/>
  <c r="BX98" i="14609"/>
  <c r="BY98" i="14609"/>
  <c r="BZ98" i="14609"/>
  <c r="CA98" i="14609"/>
  <c r="CB98" i="14609"/>
  <c r="CC98" i="14609"/>
  <c r="CD98" i="14609"/>
  <c r="CE98" i="14609"/>
  <c r="CF98" i="14609"/>
  <c r="CG98" i="14609"/>
  <c r="CH98" i="14609"/>
  <c r="CI98" i="14609"/>
  <c r="CJ98" i="14609"/>
  <c r="CK98" i="14609"/>
  <c r="CL98" i="14609"/>
  <c r="CM98" i="14609"/>
  <c r="CN98" i="14609"/>
  <c r="CO98" i="14609"/>
  <c r="CP98" i="14609"/>
  <c r="CQ98" i="14609"/>
  <c r="CR98" i="14609"/>
  <c r="CS98" i="14609"/>
  <c r="CT98" i="14609"/>
  <c r="CU98" i="14609"/>
  <c r="CV98" i="14609"/>
  <c r="CW98" i="14609"/>
  <c r="CX98" i="14609"/>
  <c r="CY98" i="14609"/>
  <c r="CZ98" i="14609"/>
  <c r="DA98" i="14609"/>
  <c r="DB98" i="14609"/>
  <c r="DC98" i="14609"/>
  <c r="DD98" i="14609"/>
  <c r="DE98" i="14609"/>
  <c r="DF98" i="14609"/>
  <c r="DG98" i="14609"/>
  <c r="DH98" i="14609"/>
  <c r="DI98" i="14609"/>
  <c r="DJ98" i="14609"/>
  <c r="DK98" i="14609"/>
  <c r="DL98" i="14609"/>
  <c r="DM98" i="14609"/>
  <c r="DN98" i="14609"/>
  <c r="DO98" i="14609"/>
  <c r="DP98" i="14609"/>
  <c r="DQ98" i="14609"/>
  <c r="DR98" i="14609"/>
  <c r="DS98" i="14609"/>
  <c r="DT98" i="14609"/>
  <c r="DU98" i="14609"/>
  <c r="DV98" i="14609"/>
  <c r="DW98" i="14609"/>
  <c r="DX98" i="14609"/>
  <c r="DY98" i="14609"/>
  <c r="DZ98" i="14609"/>
  <c r="EA98" i="14609"/>
  <c r="EB98" i="14609"/>
  <c r="EC98" i="14609"/>
  <c r="ED98" i="14609"/>
  <c r="EE98" i="14609"/>
  <c r="EF98" i="14609"/>
  <c r="EG98" i="14609"/>
  <c r="EH98" i="14609"/>
  <c r="EI98" i="14609"/>
  <c r="EJ98" i="14609"/>
  <c r="EK98" i="14609"/>
  <c r="EL98" i="14609"/>
  <c r="EM98" i="14609"/>
  <c r="EN98" i="14609"/>
  <c r="EO98" i="14609"/>
  <c r="EP98" i="14609"/>
  <c r="EQ98" i="14609"/>
  <c r="ER98" i="14609"/>
  <c r="ES98" i="14609"/>
  <c r="ET98" i="14609"/>
  <c r="EU98" i="14609"/>
  <c r="EV98" i="14609"/>
  <c r="EW98" i="14609"/>
  <c r="EX98" i="14609"/>
  <c r="EY98" i="14609"/>
  <c r="EZ98" i="14609"/>
  <c r="FA98" i="14609"/>
  <c r="FB98" i="14609"/>
  <c r="FC98" i="14609"/>
  <c r="FD98" i="14609"/>
  <c r="FE98" i="14609"/>
  <c r="FF98" i="14609"/>
  <c r="FG98" i="14609"/>
  <c r="FH98" i="14609"/>
  <c r="FI98" i="14609"/>
  <c r="FJ98" i="14609"/>
  <c r="FK98" i="14609"/>
  <c r="FL98" i="14609"/>
  <c r="FM98" i="14609"/>
  <c r="FN98" i="14609"/>
  <c r="FO98" i="14609"/>
  <c r="FP98" i="14609"/>
  <c r="FQ98" i="14609"/>
  <c r="FR98" i="14609"/>
  <c r="FS98" i="14609"/>
  <c r="FT98" i="14609"/>
  <c r="FU98" i="14609"/>
  <c r="FV98" i="14609"/>
  <c r="FW98" i="14609"/>
  <c r="FX98" i="14609"/>
  <c r="FY98" i="14609"/>
  <c r="FZ98" i="14609"/>
  <c r="GA98" i="14609"/>
  <c r="GB98" i="14609"/>
  <c r="GC98" i="14609"/>
  <c r="GD98" i="14609"/>
  <c r="GE98" i="14609"/>
  <c r="GF98" i="14609"/>
  <c r="GG98" i="14609"/>
  <c r="GH98" i="14609"/>
  <c r="GI98" i="14609"/>
  <c r="GJ98" i="14609"/>
  <c r="GK98" i="14609"/>
  <c r="GL98" i="14609"/>
  <c r="GM98" i="14609"/>
  <c r="GN98" i="14609"/>
  <c r="GO98" i="14609"/>
  <c r="GP98" i="14609"/>
  <c r="GQ98" i="14609"/>
  <c r="GR98" i="14609"/>
  <c r="GS98" i="14609"/>
  <c r="GT98" i="14609"/>
  <c r="GU98" i="14609"/>
  <c r="GV98" i="14609"/>
  <c r="GW98" i="14609"/>
  <c r="GX98" i="14609"/>
  <c r="GY98" i="14609"/>
  <c r="GZ98" i="14609"/>
  <c r="HA98" i="14609"/>
  <c r="HB98" i="14609"/>
  <c r="HC98" i="14609"/>
  <c r="HD98" i="14609"/>
  <c r="HE98" i="14609"/>
  <c r="HF98" i="14609"/>
  <c r="HG98" i="14609"/>
  <c r="HH98" i="14609"/>
  <c r="HI98" i="14609"/>
  <c r="HJ98" i="14609"/>
  <c r="HK98" i="14609"/>
  <c r="HL98" i="14609"/>
  <c r="HM98" i="14609"/>
  <c r="HN98" i="14609"/>
  <c r="HO98" i="14609"/>
  <c r="HP98" i="14609"/>
  <c r="HQ98" i="14609"/>
  <c r="HR98" i="14609"/>
  <c r="HS98" i="14609"/>
  <c r="HT98" i="14609"/>
  <c r="HU98" i="14609"/>
  <c r="HV98" i="14609"/>
  <c r="HW98" i="14609"/>
  <c r="HX98" i="14609"/>
  <c r="HY98" i="14609"/>
  <c r="HZ98" i="14609"/>
  <c r="IA98" i="14609"/>
  <c r="IB98" i="14609"/>
  <c r="IC98" i="14609"/>
  <c r="ID98" i="14609"/>
  <c r="IE98" i="14609"/>
  <c r="IF98" i="14609"/>
  <c r="IG98" i="14609"/>
  <c r="IH98" i="14609"/>
  <c r="II98" i="14609"/>
  <c r="IJ98" i="14609"/>
  <c r="IK98" i="14609"/>
  <c r="IL98" i="14609"/>
  <c r="IM98" i="14609"/>
  <c r="IN98" i="14609"/>
  <c r="IO98" i="14609"/>
  <c r="IP98" i="14609"/>
  <c r="IQ98" i="14609"/>
  <c r="IR98" i="14609"/>
  <c r="IS98" i="14609"/>
  <c r="IT98" i="14609"/>
  <c r="IU98" i="14609"/>
  <c r="IV98" i="14609"/>
  <c r="A97" i="14609"/>
  <c r="B97" i="14609"/>
  <c r="C97" i="14609"/>
  <c r="D97" i="14609"/>
  <c r="E97" i="14609"/>
  <c r="F97" i="14609"/>
  <c r="G97" i="14609"/>
  <c r="H97" i="14609"/>
  <c r="I97" i="14609"/>
  <c r="J97" i="14609"/>
  <c r="K97" i="14609"/>
  <c r="L97" i="14609"/>
  <c r="M97" i="14609"/>
  <c r="N97" i="14609"/>
  <c r="O97" i="14609"/>
  <c r="P97" i="14609"/>
  <c r="Q97" i="14609"/>
  <c r="R97" i="14609"/>
  <c r="S97" i="14609"/>
  <c r="T97" i="14609"/>
  <c r="U97" i="14609"/>
  <c r="V97" i="14609"/>
  <c r="W97" i="14609"/>
  <c r="X97" i="14609"/>
  <c r="Y97" i="14609"/>
  <c r="Z97" i="14609"/>
  <c r="AA97" i="14609"/>
  <c r="AB97" i="14609"/>
  <c r="AC97" i="14609"/>
  <c r="AD97" i="14609"/>
  <c r="AE97" i="14609"/>
  <c r="AF97" i="14609"/>
  <c r="AG97" i="14609"/>
  <c r="AH97" i="14609"/>
  <c r="AI97" i="14609"/>
  <c r="AJ97" i="14609"/>
  <c r="AK97" i="14609"/>
  <c r="AL97" i="14609"/>
  <c r="AM97" i="14609"/>
  <c r="AN97" i="14609"/>
  <c r="AO97" i="14609"/>
  <c r="AP97" i="14609"/>
  <c r="AQ97" i="14609"/>
  <c r="AR97" i="14609"/>
  <c r="AS97" i="14609"/>
  <c r="AT97" i="14609"/>
  <c r="AU97" i="14609"/>
  <c r="AV97" i="14609"/>
  <c r="AW97" i="14609"/>
  <c r="AX97" i="14609"/>
  <c r="AY97" i="14609"/>
  <c r="AZ97" i="14609"/>
  <c r="BA97" i="14609"/>
  <c r="BB97" i="14609"/>
  <c r="BC97" i="14609"/>
  <c r="BD97" i="14609"/>
  <c r="BE97" i="14609"/>
  <c r="BF97" i="14609"/>
  <c r="BG97" i="14609"/>
  <c r="BH97" i="14609"/>
  <c r="BI97" i="14609"/>
  <c r="BJ97" i="14609"/>
  <c r="BK97" i="14609"/>
  <c r="BL97" i="14609"/>
  <c r="BM97" i="14609"/>
  <c r="BN97" i="14609"/>
  <c r="BO97" i="14609"/>
  <c r="BP97" i="14609"/>
  <c r="BQ97" i="14609"/>
  <c r="BR97" i="14609"/>
  <c r="BS97" i="14609"/>
  <c r="BT97" i="14609"/>
  <c r="BU97" i="14609"/>
  <c r="BV97" i="14609"/>
  <c r="BW97" i="14609"/>
  <c r="BX97" i="14609"/>
  <c r="BY97" i="14609"/>
  <c r="BZ97" i="14609"/>
  <c r="CA97" i="14609"/>
  <c r="CB97" i="14609"/>
  <c r="CC97" i="14609"/>
  <c r="CD97" i="14609"/>
  <c r="CE97" i="14609"/>
  <c r="CF97" i="14609"/>
  <c r="CG97" i="14609"/>
  <c r="CH97" i="14609"/>
  <c r="CI97" i="14609"/>
  <c r="CJ97" i="14609"/>
  <c r="CK97" i="14609"/>
  <c r="CL97" i="14609"/>
  <c r="CM97" i="14609"/>
  <c r="CN97" i="14609"/>
  <c r="CO97" i="14609"/>
  <c r="CP97" i="14609"/>
  <c r="CQ97" i="14609"/>
  <c r="CR97" i="14609"/>
  <c r="CS97" i="14609"/>
  <c r="CT97" i="14609"/>
  <c r="CU97" i="14609"/>
  <c r="CV97" i="14609"/>
  <c r="CW97" i="14609"/>
  <c r="CX97" i="14609"/>
  <c r="CY97" i="14609"/>
  <c r="CZ97" i="14609"/>
  <c r="DA97" i="14609"/>
  <c r="DB97" i="14609"/>
  <c r="DC97" i="14609"/>
  <c r="DD97" i="14609"/>
  <c r="DE97" i="14609"/>
  <c r="DF97" i="14609"/>
  <c r="DG97" i="14609"/>
  <c r="DH97" i="14609"/>
  <c r="DI97" i="14609"/>
  <c r="DJ97" i="14609"/>
  <c r="DK97" i="14609"/>
  <c r="DL97" i="14609"/>
  <c r="DM97" i="14609"/>
  <c r="DN97" i="14609"/>
  <c r="DO97" i="14609"/>
  <c r="DP97" i="14609"/>
  <c r="DQ97" i="14609"/>
  <c r="DR97" i="14609"/>
  <c r="DS97" i="14609"/>
  <c r="DT97" i="14609"/>
  <c r="DU97" i="14609"/>
  <c r="DV97" i="14609"/>
  <c r="DW97" i="14609"/>
  <c r="DX97" i="14609"/>
  <c r="DY97" i="14609"/>
  <c r="DZ97" i="14609"/>
  <c r="EA97" i="14609"/>
  <c r="EB97" i="14609"/>
  <c r="EC97" i="14609"/>
  <c r="ED97" i="14609"/>
  <c r="EE97" i="14609"/>
  <c r="EF97" i="14609"/>
  <c r="EG97" i="14609"/>
  <c r="EH97" i="14609"/>
  <c r="EI97" i="14609"/>
  <c r="EJ97" i="14609"/>
  <c r="EK97" i="14609"/>
  <c r="EL97" i="14609"/>
  <c r="EM97" i="14609"/>
  <c r="EN97" i="14609"/>
  <c r="EO97" i="14609"/>
  <c r="EP97" i="14609"/>
  <c r="EQ97" i="14609"/>
  <c r="ER97" i="14609"/>
  <c r="ES97" i="14609"/>
  <c r="ET97" i="14609"/>
  <c r="EU97" i="14609"/>
  <c r="EV97" i="14609"/>
  <c r="EW97" i="14609"/>
  <c r="EX97" i="14609"/>
  <c r="EY97" i="14609"/>
  <c r="EZ97" i="14609"/>
  <c r="FA97" i="14609"/>
  <c r="FB97" i="14609"/>
  <c r="FC97" i="14609"/>
  <c r="FD97" i="14609"/>
  <c r="FE97" i="14609"/>
  <c r="FF97" i="14609"/>
  <c r="FG97" i="14609"/>
  <c r="FH97" i="14609"/>
  <c r="FI97" i="14609"/>
  <c r="FJ97" i="14609"/>
  <c r="FK97" i="14609"/>
  <c r="FL97" i="14609"/>
  <c r="FM97" i="14609"/>
  <c r="FN97" i="14609"/>
  <c r="FO97" i="14609"/>
  <c r="FP97" i="14609"/>
  <c r="FQ97" i="14609"/>
  <c r="FR97" i="14609"/>
  <c r="FS97" i="14609"/>
  <c r="FT97" i="14609"/>
  <c r="FU97" i="14609"/>
  <c r="FV97" i="14609"/>
  <c r="FW97" i="14609"/>
  <c r="FX97" i="14609"/>
  <c r="FY97" i="14609"/>
  <c r="FZ97" i="14609"/>
  <c r="GA97" i="14609"/>
  <c r="GB97" i="14609"/>
  <c r="GC97" i="14609"/>
  <c r="GD97" i="14609"/>
  <c r="GE97" i="14609"/>
  <c r="GF97" i="14609"/>
  <c r="GG97" i="14609"/>
  <c r="GH97" i="14609"/>
  <c r="GI97" i="14609"/>
  <c r="GJ97" i="14609"/>
  <c r="GK97" i="14609"/>
  <c r="GL97" i="14609"/>
  <c r="GM97" i="14609"/>
  <c r="GN97" i="14609"/>
  <c r="GO97" i="14609"/>
  <c r="GP97" i="14609"/>
  <c r="GQ97" i="14609"/>
  <c r="GR97" i="14609"/>
  <c r="GS97" i="14609"/>
  <c r="GT97" i="14609"/>
  <c r="GU97" i="14609"/>
  <c r="GV97" i="14609"/>
  <c r="GW97" i="14609"/>
  <c r="GX97" i="14609"/>
  <c r="GY97" i="14609"/>
  <c r="GZ97" i="14609"/>
  <c r="HA97" i="14609"/>
  <c r="HB97" i="14609"/>
  <c r="HC97" i="14609"/>
  <c r="HD97" i="14609"/>
  <c r="HE97" i="14609"/>
  <c r="HF97" i="14609"/>
  <c r="HG97" i="14609"/>
  <c r="HH97" i="14609"/>
  <c r="HI97" i="14609"/>
  <c r="HJ97" i="14609"/>
  <c r="HK97" i="14609"/>
  <c r="HL97" i="14609"/>
  <c r="HM97" i="14609"/>
  <c r="HN97" i="14609"/>
  <c r="HO97" i="14609"/>
  <c r="HP97" i="14609"/>
  <c r="HQ97" i="14609"/>
  <c r="HR97" i="14609"/>
  <c r="HS97" i="14609"/>
  <c r="HT97" i="14609"/>
  <c r="HU97" i="14609"/>
  <c r="HV97" i="14609"/>
  <c r="HW97" i="14609"/>
  <c r="HX97" i="14609"/>
  <c r="HY97" i="14609"/>
  <c r="HZ97" i="14609"/>
  <c r="IA97" i="14609"/>
  <c r="IB97" i="14609"/>
  <c r="IC97" i="14609"/>
  <c r="ID97" i="14609"/>
  <c r="IE97" i="14609"/>
  <c r="IF97" i="14609"/>
  <c r="IG97" i="14609"/>
  <c r="IH97" i="14609"/>
  <c r="II97" i="14609"/>
  <c r="IJ97" i="14609"/>
  <c r="IK97" i="14609"/>
  <c r="IL97" i="14609"/>
  <c r="IM97" i="14609"/>
  <c r="IN97" i="14609"/>
  <c r="IO97" i="14609"/>
  <c r="IP97" i="14609"/>
  <c r="IQ97" i="14609"/>
  <c r="IR97" i="14609"/>
  <c r="IS97" i="14609"/>
  <c r="IT97" i="14609"/>
  <c r="IU97" i="14609"/>
  <c r="IV97" i="14609"/>
  <c r="A96" i="14609"/>
  <c r="B96" i="14609"/>
  <c r="C96" i="14609"/>
  <c r="D96" i="14609"/>
  <c r="E96" i="14609"/>
  <c r="F96" i="14609"/>
  <c r="G96" i="14609"/>
  <c r="H96" i="14609"/>
  <c r="I96" i="14609"/>
  <c r="J96" i="14609"/>
  <c r="K96" i="14609"/>
  <c r="L96" i="14609"/>
  <c r="M96" i="14609"/>
  <c r="N96" i="14609"/>
  <c r="O96" i="14609"/>
  <c r="P96" i="14609"/>
  <c r="Q96" i="14609"/>
  <c r="R96" i="14609"/>
  <c r="S96" i="14609"/>
  <c r="T96" i="14609"/>
  <c r="U96" i="14609"/>
  <c r="V96" i="14609"/>
  <c r="W96" i="14609"/>
  <c r="X96" i="14609"/>
  <c r="Y96" i="14609"/>
  <c r="Z96" i="14609"/>
  <c r="AA96" i="14609"/>
  <c r="AB96" i="14609"/>
  <c r="AC96" i="14609"/>
  <c r="AD96" i="14609"/>
  <c r="AE96" i="14609"/>
  <c r="AF96" i="14609"/>
  <c r="AG96" i="14609"/>
  <c r="AH96" i="14609"/>
  <c r="AI96" i="14609"/>
  <c r="AJ96" i="14609"/>
  <c r="AK96" i="14609"/>
  <c r="AL96" i="14609"/>
  <c r="AM96" i="14609"/>
  <c r="AN96" i="14609"/>
  <c r="AO96" i="14609"/>
  <c r="AP96" i="14609"/>
  <c r="AQ96" i="14609"/>
  <c r="AR96" i="14609"/>
  <c r="AS96" i="14609"/>
  <c r="AT96" i="14609"/>
  <c r="AU96" i="14609"/>
  <c r="AV96" i="14609"/>
  <c r="AW96" i="14609"/>
  <c r="AX96" i="14609"/>
  <c r="AY96" i="14609"/>
  <c r="AZ96" i="14609"/>
  <c r="BA96" i="14609"/>
  <c r="BB96" i="14609"/>
  <c r="BC96" i="14609"/>
  <c r="BD96" i="14609"/>
  <c r="BE96" i="14609"/>
  <c r="BF96" i="14609"/>
  <c r="BG96" i="14609"/>
  <c r="BH96" i="14609"/>
  <c r="BI96" i="14609"/>
  <c r="BJ96" i="14609"/>
  <c r="BK96" i="14609"/>
  <c r="BL96" i="14609"/>
  <c r="BM96" i="14609"/>
  <c r="BN96" i="14609"/>
  <c r="BO96" i="14609"/>
  <c r="BP96" i="14609"/>
  <c r="BQ96" i="14609"/>
  <c r="BR96" i="14609"/>
  <c r="BS96" i="14609"/>
  <c r="BT96" i="14609"/>
  <c r="BU96" i="14609"/>
  <c r="BV96" i="14609"/>
  <c r="BW96" i="14609"/>
  <c r="BX96" i="14609"/>
  <c r="BY96" i="14609"/>
  <c r="BZ96" i="14609"/>
  <c r="CA96" i="14609"/>
  <c r="CB96" i="14609"/>
  <c r="CC96" i="14609"/>
  <c r="CD96" i="14609"/>
  <c r="CE96" i="14609"/>
  <c r="CF96" i="14609"/>
  <c r="CG96" i="14609"/>
  <c r="CH96" i="14609"/>
  <c r="CI96" i="14609"/>
  <c r="CJ96" i="14609"/>
  <c r="CK96" i="14609"/>
  <c r="CL96" i="14609"/>
  <c r="CM96" i="14609"/>
  <c r="CN96" i="14609"/>
  <c r="CO96" i="14609"/>
  <c r="CP96" i="14609"/>
  <c r="CQ96" i="14609"/>
  <c r="CR96" i="14609"/>
  <c r="CS96" i="14609"/>
  <c r="CT96" i="14609"/>
  <c r="CU96" i="14609"/>
  <c r="CV96" i="14609"/>
  <c r="CW96" i="14609"/>
  <c r="CX96" i="14609"/>
  <c r="CY96" i="14609"/>
  <c r="CZ96" i="14609"/>
  <c r="DA96" i="14609"/>
  <c r="DB96" i="14609"/>
  <c r="DC96" i="14609"/>
  <c r="DD96" i="14609"/>
  <c r="DE96" i="14609"/>
  <c r="DF96" i="14609"/>
  <c r="DG96" i="14609"/>
  <c r="DH96" i="14609"/>
  <c r="DI96" i="14609"/>
  <c r="DJ96" i="14609"/>
  <c r="DK96" i="14609"/>
  <c r="DL96" i="14609"/>
  <c r="DM96" i="14609"/>
  <c r="DN96" i="14609"/>
  <c r="DO96" i="14609"/>
  <c r="DP96" i="14609"/>
  <c r="DQ96" i="14609"/>
  <c r="DR96" i="14609"/>
  <c r="DS96" i="14609"/>
  <c r="DT96" i="14609"/>
  <c r="DU96" i="14609"/>
  <c r="DV96" i="14609"/>
  <c r="DW96" i="14609"/>
  <c r="DX96" i="14609"/>
  <c r="DY96" i="14609"/>
  <c r="DZ96" i="14609"/>
  <c r="EA96" i="14609"/>
  <c r="EB96" i="14609"/>
  <c r="EC96" i="14609"/>
  <c r="ED96" i="14609"/>
  <c r="EE96" i="14609"/>
  <c r="EF96" i="14609"/>
  <c r="EG96" i="14609"/>
  <c r="EH96" i="14609"/>
  <c r="EI96" i="14609"/>
  <c r="EJ96" i="14609"/>
  <c r="EK96" i="14609"/>
  <c r="EL96" i="14609"/>
  <c r="EM96" i="14609"/>
  <c r="EN96" i="14609"/>
  <c r="EO96" i="14609"/>
  <c r="EP96" i="14609"/>
  <c r="EQ96" i="14609"/>
  <c r="ER96" i="14609"/>
  <c r="ES96" i="14609"/>
  <c r="ET96" i="14609"/>
  <c r="EU96" i="14609"/>
  <c r="EV96" i="14609"/>
  <c r="EW96" i="14609"/>
  <c r="EX96" i="14609"/>
  <c r="EY96" i="14609"/>
  <c r="EZ96" i="14609"/>
  <c r="FA96" i="14609"/>
  <c r="FB96" i="14609"/>
  <c r="FC96" i="14609"/>
  <c r="FD96" i="14609"/>
  <c r="FE96" i="14609"/>
  <c r="FF96" i="14609"/>
  <c r="FG96" i="14609"/>
  <c r="FH96" i="14609"/>
  <c r="FI96" i="14609"/>
  <c r="FJ96" i="14609"/>
  <c r="FK96" i="14609"/>
  <c r="FL96" i="14609"/>
  <c r="FM96" i="14609"/>
  <c r="FN96" i="14609"/>
  <c r="FO96" i="14609"/>
  <c r="FP96" i="14609"/>
  <c r="FQ96" i="14609"/>
  <c r="FR96" i="14609"/>
  <c r="FS96" i="14609"/>
  <c r="FT96" i="14609"/>
  <c r="FU96" i="14609"/>
  <c r="FV96" i="14609"/>
  <c r="FW96" i="14609"/>
  <c r="FX96" i="14609"/>
  <c r="FY96" i="14609"/>
  <c r="FZ96" i="14609"/>
  <c r="GA96" i="14609"/>
  <c r="GB96" i="14609"/>
  <c r="GC96" i="14609"/>
  <c r="GD96" i="14609"/>
  <c r="GE96" i="14609"/>
  <c r="GF96" i="14609"/>
  <c r="GG96" i="14609"/>
  <c r="GH96" i="14609"/>
  <c r="GI96" i="14609"/>
  <c r="GJ96" i="14609"/>
  <c r="GK96" i="14609"/>
  <c r="GL96" i="14609"/>
  <c r="GM96" i="14609"/>
  <c r="GN96" i="14609"/>
  <c r="GO96" i="14609"/>
  <c r="GP96" i="14609"/>
  <c r="GQ96" i="14609"/>
  <c r="GR96" i="14609"/>
  <c r="GS96" i="14609"/>
  <c r="GT96" i="14609"/>
  <c r="GU96" i="14609"/>
  <c r="GV96" i="14609"/>
  <c r="GW96" i="14609"/>
  <c r="GX96" i="14609"/>
  <c r="GY96" i="14609"/>
  <c r="GZ96" i="14609"/>
  <c r="HA96" i="14609"/>
  <c r="HB96" i="14609"/>
  <c r="HC96" i="14609"/>
  <c r="HD96" i="14609"/>
  <c r="HE96" i="14609"/>
  <c r="HF96" i="14609"/>
  <c r="HG96" i="14609"/>
  <c r="HH96" i="14609"/>
  <c r="HI96" i="14609"/>
  <c r="HJ96" i="14609"/>
  <c r="HK96" i="14609"/>
  <c r="HL96" i="14609"/>
  <c r="HM96" i="14609"/>
  <c r="HN96" i="14609"/>
  <c r="HO96" i="14609"/>
  <c r="HP96" i="14609"/>
  <c r="HQ96" i="14609"/>
  <c r="HR96" i="14609"/>
  <c r="HS96" i="14609"/>
  <c r="HT96" i="14609"/>
  <c r="HU96" i="14609"/>
  <c r="HV96" i="14609"/>
  <c r="HW96" i="14609"/>
  <c r="HX96" i="14609"/>
  <c r="HY96" i="14609"/>
  <c r="HZ96" i="14609"/>
  <c r="IA96" i="14609"/>
  <c r="IB96" i="14609"/>
  <c r="IC96" i="14609"/>
  <c r="ID96" i="14609"/>
  <c r="IE96" i="14609"/>
  <c r="IF96" i="14609"/>
  <c r="IG96" i="14609"/>
  <c r="IH96" i="14609"/>
  <c r="II96" i="14609"/>
  <c r="IJ96" i="14609"/>
  <c r="IK96" i="14609"/>
  <c r="IL96" i="14609"/>
  <c r="IM96" i="14609"/>
  <c r="IN96" i="14609"/>
  <c r="IO96" i="14609"/>
  <c r="IP96" i="14609"/>
  <c r="IQ96" i="14609"/>
  <c r="IR96" i="14609"/>
  <c r="IS96" i="14609"/>
  <c r="IT96" i="14609"/>
  <c r="IU96" i="14609"/>
  <c r="IV96" i="14609"/>
  <c r="A95" i="14609"/>
  <c r="B95" i="14609"/>
  <c r="C95" i="14609"/>
  <c r="D95" i="14609"/>
  <c r="E95" i="14609"/>
  <c r="F95" i="14609"/>
  <c r="G95" i="14609"/>
  <c r="H95" i="14609"/>
  <c r="I95" i="14609"/>
  <c r="J95" i="14609"/>
  <c r="K95" i="14609"/>
  <c r="L95" i="14609"/>
  <c r="M95" i="14609"/>
  <c r="N95" i="14609"/>
  <c r="O95" i="14609"/>
  <c r="P95" i="14609"/>
  <c r="Q95" i="14609"/>
  <c r="R95" i="14609"/>
  <c r="S95" i="14609"/>
  <c r="T95" i="14609"/>
  <c r="U95" i="14609"/>
  <c r="V95" i="14609"/>
  <c r="W95" i="14609"/>
  <c r="X95" i="14609"/>
  <c r="Y95" i="14609"/>
  <c r="Z95" i="14609"/>
  <c r="AA95" i="14609"/>
  <c r="AB95" i="14609"/>
  <c r="AC95" i="14609"/>
  <c r="AD95" i="14609"/>
  <c r="AE95" i="14609"/>
  <c r="AF95" i="14609"/>
  <c r="AG95" i="14609"/>
  <c r="AH95" i="14609"/>
  <c r="AI95" i="14609"/>
  <c r="AJ95" i="14609"/>
  <c r="AK95" i="14609"/>
  <c r="AL95" i="14609"/>
  <c r="AM95" i="14609"/>
  <c r="AN95" i="14609"/>
  <c r="AO95" i="14609"/>
  <c r="AP95" i="14609"/>
  <c r="AQ95" i="14609"/>
  <c r="AR95" i="14609"/>
  <c r="AS95" i="14609"/>
  <c r="AT95" i="14609"/>
  <c r="AU95" i="14609"/>
  <c r="AV95" i="14609"/>
  <c r="AW95" i="14609"/>
  <c r="AX95" i="14609"/>
  <c r="AY95" i="14609"/>
  <c r="AZ95" i="14609"/>
  <c r="BA95" i="14609"/>
  <c r="BB95" i="14609"/>
  <c r="BC95" i="14609"/>
  <c r="BD95" i="14609"/>
  <c r="BE95" i="14609"/>
  <c r="BF95" i="14609"/>
  <c r="BG95" i="14609"/>
  <c r="BH95" i="14609"/>
  <c r="BI95" i="14609"/>
  <c r="BJ95" i="14609"/>
  <c r="BK95" i="14609"/>
  <c r="BL95" i="14609"/>
  <c r="BM95" i="14609"/>
  <c r="BN95" i="14609"/>
  <c r="BO95" i="14609"/>
  <c r="BP95" i="14609"/>
  <c r="BQ95" i="14609"/>
  <c r="BR95" i="14609"/>
  <c r="BS95" i="14609"/>
  <c r="BT95" i="14609"/>
  <c r="BU95" i="14609"/>
  <c r="BV95" i="14609"/>
  <c r="BW95" i="14609"/>
  <c r="BX95" i="14609"/>
  <c r="BY95" i="14609"/>
  <c r="BZ95" i="14609"/>
  <c r="CA95" i="14609"/>
  <c r="CB95" i="14609"/>
  <c r="CC95" i="14609"/>
  <c r="CD95" i="14609"/>
  <c r="CE95" i="14609"/>
  <c r="CF95" i="14609"/>
  <c r="CG95" i="14609"/>
  <c r="CH95" i="14609"/>
  <c r="CI95" i="14609"/>
  <c r="CJ95" i="14609"/>
  <c r="CK95" i="14609"/>
  <c r="CL95" i="14609"/>
  <c r="CM95" i="14609"/>
  <c r="CN95" i="14609"/>
  <c r="CO95" i="14609"/>
  <c r="CP95" i="14609"/>
  <c r="CQ95" i="14609"/>
  <c r="CR95" i="14609"/>
  <c r="CS95" i="14609"/>
  <c r="CT95" i="14609"/>
  <c r="CU95" i="14609"/>
  <c r="CV95" i="14609"/>
  <c r="CW95" i="14609"/>
  <c r="CX95" i="14609"/>
  <c r="CY95" i="14609"/>
  <c r="CZ95" i="14609"/>
  <c r="DA95" i="14609"/>
  <c r="DB95" i="14609"/>
  <c r="DC95" i="14609"/>
  <c r="DD95" i="14609"/>
  <c r="DE95" i="14609"/>
  <c r="DF95" i="14609"/>
  <c r="DG95" i="14609"/>
  <c r="DH95" i="14609"/>
  <c r="DI95" i="14609"/>
  <c r="DJ95" i="14609"/>
  <c r="DK95" i="14609"/>
  <c r="DL95" i="14609"/>
  <c r="DM95" i="14609"/>
  <c r="DN95" i="14609"/>
  <c r="DO95" i="14609"/>
  <c r="DP95" i="14609"/>
  <c r="DQ95" i="14609"/>
  <c r="DR95" i="14609"/>
  <c r="DS95" i="14609"/>
  <c r="DT95" i="14609"/>
  <c r="DU95" i="14609"/>
  <c r="DV95" i="14609"/>
  <c r="DW95" i="14609"/>
  <c r="DX95" i="14609"/>
  <c r="DY95" i="14609"/>
  <c r="DZ95" i="14609"/>
  <c r="EA95" i="14609"/>
  <c r="EB95" i="14609"/>
  <c r="EC95" i="14609"/>
  <c r="ED95" i="14609"/>
  <c r="EE95" i="14609"/>
  <c r="EF95" i="14609"/>
  <c r="EG95" i="14609"/>
  <c r="EH95" i="14609"/>
  <c r="EI95" i="14609"/>
  <c r="EJ95" i="14609"/>
  <c r="EK95" i="14609"/>
  <c r="EL95" i="14609"/>
  <c r="EM95" i="14609"/>
  <c r="EN95" i="14609"/>
  <c r="EO95" i="14609"/>
  <c r="EP95" i="14609"/>
  <c r="EQ95" i="14609"/>
  <c r="ER95" i="14609"/>
  <c r="ES95" i="14609"/>
  <c r="ET95" i="14609"/>
  <c r="EU95" i="14609"/>
  <c r="EV95" i="14609"/>
  <c r="EW95" i="14609"/>
  <c r="EX95" i="14609"/>
  <c r="EY95" i="14609"/>
  <c r="EZ95" i="14609"/>
  <c r="FA95" i="14609"/>
  <c r="FB95" i="14609"/>
  <c r="FC95" i="14609"/>
  <c r="FD95" i="14609"/>
  <c r="FE95" i="14609"/>
  <c r="FF95" i="14609"/>
  <c r="FG95" i="14609"/>
  <c r="FH95" i="14609"/>
  <c r="FI95" i="14609"/>
  <c r="FJ95" i="14609"/>
  <c r="FK95" i="14609"/>
  <c r="FL95" i="14609"/>
  <c r="FM95" i="14609"/>
  <c r="FN95" i="14609"/>
  <c r="FO95" i="14609"/>
  <c r="FP95" i="14609"/>
  <c r="FQ95" i="14609"/>
  <c r="FR95" i="14609"/>
  <c r="FS95" i="14609"/>
  <c r="FT95" i="14609"/>
  <c r="FU95" i="14609"/>
  <c r="FV95" i="14609"/>
  <c r="FW95" i="14609"/>
  <c r="FX95" i="14609"/>
  <c r="FY95" i="14609"/>
  <c r="FZ95" i="14609"/>
  <c r="GA95" i="14609"/>
  <c r="GB95" i="14609"/>
  <c r="GC95" i="14609"/>
  <c r="GD95" i="14609"/>
  <c r="GE95" i="14609"/>
  <c r="GF95" i="14609"/>
  <c r="GG95" i="14609"/>
  <c r="GH95" i="14609"/>
  <c r="GI95" i="14609"/>
  <c r="GJ95" i="14609"/>
  <c r="GK95" i="14609"/>
  <c r="GL95" i="14609"/>
  <c r="GM95" i="14609"/>
  <c r="GN95" i="14609"/>
  <c r="GO95" i="14609"/>
  <c r="GP95" i="14609"/>
  <c r="GQ95" i="14609"/>
  <c r="GR95" i="14609"/>
  <c r="GS95" i="14609"/>
  <c r="GT95" i="14609"/>
  <c r="GU95" i="14609"/>
  <c r="GV95" i="14609"/>
  <c r="GW95" i="14609"/>
  <c r="GX95" i="14609"/>
  <c r="GY95" i="14609"/>
  <c r="GZ95" i="14609"/>
  <c r="HA95" i="14609"/>
  <c r="HB95" i="14609"/>
  <c r="HC95" i="14609"/>
  <c r="HD95" i="14609"/>
  <c r="HE95" i="14609"/>
  <c r="HF95" i="14609"/>
  <c r="HG95" i="14609"/>
  <c r="HH95" i="14609"/>
  <c r="HI95" i="14609"/>
  <c r="HJ95" i="14609"/>
  <c r="HK95" i="14609"/>
  <c r="HL95" i="14609"/>
  <c r="HM95" i="14609"/>
  <c r="HN95" i="14609"/>
  <c r="HO95" i="14609"/>
  <c r="HP95" i="14609"/>
  <c r="HQ95" i="14609"/>
  <c r="HR95" i="14609"/>
  <c r="HS95" i="14609"/>
  <c r="HT95" i="14609"/>
  <c r="HU95" i="14609"/>
  <c r="HV95" i="14609"/>
  <c r="HW95" i="14609"/>
  <c r="HX95" i="14609"/>
  <c r="HY95" i="14609"/>
  <c r="HZ95" i="14609"/>
  <c r="IA95" i="14609"/>
  <c r="IB95" i="14609"/>
  <c r="IC95" i="14609"/>
  <c r="ID95" i="14609"/>
  <c r="IE95" i="14609"/>
  <c r="IF95" i="14609"/>
  <c r="IG95" i="14609"/>
  <c r="IH95" i="14609"/>
  <c r="II95" i="14609"/>
  <c r="IJ95" i="14609"/>
  <c r="IK95" i="14609"/>
  <c r="IL95" i="14609"/>
  <c r="IM95" i="14609"/>
  <c r="IN95" i="14609"/>
  <c r="IO95" i="14609"/>
  <c r="IP95" i="14609"/>
  <c r="IQ95" i="14609"/>
  <c r="IR95" i="14609"/>
  <c r="IS95" i="14609"/>
  <c r="IT95" i="14609"/>
  <c r="IU95" i="14609"/>
  <c r="IV95" i="14609"/>
  <c r="A94" i="14609"/>
  <c r="B94" i="14609"/>
  <c r="C94" i="14609"/>
  <c r="D94" i="14609"/>
  <c r="E94" i="14609"/>
  <c r="F94" i="14609"/>
  <c r="G94" i="14609"/>
  <c r="H94" i="14609"/>
  <c r="I94" i="14609"/>
  <c r="J94" i="14609"/>
  <c r="K94" i="14609"/>
  <c r="L94" i="14609"/>
  <c r="M94" i="14609"/>
  <c r="N94" i="14609"/>
  <c r="O94" i="14609"/>
  <c r="P94" i="14609"/>
  <c r="Q94" i="14609"/>
  <c r="R94" i="14609"/>
  <c r="S94" i="14609"/>
  <c r="T94" i="14609"/>
  <c r="U94" i="14609"/>
  <c r="V94" i="14609"/>
  <c r="W94" i="14609"/>
  <c r="X94" i="14609"/>
  <c r="Y94" i="14609"/>
  <c r="Z94" i="14609"/>
  <c r="AA94" i="14609"/>
  <c r="AB94" i="14609"/>
  <c r="AC94" i="14609"/>
  <c r="AD94" i="14609"/>
  <c r="AE94" i="14609"/>
  <c r="AF94" i="14609"/>
  <c r="AG94" i="14609"/>
  <c r="AH94" i="14609"/>
  <c r="AI94" i="14609"/>
  <c r="AJ94" i="14609"/>
  <c r="AK94" i="14609"/>
  <c r="AL94" i="14609"/>
  <c r="AM94" i="14609"/>
  <c r="AN94" i="14609"/>
  <c r="AO94" i="14609"/>
  <c r="AP94" i="14609"/>
  <c r="AQ94" i="14609"/>
  <c r="AR94" i="14609"/>
  <c r="AS94" i="14609"/>
  <c r="AT94" i="14609"/>
  <c r="AU94" i="14609"/>
  <c r="AV94" i="14609"/>
  <c r="AW94" i="14609"/>
  <c r="AX94" i="14609"/>
  <c r="AY94" i="14609"/>
  <c r="AZ94" i="14609"/>
  <c r="BA94" i="14609"/>
  <c r="BB94" i="14609"/>
  <c r="BC94" i="14609"/>
  <c r="BD94" i="14609"/>
  <c r="BE94" i="14609"/>
  <c r="BF94" i="14609"/>
  <c r="BG94" i="14609"/>
  <c r="BH94" i="14609"/>
  <c r="BI94" i="14609"/>
  <c r="BJ94" i="14609"/>
  <c r="BK94" i="14609"/>
  <c r="BL94" i="14609"/>
  <c r="BM94" i="14609"/>
  <c r="BN94" i="14609"/>
  <c r="BO94" i="14609"/>
  <c r="BP94" i="14609"/>
  <c r="BQ94" i="14609"/>
  <c r="BR94" i="14609"/>
  <c r="BS94" i="14609"/>
  <c r="BT94" i="14609"/>
  <c r="BU94" i="14609"/>
  <c r="BV94" i="14609"/>
  <c r="BW94" i="14609"/>
  <c r="BX94" i="14609"/>
  <c r="BY94" i="14609"/>
  <c r="BZ94" i="14609"/>
  <c r="CA94" i="14609"/>
  <c r="CB94" i="14609"/>
  <c r="CC94" i="14609"/>
  <c r="CD94" i="14609"/>
  <c r="CE94" i="14609"/>
  <c r="CF94" i="14609"/>
  <c r="CG94" i="14609"/>
  <c r="CH94" i="14609"/>
  <c r="CI94" i="14609"/>
  <c r="CJ94" i="14609"/>
  <c r="CK94" i="14609"/>
  <c r="CL94" i="14609"/>
  <c r="CM94" i="14609"/>
  <c r="CN94" i="14609"/>
  <c r="CO94" i="14609"/>
  <c r="CP94" i="14609"/>
  <c r="CQ94" i="14609"/>
  <c r="CR94" i="14609"/>
  <c r="CS94" i="14609"/>
  <c r="CT94" i="14609"/>
  <c r="CU94" i="14609"/>
  <c r="CV94" i="14609"/>
  <c r="CW94" i="14609"/>
  <c r="CX94" i="14609"/>
  <c r="CY94" i="14609"/>
  <c r="CZ94" i="14609"/>
  <c r="DA94" i="14609"/>
  <c r="DB94" i="14609"/>
  <c r="DC94" i="14609"/>
  <c r="DD94" i="14609"/>
  <c r="DE94" i="14609"/>
  <c r="DF94" i="14609"/>
  <c r="DG94" i="14609"/>
  <c r="DH94" i="14609"/>
  <c r="DI94" i="14609"/>
  <c r="DJ94" i="14609"/>
  <c r="DK94" i="14609"/>
  <c r="DL94" i="14609"/>
  <c r="DM94" i="14609"/>
  <c r="DN94" i="14609"/>
  <c r="DO94" i="14609"/>
  <c r="DP94" i="14609"/>
  <c r="DQ94" i="14609"/>
  <c r="DR94" i="14609"/>
  <c r="DS94" i="14609"/>
  <c r="DT94" i="14609"/>
  <c r="DU94" i="14609"/>
  <c r="DV94" i="14609"/>
  <c r="DW94" i="14609"/>
  <c r="DX94" i="14609"/>
  <c r="DY94" i="14609"/>
  <c r="DZ94" i="14609"/>
  <c r="EA94" i="14609"/>
  <c r="EB94" i="14609"/>
  <c r="EC94" i="14609"/>
  <c r="ED94" i="14609"/>
  <c r="EE94" i="14609"/>
  <c r="EF94" i="14609"/>
  <c r="EG94" i="14609"/>
  <c r="EH94" i="14609"/>
  <c r="EI94" i="14609"/>
  <c r="EJ94" i="14609"/>
  <c r="EK94" i="14609"/>
  <c r="EL94" i="14609"/>
  <c r="EM94" i="14609"/>
  <c r="EN94" i="14609"/>
  <c r="EO94" i="14609"/>
  <c r="EP94" i="14609"/>
  <c r="EQ94" i="14609"/>
  <c r="ER94" i="14609"/>
  <c r="ES94" i="14609"/>
  <c r="ET94" i="14609"/>
  <c r="EU94" i="14609"/>
  <c r="EV94" i="14609"/>
  <c r="EW94" i="14609"/>
  <c r="EX94" i="14609"/>
  <c r="EY94" i="14609"/>
  <c r="EZ94" i="14609"/>
  <c r="FA94" i="14609"/>
  <c r="FB94" i="14609"/>
  <c r="FC94" i="14609"/>
  <c r="FD94" i="14609"/>
  <c r="FE94" i="14609"/>
  <c r="FF94" i="14609"/>
  <c r="FG94" i="14609"/>
  <c r="FH94" i="14609"/>
  <c r="FI94" i="14609"/>
  <c r="FJ94" i="14609"/>
  <c r="FK94" i="14609"/>
  <c r="FL94" i="14609"/>
  <c r="FM94" i="14609"/>
  <c r="FN94" i="14609"/>
  <c r="FO94" i="14609"/>
  <c r="FP94" i="14609"/>
  <c r="FQ94" i="14609"/>
  <c r="FR94" i="14609"/>
  <c r="FS94" i="14609"/>
  <c r="FT94" i="14609"/>
  <c r="FU94" i="14609"/>
  <c r="FV94" i="14609"/>
  <c r="FW94" i="14609"/>
  <c r="FX94" i="14609"/>
  <c r="FY94" i="14609"/>
  <c r="FZ94" i="14609"/>
  <c r="GA94" i="14609"/>
  <c r="GB94" i="14609"/>
  <c r="GC94" i="14609"/>
  <c r="GD94" i="14609"/>
  <c r="GE94" i="14609"/>
  <c r="GF94" i="14609"/>
  <c r="GG94" i="14609"/>
  <c r="GH94" i="14609"/>
  <c r="GI94" i="14609"/>
  <c r="GJ94" i="14609"/>
  <c r="GK94" i="14609"/>
  <c r="GL94" i="14609"/>
  <c r="GM94" i="14609"/>
  <c r="GN94" i="14609"/>
  <c r="GO94" i="14609"/>
  <c r="GP94" i="14609"/>
  <c r="GQ94" i="14609"/>
  <c r="GR94" i="14609"/>
  <c r="GS94" i="14609"/>
  <c r="GT94" i="14609"/>
  <c r="GU94" i="14609"/>
  <c r="GV94" i="14609"/>
  <c r="GW94" i="14609"/>
  <c r="GX94" i="14609"/>
  <c r="GY94" i="14609"/>
  <c r="GZ94" i="14609"/>
  <c r="HA94" i="14609"/>
  <c r="HB94" i="14609"/>
  <c r="HC94" i="14609"/>
  <c r="HD94" i="14609"/>
  <c r="HE94" i="14609"/>
  <c r="HF94" i="14609"/>
  <c r="HG94" i="14609"/>
  <c r="HH94" i="14609"/>
  <c r="HI94" i="14609"/>
  <c r="HJ94" i="14609"/>
  <c r="HK94" i="14609"/>
  <c r="HL94" i="14609"/>
  <c r="HM94" i="14609"/>
  <c r="HN94" i="14609"/>
  <c r="HO94" i="14609"/>
  <c r="HP94" i="14609"/>
  <c r="HQ94" i="14609"/>
  <c r="HR94" i="14609"/>
  <c r="HS94" i="14609"/>
  <c r="HT94" i="14609"/>
  <c r="HU94" i="14609"/>
  <c r="HV94" i="14609"/>
  <c r="HW94" i="14609"/>
  <c r="HX94" i="14609"/>
  <c r="HY94" i="14609"/>
  <c r="HZ94" i="14609"/>
  <c r="IA94" i="14609"/>
  <c r="IB94" i="14609"/>
  <c r="IC94" i="14609"/>
  <c r="ID94" i="14609"/>
  <c r="IE94" i="14609"/>
  <c r="IF94" i="14609"/>
  <c r="IG94" i="14609"/>
  <c r="IH94" i="14609"/>
  <c r="II94" i="14609"/>
  <c r="IJ94" i="14609"/>
  <c r="IK94" i="14609"/>
  <c r="IL94" i="14609"/>
  <c r="IM94" i="14609"/>
  <c r="IN94" i="14609"/>
  <c r="IO94" i="14609"/>
  <c r="IP94" i="14609"/>
  <c r="IQ94" i="14609"/>
  <c r="IR94" i="14609"/>
  <c r="IS94" i="14609"/>
  <c r="IT94" i="14609"/>
  <c r="IU94" i="14609"/>
  <c r="IV94" i="14609"/>
  <c r="A93" i="14609"/>
  <c r="B93" i="14609"/>
  <c r="C93" i="14609"/>
  <c r="D93" i="14609"/>
  <c r="E93" i="14609"/>
  <c r="F93" i="14609"/>
  <c r="G93" i="14609"/>
  <c r="H93" i="14609"/>
  <c r="I93" i="14609"/>
  <c r="J93" i="14609"/>
  <c r="K93" i="14609"/>
  <c r="L93" i="14609"/>
  <c r="M93" i="14609"/>
  <c r="N93" i="14609"/>
  <c r="O93" i="14609"/>
  <c r="P93" i="14609"/>
  <c r="Q93" i="14609"/>
  <c r="R93" i="14609"/>
  <c r="S93" i="14609"/>
  <c r="T93" i="14609"/>
  <c r="U93" i="14609"/>
  <c r="V93" i="14609"/>
  <c r="W93" i="14609"/>
  <c r="X93" i="14609"/>
  <c r="Y93" i="14609"/>
  <c r="Z93" i="14609"/>
  <c r="AA93" i="14609"/>
  <c r="AB93" i="14609"/>
  <c r="AC93" i="14609"/>
  <c r="AD93" i="14609"/>
  <c r="AE93" i="14609"/>
  <c r="AF93" i="14609"/>
  <c r="AG93" i="14609"/>
  <c r="AH93" i="14609"/>
  <c r="AI93" i="14609"/>
  <c r="AJ93" i="14609"/>
  <c r="AK93" i="14609"/>
  <c r="AL93" i="14609"/>
  <c r="AM93" i="14609"/>
  <c r="AN93" i="14609"/>
  <c r="AO93" i="14609"/>
  <c r="AP93" i="14609"/>
  <c r="AQ93" i="14609"/>
  <c r="AR93" i="14609"/>
  <c r="AS93" i="14609"/>
  <c r="AT93" i="14609"/>
  <c r="AU93" i="14609"/>
  <c r="AV93" i="14609"/>
  <c r="AW93" i="14609"/>
  <c r="AX93" i="14609"/>
  <c r="AY93" i="14609"/>
  <c r="AZ93" i="14609"/>
  <c r="BA93" i="14609"/>
  <c r="BB93" i="14609"/>
  <c r="BC93" i="14609"/>
  <c r="BD93" i="14609"/>
  <c r="BE93" i="14609"/>
  <c r="BF93" i="14609"/>
  <c r="BG93" i="14609"/>
  <c r="BH93" i="14609"/>
  <c r="BI93" i="14609"/>
  <c r="BJ93" i="14609"/>
  <c r="BK93" i="14609"/>
  <c r="BL93" i="14609"/>
  <c r="BM93" i="14609"/>
  <c r="BN93" i="14609"/>
  <c r="BO93" i="14609"/>
  <c r="BP93" i="14609"/>
  <c r="BQ93" i="14609"/>
  <c r="BR93" i="14609"/>
  <c r="BS93" i="14609"/>
  <c r="BT93" i="14609"/>
  <c r="BU93" i="14609"/>
  <c r="BV93" i="14609"/>
  <c r="BW93" i="14609"/>
  <c r="BX93" i="14609"/>
  <c r="BY93" i="14609"/>
  <c r="BZ93" i="14609"/>
  <c r="CA93" i="14609"/>
  <c r="CB93" i="14609"/>
  <c r="CC93" i="14609"/>
  <c r="CD93" i="14609"/>
  <c r="CE93" i="14609"/>
  <c r="CF93" i="14609"/>
  <c r="CG93" i="14609"/>
  <c r="CH93" i="14609"/>
  <c r="CI93" i="14609"/>
  <c r="CJ93" i="14609"/>
  <c r="CK93" i="14609"/>
  <c r="CL93" i="14609"/>
  <c r="CM93" i="14609"/>
  <c r="CN93" i="14609"/>
  <c r="CO93" i="14609"/>
  <c r="CP93" i="14609"/>
  <c r="CQ93" i="14609"/>
  <c r="CR93" i="14609"/>
  <c r="CS93" i="14609"/>
  <c r="CT93" i="14609"/>
  <c r="CU93" i="14609"/>
  <c r="CV93" i="14609"/>
  <c r="CW93" i="14609"/>
  <c r="CX93" i="14609"/>
  <c r="CY93" i="14609"/>
  <c r="CZ93" i="14609"/>
  <c r="DA93" i="14609"/>
  <c r="DB93" i="14609"/>
  <c r="DC93" i="14609"/>
  <c r="DD93" i="14609"/>
  <c r="DE93" i="14609"/>
  <c r="DF93" i="14609"/>
  <c r="DG93" i="14609"/>
  <c r="DH93" i="14609"/>
  <c r="DI93" i="14609"/>
  <c r="DJ93" i="14609"/>
  <c r="DK93" i="14609"/>
  <c r="DL93" i="14609"/>
  <c r="DM93" i="14609"/>
  <c r="DN93" i="14609"/>
  <c r="DO93" i="14609"/>
  <c r="DP93" i="14609"/>
  <c r="DQ93" i="14609"/>
  <c r="DR93" i="14609"/>
  <c r="DS93" i="14609"/>
  <c r="DT93" i="14609"/>
  <c r="DU93" i="14609"/>
  <c r="DV93" i="14609"/>
  <c r="DW93" i="14609"/>
  <c r="DX93" i="14609"/>
  <c r="DY93" i="14609"/>
  <c r="DZ93" i="14609"/>
  <c r="EA93" i="14609"/>
  <c r="EB93" i="14609"/>
  <c r="EC93" i="14609"/>
  <c r="ED93" i="14609"/>
  <c r="EE93" i="14609"/>
  <c r="EF93" i="14609"/>
  <c r="EG93" i="14609"/>
  <c r="EH93" i="14609"/>
  <c r="EI93" i="14609"/>
  <c r="EJ93" i="14609"/>
  <c r="EK93" i="14609"/>
  <c r="EL93" i="14609"/>
  <c r="EM93" i="14609"/>
  <c r="EN93" i="14609"/>
  <c r="EO93" i="14609"/>
  <c r="EP93" i="14609"/>
  <c r="EQ93" i="14609"/>
  <c r="ER93" i="14609"/>
  <c r="ES93" i="14609"/>
  <c r="ET93" i="14609"/>
  <c r="EU93" i="14609"/>
  <c r="EV93" i="14609"/>
  <c r="EW93" i="14609"/>
  <c r="EX93" i="14609"/>
  <c r="EY93" i="14609"/>
  <c r="EZ93" i="14609"/>
  <c r="FA93" i="14609"/>
  <c r="FB93" i="14609"/>
  <c r="FC93" i="14609"/>
  <c r="FD93" i="14609"/>
  <c r="FE93" i="14609"/>
  <c r="FF93" i="14609"/>
  <c r="FG93" i="14609"/>
  <c r="FH93" i="14609"/>
  <c r="FI93" i="14609"/>
  <c r="FJ93" i="14609"/>
  <c r="FK93" i="14609"/>
  <c r="FL93" i="14609"/>
  <c r="FM93" i="14609"/>
  <c r="FN93" i="14609"/>
  <c r="FO93" i="14609"/>
  <c r="FP93" i="14609"/>
  <c r="FQ93" i="14609"/>
  <c r="FR93" i="14609"/>
  <c r="FS93" i="14609"/>
  <c r="FT93" i="14609"/>
  <c r="FU93" i="14609"/>
  <c r="FV93" i="14609"/>
  <c r="FW93" i="14609"/>
  <c r="FX93" i="14609"/>
  <c r="FY93" i="14609"/>
  <c r="FZ93" i="14609"/>
  <c r="GA93" i="14609"/>
  <c r="GB93" i="14609"/>
  <c r="GC93" i="14609"/>
  <c r="GD93" i="14609"/>
  <c r="GE93" i="14609"/>
  <c r="GF93" i="14609"/>
  <c r="GG93" i="14609"/>
  <c r="GH93" i="14609"/>
  <c r="GI93" i="14609"/>
  <c r="GJ93" i="14609"/>
  <c r="GK93" i="14609"/>
  <c r="GL93" i="14609"/>
  <c r="GM93" i="14609"/>
  <c r="GN93" i="14609"/>
  <c r="GO93" i="14609"/>
  <c r="GP93" i="14609"/>
  <c r="GQ93" i="14609"/>
  <c r="GR93" i="14609"/>
  <c r="GS93" i="14609"/>
  <c r="GT93" i="14609"/>
  <c r="GU93" i="14609"/>
  <c r="GV93" i="14609"/>
  <c r="GW93" i="14609"/>
  <c r="GX93" i="14609"/>
  <c r="GY93" i="14609"/>
  <c r="GZ93" i="14609"/>
  <c r="HA93" i="14609"/>
  <c r="HB93" i="14609"/>
  <c r="HC93" i="14609"/>
  <c r="HD93" i="14609"/>
  <c r="HE93" i="14609"/>
  <c r="HF93" i="14609"/>
  <c r="HG93" i="14609"/>
  <c r="HH93" i="14609"/>
  <c r="HI93" i="14609"/>
  <c r="HJ93" i="14609"/>
  <c r="HK93" i="14609"/>
  <c r="HL93" i="14609"/>
  <c r="HM93" i="14609"/>
  <c r="HN93" i="14609"/>
  <c r="HO93" i="14609"/>
  <c r="HP93" i="14609"/>
  <c r="HQ93" i="14609"/>
  <c r="HR93" i="14609"/>
  <c r="HS93" i="14609"/>
  <c r="HT93" i="14609"/>
  <c r="HU93" i="14609"/>
  <c r="HV93" i="14609"/>
  <c r="HW93" i="14609"/>
  <c r="HX93" i="14609"/>
  <c r="HY93" i="14609"/>
  <c r="HZ93" i="14609"/>
  <c r="IA93" i="14609"/>
  <c r="IB93" i="14609"/>
  <c r="IC93" i="14609"/>
  <c r="ID93" i="14609"/>
  <c r="IE93" i="14609"/>
  <c r="IF93" i="14609"/>
  <c r="IG93" i="14609"/>
  <c r="IH93" i="14609"/>
  <c r="II93" i="14609"/>
  <c r="IJ93" i="14609"/>
  <c r="IK93" i="14609"/>
  <c r="IL93" i="14609"/>
  <c r="IM93" i="14609"/>
  <c r="IN93" i="14609"/>
  <c r="IO93" i="14609"/>
  <c r="IP93" i="14609"/>
  <c r="IQ93" i="14609"/>
  <c r="IR93" i="14609"/>
  <c r="IS93" i="14609"/>
  <c r="IT93" i="14609"/>
  <c r="IU93" i="14609"/>
  <c r="IV93" i="14609"/>
  <c r="A92" i="14609"/>
  <c r="B92" i="14609"/>
  <c r="C92" i="14609"/>
  <c r="D92" i="14609"/>
  <c r="E92" i="14609"/>
  <c r="F92" i="14609"/>
  <c r="G92" i="14609"/>
  <c r="H92" i="14609"/>
  <c r="I92" i="14609"/>
  <c r="J92" i="14609"/>
  <c r="K92" i="14609"/>
  <c r="L92" i="14609"/>
  <c r="M92" i="14609"/>
  <c r="N92" i="14609"/>
  <c r="O92" i="14609"/>
  <c r="P92" i="14609"/>
  <c r="Q92" i="14609"/>
  <c r="R92" i="14609"/>
  <c r="S92" i="14609"/>
  <c r="T92" i="14609"/>
  <c r="U92" i="14609"/>
  <c r="V92" i="14609"/>
  <c r="W92" i="14609"/>
  <c r="X92" i="14609"/>
  <c r="Y92" i="14609"/>
  <c r="Z92" i="14609"/>
  <c r="AA92" i="14609"/>
  <c r="AB92" i="14609"/>
  <c r="AC92" i="14609"/>
  <c r="AD92" i="14609"/>
  <c r="AE92" i="14609"/>
  <c r="AF92" i="14609"/>
  <c r="AG92" i="14609"/>
  <c r="AH92" i="14609"/>
  <c r="AI92" i="14609"/>
  <c r="AJ92" i="14609"/>
  <c r="AK92" i="14609"/>
  <c r="AL92" i="14609"/>
  <c r="AM92" i="14609"/>
  <c r="AN92" i="14609"/>
  <c r="AO92" i="14609"/>
  <c r="AP92" i="14609"/>
  <c r="AQ92" i="14609"/>
  <c r="AR92" i="14609"/>
  <c r="AS92" i="14609"/>
  <c r="AT92" i="14609"/>
  <c r="AU92" i="14609"/>
  <c r="AV92" i="14609"/>
  <c r="AW92" i="14609"/>
  <c r="AX92" i="14609"/>
  <c r="AY92" i="14609"/>
  <c r="AZ92" i="14609"/>
  <c r="BA92" i="14609"/>
  <c r="BB92" i="14609"/>
  <c r="BC92" i="14609"/>
  <c r="BD92" i="14609"/>
  <c r="BE92" i="14609"/>
  <c r="BF92" i="14609"/>
  <c r="BG92" i="14609"/>
  <c r="BH92" i="14609"/>
  <c r="BI92" i="14609"/>
  <c r="BJ92" i="14609"/>
  <c r="BK92" i="14609"/>
  <c r="BL92" i="14609"/>
  <c r="BM92" i="14609"/>
  <c r="BN92" i="14609"/>
  <c r="BO92" i="14609"/>
  <c r="BP92" i="14609"/>
  <c r="BQ92" i="14609"/>
  <c r="BR92" i="14609"/>
  <c r="BS92" i="14609"/>
  <c r="BT92" i="14609"/>
  <c r="BU92" i="14609"/>
  <c r="BV92" i="14609"/>
  <c r="BW92" i="14609"/>
  <c r="BX92" i="14609"/>
  <c r="BY92" i="14609"/>
  <c r="BZ92" i="14609"/>
  <c r="CA92" i="14609"/>
  <c r="CB92" i="14609"/>
  <c r="CC92" i="14609"/>
  <c r="CD92" i="14609"/>
  <c r="CE92" i="14609"/>
  <c r="CF92" i="14609"/>
  <c r="CG92" i="14609"/>
  <c r="CH92" i="14609"/>
  <c r="CI92" i="14609"/>
  <c r="CJ92" i="14609"/>
  <c r="CK92" i="14609"/>
  <c r="CL92" i="14609"/>
  <c r="CM92" i="14609"/>
  <c r="CN92" i="14609"/>
  <c r="CO92" i="14609"/>
  <c r="CP92" i="14609"/>
  <c r="CQ92" i="14609"/>
  <c r="CR92" i="14609"/>
  <c r="CS92" i="14609"/>
  <c r="CT92" i="14609"/>
  <c r="CU92" i="14609"/>
  <c r="CV92" i="14609"/>
  <c r="CW92" i="14609"/>
  <c r="CX92" i="14609"/>
  <c r="CY92" i="14609"/>
  <c r="CZ92" i="14609"/>
  <c r="DA92" i="14609"/>
  <c r="DB92" i="14609"/>
  <c r="DC92" i="14609"/>
  <c r="DD92" i="14609"/>
  <c r="DE92" i="14609"/>
  <c r="DF92" i="14609"/>
  <c r="DG92" i="14609"/>
  <c r="DH92" i="14609"/>
  <c r="DI92" i="14609"/>
  <c r="DJ92" i="14609"/>
  <c r="DK92" i="14609"/>
  <c r="DL92" i="14609"/>
  <c r="DM92" i="14609"/>
  <c r="DN92" i="14609"/>
  <c r="DO92" i="14609"/>
  <c r="DP92" i="14609"/>
  <c r="DQ92" i="14609"/>
  <c r="DR92" i="14609"/>
  <c r="DS92" i="14609"/>
  <c r="DT92" i="14609"/>
  <c r="DU92" i="14609"/>
  <c r="DV92" i="14609"/>
  <c r="DW92" i="14609"/>
  <c r="DX92" i="14609"/>
  <c r="DY92" i="14609"/>
  <c r="DZ92" i="14609"/>
  <c r="EA92" i="14609"/>
  <c r="EB92" i="14609"/>
  <c r="EC92" i="14609"/>
  <c r="ED92" i="14609"/>
  <c r="EE92" i="14609"/>
  <c r="EF92" i="14609"/>
  <c r="EG92" i="14609"/>
  <c r="EH92" i="14609"/>
  <c r="EI92" i="14609"/>
  <c r="EJ92" i="14609"/>
  <c r="EK92" i="14609"/>
  <c r="EL92" i="14609"/>
  <c r="EM92" i="14609"/>
  <c r="EN92" i="14609"/>
  <c r="EO92" i="14609"/>
  <c r="EP92" i="14609"/>
  <c r="EQ92" i="14609"/>
  <c r="ER92" i="14609"/>
  <c r="ES92" i="14609"/>
  <c r="ET92" i="14609"/>
  <c r="EU92" i="14609"/>
  <c r="EV92" i="14609"/>
  <c r="EW92" i="14609"/>
  <c r="EX92" i="14609"/>
  <c r="EY92" i="14609"/>
  <c r="EZ92" i="14609"/>
  <c r="FA92" i="14609"/>
  <c r="FB92" i="14609"/>
  <c r="FC92" i="14609"/>
  <c r="FD92" i="14609"/>
  <c r="FE92" i="14609"/>
  <c r="FF92" i="14609"/>
  <c r="FG92" i="14609"/>
  <c r="FH92" i="14609"/>
  <c r="FI92" i="14609"/>
  <c r="FJ92" i="14609"/>
  <c r="FK92" i="14609"/>
  <c r="FL92" i="14609"/>
  <c r="FM92" i="14609"/>
  <c r="FN92" i="14609"/>
  <c r="FO92" i="14609"/>
  <c r="FP92" i="14609"/>
  <c r="FQ92" i="14609"/>
  <c r="FR92" i="14609"/>
  <c r="FS92" i="14609"/>
  <c r="FT92" i="14609"/>
  <c r="FU92" i="14609"/>
  <c r="FV92" i="14609"/>
  <c r="FW92" i="14609"/>
  <c r="FX92" i="14609"/>
  <c r="FY92" i="14609"/>
  <c r="FZ92" i="14609"/>
  <c r="GA92" i="14609"/>
  <c r="GB92" i="14609"/>
  <c r="GC92" i="14609"/>
  <c r="GD92" i="14609"/>
  <c r="GE92" i="14609"/>
  <c r="GF92" i="14609"/>
  <c r="GG92" i="14609"/>
  <c r="GH92" i="14609"/>
  <c r="GI92" i="14609"/>
  <c r="GJ92" i="14609"/>
  <c r="GK92" i="14609"/>
  <c r="GL92" i="14609"/>
  <c r="GM92" i="14609"/>
  <c r="GN92" i="14609"/>
  <c r="GO92" i="14609"/>
  <c r="GP92" i="14609"/>
  <c r="GQ92" i="14609"/>
  <c r="GR92" i="14609"/>
  <c r="GS92" i="14609"/>
  <c r="GT92" i="14609"/>
  <c r="GU92" i="14609"/>
  <c r="GV92" i="14609"/>
  <c r="GW92" i="14609"/>
  <c r="GX92" i="14609"/>
  <c r="GY92" i="14609"/>
  <c r="GZ92" i="14609"/>
  <c r="HA92" i="14609"/>
  <c r="HB92" i="14609"/>
  <c r="HC92" i="14609"/>
  <c r="HD92" i="14609"/>
  <c r="HE92" i="14609"/>
  <c r="HF92" i="14609"/>
  <c r="HG92" i="14609"/>
  <c r="HH92" i="14609"/>
  <c r="HI92" i="14609"/>
  <c r="HJ92" i="14609"/>
  <c r="HK92" i="14609"/>
  <c r="HL92" i="14609"/>
  <c r="HM92" i="14609"/>
  <c r="HN92" i="14609"/>
  <c r="HO92" i="14609"/>
  <c r="HP92" i="14609"/>
  <c r="HQ92" i="14609"/>
  <c r="HR92" i="14609"/>
  <c r="HS92" i="14609"/>
  <c r="HT92" i="14609"/>
  <c r="HU92" i="14609"/>
  <c r="HV92" i="14609"/>
  <c r="HW92" i="14609"/>
  <c r="HX92" i="14609"/>
  <c r="HY92" i="14609"/>
  <c r="HZ92" i="14609"/>
  <c r="IA92" i="14609"/>
  <c r="IB92" i="14609"/>
  <c r="IC92" i="14609"/>
  <c r="ID92" i="14609"/>
  <c r="IE92" i="14609"/>
  <c r="IF92" i="14609"/>
  <c r="IG92" i="14609"/>
  <c r="IH92" i="14609"/>
  <c r="II92" i="14609"/>
  <c r="IJ92" i="14609"/>
  <c r="IK92" i="14609"/>
  <c r="IL92" i="14609"/>
  <c r="IM92" i="14609"/>
  <c r="IN92" i="14609"/>
  <c r="IO92" i="14609"/>
  <c r="IP92" i="14609"/>
  <c r="IQ92" i="14609"/>
  <c r="IR92" i="14609"/>
  <c r="IS92" i="14609"/>
  <c r="IT92" i="14609"/>
  <c r="IU92" i="14609"/>
  <c r="IV92" i="14609"/>
  <c r="A91" i="14609"/>
  <c r="B91" i="14609"/>
  <c r="C91" i="14609"/>
  <c r="D91" i="14609"/>
  <c r="E91" i="14609"/>
  <c r="F91" i="14609"/>
  <c r="G91" i="14609"/>
  <c r="H91" i="14609"/>
  <c r="I91" i="14609"/>
  <c r="J91" i="14609"/>
  <c r="K91" i="14609"/>
  <c r="L91" i="14609"/>
  <c r="M91" i="14609"/>
  <c r="N91" i="14609"/>
  <c r="O91" i="14609"/>
  <c r="P91" i="14609"/>
  <c r="Q91" i="14609"/>
  <c r="R91" i="14609"/>
  <c r="S91" i="14609"/>
  <c r="T91" i="14609"/>
  <c r="U91" i="14609"/>
  <c r="V91" i="14609"/>
  <c r="W91" i="14609"/>
  <c r="X91" i="14609"/>
  <c r="Y91" i="14609"/>
  <c r="Z91" i="14609"/>
  <c r="AA91" i="14609"/>
  <c r="AB91" i="14609"/>
  <c r="AC91" i="14609"/>
  <c r="AD91" i="14609"/>
  <c r="AE91" i="14609"/>
  <c r="AF91" i="14609"/>
  <c r="AG91" i="14609"/>
  <c r="AH91" i="14609"/>
  <c r="AI91" i="14609"/>
  <c r="AJ91" i="14609"/>
  <c r="AK91" i="14609"/>
  <c r="AL91" i="14609"/>
  <c r="AM91" i="14609"/>
  <c r="AN91" i="14609"/>
  <c r="AO91" i="14609"/>
  <c r="AP91" i="14609"/>
  <c r="AQ91" i="14609"/>
  <c r="AR91" i="14609"/>
  <c r="AS91" i="14609"/>
  <c r="AT91" i="14609"/>
  <c r="AU91" i="14609"/>
  <c r="AV91" i="14609"/>
  <c r="AW91" i="14609"/>
  <c r="AX91" i="14609"/>
  <c r="AY91" i="14609"/>
  <c r="AZ91" i="14609"/>
  <c r="BA91" i="14609"/>
  <c r="BB91" i="14609"/>
  <c r="BC91" i="14609"/>
  <c r="BD91" i="14609"/>
  <c r="BE91" i="14609"/>
  <c r="BF91" i="14609"/>
  <c r="BG91" i="14609"/>
  <c r="BH91" i="14609"/>
  <c r="BI91" i="14609"/>
  <c r="BJ91" i="14609"/>
  <c r="BK91" i="14609"/>
  <c r="BL91" i="14609"/>
  <c r="BM91" i="14609"/>
  <c r="BN91" i="14609"/>
  <c r="BO91" i="14609"/>
  <c r="BP91" i="14609"/>
  <c r="BQ91" i="14609"/>
  <c r="BR91" i="14609"/>
  <c r="BS91" i="14609"/>
  <c r="BT91" i="14609"/>
  <c r="BU91" i="14609"/>
  <c r="BV91" i="14609"/>
  <c r="BW91" i="14609"/>
  <c r="BX91" i="14609"/>
  <c r="BY91" i="14609"/>
  <c r="BZ91" i="14609"/>
  <c r="CA91" i="14609"/>
  <c r="CB91" i="14609"/>
  <c r="CC91" i="14609"/>
  <c r="CD91" i="14609"/>
  <c r="CE91" i="14609"/>
  <c r="CF91" i="14609"/>
  <c r="CG91" i="14609"/>
  <c r="CH91" i="14609"/>
  <c r="CI91" i="14609"/>
  <c r="CJ91" i="14609"/>
  <c r="CK91" i="14609"/>
  <c r="CL91" i="14609"/>
  <c r="CM91" i="14609"/>
  <c r="CN91" i="14609"/>
  <c r="CO91" i="14609"/>
  <c r="CP91" i="14609"/>
  <c r="CQ91" i="14609"/>
  <c r="CR91" i="14609"/>
  <c r="CS91" i="14609"/>
  <c r="CT91" i="14609"/>
  <c r="CU91" i="14609"/>
  <c r="CV91" i="14609"/>
  <c r="CW91" i="14609"/>
  <c r="CX91" i="14609"/>
  <c r="CY91" i="14609"/>
  <c r="CZ91" i="14609"/>
  <c r="DA91" i="14609"/>
  <c r="DB91" i="14609"/>
  <c r="DC91" i="14609"/>
  <c r="DD91" i="14609"/>
  <c r="DE91" i="14609"/>
  <c r="DF91" i="14609"/>
  <c r="DG91" i="14609"/>
  <c r="DH91" i="14609"/>
  <c r="DI91" i="14609"/>
  <c r="DJ91" i="14609"/>
  <c r="DK91" i="14609"/>
  <c r="DL91" i="14609"/>
  <c r="DM91" i="14609"/>
  <c r="DN91" i="14609"/>
  <c r="DO91" i="14609"/>
  <c r="DP91" i="14609"/>
  <c r="DQ91" i="14609"/>
  <c r="DR91" i="14609"/>
  <c r="DS91" i="14609"/>
  <c r="DT91" i="14609"/>
  <c r="DU91" i="14609"/>
  <c r="DV91" i="14609"/>
  <c r="DW91" i="14609"/>
  <c r="DX91" i="14609"/>
  <c r="DY91" i="14609"/>
  <c r="DZ91" i="14609"/>
  <c r="EA91" i="14609"/>
  <c r="EB91" i="14609"/>
  <c r="EC91" i="14609"/>
  <c r="ED91" i="14609"/>
  <c r="EE91" i="14609"/>
  <c r="EF91" i="14609"/>
  <c r="EG91" i="14609"/>
  <c r="EH91" i="14609"/>
  <c r="EI91" i="14609"/>
  <c r="EJ91" i="14609"/>
  <c r="EK91" i="14609"/>
  <c r="EL91" i="14609"/>
  <c r="EM91" i="14609"/>
  <c r="EN91" i="14609"/>
  <c r="EO91" i="14609"/>
  <c r="EP91" i="14609"/>
  <c r="EQ91" i="14609"/>
  <c r="ER91" i="14609"/>
  <c r="ES91" i="14609"/>
  <c r="ET91" i="14609"/>
  <c r="EU91" i="14609"/>
  <c r="EV91" i="14609"/>
  <c r="EW91" i="14609"/>
  <c r="EX91" i="14609"/>
  <c r="EY91" i="14609"/>
  <c r="EZ91" i="14609"/>
  <c r="FA91" i="14609"/>
  <c r="FB91" i="14609"/>
  <c r="FC91" i="14609"/>
  <c r="FD91" i="14609"/>
  <c r="FE91" i="14609"/>
  <c r="FF91" i="14609"/>
  <c r="FG91" i="14609"/>
  <c r="FH91" i="14609"/>
  <c r="FI91" i="14609"/>
  <c r="FJ91" i="14609"/>
  <c r="FK91" i="14609"/>
  <c r="FL91" i="14609"/>
  <c r="FM91" i="14609"/>
  <c r="FN91" i="14609"/>
  <c r="FO91" i="14609"/>
  <c r="FP91" i="14609"/>
  <c r="FQ91" i="14609"/>
  <c r="FR91" i="14609"/>
  <c r="FS91" i="14609"/>
  <c r="FT91" i="14609"/>
  <c r="FU91" i="14609"/>
  <c r="FV91" i="14609"/>
  <c r="FW91" i="14609"/>
  <c r="FX91" i="14609"/>
  <c r="FY91" i="14609"/>
  <c r="FZ91" i="14609"/>
  <c r="GA91" i="14609"/>
  <c r="GB91" i="14609"/>
  <c r="GC91" i="14609"/>
  <c r="GD91" i="14609"/>
  <c r="GE91" i="14609"/>
  <c r="GF91" i="14609"/>
  <c r="GG91" i="14609"/>
  <c r="GH91" i="14609"/>
  <c r="GI91" i="14609"/>
  <c r="GJ91" i="14609"/>
  <c r="GK91" i="14609"/>
  <c r="GL91" i="14609"/>
  <c r="GM91" i="14609"/>
  <c r="GN91" i="14609"/>
  <c r="GO91" i="14609"/>
  <c r="GP91" i="14609"/>
  <c r="GQ91" i="14609"/>
  <c r="GR91" i="14609"/>
  <c r="GS91" i="14609"/>
  <c r="GT91" i="14609"/>
  <c r="GU91" i="14609"/>
  <c r="GV91" i="14609"/>
  <c r="GW91" i="14609"/>
  <c r="GX91" i="14609"/>
  <c r="GY91" i="14609"/>
  <c r="GZ91" i="14609"/>
  <c r="HA91" i="14609"/>
  <c r="HB91" i="14609"/>
  <c r="HC91" i="14609"/>
  <c r="HD91" i="14609"/>
  <c r="HE91" i="14609"/>
  <c r="HF91" i="14609"/>
  <c r="HG91" i="14609"/>
  <c r="HH91" i="14609"/>
  <c r="HI91" i="14609"/>
  <c r="HJ91" i="14609"/>
  <c r="HK91" i="14609"/>
  <c r="HL91" i="14609"/>
  <c r="HM91" i="14609"/>
  <c r="HN91" i="14609"/>
  <c r="HO91" i="14609"/>
  <c r="HP91" i="14609"/>
  <c r="HQ91" i="14609"/>
  <c r="HR91" i="14609"/>
  <c r="HS91" i="14609"/>
  <c r="HT91" i="14609"/>
  <c r="HU91" i="14609"/>
  <c r="HV91" i="14609"/>
  <c r="HW91" i="14609"/>
  <c r="HX91" i="14609"/>
  <c r="HY91" i="14609"/>
  <c r="HZ91" i="14609"/>
  <c r="IA91" i="14609"/>
  <c r="IB91" i="14609"/>
  <c r="IC91" i="14609"/>
  <c r="ID91" i="14609"/>
  <c r="IE91" i="14609"/>
  <c r="IF91" i="14609"/>
  <c r="IG91" i="14609"/>
  <c r="IH91" i="14609"/>
  <c r="II91" i="14609"/>
  <c r="IJ91" i="14609"/>
  <c r="IK91" i="14609"/>
  <c r="IL91" i="14609"/>
  <c r="IM91" i="14609"/>
  <c r="IN91" i="14609"/>
  <c r="IO91" i="14609"/>
  <c r="IP91" i="14609"/>
  <c r="IQ91" i="14609"/>
  <c r="IR91" i="14609"/>
  <c r="IS91" i="14609"/>
  <c r="IT91" i="14609"/>
  <c r="IU91" i="14609"/>
  <c r="IV91" i="14609"/>
  <c r="A90" i="14609"/>
  <c r="B90" i="14609"/>
  <c r="C90" i="14609"/>
  <c r="D90" i="14609"/>
  <c r="E90" i="14609"/>
  <c r="F90" i="14609"/>
  <c r="G90" i="14609"/>
  <c r="H90" i="14609"/>
  <c r="I90" i="14609"/>
  <c r="J90" i="14609"/>
  <c r="K90" i="14609"/>
  <c r="L90" i="14609"/>
  <c r="M90" i="14609"/>
  <c r="N90" i="14609"/>
  <c r="O90" i="14609"/>
  <c r="P90" i="14609"/>
  <c r="Q90" i="14609"/>
  <c r="R90" i="14609"/>
  <c r="S90" i="14609"/>
  <c r="T90" i="14609"/>
  <c r="U90" i="14609"/>
  <c r="V90" i="14609"/>
  <c r="W90" i="14609"/>
  <c r="X90" i="14609"/>
  <c r="Y90" i="14609"/>
  <c r="Z90" i="14609"/>
  <c r="AA90" i="14609"/>
  <c r="AB90" i="14609"/>
  <c r="AC90" i="14609"/>
  <c r="AD90" i="14609"/>
  <c r="AE90" i="14609"/>
  <c r="AF90" i="14609"/>
  <c r="AG90" i="14609"/>
  <c r="AH90" i="14609"/>
  <c r="AI90" i="14609"/>
  <c r="AJ90" i="14609"/>
  <c r="AK90" i="14609"/>
  <c r="AL90" i="14609"/>
  <c r="AM90" i="14609"/>
  <c r="AN90" i="14609"/>
  <c r="AO90" i="14609"/>
  <c r="AP90" i="14609"/>
  <c r="AQ90" i="14609"/>
  <c r="AR90" i="14609"/>
  <c r="AS90" i="14609"/>
  <c r="AT90" i="14609"/>
  <c r="AU90" i="14609"/>
  <c r="AV90" i="14609"/>
  <c r="AW90" i="14609"/>
  <c r="AX90" i="14609"/>
  <c r="AY90" i="14609"/>
  <c r="AZ90" i="14609"/>
  <c r="BA90" i="14609"/>
  <c r="BB90" i="14609"/>
  <c r="BC90" i="14609"/>
  <c r="BD90" i="14609"/>
  <c r="BE90" i="14609"/>
  <c r="BF90" i="14609"/>
  <c r="BG90" i="14609"/>
  <c r="BH90" i="14609"/>
  <c r="BI90" i="14609"/>
  <c r="BJ90" i="14609"/>
  <c r="BK90" i="14609"/>
  <c r="BL90" i="14609"/>
  <c r="BM90" i="14609"/>
  <c r="BN90" i="14609"/>
  <c r="BO90" i="14609"/>
  <c r="BP90" i="14609"/>
  <c r="BQ90" i="14609"/>
  <c r="BR90" i="14609"/>
  <c r="BS90" i="14609"/>
  <c r="BT90" i="14609"/>
  <c r="BU90" i="14609"/>
  <c r="BV90" i="14609"/>
  <c r="BW90" i="14609"/>
  <c r="BX90" i="14609"/>
  <c r="BY90" i="14609"/>
  <c r="BZ90" i="14609"/>
  <c r="CA90" i="14609"/>
  <c r="CB90" i="14609"/>
  <c r="CC90" i="14609"/>
  <c r="CD90" i="14609"/>
  <c r="CE90" i="14609"/>
  <c r="CF90" i="14609"/>
  <c r="CG90" i="14609"/>
  <c r="CH90" i="14609"/>
  <c r="CI90" i="14609"/>
  <c r="CJ90" i="14609"/>
  <c r="CK90" i="14609"/>
  <c r="CL90" i="14609"/>
  <c r="CM90" i="14609"/>
  <c r="CN90" i="14609"/>
  <c r="CO90" i="14609"/>
  <c r="CP90" i="14609"/>
  <c r="CQ90" i="14609"/>
  <c r="CR90" i="14609"/>
  <c r="CS90" i="14609"/>
  <c r="CT90" i="14609"/>
  <c r="CU90" i="14609"/>
  <c r="CV90" i="14609"/>
  <c r="CW90" i="14609"/>
  <c r="CX90" i="14609"/>
  <c r="CY90" i="14609"/>
  <c r="CZ90" i="14609"/>
  <c r="DA90" i="14609"/>
  <c r="DB90" i="14609"/>
  <c r="DC90" i="14609"/>
  <c r="DD90" i="14609"/>
  <c r="DE90" i="14609"/>
  <c r="DF90" i="14609"/>
  <c r="DG90" i="14609"/>
  <c r="DH90" i="14609"/>
  <c r="DI90" i="14609"/>
  <c r="DJ90" i="14609"/>
  <c r="DK90" i="14609"/>
  <c r="DL90" i="14609"/>
  <c r="DM90" i="14609"/>
  <c r="DN90" i="14609"/>
  <c r="DO90" i="14609"/>
  <c r="DP90" i="14609"/>
  <c r="DQ90" i="14609"/>
  <c r="DR90" i="14609"/>
  <c r="DS90" i="14609"/>
  <c r="DT90" i="14609"/>
  <c r="DU90" i="14609"/>
  <c r="DV90" i="14609"/>
  <c r="DW90" i="14609"/>
  <c r="DX90" i="14609"/>
  <c r="DY90" i="14609"/>
  <c r="DZ90" i="14609"/>
  <c r="EA90" i="14609"/>
  <c r="EB90" i="14609"/>
  <c r="EC90" i="14609"/>
  <c r="ED90" i="14609"/>
  <c r="EE90" i="14609"/>
  <c r="EF90" i="14609"/>
  <c r="EG90" i="14609"/>
  <c r="EH90" i="14609"/>
  <c r="EI90" i="14609"/>
  <c r="EJ90" i="14609"/>
  <c r="EK90" i="14609"/>
  <c r="EL90" i="14609"/>
  <c r="EM90" i="14609"/>
  <c r="EN90" i="14609"/>
  <c r="EO90" i="14609"/>
  <c r="EP90" i="14609"/>
  <c r="EQ90" i="14609"/>
  <c r="ER90" i="14609"/>
  <c r="ES90" i="14609"/>
  <c r="ET90" i="14609"/>
  <c r="EU90" i="14609"/>
  <c r="EV90" i="14609"/>
  <c r="EW90" i="14609"/>
  <c r="EX90" i="14609"/>
  <c r="EY90" i="14609"/>
  <c r="EZ90" i="14609"/>
  <c r="FA90" i="14609"/>
  <c r="FB90" i="14609"/>
  <c r="FC90" i="14609"/>
  <c r="FD90" i="14609"/>
  <c r="FE90" i="14609"/>
  <c r="FF90" i="14609"/>
  <c r="FG90" i="14609"/>
  <c r="FH90" i="14609"/>
  <c r="FI90" i="14609"/>
  <c r="FJ90" i="14609"/>
  <c r="FK90" i="14609"/>
  <c r="FL90" i="14609"/>
  <c r="FM90" i="14609"/>
  <c r="FN90" i="14609"/>
  <c r="FO90" i="14609"/>
  <c r="FP90" i="14609"/>
  <c r="FQ90" i="14609"/>
  <c r="FR90" i="14609"/>
  <c r="FS90" i="14609"/>
  <c r="FT90" i="14609"/>
  <c r="FU90" i="14609"/>
  <c r="FV90" i="14609"/>
  <c r="FW90" i="14609"/>
  <c r="FX90" i="14609"/>
  <c r="FY90" i="14609"/>
  <c r="FZ90" i="14609"/>
  <c r="GA90" i="14609"/>
  <c r="GB90" i="14609"/>
  <c r="GC90" i="14609"/>
  <c r="GD90" i="14609"/>
  <c r="GE90" i="14609"/>
  <c r="GF90" i="14609"/>
  <c r="GG90" i="14609"/>
  <c r="GH90" i="14609"/>
  <c r="GI90" i="14609"/>
  <c r="GJ90" i="14609"/>
  <c r="GK90" i="14609"/>
  <c r="GL90" i="14609"/>
  <c r="GM90" i="14609"/>
  <c r="GN90" i="14609"/>
  <c r="GO90" i="14609"/>
  <c r="GP90" i="14609"/>
  <c r="GQ90" i="14609"/>
  <c r="GR90" i="14609"/>
  <c r="GS90" i="14609"/>
  <c r="GT90" i="14609"/>
  <c r="GU90" i="14609"/>
  <c r="GV90" i="14609"/>
  <c r="GW90" i="14609"/>
  <c r="GX90" i="14609"/>
  <c r="GY90" i="14609"/>
  <c r="GZ90" i="14609"/>
  <c r="HA90" i="14609"/>
  <c r="HB90" i="14609"/>
  <c r="HC90" i="14609"/>
  <c r="HD90" i="14609"/>
  <c r="HE90" i="14609"/>
  <c r="HF90" i="14609"/>
  <c r="HG90" i="14609"/>
  <c r="HH90" i="14609"/>
  <c r="HI90" i="14609"/>
  <c r="HJ90" i="14609"/>
  <c r="HK90" i="14609"/>
  <c r="HL90" i="14609"/>
  <c r="HM90" i="14609"/>
  <c r="HN90" i="14609"/>
  <c r="HO90" i="14609"/>
  <c r="HP90" i="14609"/>
  <c r="HQ90" i="14609"/>
  <c r="HR90" i="14609"/>
  <c r="HS90" i="14609"/>
  <c r="HT90" i="14609"/>
  <c r="HU90" i="14609"/>
  <c r="HV90" i="14609"/>
  <c r="HW90" i="14609"/>
  <c r="HX90" i="14609"/>
  <c r="HY90" i="14609"/>
  <c r="HZ90" i="14609"/>
  <c r="IA90" i="14609"/>
  <c r="IB90" i="14609"/>
  <c r="IC90" i="14609"/>
  <c r="ID90" i="14609"/>
  <c r="IE90" i="14609"/>
  <c r="IF90" i="14609"/>
  <c r="IG90" i="14609"/>
  <c r="IH90" i="14609"/>
  <c r="II90" i="14609"/>
  <c r="IJ90" i="14609"/>
  <c r="IK90" i="14609"/>
  <c r="IL90" i="14609"/>
  <c r="IM90" i="14609"/>
  <c r="IN90" i="14609"/>
  <c r="IO90" i="14609"/>
  <c r="IP90" i="14609"/>
  <c r="IQ90" i="14609"/>
  <c r="IR90" i="14609"/>
  <c r="IS90" i="14609"/>
  <c r="IT90" i="14609"/>
  <c r="IU90" i="14609"/>
  <c r="IV90" i="14609"/>
  <c r="A89" i="14609"/>
  <c r="B89" i="14609"/>
  <c r="C89" i="14609"/>
  <c r="D89" i="14609"/>
  <c r="E89" i="14609"/>
  <c r="F89" i="14609"/>
  <c r="G89" i="14609"/>
  <c r="H89" i="14609"/>
  <c r="I89" i="14609"/>
  <c r="J89" i="14609"/>
  <c r="K89" i="14609"/>
  <c r="L89" i="14609"/>
  <c r="M89" i="14609"/>
  <c r="N89" i="14609"/>
  <c r="O89" i="14609"/>
  <c r="P89" i="14609"/>
  <c r="Q89" i="14609"/>
  <c r="R89" i="14609"/>
  <c r="S89" i="14609"/>
  <c r="T89" i="14609"/>
  <c r="U89" i="14609"/>
  <c r="V89" i="14609"/>
  <c r="W89" i="14609"/>
  <c r="X89" i="14609"/>
  <c r="Y89" i="14609"/>
  <c r="Z89" i="14609"/>
  <c r="AA89" i="14609"/>
  <c r="AB89" i="14609"/>
  <c r="AC89" i="14609"/>
  <c r="AD89" i="14609"/>
  <c r="AE89" i="14609"/>
  <c r="AF89" i="14609"/>
  <c r="AG89" i="14609"/>
  <c r="AH89" i="14609"/>
  <c r="AI89" i="14609"/>
  <c r="AJ89" i="14609"/>
  <c r="AK89" i="14609"/>
  <c r="AL89" i="14609"/>
  <c r="AM89" i="14609"/>
  <c r="AN89" i="14609"/>
  <c r="AO89" i="14609"/>
  <c r="AP89" i="14609"/>
  <c r="AQ89" i="14609"/>
  <c r="AR89" i="14609"/>
  <c r="AS89" i="14609"/>
  <c r="AT89" i="14609"/>
  <c r="AU89" i="14609"/>
  <c r="AV89" i="14609"/>
  <c r="AW89" i="14609"/>
  <c r="AX89" i="14609"/>
  <c r="AY89" i="14609"/>
  <c r="AZ89" i="14609"/>
  <c r="BA89" i="14609"/>
  <c r="BB89" i="14609"/>
  <c r="BC89" i="14609"/>
  <c r="BD89" i="14609"/>
  <c r="BE89" i="14609"/>
  <c r="BF89" i="14609"/>
  <c r="BG89" i="14609"/>
  <c r="BH89" i="14609"/>
  <c r="BI89" i="14609"/>
  <c r="BJ89" i="14609"/>
  <c r="BK89" i="14609"/>
  <c r="BL89" i="14609"/>
  <c r="BM89" i="14609"/>
  <c r="BN89" i="14609"/>
  <c r="BO89" i="14609"/>
  <c r="BP89" i="14609"/>
  <c r="BQ89" i="14609"/>
  <c r="BR89" i="14609"/>
  <c r="BS89" i="14609"/>
  <c r="BT89" i="14609"/>
  <c r="BU89" i="14609"/>
  <c r="BV89" i="14609"/>
  <c r="BW89" i="14609"/>
  <c r="BX89" i="14609"/>
  <c r="BY89" i="14609"/>
  <c r="BZ89" i="14609"/>
  <c r="CA89" i="14609"/>
  <c r="CB89" i="14609"/>
  <c r="CC89" i="14609"/>
  <c r="CD89" i="14609"/>
  <c r="CE89" i="14609"/>
  <c r="CF89" i="14609"/>
  <c r="CG89" i="14609"/>
  <c r="CH89" i="14609"/>
  <c r="CI89" i="14609"/>
  <c r="CJ89" i="14609"/>
  <c r="CK89" i="14609"/>
  <c r="CL89" i="14609"/>
  <c r="CM89" i="14609"/>
  <c r="CN89" i="14609"/>
  <c r="CO89" i="14609"/>
  <c r="CP89" i="14609"/>
  <c r="CQ89" i="14609"/>
  <c r="CR89" i="14609"/>
  <c r="CS89" i="14609"/>
  <c r="CT89" i="14609"/>
  <c r="CU89" i="14609"/>
  <c r="CV89" i="14609"/>
  <c r="CW89" i="14609"/>
  <c r="CX89" i="14609"/>
  <c r="CY89" i="14609"/>
  <c r="CZ89" i="14609"/>
  <c r="DA89" i="14609"/>
  <c r="DB89" i="14609"/>
  <c r="DC89" i="14609"/>
  <c r="DD89" i="14609"/>
  <c r="DE89" i="14609"/>
  <c r="DF89" i="14609"/>
  <c r="DG89" i="14609"/>
  <c r="DH89" i="14609"/>
  <c r="DI89" i="14609"/>
  <c r="DJ89" i="14609"/>
  <c r="DK89" i="14609"/>
  <c r="DL89" i="14609"/>
  <c r="DM89" i="14609"/>
  <c r="DN89" i="14609"/>
  <c r="DO89" i="14609"/>
  <c r="DP89" i="14609"/>
  <c r="DQ89" i="14609"/>
  <c r="DR89" i="14609"/>
  <c r="DS89" i="14609"/>
  <c r="DT89" i="14609"/>
  <c r="DU89" i="14609"/>
  <c r="DV89" i="14609"/>
  <c r="DW89" i="14609"/>
  <c r="DX89" i="14609"/>
  <c r="DY89" i="14609"/>
  <c r="DZ89" i="14609"/>
  <c r="EA89" i="14609"/>
  <c r="EB89" i="14609"/>
  <c r="EC89" i="14609"/>
  <c r="ED89" i="14609"/>
  <c r="EE89" i="14609"/>
  <c r="EF89" i="14609"/>
  <c r="EG89" i="14609"/>
  <c r="EH89" i="14609"/>
  <c r="EI89" i="14609"/>
  <c r="EJ89" i="14609"/>
  <c r="EK89" i="14609"/>
  <c r="EL89" i="14609"/>
  <c r="EM89" i="14609"/>
  <c r="EN89" i="14609"/>
  <c r="EO89" i="14609"/>
  <c r="EP89" i="14609"/>
  <c r="EQ89" i="14609"/>
  <c r="ER89" i="14609"/>
  <c r="ES89" i="14609"/>
  <c r="ET89" i="14609"/>
  <c r="EU89" i="14609"/>
  <c r="EV89" i="14609"/>
  <c r="EW89" i="14609"/>
  <c r="EX89" i="14609"/>
  <c r="EY89" i="14609"/>
  <c r="EZ89" i="14609"/>
  <c r="FA89" i="14609"/>
  <c r="FB89" i="14609"/>
  <c r="FC89" i="14609"/>
  <c r="FD89" i="14609"/>
  <c r="FE89" i="14609"/>
  <c r="FF89" i="14609"/>
  <c r="FG89" i="14609"/>
  <c r="FH89" i="14609"/>
  <c r="FI89" i="14609"/>
  <c r="FJ89" i="14609"/>
  <c r="FK89" i="14609"/>
  <c r="FL89" i="14609"/>
  <c r="FM89" i="14609"/>
  <c r="FN89" i="14609"/>
  <c r="FO89" i="14609"/>
  <c r="FP89" i="14609"/>
  <c r="FQ89" i="14609"/>
  <c r="FR89" i="14609"/>
  <c r="FS89" i="14609"/>
  <c r="FT89" i="14609"/>
  <c r="FU89" i="14609"/>
  <c r="FV89" i="14609"/>
  <c r="FW89" i="14609"/>
  <c r="FX89" i="14609"/>
  <c r="FY89" i="14609"/>
  <c r="FZ89" i="14609"/>
  <c r="GA89" i="14609"/>
  <c r="GB89" i="14609"/>
  <c r="GC89" i="14609"/>
  <c r="GD89" i="14609"/>
  <c r="GE89" i="14609"/>
  <c r="GF89" i="14609"/>
  <c r="GG89" i="14609"/>
  <c r="GH89" i="14609"/>
  <c r="GI89" i="14609"/>
  <c r="GJ89" i="14609"/>
  <c r="GK89" i="14609"/>
  <c r="GL89" i="14609"/>
  <c r="GM89" i="14609"/>
  <c r="GN89" i="14609"/>
  <c r="GO89" i="14609"/>
  <c r="GP89" i="14609"/>
  <c r="GQ89" i="14609"/>
  <c r="GR89" i="14609"/>
  <c r="GS89" i="14609"/>
  <c r="GT89" i="14609"/>
  <c r="GU89" i="14609"/>
  <c r="GV89" i="14609"/>
  <c r="GW89" i="14609"/>
  <c r="GX89" i="14609"/>
  <c r="GY89" i="14609"/>
  <c r="GZ89" i="14609"/>
  <c r="HA89" i="14609"/>
  <c r="HB89" i="14609"/>
  <c r="HC89" i="14609"/>
  <c r="HD89" i="14609"/>
  <c r="HE89" i="14609"/>
  <c r="HF89" i="14609"/>
  <c r="HG89" i="14609"/>
  <c r="HH89" i="14609"/>
  <c r="HI89" i="14609"/>
  <c r="HJ89" i="14609"/>
  <c r="HK89" i="14609"/>
  <c r="HL89" i="14609"/>
  <c r="HM89" i="14609"/>
  <c r="HN89" i="14609"/>
  <c r="HO89" i="14609"/>
  <c r="HP89" i="14609"/>
  <c r="HQ89" i="14609"/>
  <c r="HR89" i="14609"/>
  <c r="HS89" i="14609"/>
  <c r="HT89" i="14609"/>
  <c r="HU89" i="14609"/>
  <c r="HV89" i="14609"/>
  <c r="HW89" i="14609"/>
  <c r="HX89" i="14609"/>
  <c r="HY89" i="14609"/>
  <c r="HZ89" i="14609"/>
  <c r="IA89" i="14609"/>
  <c r="IB89" i="14609"/>
  <c r="IC89" i="14609"/>
  <c r="ID89" i="14609"/>
  <c r="IE89" i="14609"/>
  <c r="IF89" i="14609"/>
  <c r="IG89" i="14609"/>
  <c r="IH89" i="14609"/>
  <c r="II89" i="14609"/>
  <c r="IJ89" i="14609"/>
  <c r="IK89" i="14609"/>
  <c r="IL89" i="14609"/>
  <c r="IM89" i="14609"/>
  <c r="IN89" i="14609"/>
  <c r="IO89" i="14609"/>
  <c r="IP89" i="14609"/>
  <c r="IQ89" i="14609"/>
  <c r="IR89" i="14609"/>
  <c r="IS89" i="14609"/>
  <c r="IT89" i="14609"/>
  <c r="IU89" i="14609"/>
  <c r="IV89" i="14609"/>
  <c r="A88" i="14609"/>
  <c r="B88" i="14609"/>
  <c r="C88" i="14609"/>
  <c r="D88" i="14609"/>
  <c r="E88" i="14609"/>
  <c r="F88" i="14609"/>
  <c r="G88" i="14609"/>
  <c r="H88" i="14609"/>
  <c r="I88" i="14609"/>
  <c r="J88" i="14609"/>
  <c r="K88" i="14609"/>
  <c r="L88" i="14609"/>
  <c r="M88" i="14609"/>
  <c r="N88" i="14609"/>
  <c r="O88" i="14609"/>
  <c r="P88" i="14609"/>
  <c r="Q88" i="14609"/>
  <c r="R88" i="14609"/>
  <c r="S88" i="14609"/>
  <c r="T88" i="14609"/>
  <c r="U88" i="14609"/>
  <c r="V88" i="14609"/>
  <c r="W88" i="14609"/>
  <c r="X88" i="14609"/>
  <c r="Y88" i="14609"/>
  <c r="Z88" i="14609"/>
  <c r="AA88" i="14609"/>
  <c r="AB88" i="14609"/>
  <c r="AC88" i="14609"/>
  <c r="AD88" i="14609"/>
  <c r="AE88" i="14609"/>
  <c r="AF88" i="14609"/>
  <c r="AG88" i="14609"/>
  <c r="AH88" i="14609"/>
  <c r="AI88" i="14609"/>
  <c r="AJ88" i="14609"/>
  <c r="AK88" i="14609"/>
  <c r="AL88" i="14609"/>
  <c r="AM88" i="14609"/>
  <c r="AN88" i="14609"/>
  <c r="AO88" i="14609"/>
  <c r="AP88" i="14609"/>
  <c r="AQ88" i="14609"/>
  <c r="AR88" i="14609"/>
  <c r="AS88" i="14609"/>
  <c r="AT88" i="14609"/>
  <c r="AU88" i="14609"/>
  <c r="AV88" i="14609"/>
  <c r="AW88" i="14609"/>
  <c r="AX88" i="14609"/>
  <c r="AY88" i="14609"/>
  <c r="AZ88" i="14609"/>
  <c r="BA88" i="14609"/>
  <c r="BB88" i="14609"/>
  <c r="BC88" i="14609"/>
  <c r="BD88" i="14609"/>
  <c r="BE88" i="14609"/>
  <c r="BF88" i="14609"/>
  <c r="BG88" i="14609"/>
  <c r="BH88" i="14609"/>
  <c r="BI88" i="14609"/>
  <c r="BJ88" i="14609"/>
  <c r="BK88" i="14609"/>
  <c r="BL88" i="14609"/>
  <c r="BM88" i="14609"/>
  <c r="BN88" i="14609"/>
  <c r="BO88" i="14609"/>
  <c r="BP88" i="14609"/>
  <c r="BQ88" i="14609"/>
  <c r="BR88" i="14609"/>
  <c r="BS88" i="14609"/>
  <c r="BT88" i="14609"/>
  <c r="BU88" i="14609"/>
  <c r="BV88" i="14609"/>
  <c r="BW88" i="14609"/>
  <c r="BX88" i="14609"/>
  <c r="BY88" i="14609"/>
  <c r="BZ88" i="14609"/>
  <c r="CA88" i="14609"/>
  <c r="CB88" i="14609"/>
  <c r="CC88" i="14609"/>
  <c r="CD88" i="14609"/>
  <c r="CE88" i="14609"/>
  <c r="CF88" i="14609"/>
  <c r="CG88" i="14609"/>
  <c r="CH88" i="14609"/>
  <c r="CI88" i="14609"/>
  <c r="CJ88" i="14609"/>
  <c r="CK88" i="14609"/>
  <c r="CL88" i="14609"/>
  <c r="CM88" i="14609"/>
  <c r="CN88" i="14609"/>
  <c r="CO88" i="14609"/>
  <c r="CP88" i="14609"/>
  <c r="CQ88" i="14609"/>
  <c r="CR88" i="14609"/>
  <c r="CS88" i="14609"/>
  <c r="CT88" i="14609"/>
  <c r="CU88" i="14609"/>
  <c r="CV88" i="14609"/>
  <c r="CW88" i="14609"/>
  <c r="CX88" i="14609"/>
  <c r="CY88" i="14609"/>
  <c r="CZ88" i="14609"/>
  <c r="DA88" i="14609"/>
  <c r="DB88" i="14609"/>
  <c r="DC88" i="14609"/>
  <c r="DD88" i="14609"/>
  <c r="DE88" i="14609"/>
  <c r="DF88" i="14609"/>
  <c r="DG88" i="14609"/>
  <c r="DH88" i="14609"/>
  <c r="DI88" i="14609"/>
  <c r="DJ88" i="14609"/>
  <c r="DK88" i="14609"/>
  <c r="DL88" i="14609"/>
  <c r="DM88" i="14609"/>
  <c r="DN88" i="14609"/>
  <c r="DO88" i="14609"/>
  <c r="DP88" i="14609"/>
  <c r="DQ88" i="14609"/>
  <c r="DR88" i="14609"/>
  <c r="DS88" i="14609"/>
  <c r="DT88" i="14609"/>
  <c r="DU88" i="14609"/>
  <c r="DV88" i="14609"/>
  <c r="DW88" i="14609"/>
  <c r="DX88" i="14609"/>
  <c r="DY88" i="14609"/>
  <c r="DZ88" i="14609"/>
  <c r="EA88" i="14609"/>
  <c r="EB88" i="14609"/>
  <c r="EC88" i="14609"/>
  <c r="ED88" i="14609"/>
  <c r="EE88" i="14609"/>
  <c r="EF88" i="14609"/>
  <c r="EG88" i="14609"/>
  <c r="EH88" i="14609"/>
  <c r="EI88" i="14609"/>
  <c r="EJ88" i="14609"/>
  <c r="EK88" i="14609"/>
  <c r="EL88" i="14609"/>
  <c r="EM88" i="14609"/>
  <c r="EN88" i="14609"/>
  <c r="EO88" i="14609"/>
  <c r="EP88" i="14609"/>
  <c r="EQ88" i="14609"/>
  <c r="ER88" i="14609"/>
  <c r="ES88" i="14609"/>
  <c r="ET88" i="14609"/>
  <c r="EU88" i="14609"/>
  <c r="EV88" i="14609"/>
  <c r="EW88" i="14609"/>
  <c r="EX88" i="14609"/>
  <c r="EY88" i="14609"/>
  <c r="EZ88" i="14609"/>
  <c r="FA88" i="14609"/>
  <c r="FB88" i="14609"/>
  <c r="FC88" i="14609"/>
  <c r="FD88" i="14609"/>
  <c r="FE88" i="14609"/>
  <c r="FF88" i="14609"/>
  <c r="FG88" i="14609"/>
  <c r="FH88" i="14609"/>
  <c r="FI88" i="14609"/>
  <c r="FJ88" i="14609"/>
  <c r="FK88" i="14609"/>
  <c r="FL88" i="14609"/>
  <c r="FM88" i="14609"/>
  <c r="FN88" i="14609"/>
  <c r="FO88" i="14609"/>
  <c r="FP88" i="14609"/>
  <c r="FQ88" i="14609"/>
  <c r="FR88" i="14609"/>
  <c r="FS88" i="14609"/>
  <c r="FT88" i="14609"/>
  <c r="FU88" i="14609"/>
  <c r="FV88" i="14609"/>
  <c r="FW88" i="14609"/>
  <c r="FX88" i="14609"/>
  <c r="FY88" i="14609"/>
  <c r="FZ88" i="14609"/>
  <c r="GA88" i="14609"/>
  <c r="GB88" i="14609"/>
  <c r="GC88" i="14609"/>
  <c r="GD88" i="14609"/>
  <c r="GE88" i="14609"/>
  <c r="GF88" i="14609"/>
  <c r="GG88" i="14609"/>
  <c r="GH88" i="14609"/>
  <c r="GI88" i="14609"/>
  <c r="GJ88" i="14609"/>
  <c r="GK88" i="14609"/>
  <c r="GL88" i="14609"/>
  <c r="GM88" i="14609"/>
  <c r="GN88" i="14609"/>
  <c r="GO88" i="14609"/>
  <c r="GP88" i="14609"/>
  <c r="GQ88" i="14609"/>
  <c r="GR88" i="14609"/>
  <c r="GS88" i="14609"/>
  <c r="GT88" i="14609"/>
  <c r="GU88" i="14609"/>
  <c r="GV88" i="14609"/>
  <c r="GW88" i="14609"/>
  <c r="GX88" i="14609"/>
  <c r="GY88" i="14609"/>
  <c r="GZ88" i="14609"/>
  <c r="HA88" i="14609"/>
  <c r="HB88" i="14609"/>
  <c r="HC88" i="14609"/>
  <c r="HD88" i="14609"/>
  <c r="HE88" i="14609"/>
  <c r="HF88" i="14609"/>
  <c r="HG88" i="14609"/>
  <c r="HH88" i="14609"/>
  <c r="HI88" i="14609"/>
  <c r="HJ88" i="14609"/>
  <c r="HK88" i="14609"/>
  <c r="HL88" i="14609"/>
  <c r="HM88" i="14609"/>
  <c r="HN88" i="14609"/>
  <c r="HO88" i="14609"/>
  <c r="HP88" i="14609"/>
  <c r="HQ88" i="14609"/>
  <c r="HR88" i="14609"/>
  <c r="HS88" i="14609"/>
  <c r="HT88" i="14609"/>
  <c r="HU88" i="14609"/>
  <c r="HV88" i="14609"/>
  <c r="HW88" i="14609"/>
  <c r="HX88" i="14609"/>
  <c r="HY88" i="14609"/>
  <c r="HZ88" i="14609"/>
  <c r="IA88" i="14609"/>
  <c r="IB88" i="14609"/>
  <c r="IC88" i="14609"/>
  <c r="ID88" i="14609"/>
  <c r="IE88" i="14609"/>
  <c r="IF88" i="14609"/>
  <c r="IG88" i="14609"/>
  <c r="IH88" i="14609"/>
  <c r="II88" i="14609"/>
  <c r="IJ88" i="14609"/>
  <c r="IK88" i="14609"/>
  <c r="IL88" i="14609"/>
  <c r="IM88" i="14609"/>
  <c r="IN88" i="14609"/>
  <c r="IO88" i="14609"/>
  <c r="IP88" i="14609"/>
  <c r="IQ88" i="14609"/>
  <c r="IR88" i="14609"/>
  <c r="IS88" i="14609"/>
  <c r="IT88" i="14609"/>
  <c r="IU88" i="14609"/>
  <c r="IV88" i="14609"/>
  <c r="A87" i="14609"/>
  <c r="B87" i="14609"/>
  <c r="C87" i="14609"/>
  <c r="D87" i="14609"/>
  <c r="E87" i="14609"/>
  <c r="F87" i="14609"/>
  <c r="G87" i="14609"/>
  <c r="H87" i="14609"/>
  <c r="I87" i="14609"/>
  <c r="J87" i="14609"/>
  <c r="K87" i="14609"/>
  <c r="L87" i="14609"/>
  <c r="M87" i="14609"/>
  <c r="N87" i="14609"/>
  <c r="O87" i="14609"/>
  <c r="P87" i="14609"/>
  <c r="Q87" i="14609"/>
  <c r="R87" i="14609"/>
  <c r="S87" i="14609"/>
  <c r="T87" i="14609"/>
  <c r="U87" i="14609"/>
  <c r="V87" i="14609"/>
  <c r="W87" i="14609"/>
  <c r="X87" i="14609"/>
  <c r="Y87" i="14609"/>
  <c r="Z87" i="14609"/>
  <c r="AA87" i="14609"/>
  <c r="AB87" i="14609"/>
  <c r="AC87" i="14609"/>
  <c r="AD87" i="14609"/>
  <c r="AE87" i="14609"/>
  <c r="AF87" i="14609"/>
  <c r="AG87" i="14609"/>
  <c r="AH87" i="14609"/>
  <c r="AI87" i="14609"/>
  <c r="AJ87" i="14609"/>
  <c r="AK87" i="14609"/>
  <c r="AL87" i="14609"/>
  <c r="AM87" i="14609"/>
  <c r="AN87" i="14609"/>
  <c r="AO87" i="14609"/>
  <c r="AP87" i="14609"/>
  <c r="AQ87" i="14609"/>
  <c r="AR87" i="14609"/>
  <c r="AS87" i="14609"/>
  <c r="AT87" i="14609"/>
  <c r="AU87" i="14609"/>
  <c r="AV87" i="14609"/>
  <c r="AW87" i="14609"/>
  <c r="AX87" i="14609"/>
  <c r="AY87" i="14609"/>
  <c r="AZ87" i="14609"/>
  <c r="BA87" i="14609"/>
  <c r="BB87" i="14609"/>
  <c r="BC87" i="14609"/>
  <c r="BD87" i="14609"/>
  <c r="BE87" i="14609"/>
  <c r="BF87" i="14609"/>
  <c r="BG87" i="14609"/>
  <c r="BH87" i="14609"/>
  <c r="BI87" i="14609"/>
  <c r="BJ87" i="14609"/>
  <c r="BK87" i="14609"/>
  <c r="BL87" i="14609"/>
  <c r="BM87" i="14609"/>
  <c r="BN87" i="14609"/>
  <c r="BO87" i="14609"/>
  <c r="BP87" i="14609"/>
  <c r="BQ87" i="14609"/>
  <c r="BR87" i="14609"/>
  <c r="BS87" i="14609"/>
  <c r="BT87" i="14609"/>
  <c r="BU87" i="14609"/>
  <c r="BV87" i="14609"/>
  <c r="BW87" i="14609"/>
  <c r="BX87" i="14609"/>
  <c r="BY87" i="14609"/>
  <c r="BZ87" i="14609"/>
  <c r="CA87" i="14609"/>
  <c r="CB87" i="14609"/>
  <c r="CC87" i="14609"/>
  <c r="CD87" i="14609"/>
  <c r="CE87" i="14609"/>
  <c r="CF87" i="14609"/>
  <c r="CG87" i="14609"/>
  <c r="CH87" i="14609"/>
  <c r="CI87" i="14609"/>
  <c r="CJ87" i="14609"/>
  <c r="CK87" i="14609"/>
  <c r="CL87" i="14609"/>
  <c r="CM87" i="14609"/>
  <c r="CN87" i="14609"/>
  <c r="CO87" i="14609"/>
  <c r="CP87" i="14609"/>
  <c r="CQ87" i="14609"/>
  <c r="CR87" i="14609"/>
  <c r="CS87" i="14609"/>
  <c r="CT87" i="14609"/>
  <c r="CU87" i="14609"/>
  <c r="CV87" i="14609"/>
  <c r="CW87" i="14609"/>
  <c r="CX87" i="14609"/>
  <c r="CY87" i="14609"/>
  <c r="CZ87" i="14609"/>
  <c r="DA87" i="14609"/>
  <c r="DB87" i="14609"/>
  <c r="DC87" i="14609"/>
  <c r="DD87" i="14609"/>
  <c r="DE87" i="14609"/>
  <c r="DF87" i="14609"/>
  <c r="DG87" i="14609"/>
  <c r="DH87" i="14609"/>
  <c r="DI87" i="14609"/>
  <c r="DJ87" i="14609"/>
  <c r="DK87" i="14609"/>
  <c r="DL87" i="14609"/>
  <c r="DM87" i="14609"/>
  <c r="DN87" i="14609"/>
  <c r="DO87" i="14609"/>
  <c r="DP87" i="14609"/>
  <c r="DQ87" i="14609"/>
  <c r="DR87" i="14609"/>
  <c r="DS87" i="14609"/>
  <c r="DT87" i="14609"/>
  <c r="DU87" i="14609"/>
  <c r="DV87" i="14609"/>
  <c r="DW87" i="14609"/>
  <c r="DX87" i="14609"/>
  <c r="DY87" i="14609"/>
  <c r="DZ87" i="14609"/>
  <c r="EA87" i="14609"/>
  <c r="EB87" i="14609"/>
  <c r="EC87" i="14609"/>
  <c r="ED87" i="14609"/>
  <c r="EE87" i="14609"/>
  <c r="EF87" i="14609"/>
  <c r="EG87" i="14609"/>
  <c r="EH87" i="14609"/>
  <c r="EI87" i="14609"/>
  <c r="EJ87" i="14609"/>
  <c r="EK87" i="14609"/>
  <c r="EL87" i="14609"/>
  <c r="EM87" i="14609"/>
  <c r="EN87" i="14609"/>
  <c r="EO87" i="14609"/>
  <c r="EP87" i="14609"/>
  <c r="EQ87" i="14609"/>
  <c r="ER87" i="14609"/>
  <c r="ES87" i="14609"/>
  <c r="ET87" i="14609"/>
  <c r="EU87" i="14609"/>
  <c r="EV87" i="14609"/>
  <c r="EW87" i="14609"/>
  <c r="EX87" i="14609"/>
  <c r="EY87" i="14609"/>
  <c r="EZ87" i="14609"/>
  <c r="FA87" i="14609"/>
  <c r="FB87" i="14609"/>
  <c r="FC87" i="14609"/>
  <c r="FD87" i="14609"/>
  <c r="FE87" i="14609"/>
  <c r="FF87" i="14609"/>
  <c r="FG87" i="14609"/>
  <c r="FH87" i="14609"/>
  <c r="FI87" i="14609"/>
  <c r="FJ87" i="14609"/>
  <c r="FK87" i="14609"/>
  <c r="FL87" i="14609"/>
  <c r="FM87" i="14609"/>
  <c r="FN87" i="14609"/>
  <c r="FO87" i="14609"/>
  <c r="FP87" i="14609"/>
  <c r="FQ87" i="14609"/>
  <c r="FR87" i="14609"/>
  <c r="FS87" i="14609"/>
  <c r="FT87" i="14609"/>
  <c r="FU87" i="14609"/>
  <c r="FV87" i="14609"/>
  <c r="FW87" i="14609"/>
  <c r="FX87" i="14609"/>
  <c r="FY87" i="14609"/>
  <c r="FZ87" i="14609"/>
  <c r="GA87" i="14609"/>
  <c r="GB87" i="14609"/>
  <c r="GC87" i="14609"/>
  <c r="GD87" i="14609"/>
  <c r="GE87" i="14609"/>
  <c r="GF87" i="14609"/>
  <c r="GG87" i="14609"/>
  <c r="GH87" i="14609"/>
  <c r="GI87" i="14609"/>
  <c r="GJ87" i="14609"/>
  <c r="GK87" i="14609"/>
  <c r="GL87" i="14609"/>
  <c r="GM87" i="14609"/>
  <c r="GN87" i="14609"/>
  <c r="GO87" i="14609"/>
  <c r="GP87" i="14609"/>
  <c r="GQ87" i="14609"/>
  <c r="GR87" i="14609"/>
  <c r="GS87" i="14609"/>
  <c r="GT87" i="14609"/>
  <c r="GU87" i="14609"/>
  <c r="GV87" i="14609"/>
  <c r="GW87" i="14609"/>
  <c r="GX87" i="14609"/>
  <c r="GY87" i="14609"/>
  <c r="GZ87" i="14609"/>
  <c r="HA87" i="14609"/>
  <c r="HB87" i="14609"/>
  <c r="HC87" i="14609"/>
  <c r="HD87" i="14609"/>
  <c r="HE87" i="14609"/>
  <c r="HF87" i="14609"/>
  <c r="HG87" i="14609"/>
  <c r="HH87" i="14609"/>
  <c r="HI87" i="14609"/>
  <c r="HJ87" i="14609"/>
  <c r="HK87" i="14609"/>
  <c r="HL87" i="14609"/>
  <c r="HM87" i="14609"/>
  <c r="HN87" i="14609"/>
  <c r="HO87" i="14609"/>
  <c r="HP87" i="14609"/>
  <c r="HQ87" i="14609"/>
  <c r="HR87" i="14609"/>
  <c r="HS87" i="14609"/>
  <c r="HT87" i="14609"/>
  <c r="HU87" i="14609"/>
  <c r="HV87" i="14609"/>
  <c r="HW87" i="14609"/>
  <c r="HX87" i="14609"/>
  <c r="HY87" i="14609"/>
  <c r="HZ87" i="14609"/>
  <c r="IA87" i="14609"/>
  <c r="IB87" i="14609"/>
  <c r="IC87" i="14609"/>
  <c r="ID87" i="14609"/>
  <c r="IE87" i="14609"/>
  <c r="IF87" i="14609"/>
  <c r="IG87" i="14609"/>
  <c r="IH87" i="14609"/>
  <c r="II87" i="14609"/>
  <c r="IJ87" i="14609"/>
  <c r="IK87" i="14609"/>
  <c r="IL87" i="14609"/>
  <c r="IM87" i="14609"/>
  <c r="IN87" i="14609"/>
  <c r="IO87" i="14609"/>
  <c r="IP87" i="14609"/>
  <c r="IQ87" i="14609"/>
  <c r="IR87" i="14609"/>
  <c r="IS87" i="14609"/>
  <c r="IT87" i="14609"/>
  <c r="IU87" i="14609"/>
  <c r="IV87" i="14609"/>
  <c r="A86" i="14609"/>
  <c r="B86" i="14609"/>
  <c r="C86" i="14609"/>
  <c r="D86" i="14609"/>
  <c r="E86" i="14609"/>
  <c r="F86" i="14609"/>
  <c r="G86" i="14609"/>
  <c r="H86" i="14609"/>
  <c r="I86" i="14609"/>
  <c r="J86" i="14609"/>
  <c r="K86" i="14609"/>
  <c r="L86" i="14609"/>
  <c r="M86" i="14609"/>
  <c r="N86" i="14609"/>
  <c r="O86" i="14609"/>
  <c r="P86" i="14609"/>
  <c r="Q86" i="14609"/>
  <c r="R86" i="14609"/>
  <c r="S86" i="14609"/>
  <c r="T86" i="14609"/>
  <c r="U86" i="14609"/>
  <c r="V86" i="14609"/>
  <c r="W86" i="14609"/>
  <c r="X86" i="14609"/>
  <c r="Y86" i="14609"/>
  <c r="Z86" i="14609"/>
  <c r="AA86" i="14609"/>
  <c r="AB86" i="14609"/>
  <c r="AC86" i="14609"/>
  <c r="AD86" i="14609"/>
  <c r="AE86" i="14609"/>
  <c r="AF86" i="14609"/>
  <c r="AG86" i="14609"/>
  <c r="AH86" i="14609"/>
  <c r="AI86" i="14609"/>
  <c r="AJ86" i="14609"/>
  <c r="AK86" i="14609"/>
  <c r="AL86" i="14609"/>
  <c r="AM86" i="14609"/>
  <c r="AN86" i="14609"/>
  <c r="AO86" i="14609"/>
  <c r="AP86" i="14609"/>
  <c r="AQ86" i="14609"/>
  <c r="AR86" i="14609"/>
  <c r="AS86" i="14609"/>
  <c r="AT86" i="14609"/>
  <c r="AU86" i="14609"/>
  <c r="AV86" i="14609"/>
  <c r="AW86" i="14609"/>
  <c r="AX86" i="14609"/>
  <c r="AY86" i="14609"/>
  <c r="AZ86" i="14609"/>
  <c r="BA86" i="14609"/>
  <c r="BB86" i="14609"/>
  <c r="BC86" i="14609"/>
  <c r="BD86" i="14609"/>
  <c r="BE86" i="14609"/>
  <c r="BF86" i="14609"/>
  <c r="BG86" i="14609"/>
  <c r="BH86" i="14609"/>
  <c r="BI86" i="14609"/>
  <c r="BJ86" i="14609"/>
  <c r="BK86" i="14609"/>
  <c r="BL86" i="14609"/>
  <c r="BM86" i="14609"/>
  <c r="BN86" i="14609"/>
  <c r="BO86" i="14609"/>
  <c r="BP86" i="14609"/>
  <c r="BQ86" i="14609"/>
  <c r="BR86" i="14609"/>
  <c r="BS86" i="14609"/>
  <c r="BT86" i="14609"/>
  <c r="BU86" i="14609"/>
  <c r="BV86" i="14609"/>
  <c r="BW86" i="14609"/>
  <c r="BX86" i="14609"/>
  <c r="BY86" i="14609"/>
  <c r="BZ86" i="14609"/>
  <c r="CA86" i="14609"/>
  <c r="CB86" i="14609"/>
  <c r="CC86" i="14609"/>
  <c r="CD86" i="14609"/>
  <c r="CE86" i="14609"/>
  <c r="CF86" i="14609"/>
  <c r="CG86" i="14609"/>
  <c r="CH86" i="14609"/>
  <c r="CI86" i="14609"/>
  <c r="CJ86" i="14609"/>
  <c r="CK86" i="14609"/>
  <c r="CL86" i="14609"/>
  <c r="CM86" i="14609"/>
  <c r="CN86" i="14609"/>
  <c r="CO86" i="14609"/>
  <c r="CP86" i="14609"/>
  <c r="CQ86" i="14609"/>
  <c r="CR86" i="14609"/>
  <c r="CS86" i="14609"/>
  <c r="CT86" i="14609"/>
  <c r="CU86" i="14609"/>
  <c r="CV86" i="14609"/>
  <c r="CW86" i="14609"/>
  <c r="CX86" i="14609"/>
  <c r="CY86" i="14609"/>
  <c r="CZ86" i="14609"/>
  <c r="DA86" i="14609"/>
  <c r="DB86" i="14609"/>
  <c r="DC86" i="14609"/>
  <c r="DD86" i="14609"/>
  <c r="DE86" i="14609"/>
  <c r="DF86" i="14609"/>
  <c r="DG86" i="14609"/>
  <c r="DH86" i="14609"/>
  <c r="DI86" i="14609"/>
  <c r="DJ86" i="14609"/>
  <c r="DK86" i="14609"/>
  <c r="DL86" i="14609"/>
  <c r="DM86" i="14609"/>
  <c r="DN86" i="14609"/>
  <c r="DO86" i="14609"/>
  <c r="DP86" i="14609"/>
  <c r="DQ86" i="14609"/>
  <c r="DR86" i="14609"/>
  <c r="DS86" i="14609"/>
  <c r="DT86" i="14609"/>
  <c r="DU86" i="14609"/>
  <c r="DV86" i="14609"/>
  <c r="DW86" i="14609"/>
  <c r="DX86" i="14609"/>
  <c r="DY86" i="14609"/>
  <c r="DZ86" i="14609"/>
  <c r="EA86" i="14609"/>
  <c r="EB86" i="14609"/>
  <c r="EC86" i="14609"/>
  <c r="ED86" i="14609"/>
  <c r="EE86" i="14609"/>
  <c r="EF86" i="14609"/>
  <c r="EG86" i="14609"/>
  <c r="EH86" i="14609"/>
  <c r="EI86" i="14609"/>
  <c r="EJ86" i="14609"/>
  <c r="EK86" i="14609"/>
  <c r="EL86" i="14609"/>
  <c r="EM86" i="14609"/>
  <c r="EN86" i="14609"/>
  <c r="EO86" i="14609"/>
  <c r="EP86" i="14609"/>
  <c r="EQ86" i="14609"/>
  <c r="ER86" i="14609"/>
  <c r="ES86" i="14609"/>
  <c r="ET86" i="14609"/>
  <c r="EU86" i="14609"/>
  <c r="EV86" i="14609"/>
  <c r="EW86" i="14609"/>
  <c r="EX86" i="14609"/>
  <c r="EY86" i="14609"/>
  <c r="EZ86" i="14609"/>
  <c r="FA86" i="14609"/>
  <c r="FB86" i="14609"/>
  <c r="FC86" i="14609"/>
  <c r="FD86" i="14609"/>
  <c r="FE86" i="14609"/>
  <c r="FF86" i="14609"/>
  <c r="FG86" i="14609"/>
  <c r="FH86" i="14609"/>
  <c r="FI86" i="14609"/>
  <c r="FJ86" i="14609"/>
  <c r="FK86" i="14609"/>
  <c r="FL86" i="14609"/>
  <c r="FM86" i="14609"/>
  <c r="FN86" i="14609"/>
  <c r="FO86" i="14609"/>
  <c r="FP86" i="14609"/>
  <c r="FQ86" i="14609"/>
  <c r="FR86" i="14609"/>
  <c r="FS86" i="14609"/>
  <c r="FT86" i="14609"/>
  <c r="FU86" i="14609"/>
  <c r="FV86" i="14609"/>
  <c r="FW86" i="14609"/>
  <c r="FX86" i="14609"/>
  <c r="FY86" i="14609"/>
  <c r="FZ86" i="14609"/>
  <c r="GA86" i="14609"/>
  <c r="GB86" i="14609"/>
  <c r="GC86" i="14609"/>
  <c r="GD86" i="14609"/>
  <c r="GE86" i="14609"/>
  <c r="GF86" i="14609"/>
  <c r="GG86" i="14609"/>
  <c r="GH86" i="14609"/>
  <c r="GI86" i="14609"/>
  <c r="GJ86" i="14609"/>
  <c r="GK86" i="14609"/>
  <c r="GL86" i="14609"/>
  <c r="GM86" i="14609"/>
  <c r="GN86" i="14609"/>
  <c r="GO86" i="14609"/>
  <c r="GP86" i="14609"/>
  <c r="GQ86" i="14609"/>
  <c r="GR86" i="14609"/>
  <c r="GS86" i="14609"/>
  <c r="GT86" i="14609"/>
  <c r="GU86" i="14609"/>
  <c r="GV86" i="14609"/>
  <c r="GW86" i="14609"/>
  <c r="GX86" i="14609"/>
  <c r="GY86" i="14609"/>
  <c r="GZ86" i="14609"/>
  <c r="HA86" i="14609"/>
  <c r="HB86" i="14609"/>
  <c r="HC86" i="14609"/>
  <c r="HD86" i="14609"/>
  <c r="HE86" i="14609"/>
  <c r="HF86" i="14609"/>
  <c r="HG86" i="14609"/>
  <c r="HH86" i="14609"/>
  <c r="HI86" i="14609"/>
  <c r="HJ86" i="14609"/>
  <c r="HK86" i="14609"/>
  <c r="HL86" i="14609"/>
  <c r="HM86" i="14609"/>
  <c r="HN86" i="14609"/>
  <c r="HO86" i="14609"/>
  <c r="HP86" i="14609"/>
  <c r="HQ86" i="14609"/>
  <c r="HR86" i="14609"/>
  <c r="HS86" i="14609"/>
  <c r="HT86" i="14609"/>
  <c r="HU86" i="14609"/>
  <c r="HV86" i="14609"/>
  <c r="HW86" i="14609"/>
  <c r="HX86" i="14609"/>
  <c r="HY86" i="14609"/>
  <c r="HZ86" i="14609"/>
  <c r="IA86" i="14609"/>
  <c r="IB86" i="14609"/>
  <c r="IC86" i="14609"/>
  <c r="ID86" i="14609"/>
  <c r="IE86" i="14609"/>
  <c r="IF86" i="14609"/>
  <c r="IG86" i="14609"/>
  <c r="IH86" i="14609"/>
  <c r="II86" i="14609"/>
  <c r="IJ86" i="14609"/>
  <c r="IK86" i="14609"/>
  <c r="IL86" i="14609"/>
  <c r="IM86" i="14609"/>
  <c r="IN86" i="14609"/>
  <c r="IO86" i="14609"/>
  <c r="IP86" i="14609"/>
  <c r="IQ86" i="14609"/>
  <c r="IR86" i="14609"/>
  <c r="IS86" i="14609"/>
  <c r="IT86" i="14609"/>
  <c r="IU86" i="14609"/>
  <c r="IV86" i="14609"/>
  <c r="A85" i="14609"/>
  <c r="B85" i="14609"/>
  <c r="C85" i="14609"/>
  <c r="D85" i="14609"/>
  <c r="E85" i="14609"/>
  <c r="F85" i="14609"/>
  <c r="G85" i="14609"/>
  <c r="H85" i="14609"/>
  <c r="I85" i="14609"/>
  <c r="J85" i="14609"/>
  <c r="K85" i="14609"/>
  <c r="L85" i="14609"/>
  <c r="M85" i="14609"/>
  <c r="N85" i="14609"/>
  <c r="O85" i="14609"/>
  <c r="P85" i="14609"/>
  <c r="Q85" i="14609"/>
  <c r="R85" i="14609"/>
  <c r="S85" i="14609"/>
  <c r="T85" i="14609"/>
  <c r="U85" i="14609"/>
  <c r="V85" i="14609"/>
  <c r="W85" i="14609"/>
  <c r="X85" i="14609"/>
  <c r="Y85" i="14609"/>
  <c r="Z85" i="14609"/>
  <c r="AA85" i="14609"/>
  <c r="AB85" i="14609"/>
  <c r="AC85" i="14609"/>
  <c r="AD85" i="14609"/>
  <c r="AE85" i="14609"/>
  <c r="AF85" i="14609"/>
  <c r="AG85" i="14609"/>
  <c r="AH85" i="14609"/>
  <c r="AI85" i="14609"/>
  <c r="AJ85" i="14609"/>
  <c r="AK85" i="14609"/>
  <c r="AL85" i="14609"/>
  <c r="AM85" i="14609"/>
  <c r="AN85" i="14609"/>
  <c r="AO85" i="14609"/>
  <c r="AP85" i="14609"/>
  <c r="AQ85" i="14609"/>
  <c r="AR85" i="14609"/>
  <c r="AS85" i="14609"/>
  <c r="AT85" i="14609"/>
  <c r="AU85" i="14609"/>
  <c r="AV85" i="14609"/>
  <c r="AW85" i="14609"/>
  <c r="AX85" i="14609"/>
  <c r="AY85" i="14609"/>
  <c r="AZ85" i="14609"/>
  <c r="BA85" i="14609"/>
  <c r="BB85" i="14609"/>
  <c r="BC85" i="14609"/>
  <c r="BD85" i="14609"/>
  <c r="BE85" i="14609"/>
  <c r="BF85" i="14609"/>
  <c r="BG85" i="14609"/>
  <c r="BH85" i="14609"/>
  <c r="BI85" i="14609"/>
  <c r="BJ85" i="14609"/>
  <c r="BK85" i="14609"/>
  <c r="BL85" i="14609"/>
  <c r="BM85" i="14609"/>
  <c r="BN85" i="14609"/>
  <c r="BO85" i="14609"/>
  <c r="BP85" i="14609"/>
  <c r="BQ85" i="14609"/>
  <c r="BR85" i="14609"/>
  <c r="BS85" i="14609"/>
  <c r="BT85" i="14609"/>
  <c r="BU85" i="14609"/>
  <c r="BV85" i="14609"/>
  <c r="BW85" i="14609"/>
  <c r="BX85" i="14609"/>
  <c r="BY85" i="14609"/>
  <c r="BZ85" i="14609"/>
  <c r="CA85" i="14609"/>
  <c r="CB85" i="14609"/>
  <c r="CC85" i="14609"/>
  <c r="CD85" i="14609"/>
  <c r="CE85" i="14609"/>
  <c r="CF85" i="14609"/>
  <c r="CG85" i="14609"/>
  <c r="CH85" i="14609"/>
  <c r="CI85" i="14609"/>
  <c r="CJ85" i="14609"/>
  <c r="CK85" i="14609"/>
  <c r="CL85" i="14609"/>
  <c r="CM85" i="14609"/>
  <c r="CN85" i="14609"/>
  <c r="CO85" i="14609"/>
  <c r="CP85" i="14609"/>
  <c r="CQ85" i="14609"/>
  <c r="CR85" i="14609"/>
  <c r="CS85" i="14609"/>
  <c r="CT85" i="14609"/>
  <c r="CU85" i="14609"/>
  <c r="CV85" i="14609"/>
  <c r="CW85" i="14609"/>
  <c r="CX85" i="14609"/>
  <c r="CY85" i="14609"/>
  <c r="CZ85" i="14609"/>
  <c r="DA85" i="14609"/>
  <c r="DB85" i="14609"/>
  <c r="DC85" i="14609"/>
  <c r="DD85" i="14609"/>
  <c r="DE85" i="14609"/>
  <c r="DF85" i="14609"/>
  <c r="DG85" i="14609"/>
  <c r="DH85" i="14609"/>
  <c r="DI85" i="14609"/>
  <c r="DJ85" i="14609"/>
  <c r="DK85" i="14609"/>
  <c r="DL85" i="14609"/>
  <c r="DM85" i="14609"/>
  <c r="DN85" i="14609"/>
  <c r="DO85" i="14609"/>
  <c r="DP85" i="14609"/>
  <c r="DQ85" i="14609"/>
  <c r="DR85" i="14609"/>
  <c r="DS85" i="14609"/>
  <c r="DT85" i="14609"/>
  <c r="DU85" i="14609"/>
  <c r="DV85" i="14609"/>
  <c r="DW85" i="14609"/>
  <c r="DX85" i="14609"/>
  <c r="DY85" i="14609"/>
  <c r="DZ85" i="14609"/>
  <c r="EA85" i="14609"/>
  <c r="EB85" i="14609"/>
  <c r="EC85" i="14609"/>
  <c r="ED85" i="14609"/>
  <c r="EE85" i="14609"/>
  <c r="EF85" i="14609"/>
  <c r="EG85" i="14609"/>
  <c r="EH85" i="14609"/>
  <c r="EI85" i="14609"/>
  <c r="EJ85" i="14609"/>
  <c r="EK85" i="14609"/>
  <c r="EL85" i="14609"/>
  <c r="EM85" i="14609"/>
  <c r="EN85" i="14609"/>
  <c r="EO85" i="14609"/>
  <c r="EP85" i="14609"/>
  <c r="EQ85" i="14609"/>
  <c r="ER85" i="14609"/>
  <c r="ES85" i="14609"/>
  <c r="ET85" i="14609"/>
  <c r="EU85" i="14609"/>
  <c r="EV85" i="14609"/>
  <c r="EW85" i="14609"/>
  <c r="EX85" i="14609"/>
  <c r="EY85" i="14609"/>
  <c r="EZ85" i="14609"/>
  <c r="FA85" i="14609"/>
  <c r="FB85" i="14609"/>
  <c r="FC85" i="14609"/>
  <c r="FD85" i="14609"/>
  <c r="FE85" i="14609"/>
  <c r="FF85" i="14609"/>
  <c r="FG85" i="14609"/>
  <c r="FH85" i="14609"/>
  <c r="FI85" i="14609"/>
  <c r="FJ85" i="14609"/>
  <c r="FK85" i="14609"/>
  <c r="FL85" i="14609"/>
  <c r="FM85" i="14609"/>
  <c r="FN85" i="14609"/>
  <c r="FO85" i="14609"/>
  <c r="FP85" i="14609"/>
  <c r="FQ85" i="14609"/>
  <c r="FR85" i="14609"/>
  <c r="FS85" i="14609"/>
  <c r="FT85" i="14609"/>
  <c r="FU85" i="14609"/>
  <c r="FV85" i="14609"/>
  <c r="FW85" i="14609"/>
  <c r="FX85" i="14609"/>
  <c r="FY85" i="14609"/>
  <c r="FZ85" i="14609"/>
  <c r="GA85" i="14609"/>
  <c r="GB85" i="14609"/>
  <c r="GC85" i="14609"/>
  <c r="GD85" i="14609"/>
  <c r="GE85" i="14609"/>
  <c r="GF85" i="14609"/>
  <c r="GG85" i="14609"/>
  <c r="GH85" i="14609"/>
  <c r="GI85" i="14609"/>
  <c r="GJ85" i="14609"/>
  <c r="GK85" i="14609"/>
  <c r="GL85" i="14609"/>
  <c r="GM85" i="14609"/>
  <c r="GN85" i="14609"/>
  <c r="GO85" i="14609"/>
  <c r="GP85" i="14609"/>
  <c r="GQ85" i="14609"/>
  <c r="GR85" i="14609"/>
  <c r="GS85" i="14609"/>
  <c r="GT85" i="14609"/>
  <c r="GU85" i="14609"/>
  <c r="GV85" i="14609"/>
  <c r="GW85" i="14609"/>
  <c r="GX85" i="14609"/>
  <c r="GY85" i="14609"/>
  <c r="GZ85" i="14609"/>
  <c r="HA85" i="14609"/>
  <c r="HB85" i="14609"/>
  <c r="HC85" i="14609"/>
  <c r="HD85" i="14609"/>
  <c r="HE85" i="14609"/>
  <c r="HF85" i="14609"/>
  <c r="HG85" i="14609"/>
  <c r="HH85" i="14609"/>
  <c r="HI85" i="14609"/>
  <c r="HJ85" i="14609"/>
  <c r="HK85" i="14609"/>
  <c r="HL85" i="14609"/>
  <c r="HM85" i="14609"/>
  <c r="HN85" i="14609"/>
  <c r="HO85" i="14609"/>
  <c r="HP85" i="14609"/>
  <c r="HQ85" i="14609"/>
  <c r="HR85" i="14609"/>
  <c r="HS85" i="14609"/>
  <c r="HT85" i="14609"/>
  <c r="HU85" i="14609"/>
  <c r="HV85" i="14609"/>
  <c r="HW85" i="14609"/>
  <c r="HX85" i="14609"/>
  <c r="HY85" i="14609"/>
  <c r="HZ85" i="14609"/>
  <c r="IA85" i="14609"/>
  <c r="IB85" i="14609"/>
  <c r="IC85" i="14609"/>
  <c r="ID85" i="14609"/>
  <c r="IE85" i="14609"/>
  <c r="IF85" i="14609"/>
  <c r="IG85" i="14609"/>
  <c r="IH85" i="14609"/>
  <c r="II85" i="14609"/>
  <c r="IJ85" i="14609"/>
  <c r="IK85" i="14609"/>
  <c r="IL85" i="14609"/>
  <c r="IM85" i="14609"/>
  <c r="IN85" i="14609"/>
  <c r="IO85" i="14609"/>
  <c r="IP85" i="14609"/>
  <c r="IQ85" i="14609"/>
  <c r="IR85" i="14609"/>
  <c r="IS85" i="14609"/>
  <c r="IT85" i="14609"/>
  <c r="IU85" i="14609"/>
  <c r="IV85" i="14609"/>
  <c r="A84" i="14609"/>
  <c r="B84" i="14609"/>
  <c r="C84" i="14609"/>
  <c r="D84" i="14609"/>
  <c r="E84" i="14609"/>
  <c r="F84" i="14609"/>
  <c r="G84" i="14609"/>
  <c r="H84" i="14609"/>
  <c r="I84" i="14609"/>
  <c r="J84" i="14609"/>
  <c r="K84" i="14609"/>
  <c r="L84" i="14609"/>
  <c r="M84" i="14609"/>
  <c r="N84" i="14609"/>
  <c r="O84" i="14609"/>
  <c r="P84" i="14609"/>
  <c r="Q84" i="14609"/>
  <c r="R84" i="14609"/>
  <c r="S84" i="14609"/>
  <c r="T84" i="14609"/>
  <c r="U84" i="14609"/>
  <c r="V84" i="14609"/>
  <c r="W84" i="14609"/>
  <c r="X84" i="14609"/>
  <c r="Y84" i="14609"/>
  <c r="Z84" i="14609"/>
  <c r="AA84" i="14609"/>
  <c r="AB84" i="14609"/>
  <c r="AC84" i="14609"/>
  <c r="AD84" i="14609"/>
  <c r="AE84" i="14609"/>
  <c r="AF84" i="14609"/>
  <c r="AG84" i="14609"/>
  <c r="AH84" i="14609"/>
  <c r="AI84" i="14609"/>
  <c r="AJ84" i="14609"/>
  <c r="AK84" i="14609"/>
  <c r="AL84" i="14609"/>
  <c r="AM84" i="14609"/>
  <c r="AN84" i="14609"/>
  <c r="AO84" i="14609"/>
  <c r="AP84" i="14609"/>
  <c r="AQ84" i="14609"/>
  <c r="AR84" i="14609"/>
  <c r="AS84" i="14609"/>
  <c r="AT84" i="14609"/>
  <c r="AU84" i="14609"/>
  <c r="AV84" i="14609"/>
  <c r="AW84" i="14609"/>
  <c r="AX84" i="14609"/>
  <c r="AY84" i="14609"/>
  <c r="AZ84" i="14609"/>
  <c r="BA84" i="14609"/>
  <c r="BB84" i="14609"/>
  <c r="BC84" i="14609"/>
  <c r="BD84" i="14609"/>
  <c r="BE84" i="14609"/>
  <c r="BF84" i="14609"/>
  <c r="BG84" i="14609"/>
  <c r="BH84" i="14609"/>
  <c r="BI84" i="14609"/>
  <c r="BJ84" i="14609"/>
  <c r="BK84" i="14609"/>
  <c r="BL84" i="14609"/>
  <c r="BM84" i="14609"/>
  <c r="BN84" i="14609"/>
  <c r="BO84" i="14609"/>
  <c r="BP84" i="14609"/>
  <c r="BQ84" i="14609"/>
  <c r="BR84" i="14609"/>
  <c r="BS84" i="14609"/>
  <c r="BT84" i="14609"/>
  <c r="BU84" i="14609"/>
  <c r="BV84" i="14609"/>
  <c r="BW84" i="14609"/>
  <c r="BX84" i="14609"/>
  <c r="BY84" i="14609"/>
  <c r="BZ84" i="14609"/>
  <c r="CA84" i="14609"/>
  <c r="CB84" i="14609"/>
  <c r="CC84" i="14609"/>
  <c r="CD84" i="14609"/>
  <c r="CE84" i="14609"/>
  <c r="CF84" i="14609"/>
  <c r="CG84" i="14609"/>
  <c r="CH84" i="14609"/>
  <c r="CI84" i="14609"/>
  <c r="CJ84" i="14609"/>
  <c r="CK84" i="14609"/>
  <c r="CL84" i="14609"/>
  <c r="CM84" i="14609"/>
  <c r="CN84" i="14609"/>
  <c r="CO84" i="14609"/>
  <c r="CP84" i="14609"/>
  <c r="CQ84" i="14609"/>
  <c r="CR84" i="14609"/>
  <c r="CS84" i="14609"/>
  <c r="CT84" i="14609"/>
  <c r="CU84" i="14609"/>
  <c r="CV84" i="14609"/>
  <c r="CW84" i="14609"/>
  <c r="CX84" i="14609"/>
  <c r="CY84" i="14609"/>
  <c r="CZ84" i="14609"/>
  <c r="DA84" i="14609"/>
  <c r="DB84" i="14609"/>
  <c r="DC84" i="14609"/>
  <c r="DD84" i="14609"/>
  <c r="DE84" i="14609"/>
  <c r="DF84" i="14609"/>
  <c r="DG84" i="14609"/>
  <c r="DH84" i="14609"/>
  <c r="DI84" i="14609"/>
  <c r="DJ84" i="14609"/>
  <c r="DK84" i="14609"/>
  <c r="DL84" i="14609"/>
  <c r="DM84" i="14609"/>
  <c r="DN84" i="14609"/>
  <c r="DO84" i="14609"/>
  <c r="DP84" i="14609"/>
  <c r="DQ84" i="14609"/>
  <c r="DR84" i="14609"/>
  <c r="DS84" i="14609"/>
  <c r="DT84" i="14609"/>
  <c r="DU84" i="14609"/>
  <c r="DV84" i="14609"/>
  <c r="DW84" i="14609"/>
  <c r="DX84" i="14609"/>
  <c r="DY84" i="14609"/>
  <c r="DZ84" i="14609"/>
  <c r="EA84" i="14609"/>
  <c r="EB84" i="14609"/>
  <c r="EC84" i="14609"/>
  <c r="ED84" i="14609"/>
  <c r="EE84" i="14609"/>
  <c r="EF84" i="14609"/>
  <c r="EG84" i="14609"/>
  <c r="EH84" i="14609"/>
  <c r="EI84" i="14609"/>
  <c r="EJ84" i="14609"/>
  <c r="EK84" i="14609"/>
  <c r="EL84" i="14609"/>
  <c r="EM84" i="14609"/>
  <c r="EN84" i="14609"/>
  <c r="EO84" i="14609"/>
  <c r="EP84" i="14609"/>
  <c r="EQ84" i="14609"/>
  <c r="ER84" i="14609"/>
  <c r="ES84" i="14609"/>
  <c r="ET84" i="14609"/>
  <c r="EU84" i="14609"/>
  <c r="EV84" i="14609"/>
  <c r="EW84" i="14609"/>
  <c r="EX84" i="14609"/>
  <c r="EY84" i="14609"/>
  <c r="EZ84" i="14609"/>
  <c r="FA84" i="14609"/>
  <c r="FB84" i="14609"/>
  <c r="FC84" i="14609"/>
  <c r="FD84" i="14609"/>
  <c r="FE84" i="14609"/>
  <c r="FF84" i="14609"/>
  <c r="FG84" i="14609"/>
  <c r="FH84" i="14609"/>
  <c r="FI84" i="14609"/>
  <c r="FJ84" i="14609"/>
  <c r="FK84" i="14609"/>
  <c r="FL84" i="14609"/>
  <c r="FM84" i="14609"/>
  <c r="FN84" i="14609"/>
  <c r="FO84" i="14609"/>
  <c r="FP84" i="14609"/>
  <c r="FQ84" i="14609"/>
  <c r="FR84" i="14609"/>
  <c r="FS84" i="14609"/>
  <c r="FT84" i="14609"/>
  <c r="FU84" i="14609"/>
  <c r="FV84" i="14609"/>
  <c r="FW84" i="14609"/>
  <c r="FX84" i="14609"/>
  <c r="FY84" i="14609"/>
  <c r="FZ84" i="14609"/>
  <c r="GA84" i="14609"/>
  <c r="GB84" i="14609"/>
  <c r="GC84" i="14609"/>
  <c r="GD84" i="14609"/>
  <c r="GE84" i="14609"/>
  <c r="GF84" i="14609"/>
  <c r="GG84" i="14609"/>
  <c r="GH84" i="14609"/>
  <c r="GI84" i="14609"/>
  <c r="GJ84" i="14609"/>
  <c r="GK84" i="14609"/>
  <c r="GL84" i="14609"/>
  <c r="GM84" i="14609"/>
  <c r="GN84" i="14609"/>
  <c r="GO84" i="14609"/>
  <c r="GP84" i="14609"/>
  <c r="GQ84" i="14609"/>
  <c r="GR84" i="14609"/>
  <c r="GS84" i="14609"/>
  <c r="GT84" i="14609"/>
  <c r="GU84" i="14609"/>
  <c r="GV84" i="14609"/>
  <c r="GW84" i="14609"/>
  <c r="GX84" i="14609"/>
  <c r="GY84" i="14609"/>
  <c r="GZ84" i="14609"/>
  <c r="HA84" i="14609"/>
  <c r="HB84" i="14609"/>
  <c r="HC84" i="14609"/>
  <c r="HD84" i="14609"/>
  <c r="HE84" i="14609"/>
  <c r="HF84" i="14609"/>
  <c r="HG84" i="14609"/>
  <c r="HH84" i="14609"/>
  <c r="HI84" i="14609"/>
  <c r="HJ84" i="14609"/>
  <c r="HK84" i="14609"/>
  <c r="HL84" i="14609"/>
  <c r="HM84" i="14609"/>
  <c r="HN84" i="14609"/>
  <c r="HO84" i="14609"/>
  <c r="HP84" i="14609"/>
  <c r="HQ84" i="14609"/>
  <c r="HR84" i="14609"/>
  <c r="HS84" i="14609"/>
  <c r="HT84" i="14609"/>
  <c r="HU84" i="14609"/>
  <c r="HV84" i="14609"/>
  <c r="HW84" i="14609"/>
  <c r="HX84" i="14609"/>
  <c r="HY84" i="14609"/>
  <c r="HZ84" i="14609"/>
  <c r="IA84" i="14609"/>
  <c r="IB84" i="14609"/>
  <c r="IC84" i="14609"/>
  <c r="ID84" i="14609"/>
  <c r="IE84" i="14609"/>
  <c r="IF84" i="14609"/>
  <c r="IG84" i="14609"/>
  <c r="IH84" i="14609"/>
  <c r="II84" i="14609"/>
  <c r="IJ84" i="14609"/>
  <c r="IK84" i="14609"/>
  <c r="IL84" i="14609"/>
  <c r="IM84" i="14609"/>
  <c r="IN84" i="14609"/>
  <c r="IO84" i="14609"/>
  <c r="IP84" i="14609"/>
  <c r="IQ84" i="14609"/>
  <c r="IR84" i="14609"/>
  <c r="IS84" i="14609"/>
  <c r="IT84" i="14609"/>
  <c r="IU84" i="14609"/>
  <c r="IV84" i="14609"/>
  <c r="A83" i="14609"/>
  <c r="B83" i="14609"/>
  <c r="C83" i="14609"/>
  <c r="D83" i="14609"/>
  <c r="E83" i="14609"/>
  <c r="F83" i="14609"/>
  <c r="G83" i="14609"/>
  <c r="H83" i="14609"/>
  <c r="I83" i="14609"/>
  <c r="J83" i="14609"/>
  <c r="K83" i="14609"/>
  <c r="L83" i="14609"/>
  <c r="M83" i="14609"/>
  <c r="N83" i="14609"/>
  <c r="O83" i="14609"/>
  <c r="P83" i="14609"/>
  <c r="Q83" i="14609"/>
  <c r="R83" i="14609"/>
  <c r="S83" i="14609"/>
  <c r="T83" i="14609"/>
  <c r="U83" i="14609"/>
  <c r="V83" i="14609"/>
  <c r="W83" i="14609"/>
  <c r="X83" i="14609"/>
  <c r="Y83" i="14609"/>
  <c r="Z83" i="14609"/>
  <c r="AA83" i="14609"/>
  <c r="AB83" i="14609"/>
  <c r="AC83" i="14609"/>
  <c r="AD83" i="14609"/>
  <c r="AE83" i="14609"/>
  <c r="AF83" i="14609"/>
  <c r="AG83" i="14609"/>
  <c r="AH83" i="14609"/>
  <c r="AI83" i="14609"/>
  <c r="AJ83" i="14609"/>
  <c r="AK83" i="14609"/>
  <c r="AL83" i="14609"/>
  <c r="AM83" i="14609"/>
  <c r="AN83" i="14609"/>
  <c r="AO83" i="14609"/>
  <c r="AP83" i="14609"/>
  <c r="AQ83" i="14609"/>
  <c r="AR83" i="14609"/>
  <c r="AS83" i="14609"/>
  <c r="AT83" i="14609"/>
  <c r="AU83" i="14609"/>
  <c r="AV83" i="14609"/>
  <c r="AW83" i="14609"/>
  <c r="AX83" i="14609"/>
  <c r="AY83" i="14609"/>
  <c r="AZ83" i="14609"/>
  <c r="BA83" i="14609"/>
  <c r="BB83" i="14609"/>
  <c r="BC83" i="14609"/>
  <c r="BD83" i="14609"/>
  <c r="BE83" i="14609"/>
  <c r="BF83" i="14609"/>
  <c r="BG83" i="14609"/>
  <c r="BH83" i="14609"/>
  <c r="BI83" i="14609"/>
  <c r="BJ83" i="14609"/>
  <c r="BK83" i="14609"/>
  <c r="BL83" i="14609"/>
  <c r="BM83" i="14609"/>
  <c r="BN83" i="14609"/>
  <c r="BO83" i="14609"/>
  <c r="BP83" i="14609"/>
  <c r="BQ83" i="14609"/>
  <c r="BR83" i="14609"/>
  <c r="BS83" i="14609"/>
  <c r="BT83" i="14609"/>
  <c r="BU83" i="14609"/>
  <c r="BV83" i="14609"/>
  <c r="BW83" i="14609"/>
  <c r="BX83" i="14609"/>
  <c r="BY83" i="14609"/>
  <c r="BZ83" i="14609"/>
  <c r="CA83" i="14609"/>
  <c r="CB83" i="14609"/>
  <c r="CC83" i="14609"/>
  <c r="CD83" i="14609"/>
  <c r="CE83" i="14609"/>
  <c r="CF83" i="14609"/>
  <c r="CG83" i="14609"/>
  <c r="CH83" i="14609"/>
  <c r="CI83" i="14609"/>
  <c r="CJ83" i="14609"/>
  <c r="CK83" i="14609"/>
  <c r="CL83" i="14609"/>
  <c r="CM83" i="14609"/>
  <c r="CN83" i="14609"/>
  <c r="CO83" i="14609"/>
  <c r="CP83" i="14609"/>
  <c r="CQ83" i="14609"/>
  <c r="CR83" i="14609"/>
  <c r="CS83" i="14609"/>
  <c r="CT83" i="14609"/>
  <c r="CU83" i="14609"/>
  <c r="CV83" i="14609"/>
  <c r="CW83" i="14609"/>
  <c r="CX83" i="14609"/>
  <c r="CY83" i="14609"/>
  <c r="CZ83" i="14609"/>
  <c r="DA83" i="14609"/>
  <c r="DB83" i="14609"/>
  <c r="DC83" i="14609"/>
  <c r="DD83" i="14609"/>
  <c r="DE83" i="14609"/>
  <c r="DF83" i="14609"/>
  <c r="DG83" i="14609"/>
  <c r="DH83" i="14609"/>
  <c r="DI83" i="14609"/>
  <c r="DJ83" i="14609"/>
  <c r="DK83" i="14609"/>
  <c r="DL83" i="14609"/>
  <c r="DM83" i="14609"/>
  <c r="DN83" i="14609"/>
  <c r="DO83" i="14609"/>
  <c r="DP83" i="14609"/>
  <c r="DQ83" i="14609"/>
  <c r="DR83" i="14609"/>
  <c r="DS83" i="14609"/>
  <c r="DT83" i="14609"/>
  <c r="DU83" i="14609"/>
  <c r="DV83" i="14609"/>
  <c r="DW83" i="14609"/>
  <c r="DX83" i="14609"/>
  <c r="DY83" i="14609"/>
  <c r="DZ83" i="14609"/>
  <c r="EA83" i="14609"/>
  <c r="EB83" i="14609"/>
  <c r="EC83" i="14609"/>
  <c r="ED83" i="14609"/>
  <c r="EE83" i="14609"/>
  <c r="EF83" i="14609"/>
  <c r="EG83" i="14609"/>
  <c r="EH83" i="14609"/>
  <c r="EI83" i="14609"/>
  <c r="EJ83" i="14609"/>
  <c r="EK83" i="14609"/>
  <c r="EL83" i="14609"/>
  <c r="EM83" i="14609"/>
  <c r="EN83" i="14609"/>
  <c r="EO83" i="14609"/>
  <c r="EP83" i="14609"/>
  <c r="EQ83" i="14609"/>
  <c r="ER83" i="14609"/>
  <c r="ES83" i="14609"/>
  <c r="ET83" i="14609"/>
  <c r="EU83" i="14609"/>
  <c r="EV83" i="14609"/>
  <c r="EW83" i="14609"/>
  <c r="EX83" i="14609"/>
  <c r="EY83" i="14609"/>
  <c r="EZ83" i="14609"/>
  <c r="FA83" i="14609"/>
  <c r="FB83" i="14609"/>
  <c r="FC83" i="14609"/>
  <c r="FD83" i="14609"/>
  <c r="FE83" i="14609"/>
  <c r="FF83" i="14609"/>
  <c r="FG83" i="14609"/>
  <c r="FH83" i="14609"/>
  <c r="FI83" i="14609"/>
  <c r="FJ83" i="14609"/>
  <c r="FK83" i="14609"/>
  <c r="FL83" i="14609"/>
  <c r="FM83" i="14609"/>
  <c r="FN83" i="14609"/>
  <c r="FO83" i="14609"/>
  <c r="FP83" i="14609"/>
  <c r="FQ83" i="14609"/>
  <c r="FR83" i="14609"/>
  <c r="FS83" i="14609"/>
  <c r="FT83" i="14609"/>
  <c r="FU83" i="14609"/>
  <c r="FV83" i="14609"/>
  <c r="FW83" i="14609"/>
  <c r="FX83" i="14609"/>
  <c r="FY83" i="14609"/>
  <c r="FZ83" i="14609"/>
  <c r="GA83" i="14609"/>
  <c r="GB83" i="14609"/>
  <c r="GC83" i="14609"/>
  <c r="GD83" i="14609"/>
  <c r="GE83" i="14609"/>
  <c r="GF83" i="14609"/>
  <c r="GG83" i="14609"/>
  <c r="GH83" i="14609"/>
  <c r="GI83" i="14609"/>
  <c r="GJ83" i="14609"/>
  <c r="GK83" i="14609"/>
  <c r="GL83" i="14609"/>
  <c r="GM83" i="14609"/>
  <c r="GN83" i="14609"/>
  <c r="GO83" i="14609"/>
  <c r="GP83" i="14609"/>
  <c r="GQ83" i="14609"/>
  <c r="GR83" i="14609"/>
  <c r="GS83" i="14609"/>
  <c r="GT83" i="14609"/>
  <c r="GU83" i="14609"/>
  <c r="GV83" i="14609"/>
  <c r="GW83" i="14609"/>
  <c r="GX83" i="14609"/>
  <c r="GY83" i="14609"/>
  <c r="GZ83" i="14609"/>
  <c r="HA83" i="14609"/>
  <c r="HB83" i="14609"/>
  <c r="HC83" i="14609"/>
  <c r="HD83" i="14609"/>
  <c r="HE83" i="14609"/>
  <c r="HF83" i="14609"/>
  <c r="HG83" i="14609"/>
  <c r="HH83" i="14609"/>
  <c r="HI83" i="14609"/>
  <c r="HJ83" i="14609"/>
  <c r="HK83" i="14609"/>
  <c r="HL83" i="14609"/>
  <c r="HM83" i="14609"/>
  <c r="HN83" i="14609"/>
  <c r="HO83" i="14609"/>
  <c r="HP83" i="14609"/>
  <c r="HQ83" i="14609"/>
  <c r="HR83" i="14609"/>
  <c r="HS83" i="14609"/>
  <c r="HT83" i="14609"/>
  <c r="HU83" i="14609"/>
  <c r="HV83" i="14609"/>
  <c r="HW83" i="14609"/>
  <c r="HX83" i="14609"/>
  <c r="HY83" i="14609"/>
  <c r="HZ83" i="14609"/>
  <c r="IA83" i="14609"/>
  <c r="IB83" i="14609"/>
  <c r="IC83" i="14609"/>
  <c r="ID83" i="14609"/>
  <c r="IE83" i="14609"/>
  <c r="IF83" i="14609"/>
  <c r="IG83" i="14609"/>
  <c r="IH83" i="14609"/>
  <c r="II83" i="14609"/>
  <c r="IJ83" i="14609"/>
  <c r="IK83" i="14609"/>
  <c r="IL83" i="14609"/>
  <c r="IM83" i="14609"/>
  <c r="IN83" i="14609"/>
  <c r="IO83" i="14609"/>
  <c r="IP83" i="14609"/>
  <c r="IQ83" i="14609"/>
  <c r="IR83" i="14609"/>
  <c r="IS83" i="14609"/>
  <c r="IT83" i="14609"/>
  <c r="IU83" i="14609"/>
  <c r="IV83" i="14609"/>
  <c r="A82" i="14609"/>
  <c r="B82" i="14609"/>
  <c r="C82" i="14609"/>
  <c r="D82" i="14609"/>
  <c r="E82" i="14609"/>
  <c r="F82" i="14609"/>
  <c r="G82" i="14609"/>
  <c r="H82" i="14609"/>
  <c r="I82" i="14609"/>
  <c r="J82" i="14609"/>
  <c r="K82" i="14609"/>
  <c r="L82" i="14609"/>
  <c r="M82" i="14609"/>
  <c r="N82" i="14609"/>
  <c r="O82" i="14609"/>
  <c r="P82" i="14609"/>
  <c r="Q82" i="14609"/>
  <c r="R82" i="14609"/>
  <c r="S82" i="14609"/>
  <c r="T82" i="14609"/>
  <c r="U82" i="14609"/>
  <c r="V82" i="14609"/>
  <c r="W82" i="14609"/>
  <c r="X82" i="14609"/>
  <c r="Y82" i="14609"/>
  <c r="Z82" i="14609"/>
  <c r="AA82" i="14609"/>
  <c r="AB82" i="14609"/>
  <c r="AC82" i="14609"/>
  <c r="AD82" i="14609"/>
  <c r="AE82" i="14609"/>
  <c r="AF82" i="14609"/>
  <c r="AG82" i="14609"/>
  <c r="AH82" i="14609"/>
  <c r="AI82" i="14609"/>
  <c r="AJ82" i="14609"/>
  <c r="AK82" i="14609"/>
  <c r="AL82" i="14609"/>
  <c r="AM82" i="14609"/>
  <c r="AN82" i="14609"/>
  <c r="AO82" i="14609"/>
  <c r="AP82" i="14609"/>
  <c r="AQ82" i="14609"/>
  <c r="AR82" i="14609"/>
  <c r="AS82" i="14609"/>
  <c r="AT82" i="14609"/>
  <c r="AU82" i="14609"/>
  <c r="AV82" i="14609"/>
  <c r="AW82" i="14609"/>
  <c r="AX82" i="14609"/>
  <c r="AY82" i="14609"/>
  <c r="AZ82" i="14609"/>
  <c r="BA82" i="14609"/>
  <c r="BB82" i="14609"/>
  <c r="BC82" i="14609"/>
  <c r="BD82" i="14609"/>
  <c r="BE82" i="14609"/>
  <c r="BF82" i="14609"/>
  <c r="BG82" i="14609"/>
  <c r="BH82" i="14609"/>
  <c r="BI82" i="14609"/>
  <c r="BJ82" i="14609"/>
  <c r="BK82" i="14609"/>
  <c r="BL82" i="14609"/>
  <c r="BM82" i="14609"/>
  <c r="BN82" i="14609"/>
  <c r="BO82" i="14609"/>
  <c r="BP82" i="14609"/>
  <c r="BQ82" i="14609"/>
  <c r="BR82" i="14609"/>
  <c r="BS82" i="14609"/>
  <c r="BT82" i="14609"/>
  <c r="BU82" i="14609"/>
  <c r="BV82" i="14609"/>
  <c r="BW82" i="14609"/>
  <c r="BX82" i="14609"/>
  <c r="BY82" i="14609"/>
  <c r="BZ82" i="14609"/>
  <c r="CA82" i="14609"/>
  <c r="CB82" i="14609"/>
  <c r="CC82" i="14609"/>
  <c r="CD82" i="14609"/>
  <c r="CE82" i="14609"/>
  <c r="CF82" i="14609"/>
  <c r="CG82" i="14609"/>
  <c r="CH82" i="14609"/>
  <c r="CI82" i="14609"/>
  <c r="CJ82" i="14609"/>
  <c r="CK82" i="14609"/>
  <c r="CL82" i="14609"/>
  <c r="CM82" i="14609"/>
  <c r="CN82" i="14609"/>
  <c r="CO82" i="14609"/>
  <c r="CP82" i="14609"/>
  <c r="CQ82" i="14609"/>
  <c r="CR82" i="14609"/>
  <c r="CS82" i="14609"/>
  <c r="CT82" i="14609"/>
  <c r="CU82" i="14609"/>
  <c r="CV82" i="14609"/>
  <c r="CW82" i="14609"/>
  <c r="CX82" i="14609"/>
  <c r="CY82" i="14609"/>
  <c r="CZ82" i="14609"/>
  <c r="DA82" i="14609"/>
  <c r="DB82" i="14609"/>
  <c r="DC82" i="14609"/>
  <c r="DD82" i="14609"/>
  <c r="DE82" i="14609"/>
  <c r="DF82" i="14609"/>
  <c r="DG82" i="14609"/>
  <c r="DH82" i="14609"/>
  <c r="DI82" i="14609"/>
  <c r="DJ82" i="14609"/>
  <c r="DK82" i="14609"/>
  <c r="DL82" i="14609"/>
  <c r="DM82" i="14609"/>
  <c r="DN82" i="14609"/>
  <c r="DO82" i="14609"/>
  <c r="DP82" i="14609"/>
  <c r="DQ82" i="14609"/>
  <c r="DR82" i="14609"/>
  <c r="DS82" i="14609"/>
  <c r="DT82" i="14609"/>
  <c r="DU82" i="14609"/>
  <c r="DV82" i="14609"/>
  <c r="DW82" i="14609"/>
  <c r="DX82" i="14609"/>
  <c r="DY82" i="14609"/>
  <c r="DZ82" i="14609"/>
  <c r="EA82" i="14609"/>
  <c r="EB82" i="14609"/>
  <c r="EC82" i="14609"/>
  <c r="ED82" i="14609"/>
  <c r="EE82" i="14609"/>
  <c r="EF82" i="14609"/>
  <c r="EG82" i="14609"/>
  <c r="EH82" i="14609"/>
  <c r="EI82" i="14609"/>
  <c r="EJ82" i="14609"/>
  <c r="EK82" i="14609"/>
  <c r="EL82" i="14609"/>
  <c r="EM82" i="14609"/>
  <c r="EN82" i="14609"/>
  <c r="EO82" i="14609"/>
  <c r="EP82" i="14609"/>
  <c r="EQ82" i="14609"/>
  <c r="ER82" i="14609"/>
  <c r="ES82" i="14609"/>
  <c r="ET82" i="14609"/>
  <c r="EU82" i="14609"/>
  <c r="EV82" i="14609"/>
  <c r="EW82" i="14609"/>
  <c r="EX82" i="14609"/>
  <c r="EY82" i="14609"/>
  <c r="EZ82" i="14609"/>
  <c r="FA82" i="14609"/>
  <c r="FB82" i="14609"/>
  <c r="FC82" i="14609"/>
  <c r="FD82" i="14609"/>
  <c r="FE82" i="14609"/>
  <c r="FF82" i="14609"/>
  <c r="FG82" i="14609"/>
  <c r="FH82" i="14609"/>
  <c r="FI82" i="14609"/>
  <c r="FJ82" i="14609"/>
  <c r="FK82" i="14609"/>
  <c r="FL82" i="14609"/>
  <c r="FM82" i="14609"/>
  <c r="FN82" i="14609"/>
  <c r="FO82" i="14609"/>
  <c r="FP82" i="14609"/>
  <c r="FQ82" i="14609"/>
  <c r="FR82" i="14609"/>
  <c r="FS82" i="14609"/>
  <c r="FT82" i="14609"/>
  <c r="FU82" i="14609"/>
  <c r="FV82" i="14609"/>
  <c r="FW82" i="14609"/>
  <c r="FX82" i="14609"/>
  <c r="FY82" i="14609"/>
  <c r="FZ82" i="14609"/>
  <c r="GA82" i="14609"/>
  <c r="GB82" i="14609"/>
  <c r="GC82" i="14609"/>
  <c r="GD82" i="14609"/>
  <c r="GE82" i="14609"/>
  <c r="GF82" i="14609"/>
  <c r="GG82" i="14609"/>
  <c r="GH82" i="14609"/>
  <c r="GI82" i="14609"/>
  <c r="GJ82" i="14609"/>
  <c r="GK82" i="14609"/>
  <c r="GL82" i="14609"/>
  <c r="GM82" i="14609"/>
  <c r="GN82" i="14609"/>
  <c r="GO82" i="14609"/>
  <c r="GP82" i="14609"/>
  <c r="GQ82" i="14609"/>
  <c r="GR82" i="14609"/>
  <c r="GS82" i="14609"/>
  <c r="GT82" i="14609"/>
  <c r="GU82" i="14609"/>
  <c r="GV82" i="14609"/>
  <c r="GW82" i="14609"/>
  <c r="GX82" i="14609"/>
  <c r="GY82" i="14609"/>
  <c r="GZ82" i="14609"/>
  <c r="HA82" i="14609"/>
  <c r="HB82" i="14609"/>
  <c r="HC82" i="14609"/>
  <c r="HD82" i="14609"/>
  <c r="HE82" i="14609"/>
  <c r="HF82" i="14609"/>
  <c r="HG82" i="14609"/>
  <c r="HH82" i="14609"/>
  <c r="HI82" i="14609"/>
  <c r="HJ82" i="14609"/>
  <c r="HK82" i="14609"/>
  <c r="HL82" i="14609"/>
  <c r="HM82" i="14609"/>
  <c r="HN82" i="14609"/>
  <c r="HO82" i="14609"/>
  <c r="HP82" i="14609"/>
  <c r="HQ82" i="14609"/>
  <c r="HR82" i="14609"/>
  <c r="HS82" i="14609"/>
  <c r="HT82" i="14609"/>
  <c r="HU82" i="14609"/>
  <c r="HV82" i="14609"/>
  <c r="HW82" i="14609"/>
  <c r="HX82" i="14609"/>
  <c r="HY82" i="14609"/>
  <c r="HZ82" i="14609"/>
  <c r="IA82" i="14609"/>
  <c r="IB82" i="14609"/>
  <c r="IC82" i="14609"/>
  <c r="ID82" i="14609"/>
  <c r="IE82" i="14609"/>
  <c r="IF82" i="14609"/>
  <c r="IG82" i="14609"/>
  <c r="IH82" i="14609"/>
  <c r="II82" i="14609"/>
  <c r="IJ82" i="14609"/>
  <c r="IK82" i="14609"/>
  <c r="IL82" i="14609"/>
  <c r="IM82" i="14609"/>
  <c r="IN82" i="14609"/>
  <c r="IO82" i="14609"/>
  <c r="IP82" i="14609"/>
  <c r="IQ82" i="14609"/>
  <c r="IR82" i="14609"/>
  <c r="IS82" i="14609"/>
  <c r="IT82" i="14609"/>
  <c r="IU82" i="14609"/>
  <c r="IV82" i="14609"/>
  <c r="A81" i="14609"/>
  <c r="B81" i="14609"/>
  <c r="C81" i="14609"/>
  <c r="D81" i="14609"/>
  <c r="E81" i="14609"/>
  <c r="F81" i="14609"/>
  <c r="G81" i="14609"/>
  <c r="H81" i="14609"/>
  <c r="I81" i="14609"/>
  <c r="J81" i="14609"/>
  <c r="K81" i="14609"/>
  <c r="L81" i="14609"/>
  <c r="M81" i="14609"/>
  <c r="N81" i="14609"/>
  <c r="O81" i="14609"/>
  <c r="P81" i="14609"/>
  <c r="Q81" i="14609"/>
  <c r="R81" i="14609"/>
  <c r="S81" i="14609"/>
  <c r="T81" i="14609"/>
  <c r="U81" i="14609"/>
  <c r="V81" i="14609"/>
  <c r="W81" i="14609"/>
  <c r="X81" i="14609"/>
  <c r="Y81" i="14609"/>
  <c r="Z81" i="14609"/>
  <c r="AA81" i="14609"/>
  <c r="AB81" i="14609"/>
  <c r="AC81" i="14609"/>
  <c r="AD81" i="14609"/>
  <c r="AE81" i="14609"/>
  <c r="AF81" i="14609"/>
  <c r="AG81" i="14609"/>
  <c r="AH81" i="14609"/>
  <c r="AI81" i="14609"/>
  <c r="AJ81" i="14609"/>
  <c r="AK81" i="14609"/>
  <c r="AL81" i="14609"/>
  <c r="AM81" i="14609"/>
  <c r="AN81" i="14609"/>
  <c r="AO81" i="14609"/>
  <c r="AP81" i="14609"/>
  <c r="AQ81" i="14609"/>
  <c r="AR81" i="14609"/>
  <c r="AS81" i="14609"/>
  <c r="AT81" i="14609"/>
  <c r="AU81" i="14609"/>
  <c r="AV81" i="14609"/>
  <c r="AW81" i="14609"/>
  <c r="AX81" i="14609"/>
  <c r="AY81" i="14609"/>
  <c r="AZ81" i="14609"/>
  <c r="BA81" i="14609"/>
  <c r="BB81" i="14609"/>
  <c r="BC81" i="14609"/>
  <c r="BD81" i="14609"/>
  <c r="BE81" i="14609"/>
  <c r="BF81" i="14609"/>
  <c r="BG81" i="14609"/>
  <c r="BH81" i="14609"/>
  <c r="BI81" i="14609"/>
  <c r="BJ81" i="14609"/>
  <c r="BK81" i="14609"/>
  <c r="BL81" i="14609"/>
  <c r="BM81" i="14609"/>
  <c r="BN81" i="14609"/>
  <c r="BO81" i="14609"/>
  <c r="BP81" i="14609"/>
  <c r="BQ81" i="14609"/>
  <c r="BR81" i="14609"/>
  <c r="BS81" i="14609"/>
  <c r="BT81" i="14609"/>
  <c r="BU81" i="14609"/>
  <c r="BV81" i="14609"/>
  <c r="BW81" i="14609"/>
  <c r="BX81" i="14609"/>
  <c r="BY81" i="14609"/>
  <c r="BZ81" i="14609"/>
  <c r="CA81" i="14609"/>
  <c r="CB81" i="14609"/>
  <c r="CC81" i="14609"/>
  <c r="CD81" i="14609"/>
  <c r="CE81" i="14609"/>
  <c r="CF81" i="14609"/>
  <c r="CG81" i="14609"/>
  <c r="CH81" i="14609"/>
  <c r="CI81" i="14609"/>
  <c r="CJ81" i="14609"/>
  <c r="CK81" i="14609"/>
  <c r="CL81" i="14609"/>
  <c r="CM81" i="14609"/>
  <c r="CN81" i="14609"/>
  <c r="CO81" i="14609"/>
  <c r="CP81" i="14609"/>
  <c r="CQ81" i="14609"/>
  <c r="CR81" i="14609"/>
  <c r="CS81" i="14609"/>
  <c r="CT81" i="14609"/>
  <c r="CU81" i="14609"/>
  <c r="CV81" i="14609"/>
  <c r="CW81" i="14609"/>
  <c r="CX81" i="14609"/>
  <c r="CY81" i="14609"/>
  <c r="CZ81" i="14609"/>
  <c r="DA81" i="14609"/>
  <c r="DB81" i="14609"/>
  <c r="DC81" i="14609"/>
  <c r="DD81" i="14609"/>
  <c r="DE81" i="14609"/>
  <c r="DF81" i="14609"/>
  <c r="DG81" i="14609"/>
  <c r="DH81" i="14609"/>
  <c r="DI81" i="14609"/>
  <c r="DJ81" i="14609"/>
  <c r="DK81" i="14609"/>
  <c r="DL81" i="14609"/>
  <c r="DM81" i="14609"/>
  <c r="DN81" i="14609"/>
  <c r="DO81" i="14609"/>
  <c r="DP81" i="14609"/>
  <c r="DQ81" i="14609"/>
  <c r="DR81" i="14609"/>
  <c r="DS81" i="14609"/>
  <c r="DT81" i="14609"/>
  <c r="DU81" i="14609"/>
  <c r="DV81" i="14609"/>
  <c r="DW81" i="14609"/>
  <c r="DX81" i="14609"/>
  <c r="DY81" i="14609"/>
  <c r="DZ81" i="14609"/>
  <c r="EA81" i="14609"/>
  <c r="EB81" i="14609"/>
  <c r="EC81" i="14609"/>
  <c r="ED81" i="14609"/>
  <c r="EE81" i="14609"/>
  <c r="EF81" i="14609"/>
  <c r="EG81" i="14609"/>
  <c r="EH81" i="14609"/>
  <c r="EI81" i="14609"/>
  <c r="EJ81" i="14609"/>
  <c r="EK81" i="14609"/>
  <c r="EL81" i="14609"/>
  <c r="EM81" i="14609"/>
  <c r="EN81" i="14609"/>
  <c r="EO81" i="14609"/>
  <c r="EP81" i="14609"/>
  <c r="EQ81" i="14609"/>
  <c r="ER81" i="14609"/>
  <c r="ES81" i="14609"/>
  <c r="ET81" i="14609"/>
  <c r="EU81" i="14609"/>
  <c r="EV81" i="14609"/>
  <c r="EW81" i="14609"/>
  <c r="EX81" i="14609"/>
  <c r="EY81" i="14609"/>
  <c r="EZ81" i="14609"/>
  <c r="FA81" i="14609"/>
  <c r="FB81" i="14609"/>
  <c r="FC81" i="14609"/>
  <c r="FD81" i="14609"/>
  <c r="FE81" i="14609"/>
  <c r="FF81" i="14609"/>
  <c r="FG81" i="14609"/>
  <c r="FH81" i="14609"/>
  <c r="FI81" i="14609"/>
  <c r="FJ81" i="14609"/>
  <c r="FK81" i="14609"/>
  <c r="FL81" i="14609"/>
  <c r="FM81" i="14609"/>
  <c r="FN81" i="14609"/>
  <c r="FO81" i="14609"/>
  <c r="FP81" i="14609"/>
  <c r="FQ81" i="14609"/>
  <c r="FR81" i="14609"/>
  <c r="FS81" i="14609"/>
  <c r="FT81" i="14609"/>
  <c r="FU81" i="14609"/>
  <c r="FV81" i="14609"/>
  <c r="FW81" i="14609"/>
  <c r="FX81" i="14609"/>
  <c r="FY81" i="14609"/>
  <c r="FZ81" i="14609"/>
  <c r="GA81" i="14609"/>
  <c r="GB81" i="14609"/>
  <c r="GC81" i="14609"/>
  <c r="GD81" i="14609"/>
  <c r="GE81" i="14609"/>
  <c r="GF81" i="14609"/>
  <c r="GG81" i="14609"/>
  <c r="GH81" i="14609"/>
  <c r="GI81" i="14609"/>
  <c r="GJ81" i="14609"/>
  <c r="GK81" i="14609"/>
  <c r="GL81" i="14609"/>
  <c r="GM81" i="14609"/>
  <c r="GN81" i="14609"/>
  <c r="GO81" i="14609"/>
  <c r="GP81" i="14609"/>
  <c r="GQ81" i="14609"/>
  <c r="GR81" i="14609"/>
  <c r="GS81" i="14609"/>
  <c r="GT81" i="14609"/>
  <c r="GU81" i="14609"/>
  <c r="GV81" i="14609"/>
  <c r="GW81" i="14609"/>
  <c r="GX81" i="14609"/>
  <c r="GY81" i="14609"/>
  <c r="GZ81" i="14609"/>
  <c r="HA81" i="14609"/>
  <c r="HB81" i="14609"/>
  <c r="HC81" i="14609"/>
  <c r="HD81" i="14609"/>
  <c r="HE81" i="14609"/>
  <c r="HF81" i="14609"/>
  <c r="HG81" i="14609"/>
  <c r="HH81" i="14609"/>
  <c r="HI81" i="14609"/>
  <c r="HJ81" i="14609"/>
  <c r="HK81" i="14609"/>
  <c r="HL81" i="14609"/>
  <c r="HM81" i="14609"/>
  <c r="HN81" i="14609"/>
  <c r="HO81" i="14609"/>
  <c r="HP81" i="14609"/>
  <c r="HQ81" i="14609"/>
  <c r="HR81" i="14609"/>
  <c r="HS81" i="14609"/>
  <c r="HT81" i="14609"/>
  <c r="HU81" i="14609"/>
  <c r="HV81" i="14609"/>
  <c r="HW81" i="14609"/>
  <c r="HX81" i="14609"/>
  <c r="HY81" i="14609"/>
  <c r="HZ81" i="14609"/>
  <c r="IA81" i="14609"/>
  <c r="IB81" i="14609"/>
  <c r="IC81" i="14609"/>
  <c r="ID81" i="14609"/>
  <c r="IE81" i="14609"/>
  <c r="IF81" i="14609"/>
  <c r="IG81" i="14609"/>
  <c r="IH81" i="14609"/>
  <c r="II81" i="14609"/>
  <c r="IJ81" i="14609"/>
  <c r="IK81" i="14609"/>
  <c r="IL81" i="14609"/>
  <c r="IM81" i="14609"/>
  <c r="IN81" i="14609"/>
  <c r="IO81" i="14609"/>
  <c r="IP81" i="14609"/>
  <c r="IQ81" i="14609"/>
  <c r="IR81" i="14609"/>
  <c r="IS81" i="14609"/>
  <c r="IT81" i="14609"/>
  <c r="IU81" i="14609"/>
  <c r="IV81" i="14609"/>
  <c r="A80" i="14609"/>
  <c r="B80" i="14609"/>
  <c r="C80" i="14609"/>
  <c r="D80" i="14609"/>
  <c r="E80" i="14609"/>
  <c r="F80" i="14609"/>
  <c r="G80" i="14609"/>
  <c r="H80" i="14609"/>
  <c r="I80" i="14609"/>
  <c r="J80" i="14609"/>
  <c r="K80" i="14609"/>
  <c r="L80" i="14609"/>
  <c r="M80" i="14609"/>
  <c r="N80" i="14609"/>
  <c r="O80" i="14609"/>
  <c r="P80" i="14609"/>
  <c r="Q80" i="14609"/>
  <c r="R80" i="14609"/>
  <c r="S80" i="14609"/>
  <c r="T80" i="14609"/>
  <c r="U80" i="14609"/>
  <c r="V80" i="14609"/>
  <c r="W80" i="14609"/>
  <c r="X80" i="14609"/>
  <c r="Y80" i="14609"/>
  <c r="Z80" i="14609"/>
  <c r="AA80" i="14609"/>
  <c r="AB80" i="14609"/>
  <c r="AC80" i="14609"/>
  <c r="AD80" i="14609"/>
  <c r="AE80" i="14609"/>
  <c r="AF80" i="14609"/>
  <c r="AG80" i="14609"/>
  <c r="AH80" i="14609"/>
  <c r="AI80" i="14609"/>
  <c r="AJ80" i="14609"/>
  <c r="AK80" i="14609"/>
  <c r="AL80" i="14609"/>
  <c r="AM80" i="14609"/>
  <c r="AN80" i="14609"/>
  <c r="AO80" i="14609"/>
  <c r="AP80" i="14609"/>
  <c r="AQ80" i="14609"/>
  <c r="AR80" i="14609"/>
  <c r="AS80" i="14609"/>
  <c r="AT80" i="14609"/>
  <c r="AU80" i="14609"/>
  <c r="AV80" i="14609"/>
  <c r="AW80" i="14609"/>
  <c r="AX80" i="14609"/>
  <c r="AY80" i="14609"/>
  <c r="AZ80" i="14609"/>
  <c r="BA80" i="14609"/>
  <c r="BB80" i="14609"/>
  <c r="BC80" i="14609"/>
  <c r="BD80" i="14609"/>
  <c r="BE80" i="14609"/>
  <c r="BF80" i="14609"/>
  <c r="BG80" i="14609"/>
  <c r="BH80" i="14609"/>
  <c r="BI80" i="14609"/>
  <c r="BJ80" i="14609"/>
  <c r="BK80" i="14609"/>
  <c r="BL80" i="14609"/>
  <c r="BM80" i="14609"/>
  <c r="BN80" i="14609"/>
  <c r="BO80" i="14609"/>
  <c r="BP80" i="14609"/>
  <c r="BQ80" i="14609"/>
  <c r="BR80" i="14609"/>
  <c r="BS80" i="14609"/>
  <c r="BT80" i="14609"/>
  <c r="BU80" i="14609"/>
  <c r="BV80" i="14609"/>
  <c r="BW80" i="14609"/>
  <c r="BX80" i="14609"/>
  <c r="BY80" i="14609"/>
  <c r="BZ80" i="14609"/>
  <c r="CA80" i="14609"/>
  <c r="CB80" i="14609"/>
  <c r="CC80" i="14609"/>
  <c r="CD80" i="14609"/>
  <c r="CE80" i="14609"/>
  <c r="CF80" i="14609"/>
  <c r="CG80" i="14609"/>
  <c r="CH80" i="14609"/>
  <c r="CI80" i="14609"/>
  <c r="CJ80" i="14609"/>
  <c r="CK80" i="14609"/>
  <c r="CL80" i="14609"/>
  <c r="CM80" i="14609"/>
  <c r="CN80" i="14609"/>
  <c r="CO80" i="14609"/>
  <c r="CP80" i="14609"/>
  <c r="CQ80" i="14609"/>
  <c r="CR80" i="14609"/>
  <c r="CS80" i="14609"/>
  <c r="CT80" i="14609"/>
  <c r="CU80" i="14609"/>
  <c r="CV80" i="14609"/>
  <c r="CW80" i="14609"/>
  <c r="CX80" i="14609"/>
  <c r="CY80" i="14609"/>
  <c r="CZ80" i="14609"/>
  <c r="DA80" i="14609"/>
  <c r="DB80" i="14609"/>
  <c r="DC80" i="14609"/>
  <c r="DD80" i="14609"/>
  <c r="DE80" i="14609"/>
  <c r="DF80" i="14609"/>
  <c r="DG80" i="14609"/>
  <c r="DH80" i="14609"/>
  <c r="DI80" i="14609"/>
  <c r="DJ80" i="14609"/>
  <c r="DK80" i="14609"/>
  <c r="DL80" i="14609"/>
  <c r="DM80" i="14609"/>
  <c r="DN80" i="14609"/>
  <c r="DO80" i="14609"/>
  <c r="DP80" i="14609"/>
  <c r="DQ80" i="14609"/>
  <c r="DR80" i="14609"/>
  <c r="DS80" i="14609"/>
  <c r="DT80" i="14609"/>
  <c r="DU80" i="14609"/>
  <c r="DV80" i="14609"/>
  <c r="DW80" i="14609"/>
  <c r="DX80" i="14609"/>
  <c r="DY80" i="14609"/>
  <c r="DZ80" i="14609"/>
  <c r="EA80" i="14609"/>
  <c r="EB80" i="14609"/>
  <c r="EC80" i="14609"/>
  <c r="ED80" i="14609"/>
  <c r="EE80" i="14609"/>
  <c r="EF80" i="14609"/>
  <c r="EG80" i="14609"/>
  <c r="EH80" i="14609"/>
  <c r="EI80" i="14609"/>
  <c r="EJ80" i="14609"/>
  <c r="EK80" i="14609"/>
  <c r="EL80" i="14609"/>
  <c r="EM80" i="14609"/>
  <c r="EN80" i="14609"/>
  <c r="EO80" i="14609"/>
  <c r="EP80" i="14609"/>
  <c r="EQ80" i="14609"/>
  <c r="ER80" i="14609"/>
  <c r="ES80" i="14609"/>
  <c r="ET80" i="14609"/>
  <c r="EU80" i="14609"/>
  <c r="EV80" i="14609"/>
  <c r="EW80" i="14609"/>
  <c r="EX80" i="14609"/>
  <c r="EY80" i="14609"/>
  <c r="EZ80" i="14609"/>
  <c r="FA80" i="14609"/>
  <c r="FB80" i="14609"/>
  <c r="FC80" i="14609"/>
  <c r="FD80" i="14609"/>
  <c r="FE80" i="14609"/>
  <c r="FF80" i="14609"/>
  <c r="FG80" i="14609"/>
  <c r="FH80" i="14609"/>
  <c r="FI80" i="14609"/>
  <c r="FJ80" i="14609"/>
  <c r="FK80" i="14609"/>
  <c r="FL80" i="14609"/>
  <c r="FM80" i="14609"/>
  <c r="FN80" i="14609"/>
  <c r="FO80" i="14609"/>
  <c r="FP80" i="14609"/>
  <c r="FQ80" i="14609"/>
  <c r="FR80" i="14609"/>
  <c r="FS80" i="14609"/>
  <c r="FT80" i="14609"/>
  <c r="FU80" i="14609"/>
  <c r="FV80" i="14609"/>
  <c r="FW80" i="14609"/>
  <c r="FX80" i="14609"/>
  <c r="FY80" i="14609"/>
  <c r="FZ80" i="14609"/>
  <c r="GA80" i="14609"/>
  <c r="GB80" i="14609"/>
  <c r="GC80" i="14609"/>
  <c r="GD80" i="14609"/>
  <c r="GE80" i="14609"/>
  <c r="GF80" i="14609"/>
  <c r="GG80" i="14609"/>
  <c r="GH80" i="14609"/>
  <c r="GI80" i="14609"/>
  <c r="GJ80" i="14609"/>
  <c r="GK80" i="14609"/>
  <c r="GL80" i="14609"/>
  <c r="GM80" i="14609"/>
  <c r="GN80" i="14609"/>
  <c r="GO80" i="14609"/>
  <c r="GP80" i="14609"/>
  <c r="GQ80" i="14609"/>
  <c r="GR80" i="14609"/>
  <c r="GS80" i="14609"/>
  <c r="GT80" i="14609"/>
  <c r="GU80" i="14609"/>
  <c r="GV80" i="14609"/>
  <c r="GW80" i="14609"/>
  <c r="GX80" i="14609"/>
  <c r="GY80" i="14609"/>
  <c r="GZ80" i="14609"/>
  <c r="HA80" i="14609"/>
  <c r="HB80" i="14609"/>
  <c r="HC80" i="14609"/>
  <c r="HD80" i="14609"/>
  <c r="HE80" i="14609"/>
  <c r="HF80" i="14609"/>
  <c r="HG80" i="14609"/>
  <c r="HH80" i="14609"/>
  <c r="HI80" i="14609"/>
  <c r="HJ80" i="14609"/>
  <c r="HK80" i="14609"/>
  <c r="HL80" i="14609"/>
  <c r="HM80" i="14609"/>
  <c r="HN80" i="14609"/>
  <c r="HO80" i="14609"/>
  <c r="HP80" i="14609"/>
  <c r="HQ80" i="14609"/>
  <c r="HR80" i="14609"/>
  <c r="HS80" i="14609"/>
  <c r="HT80" i="14609"/>
  <c r="HU80" i="14609"/>
  <c r="HV80" i="14609"/>
  <c r="HW80" i="14609"/>
  <c r="HX80" i="14609"/>
  <c r="HY80" i="14609"/>
  <c r="HZ80" i="14609"/>
  <c r="IA80" i="14609"/>
  <c r="IB80" i="14609"/>
  <c r="IC80" i="14609"/>
  <c r="ID80" i="14609"/>
  <c r="IE80" i="14609"/>
  <c r="IF80" i="14609"/>
  <c r="IG80" i="14609"/>
  <c r="IH80" i="14609"/>
  <c r="II80" i="14609"/>
  <c r="IJ80" i="14609"/>
  <c r="IK80" i="14609"/>
  <c r="IL80" i="14609"/>
  <c r="IM80" i="14609"/>
  <c r="IN80" i="14609"/>
  <c r="IO80" i="14609"/>
  <c r="IP80" i="14609"/>
  <c r="IQ80" i="14609"/>
  <c r="IR80" i="14609"/>
  <c r="IS80" i="14609"/>
  <c r="IT80" i="14609"/>
  <c r="IU80" i="14609"/>
  <c r="IV80" i="14609"/>
  <c r="A79" i="14609"/>
  <c r="B79" i="14609"/>
  <c r="C79" i="14609"/>
  <c r="D79" i="14609"/>
  <c r="E79" i="14609"/>
  <c r="F79" i="14609"/>
  <c r="G79" i="14609"/>
  <c r="H79" i="14609"/>
  <c r="I79" i="14609"/>
  <c r="J79" i="14609"/>
  <c r="K79" i="14609"/>
  <c r="L79" i="14609"/>
  <c r="M79" i="14609"/>
  <c r="N79" i="14609"/>
  <c r="O79" i="14609"/>
  <c r="P79" i="14609"/>
  <c r="Q79" i="14609"/>
  <c r="R79" i="14609"/>
  <c r="S79" i="14609"/>
  <c r="T79" i="14609"/>
  <c r="U79" i="14609"/>
  <c r="V79" i="14609"/>
  <c r="W79" i="14609"/>
  <c r="X79" i="14609"/>
  <c r="Y79" i="14609"/>
  <c r="Z79" i="14609"/>
  <c r="AA79" i="14609"/>
  <c r="AB79" i="14609"/>
  <c r="AC79" i="14609"/>
  <c r="AD79" i="14609"/>
  <c r="AE79" i="14609"/>
  <c r="AF79" i="14609"/>
  <c r="AG79" i="14609"/>
  <c r="AH79" i="14609"/>
  <c r="AI79" i="14609"/>
  <c r="AJ79" i="14609"/>
  <c r="AK79" i="14609"/>
  <c r="AL79" i="14609"/>
  <c r="AM79" i="14609"/>
  <c r="AN79" i="14609"/>
  <c r="AO79" i="14609"/>
  <c r="AP79" i="14609"/>
  <c r="AQ79" i="14609"/>
  <c r="AR79" i="14609"/>
  <c r="AS79" i="14609"/>
  <c r="AT79" i="14609"/>
  <c r="AU79" i="14609"/>
  <c r="AV79" i="14609"/>
  <c r="AW79" i="14609"/>
  <c r="AX79" i="14609"/>
  <c r="AY79" i="14609"/>
  <c r="AZ79" i="14609"/>
  <c r="BA79" i="14609"/>
  <c r="BB79" i="14609"/>
  <c r="BC79" i="14609"/>
  <c r="BD79" i="14609"/>
  <c r="BE79" i="14609"/>
  <c r="BF79" i="14609"/>
  <c r="BG79" i="14609"/>
  <c r="BH79" i="14609"/>
  <c r="BI79" i="14609"/>
  <c r="BJ79" i="14609"/>
  <c r="BK79" i="14609"/>
  <c r="BL79" i="14609"/>
  <c r="BM79" i="14609"/>
  <c r="BN79" i="14609"/>
  <c r="BO79" i="14609"/>
  <c r="BP79" i="14609"/>
  <c r="BQ79" i="14609"/>
  <c r="BR79" i="14609"/>
  <c r="BS79" i="14609"/>
  <c r="BT79" i="14609"/>
  <c r="BU79" i="14609"/>
  <c r="BV79" i="14609"/>
  <c r="BW79" i="14609"/>
  <c r="BX79" i="14609"/>
  <c r="BY79" i="14609"/>
  <c r="BZ79" i="14609"/>
  <c r="CA79" i="14609"/>
  <c r="CB79" i="14609"/>
  <c r="CC79" i="14609"/>
  <c r="CD79" i="14609"/>
  <c r="CE79" i="14609"/>
  <c r="CF79" i="14609"/>
  <c r="CG79" i="14609"/>
  <c r="CH79" i="14609"/>
  <c r="CI79" i="14609"/>
  <c r="CJ79" i="14609"/>
  <c r="CK79" i="14609"/>
  <c r="CL79" i="14609"/>
  <c r="CM79" i="14609"/>
  <c r="CN79" i="14609"/>
  <c r="CO79" i="14609"/>
  <c r="CP79" i="14609"/>
  <c r="CQ79" i="14609"/>
  <c r="CR79" i="14609"/>
  <c r="CS79" i="14609"/>
  <c r="CT79" i="14609"/>
  <c r="CU79" i="14609"/>
  <c r="CV79" i="14609"/>
  <c r="CW79" i="14609"/>
  <c r="CX79" i="14609"/>
  <c r="CY79" i="14609"/>
  <c r="CZ79" i="14609"/>
  <c r="DA79" i="14609"/>
  <c r="DB79" i="14609"/>
  <c r="DC79" i="14609"/>
  <c r="DD79" i="14609"/>
  <c r="DE79" i="14609"/>
  <c r="DF79" i="14609"/>
  <c r="DG79" i="14609"/>
  <c r="DH79" i="14609"/>
  <c r="DI79" i="14609"/>
  <c r="DJ79" i="14609"/>
  <c r="DK79" i="14609"/>
  <c r="DL79" i="14609"/>
  <c r="DM79" i="14609"/>
  <c r="DN79" i="14609"/>
  <c r="DO79" i="14609"/>
  <c r="DP79" i="14609"/>
  <c r="DQ79" i="14609"/>
  <c r="DR79" i="14609"/>
  <c r="DS79" i="14609"/>
  <c r="DT79" i="14609"/>
  <c r="DU79" i="14609"/>
  <c r="DV79" i="14609"/>
  <c r="DW79" i="14609"/>
  <c r="DX79" i="14609"/>
  <c r="DY79" i="14609"/>
  <c r="DZ79" i="14609"/>
  <c r="EA79" i="14609"/>
  <c r="EB79" i="14609"/>
  <c r="EC79" i="14609"/>
  <c r="ED79" i="14609"/>
  <c r="EE79" i="14609"/>
  <c r="EF79" i="14609"/>
  <c r="EG79" i="14609"/>
  <c r="EH79" i="14609"/>
  <c r="EI79" i="14609"/>
  <c r="EJ79" i="14609"/>
  <c r="EK79" i="14609"/>
  <c r="EL79" i="14609"/>
  <c r="EM79" i="14609"/>
  <c r="EN79" i="14609"/>
  <c r="EO79" i="14609"/>
  <c r="EP79" i="14609"/>
  <c r="EQ79" i="14609"/>
  <c r="ER79" i="14609"/>
  <c r="ES79" i="14609"/>
  <c r="ET79" i="14609"/>
  <c r="EU79" i="14609"/>
  <c r="EV79" i="14609"/>
  <c r="EW79" i="14609"/>
  <c r="EX79" i="14609"/>
  <c r="EY79" i="14609"/>
  <c r="EZ79" i="14609"/>
  <c r="FA79" i="14609"/>
  <c r="FB79" i="14609"/>
  <c r="FC79" i="14609"/>
  <c r="FD79" i="14609"/>
  <c r="FE79" i="14609"/>
  <c r="FF79" i="14609"/>
  <c r="FG79" i="14609"/>
  <c r="FH79" i="14609"/>
  <c r="FI79" i="14609"/>
  <c r="FJ79" i="14609"/>
  <c r="FK79" i="14609"/>
  <c r="FL79" i="14609"/>
  <c r="FM79" i="14609"/>
  <c r="FN79" i="14609"/>
  <c r="FO79" i="14609"/>
  <c r="FP79" i="14609"/>
  <c r="FQ79" i="14609"/>
  <c r="FR79" i="14609"/>
  <c r="FS79" i="14609"/>
  <c r="FT79" i="14609"/>
  <c r="FU79" i="14609"/>
  <c r="FV79" i="14609"/>
  <c r="FW79" i="14609"/>
  <c r="FX79" i="14609"/>
  <c r="FY79" i="14609"/>
  <c r="FZ79" i="14609"/>
  <c r="GA79" i="14609"/>
  <c r="GB79" i="14609"/>
  <c r="GC79" i="14609"/>
  <c r="GD79" i="14609"/>
  <c r="GE79" i="14609"/>
  <c r="GF79" i="14609"/>
  <c r="GG79" i="14609"/>
  <c r="GH79" i="14609"/>
  <c r="GI79" i="14609"/>
  <c r="GJ79" i="14609"/>
  <c r="GK79" i="14609"/>
  <c r="GL79" i="14609"/>
  <c r="GM79" i="14609"/>
  <c r="GN79" i="14609"/>
  <c r="GO79" i="14609"/>
  <c r="GP79" i="14609"/>
  <c r="GQ79" i="14609"/>
  <c r="GR79" i="14609"/>
  <c r="GS79" i="14609"/>
  <c r="GT79" i="14609"/>
  <c r="GU79" i="14609"/>
  <c r="GV79" i="14609"/>
  <c r="GW79" i="14609"/>
  <c r="GX79" i="14609"/>
  <c r="GY79" i="14609"/>
  <c r="GZ79" i="14609"/>
  <c r="HA79" i="14609"/>
  <c r="HB79" i="14609"/>
  <c r="HC79" i="14609"/>
  <c r="HD79" i="14609"/>
  <c r="HE79" i="14609"/>
  <c r="HF79" i="14609"/>
  <c r="HG79" i="14609"/>
  <c r="HH79" i="14609"/>
  <c r="HI79" i="14609"/>
  <c r="HJ79" i="14609"/>
  <c r="HK79" i="14609"/>
  <c r="HL79" i="14609"/>
  <c r="HM79" i="14609"/>
  <c r="HN79" i="14609"/>
  <c r="HO79" i="14609"/>
  <c r="HP79" i="14609"/>
  <c r="HQ79" i="14609"/>
  <c r="HR79" i="14609"/>
  <c r="HS79" i="14609"/>
  <c r="HT79" i="14609"/>
  <c r="HU79" i="14609"/>
  <c r="HV79" i="14609"/>
  <c r="HW79" i="14609"/>
  <c r="HX79" i="14609"/>
  <c r="HY79" i="14609"/>
  <c r="HZ79" i="14609"/>
  <c r="IA79" i="14609"/>
  <c r="IB79" i="14609"/>
  <c r="IC79" i="14609"/>
  <c r="ID79" i="14609"/>
  <c r="IE79" i="14609"/>
  <c r="IF79" i="14609"/>
  <c r="IG79" i="14609"/>
  <c r="IH79" i="14609"/>
  <c r="II79" i="14609"/>
  <c r="IJ79" i="14609"/>
  <c r="IK79" i="14609"/>
  <c r="IL79" i="14609"/>
  <c r="IM79" i="14609"/>
  <c r="IN79" i="14609"/>
  <c r="IO79" i="14609"/>
  <c r="IP79" i="14609"/>
  <c r="IQ79" i="14609"/>
  <c r="IR79" i="14609"/>
  <c r="IS79" i="14609"/>
  <c r="IT79" i="14609"/>
  <c r="IU79" i="14609"/>
  <c r="IV79" i="14609"/>
  <c r="A78" i="14609"/>
  <c r="B78" i="14609"/>
  <c r="C78" i="14609"/>
  <c r="D78" i="14609"/>
  <c r="E78" i="14609"/>
  <c r="F78" i="14609"/>
  <c r="G78" i="14609"/>
  <c r="H78" i="14609"/>
  <c r="I78" i="14609"/>
  <c r="J78" i="14609"/>
  <c r="K78" i="14609"/>
  <c r="L78" i="14609"/>
  <c r="M78" i="14609"/>
  <c r="N78" i="14609"/>
  <c r="O78" i="14609"/>
  <c r="P78" i="14609"/>
  <c r="Q78" i="14609"/>
  <c r="R78" i="14609"/>
  <c r="S78" i="14609"/>
  <c r="T78" i="14609"/>
  <c r="U78" i="14609"/>
  <c r="V78" i="14609"/>
  <c r="W78" i="14609"/>
  <c r="X78" i="14609"/>
  <c r="Y78" i="14609"/>
  <c r="Z78" i="14609"/>
  <c r="AA78" i="14609"/>
  <c r="AB78" i="14609"/>
  <c r="AC78" i="14609"/>
  <c r="AD78" i="14609"/>
  <c r="AE78" i="14609"/>
  <c r="AF78" i="14609"/>
  <c r="AG78" i="14609"/>
  <c r="AH78" i="14609"/>
  <c r="AI78" i="14609"/>
  <c r="AJ78" i="14609"/>
  <c r="AK78" i="14609"/>
  <c r="AL78" i="14609"/>
  <c r="AM78" i="14609"/>
  <c r="AN78" i="14609"/>
  <c r="AO78" i="14609"/>
  <c r="AP78" i="14609"/>
  <c r="AQ78" i="14609"/>
  <c r="AR78" i="14609"/>
  <c r="AS78" i="14609"/>
  <c r="AT78" i="14609"/>
  <c r="AU78" i="14609"/>
  <c r="AV78" i="14609"/>
  <c r="AW78" i="14609"/>
  <c r="AX78" i="14609"/>
  <c r="AY78" i="14609"/>
  <c r="AZ78" i="14609"/>
  <c r="BA78" i="14609"/>
  <c r="BB78" i="14609"/>
  <c r="BC78" i="14609"/>
  <c r="BD78" i="14609"/>
  <c r="BE78" i="14609"/>
  <c r="BF78" i="14609"/>
  <c r="BG78" i="14609"/>
  <c r="BH78" i="14609"/>
  <c r="BI78" i="14609"/>
  <c r="BJ78" i="14609"/>
  <c r="BK78" i="14609"/>
  <c r="BL78" i="14609"/>
  <c r="BM78" i="14609"/>
  <c r="BN78" i="14609"/>
  <c r="BO78" i="14609"/>
  <c r="BP78" i="14609"/>
  <c r="BQ78" i="14609"/>
  <c r="BR78" i="14609"/>
  <c r="BS78" i="14609"/>
  <c r="BT78" i="14609"/>
  <c r="BU78" i="14609"/>
  <c r="BV78" i="14609"/>
  <c r="BW78" i="14609"/>
  <c r="BX78" i="14609"/>
  <c r="BY78" i="14609"/>
  <c r="BZ78" i="14609"/>
  <c r="CA78" i="14609"/>
  <c r="CB78" i="14609"/>
  <c r="CC78" i="14609"/>
  <c r="CD78" i="14609"/>
  <c r="CE78" i="14609"/>
  <c r="CF78" i="14609"/>
  <c r="CG78" i="14609"/>
  <c r="CH78" i="14609"/>
  <c r="CI78" i="14609"/>
  <c r="CJ78" i="14609"/>
  <c r="CK78" i="14609"/>
  <c r="CL78" i="14609"/>
  <c r="CM78" i="14609"/>
  <c r="CN78" i="14609"/>
  <c r="CO78" i="14609"/>
  <c r="CP78" i="14609"/>
  <c r="CQ78" i="14609"/>
  <c r="CR78" i="14609"/>
  <c r="CS78" i="14609"/>
  <c r="CT78" i="14609"/>
  <c r="CU78" i="14609"/>
  <c r="CV78" i="14609"/>
  <c r="CW78" i="14609"/>
  <c r="CX78" i="14609"/>
  <c r="CY78" i="14609"/>
  <c r="CZ78" i="14609"/>
  <c r="DA78" i="14609"/>
  <c r="DB78" i="14609"/>
  <c r="DC78" i="14609"/>
  <c r="DD78" i="14609"/>
  <c r="DE78" i="14609"/>
  <c r="DF78" i="14609"/>
  <c r="DG78" i="14609"/>
  <c r="DH78" i="14609"/>
  <c r="DI78" i="14609"/>
  <c r="DJ78" i="14609"/>
  <c r="DK78" i="14609"/>
  <c r="DL78" i="14609"/>
  <c r="DM78" i="14609"/>
  <c r="DN78" i="14609"/>
  <c r="DO78" i="14609"/>
  <c r="DP78" i="14609"/>
  <c r="DQ78" i="14609"/>
  <c r="DR78" i="14609"/>
  <c r="DS78" i="14609"/>
  <c r="DT78" i="14609"/>
  <c r="DU78" i="14609"/>
  <c r="DV78" i="14609"/>
  <c r="DW78" i="14609"/>
  <c r="DX78" i="14609"/>
  <c r="DY78" i="14609"/>
  <c r="DZ78" i="14609"/>
  <c r="EA78" i="14609"/>
  <c r="EB78" i="14609"/>
  <c r="EC78" i="14609"/>
  <c r="ED78" i="14609"/>
  <c r="EE78" i="14609"/>
  <c r="EF78" i="14609"/>
  <c r="EG78" i="14609"/>
  <c r="EH78" i="14609"/>
  <c r="EI78" i="14609"/>
  <c r="EJ78" i="14609"/>
  <c r="EK78" i="14609"/>
  <c r="EL78" i="14609"/>
  <c r="EM78" i="14609"/>
  <c r="EN78" i="14609"/>
  <c r="EO78" i="14609"/>
  <c r="EP78" i="14609"/>
  <c r="EQ78" i="14609"/>
  <c r="ER78" i="14609"/>
  <c r="ES78" i="14609"/>
  <c r="ET78" i="14609"/>
  <c r="EU78" i="14609"/>
  <c r="EV78" i="14609"/>
  <c r="EW78" i="14609"/>
  <c r="EX78" i="14609"/>
  <c r="EY78" i="14609"/>
  <c r="EZ78" i="14609"/>
  <c r="FA78" i="14609"/>
  <c r="FB78" i="14609"/>
  <c r="FC78" i="14609"/>
  <c r="FD78" i="14609"/>
  <c r="FE78" i="14609"/>
  <c r="FF78" i="14609"/>
  <c r="FG78" i="14609"/>
  <c r="FH78" i="14609"/>
  <c r="FI78" i="14609"/>
  <c r="FJ78" i="14609"/>
  <c r="FK78" i="14609"/>
  <c r="FL78" i="14609"/>
  <c r="FM78" i="14609"/>
  <c r="FN78" i="14609"/>
  <c r="FO78" i="14609"/>
  <c r="FP78" i="14609"/>
  <c r="FQ78" i="14609"/>
  <c r="FR78" i="14609"/>
  <c r="FS78" i="14609"/>
  <c r="FT78" i="14609"/>
  <c r="FU78" i="14609"/>
  <c r="FV78" i="14609"/>
  <c r="FW78" i="14609"/>
  <c r="FX78" i="14609"/>
  <c r="FY78" i="14609"/>
  <c r="FZ78" i="14609"/>
  <c r="GA78" i="14609"/>
  <c r="GB78" i="14609"/>
  <c r="GC78" i="14609"/>
  <c r="GD78" i="14609"/>
  <c r="GE78" i="14609"/>
  <c r="GF78" i="14609"/>
  <c r="GG78" i="14609"/>
  <c r="GH78" i="14609"/>
  <c r="GI78" i="14609"/>
  <c r="GJ78" i="14609"/>
  <c r="GK78" i="14609"/>
  <c r="GL78" i="14609"/>
  <c r="GM78" i="14609"/>
  <c r="GN78" i="14609"/>
  <c r="GO78" i="14609"/>
  <c r="GP78" i="14609"/>
  <c r="GQ78" i="14609"/>
  <c r="GR78" i="14609"/>
  <c r="GS78" i="14609"/>
  <c r="GT78" i="14609"/>
  <c r="GU78" i="14609"/>
  <c r="GV78" i="14609"/>
  <c r="GW78" i="14609"/>
  <c r="GX78" i="14609"/>
  <c r="GY78" i="14609"/>
  <c r="GZ78" i="14609"/>
  <c r="HA78" i="14609"/>
  <c r="HB78" i="14609"/>
  <c r="HC78" i="14609"/>
  <c r="HD78" i="14609"/>
  <c r="HE78" i="14609"/>
  <c r="HF78" i="14609"/>
  <c r="HG78" i="14609"/>
  <c r="HH78" i="14609"/>
  <c r="HI78" i="14609"/>
  <c r="HJ78" i="14609"/>
  <c r="HK78" i="14609"/>
  <c r="HL78" i="14609"/>
  <c r="HM78" i="14609"/>
  <c r="HN78" i="14609"/>
  <c r="HO78" i="14609"/>
  <c r="HP78" i="14609"/>
  <c r="HQ78" i="14609"/>
  <c r="HR78" i="14609"/>
  <c r="HS78" i="14609"/>
  <c r="HT78" i="14609"/>
  <c r="HU78" i="14609"/>
  <c r="HV78" i="14609"/>
  <c r="HW78" i="14609"/>
  <c r="HX78" i="14609"/>
  <c r="HY78" i="14609"/>
  <c r="HZ78" i="14609"/>
  <c r="IA78" i="14609"/>
  <c r="IB78" i="14609"/>
  <c r="IC78" i="14609"/>
  <c r="ID78" i="14609"/>
  <c r="IE78" i="14609"/>
  <c r="IF78" i="14609"/>
  <c r="IG78" i="14609"/>
  <c r="IH78" i="14609"/>
  <c r="II78" i="14609"/>
  <c r="IJ78" i="14609"/>
  <c r="IK78" i="14609"/>
  <c r="IL78" i="14609"/>
  <c r="IM78" i="14609"/>
  <c r="IN78" i="14609"/>
  <c r="IO78" i="14609"/>
  <c r="IP78" i="14609"/>
  <c r="IQ78" i="14609"/>
  <c r="IR78" i="14609"/>
  <c r="IS78" i="14609"/>
  <c r="IT78" i="14609"/>
  <c r="IU78" i="14609"/>
  <c r="IV78" i="14609"/>
  <c r="A77" i="14609"/>
  <c r="B77" i="14609"/>
  <c r="C77" i="14609"/>
  <c r="D77" i="14609"/>
  <c r="E77" i="14609"/>
  <c r="F77" i="14609"/>
  <c r="G77" i="14609"/>
  <c r="H77" i="14609"/>
  <c r="I77" i="14609"/>
  <c r="J77" i="14609"/>
  <c r="K77" i="14609"/>
  <c r="L77" i="14609"/>
  <c r="M77" i="14609"/>
  <c r="N77" i="14609"/>
  <c r="O77" i="14609"/>
  <c r="P77" i="14609"/>
  <c r="Q77" i="14609"/>
  <c r="R77" i="14609"/>
  <c r="S77" i="14609"/>
  <c r="T77" i="14609"/>
  <c r="U77" i="14609"/>
  <c r="V77" i="14609"/>
  <c r="W77" i="14609"/>
  <c r="X77" i="14609"/>
  <c r="Y77" i="14609"/>
  <c r="Z77" i="14609"/>
  <c r="AA77" i="14609"/>
  <c r="AB77" i="14609"/>
  <c r="AC77" i="14609"/>
  <c r="AD77" i="14609"/>
  <c r="AE77" i="14609"/>
  <c r="AF77" i="14609"/>
  <c r="AG77" i="14609"/>
  <c r="AH77" i="14609"/>
  <c r="AI77" i="14609"/>
  <c r="AJ77" i="14609"/>
  <c r="AK77" i="14609"/>
  <c r="AL77" i="14609"/>
  <c r="AM77" i="14609"/>
  <c r="AN77" i="14609"/>
  <c r="AO77" i="14609"/>
  <c r="AP77" i="14609"/>
  <c r="AQ77" i="14609"/>
  <c r="AR77" i="14609"/>
  <c r="AS77" i="14609"/>
  <c r="AT77" i="14609"/>
  <c r="AU77" i="14609"/>
  <c r="AV77" i="14609"/>
  <c r="AW77" i="14609"/>
  <c r="AX77" i="14609"/>
  <c r="AY77" i="14609"/>
  <c r="AZ77" i="14609"/>
  <c r="BA77" i="14609"/>
  <c r="BB77" i="14609"/>
  <c r="BC77" i="14609"/>
  <c r="BD77" i="14609"/>
  <c r="BE77" i="14609"/>
  <c r="BF77" i="14609"/>
  <c r="BG77" i="14609"/>
  <c r="BH77" i="14609"/>
  <c r="BI77" i="14609"/>
  <c r="BJ77" i="14609"/>
  <c r="BK77" i="14609"/>
  <c r="BL77" i="14609"/>
  <c r="BM77" i="14609"/>
  <c r="BN77" i="14609"/>
  <c r="BO77" i="14609"/>
  <c r="BP77" i="14609"/>
  <c r="BQ77" i="14609"/>
  <c r="BR77" i="14609"/>
  <c r="BS77" i="14609"/>
  <c r="BT77" i="14609"/>
  <c r="BU77" i="14609"/>
  <c r="BV77" i="14609"/>
  <c r="BW77" i="14609"/>
  <c r="BX77" i="14609"/>
  <c r="BY77" i="14609"/>
  <c r="BZ77" i="14609"/>
  <c r="CA77" i="14609"/>
  <c r="CB77" i="14609"/>
  <c r="CC77" i="14609"/>
  <c r="CD77" i="14609"/>
  <c r="CE77" i="14609"/>
  <c r="CF77" i="14609"/>
  <c r="CG77" i="14609"/>
  <c r="CH77" i="14609"/>
  <c r="CI77" i="14609"/>
  <c r="CJ77" i="14609"/>
  <c r="CK77" i="14609"/>
  <c r="CL77" i="14609"/>
  <c r="CM77" i="14609"/>
  <c r="CN77" i="14609"/>
  <c r="CO77" i="14609"/>
  <c r="CP77" i="14609"/>
  <c r="CQ77" i="14609"/>
  <c r="CR77" i="14609"/>
  <c r="CS77" i="14609"/>
  <c r="CT77" i="14609"/>
  <c r="CU77" i="14609"/>
  <c r="CV77" i="14609"/>
  <c r="CW77" i="14609"/>
  <c r="CX77" i="14609"/>
  <c r="CY77" i="14609"/>
  <c r="CZ77" i="14609"/>
  <c r="DA77" i="14609"/>
  <c r="DB77" i="14609"/>
  <c r="DC77" i="14609"/>
  <c r="DD77" i="14609"/>
  <c r="DE77" i="14609"/>
  <c r="DF77" i="14609"/>
  <c r="DG77" i="14609"/>
  <c r="DH77" i="14609"/>
  <c r="DI77" i="14609"/>
  <c r="DJ77" i="14609"/>
  <c r="DK77" i="14609"/>
  <c r="DL77" i="14609"/>
  <c r="DM77" i="14609"/>
  <c r="DN77" i="14609"/>
  <c r="DO77" i="14609"/>
  <c r="DP77" i="14609"/>
  <c r="DQ77" i="14609"/>
  <c r="DR77" i="14609"/>
  <c r="DS77" i="14609"/>
  <c r="DT77" i="14609"/>
  <c r="DU77" i="14609"/>
  <c r="DV77" i="14609"/>
  <c r="DW77" i="14609"/>
  <c r="DX77" i="14609"/>
  <c r="DY77" i="14609"/>
  <c r="DZ77" i="14609"/>
  <c r="EA77" i="14609"/>
  <c r="EB77" i="14609"/>
  <c r="EC77" i="14609"/>
  <c r="ED77" i="14609"/>
  <c r="EE77" i="14609"/>
  <c r="EF77" i="14609"/>
  <c r="EG77" i="14609"/>
  <c r="EH77" i="14609"/>
  <c r="EI77" i="14609"/>
  <c r="EJ77" i="14609"/>
  <c r="EK77" i="14609"/>
  <c r="EL77" i="14609"/>
  <c r="EM77" i="14609"/>
  <c r="EN77" i="14609"/>
  <c r="EO77" i="14609"/>
  <c r="EP77" i="14609"/>
  <c r="EQ77" i="14609"/>
  <c r="ER77" i="14609"/>
  <c r="ES77" i="14609"/>
  <c r="ET77" i="14609"/>
  <c r="EU77" i="14609"/>
  <c r="EV77" i="14609"/>
  <c r="EW77" i="14609"/>
  <c r="EX77" i="14609"/>
  <c r="EY77" i="14609"/>
  <c r="EZ77" i="14609"/>
  <c r="FA77" i="14609"/>
  <c r="FB77" i="14609"/>
  <c r="FC77" i="14609"/>
  <c r="FD77" i="14609"/>
  <c r="FE77" i="14609"/>
  <c r="FF77" i="14609"/>
  <c r="FG77" i="14609"/>
  <c r="FH77" i="14609"/>
  <c r="FI77" i="14609"/>
  <c r="FJ77" i="14609"/>
  <c r="FK77" i="14609"/>
  <c r="FL77" i="14609"/>
  <c r="FM77" i="14609"/>
  <c r="FN77" i="14609"/>
  <c r="FO77" i="14609"/>
  <c r="FP77" i="14609"/>
  <c r="FQ77" i="14609"/>
  <c r="FR77" i="14609"/>
  <c r="FS77" i="14609"/>
  <c r="FT77" i="14609"/>
  <c r="FU77" i="14609"/>
  <c r="FV77" i="14609"/>
  <c r="FW77" i="14609"/>
  <c r="FX77" i="14609"/>
  <c r="FY77" i="14609"/>
  <c r="FZ77" i="14609"/>
  <c r="GA77" i="14609"/>
  <c r="GB77" i="14609"/>
  <c r="GC77" i="14609"/>
  <c r="GD77" i="14609"/>
  <c r="GE77" i="14609"/>
  <c r="GF77" i="14609"/>
  <c r="GG77" i="14609"/>
  <c r="GH77" i="14609"/>
  <c r="GI77" i="14609"/>
  <c r="GJ77" i="14609"/>
  <c r="GK77" i="14609"/>
  <c r="GL77" i="14609"/>
  <c r="GM77" i="14609"/>
  <c r="GN77" i="14609"/>
  <c r="GO77" i="14609"/>
  <c r="GP77" i="14609"/>
  <c r="GQ77" i="14609"/>
  <c r="GR77" i="14609"/>
  <c r="GS77" i="14609"/>
  <c r="GT77" i="14609"/>
  <c r="GU77" i="14609"/>
  <c r="GV77" i="14609"/>
  <c r="GW77" i="14609"/>
  <c r="GX77" i="14609"/>
  <c r="GY77" i="14609"/>
  <c r="GZ77" i="14609"/>
  <c r="HA77" i="14609"/>
  <c r="HB77" i="14609"/>
  <c r="HC77" i="14609"/>
  <c r="HD77" i="14609"/>
  <c r="HE77" i="14609"/>
  <c r="HF77" i="14609"/>
  <c r="HG77" i="14609"/>
  <c r="HH77" i="14609"/>
  <c r="HI77" i="14609"/>
  <c r="HJ77" i="14609"/>
  <c r="HK77" i="14609"/>
  <c r="HL77" i="14609"/>
  <c r="HM77" i="14609"/>
  <c r="HN77" i="14609"/>
  <c r="HO77" i="14609"/>
  <c r="HP77" i="14609"/>
  <c r="HQ77" i="14609"/>
  <c r="HR77" i="14609"/>
  <c r="HS77" i="14609"/>
  <c r="HT77" i="14609"/>
  <c r="HU77" i="14609"/>
  <c r="HV77" i="14609"/>
  <c r="HW77" i="14609"/>
  <c r="HX77" i="14609"/>
  <c r="HY77" i="14609"/>
  <c r="HZ77" i="14609"/>
  <c r="IA77" i="14609"/>
  <c r="IB77" i="14609"/>
  <c r="IC77" i="14609"/>
  <c r="ID77" i="14609"/>
  <c r="IE77" i="14609"/>
  <c r="IF77" i="14609"/>
  <c r="IG77" i="14609"/>
  <c r="IH77" i="14609"/>
  <c r="II77" i="14609"/>
  <c r="IJ77" i="14609"/>
  <c r="IK77" i="14609"/>
  <c r="IL77" i="14609"/>
  <c r="IM77" i="14609"/>
  <c r="IN77" i="14609"/>
  <c r="IO77" i="14609"/>
  <c r="IP77" i="14609"/>
  <c r="IQ77" i="14609"/>
  <c r="IR77" i="14609"/>
  <c r="IS77" i="14609"/>
  <c r="IT77" i="14609"/>
  <c r="IU77" i="14609"/>
  <c r="IV77" i="14609"/>
  <c r="A76" i="14609"/>
  <c r="B76" i="14609"/>
  <c r="C76" i="14609"/>
  <c r="D76" i="14609"/>
  <c r="E76" i="14609"/>
  <c r="F76" i="14609"/>
  <c r="G76" i="14609"/>
  <c r="H76" i="14609"/>
  <c r="I76" i="14609"/>
  <c r="J76" i="14609"/>
  <c r="K76" i="14609"/>
  <c r="L76" i="14609"/>
  <c r="M76" i="14609"/>
  <c r="N76" i="14609"/>
  <c r="O76" i="14609"/>
  <c r="P76" i="14609"/>
  <c r="Q76" i="14609"/>
  <c r="R76" i="14609"/>
  <c r="S76" i="14609"/>
  <c r="T76" i="14609"/>
  <c r="U76" i="14609"/>
  <c r="V76" i="14609"/>
  <c r="W76" i="14609"/>
  <c r="X76" i="14609"/>
  <c r="Y76" i="14609"/>
  <c r="Z76" i="14609"/>
  <c r="AA76" i="14609"/>
  <c r="AB76" i="14609"/>
  <c r="AC76" i="14609"/>
  <c r="AD76" i="14609"/>
  <c r="AE76" i="14609"/>
  <c r="AF76" i="14609"/>
  <c r="AG76" i="14609"/>
  <c r="AH76" i="14609"/>
  <c r="AI76" i="14609"/>
  <c r="AJ76" i="14609"/>
  <c r="AK76" i="14609"/>
  <c r="AL76" i="14609"/>
  <c r="AM76" i="14609"/>
  <c r="AN76" i="14609"/>
  <c r="AO76" i="14609"/>
  <c r="AP76" i="14609"/>
  <c r="AQ76" i="14609"/>
  <c r="AR76" i="14609"/>
  <c r="AS76" i="14609"/>
  <c r="AT76" i="14609"/>
  <c r="AU76" i="14609"/>
  <c r="AV76" i="14609"/>
  <c r="AW76" i="14609"/>
  <c r="AX76" i="14609"/>
  <c r="AY76" i="14609"/>
  <c r="AZ76" i="14609"/>
  <c r="BA76" i="14609"/>
  <c r="BB76" i="14609"/>
  <c r="BC76" i="14609"/>
  <c r="BD76" i="14609"/>
  <c r="BE76" i="14609"/>
  <c r="BF76" i="14609"/>
  <c r="BG76" i="14609"/>
  <c r="BH76" i="14609"/>
  <c r="BI76" i="14609"/>
  <c r="BJ76" i="14609"/>
  <c r="BK76" i="14609"/>
  <c r="BL76" i="14609"/>
  <c r="BM76" i="14609"/>
  <c r="BN76" i="14609"/>
  <c r="BO76" i="14609"/>
  <c r="BP76" i="14609"/>
  <c r="BQ76" i="14609"/>
  <c r="BR76" i="14609"/>
  <c r="BS76" i="14609"/>
  <c r="BT76" i="14609"/>
  <c r="BU76" i="14609"/>
  <c r="BV76" i="14609"/>
  <c r="BW76" i="14609"/>
  <c r="BX76" i="14609"/>
  <c r="BY76" i="14609"/>
  <c r="BZ76" i="14609"/>
  <c r="CA76" i="14609"/>
  <c r="CB76" i="14609"/>
  <c r="CC76" i="14609"/>
  <c r="CD76" i="14609"/>
  <c r="CE76" i="14609"/>
  <c r="CF76" i="14609"/>
  <c r="CG76" i="14609"/>
  <c r="CH76" i="14609"/>
  <c r="CI76" i="14609"/>
  <c r="CJ76" i="14609"/>
  <c r="CK76" i="14609"/>
  <c r="CL76" i="14609"/>
  <c r="CM76" i="14609"/>
  <c r="CN76" i="14609"/>
  <c r="CO76" i="14609"/>
  <c r="CP76" i="14609"/>
  <c r="CQ76" i="14609"/>
  <c r="CR76" i="14609"/>
  <c r="CS76" i="14609"/>
  <c r="CT76" i="14609"/>
  <c r="CU76" i="14609"/>
  <c r="CV76" i="14609"/>
  <c r="CW76" i="14609"/>
  <c r="CX76" i="14609"/>
  <c r="CY76" i="14609"/>
  <c r="CZ76" i="14609"/>
  <c r="DA76" i="14609"/>
  <c r="DB76" i="14609"/>
  <c r="DC76" i="14609"/>
  <c r="DD76" i="14609"/>
  <c r="DE76" i="14609"/>
  <c r="DF76" i="14609"/>
  <c r="DG76" i="14609"/>
  <c r="DH76" i="14609"/>
  <c r="DI76" i="14609"/>
  <c r="DJ76" i="14609"/>
  <c r="DK76" i="14609"/>
  <c r="DL76" i="14609"/>
  <c r="DM76" i="14609"/>
  <c r="DN76" i="14609"/>
  <c r="DO76" i="14609"/>
  <c r="DP76" i="14609"/>
  <c r="DQ76" i="14609"/>
  <c r="DR76" i="14609"/>
  <c r="DS76" i="14609"/>
  <c r="DT76" i="14609"/>
  <c r="DU76" i="14609"/>
  <c r="DV76" i="14609"/>
  <c r="DW76" i="14609"/>
  <c r="DX76" i="14609"/>
  <c r="DY76" i="14609"/>
  <c r="DZ76" i="14609"/>
  <c r="EA76" i="14609"/>
  <c r="EB76" i="14609"/>
  <c r="EC76" i="14609"/>
  <c r="ED76" i="14609"/>
  <c r="EE76" i="14609"/>
  <c r="EF76" i="14609"/>
  <c r="EG76" i="14609"/>
  <c r="EH76" i="14609"/>
  <c r="EI76" i="14609"/>
  <c r="EJ76" i="14609"/>
  <c r="EK76" i="14609"/>
  <c r="EL76" i="14609"/>
  <c r="EM76" i="14609"/>
  <c r="EN76" i="14609"/>
  <c r="EO76" i="14609"/>
  <c r="EP76" i="14609"/>
  <c r="EQ76" i="14609"/>
  <c r="ER76" i="14609"/>
  <c r="ES76" i="14609"/>
  <c r="ET76" i="14609"/>
  <c r="EU76" i="14609"/>
  <c r="EV76" i="14609"/>
  <c r="EW76" i="14609"/>
  <c r="EX76" i="14609"/>
  <c r="EY76" i="14609"/>
  <c r="EZ76" i="14609"/>
  <c r="FA76" i="14609"/>
  <c r="FB76" i="14609"/>
  <c r="FC76" i="14609"/>
  <c r="FD76" i="14609"/>
  <c r="FE76" i="14609"/>
  <c r="FF76" i="14609"/>
  <c r="FG76" i="14609"/>
  <c r="FH76" i="14609"/>
  <c r="FI76" i="14609"/>
  <c r="FJ76" i="14609"/>
  <c r="FK76" i="14609"/>
  <c r="FL76" i="14609"/>
  <c r="FM76" i="14609"/>
  <c r="FN76" i="14609"/>
  <c r="FO76" i="14609"/>
  <c r="FP76" i="14609"/>
  <c r="FQ76" i="14609"/>
  <c r="FR76" i="14609"/>
  <c r="FS76" i="14609"/>
  <c r="FT76" i="14609"/>
  <c r="FU76" i="14609"/>
  <c r="FV76" i="14609"/>
  <c r="FW76" i="14609"/>
  <c r="FX76" i="14609"/>
  <c r="FY76" i="14609"/>
  <c r="FZ76" i="14609"/>
  <c r="GA76" i="14609"/>
  <c r="GB76" i="14609"/>
  <c r="GC76" i="14609"/>
  <c r="GD76" i="14609"/>
  <c r="GE76" i="14609"/>
  <c r="GF76" i="14609"/>
  <c r="GG76" i="14609"/>
  <c r="GH76" i="14609"/>
  <c r="GI76" i="14609"/>
  <c r="GJ76" i="14609"/>
  <c r="GK76" i="14609"/>
  <c r="GL76" i="14609"/>
  <c r="GM76" i="14609"/>
  <c r="GN76" i="14609"/>
  <c r="GO76" i="14609"/>
  <c r="GP76" i="14609"/>
  <c r="GQ76" i="14609"/>
  <c r="GR76" i="14609"/>
  <c r="GS76" i="14609"/>
  <c r="GT76" i="14609"/>
  <c r="GU76" i="14609"/>
  <c r="GV76" i="14609"/>
  <c r="GW76" i="14609"/>
  <c r="GX76" i="14609"/>
  <c r="GY76" i="14609"/>
  <c r="GZ76" i="14609"/>
  <c r="HA76" i="14609"/>
  <c r="HB76" i="14609"/>
  <c r="HC76" i="14609"/>
  <c r="HD76" i="14609"/>
  <c r="HE76" i="14609"/>
  <c r="HF76" i="14609"/>
  <c r="HG76" i="14609"/>
  <c r="HH76" i="14609"/>
  <c r="HI76" i="14609"/>
  <c r="HJ76" i="14609"/>
  <c r="HK76" i="14609"/>
  <c r="HL76" i="14609"/>
  <c r="HM76" i="14609"/>
  <c r="HN76" i="14609"/>
  <c r="HO76" i="14609"/>
  <c r="HP76" i="14609"/>
  <c r="HQ76" i="14609"/>
  <c r="HR76" i="14609"/>
  <c r="HS76" i="14609"/>
  <c r="HT76" i="14609"/>
  <c r="HU76" i="14609"/>
  <c r="HV76" i="14609"/>
  <c r="HW76" i="14609"/>
  <c r="HX76" i="14609"/>
  <c r="HY76" i="14609"/>
  <c r="HZ76" i="14609"/>
  <c r="IA76" i="14609"/>
  <c r="IB76" i="14609"/>
  <c r="IC76" i="14609"/>
  <c r="ID76" i="14609"/>
  <c r="IE76" i="14609"/>
  <c r="IF76" i="14609"/>
  <c r="IG76" i="14609"/>
  <c r="IH76" i="14609"/>
  <c r="II76" i="14609"/>
  <c r="IJ76" i="14609"/>
  <c r="IK76" i="14609"/>
  <c r="IL76" i="14609"/>
  <c r="IM76" i="14609"/>
  <c r="IN76" i="14609"/>
  <c r="IO76" i="14609"/>
  <c r="IP76" i="14609"/>
  <c r="IQ76" i="14609"/>
  <c r="IR76" i="14609"/>
  <c r="IS76" i="14609"/>
  <c r="IT76" i="14609"/>
  <c r="IU76" i="14609"/>
  <c r="IV76" i="14609"/>
  <c r="A75" i="14609"/>
  <c r="B75" i="14609"/>
  <c r="C75" i="14609"/>
  <c r="D75" i="14609"/>
  <c r="E75" i="14609"/>
  <c r="F75" i="14609"/>
  <c r="G75" i="14609"/>
  <c r="H75" i="14609"/>
  <c r="I75" i="14609"/>
  <c r="J75" i="14609"/>
  <c r="K75" i="14609"/>
  <c r="L75" i="14609"/>
  <c r="M75" i="14609"/>
  <c r="N75" i="14609"/>
  <c r="O75" i="14609"/>
  <c r="P75" i="14609"/>
  <c r="Q75" i="14609"/>
  <c r="R75" i="14609"/>
  <c r="S75" i="14609"/>
  <c r="T75" i="14609"/>
  <c r="U75" i="14609"/>
  <c r="V75" i="14609"/>
  <c r="W75" i="14609"/>
  <c r="X75" i="14609"/>
  <c r="Y75" i="14609"/>
  <c r="Z75" i="14609"/>
  <c r="AA75" i="14609"/>
  <c r="AB75" i="14609"/>
  <c r="AC75" i="14609"/>
  <c r="AD75" i="14609"/>
  <c r="AE75" i="14609"/>
  <c r="AF75" i="14609"/>
  <c r="AG75" i="14609"/>
  <c r="AH75" i="14609"/>
  <c r="AI75" i="14609"/>
  <c r="AJ75" i="14609"/>
  <c r="AK75" i="14609"/>
  <c r="AL75" i="14609"/>
  <c r="AM75" i="14609"/>
  <c r="AN75" i="14609"/>
  <c r="AO75" i="14609"/>
  <c r="AP75" i="14609"/>
  <c r="AQ75" i="14609"/>
  <c r="AR75" i="14609"/>
  <c r="AS75" i="14609"/>
  <c r="AT75" i="14609"/>
  <c r="AU75" i="14609"/>
  <c r="AV75" i="14609"/>
  <c r="AW75" i="14609"/>
  <c r="AX75" i="14609"/>
  <c r="AY75" i="14609"/>
  <c r="AZ75" i="14609"/>
  <c r="BA75" i="14609"/>
  <c r="BB75" i="14609"/>
  <c r="BC75" i="14609"/>
  <c r="BD75" i="14609"/>
  <c r="BE75" i="14609"/>
  <c r="BF75" i="14609"/>
  <c r="BG75" i="14609"/>
  <c r="BH75" i="14609"/>
  <c r="BI75" i="14609"/>
  <c r="BJ75" i="14609"/>
  <c r="BK75" i="14609"/>
  <c r="BL75" i="14609"/>
  <c r="BM75" i="14609"/>
  <c r="BN75" i="14609"/>
  <c r="BO75" i="14609"/>
  <c r="BP75" i="14609"/>
  <c r="BQ75" i="14609"/>
  <c r="BR75" i="14609"/>
  <c r="BS75" i="14609"/>
  <c r="BT75" i="14609"/>
  <c r="BU75" i="14609"/>
  <c r="BV75" i="14609"/>
  <c r="BW75" i="14609"/>
  <c r="BX75" i="14609"/>
  <c r="BY75" i="14609"/>
  <c r="BZ75" i="14609"/>
  <c r="CA75" i="14609"/>
  <c r="CB75" i="14609"/>
  <c r="CC75" i="14609"/>
  <c r="CD75" i="14609"/>
  <c r="CE75" i="14609"/>
  <c r="CF75" i="14609"/>
  <c r="CG75" i="14609"/>
  <c r="CH75" i="14609"/>
  <c r="CI75" i="14609"/>
  <c r="CJ75" i="14609"/>
  <c r="CK75" i="14609"/>
  <c r="CL75" i="14609"/>
  <c r="CM75" i="14609"/>
  <c r="CN75" i="14609"/>
  <c r="CO75" i="14609"/>
  <c r="CP75" i="14609"/>
  <c r="CQ75" i="14609"/>
  <c r="CR75" i="14609"/>
  <c r="CS75" i="14609"/>
  <c r="CT75" i="14609"/>
  <c r="CU75" i="14609"/>
  <c r="CV75" i="14609"/>
  <c r="CW75" i="14609"/>
  <c r="CX75" i="14609"/>
  <c r="CY75" i="14609"/>
  <c r="CZ75" i="14609"/>
  <c r="DA75" i="14609"/>
  <c r="DB75" i="14609"/>
  <c r="DC75" i="14609"/>
  <c r="DD75" i="14609"/>
  <c r="DE75" i="14609"/>
  <c r="DF75" i="14609"/>
  <c r="DG75" i="14609"/>
  <c r="DH75" i="14609"/>
  <c r="DI75" i="14609"/>
  <c r="DJ75" i="14609"/>
  <c r="DK75" i="14609"/>
  <c r="DL75" i="14609"/>
  <c r="DM75" i="14609"/>
  <c r="DN75" i="14609"/>
  <c r="DO75" i="14609"/>
  <c r="DP75" i="14609"/>
  <c r="DQ75" i="14609"/>
  <c r="DR75" i="14609"/>
  <c r="DS75" i="14609"/>
  <c r="DT75" i="14609"/>
  <c r="DU75" i="14609"/>
  <c r="DV75" i="14609"/>
  <c r="DW75" i="14609"/>
  <c r="DX75" i="14609"/>
  <c r="DY75" i="14609"/>
  <c r="DZ75" i="14609"/>
  <c r="EA75" i="14609"/>
  <c r="EB75" i="14609"/>
  <c r="EC75" i="14609"/>
  <c r="ED75" i="14609"/>
  <c r="EE75" i="14609"/>
  <c r="EF75" i="14609"/>
  <c r="EG75" i="14609"/>
  <c r="EH75" i="14609"/>
  <c r="EI75" i="14609"/>
  <c r="EJ75" i="14609"/>
  <c r="EK75" i="14609"/>
  <c r="EL75" i="14609"/>
  <c r="EM75" i="14609"/>
  <c r="EN75" i="14609"/>
  <c r="EO75" i="14609"/>
  <c r="EP75" i="14609"/>
  <c r="EQ75" i="14609"/>
  <c r="ER75" i="14609"/>
  <c r="ES75" i="14609"/>
  <c r="ET75" i="14609"/>
  <c r="EU75" i="14609"/>
  <c r="EV75" i="14609"/>
  <c r="EW75" i="14609"/>
  <c r="EX75" i="14609"/>
  <c r="EY75" i="14609"/>
  <c r="EZ75" i="14609"/>
  <c r="FA75" i="14609"/>
  <c r="FB75" i="14609"/>
  <c r="FC75" i="14609"/>
  <c r="FD75" i="14609"/>
  <c r="FE75" i="14609"/>
  <c r="FF75" i="14609"/>
  <c r="FG75" i="14609"/>
  <c r="FH75" i="14609"/>
  <c r="FI75" i="14609"/>
  <c r="FJ75" i="14609"/>
  <c r="FK75" i="14609"/>
  <c r="FL75" i="14609"/>
  <c r="FM75" i="14609"/>
  <c r="FN75" i="14609"/>
  <c r="FO75" i="14609"/>
  <c r="FP75" i="14609"/>
  <c r="FQ75" i="14609"/>
  <c r="FR75" i="14609"/>
  <c r="FS75" i="14609"/>
  <c r="FT75" i="14609"/>
  <c r="FU75" i="14609"/>
  <c r="FV75" i="14609"/>
  <c r="FW75" i="14609"/>
  <c r="FX75" i="14609"/>
  <c r="FY75" i="14609"/>
  <c r="FZ75" i="14609"/>
  <c r="GA75" i="14609"/>
  <c r="GB75" i="14609"/>
  <c r="GC75" i="14609"/>
  <c r="GD75" i="14609"/>
  <c r="GE75" i="14609"/>
  <c r="GF75" i="14609"/>
  <c r="GG75" i="14609"/>
  <c r="GH75" i="14609"/>
  <c r="GI75" i="14609"/>
  <c r="GJ75" i="14609"/>
  <c r="GK75" i="14609"/>
  <c r="GL75" i="14609"/>
  <c r="GM75" i="14609"/>
  <c r="GN75" i="14609"/>
  <c r="GO75" i="14609"/>
  <c r="GP75" i="14609"/>
  <c r="GQ75" i="14609"/>
  <c r="GR75" i="14609"/>
  <c r="GS75" i="14609"/>
  <c r="GT75" i="14609"/>
  <c r="GU75" i="14609"/>
  <c r="GV75" i="14609"/>
  <c r="GW75" i="14609"/>
  <c r="GX75" i="14609"/>
  <c r="GY75" i="14609"/>
  <c r="GZ75" i="14609"/>
  <c r="HA75" i="14609"/>
  <c r="HB75" i="14609"/>
  <c r="HC75" i="14609"/>
  <c r="HD75" i="14609"/>
  <c r="HE75" i="14609"/>
  <c r="HF75" i="14609"/>
  <c r="HG75" i="14609"/>
  <c r="HH75" i="14609"/>
  <c r="HI75" i="14609"/>
  <c r="HJ75" i="14609"/>
  <c r="HK75" i="14609"/>
  <c r="HL75" i="14609"/>
  <c r="HM75" i="14609"/>
  <c r="HN75" i="14609"/>
  <c r="HO75" i="14609"/>
  <c r="HP75" i="14609"/>
  <c r="HQ75" i="14609"/>
  <c r="HR75" i="14609"/>
  <c r="HS75" i="14609"/>
  <c r="HT75" i="14609"/>
  <c r="HU75" i="14609"/>
  <c r="HV75" i="14609"/>
  <c r="HW75" i="14609"/>
  <c r="HX75" i="14609"/>
  <c r="HY75" i="14609"/>
  <c r="HZ75" i="14609"/>
  <c r="IA75" i="14609"/>
  <c r="IB75" i="14609"/>
  <c r="IC75" i="14609"/>
  <c r="ID75" i="14609"/>
  <c r="IE75" i="14609"/>
  <c r="IF75" i="14609"/>
  <c r="IG75" i="14609"/>
  <c r="IH75" i="14609"/>
  <c r="II75" i="14609"/>
  <c r="IJ75" i="14609"/>
  <c r="IK75" i="14609"/>
  <c r="IL75" i="14609"/>
  <c r="IM75" i="14609"/>
  <c r="IN75" i="14609"/>
  <c r="IO75" i="14609"/>
  <c r="IP75" i="14609"/>
  <c r="IQ75" i="14609"/>
  <c r="IR75" i="14609"/>
  <c r="IS75" i="14609"/>
  <c r="IT75" i="14609"/>
  <c r="IU75" i="14609"/>
  <c r="IV75" i="14609"/>
  <c r="A74" i="14609"/>
  <c r="B74" i="14609"/>
  <c r="C74" i="14609"/>
  <c r="D74" i="14609"/>
  <c r="E74" i="14609"/>
  <c r="F74" i="14609"/>
  <c r="G74" i="14609"/>
  <c r="H74" i="14609"/>
  <c r="I74" i="14609"/>
  <c r="J74" i="14609"/>
  <c r="K74" i="14609"/>
  <c r="L74" i="14609"/>
  <c r="M74" i="14609"/>
  <c r="N74" i="14609"/>
  <c r="O74" i="14609"/>
  <c r="P74" i="14609"/>
  <c r="Q74" i="14609"/>
  <c r="R74" i="14609"/>
  <c r="S74" i="14609"/>
  <c r="T74" i="14609"/>
  <c r="U74" i="14609"/>
  <c r="V74" i="14609"/>
  <c r="W74" i="14609"/>
  <c r="X74" i="14609"/>
  <c r="Y74" i="14609"/>
  <c r="Z74" i="14609"/>
  <c r="AA74" i="14609"/>
  <c r="AB74" i="14609"/>
  <c r="AC74" i="14609"/>
  <c r="AD74" i="14609"/>
  <c r="AE74" i="14609"/>
  <c r="AF74" i="14609"/>
  <c r="AG74" i="14609"/>
  <c r="AH74" i="14609"/>
  <c r="AI74" i="14609"/>
  <c r="AJ74" i="14609"/>
  <c r="AK74" i="14609"/>
  <c r="AL74" i="14609"/>
  <c r="AM74" i="14609"/>
  <c r="AN74" i="14609"/>
  <c r="AO74" i="14609"/>
  <c r="AP74" i="14609"/>
  <c r="AQ74" i="14609"/>
  <c r="AR74" i="14609"/>
  <c r="AS74" i="14609"/>
  <c r="AT74" i="14609"/>
  <c r="AU74" i="14609"/>
  <c r="AV74" i="14609"/>
  <c r="AW74" i="14609"/>
  <c r="AX74" i="14609"/>
  <c r="AY74" i="14609"/>
  <c r="AZ74" i="14609"/>
  <c r="BA74" i="14609"/>
  <c r="BB74" i="14609"/>
  <c r="BC74" i="14609"/>
  <c r="BD74" i="14609"/>
  <c r="BE74" i="14609"/>
  <c r="BF74" i="14609"/>
  <c r="BG74" i="14609"/>
  <c r="BH74" i="14609"/>
  <c r="BI74" i="14609"/>
  <c r="BJ74" i="14609"/>
  <c r="BK74" i="14609"/>
  <c r="BL74" i="14609"/>
  <c r="BM74" i="14609"/>
  <c r="BN74" i="14609"/>
  <c r="BO74" i="14609"/>
  <c r="BP74" i="14609"/>
  <c r="BQ74" i="14609"/>
  <c r="BR74" i="14609"/>
  <c r="BS74" i="14609"/>
  <c r="BT74" i="14609"/>
  <c r="BU74" i="14609"/>
  <c r="BV74" i="14609"/>
  <c r="BW74" i="14609"/>
  <c r="BX74" i="14609"/>
  <c r="BY74" i="14609"/>
  <c r="BZ74" i="14609"/>
  <c r="CA74" i="14609"/>
  <c r="CB74" i="14609"/>
  <c r="CC74" i="14609"/>
  <c r="CD74" i="14609"/>
  <c r="CE74" i="14609"/>
  <c r="CF74" i="14609"/>
  <c r="CG74" i="14609"/>
  <c r="CH74" i="14609"/>
  <c r="CI74" i="14609"/>
  <c r="CJ74" i="14609"/>
  <c r="CK74" i="14609"/>
  <c r="CL74" i="14609"/>
  <c r="CM74" i="14609"/>
  <c r="CN74" i="14609"/>
  <c r="CO74" i="14609"/>
  <c r="CP74" i="14609"/>
  <c r="CQ74" i="14609"/>
  <c r="CR74" i="14609"/>
  <c r="CS74" i="14609"/>
  <c r="CT74" i="14609"/>
  <c r="CU74" i="14609"/>
  <c r="CV74" i="14609"/>
  <c r="CW74" i="14609"/>
  <c r="CX74" i="14609"/>
  <c r="CY74" i="14609"/>
  <c r="CZ74" i="14609"/>
  <c r="DA74" i="14609"/>
  <c r="DB74" i="14609"/>
  <c r="DC74" i="14609"/>
  <c r="DD74" i="14609"/>
  <c r="DE74" i="14609"/>
  <c r="DF74" i="14609"/>
  <c r="DG74" i="14609"/>
  <c r="DH74" i="14609"/>
  <c r="DI74" i="14609"/>
  <c r="DJ74" i="14609"/>
  <c r="DK74" i="14609"/>
  <c r="DL74" i="14609"/>
  <c r="DM74" i="14609"/>
  <c r="DN74" i="14609"/>
  <c r="DO74" i="14609"/>
  <c r="DP74" i="14609"/>
  <c r="DQ74" i="14609"/>
  <c r="DR74" i="14609"/>
  <c r="DS74" i="14609"/>
  <c r="DT74" i="14609"/>
  <c r="DU74" i="14609"/>
  <c r="DV74" i="14609"/>
  <c r="DW74" i="14609"/>
  <c r="DX74" i="14609"/>
  <c r="DY74" i="14609"/>
  <c r="DZ74" i="14609"/>
  <c r="EA74" i="14609"/>
  <c r="EB74" i="14609"/>
  <c r="EC74" i="14609"/>
  <c r="ED74" i="14609"/>
  <c r="EE74" i="14609"/>
  <c r="EF74" i="14609"/>
  <c r="EG74" i="14609"/>
  <c r="EH74" i="14609"/>
  <c r="EI74" i="14609"/>
  <c r="EJ74" i="14609"/>
  <c r="EK74" i="14609"/>
  <c r="EL74" i="14609"/>
  <c r="EM74" i="14609"/>
  <c r="EN74" i="14609"/>
  <c r="EO74" i="14609"/>
  <c r="EP74" i="14609"/>
  <c r="EQ74" i="14609"/>
  <c r="ER74" i="14609"/>
  <c r="ES74" i="14609"/>
  <c r="ET74" i="14609"/>
  <c r="EU74" i="14609"/>
  <c r="EV74" i="14609"/>
  <c r="EW74" i="14609"/>
  <c r="EX74" i="14609"/>
  <c r="EY74" i="14609"/>
  <c r="EZ74" i="14609"/>
  <c r="FA74" i="14609"/>
  <c r="FB74" i="14609"/>
  <c r="FC74" i="14609"/>
  <c r="FD74" i="14609"/>
  <c r="FE74" i="14609"/>
  <c r="FF74" i="14609"/>
  <c r="FG74" i="14609"/>
  <c r="FH74" i="14609"/>
  <c r="FI74" i="14609"/>
  <c r="FJ74" i="14609"/>
  <c r="FK74" i="14609"/>
  <c r="FL74" i="14609"/>
  <c r="FM74" i="14609"/>
  <c r="FN74" i="14609"/>
  <c r="FO74" i="14609"/>
  <c r="FP74" i="14609"/>
  <c r="FQ74" i="14609"/>
  <c r="FR74" i="14609"/>
  <c r="FS74" i="14609"/>
  <c r="FT74" i="14609"/>
  <c r="FU74" i="14609"/>
  <c r="FV74" i="14609"/>
  <c r="FW74" i="14609"/>
  <c r="FX74" i="14609"/>
  <c r="FY74" i="14609"/>
  <c r="FZ74" i="14609"/>
  <c r="GA74" i="14609"/>
  <c r="GB74" i="14609"/>
  <c r="GC74" i="14609"/>
  <c r="GD74" i="14609"/>
  <c r="GE74" i="14609"/>
  <c r="GF74" i="14609"/>
  <c r="GG74" i="14609"/>
  <c r="GH74" i="14609"/>
  <c r="GI74" i="14609"/>
  <c r="GJ74" i="14609"/>
  <c r="GK74" i="14609"/>
  <c r="GL74" i="14609"/>
  <c r="GM74" i="14609"/>
  <c r="GN74" i="14609"/>
  <c r="GO74" i="14609"/>
  <c r="GP74" i="14609"/>
  <c r="GQ74" i="14609"/>
  <c r="GR74" i="14609"/>
  <c r="GS74" i="14609"/>
  <c r="GT74" i="14609"/>
  <c r="GU74" i="14609"/>
  <c r="GV74" i="14609"/>
  <c r="GW74" i="14609"/>
  <c r="GX74" i="14609"/>
  <c r="GY74" i="14609"/>
  <c r="GZ74" i="14609"/>
  <c r="HA74" i="14609"/>
  <c r="HB74" i="14609"/>
  <c r="HC74" i="14609"/>
  <c r="HD74" i="14609"/>
  <c r="HE74" i="14609"/>
  <c r="HF74" i="14609"/>
  <c r="HG74" i="14609"/>
  <c r="HH74" i="14609"/>
  <c r="HI74" i="14609"/>
  <c r="HJ74" i="14609"/>
  <c r="HK74" i="14609"/>
  <c r="HL74" i="14609"/>
  <c r="HM74" i="14609"/>
  <c r="HN74" i="14609"/>
  <c r="HO74" i="14609"/>
  <c r="HP74" i="14609"/>
  <c r="HQ74" i="14609"/>
  <c r="HR74" i="14609"/>
  <c r="HS74" i="14609"/>
  <c r="HT74" i="14609"/>
  <c r="HU74" i="14609"/>
  <c r="HV74" i="14609"/>
  <c r="HW74" i="14609"/>
  <c r="HX74" i="14609"/>
  <c r="HY74" i="14609"/>
  <c r="HZ74" i="14609"/>
  <c r="IA74" i="14609"/>
  <c r="IB74" i="14609"/>
  <c r="IC74" i="14609"/>
  <c r="ID74" i="14609"/>
  <c r="IE74" i="14609"/>
  <c r="IF74" i="14609"/>
  <c r="IG74" i="14609"/>
  <c r="IH74" i="14609"/>
  <c r="II74" i="14609"/>
  <c r="IJ74" i="14609"/>
  <c r="IK74" i="14609"/>
  <c r="IL74" i="14609"/>
  <c r="IM74" i="14609"/>
  <c r="IN74" i="14609"/>
  <c r="IO74" i="14609"/>
  <c r="IP74" i="14609"/>
  <c r="IQ74" i="14609"/>
  <c r="IR74" i="14609"/>
  <c r="IS74" i="14609"/>
  <c r="IT74" i="14609"/>
  <c r="IU74" i="14609"/>
  <c r="IV74" i="14609"/>
  <c r="A73" i="14609"/>
  <c r="B73" i="14609"/>
  <c r="C73" i="14609"/>
  <c r="D73" i="14609"/>
  <c r="E73" i="14609"/>
  <c r="F73" i="14609"/>
  <c r="G73" i="14609"/>
  <c r="H73" i="14609"/>
  <c r="I73" i="14609"/>
  <c r="J73" i="14609"/>
  <c r="K73" i="14609"/>
  <c r="L73" i="14609"/>
  <c r="M73" i="14609"/>
  <c r="N73" i="14609"/>
  <c r="O73" i="14609"/>
  <c r="P73" i="14609"/>
  <c r="Q73" i="14609"/>
  <c r="R73" i="14609"/>
  <c r="S73" i="14609"/>
  <c r="T73" i="14609"/>
  <c r="U73" i="14609"/>
  <c r="V73" i="14609"/>
  <c r="W73" i="14609"/>
  <c r="X73" i="14609"/>
  <c r="Y73" i="14609"/>
  <c r="Z73" i="14609"/>
  <c r="AA73" i="14609"/>
  <c r="AB73" i="14609"/>
  <c r="AC73" i="14609"/>
  <c r="AD73" i="14609"/>
  <c r="AE73" i="14609"/>
  <c r="AF73" i="14609"/>
  <c r="AG73" i="14609"/>
  <c r="AH73" i="14609"/>
  <c r="AI73" i="14609"/>
  <c r="AJ73" i="14609"/>
  <c r="AK73" i="14609"/>
  <c r="AL73" i="14609"/>
  <c r="AM73" i="14609"/>
  <c r="AN73" i="14609"/>
  <c r="AO73" i="14609"/>
  <c r="AP73" i="14609"/>
  <c r="AQ73" i="14609"/>
  <c r="AR73" i="14609"/>
  <c r="AS73" i="14609"/>
  <c r="AT73" i="14609"/>
  <c r="AU73" i="14609"/>
  <c r="AV73" i="14609"/>
  <c r="AW73" i="14609"/>
  <c r="AX73" i="14609"/>
  <c r="AY73" i="14609"/>
  <c r="AZ73" i="14609"/>
  <c r="BA73" i="14609"/>
  <c r="BB73" i="14609"/>
  <c r="BC73" i="14609"/>
  <c r="BD73" i="14609"/>
  <c r="BE73" i="14609"/>
  <c r="BF73" i="14609"/>
  <c r="BG73" i="14609"/>
  <c r="BH73" i="14609"/>
  <c r="BI73" i="14609"/>
  <c r="BJ73" i="14609"/>
  <c r="BK73" i="14609"/>
  <c r="BL73" i="14609"/>
  <c r="BM73" i="14609"/>
  <c r="BN73" i="14609"/>
  <c r="BO73" i="14609"/>
  <c r="BP73" i="14609"/>
  <c r="BQ73" i="14609"/>
  <c r="BR73" i="14609"/>
  <c r="BS73" i="14609"/>
  <c r="BT73" i="14609"/>
  <c r="BU73" i="14609"/>
  <c r="BV73" i="14609"/>
  <c r="BW73" i="14609"/>
  <c r="BX73" i="14609"/>
  <c r="BY73" i="14609"/>
  <c r="BZ73" i="14609"/>
  <c r="CA73" i="14609"/>
  <c r="CB73" i="14609"/>
  <c r="CC73" i="14609"/>
  <c r="CD73" i="14609"/>
  <c r="CE73" i="14609"/>
  <c r="CF73" i="14609"/>
  <c r="CG73" i="14609"/>
  <c r="CH73" i="14609"/>
  <c r="CI73" i="14609"/>
  <c r="CJ73" i="14609"/>
  <c r="CK73" i="14609"/>
  <c r="CL73" i="14609"/>
  <c r="CM73" i="14609"/>
  <c r="CN73" i="14609"/>
  <c r="CO73" i="14609"/>
  <c r="CP73" i="14609"/>
  <c r="CQ73" i="14609"/>
  <c r="CR73" i="14609"/>
  <c r="CS73" i="14609"/>
  <c r="CT73" i="14609"/>
  <c r="CU73" i="14609"/>
  <c r="CV73" i="14609"/>
  <c r="CW73" i="14609"/>
  <c r="CX73" i="14609"/>
  <c r="CY73" i="14609"/>
  <c r="CZ73" i="14609"/>
  <c r="DA73" i="14609"/>
  <c r="DB73" i="14609"/>
  <c r="DC73" i="14609"/>
  <c r="DD73" i="14609"/>
  <c r="DE73" i="14609"/>
  <c r="DF73" i="14609"/>
  <c r="DG73" i="14609"/>
  <c r="DH73" i="14609"/>
  <c r="DI73" i="14609"/>
  <c r="DJ73" i="14609"/>
  <c r="DK73" i="14609"/>
  <c r="DL73" i="14609"/>
  <c r="DM73" i="14609"/>
  <c r="DN73" i="14609"/>
  <c r="DO73" i="14609"/>
  <c r="DP73" i="14609"/>
  <c r="DQ73" i="14609"/>
  <c r="DR73" i="14609"/>
  <c r="DS73" i="14609"/>
  <c r="DT73" i="14609"/>
  <c r="DU73" i="14609"/>
  <c r="DV73" i="14609"/>
  <c r="DW73" i="14609"/>
  <c r="DX73" i="14609"/>
  <c r="DY73" i="14609"/>
  <c r="DZ73" i="14609"/>
  <c r="EA73" i="14609"/>
  <c r="EB73" i="14609"/>
  <c r="EC73" i="14609"/>
  <c r="ED73" i="14609"/>
  <c r="EE73" i="14609"/>
  <c r="EF73" i="14609"/>
  <c r="EG73" i="14609"/>
  <c r="EH73" i="14609"/>
  <c r="EI73" i="14609"/>
  <c r="EJ73" i="14609"/>
  <c r="EK73" i="14609"/>
  <c r="EL73" i="14609"/>
  <c r="EM73" i="14609"/>
  <c r="EN73" i="14609"/>
  <c r="EO73" i="14609"/>
  <c r="EP73" i="14609"/>
  <c r="EQ73" i="14609"/>
  <c r="ER73" i="14609"/>
  <c r="ES73" i="14609"/>
  <c r="ET73" i="14609"/>
  <c r="EU73" i="14609"/>
  <c r="EV73" i="14609"/>
  <c r="EW73" i="14609"/>
  <c r="EX73" i="14609"/>
  <c r="EY73" i="14609"/>
  <c r="EZ73" i="14609"/>
  <c r="FA73" i="14609"/>
  <c r="FB73" i="14609"/>
  <c r="FC73" i="14609"/>
  <c r="FD73" i="14609"/>
  <c r="FE73" i="14609"/>
  <c r="FF73" i="14609"/>
  <c r="FG73" i="14609"/>
  <c r="FH73" i="14609"/>
  <c r="FI73" i="14609"/>
  <c r="FJ73" i="14609"/>
  <c r="FK73" i="14609"/>
  <c r="FL73" i="14609"/>
  <c r="FM73" i="14609"/>
  <c r="FN73" i="14609"/>
  <c r="FO73" i="14609"/>
  <c r="FP73" i="14609"/>
  <c r="FQ73" i="14609"/>
  <c r="FR73" i="14609"/>
  <c r="FS73" i="14609"/>
  <c r="FT73" i="14609"/>
  <c r="FU73" i="14609"/>
  <c r="FV73" i="14609"/>
  <c r="FW73" i="14609"/>
  <c r="FX73" i="14609"/>
  <c r="FY73" i="14609"/>
  <c r="FZ73" i="14609"/>
  <c r="GA73" i="14609"/>
  <c r="GB73" i="14609"/>
  <c r="GC73" i="14609"/>
  <c r="GD73" i="14609"/>
  <c r="GE73" i="14609"/>
  <c r="GF73" i="14609"/>
  <c r="GG73" i="14609"/>
  <c r="GH73" i="14609"/>
  <c r="GI73" i="14609"/>
  <c r="GJ73" i="14609"/>
  <c r="GK73" i="14609"/>
  <c r="GL73" i="14609"/>
  <c r="GM73" i="14609"/>
  <c r="GN73" i="14609"/>
  <c r="GO73" i="14609"/>
  <c r="GP73" i="14609"/>
  <c r="GQ73" i="14609"/>
  <c r="GR73" i="14609"/>
  <c r="GS73" i="14609"/>
  <c r="GT73" i="14609"/>
  <c r="GU73" i="14609"/>
  <c r="GV73" i="14609"/>
  <c r="GW73" i="14609"/>
  <c r="GX73" i="14609"/>
  <c r="GY73" i="14609"/>
  <c r="GZ73" i="14609"/>
  <c r="HA73" i="14609"/>
  <c r="HB73" i="14609"/>
  <c r="HC73" i="14609"/>
  <c r="HD73" i="14609"/>
  <c r="HE73" i="14609"/>
  <c r="HF73" i="14609"/>
  <c r="HG73" i="14609"/>
  <c r="HH73" i="14609"/>
  <c r="HI73" i="14609"/>
  <c r="HJ73" i="14609"/>
  <c r="HK73" i="14609"/>
  <c r="HL73" i="14609"/>
  <c r="HM73" i="14609"/>
  <c r="HN73" i="14609"/>
  <c r="HO73" i="14609"/>
  <c r="HP73" i="14609"/>
  <c r="HQ73" i="14609"/>
  <c r="HR73" i="14609"/>
  <c r="HS73" i="14609"/>
  <c r="HT73" i="14609"/>
  <c r="HU73" i="14609"/>
  <c r="HV73" i="14609"/>
  <c r="HW73" i="14609"/>
  <c r="HX73" i="14609"/>
  <c r="HY73" i="14609"/>
  <c r="HZ73" i="14609"/>
  <c r="IA73" i="14609"/>
  <c r="IB73" i="14609"/>
  <c r="IC73" i="14609"/>
  <c r="ID73" i="14609"/>
  <c r="IE73" i="14609"/>
  <c r="IF73" i="14609"/>
  <c r="IG73" i="14609"/>
  <c r="IH73" i="14609"/>
  <c r="II73" i="14609"/>
  <c r="IJ73" i="14609"/>
  <c r="IK73" i="14609"/>
  <c r="IL73" i="14609"/>
  <c r="IM73" i="14609"/>
  <c r="IN73" i="14609"/>
  <c r="IO73" i="14609"/>
  <c r="IP73" i="14609"/>
  <c r="IQ73" i="14609"/>
  <c r="IR73" i="14609"/>
  <c r="IS73" i="14609"/>
  <c r="IT73" i="14609"/>
  <c r="IU73" i="14609"/>
  <c r="IV73" i="14609"/>
  <c r="A72" i="14609"/>
  <c r="B72" i="14609"/>
  <c r="C72" i="14609"/>
  <c r="D72" i="14609"/>
  <c r="E72" i="14609"/>
  <c r="F72" i="14609"/>
  <c r="G72" i="14609"/>
  <c r="H72" i="14609"/>
  <c r="I72" i="14609"/>
  <c r="J72" i="14609"/>
  <c r="K72" i="14609"/>
  <c r="L72" i="14609"/>
  <c r="M72" i="14609"/>
  <c r="N72" i="14609"/>
  <c r="O72" i="14609"/>
  <c r="P72" i="14609"/>
  <c r="Q72" i="14609"/>
  <c r="R72" i="14609"/>
  <c r="S72" i="14609"/>
  <c r="T72" i="14609"/>
  <c r="U72" i="14609"/>
  <c r="V72" i="14609"/>
  <c r="W72" i="14609"/>
  <c r="X72" i="14609"/>
  <c r="Y72" i="14609"/>
  <c r="Z72" i="14609"/>
  <c r="AA72" i="14609"/>
  <c r="AB72" i="14609"/>
  <c r="AC72" i="14609"/>
  <c r="AD72" i="14609"/>
  <c r="AE72" i="14609"/>
  <c r="AF72" i="14609"/>
  <c r="AG72" i="14609"/>
  <c r="AH72" i="14609"/>
  <c r="AI72" i="14609"/>
  <c r="AJ72" i="14609"/>
  <c r="AK72" i="14609"/>
  <c r="AL72" i="14609"/>
  <c r="AM72" i="14609"/>
  <c r="AN72" i="14609"/>
  <c r="AO72" i="14609"/>
  <c r="AP72" i="14609"/>
  <c r="AQ72" i="14609"/>
  <c r="AR72" i="14609"/>
  <c r="AS72" i="14609"/>
  <c r="AT72" i="14609"/>
  <c r="AU72" i="14609"/>
  <c r="AV72" i="14609"/>
  <c r="AW72" i="14609"/>
  <c r="AX72" i="14609"/>
  <c r="AY72" i="14609"/>
  <c r="AZ72" i="14609"/>
  <c r="BA72" i="14609"/>
  <c r="BB72" i="14609"/>
  <c r="BC72" i="14609"/>
  <c r="BD72" i="14609"/>
  <c r="BE72" i="14609"/>
  <c r="BF72" i="14609"/>
  <c r="BG72" i="14609"/>
  <c r="BH72" i="14609"/>
  <c r="BI72" i="14609"/>
  <c r="BJ72" i="14609"/>
  <c r="BK72" i="14609"/>
  <c r="BL72" i="14609"/>
  <c r="BM72" i="14609"/>
  <c r="BN72" i="14609"/>
  <c r="BO72" i="14609"/>
  <c r="BP72" i="14609"/>
  <c r="BQ72" i="14609"/>
  <c r="BR72" i="14609"/>
  <c r="BS72" i="14609"/>
  <c r="BT72" i="14609"/>
  <c r="BU72" i="14609"/>
  <c r="BV72" i="14609"/>
  <c r="BW72" i="14609"/>
  <c r="BX72" i="14609"/>
  <c r="BY72" i="14609"/>
  <c r="BZ72" i="14609"/>
  <c r="CA72" i="14609"/>
  <c r="CB72" i="14609"/>
  <c r="CC72" i="14609"/>
  <c r="CD72" i="14609"/>
  <c r="CE72" i="14609"/>
  <c r="CF72" i="14609"/>
  <c r="CG72" i="14609"/>
  <c r="CH72" i="14609"/>
  <c r="CI72" i="14609"/>
  <c r="CJ72" i="14609"/>
  <c r="CK72" i="14609"/>
  <c r="CL72" i="14609"/>
  <c r="CM72" i="14609"/>
  <c r="CN72" i="14609"/>
  <c r="CO72" i="14609"/>
  <c r="CP72" i="14609"/>
  <c r="CQ72" i="14609"/>
  <c r="CR72" i="14609"/>
  <c r="CS72" i="14609"/>
  <c r="CT72" i="14609"/>
  <c r="CU72" i="14609"/>
  <c r="CV72" i="14609"/>
  <c r="CW72" i="14609"/>
  <c r="CX72" i="14609"/>
  <c r="CY72" i="14609"/>
  <c r="CZ72" i="14609"/>
  <c r="DA72" i="14609"/>
  <c r="DB72" i="14609"/>
  <c r="DC72" i="14609"/>
  <c r="DD72" i="14609"/>
  <c r="DE72" i="14609"/>
  <c r="DF72" i="14609"/>
  <c r="DG72" i="14609"/>
  <c r="DH72" i="14609"/>
  <c r="DI72" i="14609"/>
  <c r="DJ72" i="14609"/>
  <c r="DK72" i="14609"/>
  <c r="DL72" i="14609"/>
  <c r="DM72" i="14609"/>
  <c r="DN72" i="14609"/>
  <c r="DO72" i="14609"/>
  <c r="DP72" i="14609"/>
  <c r="DQ72" i="14609"/>
  <c r="DR72" i="14609"/>
  <c r="DS72" i="14609"/>
  <c r="DT72" i="14609"/>
  <c r="DU72" i="14609"/>
  <c r="DV72" i="14609"/>
  <c r="DW72" i="14609"/>
  <c r="DX72" i="14609"/>
  <c r="DY72" i="14609"/>
  <c r="DZ72" i="14609"/>
  <c r="EA72" i="14609"/>
  <c r="EB72" i="14609"/>
  <c r="EC72" i="14609"/>
  <c r="ED72" i="14609"/>
  <c r="EE72" i="14609"/>
  <c r="EF72" i="14609"/>
  <c r="EG72" i="14609"/>
  <c r="EH72" i="14609"/>
  <c r="EI72" i="14609"/>
  <c r="EJ72" i="14609"/>
  <c r="EK72" i="14609"/>
  <c r="EL72" i="14609"/>
  <c r="EM72" i="14609"/>
  <c r="EN72" i="14609"/>
  <c r="EO72" i="14609"/>
  <c r="EP72" i="14609"/>
  <c r="EQ72" i="14609"/>
  <c r="ER72" i="14609"/>
  <c r="ES72" i="14609"/>
  <c r="ET72" i="14609"/>
  <c r="EU72" i="14609"/>
  <c r="EV72" i="14609"/>
  <c r="EW72" i="14609"/>
  <c r="EX72" i="14609"/>
  <c r="EY72" i="14609"/>
  <c r="EZ72" i="14609"/>
  <c r="FA72" i="14609"/>
  <c r="FB72" i="14609"/>
  <c r="FC72" i="14609"/>
  <c r="FD72" i="14609"/>
  <c r="FE72" i="14609"/>
  <c r="FF72" i="14609"/>
  <c r="FG72" i="14609"/>
  <c r="FH72" i="14609"/>
  <c r="FI72" i="14609"/>
  <c r="FJ72" i="14609"/>
  <c r="FK72" i="14609"/>
  <c r="FL72" i="14609"/>
  <c r="FM72" i="14609"/>
  <c r="FN72" i="14609"/>
  <c r="FO72" i="14609"/>
  <c r="FP72" i="14609"/>
  <c r="FQ72" i="14609"/>
  <c r="FR72" i="14609"/>
  <c r="FS72" i="14609"/>
  <c r="FT72" i="14609"/>
  <c r="FU72" i="14609"/>
  <c r="FV72" i="14609"/>
  <c r="FW72" i="14609"/>
  <c r="FX72" i="14609"/>
  <c r="FY72" i="14609"/>
  <c r="FZ72" i="14609"/>
  <c r="GA72" i="14609"/>
  <c r="GB72" i="14609"/>
  <c r="GC72" i="14609"/>
  <c r="GD72" i="14609"/>
  <c r="GE72" i="14609"/>
  <c r="GF72" i="14609"/>
  <c r="GG72" i="14609"/>
  <c r="GH72" i="14609"/>
  <c r="GI72" i="14609"/>
  <c r="GJ72" i="14609"/>
  <c r="GK72" i="14609"/>
  <c r="GL72" i="14609"/>
  <c r="GM72" i="14609"/>
  <c r="GN72" i="14609"/>
  <c r="GO72" i="14609"/>
  <c r="GP72" i="14609"/>
  <c r="GQ72" i="14609"/>
  <c r="GR72" i="14609"/>
  <c r="GS72" i="14609"/>
  <c r="GT72" i="14609"/>
  <c r="GU72" i="14609"/>
  <c r="GV72" i="14609"/>
  <c r="GW72" i="14609"/>
  <c r="GX72" i="14609"/>
  <c r="GY72" i="14609"/>
  <c r="GZ72" i="14609"/>
  <c r="HA72" i="14609"/>
  <c r="HB72" i="14609"/>
  <c r="HC72" i="14609"/>
  <c r="HD72" i="14609"/>
  <c r="HE72" i="14609"/>
  <c r="HF72" i="14609"/>
  <c r="HG72" i="14609"/>
  <c r="HH72" i="14609"/>
  <c r="HI72" i="14609"/>
  <c r="HJ72" i="14609"/>
  <c r="HK72" i="14609"/>
  <c r="HL72" i="14609"/>
  <c r="HM72" i="14609"/>
  <c r="HN72" i="14609"/>
  <c r="HO72" i="14609"/>
  <c r="HP72" i="14609"/>
  <c r="HQ72" i="14609"/>
  <c r="HR72" i="14609"/>
  <c r="HS72" i="14609"/>
  <c r="HT72" i="14609"/>
  <c r="HU72" i="14609"/>
  <c r="HV72" i="14609"/>
  <c r="HW72" i="14609"/>
  <c r="HX72" i="14609"/>
  <c r="HY72" i="14609"/>
  <c r="HZ72" i="14609"/>
  <c r="IA72" i="14609"/>
  <c r="IB72" i="14609"/>
  <c r="IC72" i="14609"/>
  <c r="ID72" i="14609"/>
  <c r="IE72" i="14609"/>
  <c r="IF72" i="14609"/>
  <c r="IG72" i="14609"/>
  <c r="IH72" i="14609"/>
  <c r="II72" i="14609"/>
  <c r="IJ72" i="14609"/>
  <c r="IK72" i="14609"/>
  <c r="IL72" i="14609"/>
  <c r="IM72" i="14609"/>
  <c r="IN72" i="14609"/>
  <c r="IO72" i="14609"/>
  <c r="IP72" i="14609"/>
  <c r="IQ72" i="14609"/>
  <c r="IR72" i="14609"/>
  <c r="IS72" i="14609"/>
  <c r="IT72" i="14609"/>
  <c r="IU72" i="14609"/>
  <c r="IV72" i="14609"/>
  <c r="A71" i="14609"/>
  <c r="B71" i="14609"/>
  <c r="C71" i="14609"/>
  <c r="D71" i="14609"/>
  <c r="E71" i="14609"/>
  <c r="F71" i="14609"/>
  <c r="G71" i="14609"/>
  <c r="H71" i="14609"/>
  <c r="I71" i="14609"/>
  <c r="J71" i="14609"/>
  <c r="K71" i="14609"/>
  <c r="L71" i="14609"/>
  <c r="M71" i="14609"/>
  <c r="N71" i="14609"/>
  <c r="O71" i="14609"/>
  <c r="P71" i="14609"/>
  <c r="Q71" i="14609"/>
  <c r="R71" i="14609"/>
  <c r="S71" i="14609"/>
  <c r="T71" i="14609"/>
  <c r="U71" i="14609"/>
  <c r="V71" i="14609"/>
  <c r="W71" i="14609"/>
  <c r="X71" i="14609"/>
  <c r="Y71" i="14609"/>
  <c r="Z71" i="14609"/>
  <c r="AA71" i="14609"/>
  <c r="AB71" i="14609"/>
  <c r="AC71" i="14609"/>
  <c r="AD71" i="14609"/>
  <c r="AE71" i="14609"/>
  <c r="AF71" i="14609"/>
  <c r="AG71" i="14609"/>
  <c r="AH71" i="14609"/>
  <c r="AI71" i="14609"/>
  <c r="AJ71" i="14609"/>
  <c r="AK71" i="14609"/>
  <c r="AL71" i="14609"/>
  <c r="AM71" i="14609"/>
  <c r="AN71" i="14609"/>
  <c r="AO71" i="14609"/>
  <c r="AP71" i="14609"/>
  <c r="AQ71" i="14609"/>
  <c r="AR71" i="14609"/>
  <c r="AS71" i="14609"/>
  <c r="AT71" i="14609"/>
  <c r="AU71" i="14609"/>
  <c r="AV71" i="14609"/>
  <c r="AW71" i="14609"/>
  <c r="AX71" i="14609"/>
  <c r="AY71" i="14609"/>
  <c r="AZ71" i="14609"/>
  <c r="BA71" i="14609"/>
  <c r="BB71" i="14609"/>
  <c r="BC71" i="14609"/>
  <c r="BD71" i="14609"/>
  <c r="BE71" i="14609"/>
  <c r="BF71" i="14609"/>
  <c r="BG71" i="14609"/>
  <c r="BH71" i="14609"/>
  <c r="BI71" i="14609"/>
  <c r="BJ71" i="14609"/>
  <c r="BK71" i="14609"/>
  <c r="BL71" i="14609"/>
  <c r="BM71" i="14609"/>
  <c r="BN71" i="14609"/>
  <c r="BO71" i="14609"/>
  <c r="BP71" i="14609"/>
  <c r="BQ71" i="14609"/>
  <c r="BR71" i="14609"/>
  <c r="BS71" i="14609"/>
  <c r="BT71" i="14609"/>
  <c r="BU71" i="14609"/>
  <c r="BV71" i="14609"/>
  <c r="BW71" i="14609"/>
  <c r="BX71" i="14609"/>
  <c r="BY71" i="14609"/>
  <c r="BZ71" i="14609"/>
  <c r="CA71" i="14609"/>
  <c r="CB71" i="14609"/>
  <c r="CC71" i="14609"/>
  <c r="CD71" i="14609"/>
  <c r="CE71" i="14609"/>
  <c r="CF71" i="14609"/>
  <c r="CG71" i="14609"/>
  <c r="CH71" i="14609"/>
  <c r="CI71" i="14609"/>
  <c r="CJ71" i="14609"/>
  <c r="CK71" i="14609"/>
  <c r="CL71" i="14609"/>
  <c r="CM71" i="14609"/>
  <c r="CN71" i="14609"/>
  <c r="CO71" i="14609"/>
  <c r="CP71" i="14609"/>
  <c r="CQ71" i="14609"/>
  <c r="CR71" i="14609"/>
  <c r="CS71" i="14609"/>
  <c r="CT71" i="14609"/>
  <c r="CU71" i="14609"/>
  <c r="CV71" i="14609"/>
  <c r="CW71" i="14609"/>
  <c r="CX71" i="14609"/>
  <c r="CY71" i="14609"/>
  <c r="CZ71" i="14609"/>
  <c r="DA71" i="14609"/>
  <c r="DB71" i="14609"/>
  <c r="DC71" i="14609"/>
  <c r="DD71" i="14609"/>
  <c r="DE71" i="14609"/>
  <c r="DF71" i="14609"/>
  <c r="DG71" i="14609"/>
  <c r="DH71" i="14609"/>
  <c r="DI71" i="14609"/>
  <c r="DJ71" i="14609"/>
  <c r="DK71" i="14609"/>
  <c r="DL71" i="14609"/>
  <c r="DM71" i="14609"/>
  <c r="DN71" i="14609"/>
  <c r="DO71" i="14609"/>
  <c r="DP71" i="14609"/>
  <c r="DQ71" i="14609"/>
  <c r="DR71" i="14609"/>
  <c r="DS71" i="14609"/>
  <c r="DT71" i="14609"/>
  <c r="DU71" i="14609"/>
  <c r="DV71" i="14609"/>
  <c r="DW71" i="14609"/>
  <c r="DX71" i="14609"/>
  <c r="DY71" i="14609"/>
  <c r="DZ71" i="14609"/>
  <c r="EA71" i="14609"/>
  <c r="EB71" i="14609"/>
  <c r="EC71" i="14609"/>
  <c r="ED71" i="14609"/>
  <c r="EE71" i="14609"/>
  <c r="EF71" i="14609"/>
  <c r="EG71" i="14609"/>
  <c r="EH71" i="14609"/>
  <c r="EI71" i="14609"/>
  <c r="EJ71" i="14609"/>
  <c r="EK71" i="14609"/>
  <c r="EL71" i="14609"/>
  <c r="EM71" i="14609"/>
  <c r="EN71" i="14609"/>
  <c r="EO71" i="14609"/>
  <c r="EP71" i="14609"/>
  <c r="EQ71" i="14609"/>
  <c r="ER71" i="14609"/>
  <c r="ES71" i="14609"/>
  <c r="ET71" i="14609"/>
  <c r="EU71" i="14609"/>
  <c r="EV71" i="14609"/>
  <c r="EW71" i="14609"/>
  <c r="EX71" i="14609"/>
  <c r="EY71" i="14609"/>
  <c r="EZ71" i="14609"/>
  <c r="FA71" i="14609"/>
  <c r="FB71" i="14609"/>
  <c r="FC71" i="14609"/>
  <c r="FD71" i="14609"/>
  <c r="FE71" i="14609"/>
  <c r="FF71" i="14609"/>
  <c r="FG71" i="14609"/>
  <c r="FH71" i="14609"/>
  <c r="FI71" i="14609"/>
  <c r="FJ71" i="14609"/>
  <c r="FK71" i="14609"/>
  <c r="FL71" i="14609"/>
  <c r="FM71" i="14609"/>
  <c r="FN71" i="14609"/>
  <c r="FO71" i="14609"/>
  <c r="FP71" i="14609"/>
  <c r="FQ71" i="14609"/>
  <c r="FR71" i="14609"/>
  <c r="FS71" i="14609"/>
  <c r="FT71" i="14609"/>
  <c r="FU71" i="14609"/>
  <c r="FV71" i="14609"/>
  <c r="FW71" i="14609"/>
  <c r="FX71" i="14609"/>
  <c r="FY71" i="14609"/>
  <c r="FZ71" i="14609"/>
  <c r="GA71" i="14609"/>
  <c r="GB71" i="14609"/>
  <c r="GC71" i="14609"/>
  <c r="GD71" i="14609"/>
  <c r="GE71" i="14609"/>
  <c r="GF71" i="14609"/>
  <c r="GG71" i="14609"/>
  <c r="GH71" i="14609"/>
  <c r="GI71" i="14609"/>
  <c r="GJ71" i="14609"/>
  <c r="GK71" i="14609"/>
  <c r="GL71" i="14609"/>
  <c r="GM71" i="14609"/>
  <c r="GN71" i="14609"/>
  <c r="GO71" i="14609"/>
  <c r="GP71" i="14609"/>
  <c r="GQ71" i="14609"/>
  <c r="GR71" i="14609"/>
  <c r="GS71" i="14609"/>
  <c r="GT71" i="14609"/>
  <c r="GU71" i="14609"/>
  <c r="GV71" i="14609"/>
  <c r="GW71" i="14609"/>
  <c r="GX71" i="14609"/>
  <c r="GY71" i="14609"/>
  <c r="GZ71" i="14609"/>
  <c r="HA71" i="14609"/>
  <c r="HB71" i="14609"/>
  <c r="HC71" i="14609"/>
  <c r="HD71" i="14609"/>
  <c r="HE71" i="14609"/>
  <c r="HF71" i="14609"/>
  <c r="HG71" i="14609"/>
  <c r="HH71" i="14609"/>
  <c r="HI71" i="14609"/>
  <c r="HJ71" i="14609"/>
  <c r="HK71" i="14609"/>
  <c r="HL71" i="14609"/>
  <c r="HM71" i="14609"/>
  <c r="HN71" i="14609"/>
  <c r="HO71" i="14609"/>
  <c r="HP71" i="14609"/>
  <c r="HQ71" i="14609"/>
  <c r="HR71" i="14609"/>
  <c r="HS71" i="14609"/>
  <c r="HT71" i="14609"/>
  <c r="HU71" i="14609"/>
  <c r="HV71" i="14609"/>
  <c r="HW71" i="14609"/>
  <c r="HX71" i="14609"/>
  <c r="HY71" i="14609"/>
  <c r="HZ71" i="14609"/>
  <c r="IA71" i="14609"/>
  <c r="IB71" i="14609"/>
  <c r="IC71" i="14609"/>
  <c r="ID71" i="14609"/>
  <c r="IE71" i="14609"/>
  <c r="IF71" i="14609"/>
  <c r="IG71" i="14609"/>
  <c r="IH71" i="14609"/>
  <c r="II71" i="14609"/>
  <c r="IJ71" i="14609"/>
  <c r="IK71" i="14609"/>
  <c r="IL71" i="14609"/>
  <c r="IM71" i="14609"/>
  <c r="IN71" i="14609"/>
  <c r="IO71" i="14609"/>
  <c r="IP71" i="14609"/>
  <c r="IQ71" i="14609"/>
  <c r="IR71" i="14609"/>
  <c r="IS71" i="14609"/>
  <c r="IT71" i="14609"/>
  <c r="IU71" i="14609"/>
  <c r="IV71" i="14609"/>
  <c r="A70" i="14609"/>
  <c r="B70" i="14609"/>
  <c r="C70" i="14609"/>
  <c r="D70" i="14609"/>
  <c r="E70" i="14609"/>
  <c r="F70" i="14609"/>
  <c r="G70" i="14609"/>
  <c r="H70" i="14609"/>
  <c r="I70" i="14609"/>
  <c r="J70" i="14609"/>
  <c r="K70" i="14609"/>
  <c r="L70" i="14609"/>
  <c r="M70" i="14609"/>
  <c r="N70" i="14609"/>
  <c r="O70" i="14609"/>
  <c r="P70" i="14609"/>
  <c r="Q70" i="14609"/>
  <c r="R70" i="14609"/>
  <c r="S70" i="14609"/>
  <c r="T70" i="14609"/>
  <c r="U70" i="14609"/>
  <c r="V70" i="14609"/>
  <c r="W70" i="14609"/>
  <c r="X70" i="14609"/>
  <c r="Y70" i="14609"/>
  <c r="Z70" i="14609"/>
  <c r="AA70" i="14609"/>
  <c r="AB70" i="14609"/>
  <c r="AC70" i="14609"/>
  <c r="AD70" i="14609"/>
  <c r="AE70" i="14609"/>
  <c r="AF70" i="14609"/>
  <c r="AG70" i="14609"/>
  <c r="AH70" i="14609"/>
  <c r="AI70" i="14609"/>
  <c r="AJ70" i="14609"/>
  <c r="AK70" i="14609"/>
  <c r="AL70" i="14609"/>
  <c r="AM70" i="14609"/>
  <c r="AN70" i="14609"/>
  <c r="AO70" i="14609"/>
  <c r="AP70" i="14609"/>
  <c r="AQ70" i="14609"/>
  <c r="AR70" i="14609"/>
  <c r="AS70" i="14609"/>
  <c r="AT70" i="14609"/>
  <c r="AU70" i="14609"/>
  <c r="AV70" i="14609"/>
  <c r="AW70" i="14609"/>
  <c r="AX70" i="14609"/>
  <c r="AY70" i="14609"/>
  <c r="AZ70" i="14609"/>
  <c r="BA70" i="14609"/>
  <c r="BB70" i="14609"/>
  <c r="BC70" i="14609"/>
  <c r="BD70" i="14609"/>
  <c r="BE70" i="14609"/>
  <c r="BF70" i="14609"/>
  <c r="BG70" i="14609"/>
  <c r="BH70" i="14609"/>
  <c r="BI70" i="14609"/>
  <c r="BJ70" i="14609"/>
  <c r="BK70" i="14609"/>
  <c r="BL70" i="14609"/>
  <c r="BM70" i="14609"/>
  <c r="BN70" i="14609"/>
  <c r="BO70" i="14609"/>
  <c r="BP70" i="14609"/>
  <c r="BQ70" i="14609"/>
  <c r="BR70" i="14609"/>
  <c r="BS70" i="14609"/>
  <c r="BT70" i="14609"/>
  <c r="BU70" i="14609"/>
  <c r="BV70" i="14609"/>
  <c r="BW70" i="14609"/>
  <c r="BX70" i="14609"/>
  <c r="BY70" i="14609"/>
  <c r="BZ70" i="14609"/>
  <c r="CA70" i="14609"/>
  <c r="CB70" i="14609"/>
  <c r="CC70" i="14609"/>
  <c r="CD70" i="14609"/>
  <c r="CE70" i="14609"/>
  <c r="CF70" i="14609"/>
  <c r="CG70" i="14609"/>
  <c r="CH70" i="14609"/>
  <c r="CI70" i="14609"/>
  <c r="CJ70" i="14609"/>
  <c r="CK70" i="14609"/>
  <c r="CL70" i="14609"/>
  <c r="CM70" i="14609"/>
  <c r="CN70" i="14609"/>
  <c r="CO70" i="14609"/>
  <c r="CP70" i="14609"/>
  <c r="CQ70" i="14609"/>
  <c r="CR70" i="14609"/>
  <c r="CS70" i="14609"/>
  <c r="CT70" i="14609"/>
  <c r="CU70" i="14609"/>
  <c r="CV70" i="14609"/>
  <c r="CW70" i="14609"/>
  <c r="CX70" i="14609"/>
  <c r="CY70" i="14609"/>
  <c r="CZ70" i="14609"/>
  <c r="DA70" i="14609"/>
  <c r="DB70" i="14609"/>
  <c r="DC70" i="14609"/>
  <c r="DD70" i="14609"/>
  <c r="DE70" i="14609"/>
  <c r="DF70" i="14609"/>
  <c r="DG70" i="14609"/>
  <c r="DH70" i="14609"/>
  <c r="DI70" i="14609"/>
  <c r="DJ70" i="14609"/>
  <c r="DK70" i="14609"/>
  <c r="DL70" i="14609"/>
  <c r="DM70" i="14609"/>
  <c r="DN70" i="14609"/>
  <c r="DO70" i="14609"/>
  <c r="DP70" i="14609"/>
  <c r="DQ70" i="14609"/>
  <c r="DR70" i="14609"/>
  <c r="DS70" i="14609"/>
  <c r="DT70" i="14609"/>
  <c r="DU70" i="14609"/>
  <c r="DV70" i="14609"/>
  <c r="DW70" i="14609"/>
  <c r="DX70" i="14609"/>
  <c r="DY70" i="14609"/>
  <c r="DZ70" i="14609"/>
  <c r="EA70" i="14609"/>
  <c r="EB70" i="14609"/>
  <c r="EC70" i="14609"/>
  <c r="ED70" i="14609"/>
  <c r="EE70" i="14609"/>
  <c r="EF70" i="14609"/>
  <c r="EG70" i="14609"/>
  <c r="EH70" i="14609"/>
  <c r="EI70" i="14609"/>
  <c r="EJ70" i="14609"/>
  <c r="EK70" i="14609"/>
  <c r="EL70" i="14609"/>
  <c r="EM70" i="14609"/>
  <c r="EN70" i="14609"/>
  <c r="EO70" i="14609"/>
  <c r="EP70" i="14609"/>
  <c r="EQ70" i="14609"/>
  <c r="ER70" i="14609"/>
  <c r="ES70" i="14609"/>
  <c r="ET70" i="14609"/>
  <c r="EU70" i="14609"/>
  <c r="EV70" i="14609"/>
  <c r="EW70" i="14609"/>
  <c r="EX70" i="14609"/>
  <c r="EY70" i="14609"/>
  <c r="EZ70" i="14609"/>
  <c r="FA70" i="14609"/>
  <c r="FB70" i="14609"/>
  <c r="FC70" i="14609"/>
  <c r="FD70" i="14609"/>
  <c r="FE70" i="14609"/>
  <c r="FF70" i="14609"/>
  <c r="FG70" i="14609"/>
  <c r="FH70" i="14609"/>
  <c r="FI70" i="14609"/>
  <c r="FJ70" i="14609"/>
  <c r="FK70" i="14609"/>
  <c r="FL70" i="14609"/>
  <c r="FM70" i="14609"/>
  <c r="FN70" i="14609"/>
  <c r="FO70" i="14609"/>
  <c r="FP70" i="14609"/>
  <c r="FQ70" i="14609"/>
  <c r="FR70" i="14609"/>
  <c r="FS70" i="14609"/>
  <c r="FT70" i="14609"/>
  <c r="FU70" i="14609"/>
  <c r="FV70" i="14609"/>
  <c r="FW70" i="14609"/>
  <c r="FX70" i="14609"/>
  <c r="FY70" i="14609"/>
  <c r="FZ70" i="14609"/>
  <c r="GA70" i="14609"/>
  <c r="GB70" i="14609"/>
  <c r="GC70" i="14609"/>
  <c r="GD70" i="14609"/>
  <c r="GE70" i="14609"/>
  <c r="GF70" i="14609"/>
  <c r="GG70" i="14609"/>
  <c r="GH70" i="14609"/>
  <c r="GI70" i="14609"/>
  <c r="GJ70" i="14609"/>
  <c r="GK70" i="14609"/>
  <c r="GL70" i="14609"/>
  <c r="GM70" i="14609"/>
  <c r="GN70" i="14609"/>
  <c r="GO70" i="14609"/>
  <c r="GP70" i="14609"/>
  <c r="GQ70" i="14609"/>
  <c r="GR70" i="14609"/>
  <c r="GS70" i="14609"/>
  <c r="GT70" i="14609"/>
  <c r="GU70" i="14609"/>
  <c r="GV70" i="14609"/>
  <c r="GW70" i="14609"/>
  <c r="GX70" i="14609"/>
  <c r="GY70" i="14609"/>
  <c r="GZ70" i="14609"/>
  <c r="HA70" i="14609"/>
  <c r="HB70" i="14609"/>
  <c r="HC70" i="14609"/>
  <c r="HD70" i="14609"/>
  <c r="HE70" i="14609"/>
  <c r="HF70" i="14609"/>
  <c r="HG70" i="14609"/>
  <c r="HH70" i="14609"/>
  <c r="HI70" i="14609"/>
  <c r="HJ70" i="14609"/>
  <c r="HK70" i="14609"/>
  <c r="HL70" i="14609"/>
  <c r="HM70" i="14609"/>
  <c r="HN70" i="14609"/>
  <c r="HO70" i="14609"/>
  <c r="HP70" i="14609"/>
  <c r="HQ70" i="14609"/>
  <c r="HR70" i="14609"/>
  <c r="HS70" i="14609"/>
  <c r="HT70" i="14609"/>
  <c r="HU70" i="14609"/>
  <c r="HV70" i="14609"/>
  <c r="HW70" i="14609"/>
  <c r="HX70" i="14609"/>
  <c r="HY70" i="14609"/>
  <c r="HZ70" i="14609"/>
  <c r="IA70" i="14609"/>
  <c r="IB70" i="14609"/>
  <c r="IC70" i="14609"/>
  <c r="ID70" i="14609"/>
  <c r="IE70" i="14609"/>
  <c r="IF70" i="14609"/>
  <c r="IG70" i="14609"/>
  <c r="IH70" i="14609"/>
  <c r="II70" i="14609"/>
  <c r="IJ70" i="14609"/>
  <c r="IK70" i="14609"/>
  <c r="IL70" i="14609"/>
  <c r="IM70" i="14609"/>
  <c r="IN70" i="14609"/>
  <c r="IO70" i="14609"/>
  <c r="IP70" i="14609"/>
  <c r="IQ70" i="14609"/>
  <c r="IR70" i="14609"/>
  <c r="IS70" i="14609"/>
  <c r="IT70" i="14609"/>
  <c r="IU70" i="14609"/>
  <c r="IV70" i="14609"/>
  <c r="A69" i="14609"/>
  <c r="B69" i="14609"/>
  <c r="C69" i="14609"/>
  <c r="D69" i="14609"/>
  <c r="E69" i="14609"/>
  <c r="F69" i="14609"/>
  <c r="G69" i="14609"/>
  <c r="H69" i="14609"/>
  <c r="I69" i="14609"/>
  <c r="J69" i="14609"/>
  <c r="K69" i="14609"/>
  <c r="L69" i="14609"/>
  <c r="M69" i="14609"/>
  <c r="N69" i="14609"/>
  <c r="O69" i="14609"/>
  <c r="P69" i="14609"/>
  <c r="Q69" i="14609"/>
  <c r="R69" i="14609"/>
  <c r="S69" i="14609"/>
  <c r="T69" i="14609"/>
  <c r="U69" i="14609"/>
  <c r="V69" i="14609"/>
  <c r="W69" i="14609"/>
  <c r="X69" i="14609"/>
  <c r="Y69" i="14609"/>
  <c r="Z69" i="14609"/>
  <c r="AA69" i="14609"/>
  <c r="AB69" i="14609"/>
  <c r="AC69" i="14609"/>
  <c r="AD69" i="14609"/>
  <c r="AE69" i="14609"/>
  <c r="AF69" i="14609"/>
  <c r="AG69" i="14609"/>
  <c r="AH69" i="14609"/>
  <c r="AI69" i="14609"/>
  <c r="AJ69" i="14609"/>
  <c r="AK69" i="14609"/>
  <c r="AL69" i="14609"/>
  <c r="AM69" i="14609"/>
  <c r="AN69" i="14609"/>
  <c r="AO69" i="14609"/>
  <c r="AP69" i="14609"/>
  <c r="AQ69" i="14609"/>
  <c r="AR69" i="14609"/>
  <c r="AS69" i="14609"/>
  <c r="AT69" i="14609"/>
  <c r="AU69" i="14609"/>
  <c r="AV69" i="14609"/>
  <c r="AW69" i="14609"/>
  <c r="AX69" i="14609"/>
  <c r="AY69" i="14609"/>
  <c r="AZ69" i="14609"/>
  <c r="BA69" i="14609"/>
  <c r="BB69" i="14609"/>
  <c r="BC69" i="14609"/>
  <c r="BD69" i="14609"/>
  <c r="BE69" i="14609"/>
  <c r="BF69" i="14609"/>
  <c r="BG69" i="14609"/>
  <c r="BH69" i="14609"/>
  <c r="BI69" i="14609"/>
  <c r="BJ69" i="14609"/>
  <c r="BK69" i="14609"/>
  <c r="BL69" i="14609"/>
  <c r="BM69" i="14609"/>
  <c r="BN69" i="14609"/>
  <c r="BO69" i="14609"/>
  <c r="BP69" i="14609"/>
  <c r="BQ69" i="14609"/>
  <c r="BR69" i="14609"/>
  <c r="BS69" i="14609"/>
  <c r="BT69" i="14609"/>
  <c r="BU69" i="14609"/>
  <c r="BV69" i="14609"/>
  <c r="BW69" i="14609"/>
  <c r="BX69" i="14609"/>
  <c r="BY69" i="14609"/>
  <c r="BZ69" i="14609"/>
  <c r="CA69" i="14609"/>
  <c r="CB69" i="14609"/>
  <c r="CC69" i="14609"/>
  <c r="CD69" i="14609"/>
  <c r="CE69" i="14609"/>
  <c r="CF69" i="14609"/>
  <c r="CG69" i="14609"/>
  <c r="CH69" i="14609"/>
  <c r="CI69" i="14609"/>
  <c r="CJ69" i="14609"/>
  <c r="CK69" i="14609"/>
  <c r="CL69" i="14609"/>
  <c r="CM69" i="14609"/>
  <c r="CN69" i="14609"/>
  <c r="CO69" i="14609"/>
  <c r="CP69" i="14609"/>
  <c r="CQ69" i="14609"/>
  <c r="CR69" i="14609"/>
  <c r="CS69" i="14609"/>
  <c r="CT69" i="14609"/>
  <c r="CU69" i="14609"/>
  <c r="CV69" i="14609"/>
  <c r="CW69" i="14609"/>
  <c r="CX69" i="14609"/>
  <c r="CY69" i="14609"/>
  <c r="CZ69" i="14609"/>
  <c r="DA69" i="14609"/>
  <c r="DB69" i="14609"/>
  <c r="DC69" i="14609"/>
  <c r="DD69" i="14609"/>
  <c r="DE69" i="14609"/>
  <c r="DF69" i="14609"/>
  <c r="DG69" i="14609"/>
  <c r="DH69" i="14609"/>
  <c r="DI69" i="14609"/>
  <c r="DJ69" i="14609"/>
  <c r="DK69" i="14609"/>
  <c r="DL69" i="14609"/>
  <c r="DM69" i="14609"/>
  <c r="DN69" i="14609"/>
  <c r="DO69" i="14609"/>
  <c r="DP69" i="14609"/>
  <c r="DQ69" i="14609"/>
  <c r="DR69" i="14609"/>
  <c r="DS69" i="14609"/>
  <c r="DT69" i="14609"/>
  <c r="DU69" i="14609"/>
  <c r="DV69" i="14609"/>
  <c r="DW69" i="14609"/>
  <c r="DX69" i="14609"/>
  <c r="DY69" i="14609"/>
  <c r="DZ69" i="14609"/>
  <c r="EA69" i="14609"/>
  <c r="EB69" i="14609"/>
  <c r="EC69" i="14609"/>
  <c r="ED69" i="14609"/>
  <c r="EE69" i="14609"/>
  <c r="EF69" i="14609"/>
  <c r="EG69" i="14609"/>
  <c r="EH69" i="14609"/>
  <c r="EI69" i="14609"/>
  <c r="EJ69" i="14609"/>
  <c r="EK69" i="14609"/>
  <c r="EL69" i="14609"/>
  <c r="EM69" i="14609"/>
  <c r="EN69" i="14609"/>
  <c r="EO69" i="14609"/>
  <c r="EP69" i="14609"/>
  <c r="EQ69" i="14609"/>
  <c r="ER69" i="14609"/>
  <c r="ES69" i="14609"/>
  <c r="ET69" i="14609"/>
  <c r="EU69" i="14609"/>
  <c r="EV69" i="14609"/>
  <c r="EW69" i="14609"/>
  <c r="EX69" i="14609"/>
  <c r="EY69" i="14609"/>
  <c r="EZ69" i="14609"/>
  <c r="FA69" i="14609"/>
  <c r="FB69" i="14609"/>
  <c r="FC69" i="14609"/>
  <c r="FD69" i="14609"/>
  <c r="FE69" i="14609"/>
  <c r="FF69" i="14609"/>
  <c r="FG69" i="14609"/>
  <c r="FH69" i="14609"/>
  <c r="FI69" i="14609"/>
  <c r="FJ69" i="14609"/>
  <c r="FK69" i="14609"/>
  <c r="FL69" i="14609"/>
  <c r="FM69" i="14609"/>
  <c r="FN69" i="14609"/>
  <c r="FO69" i="14609"/>
  <c r="FP69" i="14609"/>
  <c r="FQ69" i="14609"/>
  <c r="FR69" i="14609"/>
  <c r="FS69" i="14609"/>
  <c r="FT69" i="14609"/>
  <c r="FU69" i="14609"/>
  <c r="FV69" i="14609"/>
  <c r="FW69" i="14609"/>
  <c r="FX69" i="14609"/>
  <c r="FY69" i="14609"/>
  <c r="FZ69" i="14609"/>
  <c r="GA69" i="14609"/>
  <c r="GB69" i="14609"/>
  <c r="GC69" i="14609"/>
  <c r="GD69" i="14609"/>
  <c r="GE69" i="14609"/>
  <c r="GF69" i="14609"/>
  <c r="GG69" i="14609"/>
  <c r="GH69" i="14609"/>
  <c r="GI69" i="14609"/>
  <c r="GJ69" i="14609"/>
  <c r="GK69" i="14609"/>
  <c r="GL69" i="14609"/>
  <c r="GM69" i="14609"/>
  <c r="GN69" i="14609"/>
  <c r="GO69" i="14609"/>
  <c r="GP69" i="14609"/>
  <c r="GQ69" i="14609"/>
  <c r="GR69" i="14609"/>
  <c r="GS69" i="14609"/>
  <c r="GT69" i="14609"/>
  <c r="GU69" i="14609"/>
  <c r="GV69" i="14609"/>
  <c r="GW69" i="14609"/>
  <c r="GX69" i="14609"/>
  <c r="GY69" i="14609"/>
  <c r="GZ69" i="14609"/>
  <c r="HA69" i="14609"/>
  <c r="HB69" i="14609"/>
  <c r="HC69" i="14609"/>
  <c r="HD69" i="14609"/>
  <c r="HE69" i="14609"/>
  <c r="HF69" i="14609"/>
  <c r="HG69" i="14609"/>
  <c r="HH69" i="14609"/>
  <c r="HI69" i="14609"/>
  <c r="HJ69" i="14609"/>
  <c r="HK69" i="14609"/>
  <c r="HL69" i="14609"/>
  <c r="HM69" i="14609"/>
  <c r="HN69" i="14609"/>
  <c r="HO69" i="14609"/>
  <c r="HP69" i="14609"/>
  <c r="HQ69" i="14609"/>
  <c r="HR69" i="14609"/>
  <c r="HS69" i="14609"/>
  <c r="HT69" i="14609"/>
  <c r="HU69" i="14609"/>
  <c r="HV69" i="14609"/>
  <c r="HW69" i="14609"/>
  <c r="HX69" i="14609"/>
  <c r="HY69" i="14609"/>
  <c r="HZ69" i="14609"/>
  <c r="IA69" i="14609"/>
  <c r="IB69" i="14609"/>
  <c r="IC69" i="14609"/>
  <c r="ID69" i="14609"/>
  <c r="IE69" i="14609"/>
  <c r="IF69" i="14609"/>
  <c r="IG69" i="14609"/>
  <c r="IH69" i="14609"/>
  <c r="II69" i="14609"/>
  <c r="IJ69" i="14609"/>
  <c r="IK69" i="14609"/>
  <c r="IL69" i="14609"/>
  <c r="IM69" i="14609"/>
  <c r="IN69" i="14609"/>
  <c r="IO69" i="14609"/>
  <c r="IP69" i="14609"/>
  <c r="IQ69" i="14609"/>
  <c r="IR69" i="14609"/>
  <c r="IS69" i="14609"/>
  <c r="IT69" i="14609"/>
  <c r="IU69" i="14609"/>
  <c r="IV69" i="14609"/>
  <c r="A68" i="14609"/>
  <c r="B68" i="14609"/>
  <c r="C68" i="14609"/>
  <c r="D68" i="14609"/>
  <c r="E68" i="14609"/>
  <c r="F68" i="14609"/>
  <c r="G68" i="14609"/>
  <c r="H68" i="14609"/>
  <c r="I68" i="14609"/>
  <c r="J68" i="14609"/>
  <c r="K68" i="14609"/>
  <c r="L68" i="14609"/>
  <c r="M68" i="14609"/>
  <c r="N68" i="14609"/>
  <c r="O68" i="14609"/>
  <c r="P68" i="14609"/>
  <c r="Q68" i="14609"/>
  <c r="R68" i="14609"/>
  <c r="S68" i="14609"/>
  <c r="T68" i="14609"/>
  <c r="U68" i="14609"/>
  <c r="V68" i="14609"/>
  <c r="W68" i="14609"/>
  <c r="X68" i="14609"/>
  <c r="Y68" i="14609"/>
  <c r="Z68" i="14609"/>
  <c r="AA68" i="14609"/>
  <c r="AB68" i="14609"/>
  <c r="AC68" i="14609"/>
  <c r="AD68" i="14609"/>
  <c r="AE68" i="14609"/>
  <c r="AF68" i="14609"/>
  <c r="AG68" i="14609"/>
  <c r="AH68" i="14609"/>
  <c r="AI68" i="14609"/>
  <c r="AJ68" i="14609"/>
  <c r="AK68" i="14609"/>
  <c r="AL68" i="14609"/>
  <c r="AM68" i="14609"/>
  <c r="AN68" i="14609"/>
  <c r="AO68" i="14609"/>
  <c r="AP68" i="14609"/>
  <c r="AQ68" i="14609"/>
  <c r="AR68" i="14609"/>
  <c r="AS68" i="14609"/>
  <c r="AT68" i="14609"/>
  <c r="AU68" i="14609"/>
  <c r="AV68" i="14609"/>
  <c r="AW68" i="14609"/>
  <c r="AX68" i="14609"/>
  <c r="AY68" i="14609"/>
  <c r="AZ68" i="14609"/>
  <c r="BA68" i="14609"/>
  <c r="BB68" i="14609"/>
  <c r="BC68" i="14609"/>
  <c r="BD68" i="14609"/>
  <c r="BE68" i="14609"/>
  <c r="BF68" i="14609"/>
  <c r="BG68" i="14609"/>
  <c r="BH68" i="14609"/>
  <c r="BI68" i="14609"/>
  <c r="BJ68" i="14609"/>
  <c r="BK68" i="14609"/>
  <c r="BL68" i="14609"/>
  <c r="BM68" i="14609"/>
  <c r="BN68" i="14609"/>
  <c r="BO68" i="14609"/>
  <c r="BP68" i="14609"/>
  <c r="BQ68" i="14609"/>
  <c r="BR68" i="14609"/>
  <c r="BS68" i="14609"/>
  <c r="BT68" i="14609"/>
  <c r="BU68" i="14609"/>
  <c r="BV68" i="14609"/>
  <c r="BW68" i="14609"/>
  <c r="BX68" i="14609"/>
  <c r="BY68" i="14609"/>
  <c r="BZ68" i="14609"/>
  <c r="CA68" i="14609"/>
  <c r="CB68" i="14609"/>
  <c r="CC68" i="14609"/>
  <c r="CD68" i="14609"/>
  <c r="CE68" i="14609"/>
  <c r="CF68" i="14609"/>
  <c r="CG68" i="14609"/>
  <c r="CH68" i="14609"/>
  <c r="CI68" i="14609"/>
  <c r="CJ68" i="14609"/>
  <c r="CK68" i="14609"/>
  <c r="CL68" i="14609"/>
  <c r="CM68" i="14609"/>
  <c r="CN68" i="14609"/>
  <c r="CO68" i="14609"/>
  <c r="CP68" i="14609"/>
  <c r="CQ68" i="14609"/>
  <c r="CR68" i="14609"/>
  <c r="CS68" i="14609"/>
  <c r="CT68" i="14609"/>
  <c r="CU68" i="14609"/>
  <c r="CV68" i="14609"/>
  <c r="CW68" i="14609"/>
  <c r="CX68" i="14609"/>
  <c r="CY68" i="14609"/>
  <c r="CZ68" i="14609"/>
  <c r="DA68" i="14609"/>
  <c r="DB68" i="14609"/>
  <c r="DC68" i="14609"/>
  <c r="DD68" i="14609"/>
  <c r="DE68" i="14609"/>
  <c r="DF68" i="14609"/>
  <c r="DG68" i="14609"/>
  <c r="DH68" i="14609"/>
  <c r="DI68" i="14609"/>
  <c r="DJ68" i="14609"/>
  <c r="DK68" i="14609"/>
  <c r="DL68" i="14609"/>
  <c r="DM68" i="14609"/>
  <c r="DN68" i="14609"/>
  <c r="DO68" i="14609"/>
  <c r="DP68" i="14609"/>
  <c r="DQ68" i="14609"/>
  <c r="DR68" i="14609"/>
  <c r="DS68" i="14609"/>
  <c r="DT68" i="14609"/>
  <c r="DU68" i="14609"/>
  <c r="DV68" i="14609"/>
  <c r="DW68" i="14609"/>
  <c r="DX68" i="14609"/>
  <c r="DY68" i="14609"/>
  <c r="DZ68" i="14609"/>
  <c r="EA68" i="14609"/>
  <c r="EB68" i="14609"/>
  <c r="EC68" i="14609"/>
  <c r="ED68" i="14609"/>
  <c r="EE68" i="14609"/>
  <c r="EF68" i="14609"/>
  <c r="EG68" i="14609"/>
  <c r="EH68" i="14609"/>
  <c r="EI68" i="14609"/>
  <c r="EJ68" i="14609"/>
  <c r="EK68" i="14609"/>
  <c r="EL68" i="14609"/>
  <c r="EM68" i="14609"/>
  <c r="EN68" i="14609"/>
  <c r="EO68" i="14609"/>
  <c r="EP68" i="14609"/>
  <c r="EQ68" i="14609"/>
  <c r="ER68" i="14609"/>
  <c r="ES68" i="14609"/>
  <c r="ET68" i="14609"/>
  <c r="EU68" i="14609"/>
  <c r="EV68" i="14609"/>
  <c r="EW68" i="14609"/>
  <c r="EX68" i="14609"/>
  <c r="EY68" i="14609"/>
  <c r="EZ68" i="14609"/>
  <c r="FA68" i="14609"/>
  <c r="FB68" i="14609"/>
  <c r="FC68" i="14609"/>
  <c r="FD68" i="14609"/>
  <c r="FE68" i="14609"/>
  <c r="FF68" i="14609"/>
  <c r="FG68" i="14609"/>
  <c r="FH68" i="14609"/>
  <c r="FI68" i="14609"/>
  <c r="FJ68" i="14609"/>
  <c r="FK68" i="14609"/>
  <c r="FL68" i="14609"/>
  <c r="FM68" i="14609"/>
  <c r="FN68" i="14609"/>
  <c r="FO68" i="14609"/>
  <c r="FP68" i="14609"/>
  <c r="FQ68" i="14609"/>
  <c r="FR68" i="14609"/>
  <c r="FS68" i="14609"/>
  <c r="FT68" i="14609"/>
  <c r="FU68" i="14609"/>
  <c r="FV68" i="14609"/>
  <c r="FW68" i="14609"/>
  <c r="FX68" i="14609"/>
  <c r="FY68" i="14609"/>
  <c r="FZ68" i="14609"/>
  <c r="GA68" i="14609"/>
  <c r="GB68" i="14609"/>
  <c r="GC68" i="14609"/>
  <c r="GD68" i="14609"/>
  <c r="GE68" i="14609"/>
  <c r="GF68" i="14609"/>
  <c r="GG68" i="14609"/>
  <c r="GH68" i="14609"/>
  <c r="GI68" i="14609"/>
  <c r="GJ68" i="14609"/>
  <c r="GK68" i="14609"/>
  <c r="GL68" i="14609"/>
  <c r="GM68" i="14609"/>
  <c r="GN68" i="14609"/>
  <c r="GO68" i="14609"/>
  <c r="GP68" i="14609"/>
  <c r="GQ68" i="14609"/>
  <c r="GR68" i="14609"/>
  <c r="GS68" i="14609"/>
  <c r="GT68" i="14609"/>
  <c r="GU68" i="14609"/>
  <c r="GV68" i="14609"/>
  <c r="GW68" i="14609"/>
  <c r="GX68" i="14609"/>
  <c r="GY68" i="14609"/>
  <c r="GZ68" i="14609"/>
  <c r="HA68" i="14609"/>
  <c r="HB68" i="14609"/>
  <c r="HC68" i="14609"/>
  <c r="HD68" i="14609"/>
  <c r="HE68" i="14609"/>
  <c r="HF68" i="14609"/>
  <c r="HG68" i="14609"/>
  <c r="HH68" i="14609"/>
  <c r="HI68" i="14609"/>
  <c r="HJ68" i="14609"/>
  <c r="HK68" i="14609"/>
  <c r="HL68" i="14609"/>
  <c r="HM68" i="14609"/>
  <c r="HN68" i="14609"/>
  <c r="HO68" i="14609"/>
  <c r="HP68" i="14609"/>
  <c r="HQ68" i="14609"/>
  <c r="HR68" i="14609"/>
  <c r="HS68" i="14609"/>
  <c r="HT68" i="14609"/>
  <c r="HU68" i="14609"/>
  <c r="HV68" i="14609"/>
  <c r="HW68" i="14609"/>
  <c r="HX68" i="14609"/>
  <c r="HY68" i="14609"/>
  <c r="HZ68" i="14609"/>
  <c r="IA68" i="14609"/>
  <c r="IB68" i="14609"/>
  <c r="IC68" i="14609"/>
  <c r="ID68" i="14609"/>
  <c r="IE68" i="14609"/>
  <c r="IF68" i="14609"/>
  <c r="IG68" i="14609"/>
  <c r="IH68" i="14609"/>
  <c r="II68" i="14609"/>
  <c r="IJ68" i="14609"/>
  <c r="IK68" i="14609"/>
  <c r="IL68" i="14609"/>
  <c r="IM68" i="14609"/>
  <c r="IN68" i="14609"/>
  <c r="IO68" i="14609"/>
  <c r="IP68" i="14609"/>
  <c r="IQ68" i="14609"/>
  <c r="IR68" i="14609"/>
  <c r="IS68" i="14609"/>
  <c r="IT68" i="14609"/>
  <c r="IU68" i="14609"/>
  <c r="IV68" i="14609"/>
  <c r="A67" i="14609"/>
  <c r="B67" i="14609"/>
  <c r="C67" i="14609"/>
  <c r="D67" i="14609"/>
  <c r="E67" i="14609"/>
  <c r="F67" i="14609"/>
  <c r="G67" i="14609"/>
  <c r="H67" i="14609"/>
  <c r="I67" i="14609"/>
  <c r="J67" i="14609"/>
  <c r="K67" i="14609"/>
  <c r="L67" i="14609"/>
  <c r="M67" i="14609"/>
  <c r="N67" i="14609"/>
  <c r="O67" i="14609"/>
  <c r="P67" i="14609"/>
  <c r="Q67" i="14609"/>
  <c r="R67" i="14609"/>
  <c r="S67" i="14609"/>
  <c r="T67" i="14609"/>
  <c r="U67" i="14609"/>
  <c r="V67" i="14609"/>
  <c r="W67" i="14609"/>
  <c r="X67" i="14609"/>
  <c r="Y67" i="14609"/>
  <c r="Z67" i="14609"/>
  <c r="AA67" i="14609"/>
  <c r="AB67" i="14609"/>
  <c r="AC67" i="14609"/>
  <c r="AD67" i="14609"/>
  <c r="AE67" i="14609"/>
  <c r="AF67" i="14609"/>
  <c r="AG67" i="14609"/>
  <c r="AH67" i="14609"/>
  <c r="AI67" i="14609"/>
  <c r="AJ67" i="14609"/>
  <c r="AK67" i="14609"/>
  <c r="AL67" i="14609"/>
  <c r="AM67" i="14609"/>
  <c r="AN67" i="14609"/>
  <c r="AO67" i="14609"/>
  <c r="AP67" i="14609"/>
  <c r="AQ67" i="14609"/>
  <c r="AR67" i="14609"/>
  <c r="AS67" i="14609"/>
  <c r="AT67" i="14609"/>
  <c r="AU67" i="14609"/>
  <c r="AV67" i="14609"/>
  <c r="AW67" i="14609"/>
  <c r="AX67" i="14609"/>
  <c r="AY67" i="14609"/>
  <c r="AZ67" i="14609"/>
  <c r="BA67" i="14609"/>
  <c r="BB67" i="14609"/>
  <c r="BC67" i="14609"/>
  <c r="BD67" i="14609"/>
  <c r="BE67" i="14609"/>
  <c r="BF67" i="14609"/>
  <c r="BG67" i="14609"/>
  <c r="BH67" i="14609"/>
  <c r="BI67" i="14609"/>
  <c r="BJ67" i="14609"/>
  <c r="BK67" i="14609"/>
  <c r="BL67" i="14609"/>
  <c r="BM67" i="14609"/>
  <c r="BN67" i="14609"/>
  <c r="BO67" i="14609"/>
  <c r="BP67" i="14609"/>
  <c r="BQ67" i="14609"/>
  <c r="BR67" i="14609"/>
  <c r="BS67" i="14609"/>
  <c r="BT67" i="14609"/>
  <c r="BU67" i="14609"/>
  <c r="BV67" i="14609"/>
  <c r="BW67" i="14609"/>
  <c r="BX67" i="14609"/>
  <c r="BY67" i="14609"/>
  <c r="BZ67" i="14609"/>
  <c r="CA67" i="14609"/>
  <c r="CB67" i="14609"/>
  <c r="CC67" i="14609"/>
  <c r="CD67" i="14609"/>
  <c r="CE67" i="14609"/>
  <c r="CF67" i="14609"/>
  <c r="CG67" i="14609"/>
  <c r="CH67" i="14609"/>
  <c r="CI67" i="14609"/>
  <c r="CJ67" i="14609"/>
  <c r="CK67" i="14609"/>
  <c r="CL67" i="14609"/>
  <c r="CM67" i="14609"/>
  <c r="CN67" i="14609"/>
  <c r="CO67" i="14609"/>
  <c r="CP67" i="14609"/>
  <c r="CQ67" i="14609"/>
  <c r="CR67" i="14609"/>
  <c r="CS67" i="14609"/>
  <c r="CT67" i="14609"/>
  <c r="CU67" i="14609"/>
  <c r="CV67" i="14609"/>
  <c r="CW67" i="14609"/>
  <c r="CX67" i="14609"/>
  <c r="CY67" i="14609"/>
  <c r="CZ67" i="14609"/>
  <c r="DA67" i="14609"/>
  <c r="DB67" i="14609"/>
  <c r="DC67" i="14609"/>
  <c r="DD67" i="14609"/>
  <c r="DE67" i="14609"/>
  <c r="DF67" i="14609"/>
  <c r="DG67" i="14609"/>
  <c r="DH67" i="14609"/>
  <c r="DI67" i="14609"/>
  <c r="DJ67" i="14609"/>
  <c r="DK67" i="14609"/>
  <c r="DL67" i="14609"/>
  <c r="DM67" i="14609"/>
  <c r="DN67" i="14609"/>
  <c r="DO67" i="14609"/>
  <c r="DP67" i="14609"/>
  <c r="DQ67" i="14609"/>
  <c r="DR67" i="14609"/>
  <c r="DS67" i="14609"/>
  <c r="DT67" i="14609"/>
  <c r="DU67" i="14609"/>
  <c r="DV67" i="14609"/>
  <c r="DW67" i="14609"/>
  <c r="DX67" i="14609"/>
  <c r="DY67" i="14609"/>
  <c r="DZ67" i="14609"/>
  <c r="EA67" i="14609"/>
  <c r="EB67" i="14609"/>
  <c r="EC67" i="14609"/>
  <c r="ED67" i="14609"/>
  <c r="EE67" i="14609"/>
  <c r="EF67" i="14609"/>
  <c r="EG67" i="14609"/>
  <c r="EH67" i="14609"/>
  <c r="EI67" i="14609"/>
  <c r="EJ67" i="14609"/>
  <c r="EK67" i="14609"/>
  <c r="EL67" i="14609"/>
  <c r="EM67" i="14609"/>
  <c r="EN67" i="14609"/>
  <c r="EO67" i="14609"/>
  <c r="EP67" i="14609"/>
  <c r="EQ67" i="14609"/>
  <c r="ER67" i="14609"/>
  <c r="ES67" i="14609"/>
  <c r="ET67" i="14609"/>
  <c r="EU67" i="14609"/>
  <c r="EV67" i="14609"/>
  <c r="EW67" i="14609"/>
  <c r="EX67" i="14609"/>
  <c r="EY67" i="14609"/>
  <c r="EZ67" i="14609"/>
  <c r="FA67" i="14609"/>
  <c r="FB67" i="14609"/>
  <c r="FC67" i="14609"/>
  <c r="FD67" i="14609"/>
  <c r="FE67" i="14609"/>
  <c r="FF67" i="14609"/>
  <c r="FG67" i="14609"/>
  <c r="FH67" i="14609"/>
  <c r="FI67" i="14609"/>
  <c r="FJ67" i="14609"/>
  <c r="FK67" i="14609"/>
  <c r="FL67" i="14609"/>
  <c r="FM67" i="14609"/>
  <c r="FN67" i="14609"/>
  <c r="FO67" i="14609"/>
  <c r="FP67" i="14609"/>
  <c r="FQ67" i="14609"/>
  <c r="FR67" i="14609"/>
  <c r="FS67" i="14609"/>
  <c r="FT67" i="14609"/>
  <c r="FU67" i="14609"/>
  <c r="FV67" i="14609"/>
  <c r="FW67" i="14609"/>
  <c r="FX67" i="14609"/>
  <c r="FY67" i="14609"/>
  <c r="FZ67" i="14609"/>
  <c r="GA67" i="14609"/>
  <c r="GB67" i="14609"/>
  <c r="GC67" i="14609"/>
  <c r="GD67" i="14609"/>
  <c r="GE67" i="14609"/>
  <c r="GF67" i="14609"/>
  <c r="GG67" i="14609"/>
  <c r="GH67" i="14609"/>
  <c r="GI67" i="14609"/>
  <c r="GJ67" i="14609"/>
  <c r="GK67" i="14609"/>
  <c r="GL67" i="14609"/>
  <c r="GM67" i="14609"/>
  <c r="GN67" i="14609"/>
  <c r="GO67" i="14609"/>
  <c r="GP67" i="14609"/>
  <c r="GQ67" i="14609"/>
  <c r="GR67" i="14609"/>
  <c r="GS67" i="14609"/>
  <c r="GT67" i="14609"/>
  <c r="GU67" i="14609"/>
  <c r="GV67" i="14609"/>
  <c r="GW67" i="14609"/>
  <c r="GX67" i="14609"/>
  <c r="GY67" i="14609"/>
  <c r="GZ67" i="14609"/>
  <c r="HA67" i="14609"/>
  <c r="HB67" i="14609"/>
  <c r="HC67" i="14609"/>
  <c r="HD67" i="14609"/>
  <c r="HE67" i="14609"/>
  <c r="HF67" i="14609"/>
  <c r="HG67" i="14609"/>
  <c r="HH67" i="14609"/>
  <c r="HI67" i="14609"/>
  <c r="HJ67" i="14609"/>
  <c r="HK67" i="14609"/>
  <c r="HL67" i="14609"/>
  <c r="HM67" i="14609"/>
  <c r="HN67" i="14609"/>
  <c r="HO67" i="14609"/>
  <c r="HP67" i="14609"/>
  <c r="HQ67" i="14609"/>
  <c r="HR67" i="14609"/>
  <c r="HS67" i="14609"/>
  <c r="HT67" i="14609"/>
  <c r="HU67" i="14609"/>
  <c r="HV67" i="14609"/>
  <c r="HW67" i="14609"/>
  <c r="HX67" i="14609"/>
  <c r="HY67" i="14609"/>
  <c r="HZ67" i="14609"/>
  <c r="IA67" i="14609"/>
  <c r="IB67" i="14609"/>
  <c r="IC67" i="14609"/>
  <c r="ID67" i="14609"/>
  <c r="IE67" i="14609"/>
  <c r="IF67" i="14609"/>
  <c r="IG67" i="14609"/>
  <c r="IH67" i="14609"/>
  <c r="II67" i="14609"/>
  <c r="IJ67" i="14609"/>
  <c r="IK67" i="14609"/>
  <c r="IL67" i="14609"/>
  <c r="IM67" i="14609"/>
  <c r="IN67" i="14609"/>
  <c r="IO67" i="14609"/>
  <c r="IP67" i="14609"/>
  <c r="IQ67" i="14609"/>
  <c r="IR67" i="14609"/>
  <c r="IS67" i="14609"/>
  <c r="IT67" i="14609"/>
  <c r="IU67" i="14609"/>
  <c r="IV67" i="14609"/>
  <c r="A66" i="14609"/>
  <c r="B66" i="14609"/>
  <c r="C66" i="14609"/>
  <c r="D66" i="14609"/>
  <c r="E66" i="14609"/>
  <c r="F66" i="14609"/>
  <c r="G66" i="14609"/>
  <c r="H66" i="14609"/>
  <c r="I66" i="14609"/>
  <c r="J66" i="14609"/>
  <c r="K66" i="14609"/>
  <c r="L66" i="14609"/>
  <c r="M66" i="14609"/>
  <c r="N66" i="14609"/>
  <c r="O66" i="14609"/>
  <c r="P66" i="14609"/>
  <c r="Q66" i="14609"/>
  <c r="R66" i="14609"/>
  <c r="S66" i="14609"/>
  <c r="T66" i="14609"/>
  <c r="U66" i="14609"/>
  <c r="V66" i="14609"/>
  <c r="W66" i="14609"/>
  <c r="X66" i="14609"/>
  <c r="Y66" i="14609"/>
  <c r="Z66" i="14609"/>
  <c r="AA66" i="14609"/>
  <c r="AB66" i="14609"/>
  <c r="AC66" i="14609"/>
  <c r="AD66" i="14609"/>
  <c r="AE66" i="14609"/>
  <c r="AF66" i="14609"/>
  <c r="AG66" i="14609"/>
  <c r="AH66" i="14609"/>
  <c r="AI66" i="14609"/>
  <c r="AJ66" i="14609"/>
  <c r="AK66" i="14609"/>
  <c r="AL66" i="14609"/>
  <c r="AM66" i="14609"/>
  <c r="AN66" i="14609"/>
  <c r="AO66" i="14609"/>
  <c r="AP66" i="14609"/>
  <c r="AQ66" i="14609"/>
  <c r="AR66" i="14609"/>
  <c r="AS66" i="14609"/>
  <c r="AT66" i="14609"/>
  <c r="AU66" i="14609"/>
  <c r="AV66" i="14609"/>
  <c r="AW66" i="14609"/>
  <c r="AX66" i="14609"/>
  <c r="AY66" i="14609"/>
  <c r="AZ66" i="14609"/>
  <c r="BA66" i="14609"/>
  <c r="BB66" i="14609"/>
  <c r="BC66" i="14609"/>
  <c r="BD66" i="14609"/>
  <c r="BE66" i="14609"/>
  <c r="BF66" i="14609"/>
  <c r="BG66" i="14609"/>
  <c r="BH66" i="14609"/>
  <c r="BI66" i="14609"/>
  <c r="BJ66" i="14609"/>
  <c r="BK66" i="14609"/>
  <c r="BL66" i="14609"/>
  <c r="BM66" i="14609"/>
  <c r="BN66" i="14609"/>
  <c r="BO66" i="14609"/>
  <c r="BP66" i="14609"/>
  <c r="BQ66" i="14609"/>
  <c r="BR66" i="14609"/>
  <c r="BS66" i="14609"/>
  <c r="BT66" i="14609"/>
  <c r="BU66" i="14609"/>
  <c r="BV66" i="14609"/>
  <c r="BW66" i="14609"/>
  <c r="BX66" i="14609"/>
  <c r="BY66" i="14609"/>
  <c r="BZ66" i="14609"/>
  <c r="CA66" i="14609"/>
  <c r="CB66" i="14609"/>
  <c r="CC66" i="14609"/>
  <c r="CD66" i="14609"/>
  <c r="CE66" i="14609"/>
  <c r="CF66" i="14609"/>
  <c r="CG66" i="14609"/>
  <c r="CH66" i="14609"/>
  <c r="CI66" i="14609"/>
  <c r="CJ66" i="14609"/>
  <c r="CK66" i="14609"/>
  <c r="CL66" i="14609"/>
  <c r="CM66" i="14609"/>
  <c r="CN66" i="14609"/>
  <c r="CO66" i="14609"/>
  <c r="CP66" i="14609"/>
  <c r="CQ66" i="14609"/>
  <c r="CR66" i="14609"/>
  <c r="CS66" i="14609"/>
  <c r="CT66" i="14609"/>
  <c r="CU66" i="14609"/>
  <c r="CV66" i="14609"/>
  <c r="CW66" i="14609"/>
  <c r="CX66" i="14609"/>
  <c r="CY66" i="14609"/>
  <c r="CZ66" i="14609"/>
  <c r="DA66" i="14609"/>
  <c r="DB66" i="14609"/>
  <c r="DC66" i="14609"/>
  <c r="DD66" i="14609"/>
  <c r="DE66" i="14609"/>
  <c r="DF66" i="14609"/>
  <c r="DG66" i="14609"/>
  <c r="DH66" i="14609"/>
  <c r="DI66" i="14609"/>
  <c r="DJ66" i="14609"/>
  <c r="DK66" i="14609"/>
  <c r="DL66" i="14609"/>
  <c r="DM66" i="14609"/>
  <c r="DN66" i="14609"/>
  <c r="DO66" i="14609"/>
  <c r="DP66" i="14609"/>
  <c r="DQ66" i="14609"/>
  <c r="DR66" i="14609"/>
  <c r="DS66" i="14609"/>
  <c r="DT66" i="14609"/>
  <c r="DU66" i="14609"/>
  <c r="DV66" i="14609"/>
  <c r="DW66" i="14609"/>
  <c r="DX66" i="14609"/>
  <c r="DY66" i="14609"/>
  <c r="DZ66" i="14609"/>
  <c r="EA66" i="14609"/>
  <c r="EB66" i="14609"/>
  <c r="EC66" i="14609"/>
  <c r="ED66" i="14609"/>
  <c r="EE66" i="14609"/>
  <c r="EF66" i="14609"/>
  <c r="EG66" i="14609"/>
  <c r="EH66" i="14609"/>
  <c r="EI66" i="14609"/>
  <c r="EJ66" i="14609"/>
  <c r="EK66" i="14609"/>
  <c r="EL66" i="14609"/>
  <c r="EM66" i="14609"/>
  <c r="EN66" i="14609"/>
  <c r="EO66" i="14609"/>
  <c r="EP66" i="14609"/>
  <c r="EQ66" i="14609"/>
  <c r="ER66" i="14609"/>
  <c r="ES66" i="14609"/>
  <c r="ET66" i="14609"/>
  <c r="EU66" i="14609"/>
  <c r="EV66" i="14609"/>
  <c r="EW66" i="14609"/>
  <c r="EX66" i="14609"/>
  <c r="EY66" i="14609"/>
  <c r="EZ66" i="14609"/>
  <c r="FA66" i="14609"/>
  <c r="FB66" i="14609"/>
  <c r="FC66" i="14609"/>
  <c r="FD66" i="14609"/>
  <c r="FE66" i="14609"/>
  <c r="FF66" i="14609"/>
  <c r="FG66" i="14609"/>
  <c r="FH66" i="14609"/>
  <c r="FI66" i="14609"/>
  <c r="FJ66" i="14609"/>
  <c r="FK66" i="14609"/>
  <c r="FL66" i="14609"/>
  <c r="FM66" i="14609"/>
  <c r="FN66" i="14609"/>
  <c r="FO66" i="14609"/>
  <c r="FP66" i="14609"/>
  <c r="FQ66" i="14609"/>
  <c r="FR66" i="14609"/>
  <c r="FS66" i="14609"/>
  <c r="FT66" i="14609"/>
  <c r="FU66" i="14609"/>
  <c r="FV66" i="14609"/>
  <c r="FW66" i="14609"/>
  <c r="FX66" i="14609"/>
  <c r="FY66" i="14609"/>
  <c r="FZ66" i="14609"/>
  <c r="GA66" i="14609"/>
  <c r="GB66" i="14609"/>
  <c r="GC66" i="14609"/>
  <c r="GD66" i="14609"/>
  <c r="GE66" i="14609"/>
  <c r="GF66" i="14609"/>
  <c r="GG66" i="14609"/>
  <c r="GH66" i="14609"/>
  <c r="GI66" i="14609"/>
  <c r="GJ66" i="14609"/>
  <c r="GK66" i="14609"/>
  <c r="GL66" i="14609"/>
  <c r="GM66" i="14609"/>
  <c r="GN66" i="14609"/>
  <c r="GO66" i="14609"/>
  <c r="GP66" i="14609"/>
  <c r="GQ66" i="14609"/>
  <c r="GR66" i="14609"/>
  <c r="GS66" i="14609"/>
  <c r="GT66" i="14609"/>
  <c r="GU66" i="14609"/>
  <c r="GV66" i="14609"/>
  <c r="GW66" i="14609"/>
  <c r="GX66" i="14609"/>
  <c r="GY66" i="14609"/>
  <c r="GZ66" i="14609"/>
  <c r="HA66" i="14609"/>
  <c r="HB66" i="14609"/>
  <c r="HC66" i="14609"/>
  <c r="HD66" i="14609"/>
  <c r="HE66" i="14609"/>
  <c r="HF66" i="14609"/>
  <c r="HG66" i="14609"/>
  <c r="HH66" i="14609"/>
  <c r="HI66" i="14609"/>
  <c r="HJ66" i="14609"/>
  <c r="HK66" i="14609"/>
  <c r="HL66" i="14609"/>
  <c r="HM66" i="14609"/>
  <c r="HN66" i="14609"/>
  <c r="HO66" i="14609"/>
  <c r="HP66" i="14609"/>
  <c r="HQ66" i="14609"/>
  <c r="HR66" i="14609"/>
  <c r="HS66" i="14609"/>
  <c r="HT66" i="14609"/>
  <c r="HU66" i="14609"/>
  <c r="HV66" i="14609"/>
  <c r="HW66" i="14609"/>
  <c r="HX66" i="14609"/>
  <c r="HY66" i="14609"/>
  <c r="HZ66" i="14609"/>
  <c r="IA66" i="14609"/>
  <c r="IB66" i="14609"/>
  <c r="IC66" i="14609"/>
  <c r="ID66" i="14609"/>
  <c r="IE66" i="14609"/>
  <c r="IF66" i="14609"/>
  <c r="IG66" i="14609"/>
  <c r="IH66" i="14609"/>
  <c r="II66" i="14609"/>
  <c r="IJ66" i="14609"/>
  <c r="IK66" i="14609"/>
  <c r="IL66" i="14609"/>
  <c r="IM66" i="14609"/>
  <c r="IN66" i="14609"/>
  <c r="IO66" i="14609"/>
  <c r="IP66" i="14609"/>
  <c r="IQ66" i="14609"/>
  <c r="IR66" i="14609"/>
  <c r="IS66" i="14609"/>
  <c r="IT66" i="14609"/>
  <c r="IU66" i="14609"/>
  <c r="IV66" i="14609"/>
  <c r="A65" i="14609"/>
  <c r="B65" i="14609"/>
  <c r="C65" i="14609"/>
  <c r="D65" i="14609"/>
  <c r="E65" i="14609"/>
  <c r="F65" i="14609"/>
  <c r="G65" i="14609"/>
  <c r="H65" i="14609"/>
  <c r="I65" i="14609"/>
  <c r="J65" i="14609"/>
  <c r="K65" i="14609"/>
  <c r="L65" i="14609"/>
  <c r="M65" i="14609"/>
  <c r="N65" i="14609"/>
  <c r="O65" i="14609"/>
  <c r="P65" i="14609"/>
  <c r="Q65" i="14609"/>
  <c r="R65" i="14609"/>
  <c r="S65" i="14609"/>
  <c r="T65" i="14609"/>
  <c r="U65" i="14609"/>
  <c r="V65" i="14609"/>
  <c r="W65" i="14609"/>
  <c r="X65" i="14609"/>
  <c r="Y65" i="14609"/>
  <c r="Z65" i="14609"/>
  <c r="AA65" i="14609"/>
  <c r="AB65" i="14609"/>
  <c r="AC65" i="14609"/>
  <c r="AD65" i="14609"/>
  <c r="AE65" i="14609"/>
  <c r="AF65" i="14609"/>
  <c r="AG65" i="14609"/>
  <c r="AH65" i="14609"/>
  <c r="AI65" i="14609"/>
  <c r="AJ65" i="14609"/>
  <c r="AK65" i="14609"/>
  <c r="AL65" i="14609"/>
  <c r="AM65" i="14609"/>
  <c r="AN65" i="14609"/>
  <c r="AO65" i="14609"/>
  <c r="AP65" i="14609"/>
  <c r="AQ65" i="14609"/>
  <c r="AR65" i="14609"/>
  <c r="AS65" i="14609"/>
  <c r="AT65" i="14609"/>
  <c r="AU65" i="14609"/>
  <c r="AV65" i="14609"/>
  <c r="AW65" i="14609"/>
  <c r="AX65" i="14609"/>
  <c r="AY65" i="14609"/>
  <c r="AZ65" i="14609"/>
  <c r="BA65" i="14609"/>
  <c r="BB65" i="14609"/>
  <c r="BC65" i="14609"/>
  <c r="BD65" i="14609"/>
  <c r="BE65" i="14609"/>
  <c r="BF65" i="14609"/>
  <c r="BG65" i="14609"/>
  <c r="BH65" i="14609"/>
  <c r="BI65" i="14609"/>
  <c r="BJ65" i="14609"/>
  <c r="BK65" i="14609"/>
  <c r="BL65" i="14609"/>
  <c r="BM65" i="14609"/>
  <c r="BN65" i="14609"/>
  <c r="BO65" i="14609"/>
  <c r="BP65" i="14609"/>
  <c r="BQ65" i="14609"/>
  <c r="BR65" i="14609"/>
  <c r="BS65" i="14609"/>
  <c r="BT65" i="14609"/>
  <c r="BU65" i="14609"/>
  <c r="BV65" i="14609"/>
  <c r="BW65" i="14609"/>
  <c r="BX65" i="14609"/>
  <c r="BY65" i="14609"/>
  <c r="BZ65" i="14609"/>
  <c r="CA65" i="14609"/>
  <c r="CB65" i="14609"/>
  <c r="CC65" i="14609"/>
  <c r="CD65" i="14609"/>
  <c r="CE65" i="14609"/>
  <c r="CF65" i="14609"/>
  <c r="CG65" i="14609"/>
  <c r="CH65" i="14609"/>
  <c r="CI65" i="14609"/>
  <c r="CJ65" i="14609"/>
  <c r="CK65" i="14609"/>
  <c r="CL65" i="14609"/>
  <c r="CM65" i="14609"/>
  <c r="CN65" i="14609"/>
  <c r="CO65" i="14609"/>
  <c r="CP65" i="14609"/>
  <c r="CQ65" i="14609"/>
  <c r="CR65" i="14609"/>
  <c r="CS65" i="14609"/>
  <c r="CT65" i="14609"/>
  <c r="CU65" i="14609"/>
  <c r="CV65" i="14609"/>
  <c r="CW65" i="14609"/>
  <c r="CX65" i="14609"/>
  <c r="CY65" i="14609"/>
  <c r="CZ65" i="14609"/>
  <c r="DA65" i="14609"/>
  <c r="DB65" i="14609"/>
  <c r="DC65" i="14609"/>
  <c r="DD65" i="14609"/>
  <c r="DE65" i="14609"/>
  <c r="DF65" i="14609"/>
  <c r="DG65" i="14609"/>
  <c r="DH65" i="14609"/>
  <c r="DI65" i="14609"/>
  <c r="DJ65" i="14609"/>
  <c r="DK65" i="14609"/>
  <c r="DL65" i="14609"/>
  <c r="DM65" i="14609"/>
  <c r="DN65" i="14609"/>
  <c r="DO65" i="14609"/>
  <c r="DP65" i="14609"/>
  <c r="DQ65" i="14609"/>
  <c r="DR65" i="14609"/>
  <c r="DS65" i="14609"/>
  <c r="DT65" i="14609"/>
  <c r="DU65" i="14609"/>
  <c r="DV65" i="14609"/>
  <c r="DW65" i="14609"/>
  <c r="DX65" i="14609"/>
  <c r="DY65" i="14609"/>
  <c r="DZ65" i="14609"/>
  <c r="EA65" i="14609"/>
  <c r="EB65" i="14609"/>
  <c r="EC65" i="14609"/>
  <c r="ED65" i="14609"/>
  <c r="EE65" i="14609"/>
  <c r="EF65" i="14609"/>
  <c r="EG65" i="14609"/>
  <c r="EH65" i="14609"/>
  <c r="EI65" i="14609"/>
  <c r="EJ65" i="14609"/>
  <c r="EK65" i="14609"/>
  <c r="EL65" i="14609"/>
  <c r="EM65" i="14609"/>
  <c r="EN65" i="14609"/>
  <c r="EO65" i="14609"/>
  <c r="EP65" i="14609"/>
  <c r="EQ65" i="14609"/>
  <c r="ER65" i="14609"/>
  <c r="ES65" i="14609"/>
  <c r="ET65" i="14609"/>
  <c r="EU65" i="14609"/>
  <c r="EV65" i="14609"/>
  <c r="EW65" i="14609"/>
  <c r="EX65" i="14609"/>
  <c r="EY65" i="14609"/>
  <c r="EZ65" i="14609"/>
  <c r="FA65" i="14609"/>
  <c r="FB65" i="14609"/>
  <c r="FC65" i="14609"/>
  <c r="FD65" i="14609"/>
  <c r="FE65" i="14609"/>
  <c r="FF65" i="14609"/>
  <c r="FG65" i="14609"/>
  <c r="FH65" i="14609"/>
  <c r="FI65" i="14609"/>
  <c r="FJ65" i="14609"/>
  <c r="FK65" i="14609"/>
  <c r="FL65" i="14609"/>
  <c r="FM65" i="14609"/>
  <c r="FN65" i="14609"/>
  <c r="FO65" i="14609"/>
  <c r="FP65" i="14609"/>
  <c r="FQ65" i="14609"/>
  <c r="FR65" i="14609"/>
  <c r="FS65" i="14609"/>
  <c r="FT65" i="14609"/>
  <c r="FU65" i="14609"/>
  <c r="FV65" i="14609"/>
  <c r="FW65" i="14609"/>
  <c r="FX65" i="14609"/>
  <c r="FY65" i="14609"/>
  <c r="FZ65" i="14609"/>
  <c r="GA65" i="14609"/>
  <c r="GB65" i="14609"/>
  <c r="GC65" i="14609"/>
  <c r="GD65" i="14609"/>
  <c r="GE65" i="14609"/>
  <c r="GF65" i="14609"/>
  <c r="GG65" i="14609"/>
  <c r="GH65" i="14609"/>
  <c r="GI65" i="14609"/>
  <c r="GJ65" i="14609"/>
  <c r="GK65" i="14609"/>
  <c r="GL65" i="14609"/>
  <c r="GM65" i="14609"/>
  <c r="GN65" i="14609"/>
  <c r="GO65" i="14609"/>
  <c r="GP65" i="14609"/>
  <c r="GQ65" i="14609"/>
  <c r="GR65" i="14609"/>
  <c r="GS65" i="14609"/>
  <c r="GT65" i="14609"/>
  <c r="GU65" i="14609"/>
  <c r="GV65" i="14609"/>
  <c r="GW65" i="14609"/>
  <c r="GX65" i="14609"/>
  <c r="GY65" i="14609"/>
  <c r="GZ65" i="14609"/>
  <c r="HA65" i="14609"/>
  <c r="HB65" i="14609"/>
  <c r="HC65" i="14609"/>
  <c r="HD65" i="14609"/>
  <c r="HE65" i="14609"/>
  <c r="HF65" i="14609"/>
  <c r="HG65" i="14609"/>
  <c r="HH65" i="14609"/>
  <c r="HI65" i="14609"/>
  <c r="HJ65" i="14609"/>
  <c r="HK65" i="14609"/>
  <c r="HL65" i="14609"/>
  <c r="HM65" i="14609"/>
  <c r="HN65" i="14609"/>
  <c r="HO65" i="14609"/>
  <c r="HP65" i="14609"/>
  <c r="HQ65" i="14609"/>
  <c r="HR65" i="14609"/>
  <c r="HS65" i="14609"/>
  <c r="HT65" i="14609"/>
  <c r="HU65" i="14609"/>
  <c r="HV65" i="14609"/>
  <c r="HW65" i="14609"/>
  <c r="HX65" i="14609"/>
  <c r="HY65" i="14609"/>
  <c r="HZ65" i="14609"/>
  <c r="IA65" i="14609"/>
  <c r="IB65" i="14609"/>
  <c r="IC65" i="14609"/>
  <c r="ID65" i="14609"/>
  <c r="IE65" i="14609"/>
  <c r="IF65" i="14609"/>
  <c r="IG65" i="14609"/>
  <c r="IH65" i="14609"/>
  <c r="II65" i="14609"/>
  <c r="IJ65" i="14609"/>
  <c r="IK65" i="14609"/>
  <c r="IL65" i="14609"/>
  <c r="IM65" i="14609"/>
  <c r="IN65" i="14609"/>
  <c r="IO65" i="14609"/>
  <c r="IP65" i="14609"/>
  <c r="IQ65" i="14609"/>
  <c r="IR65" i="14609"/>
  <c r="IS65" i="14609"/>
  <c r="IT65" i="14609"/>
  <c r="IU65" i="14609"/>
  <c r="IV65" i="14609"/>
  <c r="A64" i="14609"/>
  <c r="B64" i="14609"/>
  <c r="C64" i="14609"/>
  <c r="D64" i="14609"/>
  <c r="E64" i="14609"/>
  <c r="F64" i="14609"/>
  <c r="G64" i="14609"/>
  <c r="H64" i="14609"/>
  <c r="I64" i="14609"/>
  <c r="J64" i="14609"/>
  <c r="K64" i="14609"/>
  <c r="L64" i="14609"/>
  <c r="M64" i="14609"/>
  <c r="N64" i="14609"/>
  <c r="O64" i="14609"/>
  <c r="P64" i="14609"/>
  <c r="Q64" i="14609"/>
  <c r="R64" i="14609"/>
  <c r="S64" i="14609"/>
  <c r="T64" i="14609"/>
  <c r="U64" i="14609"/>
  <c r="V64" i="14609"/>
  <c r="W64" i="14609"/>
  <c r="X64" i="14609"/>
  <c r="Y64" i="14609"/>
  <c r="Z64" i="14609"/>
  <c r="AA64" i="14609"/>
  <c r="AB64" i="14609"/>
  <c r="AC64" i="14609"/>
  <c r="AD64" i="14609"/>
  <c r="AE64" i="14609"/>
  <c r="AF64" i="14609"/>
  <c r="AG64" i="14609"/>
  <c r="AH64" i="14609"/>
  <c r="AI64" i="14609"/>
  <c r="AJ64" i="14609"/>
  <c r="AK64" i="14609"/>
  <c r="AL64" i="14609"/>
  <c r="AM64" i="14609"/>
  <c r="AN64" i="14609"/>
  <c r="AO64" i="14609"/>
  <c r="AP64" i="14609"/>
  <c r="AQ64" i="14609"/>
  <c r="AR64" i="14609"/>
  <c r="AS64" i="14609"/>
  <c r="AT64" i="14609"/>
  <c r="AU64" i="14609"/>
  <c r="AV64" i="14609"/>
  <c r="AW64" i="14609"/>
  <c r="AX64" i="14609"/>
  <c r="AY64" i="14609"/>
  <c r="AZ64" i="14609"/>
  <c r="BA64" i="14609"/>
  <c r="BB64" i="14609"/>
  <c r="BC64" i="14609"/>
  <c r="BD64" i="14609"/>
  <c r="BE64" i="14609"/>
  <c r="BF64" i="14609"/>
  <c r="BG64" i="14609"/>
  <c r="BH64" i="14609"/>
  <c r="BI64" i="14609"/>
  <c r="BJ64" i="14609"/>
  <c r="BK64" i="14609"/>
  <c r="BL64" i="14609"/>
  <c r="BM64" i="14609"/>
  <c r="BN64" i="14609"/>
  <c r="BO64" i="14609"/>
  <c r="BP64" i="14609"/>
  <c r="BQ64" i="14609"/>
  <c r="BR64" i="14609"/>
  <c r="BS64" i="14609"/>
  <c r="BT64" i="14609"/>
  <c r="BU64" i="14609"/>
  <c r="BV64" i="14609"/>
  <c r="BW64" i="14609"/>
  <c r="BX64" i="14609"/>
  <c r="BY64" i="14609"/>
  <c r="BZ64" i="14609"/>
  <c r="CA64" i="14609"/>
  <c r="CB64" i="14609"/>
  <c r="CC64" i="14609"/>
  <c r="CD64" i="14609"/>
  <c r="CE64" i="14609"/>
  <c r="CF64" i="14609"/>
  <c r="CG64" i="14609"/>
  <c r="CH64" i="14609"/>
  <c r="CI64" i="14609"/>
  <c r="CJ64" i="14609"/>
  <c r="CK64" i="14609"/>
  <c r="CL64" i="14609"/>
  <c r="CM64" i="14609"/>
  <c r="CN64" i="14609"/>
  <c r="CO64" i="14609"/>
  <c r="CP64" i="14609"/>
  <c r="CQ64" i="14609"/>
  <c r="CR64" i="14609"/>
  <c r="CS64" i="14609"/>
  <c r="CT64" i="14609"/>
  <c r="CU64" i="14609"/>
  <c r="CV64" i="14609"/>
  <c r="CW64" i="14609"/>
  <c r="CX64" i="14609"/>
  <c r="CY64" i="14609"/>
  <c r="CZ64" i="14609"/>
  <c r="DA64" i="14609"/>
  <c r="DB64" i="14609"/>
  <c r="DC64" i="14609"/>
  <c r="DD64" i="14609"/>
  <c r="DE64" i="14609"/>
  <c r="DF64" i="14609"/>
  <c r="DG64" i="14609"/>
  <c r="DH64" i="14609"/>
  <c r="DI64" i="14609"/>
  <c r="DJ64" i="14609"/>
  <c r="DK64" i="14609"/>
  <c r="DL64" i="14609"/>
  <c r="DM64" i="14609"/>
  <c r="DN64" i="14609"/>
  <c r="DO64" i="14609"/>
  <c r="DP64" i="14609"/>
  <c r="DQ64" i="14609"/>
  <c r="DR64" i="14609"/>
  <c r="DS64" i="14609"/>
  <c r="DT64" i="14609"/>
  <c r="DU64" i="14609"/>
  <c r="DV64" i="14609"/>
  <c r="DW64" i="14609"/>
  <c r="DX64" i="14609"/>
  <c r="DY64" i="14609"/>
  <c r="DZ64" i="14609"/>
  <c r="EA64" i="14609"/>
  <c r="EB64" i="14609"/>
  <c r="EC64" i="14609"/>
  <c r="ED64" i="14609"/>
  <c r="EE64" i="14609"/>
  <c r="EF64" i="14609"/>
  <c r="EG64" i="14609"/>
  <c r="EH64" i="14609"/>
  <c r="EI64" i="14609"/>
  <c r="EJ64" i="14609"/>
  <c r="EK64" i="14609"/>
  <c r="EL64" i="14609"/>
  <c r="EM64" i="14609"/>
  <c r="EN64" i="14609"/>
  <c r="EO64" i="14609"/>
  <c r="EP64" i="14609"/>
  <c r="EQ64" i="14609"/>
  <c r="ER64" i="14609"/>
  <c r="ES64" i="14609"/>
  <c r="ET64" i="14609"/>
  <c r="EU64" i="14609"/>
  <c r="EV64" i="14609"/>
  <c r="EW64" i="14609"/>
  <c r="EX64" i="14609"/>
  <c r="EY64" i="14609"/>
  <c r="EZ64" i="14609"/>
  <c r="FA64" i="14609"/>
  <c r="FB64" i="14609"/>
  <c r="FC64" i="14609"/>
  <c r="FD64" i="14609"/>
  <c r="FE64" i="14609"/>
  <c r="FF64" i="14609"/>
  <c r="FG64" i="14609"/>
  <c r="FH64" i="14609"/>
  <c r="FI64" i="14609"/>
  <c r="FJ64" i="14609"/>
  <c r="FK64" i="14609"/>
  <c r="FL64" i="14609"/>
  <c r="FM64" i="14609"/>
  <c r="FN64" i="14609"/>
  <c r="FO64" i="14609"/>
  <c r="FP64" i="14609"/>
  <c r="FQ64" i="14609"/>
  <c r="FR64" i="14609"/>
  <c r="FS64" i="14609"/>
  <c r="FT64" i="14609"/>
  <c r="FU64" i="14609"/>
  <c r="FV64" i="14609"/>
  <c r="FW64" i="14609"/>
  <c r="FX64" i="14609"/>
  <c r="FY64" i="14609"/>
  <c r="FZ64" i="14609"/>
  <c r="GA64" i="14609"/>
  <c r="GB64" i="14609"/>
  <c r="GC64" i="14609"/>
  <c r="GD64" i="14609"/>
  <c r="GE64" i="14609"/>
  <c r="GF64" i="14609"/>
  <c r="GG64" i="14609"/>
  <c r="GH64" i="14609"/>
  <c r="GI64" i="14609"/>
  <c r="GJ64" i="14609"/>
  <c r="GK64" i="14609"/>
  <c r="GL64" i="14609"/>
  <c r="GM64" i="14609"/>
  <c r="GN64" i="14609"/>
  <c r="GO64" i="14609"/>
  <c r="GP64" i="14609"/>
  <c r="GQ64" i="14609"/>
  <c r="GR64" i="14609"/>
  <c r="GS64" i="14609"/>
  <c r="GT64" i="14609"/>
  <c r="GU64" i="14609"/>
  <c r="GV64" i="14609"/>
  <c r="GW64" i="14609"/>
  <c r="GX64" i="14609"/>
  <c r="GY64" i="14609"/>
  <c r="GZ64" i="14609"/>
  <c r="HA64" i="14609"/>
  <c r="HB64" i="14609"/>
  <c r="HC64" i="14609"/>
  <c r="HD64" i="14609"/>
  <c r="HE64" i="14609"/>
  <c r="HF64" i="14609"/>
  <c r="HG64" i="14609"/>
  <c r="HH64" i="14609"/>
  <c r="HI64" i="14609"/>
  <c r="HJ64" i="14609"/>
  <c r="HK64" i="14609"/>
  <c r="HL64" i="14609"/>
  <c r="HM64" i="14609"/>
  <c r="HN64" i="14609"/>
  <c r="HO64" i="14609"/>
  <c r="HP64" i="14609"/>
  <c r="HQ64" i="14609"/>
  <c r="HR64" i="14609"/>
  <c r="HS64" i="14609"/>
  <c r="HT64" i="14609"/>
  <c r="HU64" i="14609"/>
  <c r="HV64" i="14609"/>
  <c r="HW64" i="14609"/>
  <c r="HX64" i="14609"/>
  <c r="HY64" i="14609"/>
  <c r="HZ64" i="14609"/>
  <c r="IA64" i="14609"/>
  <c r="IB64" i="14609"/>
  <c r="IC64" i="14609"/>
  <c r="ID64" i="14609"/>
  <c r="IE64" i="14609"/>
  <c r="IF64" i="14609"/>
  <c r="IG64" i="14609"/>
  <c r="IH64" i="14609"/>
  <c r="II64" i="14609"/>
  <c r="IJ64" i="14609"/>
  <c r="IK64" i="14609"/>
  <c r="IL64" i="14609"/>
  <c r="IM64" i="14609"/>
  <c r="IN64" i="14609"/>
  <c r="IO64" i="14609"/>
  <c r="IP64" i="14609"/>
  <c r="IQ64" i="14609"/>
  <c r="IR64" i="14609"/>
  <c r="IS64" i="14609"/>
  <c r="IT64" i="14609"/>
  <c r="IU64" i="14609"/>
  <c r="IV64" i="14609"/>
  <c r="A63" i="14609"/>
  <c r="B63" i="14609"/>
  <c r="C63" i="14609"/>
  <c r="D63" i="14609"/>
  <c r="E63" i="14609"/>
  <c r="F63" i="14609"/>
  <c r="G63" i="14609"/>
  <c r="H63" i="14609"/>
  <c r="I63" i="14609"/>
  <c r="J63" i="14609"/>
  <c r="K63" i="14609"/>
  <c r="L63" i="14609"/>
  <c r="M63" i="14609"/>
  <c r="N63" i="14609"/>
  <c r="O63" i="14609"/>
  <c r="P63" i="14609"/>
  <c r="Q63" i="14609"/>
  <c r="R63" i="14609"/>
  <c r="S63" i="14609"/>
  <c r="T63" i="14609"/>
  <c r="U63" i="14609"/>
  <c r="V63" i="14609"/>
  <c r="W63" i="14609"/>
  <c r="X63" i="14609"/>
  <c r="Y63" i="14609"/>
  <c r="Z63" i="14609"/>
  <c r="AA63" i="14609"/>
  <c r="AB63" i="14609"/>
  <c r="AC63" i="14609"/>
  <c r="AD63" i="14609"/>
  <c r="AE63" i="14609"/>
  <c r="AF63" i="14609"/>
  <c r="AG63" i="14609"/>
  <c r="AH63" i="14609"/>
  <c r="AI63" i="14609"/>
  <c r="AJ63" i="14609"/>
  <c r="AK63" i="14609"/>
  <c r="AL63" i="14609"/>
  <c r="AM63" i="14609"/>
  <c r="AN63" i="14609"/>
  <c r="AO63" i="14609"/>
  <c r="AP63" i="14609"/>
  <c r="AQ63" i="14609"/>
  <c r="AR63" i="14609"/>
  <c r="AS63" i="14609"/>
  <c r="AT63" i="14609"/>
  <c r="AU63" i="14609"/>
  <c r="AV63" i="14609"/>
  <c r="AW63" i="14609"/>
  <c r="AX63" i="14609"/>
  <c r="AY63" i="14609"/>
  <c r="AZ63" i="14609"/>
  <c r="BA63" i="14609"/>
  <c r="BB63" i="14609"/>
  <c r="BC63" i="14609"/>
  <c r="BD63" i="14609"/>
  <c r="BE63" i="14609"/>
  <c r="BF63" i="14609"/>
  <c r="BG63" i="14609"/>
  <c r="BH63" i="14609"/>
  <c r="BI63" i="14609"/>
  <c r="BJ63" i="14609"/>
  <c r="BK63" i="14609"/>
  <c r="BL63" i="14609"/>
  <c r="BM63" i="14609"/>
  <c r="BN63" i="14609"/>
  <c r="BO63" i="14609"/>
  <c r="BP63" i="14609"/>
  <c r="BQ63" i="14609"/>
  <c r="BR63" i="14609"/>
  <c r="BS63" i="14609"/>
  <c r="BT63" i="14609"/>
  <c r="BU63" i="14609"/>
  <c r="BV63" i="14609"/>
  <c r="BW63" i="14609"/>
  <c r="BX63" i="14609"/>
  <c r="BY63" i="14609"/>
  <c r="BZ63" i="14609"/>
  <c r="CA63" i="14609"/>
  <c r="CB63" i="14609"/>
  <c r="CC63" i="14609"/>
  <c r="CD63" i="14609"/>
  <c r="CE63" i="14609"/>
  <c r="CF63" i="14609"/>
  <c r="CG63" i="14609"/>
  <c r="CH63" i="14609"/>
  <c r="CI63" i="14609"/>
  <c r="CJ63" i="14609"/>
  <c r="CK63" i="14609"/>
  <c r="CL63" i="14609"/>
  <c r="CM63" i="14609"/>
  <c r="CN63" i="14609"/>
  <c r="CO63" i="14609"/>
  <c r="CP63" i="14609"/>
  <c r="CQ63" i="14609"/>
  <c r="CR63" i="14609"/>
  <c r="CS63" i="14609"/>
  <c r="CT63" i="14609"/>
  <c r="CU63" i="14609"/>
  <c r="CV63" i="14609"/>
  <c r="CW63" i="14609"/>
  <c r="CX63" i="14609"/>
  <c r="CY63" i="14609"/>
  <c r="CZ63" i="14609"/>
  <c r="DA63" i="14609"/>
  <c r="DB63" i="14609"/>
  <c r="DC63" i="14609"/>
  <c r="DD63" i="14609"/>
  <c r="DE63" i="14609"/>
  <c r="DF63" i="14609"/>
  <c r="DG63" i="14609"/>
  <c r="DH63" i="14609"/>
  <c r="DI63" i="14609"/>
  <c r="DJ63" i="14609"/>
  <c r="DK63" i="14609"/>
  <c r="DL63" i="14609"/>
  <c r="DM63" i="14609"/>
  <c r="DN63" i="14609"/>
  <c r="DO63" i="14609"/>
  <c r="DP63" i="14609"/>
  <c r="DQ63" i="14609"/>
  <c r="DR63" i="14609"/>
  <c r="DS63" i="14609"/>
  <c r="DT63" i="14609"/>
  <c r="DU63" i="14609"/>
  <c r="DV63" i="14609"/>
  <c r="DW63" i="14609"/>
  <c r="DX63" i="14609"/>
  <c r="DY63" i="14609"/>
  <c r="DZ63" i="14609"/>
  <c r="EA63" i="14609"/>
  <c r="EB63" i="14609"/>
  <c r="EC63" i="14609"/>
  <c r="ED63" i="14609"/>
  <c r="EE63" i="14609"/>
  <c r="EF63" i="14609"/>
  <c r="EG63" i="14609"/>
  <c r="EH63" i="14609"/>
  <c r="EI63" i="14609"/>
  <c r="EJ63" i="14609"/>
  <c r="EK63" i="14609"/>
  <c r="EL63" i="14609"/>
  <c r="EM63" i="14609"/>
  <c r="EN63" i="14609"/>
  <c r="EO63" i="14609"/>
  <c r="EP63" i="14609"/>
  <c r="EQ63" i="14609"/>
  <c r="ER63" i="14609"/>
  <c r="ES63" i="14609"/>
  <c r="ET63" i="14609"/>
  <c r="EU63" i="14609"/>
  <c r="EV63" i="14609"/>
  <c r="EW63" i="14609"/>
  <c r="EX63" i="14609"/>
  <c r="EY63" i="14609"/>
  <c r="EZ63" i="14609"/>
  <c r="FA63" i="14609"/>
  <c r="FB63" i="14609"/>
  <c r="FC63" i="14609"/>
  <c r="FD63" i="14609"/>
  <c r="FE63" i="14609"/>
  <c r="FF63" i="14609"/>
  <c r="FG63" i="14609"/>
  <c r="FH63" i="14609"/>
  <c r="FI63" i="14609"/>
  <c r="FJ63" i="14609"/>
  <c r="FK63" i="14609"/>
  <c r="FL63" i="14609"/>
  <c r="FM63" i="14609"/>
  <c r="FN63" i="14609"/>
  <c r="FO63" i="14609"/>
  <c r="FP63" i="14609"/>
  <c r="FQ63" i="14609"/>
  <c r="FR63" i="14609"/>
  <c r="FS63" i="14609"/>
  <c r="FT63" i="14609"/>
  <c r="FU63" i="14609"/>
  <c r="FV63" i="14609"/>
  <c r="FW63" i="14609"/>
  <c r="FX63" i="14609"/>
  <c r="FY63" i="14609"/>
  <c r="FZ63" i="14609"/>
  <c r="GA63" i="14609"/>
  <c r="GB63" i="14609"/>
  <c r="GC63" i="14609"/>
  <c r="GD63" i="14609"/>
  <c r="GE63" i="14609"/>
  <c r="GF63" i="14609"/>
  <c r="GG63" i="14609"/>
  <c r="GH63" i="14609"/>
  <c r="GI63" i="14609"/>
  <c r="GJ63" i="14609"/>
  <c r="GK63" i="14609"/>
  <c r="GL63" i="14609"/>
  <c r="GM63" i="14609"/>
  <c r="GN63" i="14609"/>
  <c r="GO63" i="14609"/>
  <c r="GP63" i="14609"/>
  <c r="GQ63" i="14609"/>
  <c r="GR63" i="14609"/>
  <c r="GS63" i="14609"/>
  <c r="GT63" i="14609"/>
  <c r="GU63" i="14609"/>
  <c r="GV63" i="14609"/>
  <c r="GW63" i="14609"/>
  <c r="GX63" i="14609"/>
  <c r="GY63" i="14609"/>
  <c r="GZ63" i="14609"/>
  <c r="HA63" i="14609"/>
  <c r="HB63" i="14609"/>
  <c r="HC63" i="14609"/>
  <c r="HD63" i="14609"/>
  <c r="HE63" i="14609"/>
  <c r="HF63" i="14609"/>
  <c r="HG63" i="14609"/>
  <c r="HH63" i="14609"/>
  <c r="HI63" i="14609"/>
  <c r="HJ63" i="14609"/>
  <c r="HK63" i="14609"/>
  <c r="HL63" i="14609"/>
  <c r="HM63" i="14609"/>
  <c r="HN63" i="14609"/>
  <c r="HO63" i="14609"/>
  <c r="HP63" i="14609"/>
  <c r="HQ63" i="14609"/>
  <c r="HR63" i="14609"/>
  <c r="HS63" i="14609"/>
  <c r="HT63" i="14609"/>
  <c r="HU63" i="14609"/>
  <c r="HV63" i="14609"/>
  <c r="HW63" i="14609"/>
  <c r="HX63" i="14609"/>
  <c r="HY63" i="14609"/>
  <c r="HZ63" i="14609"/>
  <c r="IA63" i="14609"/>
  <c r="IB63" i="14609"/>
  <c r="IC63" i="14609"/>
  <c r="ID63" i="14609"/>
  <c r="IE63" i="14609"/>
  <c r="IF63" i="14609"/>
  <c r="IG63" i="14609"/>
  <c r="IH63" i="14609"/>
  <c r="II63" i="14609"/>
  <c r="IJ63" i="14609"/>
  <c r="IK63" i="14609"/>
  <c r="IL63" i="14609"/>
  <c r="IM63" i="14609"/>
  <c r="IN63" i="14609"/>
  <c r="IO63" i="14609"/>
  <c r="IP63" i="14609"/>
  <c r="IQ63" i="14609"/>
  <c r="IR63" i="14609"/>
  <c r="IS63" i="14609"/>
  <c r="IT63" i="14609"/>
  <c r="IU63" i="14609"/>
  <c r="IV63" i="14609"/>
  <c r="A62" i="14609"/>
  <c r="B62" i="14609"/>
  <c r="C62" i="14609"/>
  <c r="D62" i="14609"/>
  <c r="E62" i="14609"/>
  <c r="F62" i="14609"/>
  <c r="G62" i="14609"/>
  <c r="H62" i="14609"/>
  <c r="I62" i="14609"/>
  <c r="J62" i="14609"/>
  <c r="K62" i="14609"/>
  <c r="L62" i="14609"/>
  <c r="M62" i="14609"/>
  <c r="N62" i="14609"/>
  <c r="O62" i="14609"/>
  <c r="P62" i="14609"/>
  <c r="Q62" i="14609"/>
  <c r="R62" i="14609"/>
  <c r="S62" i="14609"/>
  <c r="T62" i="14609"/>
  <c r="U62" i="14609"/>
  <c r="V62" i="14609"/>
  <c r="W62" i="14609"/>
  <c r="X62" i="14609"/>
  <c r="Y62" i="14609"/>
  <c r="Z62" i="14609"/>
  <c r="AA62" i="14609"/>
  <c r="AB62" i="14609"/>
  <c r="AC62" i="14609"/>
  <c r="AD62" i="14609"/>
  <c r="AE62" i="14609"/>
  <c r="AF62" i="14609"/>
  <c r="AG62" i="14609"/>
  <c r="AH62" i="14609"/>
  <c r="AI62" i="14609"/>
  <c r="AJ62" i="14609"/>
  <c r="AK62" i="14609"/>
  <c r="AL62" i="14609"/>
  <c r="AM62" i="14609"/>
  <c r="AN62" i="14609"/>
  <c r="AO62" i="14609"/>
  <c r="AP62" i="14609"/>
  <c r="AQ62" i="14609"/>
  <c r="AR62" i="14609"/>
  <c r="AS62" i="14609"/>
  <c r="AT62" i="14609"/>
  <c r="AU62" i="14609"/>
  <c r="AV62" i="14609"/>
  <c r="AW62" i="14609"/>
  <c r="AX62" i="14609"/>
  <c r="AY62" i="14609"/>
  <c r="AZ62" i="14609"/>
  <c r="BA62" i="14609"/>
  <c r="BB62" i="14609"/>
  <c r="BC62" i="14609"/>
  <c r="BD62" i="14609"/>
  <c r="BE62" i="14609"/>
  <c r="BF62" i="14609"/>
  <c r="BG62" i="14609"/>
  <c r="BH62" i="14609"/>
  <c r="BI62" i="14609"/>
  <c r="BJ62" i="14609"/>
  <c r="BK62" i="14609"/>
  <c r="BL62" i="14609"/>
  <c r="BM62" i="14609"/>
  <c r="BN62" i="14609"/>
  <c r="BO62" i="14609"/>
  <c r="BP62" i="14609"/>
  <c r="BQ62" i="14609"/>
  <c r="BR62" i="14609"/>
  <c r="BS62" i="14609"/>
  <c r="BT62" i="14609"/>
  <c r="BU62" i="14609"/>
  <c r="BV62" i="14609"/>
  <c r="BW62" i="14609"/>
  <c r="BX62" i="14609"/>
  <c r="BY62" i="14609"/>
  <c r="BZ62" i="14609"/>
  <c r="CA62" i="14609"/>
  <c r="CB62" i="14609"/>
  <c r="CC62" i="14609"/>
  <c r="CD62" i="14609"/>
  <c r="CE62" i="14609"/>
  <c r="CF62" i="14609"/>
  <c r="CG62" i="14609"/>
  <c r="CH62" i="14609"/>
  <c r="CI62" i="14609"/>
  <c r="CJ62" i="14609"/>
  <c r="CK62" i="14609"/>
  <c r="CL62" i="14609"/>
  <c r="CM62" i="14609"/>
  <c r="CN62" i="14609"/>
  <c r="CO62" i="14609"/>
  <c r="CP62" i="14609"/>
  <c r="CQ62" i="14609"/>
  <c r="CR62" i="14609"/>
  <c r="CS62" i="14609"/>
  <c r="CT62" i="14609"/>
  <c r="CU62" i="14609"/>
  <c r="CV62" i="14609"/>
  <c r="CW62" i="14609"/>
  <c r="CX62" i="14609"/>
  <c r="CY62" i="14609"/>
  <c r="CZ62" i="14609"/>
  <c r="DA62" i="14609"/>
  <c r="DB62" i="14609"/>
  <c r="DC62" i="14609"/>
  <c r="DD62" i="14609"/>
  <c r="DE62" i="14609"/>
  <c r="DF62" i="14609"/>
  <c r="DG62" i="14609"/>
  <c r="DH62" i="14609"/>
  <c r="DI62" i="14609"/>
  <c r="DJ62" i="14609"/>
  <c r="DK62" i="14609"/>
  <c r="DL62" i="14609"/>
  <c r="DM62" i="14609"/>
  <c r="DN62" i="14609"/>
  <c r="DO62" i="14609"/>
  <c r="DP62" i="14609"/>
  <c r="DQ62" i="14609"/>
  <c r="DR62" i="14609"/>
  <c r="DS62" i="14609"/>
  <c r="DT62" i="14609"/>
  <c r="DU62" i="14609"/>
  <c r="DV62" i="14609"/>
  <c r="DW62" i="14609"/>
  <c r="DX62" i="14609"/>
  <c r="DY62" i="14609"/>
  <c r="DZ62" i="14609"/>
  <c r="EA62" i="14609"/>
  <c r="EB62" i="14609"/>
  <c r="EC62" i="14609"/>
  <c r="ED62" i="14609"/>
  <c r="EE62" i="14609"/>
  <c r="EF62" i="14609"/>
  <c r="EG62" i="14609"/>
  <c r="EH62" i="14609"/>
  <c r="EI62" i="14609"/>
  <c r="EJ62" i="14609"/>
  <c r="EK62" i="14609"/>
  <c r="EL62" i="14609"/>
  <c r="EM62" i="14609"/>
  <c r="EN62" i="14609"/>
  <c r="EO62" i="14609"/>
  <c r="EP62" i="14609"/>
  <c r="EQ62" i="14609"/>
  <c r="ER62" i="14609"/>
  <c r="ES62" i="14609"/>
  <c r="ET62" i="14609"/>
  <c r="EU62" i="14609"/>
  <c r="EV62" i="14609"/>
  <c r="EW62" i="14609"/>
  <c r="EX62" i="14609"/>
  <c r="EY62" i="14609"/>
  <c r="EZ62" i="14609"/>
  <c r="FA62" i="14609"/>
  <c r="FB62" i="14609"/>
  <c r="FC62" i="14609"/>
  <c r="FD62" i="14609"/>
  <c r="FE62" i="14609"/>
  <c r="FF62" i="14609"/>
  <c r="FG62" i="14609"/>
  <c r="FH62" i="14609"/>
  <c r="FI62" i="14609"/>
  <c r="FJ62" i="14609"/>
  <c r="FK62" i="14609"/>
  <c r="FL62" i="14609"/>
  <c r="FM62" i="14609"/>
  <c r="FN62" i="14609"/>
  <c r="FO62" i="14609"/>
  <c r="FP62" i="14609"/>
  <c r="FQ62" i="14609"/>
  <c r="FR62" i="14609"/>
  <c r="FS62" i="14609"/>
  <c r="FT62" i="14609"/>
  <c r="FU62" i="14609"/>
  <c r="FV62" i="14609"/>
  <c r="FW62" i="14609"/>
  <c r="FX62" i="14609"/>
  <c r="FY62" i="14609"/>
  <c r="FZ62" i="14609"/>
  <c r="GA62" i="14609"/>
  <c r="GB62" i="14609"/>
  <c r="GC62" i="14609"/>
  <c r="GD62" i="14609"/>
  <c r="GE62" i="14609"/>
  <c r="GF62" i="14609"/>
  <c r="GG62" i="14609"/>
  <c r="GH62" i="14609"/>
  <c r="GI62" i="14609"/>
  <c r="GJ62" i="14609"/>
  <c r="GK62" i="14609"/>
  <c r="GL62" i="14609"/>
  <c r="GM62" i="14609"/>
  <c r="GN62" i="14609"/>
  <c r="GO62" i="14609"/>
  <c r="GP62" i="14609"/>
  <c r="GQ62" i="14609"/>
  <c r="GR62" i="14609"/>
  <c r="GS62" i="14609"/>
  <c r="GT62" i="14609"/>
  <c r="GU62" i="14609"/>
  <c r="GV62" i="14609"/>
  <c r="GW62" i="14609"/>
  <c r="GX62" i="14609"/>
  <c r="GY62" i="14609"/>
  <c r="GZ62" i="14609"/>
  <c r="HA62" i="14609"/>
  <c r="HB62" i="14609"/>
  <c r="HC62" i="14609"/>
  <c r="HD62" i="14609"/>
  <c r="HE62" i="14609"/>
  <c r="HF62" i="14609"/>
  <c r="HG62" i="14609"/>
  <c r="HH62" i="14609"/>
  <c r="HI62" i="14609"/>
  <c r="HJ62" i="14609"/>
  <c r="HK62" i="14609"/>
  <c r="HL62" i="14609"/>
  <c r="HM62" i="14609"/>
  <c r="HN62" i="14609"/>
  <c r="HO62" i="14609"/>
  <c r="HP62" i="14609"/>
  <c r="HQ62" i="14609"/>
  <c r="HR62" i="14609"/>
  <c r="HS62" i="14609"/>
  <c r="HT62" i="14609"/>
  <c r="HU62" i="14609"/>
  <c r="HV62" i="14609"/>
  <c r="HW62" i="14609"/>
  <c r="HX62" i="14609"/>
  <c r="HY62" i="14609"/>
  <c r="HZ62" i="14609"/>
  <c r="IA62" i="14609"/>
  <c r="IB62" i="14609"/>
  <c r="IC62" i="14609"/>
  <c r="ID62" i="14609"/>
  <c r="IE62" i="14609"/>
  <c r="IF62" i="14609"/>
  <c r="IG62" i="14609"/>
  <c r="IH62" i="14609"/>
  <c r="II62" i="14609"/>
  <c r="IJ62" i="14609"/>
  <c r="IK62" i="14609"/>
  <c r="IL62" i="14609"/>
  <c r="IM62" i="14609"/>
  <c r="IN62" i="14609"/>
  <c r="IO62" i="14609"/>
  <c r="IP62" i="14609"/>
  <c r="IQ62" i="14609"/>
  <c r="IR62" i="14609"/>
  <c r="IS62" i="14609"/>
  <c r="IT62" i="14609"/>
  <c r="IU62" i="14609"/>
  <c r="IV62" i="14609"/>
  <c r="A61" i="14609"/>
  <c r="B61" i="14609"/>
  <c r="C61" i="14609"/>
  <c r="D61" i="14609"/>
  <c r="E61" i="14609"/>
  <c r="F61" i="14609"/>
  <c r="G61" i="14609"/>
  <c r="H61" i="14609"/>
  <c r="I61" i="14609"/>
  <c r="J61" i="14609"/>
  <c r="K61" i="14609"/>
  <c r="L61" i="14609"/>
  <c r="M61" i="14609"/>
  <c r="N61" i="14609"/>
  <c r="O61" i="14609"/>
  <c r="P61" i="14609"/>
  <c r="Q61" i="14609"/>
  <c r="R61" i="14609"/>
  <c r="S61" i="14609"/>
  <c r="T61" i="14609"/>
  <c r="U61" i="14609"/>
  <c r="V61" i="14609"/>
  <c r="W61" i="14609"/>
  <c r="X61" i="14609"/>
  <c r="Y61" i="14609"/>
  <c r="Z61" i="14609"/>
  <c r="AA61" i="14609"/>
  <c r="AB61" i="14609"/>
  <c r="AC61" i="14609"/>
  <c r="AD61" i="14609"/>
  <c r="AE61" i="14609"/>
  <c r="AF61" i="14609"/>
  <c r="AG61" i="14609"/>
  <c r="AH61" i="14609"/>
  <c r="AI61" i="14609"/>
  <c r="AJ61" i="14609"/>
  <c r="AK61" i="14609"/>
  <c r="AL61" i="14609"/>
  <c r="AM61" i="14609"/>
  <c r="AN61" i="14609"/>
  <c r="AO61" i="14609"/>
  <c r="AP61" i="14609"/>
  <c r="AQ61" i="14609"/>
  <c r="AR61" i="14609"/>
  <c r="AS61" i="14609"/>
  <c r="AT61" i="14609"/>
  <c r="AU61" i="14609"/>
  <c r="AV61" i="14609"/>
  <c r="AW61" i="14609"/>
  <c r="AX61" i="14609"/>
  <c r="AY61" i="14609"/>
  <c r="AZ61" i="14609"/>
  <c r="BA61" i="14609"/>
  <c r="BB61" i="14609"/>
  <c r="BC61" i="14609"/>
  <c r="BD61" i="14609"/>
  <c r="BE61" i="14609"/>
  <c r="BF61" i="14609"/>
  <c r="BG61" i="14609"/>
  <c r="BH61" i="14609"/>
  <c r="BI61" i="14609"/>
  <c r="BJ61" i="14609"/>
  <c r="BK61" i="14609"/>
  <c r="BL61" i="14609"/>
  <c r="BM61" i="14609"/>
  <c r="BN61" i="14609"/>
  <c r="BO61" i="14609"/>
  <c r="BP61" i="14609"/>
  <c r="BQ61" i="14609"/>
  <c r="BR61" i="14609"/>
  <c r="BS61" i="14609"/>
  <c r="BT61" i="14609"/>
  <c r="BU61" i="14609"/>
  <c r="BV61" i="14609"/>
  <c r="BW61" i="14609"/>
  <c r="BX61" i="14609"/>
  <c r="BY61" i="14609"/>
  <c r="BZ61" i="14609"/>
  <c r="CA61" i="14609"/>
  <c r="CB61" i="14609"/>
  <c r="CC61" i="14609"/>
  <c r="CD61" i="14609"/>
  <c r="CE61" i="14609"/>
  <c r="CF61" i="14609"/>
  <c r="CG61" i="14609"/>
  <c r="CH61" i="14609"/>
  <c r="CI61" i="14609"/>
  <c r="CJ61" i="14609"/>
  <c r="CK61" i="14609"/>
  <c r="CL61" i="14609"/>
  <c r="CM61" i="14609"/>
  <c r="CN61" i="14609"/>
  <c r="CO61" i="14609"/>
  <c r="CP61" i="14609"/>
  <c r="CQ61" i="14609"/>
  <c r="CR61" i="14609"/>
  <c r="CS61" i="14609"/>
  <c r="CT61" i="14609"/>
  <c r="CU61" i="14609"/>
  <c r="CV61" i="14609"/>
  <c r="CW61" i="14609"/>
  <c r="CX61" i="14609"/>
  <c r="CY61" i="14609"/>
  <c r="CZ61" i="14609"/>
  <c r="DA61" i="14609"/>
  <c r="DB61" i="14609"/>
  <c r="DC61" i="14609"/>
  <c r="DD61" i="14609"/>
  <c r="DE61" i="14609"/>
  <c r="DF61" i="14609"/>
  <c r="DG61" i="14609"/>
  <c r="DH61" i="14609"/>
  <c r="DI61" i="14609"/>
  <c r="DJ61" i="14609"/>
  <c r="DK61" i="14609"/>
  <c r="DL61" i="14609"/>
  <c r="DM61" i="14609"/>
  <c r="DN61" i="14609"/>
  <c r="DO61" i="14609"/>
  <c r="DP61" i="14609"/>
  <c r="DQ61" i="14609"/>
  <c r="DR61" i="14609"/>
  <c r="DS61" i="14609"/>
  <c r="DT61" i="14609"/>
  <c r="DU61" i="14609"/>
  <c r="DV61" i="14609"/>
  <c r="DW61" i="14609"/>
  <c r="DX61" i="14609"/>
  <c r="DY61" i="14609"/>
  <c r="DZ61" i="14609"/>
  <c r="EA61" i="14609"/>
  <c r="EB61" i="14609"/>
  <c r="EC61" i="14609"/>
  <c r="ED61" i="14609"/>
  <c r="EE61" i="14609"/>
  <c r="EF61" i="14609"/>
  <c r="EG61" i="14609"/>
  <c r="EH61" i="14609"/>
  <c r="EI61" i="14609"/>
  <c r="EJ61" i="14609"/>
  <c r="EK61" i="14609"/>
  <c r="EL61" i="14609"/>
  <c r="EM61" i="14609"/>
  <c r="EN61" i="14609"/>
  <c r="EO61" i="14609"/>
  <c r="EP61" i="14609"/>
  <c r="EQ61" i="14609"/>
  <c r="ER61" i="14609"/>
  <c r="ES61" i="14609"/>
  <c r="ET61" i="14609"/>
  <c r="EU61" i="14609"/>
  <c r="EV61" i="14609"/>
  <c r="EW61" i="14609"/>
  <c r="EX61" i="14609"/>
  <c r="EY61" i="14609"/>
  <c r="EZ61" i="14609"/>
  <c r="FA61" i="14609"/>
  <c r="FB61" i="14609"/>
  <c r="FC61" i="14609"/>
  <c r="FD61" i="14609"/>
  <c r="FE61" i="14609"/>
  <c r="FF61" i="14609"/>
  <c r="FG61" i="14609"/>
  <c r="FH61" i="14609"/>
  <c r="FI61" i="14609"/>
  <c r="FJ61" i="14609"/>
  <c r="FK61" i="14609"/>
  <c r="FL61" i="14609"/>
  <c r="FM61" i="14609"/>
  <c r="FN61" i="14609"/>
  <c r="FO61" i="14609"/>
  <c r="FP61" i="14609"/>
  <c r="FQ61" i="14609"/>
  <c r="FR61" i="14609"/>
  <c r="FS61" i="14609"/>
  <c r="FT61" i="14609"/>
  <c r="FU61" i="14609"/>
  <c r="FV61" i="14609"/>
  <c r="FW61" i="14609"/>
  <c r="FX61" i="14609"/>
  <c r="FY61" i="14609"/>
  <c r="FZ61" i="14609"/>
  <c r="GA61" i="14609"/>
  <c r="GB61" i="14609"/>
  <c r="GC61" i="14609"/>
  <c r="GD61" i="14609"/>
  <c r="GE61" i="14609"/>
  <c r="GF61" i="14609"/>
  <c r="GG61" i="14609"/>
  <c r="GH61" i="14609"/>
  <c r="GI61" i="14609"/>
  <c r="GJ61" i="14609"/>
  <c r="GK61" i="14609"/>
  <c r="GL61" i="14609"/>
  <c r="GM61" i="14609"/>
  <c r="GN61" i="14609"/>
  <c r="GO61" i="14609"/>
  <c r="GP61" i="14609"/>
  <c r="GQ61" i="14609"/>
  <c r="GR61" i="14609"/>
  <c r="GS61" i="14609"/>
  <c r="GT61" i="14609"/>
  <c r="GU61" i="14609"/>
  <c r="GV61" i="14609"/>
  <c r="GW61" i="14609"/>
  <c r="GX61" i="14609"/>
  <c r="GY61" i="14609"/>
  <c r="GZ61" i="14609"/>
  <c r="HA61" i="14609"/>
  <c r="HB61" i="14609"/>
  <c r="HC61" i="14609"/>
  <c r="HD61" i="14609"/>
  <c r="HE61" i="14609"/>
  <c r="HF61" i="14609"/>
  <c r="HG61" i="14609"/>
  <c r="HH61" i="14609"/>
  <c r="HI61" i="14609"/>
  <c r="HJ61" i="14609"/>
  <c r="HK61" i="14609"/>
  <c r="HL61" i="14609"/>
  <c r="HM61" i="14609"/>
  <c r="HN61" i="14609"/>
  <c r="HO61" i="14609"/>
  <c r="HP61" i="14609"/>
  <c r="HQ61" i="14609"/>
  <c r="HR61" i="14609"/>
  <c r="HS61" i="14609"/>
  <c r="HT61" i="14609"/>
  <c r="HU61" i="14609"/>
  <c r="HV61" i="14609"/>
  <c r="HW61" i="14609"/>
  <c r="HX61" i="14609"/>
  <c r="HY61" i="14609"/>
  <c r="HZ61" i="14609"/>
  <c r="IA61" i="14609"/>
  <c r="IB61" i="14609"/>
  <c r="IC61" i="14609"/>
  <c r="ID61" i="14609"/>
  <c r="IE61" i="14609"/>
  <c r="IF61" i="14609"/>
  <c r="IG61" i="14609"/>
  <c r="IH61" i="14609"/>
  <c r="II61" i="14609"/>
  <c r="IJ61" i="14609"/>
  <c r="IK61" i="14609"/>
  <c r="IL61" i="14609"/>
  <c r="IM61" i="14609"/>
  <c r="IN61" i="14609"/>
  <c r="IO61" i="14609"/>
  <c r="IP61" i="14609"/>
  <c r="IQ61" i="14609"/>
  <c r="IR61" i="14609"/>
  <c r="IS61" i="14609"/>
  <c r="IT61" i="14609"/>
  <c r="IU61" i="14609"/>
  <c r="IV61" i="14609"/>
  <c r="A60" i="14609"/>
  <c r="B60" i="14609"/>
  <c r="C60" i="14609"/>
  <c r="D60" i="14609"/>
  <c r="E60" i="14609"/>
  <c r="F60" i="14609"/>
  <c r="G60" i="14609"/>
  <c r="H60" i="14609"/>
  <c r="I60" i="14609"/>
  <c r="J60" i="14609"/>
  <c r="K60" i="14609"/>
  <c r="L60" i="14609"/>
  <c r="M60" i="14609"/>
  <c r="N60" i="14609"/>
  <c r="O60" i="14609"/>
  <c r="P60" i="14609"/>
  <c r="Q60" i="14609"/>
  <c r="R60" i="14609"/>
  <c r="S60" i="14609"/>
  <c r="T60" i="14609"/>
  <c r="U60" i="14609"/>
  <c r="V60" i="14609"/>
  <c r="W60" i="14609"/>
  <c r="X60" i="14609"/>
  <c r="Y60" i="14609"/>
  <c r="Z60" i="14609"/>
  <c r="AA60" i="14609"/>
  <c r="AB60" i="14609"/>
  <c r="AC60" i="14609"/>
  <c r="AD60" i="14609"/>
  <c r="AE60" i="14609"/>
  <c r="AF60" i="14609"/>
  <c r="AG60" i="14609"/>
  <c r="AH60" i="14609"/>
  <c r="AI60" i="14609"/>
  <c r="AJ60" i="14609"/>
  <c r="AK60" i="14609"/>
  <c r="AL60" i="14609"/>
  <c r="AM60" i="14609"/>
  <c r="AN60" i="14609"/>
  <c r="AO60" i="14609"/>
  <c r="AP60" i="14609"/>
  <c r="AQ60" i="14609"/>
  <c r="AR60" i="14609"/>
  <c r="AS60" i="14609"/>
  <c r="AT60" i="14609"/>
  <c r="AU60" i="14609"/>
  <c r="AV60" i="14609"/>
  <c r="AW60" i="14609"/>
  <c r="AX60" i="14609"/>
  <c r="AY60" i="14609"/>
  <c r="AZ60" i="14609"/>
  <c r="BA60" i="14609"/>
  <c r="BB60" i="14609"/>
  <c r="BC60" i="14609"/>
  <c r="BD60" i="14609"/>
  <c r="BE60" i="14609"/>
  <c r="BF60" i="14609"/>
  <c r="BG60" i="14609"/>
  <c r="BH60" i="14609"/>
  <c r="BI60" i="14609"/>
  <c r="BJ60" i="14609"/>
  <c r="BK60" i="14609"/>
  <c r="BL60" i="14609"/>
  <c r="BM60" i="14609"/>
  <c r="BN60" i="14609"/>
  <c r="BO60" i="14609"/>
  <c r="BP60" i="14609"/>
  <c r="BQ60" i="14609"/>
  <c r="BR60" i="14609"/>
  <c r="BS60" i="14609"/>
  <c r="BT60" i="14609"/>
  <c r="BU60" i="14609"/>
  <c r="BV60" i="14609"/>
  <c r="BW60" i="14609"/>
  <c r="BX60" i="14609"/>
  <c r="BY60" i="14609"/>
  <c r="BZ60" i="14609"/>
  <c r="CA60" i="14609"/>
  <c r="CB60" i="14609"/>
  <c r="CC60" i="14609"/>
  <c r="CD60" i="14609"/>
  <c r="CE60" i="14609"/>
  <c r="CF60" i="14609"/>
  <c r="CG60" i="14609"/>
  <c r="CH60" i="14609"/>
  <c r="CI60" i="14609"/>
  <c r="CJ60" i="14609"/>
  <c r="CK60" i="14609"/>
  <c r="CL60" i="14609"/>
  <c r="CM60" i="14609"/>
  <c r="CN60" i="14609"/>
  <c r="CO60" i="14609"/>
  <c r="CP60" i="14609"/>
  <c r="CQ60" i="14609"/>
  <c r="CR60" i="14609"/>
  <c r="CS60" i="14609"/>
  <c r="CT60" i="14609"/>
  <c r="CU60" i="14609"/>
  <c r="CV60" i="14609"/>
  <c r="CW60" i="14609"/>
  <c r="CX60" i="14609"/>
  <c r="CY60" i="14609"/>
  <c r="CZ60" i="14609"/>
  <c r="DA60" i="14609"/>
  <c r="DB60" i="14609"/>
  <c r="DC60" i="14609"/>
  <c r="DD60" i="14609"/>
  <c r="DE60" i="14609"/>
  <c r="DF60" i="14609"/>
  <c r="DG60" i="14609"/>
  <c r="DH60" i="14609"/>
  <c r="DI60" i="14609"/>
  <c r="DJ60" i="14609"/>
  <c r="DK60" i="14609"/>
  <c r="DL60" i="14609"/>
  <c r="DM60" i="14609"/>
  <c r="DN60" i="14609"/>
  <c r="DO60" i="14609"/>
  <c r="DP60" i="14609"/>
  <c r="DQ60" i="14609"/>
  <c r="DR60" i="14609"/>
  <c r="DS60" i="14609"/>
  <c r="DT60" i="14609"/>
  <c r="DU60" i="14609"/>
  <c r="DV60" i="14609"/>
  <c r="DW60" i="14609"/>
  <c r="DX60" i="14609"/>
  <c r="DY60" i="14609"/>
  <c r="DZ60" i="14609"/>
  <c r="EA60" i="14609"/>
  <c r="EB60" i="14609"/>
  <c r="EC60" i="14609"/>
  <c r="ED60" i="14609"/>
  <c r="EE60" i="14609"/>
  <c r="EF60" i="14609"/>
  <c r="EG60" i="14609"/>
  <c r="EH60" i="14609"/>
  <c r="EI60" i="14609"/>
  <c r="EJ60" i="14609"/>
  <c r="EK60" i="14609"/>
  <c r="EL60" i="14609"/>
  <c r="EM60" i="14609"/>
  <c r="EN60" i="14609"/>
  <c r="EO60" i="14609"/>
  <c r="EP60" i="14609"/>
  <c r="EQ60" i="14609"/>
  <c r="ER60" i="14609"/>
  <c r="ES60" i="14609"/>
  <c r="ET60" i="14609"/>
  <c r="EU60" i="14609"/>
  <c r="EV60" i="14609"/>
  <c r="EW60" i="14609"/>
  <c r="EX60" i="14609"/>
  <c r="EY60" i="14609"/>
  <c r="EZ60" i="14609"/>
  <c r="FA60" i="14609"/>
  <c r="FB60" i="14609"/>
  <c r="FC60" i="14609"/>
  <c r="FD60" i="14609"/>
  <c r="FE60" i="14609"/>
  <c r="FF60" i="14609"/>
  <c r="FG60" i="14609"/>
  <c r="FH60" i="14609"/>
  <c r="FI60" i="14609"/>
  <c r="FJ60" i="14609"/>
  <c r="FK60" i="14609"/>
  <c r="FL60" i="14609"/>
  <c r="FM60" i="14609"/>
  <c r="FN60" i="14609"/>
  <c r="FO60" i="14609"/>
  <c r="FP60" i="14609"/>
  <c r="FQ60" i="14609"/>
  <c r="FR60" i="14609"/>
  <c r="FS60" i="14609"/>
  <c r="FT60" i="14609"/>
  <c r="FU60" i="14609"/>
  <c r="FV60" i="14609"/>
  <c r="FW60" i="14609"/>
  <c r="FX60" i="14609"/>
  <c r="FY60" i="14609"/>
  <c r="FZ60" i="14609"/>
  <c r="GA60" i="14609"/>
  <c r="GB60" i="14609"/>
  <c r="GC60" i="14609"/>
  <c r="GD60" i="14609"/>
  <c r="GE60" i="14609"/>
  <c r="GF60" i="14609"/>
  <c r="GG60" i="14609"/>
  <c r="GH60" i="14609"/>
  <c r="GI60" i="14609"/>
  <c r="GJ60" i="14609"/>
  <c r="GK60" i="14609"/>
  <c r="GL60" i="14609"/>
  <c r="GM60" i="14609"/>
  <c r="GN60" i="14609"/>
  <c r="GO60" i="14609"/>
  <c r="GP60" i="14609"/>
  <c r="GQ60" i="14609"/>
  <c r="GR60" i="14609"/>
  <c r="GS60" i="14609"/>
  <c r="GT60" i="14609"/>
  <c r="GU60" i="14609"/>
  <c r="GV60" i="14609"/>
  <c r="GW60" i="14609"/>
  <c r="GX60" i="14609"/>
  <c r="GY60" i="14609"/>
  <c r="GZ60" i="14609"/>
  <c r="HA60" i="14609"/>
  <c r="HB60" i="14609"/>
  <c r="HC60" i="14609"/>
  <c r="HD60" i="14609"/>
  <c r="HE60" i="14609"/>
  <c r="HF60" i="14609"/>
  <c r="HG60" i="14609"/>
  <c r="HH60" i="14609"/>
  <c r="HI60" i="14609"/>
  <c r="HJ60" i="14609"/>
  <c r="HK60" i="14609"/>
  <c r="HL60" i="14609"/>
  <c r="HM60" i="14609"/>
  <c r="HN60" i="14609"/>
  <c r="HO60" i="14609"/>
  <c r="HP60" i="14609"/>
  <c r="HQ60" i="14609"/>
  <c r="HR60" i="14609"/>
  <c r="HS60" i="14609"/>
  <c r="HT60" i="14609"/>
  <c r="HU60" i="14609"/>
  <c r="HV60" i="14609"/>
  <c r="HW60" i="14609"/>
  <c r="HX60" i="14609"/>
  <c r="HY60" i="14609"/>
  <c r="HZ60" i="14609"/>
  <c r="IA60" i="14609"/>
  <c r="IB60" i="14609"/>
  <c r="IC60" i="14609"/>
  <c r="ID60" i="14609"/>
  <c r="IE60" i="14609"/>
  <c r="IF60" i="14609"/>
  <c r="IG60" i="14609"/>
  <c r="IH60" i="14609"/>
  <c r="II60" i="14609"/>
  <c r="IJ60" i="14609"/>
  <c r="IK60" i="14609"/>
  <c r="IL60" i="14609"/>
  <c r="IM60" i="14609"/>
  <c r="IN60" i="14609"/>
  <c r="IO60" i="14609"/>
  <c r="IP60" i="14609"/>
  <c r="IQ60" i="14609"/>
  <c r="IR60" i="14609"/>
  <c r="IS60" i="14609"/>
  <c r="IT60" i="14609"/>
  <c r="IU60" i="14609"/>
  <c r="IV60" i="14609"/>
  <c r="A59" i="14609"/>
  <c r="B59" i="14609"/>
  <c r="C59" i="14609"/>
  <c r="D59" i="14609"/>
  <c r="E59" i="14609"/>
  <c r="F59" i="14609"/>
  <c r="G59" i="14609"/>
  <c r="H59" i="14609"/>
  <c r="I59" i="14609"/>
  <c r="J59" i="14609"/>
  <c r="K59" i="14609"/>
  <c r="L59" i="14609"/>
  <c r="M59" i="14609"/>
  <c r="N59" i="14609"/>
  <c r="O59" i="14609"/>
  <c r="P59" i="14609"/>
  <c r="Q59" i="14609"/>
  <c r="R59" i="14609"/>
  <c r="S59" i="14609"/>
  <c r="T59" i="14609"/>
  <c r="U59" i="14609"/>
  <c r="V59" i="14609"/>
  <c r="W59" i="14609"/>
  <c r="X59" i="14609"/>
  <c r="Y59" i="14609"/>
  <c r="Z59" i="14609"/>
  <c r="AA59" i="14609"/>
  <c r="AB59" i="14609"/>
  <c r="AC59" i="14609"/>
  <c r="AD59" i="14609"/>
  <c r="AE59" i="14609"/>
  <c r="AF59" i="14609"/>
  <c r="AG59" i="14609"/>
  <c r="AH59" i="14609"/>
  <c r="AI59" i="14609"/>
  <c r="AJ59" i="14609"/>
  <c r="AK59" i="14609"/>
  <c r="AL59" i="14609"/>
  <c r="AM59" i="14609"/>
  <c r="AN59" i="14609"/>
  <c r="AO59" i="14609"/>
  <c r="AP59" i="14609"/>
  <c r="AQ59" i="14609"/>
  <c r="AR59" i="14609"/>
  <c r="AS59" i="14609"/>
  <c r="AT59" i="14609"/>
  <c r="AU59" i="14609"/>
  <c r="AV59" i="14609"/>
  <c r="AW59" i="14609"/>
  <c r="AX59" i="14609"/>
  <c r="AY59" i="14609"/>
  <c r="AZ59" i="14609"/>
  <c r="BA59" i="14609"/>
  <c r="BB59" i="14609"/>
  <c r="BC59" i="14609"/>
  <c r="BD59" i="14609"/>
  <c r="BE59" i="14609"/>
  <c r="BF59" i="14609"/>
  <c r="BG59" i="14609"/>
  <c r="BH59" i="14609"/>
  <c r="BI59" i="14609"/>
  <c r="BJ59" i="14609"/>
  <c r="BK59" i="14609"/>
  <c r="BL59" i="14609"/>
  <c r="BM59" i="14609"/>
  <c r="BN59" i="14609"/>
  <c r="BO59" i="14609"/>
  <c r="BP59" i="14609"/>
  <c r="BQ59" i="14609"/>
  <c r="BR59" i="14609"/>
  <c r="BS59" i="14609"/>
  <c r="BT59" i="14609"/>
  <c r="BU59" i="14609"/>
  <c r="BV59" i="14609"/>
  <c r="BW59" i="14609"/>
  <c r="BX59" i="14609"/>
  <c r="BY59" i="14609"/>
  <c r="BZ59" i="14609"/>
  <c r="CA59" i="14609"/>
  <c r="CB59" i="14609"/>
  <c r="CC59" i="14609"/>
  <c r="CD59" i="14609"/>
  <c r="CE59" i="14609"/>
  <c r="CF59" i="14609"/>
  <c r="CG59" i="14609"/>
  <c r="CH59" i="14609"/>
  <c r="CI59" i="14609"/>
  <c r="CJ59" i="14609"/>
  <c r="CK59" i="14609"/>
  <c r="CL59" i="14609"/>
  <c r="CM59" i="14609"/>
  <c r="CN59" i="14609"/>
  <c r="CO59" i="14609"/>
  <c r="CP59" i="14609"/>
  <c r="CQ59" i="14609"/>
  <c r="CR59" i="14609"/>
  <c r="CS59" i="14609"/>
  <c r="CT59" i="14609"/>
  <c r="CU59" i="14609"/>
  <c r="CV59" i="14609"/>
  <c r="CW59" i="14609"/>
  <c r="CX59" i="14609"/>
  <c r="CY59" i="14609"/>
  <c r="CZ59" i="14609"/>
  <c r="DA59" i="14609"/>
  <c r="DB59" i="14609"/>
  <c r="DC59" i="14609"/>
  <c r="DD59" i="14609"/>
  <c r="DE59" i="14609"/>
  <c r="DF59" i="14609"/>
  <c r="DG59" i="14609"/>
  <c r="DH59" i="14609"/>
  <c r="DI59" i="14609"/>
  <c r="DJ59" i="14609"/>
  <c r="DK59" i="14609"/>
  <c r="DL59" i="14609"/>
  <c r="DM59" i="14609"/>
  <c r="DN59" i="14609"/>
  <c r="DO59" i="14609"/>
  <c r="DP59" i="14609"/>
  <c r="DQ59" i="14609"/>
  <c r="DR59" i="14609"/>
  <c r="DS59" i="14609"/>
  <c r="DT59" i="14609"/>
  <c r="DU59" i="14609"/>
  <c r="DV59" i="14609"/>
  <c r="DW59" i="14609"/>
  <c r="DX59" i="14609"/>
  <c r="DY59" i="14609"/>
  <c r="DZ59" i="14609"/>
  <c r="EA59" i="14609"/>
  <c r="EB59" i="14609"/>
  <c r="EC59" i="14609"/>
  <c r="ED59" i="14609"/>
  <c r="EE59" i="14609"/>
  <c r="EF59" i="14609"/>
  <c r="EG59" i="14609"/>
  <c r="EH59" i="14609"/>
  <c r="EI59" i="14609"/>
  <c r="EJ59" i="14609"/>
  <c r="EK59" i="14609"/>
  <c r="EL59" i="14609"/>
  <c r="EM59" i="14609"/>
  <c r="EN59" i="14609"/>
  <c r="EO59" i="14609"/>
  <c r="EP59" i="14609"/>
  <c r="EQ59" i="14609"/>
  <c r="ER59" i="14609"/>
  <c r="ES59" i="14609"/>
  <c r="ET59" i="14609"/>
  <c r="EU59" i="14609"/>
  <c r="EV59" i="14609"/>
  <c r="EW59" i="14609"/>
  <c r="EX59" i="14609"/>
  <c r="EY59" i="14609"/>
  <c r="EZ59" i="14609"/>
  <c r="FA59" i="14609"/>
  <c r="FB59" i="14609"/>
  <c r="FC59" i="14609"/>
  <c r="FD59" i="14609"/>
  <c r="FE59" i="14609"/>
  <c r="FF59" i="14609"/>
  <c r="FG59" i="14609"/>
  <c r="FH59" i="14609"/>
  <c r="FI59" i="14609"/>
  <c r="FJ59" i="14609"/>
  <c r="FK59" i="14609"/>
  <c r="FL59" i="14609"/>
  <c r="FM59" i="14609"/>
  <c r="FN59" i="14609"/>
  <c r="FO59" i="14609"/>
  <c r="FP59" i="14609"/>
  <c r="FQ59" i="14609"/>
  <c r="FR59" i="14609"/>
  <c r="FS59" i="14609"/>
  <c r="FT59" i="14609"/>
  <c r="FU59" i="14609"/>
  <c r="FV59" i="14609"/>
  <c r="FW59" i="14609"/>
  <c r="FX59" i="14609"/>
  <c r="FY59" i="14609"/>
  <c r="FZ59" i="14609"/>
  <c r="GA59" i="14609"/>
  <c r="GB59" i="14609"/>
  <c r="GC59" i="14609"/>
  <c r="GD59" i="14609"/>
  <c r="GE59" i="14609"/>
  <c r="GF59" i="14609"/>
  <c r="GG59" i="14609"/>
  <c r="GH59" i="14609"/>
  <c r="GI59" i="14609"/>
  <c r="GJ59" i="14609"/>
  <c r="GK59" i="14609"/>
  <c r="GL59" i="14609"/>
  <c r="GM59" i="14609"/>
  <c r="GN59" i="14609"/>
  <c r="GO59" i="14609"/>
  <c r="GP59" i="14609"/>
  <c r="GQ59" i="14609"/>
  <c r="GR59" i="14609"/>
  <c r="GS59" i="14609"/>
  <c r="GT59" i="14609"/>
  <c r="GU59" i="14609"/>
  <c r="GV59" i="14609"/>
  <c r="GW59" i="14609"/>
  <c r="GX59" i="14609"/>
  <c r="GY59" i="14609"/>
  <c r="GZ59" i="14609"/>
  <c r="HA59" i="14609"/>
  <c r="HB59" i="14609"/>
  <c r="HC59" i="14609"/>
  <c r="HD59" i="14609"/>
  <c r="HE59" i="14609"/>
  <c r="HF59" i="14609"/>
  <c r="HG59" i="14609"/>
  <c r="HH59" i="14609"/>
  <c r="HI59" i="14609"/>
  <c r="HJ59" i="14609"/>
  <c r="HK59" i="14609"/>
  <c r="HL59" i="14609"/>
  <c r="HM59" i="14609"/>
  <c r="HN59" i="14609"/>
  <c r="HO59" i="14609"/>
  <c r="HP59" i="14609"/>
  <c r="HQ59" i="14609"/>
  <c r="HR59" i="14609"/>
  <c r="HS59" i="14609"/>
  <c r="HT59" i="14609"/>
  <c r="HU59" i="14609"/>
  <c r="HV59" i="14609"/>
  <c r="HW59" i="14609"/>
  <c r="HX59" i="14609"/>
  <c r="HY59" i="14609"/>
  <c r="HZ59" i="14609"/>
  <c r="IA59" i="14609"/>
  <c r="IB59" i="14609"/>
  <c r="IC59" i="14609"/>
  <c r="ID59" i="14609"/>
  <c r="IE59" i="14609"/>
  <c r="IF59" i="14609"/>
  <c r="IG59" i="14609"/>
  <c r="IH59" i="14609"/>
  <c r="II59" i="14609"/>
  <c r="IJ59" i="14609"/>
  <c r="IK59" i="14609"/>
  <c r="IL59" i="14609"/>
  <c r="IM59" i="14609"/>
  <c r="IN59" i="14609"/>
  <c r="IO59" i="14609"/>
  <c r="IP59" i="14609"/>
  <c r="IQ59" i="14609"/>
  <c r="IR59" i="14609"/>
  <c r="IS59" i="14609"/>
  <c r="IT59" i="14609"/>
  <c r="IU59" i="14609"/>
  <c r="IV59" i="14609"/>
  <c r="A58" i="14609"/>
  <c r="B58" i="14609"/>
  <c r="C58" i="14609"/>
  <c r="D58" i="14609"/>
  <c r="E58" i="14609"/>
  <c r="F58" i="14609"/>
  <c r="G58" i="14609"/>
  <c r="H58" i="14609"/>
  <c r="I58" i="14609"/>
  <c r="J58" i="14609"/>
  <c r="K58" i="14609"/>
  <c r="L58" i="14609"/>
  <c r="M58" i="14609"/>
  <c r="N58" i="14609"/>
  <c r="O58" i="14609"/>
  <c r="P58" i="14609"/>
  <c r="Q58" i="14609"/>
  <c r="R58" i="14609"/>
  <c r="S58" i="14609"/>
  <c r="T58" i="14609"/>
  <c r="U58" i="14609"/>
  <c r="V58" i="14609"/>
  <c r="W58" i="14609"/>
  <c r="X58" i="14609"/>
  <c r="Y58" i="14609"/>
  <c r="Z58" i="14609"/>
  <c r="AA58" i="14609"/>
  <c r="AB58" i="14609"/>
  <c r="AC58" i="14609"/>
  <c r="AD58" i="14609"/>
  <c r="AE58" i="14609"/>
  <c r="AF58" i="14609"/>
  <c r="AG58" i="14609"/>
  <c r="AH58" i="14609"/>
  <c r="AI58" i="14609"/>
  <c r="AJ58" i="14609"/>
  <c r="AK58" i="14609"/>
  <c r="AL58" i="14609"/>
  <c r="AM58" i="14609"/>
  <c r="AN58" i="14609"/>
  <c r="AO58" i="14609"/>
  <c r="AP58" i="14609"/>
  <c r="AQ58" i="14609"/>
  <c r="AR58" i="14609"/>
  <c r="AS58" i="14609"/>
  <c r="AT58" i="14609"/>
  <c r="AU58" i="14609"/>
  <c r="AV58" i="14609"/>
  <c r="AW58" i="14609"/>
  <c r="AX58" i="14609"/>
  <c r="AY58" i="14609"/>
  <c r="AZ58" i="14609"/>
  <c r="BA58" i="14609"/>
  <c r="BB58" i="14609"/>
  <c r="BC58" i="14609"/>
  <c r="BD58" i="14609"/>
  <c r="BE58" i="14609"/>
  <c r="BF58" i="14609"/>
  <c r="BG58" i="14609"/>
  <c r="BH58" i="14609"/>
  <c r="BI58" i="14609"/>
  <c r="BJ58" i="14609"/>
  <c r="BK58" i="14609"/>
  <c r="BL58" i="14609"/>
  <c r="BM58" i="14609"/>
  <c r="BN58" i="14609"/>
  <c r="BO58" i="14609"/>
  <c r="BP58" i="14609"/>
  <c r="BQ58" i="14609"/>
  <c r="BR58" i="14609"/>
  <c r="BS58" i="14609"/>
  <c r="BT58" i="14609"/>
  <c r="BU58" i="14609"/>
  <c r="BV58" i="14609"/>
  <c r="BW58" i="14609"/>
  <c r="BX58" i="14609"/>
  <c r="BY58" i="14609"/>
  <c r="BZ58" i="14609"/>
  <c r="CA58" i="14609"/>
  <c r="CB58" i="14609"/>
  <c r="CC58" i="14609"/>
  <c r="CD58" i="14609"/>
  <c r="CE58" i="14609"/>
  <c r="CF58" i="14609"/>
  <c r="CG58" i="14609"/>
  <c r="CH58" i="14609"/>
  <c r="CI58" i="14609"/>
  <c r="CJ58" i="14609"/>
  <c r="CK58" i="14609"/>
  <c r="CL58" i="14609"/>
  <c r="CM58" i="14609"/>
  <c r="CN58" i="14609"/>
  <c r="CO58" i="14609"/>
  <c r="CP58" i="14609"/>
  <c r="CQ58" i="14609"/>
  <c r="CR58" i="14609"/>
  <c r="CS58" i="14609"/>
  <c r="CT58" i="14609"/>
  <c r="CU58" i="14609"/>
  <c r="CV58" i="14609"/>
  <c r="CW58" i="14609"/>
  <c r="CX58" i="14609"/>
  <c r="CY58" i="14609"/>
  <c r="CZ58" i="14609"/>
  <c r="DA58" i="14609"/>
  <c r="DB58" i="14609"/>
  <c r="DC58" i="14609"/>
  <c r="DD58" i="14609"/>
  <c r="DE58" i="14609"/>
  <c r="DF58" i="14609"/>
  <c r="DG58" i="14609"/>
  <c r="DH58" i="14609"/>
  <c r="DI58" i="14609"/>
  <c r="DJ58" i="14609"/>
  <c r="DK58" i="14609"/>
  <c r="DL58" i="14609"/>
  <c r="DM58" i="14609"/>
  <c r="DN58" i="14609"/>
  <c r="DO58" i="14609"/>
  <c r="DP58" i="14609"/>
  <c r="DQ58" i="14609"/>
  <c r="DR58" i="14609"/>
  <c r="DS58" i="14609"/>
  <c r="DT58" i="14609"/>
  <c r="DU58" i="14609"/>
  <c r="DV58" i="14609"/>
  <c r="DW58" i="14609"/>
  <c r="DX58" i="14609"/>
  <c r="DY58" i="14609"/>
  <c r="DZ58" i="14609"/>
  <c r="EA58" i="14609"/>
  <c r="EB58" i="14609"/>
  <c r="EC58" i="14609"/>
  <c r="ED58" i="14609"/>
  <c r="EE58" i="14609"/>
  <c r="EF58" i="14609"/>
  <c r="EG58" i="14609"/>
  <c r="EH58" i="14609"/>
  <c r="EI58" i="14609"/>
  <c r="EJ58" i="14609"/>
  <c r="EK58" i="14609"/>
  <c r="EL58" i="14609"/>
  <c r="EM58" i="14609"/>
  <c r="EN58" i="14609"/>
  <c r="EO58" i="14609"/>
  <c r="EP58" i="14609"/>
  <c r="EQ58" i="14609"/>
  <c r="ER58" i="14609"/>
  <c r="ES58" i="14609"/>
  <c r="ET58" i="14609"/>
  <c r="EU58" i="14609"/>
  <c r="EV58" i="14609"/>
  <c r="EW58" i="14609"/>
  <c r="EX58" i="14609"/>
  <c r="EY58" i="14609"/>
  <c r="EZ58" i="14609"/>
  <c r="FA58" i="14609"/>
  <c r="FB58" i="14609"/>
  <c r="FC58" i="14609"/>
  <c r="FD58" i="14609"/>
  <c r="FE58" i="14609"/>
  <c r="FF58" i="14609"/>
  <c r="FG58" i="14609"/>
  <c r="FH58" i="14609"/>
  <c r="FI58" i="14609"/>
  <c r="FJ58" i="14609"/>
  <c r="FK58" i="14609"/>
  <c r="FL58" i="14609"/>
  <c r="FM58" i="14609"/>
  <c r="FN58" i="14609"/>
  <c r="FO58" i="14609"/>
  <c r="FP58" i="14609"/>
  <c r="FQ58" i="14609"/>
  <c r="FR58" i="14609"/>
  <c r="FS58" i="14609"/>
  <c r="FT58" i="14609"/>
  <c r="FU58" i="14609"/>
  <c r="FV58" i="14609"/>
  <c r="FW58" i="14609"/>
  <c r="FX58" i="14609"/>
  <c r="FY58" i="14609"/>
  <c r="FZ58" i="14609"/>
  <c r="GA58" i="14609"/>
  <c r="GB58" i="14609"/>
  <c r="GC58" i="14609"/>
  <c r="GD58" i="14609"/>
  <c r="GE58" i="14609"/>
  <c r="GF58" i="14609"/>
  <c r="GG58" i="14609"/>
  <c r="GH58" i="14609"/>
  <c r="GI58" i="14609"/>
  <c r="GJ58" i="14609"/>
  <c r="GK58" i="14609"/>
  <c r="GL58" i="14609"/>
  <c r="GM58" i="14609"/>
  <c r="GN58" i="14609"/>
  <c r="GO58" i="14609"/>
  <c r="GP58" i="14609"/>
  <c r="GQ58" i="14609"/>
  <c r="GR58" i="14609"/>
  <c r="GS58" i="14609"/>
  <c r="GT58" i="14609"/>
  <c r="GU58" i="14609"/>
  <c r="GV58" i="14609"/>
  <c r="GW58" i="14609"/>
  <c r="GX58" i="14609"/>
  <c r="GY58" i="14609"/>
  <c r="GZ58" i="14609"/>
  <c r="HA58" i="14609"/>
  <c r="HB58" i="14609"/>
  <c r="HC58" i="14609"/>
  <c r="HD58" i="14609"/>
  <c r="HE58" i="14609"/>
  <c r="HF58" i="14609"/>
  <c r="HG58" i="14609"/>
  <c r="HH58" i="14609"/>
  <c r="HI58" i="14609"/>
  <c r="HJ58" i="14609"/>
  <c r="HK58" i="14609"/>
  <c r="HL58" i="14609"/>
  <c r="HM58" i="14609"/>
  <c r="HN58" i="14609"/>
  <c r="HO58" i="14609"/>
  <c r="HP58" i="14609"/>
  <c r="HQ58" i="14609"/>
  <c r="HR58" i="14609"/>
  <c r="HS58" i="14609"/>
  <c r="HT58" i="14609"/>
  <c r="HU58" i="14609"/>
  <c r="HV58" i="14609"/>
  <c r="HW58" i="14609"/>
  <c r="HX58" i="14609"/>
  <c r="HY58" i="14609"/>
  <c r="HZ58" i="14609"/>
  <c r="IA58" i="14609"/>
  <c r="IB58" i="14609"/>
  <c r="IC58" i="14609"/>
  <c r="ID58" i="14609"/>
  <c r="IE58" i="14609"/>
  <c r="IF58" i="14609"/>
  <c r="IG58" i="14609"/>
  <c r="IH58" i="14609"/>
  <c r="II58" i="14609"/>
  <c r="IJ58" i="14609"/>
  <c r="IK58" i="14609"/>
  <c r="IL58" i="14609"/>
  <c r="IM58" i="14609"/>
  <c r="IN58" i="14609"/>
  <c r="IO58" i="14609"/>
  <c r="IP58" i="14609"/>
  <c r="IQ58" i="14609"/>
  <c r="IR58" i="14609"/>
  <c r="IS58" i="14609"/>
  <c r="IT58" i="14609"/>
  <c r="IU58" i="14609"/>
  <c r="IV58" i="14609"/>
  <c r="A57" i="14609"/>
  <c r="B57" i="14609"/>
  <c r="C57" i="14609"/>
  <c r="D57" i="14609"/>
  <c r="E57" i="14609"/>
  <c r="F57" i="14609"/>
  <c r="G57" i="14609"/>
  <c r="H57" i="14609"/>
  <c r="I57" i="14609"/>
  <c r="J57" i="14609"/>
  <c r="K57" i="14609"/>
  <c r="L57" i="14609"/>
  <c r="M57" i="14609"/>
  <c r="N57" i="14609"/>
  <c r="O57" i="14609"/>
  <c r="P57" i="14609"/>
  <c r="Q57" i="14609"/>
  <c r="R57" i="14609"/>
  <c r="S57" i="14609"/>
  <c r="T57" i="14609"/>
  <c r="U57" i="14609"/>
  <c r="V57" i="14609"/>
  <c r="W57" i="14609"/>
  <c r="X57" i="14609"/>
  <c r="Y57" i="14609"/>
  <c r="Z57" i="14609"/>
  <c r="AA57" i="14609"/>
  <c r="AB57" i="14609"/>
  <c r="AC57" i="14609"/>
  <c r="AD57" i="14609"/>
  <c r="AE57" i="14609"/>
  <c r="AF57" i="14609"/>
  <c r="AG57" i="14609"/>
  <c r="AH57" i="14609"/>
  <c r="AI57" i="14609"/>
  <c r="AJ57" i="14609"/>
  <c r="AK57" i="14609"/>
  <c r="AL57" i="14609"/>
  <c r="AM57" i="14609"/>
  <c r="AN57" i="14609"/>
  <c r="AO57" i="14609"/>
  <c r="AP57" i="14609"/>
  <c r="AQ57" i="14609"/>
  <c r="AR57" i="14609"/>
  <c r="AS57" i="14609"/>
  <c r="AT57" i="14609"/>
  <c r="AU57" i="14609"/>
  <c r="AV57" i="14609"/>
  <c r="AW57" i="14609"/>
  <c r="AX57" i="14609"/>
  <c r="AY57" i="14609"/>
  <c r="AZ57" i="14609"/>
  <c r="BA57" i="14609"/>
  <c r="BB57" i="14609"/>
  <c r="BC57" i="14609"/>
  <c r="BD57" i="14609"/>
  <c r="BE57" i="14609"/>
  <c r="BF57" i="14609"/>
  <c r="BG57" i="14609"/>
  <c r="BH57" i="14609"/>
  <c r="BI57" i="14609"/>
  <c r="BJ57" i="14609"/>
  <c r="BK57" i="14609"/>
  <c r="BL57" i="14609"/>
  <c r="BM57" i="14609"/>
  <c r="BN57" i="14609"/>
  <c r="BO57" i="14609"/>
  <c r="BP57" i="14609"/>
  <c r="BQ57" i="14609"/>
  <c r="BR57" i="14609"/>
  <c r="BS57" i="14609"/>
  <c r="BT57" i="14609"/>
  <c r="BU57" i="14609"/>
  <c r="BV57" i="14609"/>
  <c r="BW57" i="14609"/>
  <c r="BX57" i="14609"/>
  <c r="BY57" i="14609"/>
  <c r="BZ57" i="14609"/>
  <c r="CA57" i="14609"/>
  <c r="CB57" i="14609"/>
  <c r="CC57" i="14609"/>
  <c r="CD57" i="14609"/>
  <c r="CE57" i="14609"/>
  <c r="CF57" i="14609"/>
  <c r="CG57" i="14609"/>
  <c r="CH57" i="14609"/>
  <c r="CI57" i="14609"/>
  <c r="CJ57" i="14609"/>
  <c r="CK57" i="14609"/>
  <c r="CL57" i="14609"/>
  <c r="CM57" i="14609"/>
  <c r="CN57" i="14609"/>
  <c r="CO57" i="14609"/>
  <c r="CP57" i="14609"/>
  <c r="CQ57" i="14609"/>
  <c r="CR57" i="14609"/>
  <c r="CS57" i="14609"/>
  <c r="CT57" i="14609"/>
  <c r="CU57" i="14609"/>
  <c r="CV57" i="14609"/>
  <c r="CW57" i="14609"/>
  <c r="CX57" i="14609"/>
  <c r="CY57" i="14609"/>
  <c r="CZ57" i="14609"/>
  <c r="DA57" i="14609"/>
  <c r="DB57" i="14609"/>
  <c r="DC57" i="14609"/>
  <c r="DD57" i="14609"/>
  <c r="DE57" i="14609"/>
  <c r="DF57" i="14609"/>
  <c r="DG57" i="14609"/>
  <c r="DH57" i="14609"/>
  <c r="DI57" i="14609"/>
  <c r="DJ57" i="14609"/>
  <c r="DK57" i="14609"/>
  <c r="DL57" i="14609"/>
  <c r="DM57" i="14609"/>
  <c r="DN57" i="14609"/>
  <c r="DO57" i="14609"/>
  <c r="DP57" i="14609"/>
  <c r="DQ57" i="14609"/>
  <c r="DR57" i="14609"/>
  <c r="DS57" i="14609"/>
  <c r="DT57" i="14609"/>
  <c r="DU57" i="14609"/>
  <c r="DV57" i="14609"/>
  <c r="DW57" i="14609"/>
  <c r="DX57" i="14609"/>
  <c r="DY57" i="14609"/>
  <c r="DZ57" i="14609"/>
  <c r="EA57" i="14609"/>
  <c r="EB57" i="14609"/>
  <c r="EC57" i="14609"/>
  <c r="ED57" i="14609"/>
  <c r="EE57" i="14609"/>
  <c r="EF57" i="14609"/>
  <c r="EG57" i="14609"/>
  <c r="EH57" i="14609"/>
  <c r="EI57" i="14609"/>
  <c r="EJ57" i="14609"/>
  <c r="EK57" i="14609"/>
  <c r="EL57" i="14609"/>
  <c r="EM57" i="14609"/>
  <c r="EN57" i="14609"/>
  <c r="EO57" i="14609"/>
  <c r="EP57" i="14609"/>
  <c r="EQ57" i="14609"/>
  <c r="ER57" i="14609"/>
  <c r="ES57" i="14609"/>
  <c r="ET57" i="14609"/>
  <c r="EU57" i="14609"/>
  <c r="EV57" i="14609"/>
  <c r="EW57" i="14609"/>
  <c r="EX57" i="14609"/>
  <c r="EY57" i="14609"/>
  <c r="EZ57" i="14609"/>
  <c r="FA57" i="14609"/>
  <c r="FB57" i="14609"/>
  <c r="FC57" i="14609"/>
  <c r="FD57" i="14609"/>
  <c r="FE57" i="14609"/>
  <c r="FF57" i="14609"/>
  <c r="FG57" i="14609"/>
  <c r="FH57" i="14609"/>
  <c r="FI57" i="14609"/>
  <c r="FJ57" i="14609"/>
  <c r="FK57" i="14609"/>
  <c r="FL57" i="14609"/>
  <c r="FM57" i="14609"/>
  <c r="FN57" i="14609"/>
  <c r="FO57" i="14609"/>
  <c r="FP57" i="14609"/>
  <c r="FQ57" i="14609"/>
  <c r="FR57" i="14609"/>
  <c r="FS57" i="14609"/>
  <c r="FT57" i="14609"/>
  <c r="FU57" i="14609"/>
  <c r="FV57" i="14609"/>
  <c r="FW57" i="14609"/>
  <c r="FX57" i="14609"/>
  <c r="FY57" i="14609"/>
  <c r="FZ57" i="14609"/>
  <c r="GA57" i="14609"/>
  <c r="GB57" i="14609"/>
  <c r="GC57" i="14609"/>
  <c r="GD57" i="14609"/>
  <c r="GE57" i="14609"/>
  <c r="GF57" i="14609"/>
  <c r="GG57" i="14609"/>
  <c r="GH57" i="14609"/>
  <c r="GI57" i="14609"/>
  <c r="GJ57" i="14609"/>
  <c r="GK57" i="14609"/>
  <c r="GL57" i="14609"/>
  <c r="GM57" i="14609"/>
  <c r="GN57" i="14609"/>
  <c r="GO57" i="14609"/>
  <c r="GP57" i="14609"/>
  <c r="GQ57" i="14609"/>
  <c r="GR57" i="14609"/>
  <c r="GS57" i="14609"/>
  <c r="GT57" i="14609"/>
  <c r="GU57" i="14609"/>
  <c r="GV57" i="14609"/>
  <c r="GW57" i="14609"/>
  <c r="GX57" i="14609"/>
  <c r="GY57" i="14609"/>
  <c r="GZ57" i="14609"/>
  <c r="HA57" i="14609"/>
  <c r="HB57" i="14609"/>
  <c r="HC57" i="14609"/>
  <c r="HD57" i="14609"/>
  <c r="HE57" i="14609"/>
  <c r="HF57" i="14609"/>
  <c r="HG57" i="14609"/>
  <c r="HH57" i="14609"/>
  <c r="HI57" i="14609"/>
  <c r="HJ57" i="14609"/>
  <c r="HK57" i="14609"/>
  <c r="HL57" i="14609"/>
  <c r="HM57" i="14609"/>
  <c r="HN57" i="14609"/>
  <c r="HO57" i="14609"/>
  <c r="HP57" i="14609"/>
  <c r="HQ57" i="14609"/>
  <c r="HR57" i="14609"/>
  <c r="HS57" i="14609"/>
  <c r="HT57" i="14609"/>
  <c r="HU57" i="14609"/>
  <c r="HV57" i="14609"/>
  <c r="HW57" i="14609"/>
  <c r="HX57" i="14609"/>
  <c r="HY57" i="14609"/>
  <c r="HZ57" i="14609"/>
  <c r="IA57" i="14609"/>
  <c r="IB57" i="14609"/>
  <c r="IC57" i="14609"/>
  <c r="ID57" i="14609"/>
  <c r="IE57" i="14609"/>
  <c r="IF57" i="14609"/>
  <c r="IG57" i="14609"/>
  <c r="IH57" i="14609"/>
  <c r="II57" i="14609"/>
  <c r="IJ57" i="14609"/>
  <c r="IK57" i="14609"/>
  <c r="IL57" i="14609"/>
  <c r="IM57" i="14609"/>
  <c r="IN57" i="14609"/>
  <c r="IO57" i="14609"/>
  <c r="IP57" i="14609"/>
  <c r="IQ57" i="14609"/>
  <c r="IR57" i="14609"/>
  <c r="IS57" i="14609"/>
  <c r="IT57" i="14609"/>
  <c r="IU57" i="14609"/>
  <c r="IV57" i="14609"/>
  <c r="A56" i="14609"/>
  <c r="B56" i="14609"/>
  <c r="C56" i="14609"/>
  <c r="D56" i="14609"/>
  <c r="E56" i="14609"/>
  <c r="F56" i="14609"/>
  <c r="G56" i="14609"/>
  <c r="H56" i="14609"/>
  <c r="I56" i="14609"/>
  <c r="J56" i="14609"/>
  <c r="K56" i="14609"/>
  <c r="L56" i="14609"/>
  <c r="M56" i="14609"/>
  <c r="N56" i="14609"/>
  <c r="O56" i="14609"/>
  <c r="P56" i="14609"/>
  <c r="Q56" i="14609"/>
  <c r="R56" i="14609"/>
  <c r="S56" i="14609"/>
  <c r="T56" i="14609"/>
  <c r="U56" i="14609"/>
  <c r="V56" i="14609"/>
  <c r="W56" i="14609"/>
  <c r="X56" i="14609"/>
  <c r="Y56" i="14609"/>
  <c r="Z56" i="14609"/>
  <c r="AA56" i="14609"/>
  <c r="AB56" i="14609"/>
  <c r="AC56" i="14609"/>
  <c r="AD56" i="14609"/>
  <c r="AE56" i="14609"/>
  <c r="AF56" i="14609"/>
  <c r="AG56" i="14609"/>
  <c r="AH56" i="14609"/>
  <c r="AI56" i="14609"/>
  <c r="AJ56" i="14609"/>
  <c r="AK56" i="14609"/>
  <c r="AL56" i="14609"/>
  <c r="AM56" i="14609"/>
  <c r="AN56" i="14609"/>
  <c r="AO56" i="14609"/>
  <c r="AP56" i="14609"/>
  <c r="AQ56" i="14609"/>
  <c r="AR56" i="14609"/>
  <c r="AS56" i="14609"/>
  <c r="AT56" i="14609"/>
  <c r="AU56" i="14609"/>
  <c r="AV56" i="14609"/>
  <c r="AW56" i="14609"/>
  <c r="AX56" i="14609"/>
  <c r="AY56" i="14609"/>
  <c r="AZ56" i="14609"/>
  <c r="BA56" i="14609"/>
  <c r="BB56" i="14609"/>
  <c r="BC56" i="14609"/>
  <c r="BD56" i="14609"/>
  <c r="BE56" i="14609"/>
  <c r="BF56" i="14609"/>
  <c r="BG56" i="14609"/>
  <c r="BH56" i="14609"/>
  <c r="BI56" i="14609"/>
  <c r="BJ56" i="14609"/>
  <c r="BK56" i="14609"/>
  <c r="BL56" i="14609"/>
  <c r="BM56" i="14609"/>
  <c r="BN56" i="14609"/>
  <c r="BO56" i="14609"/>
  <c r="BP56" i="14609"/>
  <c r="BQ56" i="14609"/>
  <c r="BR56" i="14609"/>
  <c r="BS56" i="14609"/>
  <c r="BT56" i="14609"/>
  <c r="BU56" i="14609"/>
  <c r="BV56" i="14609"/>
  <c r="BW56" i="14609"/>
  <c r="BX56" i="14609"/>
  <c r="BY56" i="14609"/>
  <c r="BZ56" i="14609"/>
  <c r="CA56" i="14609"/>
  <c r="CB56" i="14609"/>
  <c r="CC56" i="14609"/>
  <c r="CD56" i="14609"/>
  <c r="CE56" i="14609"/>
  <c r="CF56" i="14609"/>
  <c r="CG56" i="14609"/>
  <c r="CH56" i="14609"/>
  <c r="CI56" i="14609"/>
  <c r="CJ56" i="14609"/>
  <c r="CK56" i="14609"/>
  <c r="CL56" i="14609"/>
  <c r="CM56" i="14609"/>
  <c r="CN56" i="14609"/>
  <c r="CO56" i="14609"/>
  <c r="CP56" i="14609"/>
  <c r="CQ56" i="14609"/>
  <c r="CR56" i="14609"/>
  <c r="CS56" i="14609"/>
  <c r="CT56" i="14609"/>
  <c r="CU56" i="14609"/>
  <c r="CV56" i="14609"/>
  <c r="CW56" i="14609"/>
  <c r="CX56" i="14609"/>
  <c r="CY56" i="14609"/>
  <c r="CZ56" i="14609"/>
  <c r="DA56" i="14609"/>
  <c r="DB56" i="14609"/>
  <c r="DC56" i="14609"/>
  <c r="DD56" i="14609"/>
  <c r="DE56" i="14609"/>
  <c r="DF56" i="14609"/>
  <c r="DG56" i="14609"/>
  <c r="DH56" i="14609"/>
  <c r="DI56" i="14609"/>
  <c r="DJ56" i="14609"/>
  <c r="DK56" i="14609"/>
  <c r="DL56" i="14609"/>
  <c r="DM56" i="14609"/>
  <c r="DN56" i="14609"/>
  <c r="DO56" i="14609"/>
  <c r="DP56" i="14609"/>
  <c r="DQ56" i="14609"/>
  <c r="DR56" i="14609"/>
  <c r="DS56" i="14609"/>
  <c r="DT56" i="14609"/>
  <c r="DU56" i="14609"/>
  <c r="DV56" i="14609"/>
  <c r="DW56" i="14609"/>
  <c r="DX56" i="14609"/>
  <c r="DY56" i="14609"/>
  <c r="DZ56" i="14609"/>
  <c r="EA56" i="14609"/>
  <c r="EB56" i="14609"/>
  <c r="EC56" i="14609"/>
  <c r="ED56" i="14609"/>
  <c r="EE56" i="14609"/>
  <c r="EF56" i="14609"/>
  <c r="EG56" i="14609"/>
  <c r="EH56" i="14609"/>
  <c r="EI56" i="14609"/>
  <c r="EJ56" i="14609"/>
  <c r="EK56" i="14609"/>
  <c r="EL56" i="14609"/>
  <c r="EM56" i="14609"/>
  <c r="EN56" i="14609"/>
  <c r="EO56" i="14609"/>
  <c r="EP56" i="14609"/>
  <c r="EQ56" i="14609"/>
  <c r="ER56" i="14609"/>
  <c r="ES56" i="14609"/>
  <c r="ET56" i="14609"/>
  <c r="EU56" i="14609"/>
  <c r="EV56" i="14609"/>
  <c r="EW56" i="14609"/>
  <c r="EX56" i="14609"/>
  <c r="EY56" i="14609"/>
  <c r="EZ56" i="14609"/>
  <c r="FA56" i="14609"/>
  <c r="FB56" i="14609"/>
  <c r="FC56" i="14609"/>
  <c r="FD56" i="14609"/>
  <c r="FE56" i="14609"/>
  <c r="FF56" i="14609"/>
  <c r="FG56" i="14609"/>
  <c r="FH56" i="14609"/>
  <c r="FI56" i="14609"/>
  <c r="FJ56" i="14609"/>
  <c r="FK56" i="14609"/>
  <c r="FL56" i="14609"/>
  <c r="FM56" i="14609"/>
  <c r="FN56" i="14609"/>
  <c r="FO56" i="14609"/>
  <c r="FP56" i="14609"/>
  <c r="FQ56" i="14609"/>
  <c r="FR56" i="14609"/>
  <c r="FS56" i="14609"/>
  <c r="FT56" i="14609"/>
  <c r="FU56" i="14609"/>
  <c r="FV56" i="14609"/>
  <c r="FW56" i="14609"/>
  <c r="FX56" i="14609"/>
  <c r="FY56" i="14609"/>
  <c r="FZ56" i="14609"/>
  <c r="GA56" i="14609"/>
  <c r="GB56" i="14609"/>
  <c r="GC56" i="14609"/>
  <c r="GD56" i="14609"/>
  <c r="GE56" i="14609"/>
  <c r="GF56" i="14609"/>
  <c r="GG56" i="14609"/>
  <c r="GH56" i="14609"/>
  <c r="GI56" i="14609"/>
  <c r="GJ56" i="14609"/>
  <c r="GK56" i="14609"/>
  <c r="GL56" i="14609"/>
  <c r="GM56" i="14609"/>
  <c r="GN56" i="14609"/>
  <c r="GO56" i="14609"/>
  <c r="GP56" i="14609"/>
  <c r="GQ56" i="14609"/>
  <c r="GR56" i="14609"/>
  <c r="GS56" i="14609"/>
  <c r="GT56" i="14609"/>
  <c r="GU56" i="14609"/>
  <c r="GV56" i="14609"/>
  <c r="GW56" i="14609"/>
  <c r="GX56" i="14609"/>
  <c r="GY56" i="14609"/>
  <c r="GZ56" i="14609"/>
  <c r="HA56" i="14609"/>
  <c r="HB56" i="14609"/>
  <c r="HC56" i="14609"/>
  <c r="HD56" i="14609"/>
  <c r="HE56" i="14609"/>
  <c r="HF56" i="14609"/>
  <c r="HG56" i="14609"/>
  <c r="HH56" i="14609"/>
  <c r="HI56" i="14609"/>
  <c r="HJ56" i="14609"/>
  <c r="HK56" i="14609"/>
  <c r="HL56" i="14609"/>
  <c r="HM56" i="14609"/>
  <c r="HN56" i="14609"/>
  <c r="HO56" i="14609"/>
  <c r="HP56" i="14609"/>
  <c r="HQ56" i="14609"/>
  <c r="HR56" i="14609"/>
  <c r="HS56" i="14609"/>
  <c r="HT56" i="14609"/>
  <c r="HU56" i="14609"/>
  <c r="HV56" i="14609"/>
  <c r="HW56" i="14609"/>
  <c r="HX56" i="14609"/>
  <c r="HY56" i="14609"/>
  <c r="HZ56" i="14609"/>
  <c r="IA56" i="14609"/>
  <c r="IB56" i="14609"/>
  <c r="IC56" i="14609"/>
  <c r="ID56" i="14609"/>
  <c r="IE56" i="14609"/>
  <c r="IF56" i="14609"/>
  <c r="IG56" i="14609"/>
  <c r="IH56" i="14609"/>
  <c r="II56" i="14609"/>
  <c r="IJ56" i="14609"/>
  <c r="IK56" i="14609"/>
  <c r="IL56" i="14609"/>
  <c r="IM56" i="14609"/>
  <c r="IN56" i="14609"/>
  <c r="IO56" i="14609"/>
  <c r="IP56" i="14609"/>
  <c r="IQ56" i="14609"/>
  <c r="IR56" i="14609"/>
  <c r="IS56" i="14609"/>
  <c r="IT56" i="14609"/>
  <c r="IU56" i="14609"/>
  <c r="IV56" i="14609"/>
  <c r="A55" i="14609"/>
  <c r="B55" i="14609"/>
  <c r="C55" i="14609"/>
  <c r="D55" i="14609"/>
  <c r="E55" i="14609"/>
  <c r="F55" i="14609"/>
  <c r="G55" i="14609"/>
  <c r="H55" i="14609"/>
  <c r="I55" i="14609"/>
  <c r="J55" i="14609"/>
  <c r="K55" i="14609"/>
  <c r="L55" i="14609"/>
  <c r="M55" i="14609"/>
  <c r="N55" i="14609"/>
  <c r="O55" i="14609"/>
  <c r="P55" i="14609"/>
  <c r="Q55" i="14609"/>
  <c r="R55" i="14609"/>
  <c r="S55" i="14609"/>
  <c r="T55" i="14609"/>
  <c r="U55" i="14609"/>
  <c r="V55" i="14609"/>
  <c r="W55" i="14609"/>
  <c r="X55" i="14609"/>
  <c r="Y55" i="14609"/>
  <c r="Z55" i="14609"/>
  <c r="AA55" i="14609"/>
  <c r="AB55" i="14609"/>
  <c r="AC55" i="14609"/>
  <c r="AD55" i="14609"/>
  <c r="AE55" i="14609"/>
  <c r="AF55" i="14609"/>
  <c r="AG55" i="14609"/>
  <c r="AH55" i="14609"/>
  <c r="AI55" i="14609"/>
  <c r="AJ55" i="14609"/>
  <c r="AK55" i="14609"/>
  <c r="AL55" i="14609"/>
  <c r="AM55" i="14609"/>
  <c r="AN55" i="14609"/>
  <c r="AO55" i="14609"/>
  <c r="AP55" i="14609"/>
  <c r="AQ55" i="14609"/>
  <c r="AR55" i="14609"/>
  <c r="AS55" i="14609"/>
  <c r="AT55" i="14609"/>
  <c r="AU55" i="14609"/>
  <c r="AV55" i="14609"/>
  <c r="AW55" i="14609"/>
  <c r="AX55" i="14609"/>
  <c r="AY55" i="14609"/>
  <c r="AZ55" i="14609"/>
  <c r="BA55" i="14609"/>
  <c r="BB55" i="14609"/>
  <c r="BC55" i="14609"/>
  <c r="BD55" i="14609"/>
  <c r="BE55" i="14609"/>
  <c r="BF55" i="14609"/>
  <c r="BG55" i="14609"/>
  <c r="BH55" i="14609"/>
  <c r="BI55" i="14609"/>
  <c r="BJ55" i="14609"/>
  <c r="BK55" i="14609"/>
  <c r="BL55" i="14609"/>
  <c r="BM55" i="14609"/>
  <c r="BN55" i="14609"/>
  <c r="BO55" i="14609"/>
  <c r="BP55" i="14609"/>
  <c r="BQ55" i="14609"/>
  <c r="BR55" i="14609"/>
  <c r="BS55" i="14609"/>
  <c r="BT55" i="14609"/>
  <c r="BU55" i="14609"/>
  <c r="BV55" i="14609"/>
  <c r="BW55" i="14609"/>
  <c r="BX55" i="14609"/>
  <c r="BY55" i="14609"/>
  <c r="BZ55" i="14609"/>
  <c r="CA55" i="14609"/>
  <c r="CB55" i="14609"/>
  <c r="CC55" i="14609"/>
  <c r="CD55" i="14609"/>
  <c r="CE55" i="14609"/>
  <c r="CF55" i="14609"/>
  <c r="CG55" i="14609"/>
  <c r="CH55" i="14609"/>
  <c r="CI55" i="14609"/>
  <c r="CJ55" i="14609"/>
  <c r="CK55" i="14609"/>
  <c r="CL55" i="14609"/>
  <c r="CM55" i="14609"/>
  <c r="CN55" i="14609"/>
  <c r="CO55" i="14609"/>
  <c r="CP55" i="14609"/>
  <c r="CQ55" i="14609"/>
  <c r="CR55" i="14609"/>
  <c r="CS55" i="14609"/>
  <c r="CT55" i="14609"/>
  <c r="CU55" i="14609"/>
  <c r="CV55" i="14609"/>
  <c r="CW55" i="14609"/>
  <c r="CX55" i="14609"/>
  <c r="CY55" i="14609"/>
  <c r="CZ55" i="14609"/>
  <c r="DA55" i="14609"/>
  <c r="DB55" i="14609"/>
  <c r="DC55" i="14609"/>
  <c r="DD55" i="14609"/>
  <c r="DE55" i="14609"/>
  <c r="DF55" i="14609"/>
  <c r="DG55" i="14609"/>
  <c r="DH55" i="14609"/>
  <c r="DI55" i="14609"/>
  <c r="DJ55" i="14609"/>
  <c r="DK55" i="14609"/>
  <c r="DL55" i="14609"/>
  <c r="DM55" i="14609"/>
  <c r="DN55" i="14609"/>
  <c r="DO55" i="14609"/>
  <c r="DP55" i="14609"/>
  <c r="DQ55" i="14609"/>
  <c r="DR55" i="14609"/>
  <c r="DS55" i="14609"/>
  <c r="DT55" i="14609"/>
  <c r="DU55" i="14609"/>
  <c r="DV55" i="14609"/>
  <c r="DW55" i="14609"/>
  <c r="DX55" i="14609"/>
  <c r="DY55" i="14609"/>
  <c r="DZ55" i="14609"/>
  <c r="EA55" i="14609"/>
  <c r="EB55" i="14609"/>
  <c r="EC55" i="14609"/>
  <c r="ED55" i="14609"/>
  <c r="EE55" i="14609"/>
  <c r="EF55" i="14609"/>
  <c r="EG55" i="14609"/>
  <c r="EH55" i="14609"/>
  <c r="EI55" i="14609"/>
  <c r="EJ55" i="14609"/>
  <c r="EK55" i="14609"/>
  <c r="EL55" i="14609"/>
  <c r="EM55" i="14609"/>
  <c r="EN55" i="14609"/>
  <c r="EO55" i="14609"/>
  <c r="EP55" i="14609"/>
  <c r="EQ55" i="14609"/>
  <c r="ER55" i="14609"/>
  <c r="ES55" i="14609"/>
  <c r="ET55" i="14609"/>
  <c r="EU55" i="14609"/>
  <c r="EV55" i="14609"/>
  <c r="EW55" i="14609"/>
  <c r="EX55" i="14609"/>
  <c r="EY55" i="14609"/>
  <c r="EZ55" i="14609"/>
  <c r="FA55" i="14609"/>
  <c r="FB55" i="14609"/>
  <c r="FC55" i="14609"/>
  <c r="FD55" i="14609"/>
  <c r="FE55" i="14609"/>
  <c r="FF55" i="14609"/>
  <c r="FG55" i="14609"/>
  <c r="FH55" i="14609"/>
  <c r="FI55" i="14609"/>
  <c r="FJ55" i="14609"/>
  <c r="FK55" i="14609"/>
  <c r="FL55" i="14609"/>
  <c r="FM55" i="14609"/>
  <c r="FN55" i="14609"/>
  <c r="FO55" i="14609"/>
  <c r="FP55" i="14609"/>
  <c r="FQ55" i="14609"/>
  <c r="FR55" i="14609"/>
  <c r="FS55" i="14609"/>
  <c r="FT55" i="14609"/>
  <c r="FU55" i="14609"/>
  <c r="FV55" i="14609"/>
  <c r="FW55" i="14609"/>
  <c r="FX55" i="14609"/>
  <c r="FY55" i="14609"/>
  <c r="FZ55" i="14609"/>
  <c r="GA55" i="14609"/>
  <c r="GB55" i="14609"/>
  <c r="GC55" i="14609"/>
  <c r="GD55" i="14609"/>
  <c r="GE55" i="14609"/>
  <c r="GF55" i="14609"/>
  <c r="GG55" i="14609"/>
  <c r="GH55" i="14609"/>
  <c r="GI55" i="14609"/>
  <c r="GJ55" i="14609"/>
  <c r="GK55" i="14609"/>
  <c r="GL55" i="14609"/>
  <c r="GM55" i="14609"/>
  <c r="GN55" i="14609"/>
  <c r="GO55" i="14609"/>
  <c r="GP55" i="14609"/>
  <c r="GQ55" i="14609"/>
  <c r="GR55" i="14609"/>
  <c r="GS55" i="14609"/>
  <c r="GT55" i="14609"/>
  <c r="GU55" i="14609"/>
  <c r="GV55" i="14609"/>
  <c r="GW55" i="14609"/>
  <c r="GX55" i="14609"/>
  <c r="GY55" i="14609"/>
  <c r="GZ55" i="14609"/>
  <c r="HA55" i="14609"/>
  <c r="HB55" i="14609"/>
  <c r="HC55" i="14609"/>
  <c r="HD55" i="14609"/>
  <c r="HE55" i="14609"/>
  <c r="HF55" i="14609"/>
  <c r="HG55" i="14609"/>
  <c r="HH55" i="14609"/>
  <c r="HI55" i="14609"/>
  <c r="HJ55" i="14609"/>
  <c r="HK55" i="14609"/>
  <c r="HL55" i="14609"/>
  <c r="HM55" i="14609"/>
  <c r="HN55" i="14609"/>
  <c r="HO55" i="14609"/>
  <c r="HP55" i="14609"/>
  <c r="HQ55" i="14609"/>
  <c r="HR55" i="14609"/>
  <c r="HS55" i="14609"/>
  <c r="HT55" i="14609"/>
  <c r="HU55" i="14609"/>
  <c r="HV55" i="14609"/>
  <c r="HW55" i="14609"/>
  <c r="HX55" i="14609"/>
  <c r="HY55" i="14609"/>
  <c r="HZ55" i="14609"/>
  <c r="IA55" i="14609"/>
  <c r="IB55" i="14609"/>
  <c r="IC55" i="14609"/>
  <c r="ID55" i="14609"/>
  <c r="IE55" i="14609"/>
  <c r="IF55" i="14609"/>
  <c r="IG55" i="14609"/>
  <c r="IH55" i="14609"/>
  <c r="II55" i="14609"/>
  <c r="IJ55" i="14609"/>
  <c r="IK55" i="14609"/>
  <c r="IL55" i="14609"/>
  <c r="IM55" i="14609"/>
  <c r="IN55" i="14609"/>
  <c r="IO55" i="14609"/>
  <c r="IP55" i="14609"/>
  <c r="IQ55" i="14609"/>
  <c r="IR55" i="14609"/>
  <c r="IS55" i="14609"/>
  <c r="IT55" i="14609"/>
  <c r="IU55" i="14609"/>
  <c r="IV55" i="14609"/>
  <c r="A54" i="14609"/>
  <c r="B54" i="14609"/>
  <c r="C54" i="14609"/>
  <c r="D54" i="14609"/>
  <c r="E54" i="14609"/>
  <c r="F54" i="14609"/>
  <c r="G54" i="14609"/>
  <c r="H54" i="14609"/>
  <c r="I54" i="14609"/>
  <c r="J54" i="14609"/>
  <c r="K54" i="14609"/>
  <c r="L54" i="14609"/>
  <c r="M54" i="14609"/>
  <c r="N54" i="14609"/>
  <c r="O54" i="14609"/>
  <c r="P54" i="14609"/>
  <c r="Q54" i="14609"/>
  <c r="R54" i="14609"/>
  <c r="S54" i="14609"/>
  <c r="T54" i="14609"/>
  <c r="U54" i="14609"/>
  <c r="V54" i="14609"/>
  <c r="W54" i="14609"/>
  <c r="X54" i="14609"/>
  <c r="Y54" i="14609"/>
  <c r="Z54" i="14609"/>
  <c r="AA54" i="14609"/>
  <c r="AB54" i="14609"/>
  <c r="AC54" i="14609"/>
  <c r="AD54" i="14609"/>
  <c r="AE54" i="14609"/>
  <c r="AF54" i="14609"/>
  <c r="AG54" i="14609"/>
  <c r="AH54" i="14609"/>
  <c r="AI54" i="14609"/>
  <c r="AJ54" i="14609"/>
  <c r="AK54" i="14609"/>
  <c r="AL54" i="14609"/>
  <c r="AM54" i="14609"/>
  <c r="AN54" i="14609"/>
  <c r="AO54" i="14609"/>
  <c r="AP54" i="14609"/>
  <c r="AQ54" i="14609"/>
  <c r="AR54" i="14609"/>
  <c r="AS54" i="14609"/>
  <c r="AT54" i="14609"/>
  <c r="AU54" i="14609"/>
  <c r="AV54" i="14609"/>
  <c r="AW54" i="14609"/>
  <c r="AX54" i="14609"/>
  <c r="AY54" i="14609"/>
  <c r="AZ54" i="14609"/>
  <c r="BA54" i="14609"/>
  <c r="BB54" i="14609"/>
  <c r="BC54" i="14609"/>
  <c r="BD54" i="14609"/>
  <c r="BE54" i="14609"/>
  <c r="BF54" i="14609"/>
  <c r="BG54" i="14609"/>
  <c r="BH54" i="14609"/>
  <c r="BI54" i="14609"/>
  <c r="BJ54" i="14609"/>
  <c r="BK54" i="14609"/>
  <c r="BL54" i="14609"/>
  <c r="BM54" i="14609"/>
  <c r="BN54" i="14609"/>
  <c r="BO54" i="14609"/>
  <c r="BP54" i="14609"/>
  <c r="BQ54" i="14609"/>
  <c r="BR54" i="14609"/>
  <c r="BS54" i="14609"/>
  <c r="BT54" i="14609"/>
  <c r="BU54" i="14609"/>
  <c r="BV54" i="14609"/>
  <c r="BW54" i="14609"/>
  <c r="BX54" i="14609"/>
  <c r="BY54" i="14609"/>
  <c r="BZ54" i="14609"/>
  <c r="CA54" i="14609"/>
  <c r="CB54" i="14609"/>
  <c r="CC54" i="14609"/>
  <c r="CD54" i="14609"/>
  <c r="CE54" i="14609"/>
  <c r="CF54" i="14609"/>
  <c r="CG54" i="14609"/>
  <c r="CH54" i="14609"/>
  <c r="CI54" i="14609"/>
  <c r="CJ54" i="14609"/>
  <c r="CK54" i="14609"/>
  <c r="CL54" i="14609"/>
  <c r="CM54" i="14609"/>
  <c r="CN54" i="14609"/>
  <c r="CO54" i="14609"/>
  <c r="CP54" i="14609"/>
  <c r="CQ54" i="14609"/>
  <c r="CR54" i="14609"/>
  <c r="CS54" i="14609"/>
  <c r="CT54" i="14609"/>
  <c r="CU54" i="14609"/>
  <c r="CV54" i="14609"/>
  <c r="CW54" i="14609"/>
  <c r="CX54" i="14609"/>
  <c r="CY54" i="14609"/>
  <c r="CZ54" i="14609"/>
  <c r="DA54" i="14609"/>
  <c r="DB54" i="14609"/>
  <c r="DC54" i="14609"/>
  <c r="DD54" i="14609"/>
  <c r="DE54" i="14609"/>
  <c r="DF54" i="14609"/>
  <c r="DG54" i="14609"/>
  <c r="DH54" i="14609"/>
  <c r="DI54" i="14609"/>
  <c r="DJ54" i="14609"/>
  <c r="DK54" i="14609"/>
  <c r="DL54" i="14609"/>
  <c r="DM54" i="14609"/>
  <c r="DN54" i="14609"/>
  <c r="DO54" i="14609"/>
  <c r="DP54" i="14609"/>
  <c r="DQ54" i="14609"/>
  <c r="DR54" i="14609"/>
  <c r="DS54" i="14609"/>
  <c r="DT54" i="14609"/>
  <c r="DU54" i="14609"/>
  <c r="DV54" i="14609"/>
  <c r="DW54" i="14609"/>
  <c r="DX54" i="14609"/>
  <c r="DY54" i="14609"/>
  <c r="DZ54" i="14609"/>
  <c r="EA54" i="14609"/>
  <c r="EB54" i="14609"/>
  <c r="EC54" i="14609"/>
  <c r="ED54" i="14609"/>
  <c r="EE54" i="14609"/>
  <c r="EF54" i="14609"/>
  <c r="EG54" i="14609"/>
  <c r="EH54" i="14609"/>
  <c r="EI54" i="14609"/>
  <c r="EJ54" i="14609"/>
  <c r="EK54" i="14609"/>
  <c r="EL54" i="14609"/>
  <c r="EM54" i="14609"/>
  <c r="EN54" i="14609"/>
  <c r="EO54" i="14609"/>
  <c r="EP54" i="14609"/>
  <c r="EQ54" i="14609"/>
  <c r="ER54" i="14609"/>
  <c r="ES54" i="14609"/>
  <c r="ET54" i="14609"/>
  <c r="EU54" i="14609"/>
  <c r="EV54" i="14609"/>
  <c r="EW54" i="14609"/>
  <c r="EX54" i="14609"/>
  <c r="EY54" i="14609"/>
  <c r="EZ54" i="14609"/>
  <c r="FA54" i="14609"/>
  <c r="FB54" i="14609"/>
  <c r="FC54" i="14609"/>
  <c r="FD54" i="14609"/>
  <c r="FE54" i="14609"/>
  <c r="FF54" i="14609"/>
  <c r="FG54" i="14609"/>
  <c r="FH54" i="14609"/>
  <c r="FI54" i="14609"/>
  <c r="FJ54" i="14609"/>
  <c r="FK54" i="14609"/>
  <c r="FL54" i="14609"/>
  <c r="FM54" i="14609"/>
  <c r="FN54" i="14609"/>
  <c r="FO54" i="14609"/>
  <c r="FP54" i="14609"/>
  <c r="FQ54" i="14609"/>
  <c r="FR54" i="14609"/>
  <c r="FS54" i="14609"/>
  <c r="FT54" i="14609"/>
  <c r="FU54" i="14609"/>
  <c r="FV54" i="14609"/>
  <c r="FW54" i="14609"/>
  <c r="FX54" i="14609"/>
  <c r="FY54" i="14609"/>
  <c r="FZ54" i="14609"/>
  <c r="GA54" i="14609"/>
  <c r="GB54" i="14609"/>
  <c r="GC54" i="14609"/>
  <c r="GD54" i="14609"/>
  <c r="GE54" i="14609"/>
  <c r="GF54" i="14609"/>
  <c r="GG54" i="14609"/>
  <c r="GH54" i="14609"/>
  <c r="GI54" i="14609"/>
  <c r="GJ54" i="14609"/>
  <c r="GK54" i="14609"/>
  <c r="GL54" i="14609"/>
  <c r="GM54" i="14609"/>
  <c r="GN54" i="14609"/>
  <c r="GO54" i="14609"/>
  <c r="GP54" i="14609"/>
  <c r="GQ54" i="14609"/>
  <c r="GR54" i="14609"/>
  <c r="GS54" i="14609"/>
  <c r="GT54" i="14609"/>
  <c r="GU54" i="14609"/>
  <c r="GV54" i="14609"/>
  <c r="GW54" i="14609"/>
  <c r="GX54" i="14609"/>
  <c r="GY54" i="14609"/>
  <c r="GZ54" i="14609"/>
  <c r="HA54" i="14609"/>
  <c r="HB54" i="14609"/>
  <c r="HC54" i="14609"/>
  <c r="HD54" i="14609"/>
  <c r="HE54" i="14609"/>
  <c r="HF54" i="14609"/>
  <c r="HG54" i="14609"/>
  <c r="HH54" i="14609"/>
  <c r="HI54" i="14609"/>
  <c r="HJ54" i="14609"/>
  <c r="HK54" i="14609"/>
  <c r="HL54" i="14609"/>
  <c r="HM54" i="14609"/>
  <c r="HN54" i="14609"/>
  <c r="HO54" i="14609"/>
  <c r="HP54" i="14609"/>
  <c r="HQ54" i="14609"/>
  <c r="HR54" i="14609"/>
  <c r="HS54" i="14609"/>
  <c r="HT54" i="14609"/>
  <c r="HU54" i="14609"/>
  <c r="HV54" i="14609"/>
  <c r="HW54" i="14609"/>
  <c r="HX54" i="14609"/>
  <c r="HY54" i="14609"/>
  <c r="HZ54" i="14609"/>
  <c r="IA54" i="14609"/>
  <c r="IB54" i="14609"/>
  <c r="IC54" i="14609"/>
  <c r="ID54" i="14609"/>
  <c r="IE54" i="14609"/>
  <c r="IF54" i="14609"/>
  <c r="IG54" i="14609"/>
  <c r="IH54" i="14609"/>
  <c r="II54" i="14609"/>
  <c r="IJ54" i="14609"/>
  <c r="IK54" i="14609"/>
  <c r="IL54" i="14609"/>
  <c r="IM54" i="14609"/>
  <c r="IN54" i="14609"/>
  <c r="IO54" i="14609"/>
  <c r="IP54" i="14609"/>
  <c r="IQ54" i="14609"/>
  <c r="IR54" i="14609"/>
  <c r="IS54" i="14609"/>
  <c r="IT54" i="14609"/>
  <c r="IU54" i="14609"/>
  <c r="IV54" i="14609"/>
  <c r="A53" i="14609"/>
  <c r="B53" i="14609"/>
  <c r="C53" i="14609"/>
  <c r="D53" i="14609"/>
  <c r="E53" i="14609"/>
  <c r="F53" i="14609"/>
  <c r="G53" i="14609"/>
  <c r="H53" i="14609"/>
  <c r="I53" i="14609"/>
  <c r="J53" i="14609"/>
  <c r="K53" i="14609"/>
  <c r="L53" i="14609"/>
  <c r="M53" i="14609"/>
  <c r="N53" i="14609"/>
  <c r="O53" i="14609"/>
  <c r="P53" i="14609"/>
  <c r="Q53" i="14609"/>
  <c r="R53" i="14609"/>
  <c r="S53" i="14609"/>
  <c r="T53" i="14609"/>
  <c r="U53" i="14609"/>
  <c r="V53" i="14609"/>
  <c r="W53" i="14609"/>
  <c r="X53" i="14609"/>
  <c r="Y53" i="14609"/>
  <c r="Z53" i="14609"/>
  <c r="AA53" i="14609"/>
  <c r="AB53" i="14609"/>
  <c r="AC53" i="14609"/>
  <c r="AD53" i="14609"/>
  <c r="AE53" i="14609"/>
  <c r="AF53" i="14609"/>
  <c r="AG53" i="14609"/>
  <c r="AH53" i="14609"/>
  <c r="AI53" i="14609"/>
  <c r="AJ53" i="14609"/>
  <c r="AK53" i="14609"/>
  <c r="AL53" i="14609"/>
  <c r="AM53" i="14609"/>
  <c r="AN53" i="14609"/>
  <c r="AO53" i="14609"/>
  <c r="AP53" i="14609"/>
  <c r="AQ53" i="14609"/>
  <c r="AR53" i="14609"/>
  <c r="AS53" i="14609"/>
  <c r="AT53" i="14609"/>
  <c r="AU53" i="14609"/>
  <c r="AV53" i="14609"/>
  <c r="AW53" i="14609"/>
  <c r="AX53" i="14609"/>
  <c r="AY53" i="14609"/>
  <c r="AZ53" i="14609"/>
  <c r="BA53" i="14609"/>
  <c r="BB53" i="14609"/>
  <c r="BC53" i="14609"/>
  <c r="BD53" i="14609"/>
  <c r="BE53" i="14609"/>
  <c r="BF53" i="14609"/>
  <c r="BG53" i="14609"/>
  <c r="BH53" i="14609"/>
  <c r="BI53" i="14609"/>
  <c r="BJ53" i="14609"/>
  <c r="BK53" i="14609"/>
  <c r="BL53" i="14609"/>
  <c r="BM53" i="14609"/>
  <c r="BN53" i="14609"/>
  <c r="BO53" i="14609"/>
  <c r="BP53" i="14609"/>
  <c r="BQ53" i="14609"/>
  <c r="BR53" i="14609"/>
  <c r="BS53" i="14609"/>
  <c r="BT53" i="14609"/>
  <c r="BU53" i="14609"/>
  <c r="BV53" i="14609"/>
  <c r="BW53" i="14609"/>
  <c r="BX53" i="14609"/>
  <c r="BY53" i="14609"/>
  <c r="BZ53" i="14609"/>
  <c r="CA53" i="14609"/>
  <c r="CB53" i="14609"/>
  <c r="CC53" i="14609"/>
  <c r="CD53" i="14609"/>
  <c r="CE53" i="14609"/>
  <c r="CF53" i="14609"/>
  <c r="CG53" i="14609"/>
  <c r="CH53" i="14609"/>
  <c r="CI53" i="14609"/>
  <c r="CJ53" i="14609"/>
  <c r="CK53" i="14609"/>
  <c r="CL53" i="14609"/>
  <c r="CM53" i="14609"/>
  <c r="CN53" i="14609"/>
  <c r="CO53" i="14609"/>
  <c r="CP53" i="14609"/>
  <c r="CQ53" i="14609"/>
  <c r="CR53" i="14609"/>
  <c r="CS53" i="14609"/>
  <c r="CT53" i="14609"/>
  <c r="CU53" i="14609"/>
  <c r="CV53" i="14609"/>
  <c r="CW53" i="14609"/>
  <c r="CX53" i="14609"/>
  <c r="CY53" i="14609"/>
  <c r="CZ53" i="14609"/>
  <c r="DA53" i="14609"/>
  <c r="DB53" i="14609"/>
  <c r="DC53" i="14609"/>
  <c r="DD53" i="14609"/>
  <c r="DE53" i="14609"/>
  <c r="DF53" i="14609"/>
  <c r="DG53" i="14609"/>
  <c r="DH53" i="14609"/>
  <c r="DI53" i="14609"/>
  <c r="DJ53" i="14609"/>
  <c r="DK53" i="14609"/>
  <c r="DL53" i="14609"/>
  <c r="DM53" i="14609"/>
  <c r="DN53" i="14609"/>
  <c r="DO53" i="14609"/>
  <c r="DP53" i="14609"/>
  <c r="DQ53" i="14609"/>
  <c r="DR53" i="14609"/>
  <c r="DS53" i="14609"/>
  <c r="DT53" i="14609"/>
  <c r="DU53" i="14609"/>
  <c r="DV53" i="14609"/>
  <c r="DW53" i="14609"/>
  <c r="DX53" i="14609"/>
  <c r="DY53" i="14609"/>
  <c r="DZ53" i="14609"/>
  <c r="EA53" i="14609"/>
  <c r="EB53" i="14609"/>
  <c r="EC53" i="14609"/>
  <c r="ED53" i="14609"/>
  <c r="EE53" i="14609"/>
  <c r="EF53" i="14609"/>
  <c r="EG53" i="14609"/>
  <c r="EH53" i="14609"/>
  <c r="EI53" i="14609"/>
  <c r="EJ53" i="14609"/>
  <c r="EK53" i="14609"/>
  <c r="EL53" i="14609"/>
  <c r="EM53" i="14609"/>
  <c r="EN53" i="14609"/>
  <c r="EO53" i="14609"/>
  <c r="EP53" i="14609"/>
  <c r="EQ53" i="14609"/>
  <c r="ER53" i="14609"/>
  <c r="ES53" i="14609"/>
  <c r="ET53" i="14609"/>
  <c r="EU53" i="14609"/>
  <c r="EV53" i="14609"/>
  <c r="EW53" i="14609"/>
  <c r="EX53" i="14609"/>
  <c r="EY53" i="14609"/>
  <c r="EZ53" i="14609"/>
  <c r="FA53" i="14609"/>
  <c r="FB53" i="14609"/>
  <c r="FC53" i="14609"/>
  <c r="FD53" i="14609"/>
  <c r="FE53" i="14609"/>
  <c r="FF53" i="14609"/>
  <c r="FG53" i="14609"/>
  <c r="FH53" i="14609"/>
  <c r="FI53" i="14609"/>
  <c r="FJ53" i="14609"/>
  <c r="FK53" i="14609"/>
  <c r="FL53" i="14609"/>
  <c r="FM53" i="14609"/>
  <c r="FN53" i="14609"/>
  <c r="FO53" i="14609"/>
  <c r="FP53" i="14609"/>
  <c r="FQ53" i="14609"/>
  <c r="FR53" i="14609"/>
  <c r="FS53" i="14609"/>
  <c r="FT53" i="14609"/>
  <c r="FU53" i="14609"/>
  <c r="FV53" i="14609"/>
  <c r="FW53" i="14609"/>
  <c r="FX53" i="14609"/>
  <c r="FY53" i="14609"/>
  <c r="FZ53" i="14609"/>
  <c r="GA53" i="14609"/>
  <c r="GB53" i="14609"/>
  <c r="GC53" i="14609"/>
  <c r="GD53" i="14609"/>
  <c r="GE53" i="14609"/>
  <c r="GF53" i="14609"/>
  <c r="GG53" i="14609"/>
  <c r="GH53" i="14609"/>
  <c r="GI53" i="14609"/>
  <c r="GJ53" i="14609"/>
  <c r="GK53" i="14609"/>
  <c r="GL53" i="14609"/>
  <c r="GM53" i="14609"/>
  <c r="GN53" i="14609"/>
  <c r="GO53" i="14609"/>
  <c r="GP53" i="14609"/>
  <c r="GQ53" i="14609"/>
  <c r="GR53" i="14609"/>
  <c r="GS53" i="14609"/>
  <c r="GT53" i="14609"/>
  <c r="GU53" i="14609"/>
  <c r="GV53" i="14609"/>
  <c r="GW53" i="14609"/>
  <c r="GX53" i="14609"/>
  <c r="GY53" i="14609"/>
  <c r="GZ53" i="14609"/>
  <c r="HA53" i="14609"/>
  <c r="HB53" i="14609"/>
  <c r="HC53" i="14609"/>
  <c r="HD53" i="14609"/>
  <c r="HE53" i="14609"/>
  <c r="HF53" i="14609"/>
  <c r="HG53" i="14609"/>
  <c r="HH53" i="14609"/>
  <c r="HI53" i="14609"/>
  <c r="HJ53" i="14609"/>
  <c r="HK53" i="14609"/>
  <c r="HL53" i="14609"/>
  <c r="HM53" i="14609"/>
  <c r="HN53" i="14609"/>
  <c r="HO53" i="14609"/>
  <c r="HP53" i="14609"/>
  <c r="HQ53" i="14609"/>
  <c r="HR53" i="14609"/>
  <c r="HS53" i="14609"/>
  <c r="HT53" i="14609"/>
  <c r="HU53" i="14609"/>
  <c r="HV53" i="14609"/>
  <c r="HW53" i="14609"/>
  <c r="HX53" i="14609"/>
  <c r="HY53" i="14609"/>
  <c r="HZ53" i="14609"/>
  <c r="IA53" i="14609"/>
  <c r="IB53" i="14609"/>
  <c r="IC53" i="14609"/>
  <c r="ID53" i="14609"/>
  <c r="IE53" i="14609"/>
  <c r="IF53" i="14609"/>
  <c r="IG53" i="14609"/>
  <c r="IH53" i="14609"/>
  <c r="II53" i="14609"/>
  <c r="IJ53" i="14609"/>
  <c r="IK53" i="14609"/>
  <c r="IL53" i="14609"/>
  <c r="IM53" i="14609"/>
  <c r="IN53" i="14609"/>
  <c r="IO53" i="14609"/>
  <c r="IP53" i="14609"/>
  <c r="IQ53" i="14609"/>
  <c r="IR53" i="14609"/>
  <c r="IS53" i="14609"/>
  <c r="IT53" i="14609"/>
  <c r="IU53" i="14609"/>
  <c r="IV53" i="14609"/>
  <c r="A52" i="14609"/>
  <c r="B52" i="14609"/>
  <c r="C52" i="14609"/>
  <c r="D52" i="14609"/>
  <c r="E52" i="14609"/>
  <c r="F52" i="14609"/>
  <c r="G52" i="14609"/>
  <c r="H52" i="14609"/>
  <c r="I52" i="14609"/>
  <c r="J52" i="14609"/>
  <c r="K52" i="14609"/>
  <c r="L52" i="14609"/>
  <c r="M52" i="14609"/>
  <c r="N52" i="14609"/>
  <c r="O52" i="14609"/>
  <c r="P52" i="14609"/>
  <c r="Q52" i="14609"/>
  <c r="R52" i="14609"/>
  <c r="S52" i="14609"/>
  <c r="T52" i="14609"/>
  <c r="U52" i="14609"/>
  <c r="V52" i="14609"/>
  <c r="W52" i="14609"/>
  <c r="X52" i="14609"/>
  <c r="Y52" i="14609"/>
  <c r="Z52" i="14609"/>
  <c r="AA52" i="14609"/>
  <c r="AB52" i="14609"/>
  <c r="AC52" i="14609"/>
  <c r="AD52" i="14609"/>
  <c r="AE52" i="14609"/>
  <c r="AF52" i="14609"/>
  <c r="AG52" i="14609"/>
  <c r="AH52" i="14609"/>
  <c r="AI52" i="14609"/>
  <c r="AJ52" i="14609"/>
  <c r="AK52" i="14609"/>
  <c r="AL52" i="14609"/>
  <c r="AM52" i="14609"/>
  <c r="AN52" i="14609"/>
  <c r="AO52" i="14609"/>
  <c r="AP52" i="14609"/>
  <c r="AQ52" i="14609"/>
  <c r="AR52" i="14609"/>
  <c r="AS52" i="14609"/>
  <c r="AT52" i="14609"/>
  <c r="AU52" i="14609"/>
  <c r="AV52" i="14609"/>
  <c r="AW52" i="14609"/>
  <c r="AX52" i="14609"/>
  <c r="AY52" i="14609"/>
  <c r="AZ52" i="14609"/>
  <c r="BA52" i="14609"/>
  <c r="BB52" i="14609"/>
  <c r="BC52" i="14609"/>
  <c r="BD52" i="14609"/>
  <c r="BE52" i="14609"/>
  <c r="BF52" i="14609"/>
  <c r="BG52" i="14609"/>
  <c r="BH52" i="14609"/>
  <c r="BI52" i="14609"/>
  <c r="BJ52" i="14609"/>
  <c r="BK52" i="14609"/>
  <c r="BL52" i="14609"/>
  <c r="BM52" i="14609"/>
  <c r="BN52" i="14609"/>
  <c r="BO52" i="14609"/>
  <c r="BP52" i="14609"/>
  <c r="BQ52" i="14609"/>
  <c r="BR52" i="14609"/>
  <c r="BS52" i="14609"/>
  <c r="BT52" i="14609"/>
  <c r="BU52" i="14609"/>
  <c r="BV52" i="14609"/>
  <c r="BW52" i="14609"/>
  <c r="BX52" i="14609"/>
  <c r="BY52" i="14609"/>
  <c r="BZ52" i="14609"/>
  <c r="CA52" i="14609"/>
  <c r="CB52" i="14609"/>
  <c r="CC52" i="14609"/>
  <c r="CD52" i="14609"/>
  <c r="CE52" i="14609"/>
  <c r="CF52" i="14609"/>
  <c r="CG52" i="14609"/>
  <c r="CH52" i="14609"/>
  <c r="CI52" i="14609"/>
  <c r="CJ52" i="14609"/>
  <c r="CK52" i="14609"/>
  <c r="CL52" i="14609"/>
  <c r="CM52" i="14609"/>
  <c r="CN52" i="14609"/>
  <c r="CO52" i="14609"/>
  <c r="CP52" i="14609"/>
  <c r="CQ52" i="14609"/>
  <c r="CR52" i="14609"/>
  <c r="CS52" i="14609"/>
  <c r="CT52" i="14609"/>
  <c r="CU52" i="14609"/>
  <c r="CV52" i="14609"/>
  <c r="CW52" i="14609"/>
  <c r="CX52" i="14609"/>
  <c r="CY52" i="14609"/>
  <c r="CZ52" i="14609"/>
  <c r="DA52" i="14609"/>
  <c r="DB52" i="14609"/>
  <c r="DC52" i="14609"/>
  <c r="DD52" i="14609"/>
  <c r="DE52" i="14609"/>
  <c r="DF52" i="14609"/>
  <c r="DG52" i="14609"/>
  <c r="DH52" i="14609"/>
  <c r="DI52" i="14609"/>
  <c r="DJ52" i="14609"/>
  <c r="DK52" i="14609"/>
  <c r="DL52" i="14609"/>
  <c r="DM52" i="14609"/>
  <c r="DN52" i="14609"/>
  <c r="DO52" i="14609"/>
  <c r="DP52" i="14609"/>
  <c r="DQ52" i="14609"/>
  <c r="DR52" i="14609"/>
  <c r="DS52" i="14609"/>
  <c r="DT52" i="14609"/>
  <c r="DU52" i="14609"/>
  <c r="DV52" i="14609"/>
  <c r="DW52" i="14609"/>
  <c r="DX52" i="14609"/>
  <c r="DY52" i="14609"/>
  <c r="DZ52" i="14609"/>
  <c r="EA52" i="14609"/>
  <c r="EB52" i="14609"/>
  <c r="EC52" i="14609"/>
  <c r="ED52" i="14609"/>
  <c r="EE52" i="14609"/>
  <c r="EF52" i="14609"/>
  <c r="EG52" i="14609"/>
  <c r="EH52" i="14609"/>
  <c r="EI52" i="14609"/>
  <c r="EJ52" i="14609"/>
  <c r="EK52" i="14609"/>
  <c r="EL52" i="14609"/>
  <c r="EM52" i="14609"/>
  <c r="EN52" i="14609"/>
  <c r="EO52" i="14609"/>
  <c r="EP52" i="14609"/>
  <c r="EQ52" i="14609"/>
  <c r="ER52" i="14609"/>
  <c r="ES52" i="14609"/>
  <c r="ET52" i="14609"/>
  <c r="EU52" i="14609"/>
  <c r="EV52" i="14609"/>
  <c r="EW52" i="14609"/>
  <c r="EX52" i="14609"/>
  <c r="EY52" i="14609"/>
  <c r="EZ52" i="14609"/>
  <c r="FA52" i="14609"/>
  <c r="FB52" i="14609"/>
  <c r="FC52" i="14609"/>
  <c r="FD52" i="14609"/>
  <c r="FE52" i="14609"/>
  <c r="FF52" i="14609"/>
  <c r="FG52" i="14609"/>
  <c r="FH52" i="14609"/>
  <c r="FI52" i="14609"/>
  <c r="FJ52" i="14609"/>
  <c r="FK52" i="14609"/>
  <c r="FL52" i="14609"/>
  <c r="FM52" i="14609"/>
  <c r="FN52" i="14609"/>
  <c r="FO52" i="14609"/>
  <c r="FP52" i="14609"/>
  <c r="FQ52" i="14609"/>
  <c r="FR52" i="14609"/>
  <c r="FS52" i="14609"/>
  <c r="FT52" i="14609"/>
  <c r="FU52" i="14609"/>
  <c r="FV52" i="14609"/>
  <c r="FW52" i="14609"/>
  <c r="FX52" i="14609"/>
  <c r="FY52" i="14609"/>
  <c r="FZ52" i="14609"/>
  <c r="GA52" i="14609"/>
  <c r="GB52" i="14609"/>
  <c r="GC52" i="14609"/>
  <c r="GD52" i="14609"/>
  <c r="GE52" i="14609"/>
  <c r="GF52" i="14609"/>
  <c r="GG52" i="14609"/>
  <c r="GH52" i="14609"/>
  <c r="GI52" i="14609"/>
  <c r="GJ52" i="14609"/>
  <c r="GK52" i="14609"/>
  <c r="GL52" i="14609"/>
  <c r="GM52" i="14609"/>
  <c r="GN52" i="14609"/>
  <c r="GO52" i="14609"/>
  <c r="GP52" i="14609"/>
  <c r="GQ52" i="14609"/>
  <c r="GR52" i="14609"/>
  <c r="GS52" i="14609"/>
  <c r="GT52" i="14609"/>
  <c r="GU52" i="14609"/>
  <c r="GV52" i="14609"/>
  <c r="GW52" i="14609"/>
  <c r="GX52" i="14609"/>
  <c r="GY52" i="14609"/>
  <c r="GZ52" i="14609"/>
  <c r="HA52" i="14609"/>
  <c r="HB52" i="14609"/>
  <c r="HC52" i="14609"/>
  <c r="HD52" i="14609"/>
  <c r="HE52" i="14609"/>
  <c r="HF52" i="14609"/>
  <c r="HG52" i="14609"/>
  <c r="HH52" i="14609"/>
  <c r="HI52" i="14609"/>
  <c r="HJ52" i="14609"/>
  <c r="HK52" i="14609"/>
  <c r="HL52" i="14609"/>
  <c r="HM52" i="14609"/>
  <c r="HN52" i="14609"/>
  <c r="HO52" i="14609"/>
  <c r="HP52" i="14609"/>
  <c r="HQ52" i="14609"/>
  <c r="HR52" i="14609"/>
  <c r="HS52" i="14609"/>
  <c r="HT52" i="14609"/>
  <c r="HU52" i="14609"/>
  <c r="HV52" i="14609"/>
  <c r="HW52" i="14609"/>
  <c r="HX52" i="14609"/>
  <c r="HY52" i="14609"/>
  <c r="HZ52" i="14609"/>
  <c r="IA52" i="14609"/>
  <c r="IB52" i="14609"/>
  <c r="IC52" i="14609"/>
  <c r="ID52" i="14609"/>
  <c r="IE52" i="14609"/>
  <c r="IF52" i="14609"/>
  <c r="IG52" i="14609"/>
  <c r="IH52" i="14609"/>
  <c r="II52" i="14609"/>
  <c r="IJ52" i="14609"/>
  <c r="IK52" i="14609"/>
  <c r="IL52" i="14609"/>
  <c r="IM52" i="14609"/>
  <c r="IN52" i="14609"/>
  <c r="IO52" i="14609"/>
  <c r="IP52" i="14609"/>
  <c r="IQ52" i="14609"/>
  <c r="IR52" i="14609"/>
  <c r="IS52" i="14609"/>
  <c r="IT52" i="14609"/>
  <c r="IU52" i="14609"/>
  <c r="IV52" i="14609"/>
  <c r="A51" i="14609"/>
  <c r="B51" i="14609"/>
  <c r="C51" i="14609"/>
  <c r="D51" i="14609"/>
  <c r="E51" i="14609"/>
  <c r="F51" i="14609"/>
  <c r="G51" i="14609"/>
  <c r="H51" i="14609"/>
  <c r="I51" i="14609"/>
  <c r="J51" i="14609"/>
  <c r="K51" i="14609"/>
  <c r="L51" i="14609"/>
  <c r="M51" i="14609"/>
  <c r="N51" i="14609"/>
  <c r="O51" i="14609"/>
  <c r="P51" i="14609"/>
  <c r="Q51" i="14609"/>
  <c r="R51" i="14609"/>
  <c r="S51" i="14609"/>
  <c r="T51" i="14609"/>
  <c r="U51" i="14609"/>
  <c r="V51" i="14609"/>
  <c r="W51" i="14609"/>
  <c r="X51" i="14609"/>
  <c r="Y51" i="14609"/>
  <c r="Z51" i="14609"/>
  <c r="AA51" i="14609"/>
  <c r="AB51" i="14609"/>
  <c r="AC51" i="14609"/>
  <c r="AD51" i="14609"/>
  <c r="AE51" i="14609"/>
  <c r="AF51" i="14609"/>
  <c r="AG51" i="14609"/>
  <c r="AH51" i="14609"/>
  <c r="AI51" i="14609"/>
  <c r="AJ51" i="14609"/>
  <c r="AK51" i="14609"/>
  <c r="AL51" i="14609"/>
  <c r="AM51" i="14609"/>
  <c r="AN51" i="14609"/>
  <c r="AO51" i="14609"/>
  <c r="AP51" i="14609"/>
  <c r="AQ51" i="14609"/>
  <c r="AR51" i="14609"/>
  <c r="AS51" i="14609"/>
  <c r="AT51" i="14609"/>
  <c r="AU51" i="14609"/>
  <c r="AV51" i="14609"/>
  <c r="AW51" i="14609"/>
  <c r="AX51" i="14609"/>
  <c r="AY51" i="14609"/>
  <c r="AZ51" i="14609"/>
  <c r="BA51" i="14609"/>
  <c r="BB51" i="14609"/>
  <c r="BC51" i="14609"/>
  <c r="BD51" i="14609"/>
  <c r="BE51" i="14609"/>
  <c r="BF51" i="14609"/>
  <c r="BG51" i="14609"/>
  <c r="BH51" i="14609"/>
  <c r="BI51" i="14609"/>
  <c r="BJ51" i="14609"/>
  <c r="BK51" i="14609"/>
  <c r="BL51" i="14609"/>
  <c r="BM51" i="14609"/>
  <c r="BN51" i="14609"/>
  <c r="BO51" i="14609"/>
  <c r="BP51" i="14609"/>
  <c r="BQ51" i="14609"/>
  <c r="BR51" i="14609"/>
  <c r="BS51" i="14609"/>
  <c r="BT51" i="14609"/>
  <c r="BU51" i="14609"/>
  <c r="BV51" i="14609"/>
  <c r="BW51" i="14609"/>
  <c r="BX51" i="14609"/>
  <c r="BY51" i="14609"/>
  <c r="BZ51" i="14609"/>
  <c r="CA51" i="14609"/>
  <c r="CB51" i="14609"/>
  <c r="CC51" i="14609"/>
  <c r="CD51" i="14609"/>
  <c r="CE51" i="14609"/>
  <c r="CF51" i="14609"/>
  <c r="CG51" i="14609"/>
  <c r="CH51" i="14609"/>
  <c r="CI51" i="14609"/>
  <c r="CJ51" i="14609"/>
  <c r="CK51" i="14609"/>
  <c r="CL51" i="14609"/>
  <c r="CM51" i="14609"/>
  <c r="CN51" i="14609"/>
  <c r="CO51" i="14609"/>
  <c r="CP51" i="14609"/>
  <c r="CQ51" i="14609"/>
  <c r="CR51" i="14609"/>
  <c r="CS51" i="14609"/>
  <c r="CT51" i="14609"/>
  <c r="CU51" i="14609"/>
  <c r="CV51" i="14609"/>
  <c r="CW51" i="14609"/>
  <c r="CX51" i="14609"/>
  <c r="CY51" i="14609"/>
  <c r="CZ51" i="14609"/>
  <c r="DA51" i="14609"/>
  <c r="DB51" i="14609"/>
  <c r="DC51" i="14609"/>
  <c r="DD51" i="14609"/>
  <c r="DE51" i="14609"/>
  <c r="DF51" i="14609"/>
  <c r="DG51" i="14609"/>
  <c r="DH51" i="14609"/>
  <c r="DI51" i="14609"/>
  <c r="DJ51" i="14609"/>
  <c r="DK51" i="14609"/>
  <c r="DL51" i="14609"/>
  <c r="DM51" i="14609"/>
  <c r="DN51" i="14609"/>
  <c r="DO51" i="14609"/>
  <c r="DP51" i="14609"/>
  <c r="DQ51" i="14609"/>
  <c r="DR51" i="14609"/>
  <c r="DS51" i="14609"/>
  <c r="DT51" i="14609"/>
  <c r="DU51" i="14609"/>
  <c r="DV51" i="14609"/>
  <c r="DW51" i="14609"/>
  <c r="DX51" i="14609"/>
  <c r="DY51" i="14609"/>
  <c r="DZ51" i="14609"/>
  <c r="EA51" i="14609"/>
  <c r="EB51" i="14609"/>
  <c r="EC51" i="14609"/>
  <c r="ED51" i="14609"/>
  <c r="EE51" i="14609"/>
  <c r="EF51" i="14609"/>
  <c r="EG51" i="14609"/>
  <c r="EH51" i="14609"/>
  <c r="EI51" i="14609"/>
  <c r="EJ51" i="14609"/>
  <c r="EK51" i="14609"/>
  <c r="EL51" i="14609"/>
  <c r="EM51" i="14609"/>
  <c r="EN51" i="14609"/>
  <c r="EO51" i="14609"/>
  <c r="EP51" i="14609"/>
  <c r="EQ51" i="14609"/>
  <c r="ER51" i="14609"/>
  <c r="ES51" i="14609"/>
  <c r="ET51" i="14609"/>
  <c r="EU51" i="14609"/>
  <c r="EV51" i="14609"/>
  <c r="EW51" i="14609"/>
  <c r="EX51" i="14609"/>
  <c r="EY51" i="14609"/>
  <c r="EZ51" i="14609"/>
  <c r="FA51" i="14609"/>
  <c r="FB51" i="14609"/>
  <c r="FC51" i="14609"/>
  <c r="FD51" i="14609"/>
  <c r="FE51" i="14609"/>
  <c r="FF51" i="14609"/>
  <c r="FG51" i="14609"/>
  <c r="FH51" i="14609"/>
  <c r="FI51" i="14609"/>
  <c r="FJ51" i="14609"/>
  <c r="FK51" i="14609"/>
  <c r="FL51" i="14609"/>
  <c r="FM51" i="14609"/>
  <c r="FN51" i="14609"/>
  <c r="FO51" i="14609"/>
  <c r="FP51" i="14609"/>
  <c r="FQ51" i="14609"/>
  <c r="FR51" i="14609"/>
  <c r="FS51" i="14609"/>
  <c r="FT51" i="14609"/>
  <c r="FU51" i="14609"/>
  <c r="FV51" i="14609"/>
  <c r="FW51" i="14609"/>
  <c r="FX51" i="14609"/>
  <c r="FY51" i="14609"/>
  <c r="FZ51" i="14609"/>
  <c r="GA51" i="14609"/>
  <c r="GB51" i="14609"/>
  <c r="GC51" i="14609"/>
  <c r="GD51" i="14609"/>
  <c r="GE51" i="14609"/>
  <c r="GF51" i="14609"/>
  <c r="GG51" i="14609"/>
  <c r="GH51" i="14609"/>
  <c r="GI51" i="14609"/>
  <c r="GJ51" i="14609"/>
  <c r="GK51" i="14609"/>
  <c r="GL51" i="14609"/>
  <c r="GM51" i="14609"/>
  <c r="GN51" i="14609"/>
  <c r="GO51" i="14609"/>
  <c r="GP51" i="14609"/>
  <c r="GQ51" i="14609"/>
  <c r="GR51" i="14609"/>
  <c r="GS51" i="14609"/>
  <c r="GT51" i="14609"/>
  <c r="GU51" i="14609"/>
  <c r="GV51" i="14609"/>
  <c r="GW51" i="14609"/>
  <c r="GX51" i="14609"/>
  <c r="GY51" i="14609"/>
  <c r="GZ51" i="14609"/>
  <c r="HA51" i="14609"/>
  <c r="HB51" i="14609"/>
  <c r="HC51" i="14609"/>
  <c r="HD51" i="14609"/>
  <c r="HE51" i="14609"/>
  <c r="HF51" i="14609"/>
  <c r="HG51" i="14609"/>
  <c r="HH51" i="14609"/>
  <c r="HI51" i="14609"/>
  <c r="HJ51" i="14609"/>
  <c r="HK51" i="14609"/>
  <c r="HL51" i="14609"/>
  <c r="HM51" i="14609"/>
  <c r="HN51" i="14609"/>
  <c r="HO51" i="14609"/>
  <c r="HP51" i="14609"/>
  <c r="HQ51" i="14609"/>
  <c r="HR51" i="14609"/>
  <c r="HS51" i="14609"/>
  <c r="HT51" i="14609"/>
  <c r="HU51" i="14609"/>
  <c r="HV51" i="14609"/>
  <c r="HW51" i="14609"/>
  <c r="HX51" i="14609"/>
  <c r="HY51" i="14609"/>
  <c r="HZ51" i="14609"/>
  <c r="IA51" i="14609"/>
  <c r="IB51" i="14609"/>
  <c r="IC51" i="14609"/>
  <c r="ID51" i="14609"/>
  <c r="IE51" i="14609"/>
  <c r="IF51" i="14609"/>
  <c r="IG51" i="14609"/>
  <c r="IH51" i="14609"/>
  <c r="II51" i="14609"/>
  <c r="IJ51" i="14609"/>
  <c r="IK51" i="14609"/>
  <c r="IL51" i="14609"/>
  <c r="IM51" i="14609"/>
  <c r="IN51" i="14609"/>
  <c r="IO51" i="14609"/>
  <c r="IP51" i="14609"/>
  <c r="IQ51" i="14609"/>
  <c r="IR51" i="14609"/>
  <c r="IS51" i="14609"/>
  <c r="IT51" i="14609"/>
  <c r="IU51" i="14609"/>
  <c r="IV51" i="14609"/>
  <c r="A50" i="14609"/>
  <c r="B50" i="14609"/>
  <c r="C50" i="14609"/>
  <c r="D50" i="14609"/>
  <c r="E50" i="14609"/>
  <c r="F50" i="14609"/>
  <c r="G50" i="14609"/>
  <c r="H50" i="14609"/>
  <c r="I50" i="14609"/>
  <c r="J50" i="14609"/>
  <c r="K50" i="14609"/>
  <c r="L50" i="14609"/>
  <c r="M50" i="14609"/>
  <c r="N50" i="14609"/>
  <c r="O50" i="14609"/>
  <c r="P50" i="14609"/>
  <c r="Q50" i="14609"/>
  <c r="R50" i="14609"/>
  <c r="S50" i="14609"/>
  <c r="T50" i="14609"/>
  <c r="U50" i="14609"/>
  <c r="V50" i="14609"/>
  <c r="W50" i="14609"/>
  <c r="X50" i="14609"/>
  <c r="Y50" i="14609"/>
  <c r="Z50" i="14609"/>
  <c r="AA50" i="14609"/>
  <c r="AB50" i="14609"/>
  <c r="AC50" i="14609"/>
  <c r="AD50" i="14609"/>
  <c r="AE50" i="14609"/>
  <c r="AF50" i="14609"/>
  <c r="AG50" i="14609"/>
  <c r="AH50" i="14609"/>
  <c r="AI50" i="14609"/>
  <c r="AJ50" i="14609"/>
  <c r="AK50" i="14609"/>
  <c r="AL50" i="14609"/>
  <c r="AM50" i="14609"/>
  <c r="AN50" i="14609"/>
  <c r="AO50" i="14609"/>
  <c r="AP50" i="14609"/>
  <c r="AQ50" i="14609"/>
  <c r="AR50" i="14609"/>
  <c r="AS50" i="14609"/>
  <c r="AT50" i="14609"/>
  <c r="AU50" i="14609"/>
  <c r="AV50" i="14609"/>
  <c r="AW50" i="14609"/>
  <c r="AX50" i="14609"/>
  <c r="AY50" i="14609"/>
  <c r="AZ50" i="14609"/>
  <c r="BA50" i="14609"/>
  <c r="BB50" i="14609"/>
  <c r="BC50" i="14609"/>
  <c r="BD50" i="14609"/>
  <c r="BE50" i="14609"/>
  <c r="BF50" i="14609"/>
  <c r="BG50" i="14609"/>
  <c r="BH50" i="14609"/>
  <c r="BI50" i="14609"/>
  <c r="BJ50" i="14609"/>
  <c r="BK50" i="14609"/>
  <c r="BL50" i="14609"/>
  <c r="BM50" i="14609"/>
  <c r="BN50" i="14609"/>
  <c r="BO50" i="14609"/>
  <c r="BP50" i="14609"/>
  <c r="BQ50" i="14609"/>
  <c r="BR50" i="14609"/>
  <c r="BS50" i="14609"/>
  <c r="BT50" i="14609"/>
  <c r="BU50" i="14609"/>
  <c r="BV50" i="14609"/>
  <c r="BW50" i="14609"/>
  <c r="BX50" i="14609"/>
  <c r="BY50" i="14609"/>
  <c r="BZ50" i="14609"/>
  <c r="CA50" i="14609"/>
  <c r="CB50" i="14609"/>
  <c r="CC50" i="14609"/>
  <c r="CD50" i="14609"/>
  <c r="CE50" i="14609"/>
  <c r="CF50" i="14609"/>
  <c r="CG50" i="14609"/>
  <c r="CH50" i="14609"/>
  <c r="CI50" i="14609"/>
  <c r="CJ50" i="14609"/>
  <c r="CK50" i="14609"/>
  <c r="CL50" i="14609"/>
  <c r="CM50" i="14609"/>
  <c r="CN50" i="14609"/>
  <c r="CO50" i="14609"/>
  <c r="CP50" i="14609"/>
  <c r="CQ50" i="14609"/>
  <c r="CR50" i="14609"/>
  <c r="CS50" i="14609"/>
  <c r="CT50" i="14609"/>
  <c r="CU50" i="14609"/>
  <c r="CV50" i="14609"/>
  <c r="CW50" i="14609"/>
  <c r="CX50" i="14609"/>
  <c r="CY50" i="14609"/>
  <c r="CZ50" i="14609"/>
  <c r="DA50" i="14609"/>
  <c r="DB50" i="14609"/>
  <c r="DC50" i="14609"/>
  <c r="DD50" i="14609"/>
  <c r="DE50" i="14609"/>
  <c r="DF50" i="14609"/>
  <c r="DG50" i="14609"/>
  <c r="DH50" i="14609"/>
  <c r="DI50" i="14609"/>
  <c r="DJ50" i="14609"/>
  <c r="DK50" i="14609"/>
  <c r="DL50" i="14609"/>
  <c r="DM50" i="14609"/>
  <c r="DN50" i="14609"/>
  <c r="DO50" i="14609"/>
  <c r="DP50" i="14609"/>
  <c r="DQ50" i="14609"/>
  <c r="DR50" i="14609"/>
  <c r="DS50" i="14609"/>
  <c r="DT50" i="14609"/>
  <c r="DU50" i="14609"/>
  <c r="DV50" i="14609"/>
  <c r="DW50" i="14609"/>
  <c r="DX50" i="14609"/>
  <c r="DY50" i="14609"/>
  <c r="DZ50" i="14609"/>
  <c r="EA50" i="14609"/>
  <c r="EB50" i="14609"/>
  <c r="EC50" i="14609"/>
  <c r="ED50" i="14609"/>
  <c r="EE50" i="14609"/>
  <c r="EF50" i="14609"/>
  <c r="EG50" i="14609"/>
  <c r="EH50" i="14609"/>
  <c r="EI50" i="14609"/>
  <c r="EJ50" i="14609"/>
  <c r="EK50" i="14609"/>
  <c r="EL50" i="14609"/>
  <c r="EM50" i="14609"/>
  <c r="EN50" i="14609"/>
  <c r="EO50" i="14609"/>
  <c r="EP50" i="14609"/>
  <c r="EQ50" i="14609"/>
  <c r="ER50" i="14609"/>
  <c r="ES50" i="14609"/>
  <c r="ET50" i="14609"/>
  <c r="EU50" i="14609"/>
  <c r="EV50" i="14609"/>
  <c r="EW50" i="14609"/>
  <c r="EX50" i="14609"/>
  <c r="EY50" i="14609"/>
  <c r="EZ50" i="14609"/>
  <c r="FA50" i="14609"/>
  <c r="FB50" i="14609"/>
  <c r="FC50" i="14609"/>
  <c r="FD50" i="14609"/>
  <c r="FE50" i="14609"/>
  <c r="FF50" i="14609"/>
  <c r="FG50" i="14609"/>
  <c r="FH50" i="14609"/>
  <c r="FI50" i="14609"/>
  <c r="FJ50" i="14609"/>
  <c r="FK50" i="14609"/>
  <c r="FL50" i="14609"/>
  <c r="FM50" i="14609"/>
  <c r="FN50" i="14609"/>
  <c r="FO50" i="14609"/>
  <c r="FP50" i="14609"/>
  <c r="FQ50" i="14609"/>
  <c r="FR50" i="14609"/>
  <c r="FS50" i="14609"/>
  <c r="FT50" i="14609"/>
  <c r="FU50" i="14609"/>
  <c r="FV50" i="14609"/>
  <c r="FW50" i="14609"/>
  <c r="FX50" i="14609"/>
  <c r="FY50" i="14609"/>
  <c r="FZ50" i="14609"/>
  <c r="GA50" i="14609"/>
  <c r="GB50" i="14609"/>
  <c r="GC50" i="14609"/>
  <c r="GD50" i="14609"/>
  <c r="GE50" i="14609"/>
  <c r="GF50" i="14609"/>
  <c r="GG50" i="14609"/>
  <c r="GH50" i="14609"/>
  <c r="GI50" i="14609"/>
  <c r="GJ50" i="14609"/>
  <c r="GK50" i="14609"/>
  <c r="GL50" i="14609"/>
  <c r="GM50" i="14609"/>
  <c r="GN50" i="14609"/>
  <c r="GO50" i="14609"/>
  <c r="GP50" i="14609"/>
  <c r="GQ50" i="14609"/>
  <c r="GR50" i="14609"/>
  <c r="GS50" i="14609"/>
  <c r="GT50" i="14609"/>
  <c r="GU50" i="14609"/>
  <c r="GV50" i="14609"/>
  <c r="GW50" i="14609"/>
  <c r="GX50" i="14609"/>
  <c r="GY50" i="14609"/>
  <c r="GZ50" i="14609"/>
  <c r="HA50" i="14609"/>
  <c r="HB50" i="14609"/>
  <c r="HC50" i="14609"/>
  <c r="HD50" i="14609"/>
  <c r="HE50" i="14609"/>
  <c r="HF50" i="14609"/>
  <c r="HG50" i="14609"/>
  <c r="HH50" i="14609"/>
  <c r="HI50" i="14609"/>
  <c r="HJ50" i="14609"/>
  <c r="HK50" i="14609"/>
  <c r="HL50" i="14609"/>
  <c r="HM50" i="14609"/>
  <c r="HN50" i="14609"/>
  <c r="HO50" i="14609"/>
  <c r="HP50" i="14609"/>
  <c r="HQ50" i="14609"/>
  <c r="HR50" i="14609"/>
  <c r="HS50" i="14609"/>
  <c r="HT50" i="14609"/>
  <c r="HU50" i="14609"/>
  <c r="HV50" i="14609"/>
  <c r="HW50" i="14609"/>
  <c r="HX50" i="14609"/>
  <c r="HY50" i="14609"/>
  <c r="HZ50" i="14609"/>
  <c r="IA50" i="14609"/>
  <c r="IB50" i="14609"/>
  <c r="IC50" i="14609"/>
  <c r="ID50" i="14609"/>
  <c r="IE50" i="14609"/>
  <c r="IF50" i="14609"/>
  <c r="IG50" i="14609"/>
  <c r="IH50" i="14609"/>
  <c r="II50" i="14609"/>
  <c r="IJ50" i="14609"/>
  <c r="IK50" i="14609"/>
  <c r="IL50" i="14609"/>
  <c r="IM50" i="14609"/>
  <c r="IN50" i="14609"/>
  <c r="IO50" i="14609"/>
  <c r="IP50" i="14609"/>
  <c r="IQ50" i="14609"/>
  <c r="IR50" i="14609"/>
  <c r="IS50" i="14609"/>
  <c r="IT50" i="14609"/>
  <c r="IU50" i="14609"/>
  <c r="IV50" i="14609"/>
  <c r="A49" i="14609"/>
  <c r="B49" i="14609"/>
  <c r="C49" i="14609"/>
  <c r="D49" i="14609"/>
  <c r="E49" i="14609"/>
  <c r="F49" i="14609"/>
  <c r="G49" i="14609"/>
  <c r="H49" i="14609"/>
  <c r="I49" i="14609"/>
  <c r="J49" i="14609"/>
  <c r="K49" i="14609"/>
  <c r="L49" i="14609"/>
  <c r="M49" i="14609"/>
  <c r="N49" i="14609"/>
  <c r="O49" i="14609"/>
  <c r="P49" i="14609"/>
  <c r="Q49" i="14609"/>
  <c r="R49" i="14609"/>
  <c r="S49" i="14609"/>
  <c r="T49" i="14609"/>
  <c r="U49" i="14609"/>
  <c r="V49" i="14609"/>
  <c r="W49" i="14609"/>
  <c r="X49" i="14609"/>
  <c r="Y49" i="14609"/>
  <c r="Z49" i="14609"/>
  <c r="AA49" i="14609"/>
  <c r="AB49" i="14609"/>
  <c r="AC49" i="14609"/>
  <c r="AD49" i="14609"/>
  <c r="AE49" i="14609"/>
  <c r="AF49" i="14609"/>
  <c r="AG49" i="14609"/>
  <c r="AH49" i="14609"/>
  <c r="AI49" i="14609"/>
  <c r="AJ49" i="14609"/>
  <c r="AK49" i="14609"/>
  <c r="AL49" i="14609"/>
  <c r="AM49" i="14609"/>
  <c r="AN49" i="14609"/>
  <c r="AO49" i="14609"/>
  <c r="AP49" i="14609"/>
  <c r="AQ49" i="14609"/>
  <c r="AR49" i="14609"/>
  <c r="AS49" i="14609"/>
  <c r="AT49" i="14609"/>
  <c r="AU49" i="14609"/>
  <c r="AV49" i="14609"/>
  <c r="AW49" i="14609"/>
  <c r="AX49" i="14609"/>
  <c r="AY49" i="14609"/>
  <c r="AZ49" i="14609"/>
  <c r="BA49" i="14609"/>
  <c r="BB49" i="14609"/>
  <c r="BC49" i="14609"/>
  <c r="BD49" i="14609"/>
  <c r="BE49" i="14609"/>
  <c r="BF49" i="14609"/>
  <c r="BG49" i="14609"/>
  <c r="BH49" i="14609"/>
  <c r="BI49" i="14609"/>
  <c r="BJ49" i="14609"/>
  <c r="BK49" i="14609"/>
  <c r="BL49" i="14609"/>
  <c r="BM49" i="14609"/>
  <c r="BN49" i="14609"/>
  <c r="BO49" i="14609"/>
  <c r="BP49" i="14609"/>
  <c r="BQ49" i="14609"/>
  <c r="BR49" i="14609"/>
  <c r="BS49" i="14609"/>
  <c r="BT49" i="14609"/>
  <c r="BU49" i="14609"/>
  <c r="BV49" i="14609"/>
  <c r="BW49" i="14609"/>
  <c r="BX49" i="14609"/>
  <c r="BY49" i="14609"/>
  <c r="BZ49" i="14609"/>
  <c r="CA49" i="14609"/>
  <c r="CB49" i="14609"/>
  <c r="CC49" i="14609"/>
  <c r="CD49" i="14609"/>
  <c r="CE49" i="14609"/>
  <c r="CF49" i="14609"/>
  <c r="CG49" i="14609"/>
  <c r="CH49" i="14609"/>
  <c r="CI49" i="14609"/>
  <c r="CJ49" i="14609"/>
  <c r="CK49" i="14609"/>
  <c r="CL49" i="14609"/>
  <c r="CM49" i="14609"/>
  <c r="CN49" i="14609"/>
  <c r="CO49" i="14609"/>
  <c r="CP49" i="14609"/>
  <c r="CQ49" i="14609"/>
  <c r="CR49" i="14609"/>
  <c r="CS49" i="14609"/>
  <c r="CT49" i="14609"/>
  <c r="CU49" i="14609"/>
  <c r="CV49" i="14609"/>
  <c r="CW49" i="14609"/>
  <c r="CX49" i="14609"/>
  <c r="CY49" i="14609"/>
  <c r="CZ49" i="14609"/>
  <c r="DA49" i="14609"/>
  <c r="DB49" i="14609"/>
  <c r="DC49" i="14609"/>
  <c r="DD49" i="14609"/>
  <c r="DE49" i="14609"/>
  <c r="DF49" i="14609"/>
  <c r="DG49" i="14609"/>
  <c r="DH49" i="14609"/>
  <c r="DI49" i="14609"/>
  <c r="DJ49" i="14609"/>
  <c r="DK49" i="14609"/>
  <c r="DL49" i="14609"/>
  <c r="DM49" i="14609"/>
  <c r="DN49" i="14609"/>
  <c r="DO49" i="14609"/>
  <c r="DP49" i="14609"/>
  <c r="DQ49" i="14609"/>
  <c r="DR49" i="14609"/>
  <c r="DS49" i="14609"/>
  <c r="DT49" i="14609"/>
  <c r="DU49" i="14609"/>
  <c r="DV49" i="14609"/>
  <c r="DW49" i="14609"/>
  <c r="DX49" i="14609"/>
  <c r="DY49" i="14609"/>
  <c r="DZ49" i="14609"/>
  <c r="EA49" i="14609"/>
  <c r="EB49" i="14609"/>
  <c r="EC49" i="14609"/>
  <c r="ED49" i="14609"/>
  <c r="EE49" i="14609"/>
  <c r="EF49" i="14609"/>
  <c r="EG49" i="14609"/>
  <c r="EH49" i="14609"/>
  <c r="EI49" i="14609"/>
  <c r="EJ49" i="14609"/>
  <c r="EK49" i="14609"/>
  <c r="EL49" i="14609"/>
  <c r="EM49" i="14609"/>
  <c r="EN49" i="14609"/>
  <c r="EO49" i="14609"/>
  <c r="EP49" i="14609"/>
  <c r="EQ49" i="14609"/>
  <c r="ER49" i="14609"/>
  <c r="ES49" i="14609"/>
  <c r="ET49" i="14609"/>
  <c r="EU49" i="14609"/>
  <c r="EV49" i="14609"/>
  <c r="EW49" i="14609"/>
  <c r="EX49" i="14609"/>
  <c r="EY49" i="14609"/>
  <c r="EZ49" i="14609"/>
  <c r="FA49" i="14609"/>
  <c r="FB49" i="14609"/>
  <c r="FC49" i="14609"/>
  <c r="FD49" i="14609"/>
  <c r="FE49" i="14609"/>
  <c r="FF49" i="14609"/>
  <c r="FG49" i="14609"/>
  <c r="FH49" i="14609"/>
  <c r="FI49" i="14609"/>
  <c r="FJ49" i="14609"/>
  <c r="FK49" i="14609"/>
  <c r="FL49" i="14609"/>
  <c r="FM49" i="14609"/>
  <c r="FN49" i="14609"/>
  <c r="FO49" i="14609"/>
  <c r="FP49" i="14609"/>
  <c r="FQ49" i="14609"/>
  <c r="FR49" i="14609"/>
  <c r="FS49" i="14609"/>
  <c r="FT49" i="14609"/>
  <c r="FU49" i="14609"/>
  <c r="FV49" i="14609"/>
  <c r="FW49" i="14609"/>
  <c r="FX49" i="14609"/>
  <c r="FY49" i="14609"/>
  <c r="FZ49" i="14609"/>
  <c r="GA49" i="14609"/>
  <c r="GB49" i="14609"/>
  <c r="GC49" i="14609"/>
  <c r="GD49" i="14609"/>
  <c r="GE49" i="14609"/>
  <c r="GF49" i="14609"/>
  <c r="GG49" i="14609"/>
  <c r="GH49" i="14609"/>
  <c r="GI49" i="14609"/>
  <c r="GJ49" i="14609"/>
  <c r="GK49" i="14609"/>
  <c r="GL49" i="14609"/>
  <c r="GM49" i="14609"/>
  <c r="GN49" i="14609"/>
  <c r="GO49" i="14609"/>
  <c r="GP49" i="14609"/>
  <c r="GQ49" i="14609"/>
  <c r="GR49" i="14609"/>
  <c r="GS49" i="14609"/>
  <c r="GT49" i="14609"/>
  <c r="GU49" i="14609"/>
  <c r="GV49" i="14609"/>
  <c r="GW49" i="14609"/>
  <c r="GX49" i="14609"/>
  <c r="GY49" i="14609"/>
  <c r="GZ49" i="14609"/>
  <c r="HA49" i="14609"/>
  <c r="HB49" i="14609"/>
  <c r="HC49" i="14609"/>
  <c r="HD49" i="14609"/>
  <c r="HE49" i="14609"/>
  <c r="HF49" i="14609"/>
  <c r="HG49" i="14609"/>
  <c r="HH49" i="14609"/>
  <c r="HI49" i="14609"/>
  <c r="HJ49" i="14609"/>
  <c r="HK49" i="14609"/>
  <c r="HL49" i="14609"/>
  <c r="HM49" i="14609"/>
  <c r="HN49" i="14609"/>
  <c r="HO49" i="14609"/>
  <c r="HP49" i="14609"/>
  <c r="HQ49" i="14609"/>
  <c r="HR49" i="14609"/>
  <c r="HS49" i="14609"/>
  <c r="HT49" i="14609"/>
  <c r="HU49" i="14609"/>
  <c r="HV49" i="14609"/>
  <c r="HW49" i="14609"/>
  <c r="HX49" i="14609"/>
  <c r="HY49" i="14609"/>
  <c r="HZ49" i="14609"/>
  <c r="IA49" i="14609"/>
  <c r="IB49" i="14609"/>
  <c r="IC49" i="14609"/>
  <c r="ID49" i="14609"/>
  <c r="IE49" i="14609"/>
  <c r="IF49" i="14609"/>
  <c r="IG49" i="14609"/>
  <c r="IH49" i="14609"/>
  <c r="II49" i="14609"/>
  <c r="IJ49" i="14609"/>
  <c r="IK49" i="14609"/>
  <c r="IL49" i="14609"/>
  <c r="IM49" i="14609"/>
  <c r="IN49" i="14609"/>
  <c r="IO49" i="14609"/>
  <c r="IP49" i="14609"/>
  <c r="IQ49" i="14609"/>
  <c r="IR49" i="14609"/>
  <c r="IS49" i="14609"/>
  <c r="IT49" i="14609"/>
  <c r="IU49" i="14609"/>
  <c r="IV49" i="14609"/>
  <c r="A48" i="14609"/>
  <c r="B48" i="14609"/>
  <c r="C48" i="14609"/>
  <c r="D48" i="14609"/>
  <c r="E48" i="14609"/>
  <c r="F48" i="14609"/>
  <c r="G48" i="14609"/>
  <c r="H48" i="14609"/>
  <c r="I48" i="14609"/>
  <c r="J48" i="14609"/>
  <c r="K48" i="14609"/>
  <c r="L48" i="14609"/>
  <c r="M48" i="14609"/>
  <c r="N48" i="14609"/>
  <c r="O48" i="14609"/>
  <c r="P48" i="14609"/>
  <c r="Q48" i="14609"/>
  <c r="R48" i="14609"/>
  <c r="S48" i="14609"/>
  <c r="T48" i="14609"/>
  <c r="U48" i="14609"/>
  <c r="V48" i="14609"/>
  <c r="W48" i="14609"/>
  <c r="X48" i="14609"/>
  <c r="Y48" i="14609"/>
  <c r="Z48" i="14609"/>
  <c r="AA48" i="14609"/>
  <c r="AB48" i="14609"/>
  <c r="AC48" i="14609"/>
  <c r="AD48" i="14609"/>
  <c r="AE48" i="14609"/>
  <c r="AF48" i="14609"/>
  <c r="AG48" i="14609"/>
  <c r="AH48" i="14609"/>
  <c r="AI48" i="14609"/>
  <c r="AJ48" i="14609"/>
  <c r="AK48" i="14609"/>
  <c r="AL48" i="14609"/>
  <c r="AM48" i="14609"/>
  <c r="AN48" i="14609"/>
  <c r="AO48" i="14609"/>
  <c r="AP48" i="14609"/>
  <c r="AQ48" i="14609"/>
  <c r="AR48" i="14609"/>
  <c r="AS48" i="14609"/>
  <c r="AT48" i="14609"/>
  <c r="AU48" i="14609"/>
  <c r="AV48" i="14609"/>
  <c r="AW48" i="14609"/>
  <c r="AX48" i="14609"/>
  <c r="AY48" i="14609"/>
  <c r="AZ48" i="14609"/>
  <c r="BA48" i="14609"/>
  <c r="BB48" i="14609"/>
  <c r="BC48" i="14609"/>
  <c r="BD48" i="14609"/>
  <c r="BE48" i="14609"/>
  <c r="BF48" i="14609"/>
  <c r="BG48" i="14609"/>
  <c r="BH48" i="14609"/>
  <c r="BI48" i="14609"/>
  <c r="BJ48" i="14609"/>
  <c r="BK48" i="14609"/>
  <c r="BL48" i="14609"/>
  <c r="BM48" i="14609"/>
  <c r="BN48" i="14609"/>
  <c r="BO48" i="14609"/>
  <c r="BP48" i="14609"/>
  <c r="BQ48" i="14609"/>
  <c r="BR48" i="14609"/>
  <c r="BS48" i="14609"/>
  <c r="BT48" i="14609"/>
  <c r="BU48" i="14609"/>
  <c r="BV48" i="14609"/>
  <c r="BW48" i="14609"/>
  <c r="BX48" i="14609"/>
  <c r="BY48" i="14609"/>
  <c r="BZ48" i="14609"/>
  <c r="CA48" i="14609"/>
  <c r="CB48" i="14609"/>
  <c r="CC48" i="14609"/>
  <c r="CD48" i="14609"/>
  <c r="CE48" i="14609"/>
  <c r="CF48" i="14609"/>
  <c r="CG48" i="14609"/>
  <c r="CH48" i="14609"/>
  <c r="CI48" i="14609"/>
  <c r="CJ48" i="14609"/>
  <c r="CK48" i="14609"/>
  <c r="CL48" i="14609"/>
  <c r="CM48" i="14609"/>
  <c r="CN48" i="14609"/>
  <c r="CO48" i="14609"/>
  <c r="CP48" i="14609"/>
  <c r="CQ48" i="14609"/>
  <c r="CR48" i="14609"/>
  <c r="CS48" i="14609"/>
  <c r="CT48" i="14609"/>
  <c r="CU48" i="14609"/>
  <c r="CV48" i="14609"/>
  <c r="CW48" i="14609"/>
  <c r="CX48" i="14609"/>
  <c r="CY48" i="14609"/>
  <c r="CZ48" i="14609"/>
  <c r="DA48" i="14609"/>
  <c r="DB48" i="14609"/>
  <c r="DC48" i="14609"/>
  <c r="DD48" i="14609"/>
  <c r="DE48" i="14609"/>
  <c r="DF48" i="14609"/>
  <c r="DG48" i="14609"/>
  <c r="DH48" i="14609"/>
  <c r="DI48" i="14609"/>
  <c r="DJ48" i="14609"/>
  <c r="DK48" i="14609"/>
  <c r="DL48" i="14609"/>
  <c r="DM48" i="14609"/>
  <c r="DN48" i="14609"/>
  <c r="DO48" i="14609"/>
  <c r="DP48" i="14609"/>
  <c r="DQ48" i="14609"/>
  <c r="DR48" i="14609"/>
  <c r="DS48" i="14609"/>
  <c r="DT48" i="14609"/>
  <c r="DU48" i="14609"/>
  <c r="DV48" i="14609"/>
  <c r="DW48" i="14609"/>
  <c r="DX48" i="14609"/>
  <c r="DY48" i="14609"/>
  <c r="DZ48" i="14609"/>
  <c r="EA48" i="14609"/>
  <c r="EB48" i="14609"/>
  <c r="EC48" i="14609"/>
  <c r="ED48" i="14609"/>
  <c r="EE48" i="14609"/>
  <c r="EF48" i="14609"/>
  <c r="EG48" i="14609"/>
  <c r="EH48" i="14609"/>
  <c r="EI48" i="14609"/>
  <c r="EJ48" i="14609"/>
  <c r="EK48" i="14609"/>
  <c r="EL48" i="14609"/>
  <c r="EM48" i="14609"/>
  <c r="EN48" i="14609"/>
  <c r="EO48" i="14609"/>
  <c r="EP48" i="14609"/>
  <c r="EQ48" i="14609"/>
  <c r="ER48" i="14609"/>
  <c r="ES48" i="14609"/>
  <c r="ET48" i="14609"/>
  <c r="EU48" i="14609"/>
  <c r="EV48" i="14609"/>
  <c r="EW48" i="14609"/>
  <c r="EX48" i="14609"/>
  <c r="EY48" i="14609"/>
  <c r="EZ48" i="14609"/>
  <c r="FA48" i="14609"/>
  <c r="FB48" i="14609"/>
  <c r="FC48" i="14609"/>
  <c r="FD48" i="14609"/>
  <c r="FE48" i="14609"/>
  <c r="FF48" i="14609"/>
  <c r="FG48" i="14609"/>
  <c r="FH48" i="14609"/>
  <c r="FI48" i="14609"/>
  <c r="FJ48" i="14609"/>
  <c r="FK48" i="14609"/>
  <c r="FL48" i="14609"/>
  <c r="FM48" i="14609"/>
  <c r="FN48" i="14609"/>
  <c r="FO48" i="14609"/>
  <c r="FP48" i="14609"/>
  <c r="FQ48" i="14609"/>
  <c r="FR48" i="14609"/>
  <c r="FS48" i="14609"/>
  <c r="FT48" i="14609"/>
  <c r="FU48" i="14609"/>
  <c r="FV48" i="14609"/>
  <c r="FW48" i="14609"/>
  <c r="FX48" i="14609"/>
  <c r="FY48" i="14609"/>
  <c r="FZ48" i="14609"/>
  <c r="GA48" i="14609"/>
  <c r="GB48" i="14609"/>
  <c r="GC48" i="14609"/>
  <c r="GD48" i="14609"/>
  <c r="GE48" i="14609"/>
  <c r="GF48" i="14609"/>
  <c r="GG48" i="14609"/>
  <c r="GH48" i="14609"/>
  <c r="GI48" i="14609"/>
  <c r="GJ48" i="14609"/>
  <c r="GK48" i="14609"/>
  <c r="GL48" i="14609"/>
  <c r="GM48" i="14609"/>
  <c r="GN48" i="14609"/>
  <c r="GO48" i="14609"/>
  <c r="GP48" i="14609"/>
  <c r="GQ48" i="14609"/>
  <c r="GR48" i="14609"/>
  <c r="GS48" i="14609"/>
  <c r="GT48" i="14609"/>
  <c r="GU48" i="14609"/>
  <c r="GV48" i="14609"/>
  <c r="GW48" i="14609"/>
  <c r="GX48" i="14609"/>
  <c r="GY48" i="14609"/>
  <c r="GZ48" i="14609"/>
  <c r="HA48" i="14609"/>
  <c r="HB48" i="14609"/>
  <c r="HC48" i="14609"/>
  <c r="HD48" i="14609"/>
  <c r="HE48" i="14609"/>
  <c r="HF48" i="14609"/>
  <c r="HG48" i="14609"/>
  <c r="HH48" i="14609"/>
  <c r="HI48" i="14609"/>
  <c r="HJ48" i="14609"/>
  <c r="HK48" i="14609"/>
  <c r="HL48" i="14609"/>
  <c r="HM48" i="14609"/>
  <c r="HN48" i="14609"/>
  <c r="HO48" i="14609"/>
  <c r="HP48" i="14609"/>
  <c r="HQ48" i="14609"/>
  <c r="HR48" i="14609"/>
  <c r="HS48" i="14609"/>
  <c r="HT48" i="14609"/>
  <c r="HU48" i="14609"/>
  <c r="HV48" i="14609"/>
  <c r="HW48" i="14609"/>
  <c r="HX48" i="14609"/>
  <c r="HY48" i="14609"/>
  <c r="HZ48" i="14609"/>
  <c r="IA48" i="14609"/>
  <c r="IB48" i="14609"/>
  <c r="IC48" i="14609"/>
  <c r="ID48" i="14609"/>
  <c r="IE48" i="14609"/>
  <c r="IF48" i="14609"/>
  <c r="IG48" i="14609"/>
  <c r="IH48" i="14609"/>
  <c r="II48" i="14609"/>
  <c r="IJ48" i="14609"/>
  <c r="IK48" i="14609"/>
  <c r="IL48" i="14609"/>
  <c r="IM48" i="14609"/>
  <c r="IN48" i="14609"/>
  <c r="IO48" i="14609"/>
  <c r="IP48" i="14609"/>
  <c r="IQ48" i="14609"/>
  <c r="IR48" i="14609"/>
  <c r="IS48" i="14609"/>
  <c r="IT48" i="14609"/>
  <c r="IU48" i="14609"/>
  <c r="IV48" i="14609"/>
  <c r="A47" i="14609"/>
  <c r="B47" i="14609"/>
  <c r="C47" i="14609"/>
  <c r="D47" i="14609"/>
  <c r="E47" i="14609"/>
  <c r="F47" i="14609"/>
  <c r="G47" i="14609"/>
  <c r="H47" i="14609"/>
  <c r="I47" i="14609"/>
  <c r="J47" i="14609"/>
  <c r="K47" i="14609"/>
  <c r="L47" i="14609"/>
  <c r="M47" i="14609"/>
  <c r="N47" i="14609"/>
  <c r="O47" i="14609"/>
  <c r="P47" i="14609"/>
  <c r="Q47" i="14609"/>
  <c r="R47" i="14609"/>
  <c r="S47" i="14609"/>
  <c r="T47" i="14609"/>
  <c r="U47" i="14609"/>
  <c r="V47" i="14609"/>
  <c r="W47" i="14609"/>
  <c r="X47" i="14609"/>
  <c r="Y47" i="14609"/>
  <c r="Z47" i="14609"/>
  <c r="AA47" i="14609"/>
  <c r="AB47" i="14609"/>
  <c r="AC47" i="14609"/>
  <c r="AD47" i="14609"/>
  <c r="AE47" i="14609"/>
  <c r="AF47" i="14609"/>
  <c r="AG47" i="14609"/>
  <c r="AH47" i="14609"/>
  <c r="AI47" i="14609"/>
  <c r="AJ47" i="14609"/>
  <c r="AK47" i="14609"/>
  <c r="AL47" i="14609"/>
  <c r="AM47" i="14609"/>
  <c r="AN47" i="14609"/>
  <c r="AO47" i="14609"/>
  <c r="AP47" i="14609"/>
  <c r="AQ47" i="14609"/>
  <c r="AR47" i="14609"/>
  <c r="AS47" i="14609"/>
  <c r="AT47" i="14609"/>
  <c r="AU47" i="14609"/>
  <c r="AV47" i="14609"/>
  <c r="AW47" i="14609"/>
  <c r="AX47" i="14609"/>
  <c r="AY47" i="14609"/>
  <c r="AZ47" i="14609"/>
  <c r="BA47" i="14609"/>
  <c r="BB47" i="14609"/>
  <c r="BC47" i="14609"/>
  <c r="BD47" i="14609"/>
  <c r="BE47" i="14609"/>
  <c r="BF47" i="14609"/>
  <c r="BG47" i="14609"/>
  <c r="BH47" i="14609"/>
  <c r="BI47" i="14609"/>
  <c r="BJ47" i="14609"/>
  <c r="BK47" i="14609"/>
  <c r="BL47" i="14609"/>
  <c r="BM47" i="14609"/>
  <c r="BN47" i="14609"/>
  <c r="BO47" i="14609"/>
  <c r="BP47" i="14609"/>
  <c r="BQ47" i="14609"/>
  <c r="BR47" i="14609"/>
  <c r="BS47" i="14609"/>
  <c r="BT47" i="14609"/>
  <c r="BU47" i="14609"/>
  <c r="BV47" i="14609"/>
  <c r="BW47" i="14609"/>
  <c r="BX47" i="14609"/>
  <c r="BY47" i="14609"/>
  <c r="BZ47" i="14609"/>
  <c r="CA47" i="14609"/>
  <c r="CB47" i="14609"/>
  <c r="CC47" i="14609"/>
  <c r="CD47" i="14609"/>
  <c r="CE47" i="14609"/>
  <c r="CF47" i="14609"/>
  <c r="CG47" i="14609"/>
  <c r="CH47" i="14609"/>
  <c r="CI47" i="14609"/>
  <c r="CJ47" i="14609"/>
  <c r="CK47" i="14609"/>
  <c r="CL47" i="14609"/>
  <c r="CM47" i="14609"/>
  <c r="CN47" i="14609"/>
  <c r="CO47" i="14609"/>
  <c r="CP47" i="14609"/>
  <c r="CQ47" i="14609"/>
  <c r="CR47" i="14609"/>
  <c r="CS47" i="14609"/>
  <c r="CT47" i="14609"/>
  <c r="CU47" i="14609"/>
  <c r="CV47" i="14609"/>
  <c r="CW47" i="14609"/>
  <c r="CX47" i="14609"/>
  <c r="CY47" i="14609"/>
  <c r="CZ47" i="14609"/>
  <c r="DA47" i="14609"/>
  <c r="DB47" i="14609"/>
  <c r="DC47" i="14609"/>
  <c r="DD47" i="14609"/>
  <c r="DE47" i="14609"/>
  <c r="DF47" i="14609"/>
  <c r="DG47" i="14609"/>
  <c r="DH47" i="14609"/>
  <c r="DI47" i="14609"/>
  <c r="DJ47" i="14609"/>
  <c r="DK47" i="14609"/>
  <c r="DL47" i="14609"/>
  <c r="DM47" i="14609"/>
  <c r="DN47" i="14609"/>
  <c r="DO47" i="14609"/>
  <c r="DP47" i="14609"/>
  <c r="DQ47" i="14609"/>
  <c r="DR47" i="14609"/>
  <c r="DS47" i="14609"/>
  <c r="DT47" i="14609"/>
  <c r="DU47" i="14609"/>
  <c r="DV47" i="14609"/>
  <c r="DW47" i="14609"/>
  <c r="DX47" i="14609"/>
  <c r="DY47" i="14609"/>
  <c r="DZ47" i="14609"/>
  <c r="EA47" i="14609"/>
  <c r="EB47" i="14609"/>
  <c r="EC47" i="14609"/>
  <c r="ED47" i="14609"/>
  <c r="EE47" i="14609"/>
  <c r="EF47" i="14609"/>
  <c r="EG47" i="14609"/>
  <c r="EH47" i="14609"/>
  <c r="EI47" i="14609"/>
  <c r="EJ47" i="14609"/>
  <c r="EK47" i="14609"/>
  <c r="EL47" i="14609"/>
  <c r="EM47" i="14609"/>
  <c r="EN47" i="14609"/>
  <c r="EO47" i="14609"/>
  <c r="EP47" i="14609"/>
  <c r="EQ47" i="14609"/>
  <c r="ER47" i="14609"/>
  <c r="ES47" i="14609"/>
  <c r="ET47" i="14609"/>
  <c r="EU47" i="14609"/>
  <c r="EV47" i="14609"/>
  <c r="EW47" i="14609"/>
  <c r="EX47" i="14609"/>
  <c r="EY47" i="14609"/>
  <c r="EZ47" i="14609"/>
  <c r="FA47" i="14609"/>
  <c r="FB47" i="14609"/>
  <c r="FC47" i="14609"/>
  <c r="FD47" i="14609"/>
  <c r="FE47" i="14609"/>
  <c r="FF47" i="14609"/>
  <c r="FG47" i="14609"/>
  <c r="FH47" i="14609"/>
  <c r="FI47" i="14609"/>
  <c r="FJ47" i="14609"/>
  <c r="FK47" i="14609"/>
  <c r="FL47" i="14609"/>
  <c r="FM47" i="14609"/>
  <c r="FN47" i="14609"/>
  <c r="FO47" i="14609"/>
  <c r="FP47" i="14609"/>
  <c r="FQ47" i="14609"/>
  <c r="FR47" i="14609"/>
  <c r="FS47" i="14609"/>
  <c r="FT47" i="14609"/>
  <c r="FU47" i="14609"/>
  <c r="FV47" i="14609"/>
  <c r="FW47" i="14609"/>
  <c r="FX47" i="14609"/>
  <c r="FY47" i="14609"/>
  <c r="FZ47" i="14609"/>
  <c r="GA47" i="14609"/>
  <c r="GB47" i="14609"/>
  <c r="GC47" i="14609"/>
  <c r="GD47" i="14609"/>
  <c r="GE47" i="14609"/>
  <c r="GF47" i="14609"/>
  <c r="GG47" i="14609"/>
  <c r="GH47" i="14609"/>
  <c r="GI47" i="14609"/>
  <c r="GJ47" i="14609"/>
  <c r="GK47" i="14609"/>
  <c r="GL47" i="14609"/>
  <c r="GM47" i="14609"/>
  <c r="GN47" i="14609"/>
  <c r="GO47" i="14609"/>
  <c r="GP47" i="14609"/>
  <c r="GQ47" i="14609"/>
  <c r="GR47" i="14609"/>
  <c r="GS47" i="14609"/>
  <c r="GT47" i="14609"/>
  <c r="GU47" i="14609"/>
  <c r="GV47" i="14609"/>
  <c r="GW47" i="14609"/>
  <c r="GX47" i="14609"/>
  <c r="GY47" i="14609"/>
  <c r="GZ47" i="14609"/>
  <c r="HA47" i="14609"/>
  <c r="HB47" i="14609"/>
  <c r="HC47" i="14609"/>
  <c r="HD47" i="14609"/>
  <c r="HE47" i="14609"/>
  <c r="HF47" i="14609"/>
  <c r="HG47" i="14609"/>
  <c r="HH47" i="14609"/>
  <c r="HI47" i="14609"/>
  <c r="HJ47" i="14609"/>
  <c r="HK47" i="14609"/>
  <c r="HL47" i="14609"/>
  <c r="HM47" i="14609"/>
  <c r="HN47" i="14609"/>
  <c r="HO47" i="14609"/>
  <c r="HP47" i="14609"/>
  <c r="HQ47" i="14609"/>
  <c r="HR47" i="14609"/>
  <c r="HS47" i="14609"/>
  <c r="HT47" i="14609"/>
  <c r="HU47" i="14609"/>
  <c r="HV47" i="14609"/>
  <c r="HW47" i="14609"/>
  <c r="HX47" i="14609"/>
  <c r="HY47" i="14609"/>
  <c r="HZ47" i="14609"/>
  <c r="IA47" i="14609"/>
  <c r="IB47" i="14609"/>
  <c r="IC47" i="14609"/>
  <c r="ID47" i="14609"/>
  <c r="IE47" i="14609"/>
  <c r="IF47" i="14609"/>
  <c r="IG47" i="14609"/>
  <c r="IH47" i="14609"/>
  <c r="II47" i="14609"/>
  <c r="IJ47" i="14609"/>
  <c r="IK47" i="14609"/>
  <c r="IL47" i="14609"/>
  <c r="IM47" i="14609"/>
  <c r="IN47" i="14609"/>
  <c r="IO47" i="14609"/>
  <c r="IP47" i="14609"/>
  <c r="IQ47" i="14609"/>
  <c r="IR47" i="14609"/>
  <c r="IS47" i="14609"/>
  <c r="IT47" i="14609"/>
  <c r="IU47" i="14609"/>
  <c r="IV47" i="14609"/>
  <c r="A46" i="14609"/>
  <c r="B46" i="14609"/>
  <c r="C46" i="14609"/>
  <c r="D46" i="14609"/>
  <c r="E46" i="14609"/>
  <c r="F46" i="14609"/>
  <c r="G46" i="14609"/>
  <c r="H46" i="14609"/>
  <c r="I46" i="14609"/>
  <c r="J46" i="14609"/>
  <c r="K46" i="14609"/>
  <c r="L46" i="14609"/>
  <c r="M46" i="14609"/>
  <c r="N46" i="14609"/>
  <c r="O46" i="14609"/>
  <c r="P46" i="14609"/>
  <c r="Q46" i="14609"/>
  <c r="R46" i="14609"/>
  <c r="S46" i="14609"/>
  <c r="T46" i="14609"/>
  <c r="U46" i="14609"/>
  <c r="V46" i="14609"/>
  <c r="W46" i="14609"/>
  <c r="X46" i="14609"/>
  <c r="Y46" i="14609"/>
  <c r="Z46" i="14609"/>
  <c r="AA46" i="14609"/>
  <c r="AB46" i="14609"/>
  <c r="AC46" i="14609"/>
  <c r="AD46" i="14609"/>
  <c r="AE46" i="14609"/>
  <c r="AF46" i="14609"/>
  <c r="AG46" i="14609"/>
  <c r="AH46" i="14609"/>
  <c r="AI46" i="14609"/>
  <c r="AJ46" i="14609"/>
  <c r="AK46" i="14609"/>
  <c r="AL46" i="14609"/>
  <c r="AM46" i="14609"/>
  <c r="AN46" i="14609"/>
  <c r="AO46" i="14609"/>
  <c r="AP46" i="14609"/>
  <c r="AQ46" i="14609"/>
  <c r="AR46" i="14609"/>
  <c r="AS46" i="14609"/>
  <c r="AT46" i="14609"/>
  <c r="AU46" i="14609"/>
  <c r="AV46" i="14609"/>
  <c r="AW46" i="14609"/>
  <c r="AX46" i="14609"/>
  <c r="AY46" i="14609"/>
  <c r="AZ46" i="14609"/>
  <c r="BA46" i="14609"/>
  <c r="BB46" i="14609"/>
  <c r="BC46" i="14609"/>
  <c r="BD46" i="14609"/>
  <c r="BE46" i="14609"/>
  <c r="BF46" i="14609"/>
  <c r="BG46" i="14609"/>
  <c r="BH46" i="14609"/>
  <c r="BI46" i="14609"/>
  <c r="BJ46" i="14609"/>
  <c r="BK46" i="14609"/>
  <c r="BL46" i="14609"/>
  <c r="BM46" i="14609"/>
  <c r="BN46" i="14609"/>
  <c r="BO46" i="14609"/>
  <c r="BP46" i="14609"/>
  <c r="BQ46" i="14609"/>
  <c r="BR46" i="14609"/>
  <c r="BS46" i="14609"/>
  <c r="BT46" i="14609"/>
  <c r="BU46" i="14609"/>
  <c r="BV46" i="14609"/>
  <c r="BW46" i="14609"/>
  <c r="BX46" i="14609"/>
  <c r="BY46" i="14609"/>
  <c r="BZ46" i="14609"/>
  <c r="CA46" i="14609"/>
  <c r="CB46" i="14609"/>
  <c r="CC46" i="14609"/>
  <c r="CD46" i="14609"/>
  <c r="CE46" i="14609"/>
  <c r="CF46" i="14609"/>
  <c r="CG46" i="14609"/>
  <c r="CH46" i="14609"/>
  <c r="CI46" i="14609"/>
  <c r="CJ46" i="14609"/>
  <c r="CK46" i="14609"/>
  <c r="CL46" i="14609"/>
  <c r="CM46" i="14609"/>
  <c r="CN46" i="14609"/>
  <c r="CO46" i="14609"/>
  <c r="CP46" i="14609"/>
  <c r="CQ46" i="14609"/>
  <c r="CR46" i="14609"/>
  <c r="CS46" i="14609"/>
  <c r="CT46" i="14609"/>
  <c r="CU46" i="14609"/>
  <c r="CV46" i="14609"/>
  <c r="CW46" i="14609"/>
  <c r="CX46" i="14609"/>
  <c r="CY46" i="14609"/>
  <c r="CZ46" i="14609"/>
  <c r="DA46" i="14609"/>
  <c r="DB46" i="14609"/>
  <c r="DC46" i="14609"/>
  <c r="DD46" i="14609"/>
  <c r="DE46" i="14609"/>
  <c r="DF46" i="14609"/>
  <c r="DG46" i="14609"/>
  <c r="DH46" i="14609"/>
  <c r="DI46" i="14609"/>
  <c r="DJ46" i="14609"/>
  <c r="DK46" i="14609"/>
  <c r="DL46" i="14609"/>
  <c r="DM46" i="14609"/>
  <c r="DN46" i="14609"/>
  <c r="DO46" i="14609"/>
  <c r="DP46" i="14609"/>
  <c r="DQ46" i="14609"/>
  <c r="DR46" i="14609"/>
  <c r="DS46" i="14609"/>
  <c r="DT46" i="14609"/>
  <c r="DU46" i="14609"/>
  <c r="DV46" i="14609"/>
  <c r="DW46" i="14609"/>
  <c r="DX46" i="14609"/>
  <c r="DY46" i="14609"/>
  <c r="DZ46" i="14609"/>
  <c r="EA46" i="14609"/>
  <c r="EB46" i="14609"/>
  <c r="EC46" i="14609"/>
  <c r="ED46" i="14609"/>
  <c r="EE46" i="14609"/>
  <c r="EF46" i="14609"/>
  <c r="EG46" i="14609"/>
  <c r="EH46" i="14609"/>
  <c r="EI46" i="14609"/>
  <c r="EJ46" i="14609"/>
  <c r="EK46" i="14609"/>
  <c r="EL46" i="14609"/>
  <c r="EM46" i="14609"/>
  <c r="EN46" i="14609"/>
  <c r="EO46" i="14609"/>
  <c r="EP46" i="14609"/>
  <c r="EQ46" i="14609"/>
  <c r="ER46" i="14609"/>
  <c r="ES46" i="14609"/>
  <c r="ET46" i="14609"/>
  <c r="EU46" i="14609"/>
  <c r="EV46" i="14609"/>
  <c r="EW46" i="14609"/>
  <c r="EX46" i="14609"/>
  <c r="EY46" i="14609"/>
  <c r="EZ46" i="14609"/>
  <c r="FA46" i="14609"/>
  <c r="FB46" i="14609"/>
  <c r="FC46" i="14609"/>
  <c r="FD46" i="14609"/>
  <c r="FE46" i="14609"/>
  <c r="FF46" i="14609"/>
  <c r="FG46" i="14609"/>
  <c r="FH46" i="14609"/>
  <c r="FI46" i="14609"/>
  <c r="FJ46" i="14609"/>
  <c r="FK46" i="14609"/>
  <c r="FL46" i="14609"/>
  <c r="FM46" i="14609"/>
  <c r="FN46" i="14609"/>
  <c r="FO46" i="14609"/>
  <c r="FP46" i="14609"/>
  <c r="FQ46" i="14609"/>
  <c r="FR46" i="14609"/>
  <c r="FS46" i="14609"/>
  <c r="FT46" i="14609"/>
  <c r="FU46" i="14609"/>
  <c r="FV46" i="14609"/>
  <c r="FW46" i="14609"/>
  <c r="FX46" i="14609"/>
  <c r="FY46" i="14609"/>
  <c r="FZ46" i="14609"/>
  <c r="GA46" i="14609"/>
  <c r="GB46" i="14609"/>
  <c r="GC46" i="14609"/>
  <c r="GD46" i="14609"/>
  <c r="GE46" i="14609"/>
  <c r="GF46" i="14609"/>
  <c r="GG46" i="14609"/>
  <c r="GH46" i="14609"/>
  <c r="GI46" i="14609"/>
  <c r="GJ46" i="14609"/>
  <c r="GK46" i="14609"/>
  <c r="GL46" i="14609"/>
  <c r="GM46" i="14609"/>
  <c r="GN46" i="14609"/>
  <c r="GO46" i="14609"/>
  <c r="GP46" i="14609"/>
  <c r="GQ46" i="14609"/>
  <c r="GR46" i="14609"/>
  <c r="GS46" i="14609"/>
  <c r="GT46" i="14609"/>
  <c r="GU46" i="14609"/>
  <c r="GV46" i="14609"/>
  <c r="GW46" i="14609"/>
  <c r="GX46" i="14609"/>
  <c r="GY46" i="14609"/>
  <c r="GZ46" i="14609"/>
  <c r="HA46" i="14609"/>
  <c r="HB46" i="14609"/>
  <c r="HC46" i="14609"/>
  <c r="HD46" i="14609"/>
  <c r="HE46" i="14609"/>
  <c r="HF46" i="14609"/>
  <c r="HG46" i="14609"/>
  <c r="HH46" i="14609"/>
  <c r="HI46" i="14609"/>
  <c r="HJ46" i="14609"/>
  <c r="HK46" i="14609"/>
  <c r="HL46" i="14609"/>
  <c r="HM46" i="14609"/>
  <c r="HN46" i="14609"/>
  <c r="HO46" i="14609"/>
  <c r="HP46" i="14609"/>
  <c r="HQ46" i="14609"/>
  <c r="HR46" i="14609"/>
  <c r="HS46" i="14609"/>
  <c r="HT46" i="14609"/>
  <c r="HU46" i="14609"/>
  <c r="HV46" i="14609"/>
  <c r="HW46" i="14609"/>
  <c r="HX46" i="14609"/>
  <c r="HY46" i="14609"/>
  <c r="HZ46" i="14609"/>
  <c r="IA46" i="14609"/>
  <c r="IB46" i="14609"/>
  <c r="IC46" i="14609"/>
  <c r="ID46" i="14609"/>
  <c r="IE46" i="14609"/>
  <c r="IF46" i="14609"/>
  <c r="IG46" i="14609"/>
  <c r="IH46" i="14609"/>
  <c r="II46" i="14609"/>
  <c r="IJ46" i="14609"/>
  <c r="IK46" i="14609"/>
  <c r="IL46" i="14609"/>
  <c r="IM46" i="14609"/>
  <c r="IN46" i="14609"/>
  <c r="IO46" i="14609"/>
  <c r="IP46" i="14609"/>
  <c r="IQ46" i="14609"/>
  <c r="IR46" i="14609"/>
  <c r="IS46" i="14609"/>
  <c r="IT46" i="14609"/>
  <c r="IU46" i="14609"/>
  <c r="IV46" i="14609"/>
  <c r="A45" i="14609"/>
  <c r="B45" i="14609"/>
  <c r="C45" i="14609"/>
  <c r="D45" i="14609"/>
  <c r="E45" i="14609"/>
  <c r="F45" i="14609"/>
  <c r="G45" i="14609"/>
  <c r="H45" i="14609"/>
  <c r="I45" i="14609"/>
  <c r="J45" i="14609"/>
  <c r="K45" i="14609"/>
  <c r="L45" i="14609"/>
  <c r="M45" i="14609"/>
  <c r="N45" i="14609"/>
  <c r="O45" i="14609"/>
  <c r="P45" i="14609"/>
  <c r="Q45" i="14609"/>
  <c r="R45" i="14609"/>
  <c r="S45" i="14609"/>
  <c r="T45" i="14609"/>
  <c r="U45" i="14609"/>
  <c r="V45" i="14609"/>
  <c r="W45" i="14609"/>
  <c r="X45" i="14609"/>
  <c r="Y45" i="14609"/>
  <c r="Z45" i="14609"/>
  <c r="AA45" i="14609"/>
  <c r="AB45" i="14609"/>
  <c r="AC45" i="14609"/>
  <c r="AD45" i="14609"/>
  <c r="AE45" i="14609"/>
  <c r="AF45" i="14609"/>
  <c r="AG45" i="14609"/>
  <c r="AH45" i="14609"/>
  <c r="AI45" i="14609"/>
  <c r="AJ45" i="14609"/>
  <c r="AK45" i="14609"/>
  <c r="AL45" i="14609"/>
  <c r="AM45" i="14609"/>
  <c r="AN45" i="14609"/>
  <c r="AO45" i="14609"/>
  <c r="AP45" i="14609"/>
  <c r="AQ45" i="14609"/>
  <c r="AR45" i="14609"/>
  <c r="AS45" i="14609"/>
  <c r="AT45" i="14609"/>
  <c r="AU45" i="14609"/>
  <c r="AV45" i="14609"/>
  <c r="AW45" i="14609"/>
  <c r="AX45" i="14609"/>
  <c r="AY45" i="14609"/>
  <c r="AZ45" i="14609"/>
  <c r="BA45" i="14609"/>
  <c r="BB45" i="14609"/>
  <c r="BC45" i="14609"/>
  <c r="BD45" i="14609"/>
  <c r="BE45" i="14609"/>
  <c r="BF45" i="14609"/>
  <c r="BG45" i="14609"/>
  <c r="BH45" i="14609"/>
  <c r="BI45" i="14609"/>
  <c r="BJ45" i="14609"/>
  <c r="BK45" i="14609"/>
  <c r="BL45" i="14609"/>
  <c r="BM45" i="14609"/>
  <c r="BN45" i="14609"/>
  <c r="BO45" i="14609"/>
  <c r="BP45" i="14609"/>
  <c r="BQ45" i="14609"/>
  <c r="BR45" i="14609"/>
  <c r="BS45" i="14609"/>
  <c r="BT45" i="14609"/>
  <c r="BU45" i="14609"/>
  <c r="BV45" i="14609"/>
  <c r="BW45" i="14609"/>
  <c r="BX45" i="14609"/>
  <c r="BY45" i="14609"/>
  <c r="BZ45" i="14609"/>
  <c r="CA45" i="14609"/>
  <c r="CB45" i="14609"/>
  <c r="CC45" i="14609"/>
  <c r="CD45" i="14609"/>
  <c r="CE45" i="14609"/>
  <c r="CF45" i="14609"/>
  <c r="CG45" i="14609"/>
  <c r="CH45" i="14609"/>
  <c r="CI45" i="14609"/>
  <c r="CJ45" i="14609"/>
  <c r="CK45" i="14609"/>
  <c r="CL45" i="14609"/>
  <c r="CM45" i="14609"/>
  <c r="CN45" i="14609"/>
  <c r="CO45" i="14609"/>
  <c r="CP45" i="14609"/>
  <c r="CQ45" i="14609"/>
  <c r="CR45" i="14609"/>
  <c r="CS45" i="14609"/>
  <c r="CT45" i="14609"/>
  <c r="CU45" i="14609"/>
  <c r="CV45" i="14609"/>
  <c r="CW45" i="14609"/>
  <c r="CX45" i="14609"/>
  <c r="CY45" i="14609"/>
  <c r="CZ45" i="14609"/>
  <c r="DA45" i="14609"/>
  <c r="DB45" i="14609"/>
  <c r="DC45" i="14609"/>
  <c r="DD45" i="14609"/>
  <c r="DE45" i="14609"/>
  <c r="DF45" i="14609"/>
  <c r="DG45" i="14609"/>
  <c r="DH45" i="14609"/>
  <c r="DI45" i="14609"/>
  <c r="DJ45" i="14609"/>
  <c r="DK45" i="14609"/>
  <c r="DL45" i="14609"/>
  <c r="DM45" i="14609"/>
  <c r="DN45" i="14609"/>
  <c r="DO45" i="14609"/>
  <c r="DP45" i="14609"/>
  <c r="DQ45" i="14609"/>
  <c r="DR45" i="14609"/>
  <c r="DS45" i="14609"/>
  <c r="DT45" i="14609"/>
  <c r="DU45" i="14609"/>
  <c r="DV45" i="14609"/>
  <c r="DW45" i="14609"/>
  <c r="DX45" i="14609"/>
  <c r="DY45" i="14609"/>
  <c r="DZ45" i="14609"/>
  <c r="EA45" i="14609"/>
  <c r="EB45" i="14609"/>
  <c r="EC45" i="14609"/>
  <c r="ED45" i="14609"/>
  <c r="EE45" i="14609"/>
  <c r="EF45" i="14609"/>
  <c r="EG45" i="14609"/>
  <c r="EH45" i="14609"/>
  <c r="EI45" i="14609"/>
  <c r="EJ45" i="14609"/>
  <c r="EK45" i="14609"/>
  <c r="EL45" i="14609"/>
  <c r="EM45" i="14609"/>
  <c r="EN45" i="14609"/>
  <c r="EO45" i="14609"/>
  <c r="EP45" i="14609"/>
  <c r="EQ45" i="14609"/>
  <c r="ER45" i="14609"/>
  <c r="ES45" i="14609"/>
  <c r="ET45" i="14609"/>
  <c r="EU45" i="14609"/>
  <c r="EV45" i="14609"/>
  <c r="EW45" i="14609"/>
  <c r="EX45" i="14609"/>
  <c r="EY45" i="14609"/>
  <c r="EZ45" i="14609"/>
  <c r="FA45" i="14609"/>
  <c r="FB45" i="14609"/>
  <c r="FC45" i="14609"/>
  <c r="FD45" i="14609"/>
  <c r="FE45" i="14609"/>
  <c r="FF45" i="14609"/>
  <c r="FG45" i="14609"/>
  <c r="FH45" i="14609"/>
  <c r="FI45" i="14609"/>
  <c r="FJ45" i="14609"/>
  <c r="FK45" i="14609"/>
  <c r="FL45" i="14609"/>
  <c r="FM45" i="14609"/>
  <c r="FN45" i="14609"/>
  <c r="FO45" i="14609"/>
  <c r="FP45" i="14609"/>
  <c r="FQ45" i="14609"/>
  <c r="FR45" i="14609"/>
  <c r="FS45" i="14609"/>
  <c r="FT45" i="14609"/>
  <c r="FU45" i="14609"/>
  <c r="FV45" i="14609"/>
  <c r="FW45" i="14609"/>
  <c r="FX45" i="14609"/>
  <c r="FY45" i="14609"/>
  <c r="FZ45" i="14609"/>
  <c r="GA45" i="14609"/>
  <c r="GB45" i="14609"/>
  <c r="GC45" i="14609"/>
  <c r="GD45" i="14609"/>
  <c r="GE45" i="14609"/>
  <c r="GF45" i="14609"/>
  <c r="GG45" i="14609"/>
  <c r="GH45" i="14609"/>
  <c r="GI45" i="14609"/>
  <c r="GJ45" i="14609"/>
  <c r="GK45" i="14609"/>
  <c r="GL45" i="14609"/>
  <c r="GM45" i="14609"/>
  <c r="GN45" i="14609"/>
  <c r="GO45" i="14609"/>
  <c r="GP45" i="14609"/>
  <c r="GQ45" i="14609"/>
  <c r="GR45" i="14609"/>
  <c r="GS45" i="14609"/>
  <c r="GT45" i="14609"/>
  <c r="GU45" i="14609"/>
  <c r="GV45" i="14609"/>
  <c r="GW45" i="14609"/>
  <c r="GX45" i="14609"/>
  <c r="GY45" i="14609"/>
  <c r="GZ45" i="14609"/>
  <c r="HA45" i="14609"/>
  <c r="HB45" i="14609"/>
  <c r="HC45" i="14609"/>
  <c r="HD45" i="14609"/>
  <c r="HE45" i="14609"/>
  <c r="HF45" i="14609"/>
  <c r="HG45" i="14609"/>
  <c r="HH45" i="14609"/>
  <c r="HI45" i="14609"/>
  <c r="HJ45" i="14609"/>
  <c r="HK45" i="14609"/>
  <c r="HL45" i="14609"/>
  <c r="HM45" i="14609"/>
  <c r="HN45" i="14609"/>
  <c r="HO45" i="14609"/>
  <c r="HP45" i="14609"/>
  <c r="HQ45" i="14609"/>
  <c r="HR45" i="14609"/>
  <c r="HS45" i="14609"/>
  <c r="HT45" i="14609"/>
  <c r="HU45" i="14609"/>
  <c r="HV45" i="14609"/>
  <c r="HW45" i="14609"/>
  <c r="HX45" i="14609"/>
  <c r="HY45" i="14609"/>
  <c r="HZ45" i="14609"/>
  <c r="IA45" i="14609"/>
  <c r="IB45" i="14609"/>
  <c r="IC45" i="14609"/>
  <c r="ID45" i="14609"/>
  <c r="IE45" i="14609"/>
  <c r="IF45" i="14609"/>
  <c r="IG45" i="14609"/>
  <c r="IH45" i="14609"/>
  <c r="II45" i="14609"/>
  <c r="IJ45" i="14609"/>
  <c r="IK45" i="14609"/>
  <c r="IL45" i="14609"/>
  <c r="IM45" i="14609"/>
  <c r="IN45" i="14609"/>
  <c r="IO45" i="14609"/>
  <c r="IP45" i="14609"/>
  <c r="IQ45" i="14609"/>
  <c r="IR45" i="14609"/>
  <c r="IS45" i="14609"/>
  <c r="IT45" i="14609"/>
  <c r="IU45" i="14609"/>
  <c r="IV45" i="14609"/>
  <c r="A44" i="14609"/>
  <c r="B44" i="14609"/>
  <c r="C44" i="14609"/>
  <c r="D44" i="14609"/>
  <c r="E44" i="14609"/>
  <c r="F44" i="14609"/>
  <c r="G44" i="14609"/>
  <c r="H44" i="14609"/>
  <c r="I44" i="14609"/>
  <c r="J44" i="14609"/>
  <c r="K44" i="14609"/>
  <c r="L44" i="14609"/>
  <c r="M44" i="14609"/>
  <c r="N44" i="14609"/>
  <c r="O44" i="14609"/>
  <c r="P44" i="14609"/>
  <c r="Q44" i="14609"/>
  <c r="R44" i="14609"/>
  <c r="S44" i="14609"/>
  <c r="T44" i="14609"/>
  <c r="U44" i="14609"/>
  <c r="V44" i="14609"/>
  <c r="W44" i="14609"/>
  <c r="X44" i="14609"/>
  <c r="Y44" i="14609"/>
  <c r="Z44" i="14609"/>
  <c r="AA44" i="14609"/>
  <c r="AB44" i="14609"/>
  <c r="AC44" i="14609"/>
  <c r="AD44" i="14609"/>
  <c r="AE44" i="14609"/>
  <c r="AF44" i="14609"/>
  <c r="AG44" i="14609"/>
  <c r="AH44" i="14609"/>
  <c r="AI44" i="14609"/>
  <c r="AJ44" i="14609"/>
  <c r="AK44" i="14609"/>
  <c r="AL44" i="14609"/>
  <c r="AM44" i="14609"/>
  <c r="AN44" i="14609"/>
  <c r="AO44" i="14609"/>
  <c r="AP44" i="14609"/>
  <c r="AQ44" i="14609"/>
  <c r="AR44" i="14609"/>
  <c r="AS44" i="14609"/>
  <c r="AT44" i="14609"/>
  <c r="AU44" i="14609"/>
  <c r="AV44" i="14609"/>
  <c r="AW44" i="14609"/>
  <c r="AX44" i="14609"/>
  <c r="AY44" i="14609"/>
  <c r="AZ44" i="14609"/>
  <c r="BA44" i="14609"/>
  <c r="BB44" i="14609"/>
  <c r="BC44" i="14609"/>
  <c r="BD44" i="14609"/>
  <c r="BE44" i="14609"/>
  <c r="BF44" i="14609"/>
  <c r="BG44" i="14609"/>
  <c r="BH44" i="14609"/>
  <c r="BI44" i="14609"/>
  <c r="BJ44" i="14609"/>
  <c r="BK44" i="14609"/>
  <c r="BL44" i="14609"/>
  <c r="BM44" i="14609"/>
  <c r="BN44" i="14609"/>
  <c r="BO44" i="14609"/>
  <c r="BP44" i="14609"/>
  <c r="BQ44" i="14609"/>
  <c r="BR44" i="14609"/>
  <c r="BS44" i="14609"/>
  <c r="BT44" i="14609"/>
  <c r="BU44" i="14609"/>
  <c r="BV44" i="14609"/>
  <c r="BW44" i="14609"/>
  <c r="BX44" i="14609"/>
  <c r="BY44" i="14609"/>
  <c r="BZ44" i="14609"/>
  <c r="CA44" i="14609"/>
  <c r="CB44" i="14609"/>
  <c r="CC44" i="14609"/>
  <c r="CD44" i="14609"/>
  <c r="CE44" i="14609"/>
  <c r="CF44" i="14609"/>
  <c r="CG44" i="14609"/>
  <c r="CH44" i="14609"/>
  <c r="CI44" i="14609"/>
  <c r="CJ44" i="14609"/>
  <c r="CK44" i="14609"/>
  <c r="CL44" i="14609"/>
  <c r="CM44" i="14609"/>
  <c r="CN44" i="14609"/>
  <c r="CO44" i="14609"/>
  <c r="CP44" i="14609"/>
  <c r="CQ44" i="14609"/>
  <c r="CR44" i="14609"/>
  <c r="CS44" i="14609"/>
  <c r="CT44" i="14609"/>
  <c r="CU44" i="14609"/>
  <c r="CV44" i="14609"/>
  <c r="CW44" i="14609"/>
  <c r="CX44" i="14609"/>
  <c r="CY44" i="14609"/>
  <c r="CZ44" i="14609"/>
  <c r="DA44" i="14609"/>
  <c r="DB44" i="14609"/>
  <c r="DC44" i="14609"/>
  <c r="DD44" i="14609"/>
  <c r="DE44" i="14609"/>
  <c r="DF44" i="14609"/>
  <c r="DG44" i="14609"/>
  <c r="DH44" i="14609"/>
  <c r="DI44" i="14609"/>
  <c r="DJ44" i="14609"/>
  <c r="DK44" i="14609"/>
  <c r="DL44" i="14609"/>
  <c r="DM44" i="14609"/>
  <c r="DN44" i="14609"/>
  <c r="DO44" i="14609"/>
  <c r="DP44" i="14609"/>
  <c r="DQ44" i="14609"/>
  <c r="DR44" i="14609"/>
  <c r="DS44" i="14609"/>
  <c r="DT44" i="14609"/>
  <c r="DU44" i="14609"/>
  <c r="DV44" i="14609"/>
  <c r="DW44" i="14609"/>
  <c r="DX44" i="14609"/>
  <c r="DY44" i="14609"/>
  <c r="DZ44" i="14609"/>
  <c r="EA44" i="14609"/>
  <c r="EB44" i="14609"/>
  <c r="EC44" i="14609"/>
  <c r="ED44" i="14609"/>
  <c r="EE44" i="14609"/>
  <c r="EF44" i="14609"/>
  <c r="EG44" i="14609"/>
  <c r="EH44" i="14609"/>
  <c r="EI44" i="14609"/>
  <c r="EJ44" i="14609"/>
  <c r="EK44" i="14609"/>
  <c r="EL44" i="14609"/>
  <c r="EM44" i="14609"/>
  <c r="EN44" i="14609"/>
  <c r="EO44" i="14609"/>
  <c r="EP44" i="14609"/>
  <c r="EQ44" i="14609"/>
  <c r="ER44" i="14609"/>
  <c r="ES44" i="14609"/>
  <c r="ET44" i="14609"/>
  <c r="EU44" i="14609"/>
  <c r="EV44" i="14609"/>
  <c r="EW44" i="14609"/>
  <c r="EX44" i="14609"/>
  <c r="EY44" i="14609"/>
  <c r="EZ44" i="14609"/>
  <c r="FA44" i="14609"/>
  <c r="FB44" i="14609"/>
  <c r="FC44" i="14609"/>
  <c r="FD44" i="14609"/>
  <c r="FE44" i="14609"/>
  <c r="FF44" i="14609"/>
  <c r="FG44" i="14609"/>
  <c r="FH44" i="14609"/>
  <c r="FI44" i="14609"/>
  <c r="FJ44" i="14609"/>
  <c r="FK44" i="14609"/>
  <c r="FL44" i="14609"/>
  <c r="FM44" i="14609"/>
  <c r="FN44" i="14609"/>
  <c r="FO44" i="14609"/>
  <c r="FP44" i="14609"/>
  <c r="FQ44" i="14609"/>
  <c r="FR44" i="14609"/>
  <c r="FS44" i="14609"/>
  <c r="FT44" i="14609"/>
  <c r="FU44" i="14609"/>
  <c r="FV44" i="14609"/>
  <c r="FW44" i="14609"/>
  <c r="FX44" i="14609"/>
  <c r="FY44" i="14609"/>
  <c r="FZ44" i="14609"/>
  <c r="GA44" i="14609"/>
  <c r="GB44" i="14609"/>
  <c r="GC44" i="14609"/>
  <c r="GD44" i="14609"/>
  <c r="GE44" i="14609"/>
  <c r="GF44" i="14609"/>
  <c r="GG44" i="14609"/>
  <c r="GH44" i="14609"/>
  <c r="GI44" i="14609"/>
  <c r="GJ44" i="14609"/>
  <c r="GK44" i="14609"/>
  <c r="GL44" i="14609"/>
  <c r="GM44" i="14609"/>
  <c r="GN44" i="14609"/>
  <c r="GO44" i="14609"/>
  <c r="GP44" i="14609"/>
  <c r="GQ44" i="14609"/>
  <c r="GR44" i="14609"/>
  <c r="GS44" i="14609"/>
  <c r="GT44" i="14609"/>
  <c r="GU44" i="14609"/>
  <c r="GV44" i="14609"/>
  <c r="GW44" i="14609"/>
  <c r="GX44" i="14609"/>
  <c r="GY44" i="14609"/>
  <c r="GZ44" i="14609"/>
  <c r="HA44" i="14609"/>
  <c r="HB44" i="14609"/>
  <c r="HC44" i="14609"/>
  <c r="HD44" i="14609"/>
  <c r="HE44" i="14609"/>
  <c r="HF44" i="14609"/>
  <c r="HG44" i="14609"/>
  <c r="HH44" i="14609"/>
  <c r="HI44" i="14609"/>
  <c r="HJ44" i="14609"/>
  <c r="HK44" i="14609"/>
  <c r="HL44" i="14609"/>
  <c r="HM44" i="14609"/>
  <c r="HN44" i="14609"/>
  <c r="HO44" i="14609"/>
  <c r="HP44" i="14609"/>
  <c r="HQ44" i="14609"/>
  <c r="HR44" i="14609"/>
  <c r="HS44" i="14609"/>
  <c r="HT44" i="14609"/>
  <c r="HU44" i="14609"/>
  <c r="HV44" i="14609"/>
  <c r="HW44" i="14609"/>
  <c r="HX44" i="14609"/>
  <c r="HY44" i="14609"/>
  <c r="HZ44" i="14609"/>
  <c r="IA44" i="14609"/>
  <c r="IB44" i="14609"/>
  <c r="IC44" i="14609"/>
  <c r="ID44" i="14609"/>
  <c r="IE44" i="14609"/>
  <c r="IF44" i="14609"/>
  <c r="IG44" i="14609"/>
  <c r="IH44" i="14609"/>
  <c r="II44" i="14609"/>
  <c r="IJ44" i="14609"/>
  <c r="IK44" i="14609"/>
  <c r="IL44" i="14609"/>
  <c r="IM44" i="14609"/>
  <c r="IN44" i="14609"/>
  <c r="IO44" i="14609"/>
  <c r="IP44" i="14609"/>
  <c r="IQ44" i="14609"/>
  <c r="IR44" i="14609"/>
  <c r="IS44" i="14609"/>
  <c r="IT44" i="14609"/>
  <c r="IU44" i="14609"/>
  <c r="IV44" i="14609"/>
  <c r="A43" i="14609"/>
  <c r="B43" i="14609"/>
  <c r="C43" i="14609"/>
  <c r="D43" i="14609"/>
  <c r="E43" i="14609"/>
  <c r="F43" i="14609"/>
  <c r="G43" i="14609"/>
  <c r="H43" i="14609"/>
  <c r="I43" i="14609"/>
  <c r="J43" i="14609"/>
  <c r="K43" i="14609"/>
  <c r="L43" i="14609"/>
  <c r="M43" i="14609"/>
  <c r="N43" i="14609"/>
  <c r="O43" i="14609"/>
  <c r="P43" i="14609"/>
  <c r="Q43" i="14609"/>
  <c r="R43" i="14609"/>
  <c r="S43" i="14609"/>
  <c r="T43" i="14609"/>
  <c r="U43" i="14609"/>
  <c r="V43" i="14609"/>
  <c r="W43" i="14609"/>
  <c r="X43" i="14609"/>
  <c r="Y43" i="14609"/>
  <c r="Z43" i="14609"/>
  <c r="AA43" i="14609"/>
  <c r="AB43" i="14609"/>
  <c r="AC43" i="14609"/>
  <c r="AD43" i="14609"/>
  <c r="AE43" i="14609"/>
  <c r="AF43" i="14609"/>
  <c r="AG43" i="14609"/>
  <c r="AH43" i="14609"/>
  <c r="AI43" i="14609"/>
  <c r="AJ43" i="14609"/>
  <c r="AK43" i="14609"/>
  <c r="AL43" i="14609"/>
  <c r="AM43" i="14609"/>
  <c r="AN43" i="14609"/>
  <c r="AO43" i="14609"/>
  <c r="AP43" i="14609"/>
  <c r="AQ43" i="14609"/>
  <c r="AR43" i="14609"/>
  <c r="AS43" i="14609"/>
  <c r="AT43" i="14609"/>
  <c r="AU43" i="14609"/>
  <c r="AV43" i="14609"/>
  <c r="AW43" i="14609"/>
  <c r="AX43" i="14609"/>
  <c r="AY43" i="14609"/>
  <c r="AZ43" i="14609"/>
  <c r="BA43" i="14609"/>
  <c r="BB43" i="14609"/>
  <c r="BC43" i="14609"/>
  <c r="BD43" i="14609"/>
  <c r="BE43" i="14609"/>
  <c r="BF43" i="14609"/>
  <c r="BG43" i="14609"/>
  <c r="BH43" i="14609"/>
  <c r="BI43" i="14609"/>
  <c r="BJ43" i="14609"/>
  <c r="BK43" i="14609"/>
  <c r="BL43" i="14609"/>
  <c r="BM43" i="14609"/>
  <c r="BN43" i="14609"/>
  <c r="BO43" i="14609"/>
  <c r="BP43" i="14609"/>
  <c r="BQ43" i="14609"/>
  <c r="BR43" i="14609"/>
  <c r="BS43" i="14609"/>
  <c r="BT43" i="14609"/>
  <c r="BU43" i="14609"/>
  <c r="BV43" i="14609"/>
  <c r="BW43" i="14609"/>
  <c r="BX43" i="14609"/>
  <c r="BY43" i="14609"/>
  <c r="BZ43" i="14609"/>
  <c r="CA43" i="14609"/>
  <c r="CB43" i="14609"/>
  <c r="CC43" i="14609"/>
  <c r="CD43" i="14609"/>
  <c r="CE43" i="14609"/>
  <c r="CF43" i="14609"/>
  <c r="CG43" i="14609"/>
  <c r="CH43" i="14609"/>
  <c r="CI43" i="14609"/>
  <c r="CJ43" i="14609"/>
  <c r="CK43" i="14609"/>
  <c r="CL43" i="14609"/>
  <c r="CM43" i="14609"/>
  <c r="CN43" i="14609"/>
  <c r="CO43" i="14609"/>
  <c r="CP43" i="14609"/>
  <c r="CQ43" i="14609"/>
  <c r="CR43" i="14609"/>
  <c r="CS43" i="14609"/>
  <c r="CT43" i="14609"/>
  <c r="CU43" i="14609"/>
  <c r="CV43" i="14609"/>
  <c r="CW43" i="14609"/>
  <c r="CX43" i="14609"/>
  <c r="CY43" i="14609"/>
  <c r="CZ43" i="14609"/>
  <c r="DA43" i="14609"/>
  <c r="DB43" i="14609"/>
  <c r="DC43" i="14609"/>
  <c r="DD43" i="14609"/>
  <c r="DE43" i="14609"/>
  <c r="DF43" i="14609"/>
  <c r="DG43" i="14609"/>
  <c r="DH43" i="14609"/>
  <c r="DI43" i="14609"/>
  <c r="DJ43" i="14609"/>
  <c r="DK43" i="14609"/>
  <c r="DL43" i="14609"/>
  <c r="DM43" i="14609"/>
  <c r="DN43" i="14609"/>
  <c r="DO43" i="14609"/>
  <c r="DP43" i="14609"/>
  <c r="DQ43" i="14609"/>
  <c r="DR43" i="14609"/>
  <c r="DS43" i="14609"/>
  <c r="DT43" i="14609"/>
  <c r="DU43" i="14609"/>
  <c r="DV43" i="14609"/>
  <c r="DW43" i="14609"/>
  <c r="DX43" i="14609"/>
  <c r="DY43" i="14609"/>
  <c r="DZ43" i="14609"/>
  <c r="EA43" i="14609"/>
  <c r="EB43" i="14609"/>
  <c r="EC43" i="14609"/>
  <c r="ED43" i="14609"/>
  <c r="EE43" i="14609"/>
  <c r="EF43" i="14609"/>
  <c r="EG43" i="14609"/>
  <c r="EH43" i="14609"/>
  <c r="EI43" i="14609"/>
  <c r="EJ43" i="14609"/>
  <c r="EK43" i="14609"/>
  <c r="EL43" i="14609"/>
  <c r="EM43" i="14609"/>
  <c r="EN43" i="14609"/>
  <c r="EO43" i="14609"/>
  <c r="EP43" i="14609"/>
  <c r="EQ43" i="14609"/>
  <c r="ER43" i="14609"/>
  <c r="ES43" i="14609"/>
  <c r="ET43" i="14609"/>
  <c r="EU43" i="14609"/>
  <c r="EV43" i="14609"/>
  <c r="EW43" i="14609"/>
  <c r="EX43" i="14609"/>
  <c r="EY43" i="14609"/>
  <c r="EZ43" i="14609"/>
  <c r="FA43" i="14609"/>
  <c r="FB43" i="14609"/>
  <c r="FC43" i="14609"/>
  <c r="FD43" i="14609"/>
  <c r="FE43" i="14609"/>
  <c r="FF43" i="14609"/>
  <c r="FG43" i="14609"/>
  <c r="FH43" i="14609"/>
  <c r="FI43" i="14609"/>
  <c r="FJ43" i="14609"/>
  <c r="FK43" i="14609"/>
  <c r="FL43" i="14609"/>
  <c r="FM43" i="14609"/>
  <c r="FN43" i="14609"/>
  <c r="FO43" i="14609"/>
  <c r="FP43" i="14609"/>
  <c r="FQ43" i="14609"/>
  <c r="FR43" i="14609"/>
  <c r="FS43" i="14609"/>
  <c r="FT43" i="14609"/>
  <c r="FU43" i="14609"/>
  <c r="FV43" i="14609"/>
  <c r="FW43" i="14609"/>
  <c r="FX43" i="14609"/>
  <c r="FY43" i="14609"/>
  <c r="FZ43" i="14609"/>
  <c r="GA43" i="14609"/>
  <c r="GB43" i="14609"/>
  <c r="GC43" i="14609"/>
  <c r="GD43" i="14609"/>
  <c r="GE43" i="14609"/>
  <c r="GF43" i="14609"/>
  <c r="GG43" i="14609"/>
  <c r="GH43" i="14609"/>
  <c r="GI43" i="14609"/>
  <c r="GJ43" i="14609"/>
  <c r="GK43" i="14609"/>
  <c r="GL43" i="14609"/>
  <c r="GM43" i="14609"/>
  <c r="GN43" i="14609"/>
  <c r="GO43" i="14609"/>
  <c r="GP43" i="14609"/>
  <c r="GQ43" i="14609"/>
  <c r="GR43" i="14609"/>
  <c r="GS43" i="14609"/>
  <c r="GT43" i="14609"/>
  <c r="GU43" i="14609"/>
  <c r="GV43" i="14609"/>
  <c r="GW43" i="14609"/>
  <c r="GX43" i="14609"/>
  <c r="GY43" i="14609"/>
  <c r="GZ43" i="14609"/>
  <c r="HA43" i="14609"/>
  <c r="HB43" i="14609"/>
  <c r="HC43" i="14609"/>
  <c r="HD43" i="14609"/>
  <c r="HE43" i="14609"/>
  <c r="HF43" i="14609"/>
  <c r="HG43" i="14609"/>
  <c r="HH43" i="14609"/>
  <c r="HI43" i="14609"/>
  <c r="HJ43" i="14609"/>
  <c r="HK43" i="14609"/>
  <c r="HL43" i="14609"/>
  <c r="HM43" i="14609"/>
  <c r="HN43" i="14609"/>
  <c r="HO43" i="14609"/>
  <c r="HP43" i="14609"/>
  <c r="HQ43" i="14609"/>
  <c r="HR43" i="14609"/>
  <c r="HS43" i="14609"/>
  <c r="HT43" i="14609"/>
  <c r="HU43" i="14609"/>
  <c r="HV43" i="14609"/>
  <c r="HW43" i="14609"/>
  <c r="HX43" i="14609"/>
  <c r="HY43" i="14609"/>
  <c r="HZ43" i="14609"/>
  <c r="IA43" i="14609"/>
  <c r="IB43" i="14609"/>
  <c r="IC43" i="14609"/>
  <c r="ID43" i="14609"/>
  <c r="IE43" i="14609"/>
  <c r="IF43" i="14609"/>
  <c r="IG43" i="14609"/>
  <c r="IH43" i="14609"/>
  <c r="II43" i="14609"/>
  <c r="IJ43" i="14609"/>
  <c r="IK43" i="14609"/>
  <c r="IL43" i="14609"/>
  <c r="IM43" i="14609"/>
  <c r="IN43" i="14609"/>
  <c r="IO43" i="14609"/>
  <c r="IP43" i="14609"/>
  <c r="IQ43" i="14609"/>
  <c r="IR43" i="14609"/>
  <c r="IS43" i="14609"/>
  <c r="IT43" i="14609"/>
  <c r="IU43" i="14609"/>
  <c r="IV43" i="14609"/>
  <c r="A42" i="14609"/>
  <c r="B42" i="14609"/>
  <c r="C42" i="14609"/>
  <c r="D42" i="14609"/>
  <c r="E42" i="14609"/>
  <c r="F42" i="14609"/>
  <c r="G42" i="14609"/>
  <c r="H42" i="14609"/>
  <c r="I42" i="14609"/>
  <c r="J42" i="14609"/>
  <c r="K42" i="14609"/>
  <c r="L42" i="14609"/>
  <c r="M42" i="14609"/>
  <c r="N42" i="14609"/>
  <c r="O42" i="14609"/>
  <c r="P42" i="14609"/>
  <c r="Q42" i="14609"/>
  <c r="R42" i="14609"/>
  <c r="S42" i="14609"/>
  <c r="T42" i="14609"/>
  <c r="U42" i="14609"/>
  <c r="V42" i="14609"/>
  <c r="W42" i="14609"/>
  <c r="X42" i="14609"/>
  <c r="Y42" i="14609"/>
  <c r="Z42" i="14609"/>
  <c r="AA42" i="14609"/>
  <c r="AB42" i="14609"/>
  <c r="AC42" i="14609"/>
  <c r="AD42" i="14609"/>
  <c r="AE42" i="14609"/>
  <c r="AF42" i="14609"/>
  <c r="AG42" i="14609"/>
  <c r="AH42" i="14609"/>
  <c r="AI42" i="14609"/>
  <c r="AJ42" i="14609"/>
  <c r="AK42" i="14609"/>
  <c r="AL42" i="14609"/>
  <c r="AM42" i="14609"/>
  <c r="AN42" i="14609"/>
  <c r="AO42" i="14609"/>
  <c r="AP42" i="14609"/>
  <c r="AQ42" i="14609"/>
  <c r="AR42" i="14609"/>
  <c r="AS42" i="14609"/>
  <c r="AT42" i="14609"/>
  <c r="AU42" i="14609"/>
  <c r="AV42" i="14609"/>
  <c r="AW42" i="14609"/>
  <c r="AX42" i="14609"/>
  <c r="AY42" i="14609"/>
  <c r="AZ42" i="14609"/>
  <c r="BA42" i="14609"/>
  <c r="BB42" i="14609"/>
  <c r="BC42" i="14609"/>
  <c r="BD42" i="14609"/>
  <c r="BE42" i="14609"/>
  <c r="BF42" i="14609"/>
  <c r="BG42" i="14609"/>
  <c r="BH42" i="14609"/>
  <c r="BI42" i="14609"/>
  <c r="BJ42" i="14609"/>
  <c r="BK42" i="14609"/>
  <c r="BL42" i="14609"/>
  <c r="BM42" i="14609"/>
  <c r="BN42" i="14609"/>
  <c r="BO42" i="14609"/>
  <c r="BP42" i="14609"/>
  <c r="BQ42" i="14609"/>
  <c r="BR42" i="14609"/>
  <c r="BS42" i="14609"/>
  <c r="BT42" i="14609"/>
  <c r="BU42" i="14609"/>
  <c r="BV42" i="14609"/>
  <c r="BW42" i="14609"/>
  <c r="BX42" i="14609"/>
  <c r="BY42" i="14609"/>
  <c r="BZ42" i="14609"/>
  <c r="CA42" i="14609"/>
  <c r="CB42" i="14609"/>
  <c r="CC42" i="14609"/>
  <c r="CD42" i="14609"/>
  <c r="CE42" i="14609"/>
  <c r="CF42" i="14609"/>
  <c r="CG42" i="14609"/>
  <c r="CH42" i="14609"/>
  <c r="CI42" i="14609"/>
  <c r="CJ42" i="14609"/>
  <c r="CK42" i="14609"/>
  <c r="CL42" i="14609"/>
  <c r="CM42" i="14609"/>
  <c r="CN42" i="14609"/>
  <c r="CO42" i="14609"/>
  <c r="CP42" i="14609"/>
  <c r="CQ42" i="14609"/>
  <c r="CR42" i="14609"/>
  <c r="CS42" i="14609"/>
  <c r="CT42" i="14609"/>
  <c r="CU42" i="14609"/>
  <c r="CV42" i="14609"/>
  <c r="CW42" i="14609"/>
  <c r="CX42" i="14609"/>
  <c r="CY42" i="14609"/>
  <c r="CZ42" i="14609"/>
  <c r="DA42" i="14609"/>
  <c r="DB42" i="14609"/>
  <c r="DC42" i="14609"/>
  <c r="DD42" i="14609"/>
  <c r="DE42" i="14609"/>
  <c r="DF42" i="14609"/>
  <c r="DG42" i="14609"/>
  <c r="DH42" i="14609"/>
  <c r="DI42" i="14609"/>
  <c r="DJ42" i="14609"/>
  <c r="DK42" i="14609"/>
  <c r="DL42" i="14609"/>
  <c r="DM42" i="14609"/>
  <c r="DN42" i="14609"/>
  <c r="DO42" i="14609"/>
  <c r="DP42" i="14609"/>
  <c r="DQ42" i="14609"/>
  <c r="DR42" i="14609"/>
  <c r="DS42" i="14609"/>
  <c r="DT42" i="14609"/>
  <c r="DU42" i="14609"/>
  <c r="DV42" i="14609"/>
  <c r="DW42" i="14609"/>
  <c r="DX42" i="14609"/>
  <c r="DY42" i="14609"/>
  <c r="DZ42" i="14609"/>
  <c r="EA42" i="14609"/>
  <c r="EB42" i="14609"/>
  <c r="EC42" i="14609"/>
  <c r="ED42" i="14609"/>
  <c r="EE42" i="14609"/>
  <c r="EF42" i="14609"/>
  <c r="EG42" i="14609"/>
  <c r="EH42" i="14609"/>
  <c r="EI42" i="14609"/>
  <c r="EJ42" i="14609"/>
  <c r="EK42" i="14609"/>
  <c r="EL42" i="14609"/>
  <c r="EM42" i="14609"/>
  <c r="EN42" i="14609"/>
  <c r="EO42" i="14609"/>
  <c r="EP42" i="14609"/>
  <c r="EQ42" i="14609"/>
  <c r="ER42" i="14609"/>
  <c r="ES42" i="14609"/>
  <c r="ET42" i="14609"/>
  <c r="EU42" i="14609"/>
  <c r="EV42" i="14609"/>
  <c r="EW42" i="14609"/>
  <c r="EX42" i="14609"/>
  <c r="EY42" i="14609"/>
  <c r="EZ42" i="14609"/>
  <c r="FA42" i="14609"/>
  <c r="FB42" i="14609"/>
  <c r="FC42" i="14609"/>
  <c r="FD42" i="14609"/>
  <c r="FE42" i="14609"/>
  <c r="FF42" i="14609"/>
  <c r="FG42" i="14609"/>
  <c r="FH42" i="14609"/>
  <c r="FI42" i="14609"/>
  <c r="FJ42" i="14609"/>
  <c r="FK42" i="14609"/>
  <c r="FL42" i="14609"/>
  <c r="FM42" i="14609"/>
  <c r="FN42" i="14609"/>
  <c r="FO42" i="14609"/>
  <c r="FP42" i="14609"/>
  <c r="FQ42" i="14609"/>
  <c r="FR42" i="14609"/>
  <c r="FS42" i="14609"/>
  <c r="FT42" i="14609"/>
  <c r="FU42" i="14609"/>
  <c r="FV42" i="14609"/>
  <c r="FW42" i="14609"/>
  <c r="FX42" i="14609"/>
  <c r="FY42" i="14609"/>
  <c r="FZ42" i="14609"/>
  <c r="GA42" i="14609"/>
  <c r="GB42" i="14609"/>
  <c r="GC42" i="14609"/>
  <c r="GD42" i="14609"/>
  <c r="GE42" i="14609"/>
  <c r="GF42" i="14609"/>
  <c r="GG42" i="14609"/>
  <c r="GH42" i="14609"/>
  <c r="GI42" i="14609"/>
  <c r="GJ42" i="14609"/>
  <c r="GK42" i="14609"/>
  <c r="GL42" i="14609"/>
  <c r="GM42" i="14609"/>
  <c r="GN42" i="14609"/>
  <c r="GO42" i="14609"/>
  <c r="GP42" i="14609"/>
  <c r="GQ42" i="14609"/>
  <c r="GR42" i="14609"/>
  <c r="GS42" i="14609"/>
  <c r="GT42" i="14609"/>
  <c r="GU42" i="14609"/>
  <c r="GV42" i="14609"/>
  <c r="GW42" i="14609"/>
  <c r="GX42" i="14609"/>
  <c r="GY42" i="14609"/>
  <c r="GZ42" i="14609"/>
  <c r="HA42" i="14609"/>
  <c r="HB42" i="14609"/>
  <c r="HC42" i="14609"/>
  <c r="HD42" i="14609"/>
  <c r="HE42" i="14609"/>
  <c r="HF42" i="14609"/>
  <c r="HG42" i="14609"/>
  <c r="HH42" i="14609"/>
  <c r="HI42" i="14609"/>
  <c r="HJ42" i="14609"/>
  <c r="HK42" i="14609"/>
  <c r="HL42" i="14609"/>
  <c r="HM42" i="14609"/>
  <c r="HN42" i="14609"/>
  <c r="HO42" i="14609"/>
  <c r="HP42" i="14609"/>
  <c r="HQ42" i="14609"/>
  <c r="HR42" i="14609"/>
  <c r="HS42" i="14609"/>
  <c r="HT42" i="14609"/>
  <c r="HU42" i="14609"/>
  <c r="HV42" i="14609"/>
  <c r="HW42" i="14609"/>
  <c r="HX42" i="14609"/>
  <c r="HY42" i="14609"/>
  <c r="HZ42" i="14609"/>
  <c r="IA42" i="14609"/>
  <c r="IB42" i="14609"/>
  <c r="IC42" i="14609"/>
  <c r="ID42" i="14609"/>
  <c r="IE42" i="14609"/>
  <c r="IF42" i="14609"/>
  <c r="IG42" i="14609"/>
  <c r="IH42" i="14609"/>
  <c r="II42" i="14609"/>
  <c r="IJ42" i="14609"/>
  <c r="IK42" i="14609"/>
  <c r="IL42" i="14609"/>
  <c r="IM42" i="14609"/>
  <c r="IN42" i="14609"/>
  <c r="IO42" i="14609"/>
  <c r="IP42" i="14609"/>
  <c r="IQ42" i="14609"/>
  <c r="IR42" i="14609"/>
  <c r="IS42" i="14609"/>
  <c r="IT42" i="14609"/>
  <c r="IU42" i="14609"/>
  <c r="IV42" i="14609"/>
  <c r="A41" i="14609"/>
  <c r="B41" i="14609"/>
  <c r="C41" i="14609"/>
  <c r="D41" i="14609"/>
  <c r="E41" i="14609"/>
  <c r="F41" i="14609"/>
  <c r="G41" i="14609"/>
  <c r="H41" i="14609"/>
  <c r="I41" i="14609"/>
  <c r="J41" i="14609"/>
  <c r="K41" i="14609"/>
  <c r="L41" i="14609"/>
  <c r="M41" i="14609"/>
  <c r="N41" i="14609"/>
  <c r="O41" i="14609"/>
  <c r="P41" i="14609"/>
  <c r="Q41" i="14609"/>
  <c r="R41" i="14609"/>
  <c r="S41" i="14609"/>
  <c r="T41" i="14609"/>
  <c r="U41" i="14609"/>
  <c r="V41" i="14609"/>
  <c r="W41" i="14609"/>
  <c r="X41" i="14609"/>
  <c r="Y41" i="14609"/>
  <c r="Z41" i="14609"/>
  <c r="AA41" i="14609"/>
  <c r="AB41" i="14609"/>
  <c r="AC41" i="14609"/>
  <c r="AD41" i="14609"/>
  <c r="AE41" i="14609"/>
  <c r="AF41" i="14609"/>
  <c r="AG41" i="14609"/>
  <c r="AH41" i="14609"/>
  <c r="AI41" i="14609"/>
  <c r="AJ41" i="14609"/>
  <c r="AK41" i="14609"/>
  <c r="AL41" i="14609"/>
  <c r="AM41" i="14609"/>
  <c r="AN41" i="14609"/>
  <c r="AO41" i="14609"/>
  <c r="AP41" i="14609"/>
  <c r="AQ41" i="14609"/>
  <c r="AR41" i="14609"/>
  <c r="AS41" i="14609"/>
  <c r="AT41" i="14609"/>
  <c r="AU41" i="14609"/>
  <c r="AV41" i="14609"/>
  <c r="AW41" i="14609"/>
  <c r="AX41" i="14609"/>
  <c r="AY41" i="14609"/>
  <c r="AZ41" i="14609"/>
  <c r="BA41" i="14609"/>
  <c r="BB41" i="14609"/>
  <c r="BC41" i="14609"/>
  <c r="BD41" i="14609"/>
  <c r="BE41" i="14609"/>
  <c r="BF41" i="14609"/>
  <c r="BG41" i="14609"/>
  <c r="BH41" i="14609"/>
  <c r="BI41" i="14609"/>
  <c r="BJ41" i="14609"/>
  <c r="BK41" i="14609"/>
  <c r="BL41" i="14609"/>
  <c r="BM41" i="14609"/>
  <c r="BN41" i="14609"/>
  <c r="BO41" i="14609"/>
  <c r="BP41" i="14609"/>
  <c r="BQ41" i="14609"/>
  <c r="BR41" i="14609"/>
  <c r="BS41" i="14609"/>
  <c r="BT41" i="14609"/>
  <c r="BU41" i="14609"/>
  <c r="BV41" i="14609"/>
  <c r="BW41" i="14609"/>
  <c r="BX41" i="14609"/>
  <c r="BY41" i="14609"/>
  <c r="BZ41" i="14609"/>
  <c r="CA41" i="14609"/>
  <c r="CB41" i="14609"/>
  <c r="CC41" i="14609"/>
  <c r="CD41" i="14609"/>
  <c r="CE41" i="14609"/>
  <c r="CF41" i="14609"/>
  <c r="CG41" i="14609"/>
  <c r="CH41" i="14609"/>
  <c r="CI41" i="14609"/>
  <c r="CJ41" i="14609"/>
  <c r="CK41" i="14609"/>
  <c r="CL41" i="14609"/>
  <c r="CM41" i="14609"/>
  <c r="CN41" i="14609"/>
  <c r="CO41" i="14609"/>
  <c r="CP41" i="14609"/>
  <c r="CQ41" i="14609"/>
  <c r="CR41" i="14609"/>
  <c r="CS41" i="14609"/>
  <c r="CT41" i="14609"/>
  <c r="CU41" i="14609"/>
  <c r="CV41" i="14609"/>
  <c r="CW41" i="14609"/>
  <c r="CX41" i="14609"/>
  <c r="CY41" i="14609"/>
  <c r="CZ41" i="14609"/>
  <c r="DA41" i="14609"/>
  <c r="DB41" i="14609"/>
  <c r="DC41" i="14609"/>
  <c r="DD41" i="14609"/>
  <c r="DE41" i="14609"/>
  <c r="DF41" i="14609"/>
  <c r="DG41" i="14609"/>
  <c r="DH41" i="14609"/>
  <c r="DI41" i="14609"/>
  <c r="DJ41" i="14609"/>
  <c r="DK41" i="14609"/>
  <c r="DL41" i="14609"/>
  <c r="DM41" i="14609"/>
  <c r="DN41" i="14609"/>
  <c r="DO41" i="14609"/>
  <c r="DP41" i="14609"/>
  <c r="DQ41" i="14609"/>
  <c r="DR41" i="14609"/>
  <c r="DS41" i="14609"/>
  <c r="DT41" i="14609"/>
  <c r="DU41" i="14609"/>
  <c r="DV41" i="14609"/>
  <c r="DW41" i="14609"/>
  <c r="DX41" i="14609"/>
  <c r="DY41" i="14609"/>
  <c r="DZ41" i="14609"/>
  <c r="EA41" i="14609"/>
  <c r="EB41" i="14609"/>
  <c r="EC41" i="14609"/>
  <c r="ED41" i="14609"/>
  <c r="EE41" i="14609"/>
  <c r="EF41" i="14609"/>
  <c r="EG41" i="14609"/>
  <c r="EH41" i="14609"/>
  <c r="EI41" i="14609"/>
  <c r="EJ41" i="14609"/>
  <c r="EK41" i="14609"/>
  <c r="EL41" i="14609"/>
  <c r="EM41" i="14609"/>
  <c r="EN41" i="14609"/>
  <c r="EO41" i="14609"/>
  <c r="EP41" i="14609"/>
  <c r="EQ41" i="14609"/>
  <c r="ER41" i="14609"/>
  <c r="ES41" i="14609"/>
  <c r="ET41" i="14609"/>
  <c r="EU41" i="14609"/>
  <c r="EV41" i="14609"/>
  <c r="EW41" i="14609"/>
  <c r="EX41" i="14609"/>
  <c r="EY41" i="14609"/>
  <c r="EZ41" i="14609"/>
  <c r="FA41" i="14609"/>
  <c r="FB41" i="14609"/>
  <c r="FC41" i="14609"/>
  <c r="FD41" i="14609"/>
  <c r="FE41" i="14609"/>
  <c r="FF41" i="14609"/>
  <c r="FG41" i="14609"/>
  <c r="FH41" i="14609"/>
  <c r="FI41" i="14609"/>
  <c r="FJ41" i="14609"/>
  <c r="FK41" i="14609"/>
  <c r="FL41" i="14609"/>
  <c r="FM41" i="14609"/>
  <c r="FN41" i="14609"/>
  <c r="FO41" i="14609"/>
  <c r="FP41" i="14609"/>
  <c r="FQ41" i="14609"/>
  <c r="FR41" i="14609"/>
  <c r="FS41" i="14609"/>
  <c r="FT41" i="14609"/>
  <c r="FU41" i="14609"/>
  <c r="FV41" i="14609"/>
  <c r="FW41" i="14609"/>
  <c r="FX41" i="14609"/>
  <c r="FY41" i="14609"/>
  <c r="FZ41" i="14609"/>
  <c r="GA41" i="14609"/>
  <c r="GB41" i="14609"/>
  <c r="GC41" i="14609"/>
  <c r="GD41" i="14609"/>
  <c r="GE41" i="14609"/>
  <c r="GF41" i="14609"/>
  <c r="GG41" i="14609"/>
  <c r="GH41" i="14609"/>
  <c r="GI41" i="14609"/>
  <c r="GJ41" i="14609"/>
  <c r="GK41" i="14609"/>
  <c r="GL41" i="14609"/>
  <c r="GM41" i="14609"/>
  <c r="GN41" i="14609"/>
  <c r="GO41" i="14609"/>
  <c r="GP41" i="14609"/>
  <c r="GQ41" i="14609"/>
  <c r="GR41" i="14609"/>
  <c r="GS41" i="14609"/>
  <c r="GT41" i="14609"/>
  <c r="GU41" i="14609"/>
  <c r="GV41" i="14609"/>
  <c r="GW41" i="14609"/>
  <c r="GX41" i="14609"/>
  <c r="GY41" i="14609"/>
  <c r="GZ41" i="14609"/>
  <c r="HA41" i="14609"/>
  <c r="HB41" i="14609"/>
  <c r="HC41" i="14609"/>
  <c r="HD41" i="14609"/>
  <c r="HE41" i="14609"/>
  <c r="HF41" i="14609"/>
  <c r="HG41" i="14609"/>
  <c r="HH41" i="14609"/>
  <c r="HI41" i="14609"/>
  <c r="HJ41" i="14609"/>
  <c r="HK41" i="14609"/>
  <c r="HL41" i="14609"/>
  <c r="HM41" i="14609"/>
  <c r="HN41" i="14609"/>
  <c r="HO41" i="14609"/>
  <c r="HP41" i="14609"/>
  <c r="HQ41" i="14609"/>
  <c r="HR41" i="14609"/>
  <c r="HS41" i="14609"/>
  <c r="HT41" i="14609"/>
  <c r="HU41" i="14609"/>
  <c r="HV41" i="14609"/>
  <c r="HW41" i="14609"/>
  <c r="HX41" i="14609"/>
  <c r="HY41" i="14609"/>
  <c r="HZ41" i="14609"/>
  <c r="IA41" i="14609"/>
  <c r="IB41" i="14609"/>
  <c r="IC41" i="14609"/>
  <c r="ID41" i="14609"/>
  <c r="IE41" i="14609"/>
  <c r="IF41" i="14609"/>
  <c r="IG41" i="14609"/>
  <c r="IH41" i="14609"/>
  <c r="II41" i="14609"/>
  <c r="IJ41" i="14609"/>
  <c r="IK41" i="14609"/>
  <c r="IL41" i="14609"/>
  <c r="IM41" i="14609"/>
  <c r="IN41" i="14609"/>
  <c r="IO41" i="14609"/>
  <c r="IP41" i="14609"/>
  <c r="IQ41" i="14609"/>
  <c r="IR41" i="14609"/>
  <c r="IS41" i="14609"/>
  <c r="IT41" i="14609"/>
  <c r="IU41" i="14609"/>
  <c r="IV41" i="14609"/>
  <c r="A40" i="14609"/>
  <c r="B40" i="14609"/>
  <c r="C40" i="14609"/>
  <c r="D40" i="14609"/>
  <c r="E40" i="14609"/>
  <c r="F40" i="14609"/>
  <c r="G40" i="14609"/>
  <c r="H40" i="14609"/>
  <c r="I40" i="14609"/>
  <c r="J40" i="14609"/>
  <c r="K40" i="14609"/>
  <c r="L40" i="14609"/>
  <c r="M40" i="14609"/>
  <c r="N40" i="14609"/>
  <c r="O40" i="14609"/>
  <c r="P40" i="14609"/>
  <c r="Q40" i="14609"/>
  <c r="R40" i="14609"/>
  <c r="S40" i="14609"/>
  <c r="T40" i="14609"/>
  <c r="U40" i="14609"/>
  <c r="V40" i="14609"/>
  <c r="W40" i="14609"/>
  <c r="X40" i="14609"/>
  <c r="Y40" i="14609"/>
  <c r="Z40" i="14609"/>
  <c r="AA40" i="14609"/>
  <c r="AB40" i="14609"/>
  <c r="AC40" i="14609"/>
  <c r="AD40" i="14609"/>
  <c r="AE40" i="14609"/>
  <c r="AF40" i="14609"/>
  <c r="AG40" i="14609"/>
  <c r="AH40" i="14609"/>
  <c r="AI40" i="14609"/>
  <c r="AJ40" i="14609"/>
  <c r="AK40" i="14609"/>
  <c r="AL40" i="14609"/>
  <c r="AM40" i="14609"/>
  <c r="AN40" i="14609"/>
  <c r="AO40" i="14609"/>
  <c r="AP40" i="14609"/>
  <c r="AQ40" i="14609"/>
  <c r="AR40" i="14609"/>
  <c r="AS40" i="14609"/>
  <c r="AT40" i="14609"/>
  <c r="AU40" i="14609"/>
  <c r="AV40" i="14609"/>
  <c r="AW40" i="14609"/>
  <c r="AX40" i="14609"/>
  <c r="AY40" i="14609"/>
  <c r="AZ40" i="14609"/>
  <c r="BA40" i="14609"/>
  <c r="BB40" i="14609"/>
  <c r="BC40" i="14609"/>
  <c r="BD40" i="14609"/>
  <c r="BE40" i="14609"/>
  <c r="BF40" i="14609"/>
  <c r="BG40" i="14609"/>
  <c r="BH40" i="14609"/>
  <c r="BI40" i="14609"/>
  <c r="BJ40" i="14609"/>
  <c r="BK40" i="14609"/>
  <c r="BL40" i="14609"/>
  <c r="BM40" i="14609"/>
  <c r="BN40" i="14609"/>
  <c r="BO40" i="14609"/>
  <c r="BP40" i="14609"/>
  <c r="BQ40" i="14609"/>
  <c r="BR40" i="14609"/>
  <c r="BS40" i="14609"/>
  <c r="BT40" i="14609"/>
  <c r="BU40" i="14609"/>
  <c r="BV40" i="14609"/>
  <c r="BW40" i="14609"/>
  <c r="BX40" i="14609"/>
  <c r="BY40" i="14609"/>
  <c r="BZ40" i="14609"/>
  <c r="CA40" i="14609"/>
  <c r="CB40" i="14609"/>
  <c r="CC40" i="14609"/>
  <c r="CD40" i="14609"/>
  <c r="CE40" i="14609"/>
  <c r="CF40" i="14609"/>
  <c r="CG40" i="14609"/>
  <c r="CH40" i="14609"/>
  <c r="CI40" i="14609"/>
  <c r="CJ40" i="14609"/>
  <c r="CK40" i="14609"/>
  <c r="CL40" i="14609"/>
  <c r="CM40" i="14609"/>
  <c r="CN40" i="14609"/>
  <c r="CO40" i="14609"/>
  <c r="CP40" i="14609"/>
  <c r="CQ40" i="14609"/>
  <c r="CR40" i="14609"/>
  <c r="CS40" i="14609"/>
  <c r="CT40" i="14609"/>
  <c r="CU40" i="14609"/>
  <c r="CV40" i="14609"/>
  <c r="CW40" i="14609"/>
  <c r="CX40" i="14609"/>
  <c r="CY40" i="14609"/>
  <c r="CZ40" i="14609"/>
  <c r="DA40" i="14609"/>
  <c r="DB40" i="14609"/>
  <c r="DC40" i="14609"/>
  <c r="DD40" i="14609"/>
  <c r="DE40" i="14609"/>
  <c r="DF40" i="14609"/>
  <c r="DG40" i="14609"/>
  <c r="DH40" i="14609"/>
  <c r="DI40" i="14609"/>
  <c r="DJ40" i="14609"/>
  <c r="DK40" i="14609"/>
  <c r="DL40" i="14609"/>
  <c r="DM40" i="14609"/>
  <c r="DN40" i="14609"/>
  <c r="DO40" i="14609"/>
  <c r="DP40" i="14609"/>
  <c r="DQ40" i="14609"/>
  <c r="DR40" i="14609"/>
  <c r="DS40" i="14609"/>
  <c r="DT40" i="14609"/>
  <c r="DU40" i="14609"/>
  <c r="DV40" i="14609"/>
  <c r="DW40" i="14609"/>
  <c r="DX40" i="14609"/>
  <c r="DY40" i="14609"/>
  <c r="DZ40" i="14609"/>
  <c r="EA40" i="14609"/>
  <c r="EB40" i="14609"/>
  <c r="EC40" i="14609"/>
  <c r="ED40" i="14609"/>
  <c r="EE40" i="14609"/>
  <c r="EF40" i="14609"/>
  <c r="EG40" i="14609"/>
  <c r="EH40" i="14609"/>
  <c r="EI40" i="14609"/>
  <c r="EJ40" i="14609"/>
  <c r="EK40" i="14609"/>
  <c r="EL40" i="14609"/>
  <c r="EM40" i="14609"/>
  <c r="EN40" i="14609"/>
  <c r="EO40" i="14609"/>
  <c r="EP40" i="14609"/>
  <c r="EQ40" i="14609"/>
  <c r="ER40" i="14609"/>
  <c r="ES40" i="14609"/>
  <c r="ET40" i="14609"/>
  <c r="EU40" i="14609"/>
  <c r="EV40" i="14609"/>
  <c r="EW40" i="14609"/>
  <c r="EX40" i="14609"/>
  <c r="EY40" i="14609"/>
  <c r="EZ40" i="14609"/>
  <c r="FA40" i="14609"/>
  <c r="FB40" i="14609"/>
  <c r="FC40" i="14609"/>
  <c r="FD40" i="14609"/>
  <c r="FE40" i="14609"/>
  <c r="FF40" i="14609"/>
  <c r="FG40" i="14609"/>
  <c r="FH40" i="14609"/>
  <c r="FI40" i="14609"/>
  <c r="FJ40" i="14609"/>
  <c r="FK40" i="14609"/>
  <c r="FL40" i="14609"/>
  <c r="FM40" i="14609"/>
  <c r="FN40" i="14609"/>
  <c r="FO40" i="14609"/>
  <c r="FP40" i="14609"/>
  <c r="FQ40" i="14609"/>
  <c r="FR40" i="14609"/>
  <c r="FS40" i="14609"/>
  <c r="FT40" i="14609"/>
  <c r="FU40" i="14609"/>
  <c r="FV40" i="14609"/>
  <c r="FW40" i="14609"/>
  <c r="FX40" i="14609"/>
  <c r="FY40" i="14609"/>
  <c r="FZ40" i="14609"/>
  <c r="GA40" i="14609"/>
  <c r="GB40" i="14609"/>
  <c r="GC40" i="14609"/>
  <c r="GD40" i="14609"/>
  <c r="GE40" i="14609"/>
  <c r="GF40" i="14609"/>
  <c r="GG40" i="14609"/>
  <c r="GH40" i="14609"/>
  <c r="GI40" i="14609"/>
  <c r="GJ40" i="14609"/>
  <c r="GK40" i="14609"/>
  <c r="GL40" i="14609"/>
  <c r="GM40" i="14609"/>
  <c r="GN40" i="14609"/>
  <c r="GO40" i="14609"/>
  <c r="GP40" i="14609"/>
  <c r="GQ40" i="14609"/>
  <c r="GR40" i="14609"/>
  <c r="GS40" i="14609"/>
  <c r="GT40" i="14609"/>
  <c r="GU40" i="14609"/>
  <c r="GV40" i="14609"/>
  <c r="GW40" i="14609"/>
  <c r="GX40" i="14609"/>
  <c r="GY40" i="14609"/>
  <c r="GZ40" i="14609"/>
  <c r="HA40" i="14609"/>
  <c r="HB40" i="14609"/>
  <c r="HC40" i="14609"/>
  <c r="HD40" i="14609"/>
  <c r="HE40" i="14609"/>
  <c r="HF40" i="14609"/>
  <c r="HG40" i="14609"/>
  <c r="HH40" i="14609"/>
  <c r="HI40" i="14609"/>
  <c r="HJ40" i="14609"/>
  <c r="HK40" i="14609"/>
  <c r="HL40" i="14609"/>
  <c r="HM40" i="14609"/>
  <c r="HN40" i="14609"/>
  <c r="HO40" i="14609"/>
  <c r="HP40" i="14609"/>
  <c r="HQ40" i="14609"/>
  <c r="HR40" i="14609"/>
  <c r="HS40" i="14609"/>
  <c r="HT40" i="14609"/>
  <c r="HU40" i="14609"/>
  <c r="HV40" i="14609"/>
  <c r="HW40" i="14609"/>
  <c r="HX40" i="14609"/>
  <c r="HY40" i="14609"/>
  <c r="HZ40" i="14609"/>
  <c r="IA40" i="14609"/>
  <c r="IB40" i="14609"/>
  <c r="IC40" i="14609"/>
  <c r="ID40" i="14609"/>
  <c r="IE40" i="14609"/>
  <c r="IF40" i="14609"/>
  <c r="IG40" i="14609"/>
  <c r="IH40" i="14609"/>
  <c r="II40" i="14609"/>
  <c r="IJ40" i="14609"/>
  <c r="IK40" i="14609"/>
  <c r="IL40" i="14609"/>
  <c r="IM40" i="14609"/>
  <c r="IN40" i="14609"/>
  <c r="IO40" i="14609"/>
  <c r="IP40" i="14609"/>
  <c r="IQ40" i="14609"/>
  <c r="IR40" i="14609"/>
  <c r="IS40" i="14609"/>
  <c r="IT40" i="14609"/>
  <c r="IU40" i="14609"/>
  <c r="IV40" i="14609"/>
  <c r="A39" i="14609"/>
  <c r="B39" i="14609"/>
  <c r="C39" i="14609"/>
  <c r="D39" i="14609"/>
  <c r="E39" i="14609"/>
  <c r="F39" i="14609"/>
  <c r="G39" i="14609"/>
  <c r="H39" i="14609"/>
  <c r="I39" i="14609"/>
  <c r="J39" i="14609"/>
  <c r="K39" i="14609"/>
  <c r="L39" i="14609"/>
  <c r="M39" i="14609"/>
  <c r="N39" i="14609"/>
  <c r="O39" i="14609"/>
  <c r="P39" i="14609"/>
  <c r="Q39" i="14609"/>
  <c r="R39" i="14609"/>
  <c r="S39" i="14609"/>
  <c r="T39" i="14609"/>
  <c r="U39" i="14609"/>
  <c r="V39" i="14609"/>
  <c r="W39" i="14609"/>
  <c r="X39" i="14609"/>
  <c r="Y39" i="14609"/>
  <c r="Z39" i="14609"/>
  <c r="AA39" i="14609"/>
  <c r="AB39" i="14609"/>
  <c r="AC39" i="14609"/>
  <c r="AD39" i="14609"/>
  <c r="AE39" i="14609"/>
  <c r="AF39" i="14609"/>
  <c r="AG39" i="14609"/>
  <c r="AH39" i="14609"/>
  <c r="AI39" i="14609"/>
  <c r="AJ39" i="14609"/>
  <c r="AK39" i="14609"/>
  <c r="AL39" i="14609"/>
  <c r="AM39" i="14609"/>
  <c r="AN39" i="14609"/>
  <c r="AO39" i="14609"/>
  <c r="AP39" i="14609"/>
  <c r="AQ39" i="14609"/>
  <c r="AR39" i="14609"/>
  <c r="AS39" i="14609"/>
  <c r="AT39" i="14609"/>
  <c r="AU39" i="14609"/>
  <c r="AV39" i="14609"/>
  <c r="AW39" i="14609"/>
  <c r="AX39" i="14609"/>
  <c r="AY39" i="14609"/>
  <c r="AZ39" i="14609"/>
  <c r="BA39" i="14609"/>
  <c r="BB39" i="14609"/>
  <c r="BC39" i="14609"/>
  <c r="BD39" i="14609"/>
  <c r="BE39" i="14609"/>
  <c r="BF39" i="14609"/>
  <c r="BG39" i="14609"/>
  <c r="BH39" i="14609"/>
  <c r="BI39" i="14609"/>
  <c r="BJ39" i="14609"/>
  <c r="BK39" i="14609"/>
  <c r="BL39" i="14609"/>
  <c r="BM39" i="14609"/>
  <c r="BN39" i="14609"/>
  <c r="BO39" i="14609"/>
  <c r="BP39" i="14609"/>
  <c r="BQ39" i="14609"/>
  <c r="BR39" i="14609"/>
  <c r="BS39" i="14609"/>
  <c r="BT39" i="14609"/>
  <c r="BU39" i="14609"/>
  <c r="BV39" i="14609"/>
  <c r="BW39" i="14609"/>
  <c r="BX39" i="14609"/>
  <c r="BY39" i="14609"/>
  <c r="BZ39" i="14609"/>
  <c r="CA39" i="14609"/>
  <c r="CB39" i="14609"/>
  <c r="CC39" i="14609"/>
  <c r="CD39" i="14609"/>
  <c r="CE39" i="14609"/>
  <c r="CF39" i="14609"/>
  <c r="CG39" i="14609"/>
  <c r="CH39" i="14609"/>
  <c r="CI39" i="14609"/>
  <c r="CJ39" i="14609"/>
  <c r="CK39" i="14609"/>
  <c r="CL39" i="14609"/>
  <c r="CM39" i="14609"/>
  <c r="CN39" i="14609"/>
  <c r="CO39" i="14609"/>
  <c r="CP39" i="14609"/>
  <c r="CQ39" i="14609"/>
  <c r="CR39" i="14609"/>
  <c r="CS39" i="14609"/>
  <c r="CT39" i="14609"/>
  <c r="CU39" i="14609"/>
  <c r="CV39" i="14609"/>
  <c r="CW39" i="14609"/>
  <c r="CX39" i="14609"/>
  <c r="CY39" i="14609"/>
  <c r="CZ39" i="14609"/>
  <c r="DA39" i="14609"/>
  <c r="DB39" i="14609"/>
  <c r="DC39" i="14609"/>
  <c r="DD39" i="14609"/>
  <c r="DE39" i="14609"/>
  <c r="DF39" i="14609"/>
  <c r="DG39" i="14609"/>
  <c r="DH39" i="14609"/>
  <c r="DI39" i="14609"/>
  <c r="DJ39" i="14609"/>
  <c r="DK39" i="14609"/>
  <c r="DL39" i="14609"/>
  <c r="DM39" i="14609"/>
  <c r="DN39" i="14609"/>
  <c r="DO39" i="14609"/>
  <c r="DP39" i="14609"/>
  <c r="DQ39" i="14609"/>
  <c r="DR39" i="14609"/>
  <c r="DS39" i="14609"/>
  <c r="DT39" i="14609"/>
  <c r="DU39" i="14609"/>
  <c r="DV39" i="14609"/>
  <c r="DW39" i="14609"/>
  <c r="DX39" i="14609"/>
  <c r="DY39" i="14609"/>
  <c r="DZ39" i="14609"/>
  <c r="EA39" i="14609"/>
  <c r="EB39" i="14609"/>
  <c r="EC39" i="14609"/>
  <c r="ED39" i="14609"/>
  <c r="EE39" i="14609"/>
  <c r="EF39" i="14609"/>
  <c r="EG39" i="14609"/>
  <c r="EH39" i="14609"/>
  <c r="EI39" i="14609"/>
  <c r="EJ39" i="14609"/>
  <c r="EK39" i="14609"/>
  <c r="EL39" i="14609"/>
  <c r="EM39" i="14609"/>
  <c r="EN39" i="14609"/>
  <c r="EO39" i="14609"/>
  <c r="EP39" i="14609"/>
  <c r="EQ39" i="14609"/>
  <c r="ER39" i="14609"/>
  <c r="ES39" i="14609"/>
  <c r="ET39" i="14609"/>
  <c r="EU39" i="14609"/>
  <c r="EV39" i="14609"/>
  <c r="EW39" i="14609"/>
  <c r="EX39" i="14609"/>
  <c r="EY39" i="14609"/>
  <c r="EZ39" i="14609"/>
  <c r="FA39" i="14609"/>
  <c r="FB39" i="14609"/>
  <c r="FC39" i="14609"/>
  <c r="FD39" i="14609"/>
  <c r="FE39" i="14609"/>
  <c r="FF39" i="14609"/>
  <c r="FG39" i="14609"/>
  <c r="FH39" i="14609"/>
  <c r="FI39" i="14609"/>
  <c r="FJ39" i="14609"/>
  <c r="FK39" i="14609"/>
  <c r="FL39" i="14609"/>
  <c r="FM39" i="14609"/>
  <c r="FN39" i="14609"/>
  <c r="FO39" i="14609"/>
  <c r="FP39" i="14609"/>
  <c r="FQ39" i="14609"/>
  <c r="FR39" i="14609"/>
  <c r="FS39" i="14609"/>
  <c r="FT39" i="14609"/>
  <c r="FU39" i="14609"/>
  <c r="FV39" i="14609"/>
  <c r="FW39" i="14609"/>
  <c r="FX39" i="14609"/>
  <c r="FY39" i="14609"/>
  <c r="FZ39" i="14609"/>
  <c r="GA39" i="14609"/>
  <c r="GB39" i="14609"/>
  <c r="GC39" i="14609"/>
  <c r="GD39" i="14609"/>
  <c r="GE39" i="14609"/>
  <c r="GF39" i="14609"/>
  <c r="GG39" i="14609"/>
  <c r="GH39" i="14609"/>
  <c r="GI39" i="14609"/>
  <c r="GJ39" i="14609"/>
  <c r="GK39" i="14609"/>
  <c r="GL39" i="14609"/>
  <c r="GM39" i="14609"/>
  <c r="GN39" i="14609"/>
  <c r="GO39" i="14609"/>
  <c r="GP39" i="14609"/>
  <c r="GQ39" i="14609"/>
  <c r="GR39" i="14609"/>
  <c r="GS39" i="14609"/>
  <c r="GT39" i="14609"/>
  <c r="GU39" i="14609"/>
  <c r="GV39" i="14609"/>
  <c r="GW39" i="14609"/>
  <c r="GX39" i="14609"/>
  <c r="GY39" i="14609"/>
  <c r="GZ39" i="14609"/>
  <c r="HA39" i="14609"/>
  <c r="HB39" i="14609"/>
  <c r="HC39" i="14609"/>
  <c r="HD39" i="14609"/>
  <c r="HE39" i="14609"/>
  <c r="HF39" i="14609"/>
  <c r="HG39" i="14609"/>
  <c r="HH39" i="14609"/>
  <c r="HI39" i="14609"/>
  <c r="HJ39" i="14609"/>
  <c r="HK39" i="14609"/>
  <c r="HL39" i="14609"/>
  <c r="HM39" i="14609"/>
  <c r="HN39" i="14609"/>
  <c r="HO39" i="14609"/>
  <c r="HP39" i="14609"/>
  <c r="HQ39" i="14609"/>
  <c r="HR39" i="14609"/>
  <c r="HS39" i="14609"/>
  <c r="HT39" i="14609"/>
  <c r="HU39" i="14609"/>
  <c r="HV39" i="14609"/>
  <c r="HW39" i="14609"/>
  <c r="HX39" i="14609"/>
  <c r="HY39" i="14609"/>
  <c r="HZ39" i="14609"/>
  <c r="IA39" i="14609"/>
  <c r="IB39" i="14609"/>
  <c r="IC39" i="14609"/>
  <c r="ID39" i="14609"/>
  <c r="IE39" i="14609"/>
  <c r="IF39" i="14609"/>
  <c r="IG39" i="14609"/>
  <c r="IH39" i="14609"/>
  <c r="II39" i="14609"/>
  <c r="IJ39" i="14609"/>
  <c r="IK39" i="14609"/>
  <c r="IL39" i="14609"/>
  <c r="IM39" i="14609"/>
  <c r="IN39" i="14609"/>
  <c r="IO39" i="14609"/>
  <c r="IP39" i="14609"/>
  <c r="IQ39" i="14609"/>
  <c r="IR39" i="14609"/>
  <c r="IS39" i="14609"/>
  <c r="IT39" i="14609"/>
  <c r="IU39" i="14609"/>
  <c r="IV39" i="14609"/>
  <c r="A38" i="14609"/>
  <c r="B38" i="14609"/>
  <c r="C38" i="14609"/>
  <c r="D38" i="14609"/>
  <c r="E38" i="14609"/>
  <c r="F38" i="14609"/>
  <c r="G38" i="14609"/>
  <c r="H38" i="14609"/>
  <c r="I38" i="14609"/>
  <c r="J38" i="14609"/>
  <c r="K38" i="14609"/>
  <c r="L38" i="14609"/>
  <c r="M38" i="14609"/>
  <c r="N38" i="14609"/>
  <c r="O38" i="14609"/>
  <c r="P38" i="14609"/>
  <c r="Q38" i="14609"/>
  <c r="R38" i="14609"/>
  <c r="S38" i="14609"/>
  <c r="T38" i="14609"/>
  <c r="U38" i="14609"/>
  <c r="V38" i="14609"/>
  <c r="W38" i="14609"/>
  <c r="X38" i="14609"/>
  <c r="Y38" i="14609"/>
  <c r="Z38" i="14609"/>
  <c r="AA38" i="14609"/>
  <c r="AB38" i="14609"/>
  <c r="AC38" i="14609"/>
  <c r="AD38" i="14609"/>
  <c r="AE38" i="14609"/>
  <c r="AF38" i="14609"/>
  <c r="AG38" i="14609"/>
  <c r="AH38" i="14609"/>
  <c r="AI38" i="14609"/>
  <c r="AJ38" i="14609"/>
  <c r="AK38" i="14609"/>
  <c r="AL38" i="14609"/>
  <c r="AM38" i="14609"/>
  <c r="AN38" i="14609"/>
  <c r="AO38" i="14609"/>
  <c r="AP38" i="14609"/>
  <c r="AQ38" i="14609"/>
  <c r="AR38" i="14609"/>
  <c r="AS38" i="14609"/>
  <c r="AT38" i="14609"/>
  <c r="AU38" i="14609"/>
  <c r="AV38" i="14609"/>
  <c r="AW38" i="14609"/>
  <c r="AX38" i="14609"/>
  <c r="AY38" i="14609"/>
  <c r="AZ38" i="14609"/>
  <c r="BA38" i="14609"/>
  <c r="BB38" i="14609"/>
  <c r="BC38" i="14609"/>
  <c r="BD38" i="14609"/>
  <c r="BE38" i="14609"/>
  <c r="BF38" i="14609"/>
  <c r="BG38" i="14609"/>
  <c r="BH38" i="14609"/>
  <c r="BI38" i="14609"/>
  <c r="BJ38" i="14609"/>
  <c r="BK38" i="14609"/>
  <c r="BL38" i="14609"/>
  <c r="BM38" i="14609"/>
  <c r="BN38" i="14609"/>
  <c r="BO38" i="14609"/>
  <c r="BP38" i="14609"/>
  <c r="BQ38" i="14609"/>
  <c r="BR38" i="14609"/>
  <c r="BS38" i="14609"/>
  <c r="BT38" i="14609"/>
  <c r="BU38" i="14609"/>
  <c r="BV38" i="14609"/>
  <c r="BW38" i="14609"/>
  <c r="BX38" i="14609"/>
  <c r="BY38" i="14609"/>
  <c r="BZ38" i="14609"/>
  <c r="CA38" i="14609"/>
  <c r="CB38" i="14609"/>
  <c r="CC38" i="14609"/>
  <c r="CD38" i="14609"/>
  <c r="CE38" i="14609"/>
  <c r="CF38" i="14609"/>
  <c r="CG38" i="14609"/>
  <c r="CH38" i="14609"/>
  <c r="CI38" i="14609"/>
  <c r="CJ38" i="14609"/>
  <c r="CK38" i="14609"/>
  <c r="CL38" i="14609"/>
  <c r="CM38" i="14609"/>
  <c r="CN38" i="14609"/>
  <c r="CO38" i="14609"/>
  <c r="CP38" i="14609"/>
  <c r="CQ38" i="14609"/>
  <c r="CR38" i="14609"/>
  <c r="CS38" i="14609"/>
  <c r="CT38" i="14609"/>
  <c r="CU38" i="14609"/>
  <c r="CV38" i="14609"/>
  <c r="CW38" i="14609"/>
  <c r="CX38" i="14609"/>
  <c r="CY38" i="14609"/>
  <c r="CZ38" i="14609"/>
  <c r="DA38" i="14609"/>
  <c r="DB38" i="14609"/>
  <c r="DC38" i="14609"/>
  <c r="DD38" i="14609"/>
  <c r="DE38" i="14609"/>
  <c r="DF38" i="14609"/>
  <c r="DG38" i="14609"/>
  <c r="DH38" i="14609"/>
  <c r="DI38" i="14609"/>
  <c r="DJ38" i="14609"/>
  <c r="DK38" i="14609"/>
  <c r="DL38" i="14609"/>
  <c r="DM38" i="14609"/>
  <c r="DN38" i="14609"/>
  <c r="DO38" i="14609"/>
  <c r="DP38" i="14609"/>
  <c r="DQ38" i="14609"/>
  <c r="DR38" i="14609"/>
  <c r="DS38" i="14609"/>
  <c r="DT38" i="14609"/>
  <c r="DU38" i="14609"/>
  <c r="DV38" i="14609"/>
  <c r="DW38" i="14609"/>
  <c r="DX38" i="14609"/>
  <c r="DY38" i="14609"/>
  <c r="DZ38" i="14609"/>
  <c r="EA38" i="14609"/>
  <c r="EB38" i="14609"/>
  <c r="EC38" i="14609"/>
  <c r="ED38" i="14609"/>
  <c r="EE38" i="14609"/>
  <c r="EF38" i="14609"/>
  <c r="EG38" i="14609"/>
  <c r="EH38" i="14609"/>
  <c r="EI38" i="14609"/>
  <c r="EJ38" i="14609"/>
  <c r="EK38" i="14609"/>
  <c r="EL38" i="14609"/>
  <c r="EM38" i="14609"/>
  <c r="EN38" i="14609"/>
  <c r="EO38" i="14609"/>
  <c r="EP38" i="14609"/>
  <c r="EQ38" i="14609"/>
  <c r="ER38" i="14609"/>
  <c r="ES38" i="14609"/>
  <c r="ET38" i="14609"/>
  <c r="EU38" i="14609"/>
  <c r="EV38" i="14609"/>
  <c r="EW38" i="14609"/>
  <c r="EX38" i="14609"/>
  <c r="EY38" i="14609"/>
  <c r="EZ38" i="14609"/>
  <c r="FA38" i="14609"/>
  <c r="FB38" i="14609"/>
  <c r="FC38" i="14609"/>
  <c r="FD38" i="14609"/>
  <c r="FE38" i="14609"/>
  <c r="FF38" i="14609"/>
  <c r="FG38" i="14609"/>
  <c r="FH38" i="14609"/>
  <c r="FI38" i="14609"/>
  <c r="FJ38" i="14609"/>
  <c r="FK38" i="14609"/>
  <c r="FL38" i="14609"/>
  <c r="FM38" i="14609"/>
  <c r="FN38" i="14609"/>
  <c r="FO38" i="14609"/>
  <c r="FP38" i="14609"/>
  <c r="FQ38" i="14609"/>
  <c r="FR38" i="14609"/>
  <c r="FS38" i="14609"/>
  <c r="FT38" i="14609"/>
  <c r="FU38" i="14609"/>
  <c r="FV38" i="14609"/>
  <c r="FW38" i="14609"/>
  <c r="FX38" i="14609"/>
  <c r="FY38" i="14609"/>
  <c r="FZ38" i="14609"/>
  <c r="GA38" i="14609"/>
  <c r="GB38" i="14609"/>
  <c r="GC38" i="14609"/>
  <c r="GD38" i="14609"/>
  <c r="GE38" i="14609"/>
  <c r="GF38" i="14609"/>
  <c r="GG38" i="14609"/>
  <c r="GH38" i="14609"/>
  <c r="GI38" i="14609"/>
  <c r="GJ38" i="14609"/>
  <c r="GK38" i="14609"/>
  <c r="GL38" i="14609"/>
  <c r="GM38" i="14609"/>
  <c r="GN38" i="14609"/>
  <c r="GO38" i="14609"/>
  <c r="GP38" i="14609"/>
  <c r="GQ38" i="14609"/>
  <c r="GR38" i="14609"/>
  <c r="GS38" i="14609"/>
  <c r="GT38" i="14609"/>
  <c r="GU38" i="14609"/>
  <c r="GV38" i="14609"/>
  <c r="GW38" i="14609"/>
  <c r="GX38" i="14609"/>
  <c r="GY38" i="14609"/>
  <c r="GZ38" i="14609"/>
  <c r="HA38" i="14609"/>
  <c r="HB38" i="14609"/>
  <c r="HC38" i="14609"/>
  <c r="HD38" i="14609"/>
  <c r="HE38" i="14609"/>
  <c r="HF38" i="14609"/>
  <c r="HG38" i="14609"/>
  <c r="HH38" i="14609"/>
  <c r="HI38" i="14609"/>
  <c r="HJ38" i="14609"/>
  <c r="HK38" i="14609"/>
  <c r="HL38" i="14609"/>
  <c r="HM38" i="14609"/>
  <c r="HN38" i="14609"/>
  <c r="HO38" i="14609"/>
  <c r="HP38" i="14609"/>
  <c r="HQ38" i="14609"/>
  <c r="HR38" i="14609"/>
  <c r="HS38" i="14609"/>
  <c r="HT38" i="14609"/>
  <c r="HU38" i="14609"/>
  <c r="HV38" i="14609"/>
  <c r="HW38" i="14609"/>
  <c r="HX38" i="14609"/>
  <c r="HY38" i="14609"/>
  <c r="HZ38" i="14609"/>
  <c r="IA38" i="14609"/>
  <c r="IB38" i="14609"/>
  <c r="IC38" i="14609"/>
  <c r="ID38" i="14609"/>
  <c r="IE38" i="14609"/>
  <c r="IF38" i="14609"/>
  <c r="IG38" i="14609"/>
  <c r="IH38" i="14609"/>
  <c r="II38" i="14609"/>
  <c r="IJ38" i="14609"/>
  <c r="IK38" i="14609"/>
  <c r="IL38" i="14609"/>
  <c r="IM38" i="14609"/>
  <c r="IN38" i="14609"/>
  <c r="IO38" i="14609"/>
  <c r="IP38" i="14609"/>
  <c r="IQ38" i="14609"/>
  <c r="IR38" i="14609"/>
  <c r="IS38" i="14609"/>
  <c r="IT38" i="14609"/>
  <c r="IU38" i="14609"/>
  <c r="IV38" i="14609"/>
  <c r="A37" i="14609"/>
  <c r="B37" i="14609"/>
  <c r="C37" i="14609"/>
  <c r="D37" i="14609"/>
  <c r="E37" i="14609"/>
  <c r="F37" i="14609"/>
  <c r="G37" i="14609"/>
  <c r="H37" i="14609"/>
  <c r="I37" i="14609"/>
  <c r="J37" i="14609"/>
  <c r="K37" i="14609"/>
  <c r="L37" i="14609"/>
  <c r="M37" i="14609"/>
  <c r="N37" i="14609"/>
  <c r="O37" i="14609"/>
  <c r="P37" i="14609"/>
  <c r="Q37" i="14609"/>
  <c r="R37" i="14609"/>
  <c r="S37" i="14609"/>
  <c r="T37" i="14609"/>
  <c r="U37" i="14609"/>
  <c r="V37" i="14609"/>
  <c r="W37" i="14609"/>
  <c r="X37" i="14609"/>
  <c r="Y37" i="14609"/>
  <c r="Z37" i="14609"/>
  <c r="AA37" i="14609"/>
  <c r="AB37" i="14609"/>
  <c r="AC37" i="14609"/>
  <c r="AD37" i="14609"/>
  <c r="AE37" i="14609"/>
  <c r="AF37" i="14609"/>
  <c r="AG37" i="14609"/>
  <c r="AH37" i="14609"/>
  <c r="AI37" i="14609"/>
  <c r="AJ37" i="14609"/>
  <c r="AK37" i="14609"/>
  <c r="AL37" i="14609"/>
  <c r="AM37" i="14609"/>
  <c r="AN37" i="14609"/>
  <c r="AO37" i="14609"/>
  <c r="AP37" i="14609"/>
  <c r="AQ37" i="14609"/>
  <c r="AR37" i="14609"/>
  <c r="AS37" i="14609"/>
  <c r="AT37" i="14609"/>
  <c r="AU37" i="14609"/>
  <c r="AV37" i="14609"/>
  <c r="AW37" i="14609"/>
  <c r="AX37" i="14609"/>
  <c r="AY37" i="14609"/>
  <c r="AZ37" i="14609"/>
  <c r="BA37" i="14609"/>
  <c r="BB37" i="14609"/>
  <c r="BC37" i="14609"/>
  <c r="BD37" i="14609"/>
  <c r="BE37" i="14609"/>
  <c r="BF37" i="14609"/>
  <c r="BG37" i="14609"/>
  <c r="BH37" i="14609"/>
  <c r="BI37" i="14609"/>
  <c r="BJ37" i="14609"/>
  <c r="BK37" i="14609"/>
  <c r="BL37" i="14609"/>
  <c r="BM37" i="14609"/>
  <c r="BN37" i="14609"/>
  <c r="BO37" i="14609"/>
  <c r="BP37" i="14609"/>
  <c r="BQ37" i="14609"/>
  <c r="BR37" i="14609"/>
  <c r="BS37" i="14609"/>
  <c r="BT37" i="14609"/>
  <c r="BU37" i="14609"/>
  <c r="BV37" i="14609"/>
  <c r="BW37" i="14609"/>
  <c r="BX37" i="14609"/>
  <c r="BY37" i="14609"/>
  <c r="BZ37" i="14609"/>
  <c r="CA37" i="14609"/>
  <c r="CB37" i="14609"/>
  <c r="CC37" i="14609"/>
  <c r="CD37" i="14609"/>
  <c r="CE37" i="14609"/>
  <c r="CF37" i="14609"/>
  <c r="CG37" i="14609"/>
  <c r="CH37" i="14609"/>
  <c r="CI37" i="14609"/>
  <c r="CJ37" i="14609"/>
  <c r="CK37" i="14609"/>
  <c r="CL37" i="14609"/>
  <c r="CM37" i="14609"/>
  <c r="CN37" i="14609"/>
  <c r="CO37" i="14609"/>
  <c r="CP37" i="14609"/>
  <c r="CQ37" i="14609"/>
  <c r="CR37" i="14609"/>
  <c r="CS37" i="14609"/>
  <c r="CT37" i="14609"/>
  <c r="CU37" i="14609"/>
  <c r="CV37" i="14609"/>
  <c r="CW37" i="14609"/>
  <c r="CX37" i="14609"/>
  <c r="CY37" i="14609"/>
  <c r="CZ37" i="14609"/>
  <c r="DA37" i="14609"/>
  <c r="DB37" i="14609"/>
  <c r="DC37" i="14609"/>
  <c r="DD37" i="14609"/>
  <c r="DE37" i="14609"/>
  <c r="DF37" i="14609"/>
  <c r="DG37" i="14609"/>
  <c r="DH37" i="14609"/>
  <c r="DI37" i="14609"/>
  <c r="DJ37" i="14609"/>
  <c r="DK37" i="14609"/>
  <c r="DL37" i="14609"/>
  <c r="DM37" i="14609"/>
  <c r="DN37" i="14609"/>
  <c r="DO37" i="14609"/>
  <c r="DP37" i="14609"/>
  <c r="DQ37" i="14609"/>
  <c r="DR37" i="14609"/>
  <c r="DS37" i="14609"/>
  <c r="DT37" i="14609"/>
  <c r="DU37" i="14609"/>
  <c r="DV37" i="14609"/>
  <c r="DW37" i="14609"/>
  <c r="DX37" i="14609"/>
  <c r="DY37" i="14609"/>
  <c r="DZ37" i="14609"/>
  <c r="EA37" i="14609"/>
  <c r="EB37" i="14609"/>
  <c r="EC37" i="14609"/>
  <c r="ED37" i="14609"/>
  <c r="EE37" i="14609"/>
  <c r="EF37" i="14609"/>
  <c r="EG37" i="14609"/>
  <c r="EH37" i="14609"/>
  <c r="EI37" i="14609"/>
  <c r="EJ37" i="14609"/>
  <c r="EK37" i="14609"/>
  <c r="EL37" i="14609"/>
  <c r="EM37" i="14609"/>
  <c r="EN37" i="14609"/>
  <c r="EO37" i="14609"/>
  <c r="EP37" i="14609"/>
  <c r="EQ37" i="14609"/>
  <c r="ER37" i="14609"/>
  <c r="ES37" i="14609"/>
  <c r="ET37" i="14609"/>
  <c r="EU37" i="14609"/>
  <c r="EV37" i="14609"/>
  <c r="EW37" i="14609"/>
  <c r="EX37" i="14609"/>
  <c r="EY37" i="14609"/>
  <c r="EZ37" i="14609"/>
  <c r="FA37" i="14609"/>
  <c r="FB37" i="14609"/>
  <c r="FC37" i="14609"/>
  <c r="FD37" i="14609"/>
  <c r="FE37" i="14609"/>
  <c r="FF37" i="14609"/>
  <c r="FG37" i="14609"/>
  <c r="FH37" i="14609"/>
  <c r="FI37" i="14609"/>
  <c r="FJ37" i="14609"/>
  <c r="FK37" i="14609"/>
  <c r="FL37" i="14609"/>
  <c r="FM37" i="14609"/>
  <c r="FN37" i="14609"/>
  <c r="FO37" i="14609"/>
  <c r="FP37" i="14609"/>
  <c r="FQ37" i="14609"/>
  <c r="FR37" i="14609"/>
  <c r="FS37" i="14609"/>
  <c r="FT37" i="14609"/>
  <c r="FU37" i="14609"/>
  <c r="FV37" i="14609"/>
  <c r="FW37" i="14609"/>
  <c r="FX37" i="14609"/>
  <c r="FY37" i="14609"/>
  <c r="FZ37" i="14609"/>
  <c r="GA37" i="14609"/>
  <c r="GB37" i="14609"/>
  <c r="GC37" i="14609"/>
  <c r="GD37" i="14609"/>
  <c r="GE37" i="14609"/>
  <c r="GF37" i="14609"/>
  <c r="GG37" i="14609"/>
  <c r="GH37" i="14609"/>
  <c r="GI37" i="14609"/>
  <c r="GJ37" i="14609"/>
  <c r="GK37" i="14609"/>
  <c r="GL37" i="14609"/>
  <c r="GM37" i="14609"/>
  <c r="GN37" i="14609"/>
  <c r="GO37" i="14609"/>
  <c r="GP37" i="14609"/>
  <c r="GQ37" i="14609"/>
  <c r="GR37" i="14609"/>
  <c r="GS37" i="14609"/>
  <c r="GT37" i="14609"/>
  <c r="GU37" i="14609"/>
  <c r="GV37" i="14609"/>
  <c r="GW37" i="14609"/>
  <c r="GX37" i="14609"/>
  <c r="GY37" i="14609"/>
  <c r="GZ37" i="14609"/>
  <c r="HA37" i="14609"/>
  <c r="HB37" i="14609"/>
  <c r="HC37" i="14609"/>
  <c r="HD37" i="14609"/>
  <c r="HE37" i="14609"/>
  <c r="HF37" i="14609"/>
  <c r="HG37" i="14609"/>
  <c r="HH37" i="14609"/>
  <c r="HI37" i="14609"/>
  <c r="HJ37" i="14609"/>
  <c r="HK37" i="14609"/>
  <c r="HL37" i="14609"/>
  <c r="HM37" i="14609"/>
  <c r="HN37" i="14609"/>
  <c r="HO37" i="14609"/>
  <c r="HP37" i="14609"/>
  <c r="HQ37" i="14609"/>
  <c r="HR37" i="14609"/>
  <c r="HS37" i="14609"/>
  <c r="HT37" i="14609"/>
  <c r="HU37" i="14609"/>
  <c r="HV37" i="14609"/>
  <c r="HW37" i="14609"/>
  <c r="HX37" i="14609"/>
  <c r="HY37" i="14609"/>
  <c r="HZ37" i="14609"/>
  <c r="IA37" i="14609"/>
  <c r="IB37" i="14609"/>
  <c r="IC37" i="14609"/>
  <c r="ID37" i="14609"/>
  <c r="IE37" i="14609"/>
  <c r="IF37" i="14609"/>
  <c r="IG37" i="14609"/>
  <c r="IH37" i="14609"/>
  <c r="II37" i="14609"/>
  <c r="IJ37" i="14609"/>
  <c r="IK37" i="14609"/>
  <c r="IL37" i="14609"/>
  <c r="IM37" i="14609"/>
  <c r="IN37" i="14609"/>
  <c r="IO37" i="14609"/>
  <c r="IP37" i="14609"/>
  <c r="IQ37" i="14609"/>
  <c r="IR37" i="14609"/>
  <c r="IS37" i="14609"/>
  <c r="IT37" i="14609"/>
  <c r="IU37" i="14609"/>
  <c r="IV37" i="14609"/>
  <c r="A36" i="14609"/>
  <c r="B36" i="14609"/>
  <c r="C36" i="14609"/>
  <c r="D36" i="14609"/>
  <c r="E36" i="14609"/>
  <c r="F36" i="14609"/>
  <c r="G36" i="14609"/>
  <c r="H36" i="14609"/>
  <c r="I36" i="14609"/>
  <c r="J36" i="14609"/>
  <c r="K36" i="14609"/>
  <c r="L36" i="14609"/>
  <c r="M36" i="14609"/>
  <c r="N36" i="14609"/>
  <c r="O36" i="14609"/>
  <c r="P36" i="14609"/>
  <c r="Q36" i="14609"/>
  <c r="R36" i="14609"/>
  <c r="S36" i="14609"/>
  <c r="T36" i="14609"/>
  <c r="U36" i="14609"/>
  <c r="V36" i="14609"/>
  <c r="W36" i="14609"/>
  <c r="X36" i="14609"/>
  <c r="Y36" i="14609"/>
  <c r="Z36" i="14609"/>
  <c r="AA36" i="14609"/>
  <c r="AB36" i="14609"/>
  <c r="AC36" i="14609"/>
  <c r="AD36" i="14609"/>
  <c r="AE36" i="14609"/>
  <c r="AF36" i="14609"/>
  <c r="AG36" i="14609"/>
  <c r="AH36" i="14609"/>
  <c r="AI36" i="14609"/>
  <c r="AJ36" i="14609"/>
  <c r="AK36" i="14609"/>
  <c r="AL36" i="14609"/>
  <c r="AM36" i="14609"/>
  <c r="AN36" i="14609"/>
  <c r="AO36" i="14609"/>
  <c r="AP36" i="14609"/>
  <c r="AQ36" i="14609"/>
  <c r="AR36" i="14609"/>
  <c r="AS36" i="14609"/>
  <c r="AT36" i="14609"/>
  <c r="AU36" i="14609"/>
  <c r="AV36" i="14609"/>
  <c r="AW36" i="14609"/>
  <c r="AX36" i="14609"/>
  <c r="AY36" i="14609"/>
  <c r="AZ36" i="14609"/>
  <c r="BA36" i="14609"/>
  <c r="BB36" i="14609"/>
  <c r="BC36" i="14609"/>
  <c r="BD36" i="14609"/>
  <c r="BE36" i="14609"/>
  <c r="BF36" i="14609"/>
  <c r="BG36" i="14609"/>
  <c r="BH36" i="14609"/>
  <c r="BI36" i="14609"/>
  <c r="BJ36" i="14609"/>
  <c r="BK36" i="14609"/>
  <c r="BL36" i="14609"/>
  <c r="BM36" i="14609"/>
  <c r="BN36" i="14609"/>
  <c r="BO36" i="14609"/>
  <c r="BP36" i="14609"/>
  <c r="BQ36" i="14609"/>
  <c r="BR36" i="14609"/>
  <c r="BS36" i="14609"/>
  <c r="BT36" i="14609"/>
  <c r="BU36" i="14609"/>
  <c r="BV36" i="14609"/>
  <c r="BW36" i="14609"/>
  <c r="BX36" i="14609"/>
  <c r="BY36" i="14609"/>
  <c r="BZ36" i="14609"/>
  <c r="CA36" i="14609"/>
  <c r="CB36" i="14609"/>
  <c r="CC36" i="14609"/>
  <c r="CD36" i="14609"/>
  <c r="CE36" i="14609"/>
  <c r="CF36" i="14609"/>
  <c r="CG36" i="14609"/>
  <c r="CH36" i="14609"/>
  <c r="CI36" i="14609"/>
  <c r="CJ36" i="14609"/>
  <c r="CK36" i="14609"/>
  <c r="CL36" i="14609"/>
  <c r="CM36" i="14609"/>
  <c r="CN36" i="14609"/>
  <c r="CO36" i="14609"/>
  <c r="CP36" i="14609"/>
  <c r="CQ36" i="14609"/>
  <c r="CR36" i="14609"/>
  <c r="CS36" i="14609"/>
  <c r="CT36" i="14609"/>
  <c r="CU36" i="14609"/>
  <c r="CV36" i="14609"/>
  <c r="CW36" i="14609"/>
  <c r="CX36" i="14609"/>
  <c r="CY36" i="14609"/>
  <c r="CZ36" i="14609"/>
  <c r="DA36" i="14609"/>
  <c r="DB36" i="14609"/>
  <c r="DC36" i="14609"/>
  <c r="DD36" i="14609"/>
  <c r="DE36" i="14609"/>
  <c r="DF36" i="14609"/>
  <c r="DG36" i="14609"/>
  <c r="DH36" i="14609"/>
  <c r="DI36" i="14609"/>
  <c r="DJ36" i="14609"/>
  <c r="DK36" i="14609"/>
  <c r="DL36" i="14609"/>
  <c r="DM36" i="14609"/>
  <c r="DN36" i="14609"/>
  <c r="DO36" i="14609"/>
  <c r="DP36" i="14609"/>
  <c r="DQ36" i="14609"/>
  <c r="DR36" i="14609"/>
  <c r="DS36" i="14609"/>
  <c r="DT36" i="14609"/>
  <c r="DU36" i="14609"/>
  <c r="DV36" i="14609"/>
  <c r="DW36" i="14609"/>
  <c r="DX36" i="14609"/>
  <c r="DY36" i="14609"/>
  <c r="DZ36" i="14609"/>
  <c r="EA36" i="14609"/>
  <c r="EB36" i="14609"/>
  <c r="EC36" i="14609"/>
  <c r="ED36" i="14609"/>
  <c r="EE36" i="14609"/>
  <c r="EF36" i="14609"/>
  <c r="EG36" i="14609"/>
  <c r="EH36" i="14609"/>
  <c r="EI36" i="14609"/>
  <c r="EJ36" i="14609"/>
  <c r="EK36" i="14609"/>
  <c r="EL36" i="14609"/>
  <c r="EM36" i="14609"/>
  <c r="EN36" i="14609"/>
  <c r="EO36" i="14609"/>
  <c r="EP36" i="14609"/>
  <c r="EQ36" i="14609"/>
  <c r="ER36" i="14609"/>
  <c r="ES36" i="14609"/>
  <c r="ET36" i="14609"/>
  <c r="EU36" i="14609"/>
  <c r="EV36" i="14609"/>
  <c r="EW36" i="14609"/>
  <c r="EX36" i="14609"/>
  <c r="EY36" i="14609"/>
  <c r="EZ36" i="14609"/>
  <c r="FA36" i="14609"/>
  <c r="FB36" i="14609"/>
  <c r="FC36" i="14609"/>
  <c r="FD36" i="14609"/>
  <c r="FE36" i="14609"/>
  <c r="FF36" i="14609"/>
  <c r="FG36" i="14609"/>
  <c r="FH36" i="14609"/>
  <c r="FI36" i="14609"/>
  <c r="FJ36" i="14609"/>
  <c r="FK36" i="14609"/>
  <c r="FL36" i="14609"/>
  <c r="FM36" i="14609"/>
  <c r="FN36" i="14609"/>
  <c r="FO36" i="14609"/>
  <c r="FP36" i="14609"/>
  <c r="FQ36" i="14609"/>
  <c r="FR36" i="14609"/>
  <c r="FS36" i="14609"/>
  <c r="FT36" i="14609"/>
  <c r="FU36" i="14609"/>
  <c r="FV36" i="14609"/>
  <c r="FW36" i="14609"/>
  <c r="FX36" i="14609"/>
  <c r="FY36" i="14609"/>
  <c r="FZ36" i="14609"/>
  <c r="GA36" i="14609"/>
  <c r="GB36" i="14609"/>
  <c r="GC36" i="14609"/>
  <c r="GD36" i="14609"/>
  <c r="GE36" i="14609"/>
  <c r="GF36" i="14609"/>
  <c r="GG36" i="14609"/>
  <c r="GH36" i="14609"/>
  <c r="GI36" i="14609"/>
  <c r="GJ36" i="14609"/>
  <c r="GK36" i="14609"/>
  <c r="GL36" i="14609"/>
  <c r="GM36" i="14609"/>
  <c r="GN36" i="14609"/>
  <c r="GO36" i="14609"/>
  <c r="GP36" i="14609"/>
  <c r="GQ36" i="14609"/>
  <c r="GR36" i="14609"/>
  <c r="GS36" i="14609"/>
  <c r="GT36" i="14609"/>
  <c r="GU36" i="14609"/>
  <c r="GV36" i="14609"/>
  <c r="GW36" i="14609"/>
  <c r="GX36" i="14609"/>
  <c r="GY36" i="14609"/>
  <c r="GZ36" i="14609"/>
  <c r="HA36" i="14609"/>
  <c r="HB36" i="14609"/>
  <c r="HC36" i="14609"/>
  <c r="HD36" i="14609"/>
  <c r="HE36" i="14609"/>
  <c r="HF36" i="14609"/>
  <c r="HG36" i="14609"/>
  <c r="HH36" i="14609"/>
  <c r="HI36" i="14609"/>
  <c r="HJ36" i="14609"/>
  <c r="HK36" i="14609"/>
  <c r="HL36" i="14609"/>
  <c r="HM36" i="14609"/>
  <c r="HN36" i="14609"/>
  <c r="HO36" i="14609"/>
  <c r="HP36" i="14609"/>
  <c r="HQ36" i="14609"/>
  <c r="HR36" i="14609"/>
  <c r="HS36" i="14609"/>
  <c r="HT36" i="14609"/>
  <c r="HU36" i="14609"/>
  <c r="HV36" i="14609"/>
  <c r="HW36" i="14609"/>
  <c r="HX36" i="14609"/>
  <c r="HY36" i="14609"/>
  <c r="HZ36" i="14609"/>
  <c r="IA36" i="14609"/>
  <c r="IB36" i="14609"/>
  <c r="IC36" i="14609"/>
  <c r="ID36" i="14609"/>
  <c r="IE36" i="14609"/>
  <c r="IF36" i="14609"/>
  <c r="IG36" i="14609"/>
  <c r="IH36" i="14609"/>
  <c r="II36" i="14609"/>
  <c r="IJ36" i="14609"/>
  <c r="IK36" i="14609"/>
  <c r="IL36" i="14609"/>
  <c r="IM36" i="14609"/>
  <c r="IN36" i="14609"/>
  <c r="IO36" i="14609"/>
  <c r="IP36" i="14609"/>
  <c r="IQ36" i="14609"/>
  <c r="IR36" i="14609"/>
  <c r="IS36" i="14609"/>
  <c r="IT36" i="14609"/>
  <c r="IU36" i="14609"/>
  <c r="IV36" i="14609"/>
  <c r="A35" i="14609"/>
  <c r="B35" i="14609"/>
  <c r="C35" i="14609"/>
  <c r="D35" i="14609"/>
  <c r="E35" i="14609"/>
  <c r="F35" i="14609"/>
  <c r="G35" i="14609"/>
  <c r="H35" i="14609"/>
  <c r="I35" i="14609"/>
  <c r="J35" i="14609"/>
  <c r="K35" i="14609"/>
  <c r="L35" i="14609"/>
  <c r="M35" i="14609"/>
  <c r="N35" i="14609"/>
  <c r="O35" i="14609"/>
  <c r="P35" i="14609"/>
  <c r="Q35" i="14609"/>
  <c r="R35" i="14609"/>
  <c r="S35" i="14609"/>
  <c r="T35" i="14609"/>
  <c r="U35" i="14609"/>
  <c r="V35" i="14609"/>
  <c r="W35" i="14609"/>
  <c r="X35" i="14609"/>
  <c r="Y35" i="14609"/>
  <c r="Z35" i="14609"/>
  <c r="AA35" i="14609"/>
  <c r="AB35" i="14609"/>
  <c r="AC35" i="14609"/>
  <c r="AD35" i="14609"/>
  <c r="AE35" i="14609"/>
  <c r="AF35" i="14609"/>
  <c r="AG35" i="14609"/>
  <c r="AH35" i="14609"/>
  <c r="AI35" i="14609"/>
  <c r="AJ35" i="14609"/>
  <c r="AK35" i="14609"/>
  <c r="AL35" i="14609"/>
  <c r="AM35" i="14609"/>
  <c r="AN35" i="14609"/>
  <c r="AO35" i="14609"/>
  <c r="AP35" i="14609"/>
  <c r="AQ35" i="14609"/>
  <c r="AR35" i="14609"/>
  <c r="AS35" i="14609"/>
  <c r="AT35" i="14609"/>
  <c r="AU35" i="14609"/>
  <c r="AV35" i="14609"/>
  <c r="AW35" i="14609"/>
  <c r="AX35" i="14609"/>
  <c r="AY35" i="14609"/>
  <c r="AZ35" i="14609"/>
  <c r="BA35" i="14609"/>
  <c r="BB35" i="14609"/>
  <c r="BC35" i="14609"/>
  <c r="BD35" i="14609"/>
  <c r="BE35" i="14609"/>
  <c r="BF35" i="14609"/>
  <c r="BG35" i="14609"/>
  <c r="BH35" i="14609"/>
  <c r="BI35" i="14609"/>
  <c r="BJ35" i="14609"/>
  <c r="BK35" i="14609"/>
  <c r="BL35" i="14609"/>
  <c r="BM35" i="14609"/>
  <c r="BN35" i="14609"/>
  <c r="BO35" i="14609"/>
  <c r="BP35" i="14609"/>
  <c r="BQ35" i="14609"/>
  <c r="BR35" i="14609"/>
  <c r="BS35" i="14609"/>
  <c r="BT35" i="14609"/>
  <c r="BU35" i="14609"/>
  <c r="BV35" i="14609"/>
  <c r="BW35" i="14609"/>
  <c r="BX35" i="14609"/>
  <c r="BY35" i="14609"/>
  <c r="BZ35" i="14609"/>
  <c r="CA35" i="14609"/>
  <c r="CB35" i="14609"/>
  <c r="CC35" i="14609"/>
  <c r="CD35" i="14609"/>
  <c r="CE35" i="14609"/>
  <c r="CF35" i="14609"/>
  <c r="CG35" i="14609"/>
  <c r="CH35" i="14609"/>
  <c r="CI35" i="14609"/>
  <c r="CJ35" i="14609"/>
  <c r="CK35" i="14609"/>
  <c r="CL35" i="14609"/>
  <c r="CM35" i="14609"/>
  <c r="CN35" i="14609"/>
  <c r="CO35" i="14609"/>
  <c r="CP35" i="14609"/>
  <c r="CQ35" i="14609"/>
  <c r="CR35" i="14609"/>
  <c r="CS35" i="14609"/>
  <c r="CT35" i="14609"/>
  <c r="CU35" i="14609"/>
  <c r="CV35" i="14609"/>
  <c r="CW35" i="14609"/>
  <c r="CX35" i="14609"/>
  <c r="CY35" i="14609"/>
  <c r="CZ35" i="14609"/>
  <c r="DA35" i="14609"/>
  <c r="DB35" i="14609"/>
  <c r="DC35" i="14609"/>
  <c r="DD35" i="14609"/>
  <c r="DE35" i="14609"/>
  <c r="DF35" i="14609"/>
  <c r="DG35" i="14609"/>
  <c r="DH35" i="14609"/>
  <c r="DI35" i="14609"/>
  <c r="DJ35" i="14609"/>
  <c r="DK35" i="14609"/>
  <c r="DL35" i="14609"/>
  <c r="DM35" i="14609"/>
  <c r="DN35" i="14609"/>
  <c r="DO35" i="14609"/>
  <c r="DP35" i="14609"/>
  <c r="DQ35" i="14609"/>
  <c r="DR35" i="14609"/>
  <c r="DS35" i="14609"/>
  <c r="DT35" i="14609"/>
  <c r="DU35" i="14609"/>
  <c r="DV35" i="14609"/>
  <c r="DW35" i="14609"/>
  <c r="DX35" i="14609"/>
  <c r="DY35" i="14609"/>
  <c r="DZ35" i="14609"/>
  <c r="EA35" i="14609"/>
  <c r="EB35" i="14609"/>
  <c r="EC35" i="14609"/>
  <c r="ED35" i="14609"/>
  <c r="EE35" i="14609"/>
  <c r="EF35" i="14609"/>
  <c r="EG35" i="14609"/>
  <c r="EH35" i="14609"/>
  <c r="EI35" i="14609"/>
  <c r="EJ35" i="14609"/>
  <c r="EK35" i="14609"/>
  <c r="EL35" i="14609"/>
  <c r="EM35" i="14609"/>
  <c r="EN35" i="14609"/>
  <c r="EO35" i="14609"/>
  <c r="EP35" i="14609"/>
  <c r="EQ35" i="14609"/>
  <c r="ER35" i="14609"/>
  <c r="ES35" i="14609"/>
  <c r="ET35" i="14609"/>
  <c r="EU35" i="14609"/>
  <c r="EV35" i="14609"/>
  <c r="EW35" i="14609"/>
  <c r="EX35" i="14609"/>
  <c r="EY35" i="14609"/>
  <c r="EZ35" i="14609"/>
  <c r="FA35" i="14609"/>
  <c r="FB35" i="14609"/>
  <c r="FC35" i="14609"/>
  <c r="FD35" i="14609"/>
  <c r="FE35" i="14609"/>
  <c r="FF35" i="14609"/>
  <c r="FG35" i="14609"/>
  <c r="FH35" i="14609"/>
  <c r="FI35" i="14609"/>
  <c r="FJ35" i="14609"/>
  <c r="FK35" i="14609"/>
  <c r="FL35" i="14609"/>
  <c r="FM35" i="14609"/>
  <c r="FN35" i="14609"/>
  <c r="FO35" i="14609"/>
  <c r="FP35" i="14609"/>
  <c r="FQ35" i="14609"/>
  <c r="FR35" i="14609"/>
  <c r="FS35" i="14609"/>
  <c r="FT35" i="14609"/>
  <c r="FU35" i="14609"/>
  <c r="FV35" i="14609"/>
  <c r="FW35" i="14609"/>
  <c r="FX35" i="14609"/>
  <c r="FY35" i="14609"/>
  <c r="FZ35" i="14609"/>
  <c r="GA35" i="14609"/>
  <c r="GB35" i="14609"/>
  <c r="GC35" i="14609"/>
  <c r="GD35" i="14609"/>
  <c r="GE35" i="14609"/>
  <c r="GF35" i="14609"/>
  <c r="GG35" i="14609"/>
  <c r="GH35" i="14609"/>
  <c r="GI35" i="14609"/>
  <c r="GJ35" i="14609"/>
  <c r="GK35" i="14609"/>
  <c r="GL35" i="14609"/>
  <c r="GM35" i="14609"/>
  <c r="GN35" i="14609"/>
  <c r="GO35" i="14609"/>
  <c r="GP35" i="14609"/>
  <c r="GQ35" i="14609"/>
  <c r="GR35" i="14609"/>
  <c r="GS35" i="14609"/>
  <c r="GT35" i="14609"/>
  <c r="GU35" i="14609"/>
  <c r="GV35" i="14609"/>
  <c r="GW35" i="14609"/>
  <c r="GX35" i="14609"/>
  <c r="GY35" i="14609"/>
  <c r="GZ35" i="14609"/>
  <c r="HA35" i="14609"/>
  <c r="HB35" i="14609"/>
  <c r="HC35" i="14609"/>
  <c r="HD35" i="14609"/>
  <c r="HE35" i="14609"/>
  <c r="HF35" i="14609"/>
  <c r="HG35" i="14609"/>
  <c r="HH35" i="14609"/>
  <c r="HI35" i="14609"/>
  <c r="HJ35" i="14609"/>
  <c r="HK35" i="14609"/>
  <c r="HL35" i="14609"/>
  <c r="HM35" i="14609"/>
  <c r="HN35" i="14609"/>
  <c r="HO35" i="14609"/>
  <c r="HP35" i="14609"/>
  <c r="HQ35" i="14609"/>
  <c r="HR35" i="14609"/>
  <c r="HS35" i="14609"/>
  <c r="HT35" i="14609"/>
  <c r="HU35" i="14609"/>
  <c r="HV35" i="14609"/>
  <c r="HW35" i="14609"/>
  <c r="HX35" i="14609"/>
  <c r="HY35" i="14609"/>
  <c r="HZ35" i="14609"/>
  <c r="IA35" i="14609"/>
  <c r="IB35" i="14609"/>
  <c r="IC35" i="14609"/>
  <c r="ID35" i="14609"/>
  <c r="IE35" i="14609"/>
  <c r="IF35" i="14609"/>
  <c r="IG35" i="14609"/>
  <c r="IH35" i="14609"/>
  <c r="II35" i="14609"/>
  <c r="IJ35" i="14609"/>
  <c r="IK35" i="14609"/>
  <c r="IL35" i="14609"/>
  <c r="IM35" i="14609"/>
  <c r="IN35" i="14609"/>
  <c r="IO35" i="14609"/>
  <c r="IP35" i="14609"/>
  <c r="IQ35" i="14609"/>
  <c r="IR35" i="14609"/>
  <c r="IS35" i="14609"/>
  <c r="IT35" i="14609"/>
  <c r="IU35" i="14609"/>
  <c r="IV35" i="14609"/>
  <c r="A34" i="14609"/>
  <c r="B34" i="14609"/>
  <c r="C34" i="14609"/>
  <c r="D34" i="14609"/>
  <c r="E34" i="14609"/>
  <c r="F34" i="14609"/>
  <c r="G34" i="14609"/>
  <c r="H34" i="14609"/>
  <c r="I34" i="14609"/>
  <c r="J34" i="14609"/>
  <c r="K34" i="14609"/>
  <c r="L34" i="14609"/>
  <c r="M34" i="14609"/>
  <c r="N34" i="14609"/>
  <c r="O34" i="14609"/>
  <c r="P34" i="14609"/>
  <c r="Q34" i="14609"/>
  <c r="R34" i="14609"/>
  <c r="S34" i="14609"/>
  <c r="T34" i="14609"/>
  <c r="U34" i="14609"/>
  <c r="V34" i="14609"/>
  <c r="W34" i="14609"/>
  <c r="X34" i="14609"/>
  <c r="Y34" i="14609"/>
  <c r="Z34" i="14609"/>
  <c r="AA34" i="14609"/>
  <c r="AB34" i="14609"/>
  <c r="AC34" i="14609"/>
  <c r="AD34" i="14609"/>
  <c r="AE34" i="14609"/>
  <c r="AF34" i="14609"/>
  <c r="AG34" i="14609"/>
  <c r="AH34" i="14609"/>
  <c r="AI34" i="14609"/>
  <c r="AJ34" i="14609"/>
  <c r="AK34" i="14609"/>
  <c r="AL34" i="14609"/>
  <c r="AM34" i="14609"/>
  <c r="AN34" i="14609"/>
  <c r="AO34" i="14609"/>
  <c r="AP34" i="14609"/>
  <c r="AQ34" i="14609"/>
  <c r="AR34" i="14609"/>
  <c r="AS34" i="14609"/>
  <c r="AT34" i="14609"/>
  <c r="AU34" i="14609"/>
  <c r="AV34" i="14609"/>
  <c r="AW34" i="14609"/>
  <c r="AX34" i="14609"/>
  <c r="AY34" i="14609"/>
  <c r="AZ34" i="14609"/>
  <c r="BA34" i="14609"/>
  <c r="BB34" i="14609"/>
  <c r="BC34" i="14609"/>
  <c r="BD34" i="14609"/>
  <c r="BE34" i="14609"/>
  <c r="BF34" i="14609"/>
  <c r="BG34" i="14609"/>
  <c r="BH34" i="14609"/>
  <c r="BI34" i="14609"/>
  <c r="BJ34" i="14609"/>
  <c r="BK34" i="14609"/>
  <c r="BL34" i="14609"/>
  <c r="BM34" i="14609"/>
  <c r="BN34" i="14609"/>
  <c r="BO34" i="14609"/>
  <c r="BP34" i="14609"/>
  <c r="BQ34" i="14609"/>
  <c r="BR34" i="14609"/>
  <c r="BS34" i="14609"/>
  <c r="BT34" i="14609"/>
  <c r="BU34" i="14609"/>
  <c r="BV34" i="14609"/>
  <c r="BW34" i="14609"/>
  <c r="BX34" i="14609"/>
  <c r="BY34" i="14609"/>
  <c r="BZ34" i="14609"/>
  <c r="CA34" i="14609"/>
  <c r="CB34" i="14609"/>
  <c r="CC34" i="14609"/>
  <c r="CD34" i="14609"/>
  <c r="CE34" i="14609"/>
  <c r="CF34" i="14609"/>
  <c r="CG34" i="14609"/>
  <c r="CH34" i="14609"/>
  <c r="CI34" i="14609"/>
  <c r="CJ34" i="14609"/>
  <c r="CK34" i="14609"/>
  <c r="CL34" i="14609"/>
  <c r="CM34" i="14609"/>
  <c r="CN34" i="14609"/>
  <c r="CO34" i="14609"/>
  <c r="CP34" i="14609"/>
  <c r="CQ34" i="14609"/>
  <c r="CR34" i="14609"/>
  <c r="CS34" i="14609"/>
  <c r="CT34" i="14609"/>
  <c r="CU34" i="14609"/>
  <c r="CV34" i="14609"/>
  <c r="CW34" i="14609"/>
  <c r="CX34" i="14609"/>
  <c r="CY34" i="14609"/>
  <c r="CZ34" i="14609"/>
  <c r="DA34" i="14609"/>
  <c r="DB34" i="14609"/>
  <c r="DC34" i="14609"/>
  <c r="DD34" i="14609"/>
  <c r="DE34" i="14609"/>
  <c r="DF34" i="14609"/>
  <c r="DG34" i="14609"/>
  <c r="DH34" i="14609"/>
  <c r="DI34" i="14609"/>
  <c r="DJ34" i="14609"/>
  <c r="DK34" i="14609"/>
  <c r="DL34" i="14609"/>
  <c r="DM34" i="14609"/>
  <c r="DN34" i="14609"/>
  <c r="DO34" i="14609"/>
  <c r="DP34" i="14609"/>
  <c r="DQ34" i="14609"/>
  <c r="DR34" i="14609"/>
  <c r="DS34" i="14609"/>
  <c r="DT34" i="14609"/>
  <c r="DU34" i="14609"/>
  <c r="DV34" i="14609"/>
  <c r="DW34" i="14609"/>
  <c r="DX34" i="14609"/>
  <c r="DY34" i="14609"/>
  <c r="DZ34" i="14609"/>
  <c r="EA34" i="14609"/>
  <c r="EB34" i="14609"/>
  <c r="EC34" i="14609"/>
  <c r="ED34" i="14609"/>
  <c r="EE34" i="14609"/>
  <c r="EF34" i="14609"/>
  <c r="EG34" i="14609"/>
  <c r="EH34" i="14609"/>
  <c r="EI34" i="14609"/>
  <c r="EJ34" i="14609"/>
  <c r="EK34" i="14609"/>
  <c r="EL34" i="14609"/>
  <c r="EM34" i="14609"/>
  <c r="EN34" i="14609"/>
  <c r="EO34" i="14609"/>
  <c r="EP34" i="14609"/>
  <c r="EQ34" i="14609"/>
  <c r="ER34" i="14609"/>
  <c r="ES34" i="14609"/>
  <c r="ET34" i="14609"/>
  <c r="EU34" i="14609"/>
  <c r="EV34" i="14609"/>
  <c r="EW34" i="14609"/>
  <c r="EX34" i="14609"/>
  <c r="EY34" i="14609"/>
  <c r="EZ34" i="14609"/>
  <c r="FA34" i="14609"/>
  <c r="FB34" i="14609"/>
  <c r="FC34" i="14609"/>
  <c r="FD34" i="14609"/>
  <c r="FE34" i="14609"/>
  <c r="FF34" i="14609"/>
  <c r="FG34" i="14609"/>
  <c r="FH34" i="14609"/>
  <c r="FI34" i="14609"/>
  <c r="FJ34" i="14609"/>
  <c r="FK34" i="14609"/>
  <c r="FL34" i="14609"/>
  <c r="FM34" i="14609"/>
  <c r="FN34" i="14609"/>
  <c r="FO34" i="14609"/>
  <c r="FP34" i="14609"/>
  <c r="FQ34" i="14609"/>
  <c r="FR34" i="14609"/>
  <c r="FS34" i="14609"/>
  <c r="FT34" i="14609"/>
  <c r="FU34" i="14609"/>
  <c r="FV34" i="14609"/>
  <c r="FW34" i="14609"/>
  <c r="FX34" i="14609"/>
  <c r="FY34" i="14609"/>
  <c r="FZ34" i="14609"/>
  <c r="GA34" i="14609"/>
  <c r="GB34" i="14609"/>
  <c r="GC34" i="14609"/>
  <c r="GD34" i="14609"/>
  <c r="GE34" i="14609"/>
  <c r="GF34" i="14609"/>
  <c r="GG34" i="14609"/>
  <c r="GH34" i="14609"/>
  <c r="GI34" i="14609"/>
  <c r="GJ34" i="14609"/>
  <c r="GK34" i="14609"/>
  <c r="GL34" i="14609"/>
  <c r="GM34" i="14609"/>
  <c r="GN34" i="14609"/>
  <c r="GO34" i="14609"/>
  <c r="GP34" i="14609"/>
  <c r="GQ34" i="14609"/>
  <c r="GR34" i="14609"/>
  <c r="GS34" i="14609"/>
  <c r="GT34" i="14609"/>
  <c r="GU34" i="14609"/>
  <c r="GV34" i="14609"/>
  <c r="GW34" i="14609"/>
  <c r="GX34" i="14609"/>
  <c r="GY34" i="14609"/>
  <c r="GZ34" i="14609"/>
  <c r="HA34" i="14609"/>
  <c r="HB34" i="14609"/>
  <c r="HC34" i="14609"/>
  <c r="HD34" i="14609"/>
  <c r="HE34" i="14609"/>
  <c r="HF34" i="14609"/>
  <c r="HG34" i="14609"/>
  <c r="HH34" i="14609"/>
  <c r="HI34" i="14609"/>
  <c r="HJ34" i="14609"/>
  <c r="HK34" i="14609"/>
  <c r="HL34" i="14609"/>
  <c r="HM34" i="14609"/>
  <c r="HN34" i="14609"/>
  <c r="HO34" i="14609"/>
  <c r="HP34" i="14609"/>
  <c r="HQ34" i="14609"/>
  <c r="HR34" i="14609"/>
  <c r="HS34" i="14609"/>
  <c r="HT34" i="14609"/>
  <c r="HU34" i="14609"/>
  <c r="HV34" i="14609"/>
  <c r="HW34" i="14609"/>
  <c r="HX34" i="14609"/>
  <c r="HY34" i="14609"/>
  <c r="HZ34" i="14609"/>
  <c r="IA34" i="14609"/>
  <c r="IB34" i="14609"/>
  <c r="IC34" i="14609"/>
  <c r="ID34" i="14609"/>
  <c r="IE34" i="14609"/>
  <c r="IF34" i="14609"/>
  <c r="IG34" i="14609"/>
  <c r="IH34" i="14609"/>
  <c r="II34" i="14609"/>
  <c r="IJ34" i="14609"/>
  <c r="IK34" i="14609"/>
  <c r="IL34" i="14609"/>
  <c r="IM34" i="14609"/>
  <c r="IN34" i="14609"/>
  <c r="IO34" i="14609"/>
  <c r="IP34" i="14609"/>
  <c r="IQ34" i="14609"/>
  <c r="IR34" i="14609"/>
  <c r="IS34" i="14609"/>
  <c r="IT34" i="14609"/>
  <c r="IU34" i="14609"/>
  <c r="IV34" i="14609"/>
  <c r="A33" i="14609"/>
  <c r="B33" i="14609"/>
  <c r="C33" i="14609"/>
  <c r="D33" i="14609"/>
  <c r="E33" i="14609"/>
  <c r="F33" i="14609"/>
  <c r="G33" i="14609"/>
  <c r="H33" i="14609"/>
  <c r="I33" i="14609"/>
  <c r="J33" i="14609"/>
  <c r="K33" i="14609"/>
  <c r="L33" i="14609"/>
  <c r="M33" i="14609"/>
  <c r="N33" i="14609"/>
  <c r="O33" i="14609"/>
  <c r="P33" i="14609"/>
  <c r="Q33" i="14609"/>
  <c r="R33" i="14609"/>
  <c r="S33" i="14609"/>
  <c r="T33" i="14609"/>
  <c r="U33" i="14609"/>
  <c r="V33" i="14609"/>
  <c r="W33" i="14609"/>
  <c r="X33" i="14609"/>
  <c r="Y33" i="14609"/>
  <c r="Z33" i="14609"/>
  <c r="AA33" i="14609"/>
  <c r="AB33" i="14609"/>
  <c r="AC33" i="14609"/>
  <c r="AD33" i="14609"/>
  <c r="AE33" i="14609"/>
  <c r="AF33" i="14609"/>
  <c r="AG33" i="14609"/>
  <c r="AH33" i="14609"/>
  <c r="AI33" i="14609"/>
  <c r="AJ33" i="14609"/>
  <c r="AK33" i="14609"/>
  <c r="AL33" i="14609"/>
  <c r="AM33" i="14609"/>
  <c r="AN33" i="14609"/>
  <c r="AO33" i="14609"/>
  <c r="AP33" i="14609"/>
  <c r="AQ33" i="14609"/>
  <c r="AR33" i="14609"/>
  <c r="AS33" i="14609"/>
  <c r="AT33" i="14609"/>
  <c r="AU33" i="14609"/>
  <c r="AV33" i="14609"/>
  <c r="AW33" i="14609"/>
  <c r="AX33" i="14609"/>
  <c r="AY33" i="14609"/>
  <c r="AZ33" i="14609"/>
  <c r="BA33" i="14609"/>
  <c r="BB33" i="14609"/>
  <c r="BC33" i="14609"/>
  <c r="BD33" i="14609"/>
  <c r="BE33" i="14609"/>
  <c r="BF33" i="14609"/>
  <c r="BG33" i="14609"/>
  <c r="BH33" i="14609"/>
  <c r="BI33" i="14609"/>
  <c r="BJ33" i="14609"/>
  <c r="BK33" i="14609"/>
  <c r="BL33" i="14609"/>
  <c r="BM33" i="14609"/>
  <c r="BN33" i="14609"/>
  <c r="BO33" i="14609"/>
  <c r="BP33" i="14609"/>
  <c r="BQ33" i="14609"/>
  <c r="BR33" i="14609"/>
  <c r="BS33" i="14609"/>
  <c r="BT33" i="14609"/>
  <c r="BU33" i="14609"/>
  <c r="BV33" i="14609"/>
  <c r="BW33" i="14609"/>
  <c r="BX33" i="14609"/>
  <c r="BY33" i="14609"/>
  <c r="BZ33" i="14609"/>
  <c r="CA33" i="14609"/>
  <c r="CB33" i="14609"/>
  <c r="CC33" i="14609"/>
  <c r="CD33" i="14609"/>
  <c r="CE33" i="14609"/>
  <c r="CF33" i="14609"/>
  <c r="CG33" i="14609"/>
  <c r="CH33" i="14609"/>
  <c r="CI33" i="14609"/>
  <c r="CJ33" i="14609"/>
  <c r="CK33" i="14609"/>
  <c r="CL33" i="14609"/>
  <c r="CM33" i="14609"/>
  <c r="CN33" i="14609"/>
  <c r="CO33" i="14609"/>
  <c r="CP33" i="14609"/>
  <c r="CQ33" i="14609"/>
  <c r="CR33" i="14609"/>
  <c r="CS33" i="14609"/>
  <c r="CT33" i="14609"/>
  <c r="CU33" i="14609"/>
  <c r="CV33" i="14609"/>
  <c r="CW33" i="14609"/>
  <c r="CX33" i="14609"/>
  <c r="CY33" i="14609"/>
  <c r="CZ33" i="14609"/>
  <c r="DA33" i="14609"/>
  <c r="DB33" i="14609"/>
  <c r="DC33" i="14609"/>
  <c r="DD33" i="14609"/>
  <c r="DE33" i="14609"/>
  <c r="DF33" i="14609"/>
  <c r="DG33" i="14609"/>
  <c r="DH33" i="14609"/>
  <c r="DI33" i="14609"/>
  <c r="DJ33" i="14609"/>
  <c r="DK33" i="14609"/>
  <c r="DL33" i="14609"/>
  <c r="DM33" i="14609"/>
  <c r="DN33" i="14609"/>
  <c r="DO33" i="14609"/>
  <c r="DP33" i="14609"/>
  <c r="DQ33" i="14609"/>
  <c r="DR33" i="14609"/>
  <c r="DS33" i="14609"/>
  <c r="DT33" i="14609"/>
  <c r="DU33" i="14609"/>
  <c r="DV33" i="14609"/>
  <c r="DW33" i="14609"/>
  <c r="DX33" i="14609"/>
  <c r="DY33" i="14609"/>
  <c r="DZ33" i="14609"/>
  <c r="EA33" i="14609"/>
  <c r="EB33" i="14609"/>
  <c r="EC33" i="14609"/>
  <c r="ED33" i="14609"/>
  <c r="EE33" i="14609"/>
  <c r="EF33" i="14609"/>
  <c r="EG33" i="14609"/>
  <c r="EH33" i="14609"/>
  <c r="EI33" i="14609"/>
  <c r="EJ33" i="14609"/>
  <c r="EK33" i="14609"/>
  <c r="EL33" i="14609"/>
  <c r="EM33" i="14609"/>
  <c r="EN33" i="14609"/>
  <c r="EO33" i="14609"/>
  <c r="EP33" i="14609"/>
  <c r="EQ33" i="14609"/>
  <c r="ER33" i="14609"/>
  <c r="ES33" i="14609"/>
  <c r="ET33" i="14609"/>
  <c r="EU33" i="14609"/>
  <c r="EV33" i="14609"/>
  <c r="EW33" i="14609"/>
  <c r="EX33" i="14609"/>
  <c r="EY33" i="14609"/>
  <c r="EZ33" i="14609"/>
  <c r="FA33" i="14609"/>
  <c r="FB33" i="14609"/>
  <c r="FC33" i="14609"/>
  <c r="FD33" i="14609"/>
  <c r="FE33" i="14609"/>
  <c r="FF33" i="14609"/>
  <c r="FG33" i="14609"/>
  <c r="FH33" i="14609"/>
  <c r="FI33" i="14609"/>
  <c r="FJ33" i="14609"/>
  <c r="FK33" i="14609"/>
  <c r="FL33" i="14609"/>
  <c r="FM33" i="14609"/>
  <c r="FN33" i="14609"/>
  <c r="FO33" i="14609"/>
  <c r="FP33" i="14609"/>
  <c r="FQ33" i="14609"/>
  <c r="FR33" i="14609"/>
  <c r="FS33" i="14609"/>
  <c r="FT33" i="14609"/>
  <c r="FU33" i="14609"/>
  <c r="FV33" i="14609"/>
  <c r="FW33" i="14609"/>
  <c r="FX33" i="14609"/>
  <c r="FY33" i="14609"/>
  <c r="FZ33" i="14609"/>
  <c r="GA33" i="14609"/>
  <c r="GB33" i="14609"/>
  <c r="GC33" i="14609"/>
  <c r="GD33" i="14609"/>
  <c r="GE33" i="14609"/>
  <c r="GF33" i="14609"/>
  <c r="GG33" i="14609"/>
  <c r="GH33" i="14609"/>
  <c r="GI33" i="14609"/>
  <c r="GJ33" i="14609"/>
  <c r="GK33" i="14609"/>
  <c r="GL33" i="14609"/>
  <c r="GM33" i="14609"/>
  <c r="GN33" i="14609"/>
  <c r="GO33" i="14609"/>
  <c r="GP33" i="14609"/>
  <c r="GQ33" i="14609"/>
  <c r="GR33" i="14609"/>
  <c r="GS33" i="14609"/>
  <c r="GT33" i="14609"/>
  <c r="GU33" i="14609"/>
  <c r="GV33" i="14609"/>
  <c r="GW33" i="14609"/>
  <c r="GX33" i="14609"/>
  <c r="GY33" i="14609"/>
  <c r="GZ33" i="14609"/>
  <c r="HA33" i="14609"/>
  <c r="HB33" i="14609"/>
  <c r="HC33" i="14609"/>
  <c r="HD33" i="14609"/>
  <c r="HE33" i="14609"/>
  <c r="HF33" i="14609"/>
  <c r="HG33" i="14609"/>
  <c r="HH33" i="14609"/>
  <c r="HI33" i="14609"/>
  <c r="HJ33" i="14609"/>
  <c r="HK33" i="14609"/>
  <c r="HL33" i="14609"/>
  <c r="HM33" i="14609"/>
  <c r="HN33" i="14609"/>
  <c r="HO33" i="14609"/>
  <c r="HP33" i="14609"/>
  <c r="HQ33" i="14609"/>
  <c r="HR33" i="14609"/>
  <c r="HS33" i="14609"/>
  <c r="HT33" i="14609"/>
  <c r="HU33" i="14609"/>
  <c r="HV33" i="14609"/>
  <c r="HW33" i="14609"/>
  <c r="HX33" i="14609"/>
  <c r="HY33" i="14609"/>
  <c r="HZ33" i="14609"/>
  <c r="IA33" i="14609"/>
  <c r="IB33" i="14609"/>
  <c r="IC33" i="14609"/>
  <c r="ID33" i="14609"/>
  <c r="IE33" i="14609"/>
  <c r="IF33" i="14609"/>
  <c r="IG33" i="14609"/>
  <c r="IH33" i="14609"/>
  <c r="II33" i="14609"/>
  <c r="IJ33" i="14609"/>
  <c r="IK33" i="14609"/>
  <c r="IL33" i="14609"/>
  <c r="IM33" i="14609"/>
  <c r="IN33" i="14609"/>
  <c r="IO33" i="14609"/>
  <c r="IP33" i="14609"/>
  <c r="IQ33" i="14609"/>
  <c r="IR33" i="14609"/>
  <c r="IS33" i="14609"/>
  <c r="IT33" i="14609"/>
  <c r="IU33" i="14609"/>
  <c r="IV33" i="14609"/>
  <c r="A32" i="14609"/>
  <c r="B32" i="14609"/>
  <c r="C32" i="14609"/>
  <c r="D32" i="14609"/>
  <c r="E32" i="14609"/>
  <c r="F32" i="14609"/>
  <c r="G32" i="14609"/>
  <c r="H32" i="14609"/>
  <c r="I32" i="14609"/>
  <c r="J32" i="14609"/>
  <c r="K32" i="14609"/>
  <c r="L32" i="14609"/>
  <c r="M32" i="14609"/>
  <c r="N32" i="14609"/>
  <c r="O32" i="14609"/>
  <c r="P32" i="14609"/>
  <c r="Q32" i="14609"/>
  <c r="R32" i="14609"/>
  <c r="S32" i="14609"/>
  <c r="T32" i="14609"/>
  <c r="U32" i="14609"/>
  <c r="V32" i="14609"/>
  <c r="W32" i="14609"/>
  <c r="X32" i="14609"/>
  <c r="Y32" i="14609"/>
  <c r="Z32" i="14609"/>
  <c r="AA32" i="14609"/>
  <c r="AB32" i="14609"/>
  <c r="AC32" i="14609"/>
  <c r="AD32" i="14609"/>
  <c r="AE32" i="14609"/>
  <c r="AF32" i="14609"/>
  <c r="AG32" i="14609"/>
  <c r="AH32" i="14609"/>
  <c r="AI32" i="14609"/>
  <c r="AJ32" i="14609"/>
  <c r="AK32" i="14609"/>
  <c r="AL32" i="14609"/>
  <c r="AM32" i="14609"/>
  <c r="AN32" i="14609"/>
  <c r="AO32" i="14609"/>
  <c r="AP32" i="14609"/>
  <c r="AQ32" i="14609"/>
  <c r="AR32" i="14609"/>
  <c r="AS32" i="14609"/>
  <c r="AT32" i="14609"/>
  <c r="AU32" i="14609"/>
  <c r="AV32" i="14609"/>
  <c r="AW32" i="14609"/>
  <c r="AX32" i="14609"/>
  <c r="AY32" i="14609"/>
  <c r="AZ32" i="14609"/>
  <c r="BA32" i="14609"/>
  <c r="BB32" i="14609"/>
  <c r="BC32" i="14609"/>
  <c r="BD32" i="14609"/>
  <c r="BE32" i="14609"/>
  <c r="BF32" i="14609"/>
  <c r="BG32" i="14609"/>
  <c r="BH32" i="14609"/>
  <c r="BI32" i="14609"/>
  <c r="BJ32" i="14609"/>
  <c r="BK32" i="14609"/>
  <c r="BL32" i="14609"/>
  <c r="BM32" i="14609"/>
  <c r="BN32" i="14609"/>
  <c r="BO32" i="14609"/>
  <c r="BP32" i="14609"/>
  <c r="BQ32" i="14609"/>
  <c r="BR32" i="14609"/>
  <c r="BS32" i="14609"/>
  <c r="BT32" i="14609"/>
  <c r="BU32" i="14609"/>
  <c r="BV32" i="14609"/>
  <c r="BW32" i="14609"/>
  <c r="BX32" i="14609"/>
  <c r="BY32" i="14609"/>
  <c r="BZ32" i="14609"/>
  <c r="CA32" i="14609"/>
  <c r="CB32" i="14609"/>
  <c r="CC32" i="14609"/>
  <c r="CD32" i="14609"/>
  <c r="CE32" i="14609"/>
  <c r="CF32" i="14609"/>
  <c r="CG32" i="14609"/>
  <c r="CH32" i="14609"/>
  <c r="CI32" i="14609"/>
  <c r="CJ32" i="14609"/>
  <c r="CK32" i="14609"/>
  <c r="CL32" i="14609"/>
  <c r="CM32" i="14609"/>
  <c r="CN32" i="14609"/>
  <c r="CO32" i="14609"/>
  <c r="CP32" i="14609"/>
  <c r="CQ32" i="14609"/>
  <c r="CR32" i="14609"/>
  <c r="CS32" i="14609"/>
  <c r="CT32" i="14609"/>
  <c r="CU32" i="14609"/>
  <c r="CV32" i="14609"/>
  <c r="CW32" i="14609"/>
  <c r="CX32" i="14609"/>
  <c r="CY32" i="14609"/>
  <c r="CZ32" i="14609"/>
  <c r="DA32" i="14609"/>
  <c r="DB32" i="14609"/>
  <c r="DC32" i="14609"/>
  <c r="DD32" i="14609"/>
  <c r="DE32" i="14609"/>
  <c r="DF32" i="14609"/>
  <c r="DG32" i="14609"/>
  <c r="DH32" i="14609"/>
  <c r="DI32" i="14609"/>
  <c r="DJ32" i="14609"/>
  <c r="DK32" i="14609"/>
  <c r="DL32" i="14609"/>
  <c r="DM32" i="14609"/>
  <c r="DN32" i="14609"/>
  <c r="DO32" i="14609"/>
  <c r="DP32" i="14609"/>
  <c r="DQ32" i="14609"/>
  <c r="DR32" i="14609"/>
  <c r="DS32" i="14609"/>
  <c r="DT32" i="14609"/>
  <c r="DU32" i="14609"/>
  <c r="DV32" i="14609"/>
  <c r="DW32" i="14609"/>
  <c r="DX32" i="14609"/>
  <c r="DY32" i="14609"/>
  <c r="DZ32" i="14609"/>
  <c r="EA32" i="14609"/>
  <c r="EB32" i="14609"/>
  <c r="EC32" i="14609"/>
  <c r="ED32" i="14609"/>
  <c r="EE32" i="14609"/>
  <c r="EF32" i="14609"/>
  <c r="EG32" i="14609"/>
  <c r="EH32" i="14609"/>
  <c r="EI32" i="14609"/>
  <c r="EJ32" i="14609"/>
  <c r="EK32" i="14609"/>
  <c r="EL32" i="14609"/>
  <c r="EM32" i="14609"/>
  <c r="EN32" i="14609"/>
  <c r="EO32" i="14609"/>
  <c r="EP32" i="14609"/>
  <c r="EQ32" i="14609"/>
  <c r="ER32" i="14609"/>
  <c r="ES32" i="14609"/>
  <c r="ET32" i="14609"/>
  <c r="EU32" i="14609"/>
  <c r="EV32" i="14609"/>
  <c r="EW32" i="14609"/>
  <c r="EX32" i="14609"/>
  <c r="EY32" i="14609"/>
  <c r="EZ32" i="14609"/>
  <c r="FA32" i="14609"/>
  <c r="FB32" i="14609"/>
  <c r="FC32" i="14609"/>
  <c r="FD32" i="14609"/>
  <c r="FE32" i="14609"/>
  <c r="FF32" i="14609"/>
  <c r="FG32" i="14609"/>
  <c r="FH32" i="14609"/>
  <c r="FI32" i="14609"/>
  <c r="FJ32" i="14609"/>
  <c r="FK32" i="14609"/>
  <c r="FL32" i="14609"/>
  <c r="FM32" i="14609"/>
  <c r="FN32" i="14609"/>
  <c r="FO32" i="14609"/>
  <c r="FP32" i="14609"/>
  <c r="FQ32" i="14609"/>
  <c r="FR32" i="14609"/>
  <c r="FS32" i="14609"/>
  <c r="FT32" i="14609"/>
  <c r="FU32" i="14609"/>
  <c r="FV32" i="14609"/>
  <c r="FW32" i="14609"/>
  <c r="FX32" i="14609"/>
  <c r="FY32" i="14609"/>
  <c r="FZ32" i="14609"/>
  <c r="GA32" i="14609"/>
  <c r="GB32" i="14609"/>
  <c r="GC32" i="14609"/>
  <c r="GD32" i="14609"/>
  <c r="GE32" i="14609"/>
  <c r="GF32" i="14609"/>
  <c r="GG32" i="14609"/>
  <c r="GH32" i="14609"/>
  <c r="GI32" i="14609"/>
  <c r="GJ32" i="14609"/>
  <c r="GK32" i="14609"/>
  <c r="GL32" i="14609"/>
  <c r="GM32" i="14609"/>
  <c r="GN32" i="14609"/>
  <c r="GO32" i="14609"/>
  <c r="GP32" i="14609"/>
  <c r="GQ32" i="14609"/>
  <c r="GR32" i="14609"/>
  <c r="GS32" i="14609"/>
  <c r="GT32" i="14609"/>
  <c r="GU32" i="14609"/>
  <c r="GV32" i="14609"/>
  <c r="GW32" i="14609"/>
  <c r="GX32" i="14609"/>
  <c r="GY32" i="14609"/>
  <c r="GZ32" i="14609"/>
  <c r="HA32" i="14609"/>
  <c r="HB32" i="14609"/>
  <c r="HC32" i="14609"/>
  <c r="HD32" i="14609"/>
  <c r="HE32" i="14609"/>
  <c r="HF32" i="14609"/>
  <c r="HG32" i="14609"/>
  <c r="HH32" i="14609"/>
  <c r="HI32" i="14609"/>
  <c r="HJ32" i="14609"/>
  <c r="HK32" i="14609"/>
  <c r="HL32" i="14609"/>
  <c r="HM32" i="14609"/>
  <c r="HN32" i="14609"/>
  <c r="HO32" i="14609"/>
  <c r="HP32" i="14609"/>
  <c r="HQ32" i="14609"/>
  <c r="HR32" i="14609"/>
  <c r="HS32" i="14609"/>
  <c r="HT32" i="14609"/>
  <c r="HU32" i="14609"/>
  <c r="HV32" i="14609"/>
  <c r="HW32" i="14609"/>
  <c r="HX32" i="14609"/>
  <c r="HY32" i="14609"/>
  <c r="HZ32" i="14609"/>
  <c r="IA32" i="14609"/>
  <c r="IB32" i="14609"/>
  <c r="IC32" i="14609"/>
  <c r="ID32" i="14609"/>
  <c r="IE32" i="14609"/>
  <c r="IF32" i="14609"/>
  <c r="IG32" i="14609"/>
  <c r="IH32" i="14609"/>
  <c r="II32" i="14609"/>
  <c r="IJ32" i="14609"/>
  <c r="IK32" i="14609"/>
  <c r="IL32" i="14609"/>
  <c r="IM32" i="14609"/>
  <c r="IN32" i="14609"/>
  <c r="IO32" i="14609"/>
  <c r="IP32" i="14609"/>
  <c r="IQ32" i="14609"/>
  <c r="IR32" i="14609"/>
  <c r="IS32" i="14609"/>
  <c r="IT32" i="14609"/>
  <c r="IU32" i="14609"/>
  <c r="IV32" i="14609"/>
  <c r="A31" i="14609"/>
  <c r="B31" i="14609"/>
  <c r="C31" i="14609"/>
  <c r="D31" i="14609"/>
  <c r="E31" i="14609"/>
  <c r="F31" i="14609"/>
  <c r="G31" i="14609"/>
  <c r="H31" i="14609"/>
  <c r="I31" i="14609"/>
  <c r="J31" i="14609"/>
  <c r="K31" i="14609"/>
  <c r="L31" i="14609"/>
  <c r="M31" i="14609"/>
  <c r="N31" i="14609"/>
  <c r="O31" i="14609"/>
  <c r="P31" i="14609"/>
  <c r="Q31" i="14609"/>
  <c r="R31" i="14609"/>
  <c r="S31" i="14609"/>
  <c r="T31" i="14609"/>
  <c r="U31" i="14609"/>
  <c r="V31" i="14609"/>
  <c r="W31" i="14609"/>
  <c r="X31" i="14609"/>
  <c r="Y31" i="14609"/>
  <c r="Z31" i="14609"/>
  <c r="AA31" i="14609"/>
  <c r="AB31" i="14609"/>
  <c r="AC31" i="14609"/>
  <c r="AD31" i="14609"/>
  <c r="AE31" i="14609"/>
  <c r="AF31" i="14609"/>
  <c r="AG31" i="14609"/>
  <c r="AH31" i="14609"/>
  <c r="AI31" i="14609"/>
  <c r="AJ31" i="14609"/>
  <c r="AK31" i="14609"/>
  <c r="AL31" i="14609"/>
  <c r="AM31" i="14609"/>
  <c r="AN31" i="14609"/>
  <c r="AO31" i="14609"/>
  <c r="AP31" i="14609"/>
  <c r="AQ31" i="14609"/>
  <c r="AR31" i="14609"/>
  <c r="AS31" i="14609"/>
  <c r="AT31" i="14609"/>
  <c r="AU31" i="14609"/>
  <c r="AV31" i="14609"/>
  <c r="AW31" i="14609"/>
  <c r="AX31" i="14609"/>
  <c r="AY31" i="14609"/>
  <c r="AZ31" i="14609"/>
  <c r="BA31" i="14609"/>
  <c r="BB31" i="14609"/>
  <c r="BC31" i="14609"/>
  <c r="BD31" i="14609"/>
  <c r="BE31" i="14609"/>
  <c r="BF31" i="14609"/>
  <c r="BG31" i="14609"/>
  <c r="BH31" i="14609"/>
  <c r="BI31" i="14609"/>
  <c r="BJ31" i="14609"/>
  <c r="BK31" i="14609"/>
  <c r="BL31" i="14609"/>
  <c r="BM31" i="14609"/>
  <c r="BN31" i="14609"/>
  <c r="BO31" i="14609"/>
  <c r="BP31" i="14609"/>
  <c r="BQ31" i="14609"/>
  <c r="BR31" i="14609"/>
  <c r="BS31" i="14609"/>
  <c r="BT31" i="14609"/>
  <c r="BU31" i="14609"/>
  <c r="BV31" i="14609"/>
  <c r="BW31" i="14609"/>
  <c r="BX31" i="14609"/>
  <c r="BY31" i="14609"/>
  <c r="BZ31" i="14609"/>
  <c r="CA31" i="14609"/>
  <c r="CB31" i="14609"/>
  <c r="CC31" i="14609"/>
  <c r="CD31" i="14609"/>
  <c r="CE31" i="14609"/>
  <c r="CF31" i="14609"/>
  <c r="CG31" i="14609"/>
  <c r="CH31" i="14609"/>
  <c r="CI31" i="14609"/>
  <c r="CJ31" i="14609"/>
  <c r="CK31" i="14609"/>
  <c r="CL31" i="14609"/>
  <c r="CM31" i="14609"/>
  <c r="CN31" i="14609"/>
  <c r="CO31" i="14609"/>
  <c r="CP31" i="14609"/>
  <c r="CQ31" i="14609"/>
  <c r="CR31" i="14609"/>
  <c r="CS31" i="14609"/>
  <c r="CT31" i="14609"/>
  <c r="CU31" i="14609"/>
  <c r="CV31" i="14609"/>
  <c r="CW31" i="14609"/>
  <c r="CX31" i="14609"/>
  <c r="CY31" i="14609"/>
  <c r="CZ31" i="14609"/>
  <c r="DA31" i="14609"/>
  <c r="DB31" i="14609"/>
  <c r="DC31" i="14609"/>
  <c r="DD31" i="14609"/>
  <c r="DE31" i="14609"/>
  <c r="DF31" i="14609"/>
  <c r="DG31" i="14609"/>
  <c r="DH31" i="14609"/>
  <c r="DI31" i="14609"/>
  <c r="DJ31" i="14609"/>
  <c r="DK31" i="14609"/>
  <c r="DL31" i="14609"/>
  <c r="DM31" i="14609"/>
  <c r="DN31" i="14609"/>
  <c r="DO31" i="14609"/>
  <c r="DP31" i="14609"/>
  <c r="DQ31" i="14609"/>
  <c r="DR31" i="14609"/>
  <c r="DS31" i="14609"/>
  <c r="DT31" i="14609"/>
  <c r="DU31" i="14609"/>
  <c r="DV31" i="14609"/>
  <c r="DW31" i="14609"/>
  <c r="DX31" i="14609"/>
  <c r="DY31" i="14609"/>
  <c r="DZ31" i="14609"/>
  <c r="EA31" i="14609"/>
  <c r="EB31" i="14609"/>
  <c r="EC31" i="14609"/>
  <c r="ED31" i="14609"/>
  <c r="EE31" i="14609"/>
  <c r="EF31" i="14609"/>
  <c r="EG31" i="14609"/>
  <c r="EH31" i="14609"/>
  <c r="EI31" i="14609"/>
  <c r="EJ31" i="14609"/>
  <c r="EK31" i="14609"/>
  <c r="EL31" i="14609"/>
  <c r="EM31" i="14609"/>
  <c r="EN31" i="14609"/>
  <c r="EO31" i="14609"/>
  <c r="EP31" i="14609"/>
  <c r="EQ31" i="14609"/>
  <c r="ER31" i="14609"/>
  <c r="ES31" i="14609"/>
  <c r="ET31" i="14609"/>
  <c r="EU31" i="14609"/>
  <c r="EV31" i="14609"/>
  <c r="EW31" i="14609"/>
  <c r="EX31" i="14609"/>
  <c r="EY31" i="14609"/>
  <c r="EZ31" i="14609"/>
  <c r="FA31" i="14609"/>
  <c r="FB31" i="14609"/>
  <c r="FC31" i="14609"/>
  <c r="FD31" i="14609"/>
  <c r="FE31" i="14609"/>
  <c r="FF31" i="14609"/>
  <c r="FG31" i="14609"/>
  <c r="FH31" i="14609"/>
  <c r="FI31" i="14609"/>
  <c r="FJ31" i="14609"/>
  <c r="FK31" i="14609"/>
  <c r="FL31" i="14609"/>
  <c r="FM31" i="14609"/>
  <c r="FN31" i="14609"/>
  <c r="FO31" i="14609"/>
  <c r="FP31" i="14609"/>
  <c r="FQ31" i="14609"/>
  <c r="FR31" i="14609"/>
  <c r="FS31" i="14609"/>
  <c r="FT31" i="14609"/>
  <c r="FU31" i="14609"/>
  <c r="FV31" i="14609"/>
  <c r="FW31" i="14609"/>
  <c r="FX31" i="14609"/>
  <c r="FY31" i="14609"/>
  <c r="FZ31" i="14609"/>
  <c r="GA31" i="14609"/>
  <c r="GB31" i="14609"/>
  <c r="GC31" i="14609"/>
  <c r="GD31" i="14609"/>
  <c r="GE31" i="14609"/>
  <c r="GF31" i="14609"/>
  <c r="GG31" i="14609"/>
  <c r="GH31" i="14609"/>
  <c r="GI31" i="14609"/>
  <c r="GJ31" i="14609"/>
  <c r="GK31" i="14609"/>
  <c r="GL31" i="14609"/>
  <c r="GM31" i="14609"/>
  <c r="GN31" i="14609"/>
  <c r="GO31" i="14609"/>
  <c r="GP31" i="14609"/>
  <c r="GQ31" i="14609"/>
  <c r="GR31" i="14609"/>
  <c r="GS31" i="14609"/>
  <c r="GT31" i="14609"/>
  <c r="GU31" i="14609"/>
  <c r="GV31" i="14609"/>
  <c r="GW31" i="14609"/>
  <c r="GX31" i="14609"/>
  <c r="GY31" i="14609"/>
  <c r="GZ31" i="14609"/>
  <c r="HA31" i="14609"/>
  <c r="HB31" i="14609"/>
  <c r="HC31" i="14609"/>
  <c r="HD31" i="14609"/>
  <c r="HE31" i="14609"/>
  <c r="HF31" i="14609"/>
  <c r="HG31" i="14609"/>
  <c r="HH31" i="14609"/>
  <c r="HI31" i="14609"/>
  <c r="HJ31" i="14609"/>
  <c r="HK31" i="14609"/>
  <c r="HL31" i="14609"/>
  <c r="HM31" i="14609"/>
  <c r="HN31" i="14609"/>
  <c r="HO31" i="14609"/>
  <c r="HP31" i="14609"/>
  <c r="HQ31" i="14609"/>
  <c r="HR31" i="14609"/>
  <c r="HS31" i="14609"/>
  <c r="HT31" i="14609"/>
  <c r="HU31" i="14609"/>
  <c r="HV31" i="14609"/>
  <c r="HW31" i="14609"/>
  <c r="HX31" i="14609"/>
  <c r="HY31" i="14609"/>
  <c r="HZ31" i="14609"/>
  <c r="IA31" i="14609"/>
  <c r="IB31" i="14609"/>
  <c r="IC31" i="14609"/>
  <c r="ID31" i="14609"/>
  <c r="IE31" i="14609"/>
  <c r="IF31" i="14609"/>
  <c r="IG31" i="14609"/>
  <c r="IH31" i="14609"/>
  <c r="II31" i="14609"/>
  <c r="IJ31" i="14609"/>
  <c r="IK31" i="14609"/>
  <c r="IL31" i="14609"/>
  <c r="IM31" i="14609"/>
  <c r="IN31" i="14609"/>
  <c r="IO31" i="14609"/>
  <c r="IP31" i="14609"/>
  <c r="IQ31" i="14609"/>
  <c r="IR31" i="14609"/>
  <c r="IS31" i="14609"/>
  <c r="IT31" i="14609"/>
  <c r="IU31" i="14609"/>
  <c r="IV31" i="14609"/>
  <c r="A30" i="14609"/>
  <c r="B30" i="14609"/>
  <c r="C30" i="14609"/>
  <c r="D30" i="14609"/>
  <c r="E30" i="14609"/>
  <c r="F30" i="14609"/>
  <c r="G30" i="14609"/>
  <c r="H30" i="14609"/>
  <c r="I30" i="14609"/>
  <c r="J30" i="14609"/>
  <c r="K30" i="14609"/>
  <c r="L30" i="14609"/>
  <c r="M30" i="14609"/>
  <c r="N30" i="14609"/>
  <c r="O30" i="14609"/>
  <c r="P30" i="14609"/>
  <c r="Q30" i="14609"/>
  <c r="R30" i="14609"/>
  <c r="S30" i="14609"/>
  <c r="T30" i="14609"/>
  <c r="U30" i="14609"/>
  <c r="V30" i="14609"/>
  <c r="W30" i="14609"/>
  <c r="X30" i="14609"/>
  <c r="Y30" i="14609"/>
  <c r="Z30" i="14609"/>
  <c r="AA30" i="14609"/>
  <c r="AB30" i="14609"/>
  <c r="AC30" i="14609"/>
  <c r="AD30" i="14609"/>
  <c r="AE30" i="14609"/>
  <c r="AF30" i="14609"/>
  <c r="AG30" i="14609"/>
  <c r="AH30" i="14609"/>
  <c r="AI30" i="14609"/>
  <c r="AJ30" i="14609"/>
  <c r="AK30" i="14609"/>
  <c r="AL30" i="14609"/>
  <c r="AM30" i="14609"/>
  <c r="AN30" i="14609"/>
  <c r="AO30" i="14609"/>
  <c r="AP30" i="14609"/>
  <c r="AQ30" i="14609"/>
  <c r="AR30" i="14609"/>
  <c r="AS30" i="14609"/>
  <c r="AT30" i="14609"/>
  <c r="AU30" i="14609"/>
  <c r="AV30" i="14609"/>
  <c r="AW30" i="14609"/>
  <c r="AX30" i="14609"/>
  <c r="AY30" i="14609"/>
  <c r="AZ30" i="14609"/>
  <c r="BA30" i="14609"/>
  <c r="BB30" i="14609"/>
  <c r="BC30" i="14609"/>
  <c r="BD30" i="14609"/>
  <c r="BE30" i="14609"/>
  <c r="BF30" i="14609"/>
  <c r="BG30" i="14609"/>
  <c r="BH30" i="14609"/>
  <c r="BI30" i="14609"/>
  <c r="BJ30" i="14609"/>
  <c r="BK30" i="14609"/>
  <c r="BL30" i="14609"/>
  <c r="BM30" i="14609"/>
  <c r="BN30" i="14609"/>
  <c r="BO30" i="14609"/>
  <c r="BP30" i="14609"/>
  <c r="BQ30" i="14609"/>
  <c r="BR30" i="14609"/>
  <c r="BS30" i="14609"/>
  <c r="BT30" i="14609"/>
  <c r="BU30" i="14609"/>
  <c r="BV30" i="14609"/>
  <c r="BW30" i="14609"/>
  <c r="BX30" i="14609"/>
  <c r="BY30" i="14609"/>
  <c r="BZ30" i="14609"/>
  <c r="CA30" i="14609"/>
  <c r="CB30" i="14609"/>
  <c r="CC30" i="14609"/>
  <c r="CD30" i="14609"/>
  <c r="CE30" i="14609"/>
  <c r="CF30" i="14609"/>
  <c r="CG30" i="14609"/>
  <c r="CH30" i="14609"/>
  <c r="CI30" i="14609"/>
  <c r="CJ30" i="14609"/>
  <c r="CK30" i="14609"/>
  <c r="CL30" i="14609"/>
  <c r="CM30" i="14609"/>
  <c r="CN30" i="14609"/>
  <c r="CO30" i="14609"/>
  <c r="CP30" i="14609"/>
  <c r="CQ30" i="14609"/>
  <c r="CR30" i="14609"/>
  <c r="CS30" i="14609"/>
  <c r="CT30" i="14609"/>
  <c r="CU30" i="14609"/>
  <c r="CV30" i="14609"/>
  <c r="CW30" i="14609"/>
  <c r="CX30" i="14609"/>
  <c r="CY30" i="14609"/>
  <c r="CZ30" i="14609"/>
  <c r="DA30" i="14609"/>
  <c r="DB30" i="14609"/>
  <c r="DC30" i="14609"/>
  <c r="DD30" i="14609"/>
  <c r="DE30" i="14609"/>
  <c r="DF30" i="14609"/>
  <c r="DG30" i="14609"/>
  <c r="DH30" i="14609"/>
  <c r="DI30" i="14609"/>
  <c r="DJ30" i="14609"/>
  <c r="DK30" i="14609"/>
  <c r="DL30" i="14609"/>
  <c r="DM30" i="14609"/>
  <c r="DN30" i="14609"/>
  <c r="DO30" i="14609"/>
  <c r="DP30" i="14609"/>
  <c r="DQ30" i="14609"/>
  <c r="DR30" i="14609"/>
  <c r="DS30" i="14609"/>
  <c r="DT30" i="14609"/>
  <c r="DU30" i="14609"/>
  <c r="DV30" i="14609"/>
  <c r="DW30" i="14609"/>
  <c r="DX30" i="14609"/>
  <c r="DY30" i="14609"/>
  <c r="DZ30" i="14609"/>
  <c r="EA30" i="14609"/>
  <c r="EB30" i="14609"/>
  <c r="EC30" i="14609"/>
  <c r="ED30" i="14609"/>
  <c r="EE30" i="14609"/>
  <c r="EF30" i="14609"/>
  <c r="EG30" i="14609"/>
  <c r="EH30" i="14609"/>
  <c r="EI30" i="14609"/>
  <c r="EJ30" i="14609"/>
  <c r="EK30" i="14609"/>
  <c r="EL30" i="14609"/>
  <c r="EM30" i="14609"/>
  <c r="EN30" i="14609"/>
  <c r="EO30" i="14609"/>
  <c r="EP30" i="14609"/>
  <c r="EQ30" i="14609"/>
  <c r="ER30" i="14609"/>
  <c r="ES30" i="14609"/>
  <c r="ET30" i="14609"/>
  <c r="EU30" i="14609"/>
  <c r="EV30" i="14609"/>
  <c r="EW30" i="14609"/>
  <c r="EX30" i="14609"/>
  <c r="EY30" i="14609"/>
  <c r="EZ30" i="14609"/>
  <c r="FA30" i="14609"/>
  <c r="FB30" i="14609"/>
  <c r="FC30" i="14609"/>
  <c r="FD30" i="14609"/>
  <c r="FE30" i="14609"/>
  <c r="FF30" i="14609"/>
  <c r="FG30" i="14609"/>
  <c r="FH30" i="14609"/>
  <c r="FI30" i="14609"/>
  <c r="FJ30" i="14609"/>
  <c r="FK30" i="14609"/>
  <c r="FL30" i="14609"/>
  <c r="FM30" i="14609"/>
  <c r="FN30" i="14609"/>
  <c r="FO30" i="14609"/>
  <c r="FP30" i="14609"/>
  <c r="FQ30" i="14609"/>
  <c r="FR30" i="14609"/>
  <c r="FS30" i="14609"/>
  <c r="FT30" i="14609"/>
  <c r="FU30" i="14609"/>
  <c r="FV30" i="14609"/>
  <c r="FW30" i="14609"/>
  <c r="FX30" i="14609"/>
  <c r="FY30" i="14609"/>
  <c r="FZ30" i="14609"/>
  <c r="GA30" i="14609"/>
  <c r="GB30" i="14609"/>
  <c r="GC30" i="14609"/>
  <c r="GD30" i="14609"/>
  <c r="GE30" i="14609"/>
  <c r="GF30" i="14609"/>
  <c r="GG30" i="14609"/>
  <c r="GH30" i="14609"/>
  <c r="GI30" i="14609"/>
  <c r="GJ30" i="14609"/>
  <c r="GK30" i="14609"/>
  <c r="GL30" i="14609"/>
  <c r="GM30" i="14609"/>
  <c r="GN30" i="14609"/>
  <c r="GO30" i="14609"/>
  <c r="GP30" i="14609"/>
  <c r="GQ30" i="14609"/>
  <c r="GR30" i="14609"/>
  <c r="GS30" i="14609"/>
  <c r="GT30" i="14609"/>
  <c r="GU30" i="14609"/>
  <c r="GV30" i="14609"/>
  <c r="GW30" i="14609"/>
  <c r="GX30" i="14609"/>
  <c r="GY30" i="14609"/>
  <c r="GZ30" i="14609"/>
  <c r="HA30" i="14609"/>
  <c r="HB30" i="14609"/>
  <c r="HC30" i="14609"/>
  <c r="HD30" i="14609"/>
  <c r="HE30" i="14609"/>
  <c r="HF30" i="14609"/>
  <c r="HG30" i="14609"/>
  <c r="HH30" i="14609"/>
  <c r="HI30" i="14609"/>
  <c r="HJ30" i="14609"/>
  <c r="HK30" i="14609"/>
  <c r="HL30" i="14609"/>
  <c r="HM30" i="14609"/>
  <c r="HN30" i="14609"/>
  <c r="HO30" i="14609"/>
  <c r="HP30" i="14609"/>
  <c r="HQ30" i="14609"/>
  <c r="HR30" i="14609"/>
  <c r="HS30" i="14609"/>
  <c r="HT30" i="14609"/>
  <c r="HU30" i="14609"/>
  <c r="HV30" i="14609"/>
  <c r="HW30" i="14609"/>
  <c r="HX30" i="14609"/>
  <c r="HY30" i="14609"/>
  <c r="HZ30" i="14609"/>
  <c r="IA30" i="14609"/>
  <c r="IB30" i="14609"/>
  <c r="IC30" i="14609"/>
  <c r="ID30" i="14609"/>
  <c r="IE30" i="14609"/>
  <c r="IF30" i="14609"/>
  <c r="IG30" i="14609"/>
  <c r="IH30" i="14609"/>
  <c r="II30" i="14609"/>
  <c r="IJ30" i="14609"/>
  <c r="IK30" i="14609"/>
  <c r="IL30" i="14609"/>
  <c r="IM30" i="14609"/>
  <c r="IN30" i="14609"/>
  <c r="IO30" i="14609"/>
  <c r="IP30" i="14609"/>
  <c r="IQ30" i="14609"/>
  <c r="IR30" i="14609"/>
  <c r="IS30" i="14609"/>
  <c r="IT30" i="14609"/>
  <c r="IU30" i="14609"/>
  <c r="IV30" i="14609"/>
  <c r="A29" i="14609"/>
  <c r="B29" i="14609"/>
  <c r="C29" i="14609"/>
  <c r="D29" i="14609"/>
  <c r="E29" i="14609"/>
  <c r="F29" i="14609"/>
  <c r="G29" i="14609"/>
  <c r="H29" i="14609"/>
  <c r="I29" i="14609"/>
  <c r="J29" i="14609"/>
  <c r="K29" i="14609"/>
  <c r="L29" i="14609"/>
  <c r="M29" i="14609"/>
  <c r="N29" i="14609"/>
  <c r="O29" i="14609"/>
  <c r="P29" i="14609"/>
  <c r="Q29" i="14609"/>
  <c r="R29" i="14609"/>
  <c r="S29" i="14609"/>
  <c r="T29" i="14609"/>
  <c r="U29" i="14609"/>
  <c r="V29" i="14609"/>
  <c r="W29" i="14609"/>
  <c r="X29" i="14609"/>
  <c r="Y29" i="14609"/>
  <c r="Z29" i="14609"/>
  <c r="AA29" i="14609"/>
  <c r="AB29" i="14609"/>
  <c r="AC29" i="14609"/>
  <c r="AD29" i="14609"/>
  <c r="AE29" i="14609"/>
  <c r="AF29" i="14609"/>
  <c r="AG29" i="14609"/>
  <c r="AH29" i="14609"/>
  <c r="AI29" i="14609"/>
  <c r="AJ29" i="14609"/>
  <c r="AK29" i="14609"/>
  <c r="AL29" i="14609"/>
  <c r="AM29" i="14609"/>
  <c r="AN29" i="14609"/>
  <c r="AO29" i="14609"/>
  <c r="AP29" i="14609"/>
  <c r="AQ29" i="14609"/>
  <c r="AR29" i="14609"/>
  <c r="AS29" i="14609"/>
  <c r="AT29" i="14609"/>
  <c r="AU29" i="14609"/>
  <c r="AV29" i="14609"/>
  <c r="AW29" i="14609"/>
  <c r="AX29" i="14609"/>
  <c r="AY29" i="14609"/>
  <c r="AZ29" i="14609"/>
  <c r="BA29" i="14609"/>
  <c r="BB29" i="14609"/>
  <c r="BC29" i="14609"/>
  <c r="BD29" i="14609"/>
  <c r="BE29" i="14609"/>
  <c r="BF29" i="14609"/>
  <c r="BG29" i="14609"/>
  <c r="BH29" i="14609"/>
  <c r="BI29" i="14609"/>
  <c r="BJ29" i="14609"/>
  <c r="BK29" i="14609"/>
  <c r="BL29" i="14609"/>
  <c r="BM29" i="14609"/>
  <c r="BN29" i="14609"/>
  <c r="BO29" i="14609"/>
  <c r="BP29" i="14609"/>
  <c r="BQ29" i="14609"/>
  <c r="BR29" i="14609"/>
  <c r="BS29" i="14609"/>
  <c r="BT29" i="14609"/>
  <c r="BU29" i="14609"/>
  <c r="BV29" i="14609"/>
  <c r="BW29" i="14609"/>
  <c r="BX29" i="14609"/>
  <c r="BY29" i="14609"/>
  <c r="BZ29" i="14609"/>
  <c r="CA29" i="14609"/>
  <c r="CB29" i="14609"/>
  <c r="CC29" i="14609"/>
  <c r="CD29" i="14609"/>
  <c r="CE29" i="14609"/>
  <c r="CF29" i="14609"/>
  <c r="CG29" i="14609"/>
  <c r="CH29" i="14609"/>
  <c r="CI29" i="14609"/>
  <c r="CJ29" i="14609"/>
  <c r="CK29" i="14609"/>
  <c r="CL29" i="14609"/>
  <c r="CM29" i="14609"/>
  <c r="CN29" i="14609"/>
  <c r="CO29" i="14609"/>
  <c r="CP29" i="14609"/>
  <c r="CQ29" i="14609"/>
  <c r="CR29" i="14609"/>
  <c r="CS29" i="14609"/>
  <c r="CT29" i="14609"/>
  <c r="CU29" i="14609"/>
  <c r="CV29" i="14609"/>
  <c r="CW29" i="14609"/>
  <c r="CX29" i="14609"/>
  <c r="CY29" i="14609"/>
  <c r="CZ29" i="14609"/>
  <c r="DA29" i="14609"/>
  <c r="DB29" i="14609"/>
  <c r="DC29" i="14609"/>
  <c r="DD29" i="14609"/>
  <c r="DE29" i="14609"/>
  <c r="DF29" i="14609"/>
  <c r="DG29" i="14609"/>
  <c r="DH29" i="14609"/>
  <c r="DI29" i="14609"/>
  <c r="DJ29" i="14609"/>
  <c r="DK29" i="14609"/>
  <c r="DL29" i="14609"/>
  <c r="DM29" i="14609"/>
  <c r="DN29" i="14609"/>
  <c r="DO29" i="14609"/>
  <c r="DP29" i="14609"/>
  <c r="DQ29" i="14609"/>
  <c r="DR29" i="14609"/>
  <c r="DS29" i="14609"/>
  <c r="DT29" i="14609"/>
  <c r="DU29" i="14609"/>
  <c r="DV29" i="14609"/>
  <c r="DW29" i="14609"/>
  <c r="DX29" i="14609"/>
  <c r="DY29" i="14609"/>
  <c r="DZ29" i="14609"/>
  <c r="EA29" i="14609"/>
  <c r="EB29" i="14609"/>
  <c r="EC29" i="14609"/>
  <c r="ED29" i="14609"/>
  <c r="EE29" i="14609"/>
  <c r="EF29" i="14609"/>
  <c r="EG29" i="14609"/>
  <c r="EH29" i="14609"/>
  <c r="EI29" i="14609"/>
  <c r="EJ29" i="14609"/>
  <c r="EK29" i="14609"/>
  <c r="EL29" i="14609"/>
  <c r="EM29" i="14609"/>
  <c r="EN29" i="14609"/>
  <c r="EO29" i="14609"/>
  <c r="EP29" i="14609"/>
  <c r="EQ29" i="14609"/>
  <c r="ER29" i="14609"/>
  <c r="ES29" i="14609"/>
  <c r="ET29" i="14609"/>
  <c r="EU29" i="14609"/>
  <c r="EV29" i="14609"/>
  <c r="EW29" i="14609"/>
  <c r="EX29" i="14609"/>
  <c r="EY29" i="14609"/>
  <c r="EZ29" i="14609"/>
  <c r="FA29" i="14609"/>
  <c r="FB29" i="14609"/>
  <c r="FC29" i="14609"/>
  <c r="FD29" i="14609"/>
  <c r="FE29" i="14609"/>
  <c r="FF29" i="14609"/>
  <c r="FG29" i="14609"/>
  <c r="FH29" i="14609"/>
  <c r="FI29" i="14609"/>
  <c r="FJ29" i="14609"/>
  <c r="FK29" i="14609"/>
  <c r="FL29" i="14609"/>
  <c r="FM29" i="14609"/>
  <c r="FN29" i="14609"/>
  <c r="FO29" i="14609"/>
  <c r="FP29" i="14609"/>
  <c r="FQ29" i="14609"/>
  <c r="FR29" i="14609"/>
  <c r="FS29" i="14609"/>
  <c r="FT29" i="14609"/>
  <c r="FU29" i="14609"/>
  <c r="FV29" i="14609"/>
  <c r="FW29" i="14609"/>
  <c r="FX29" i="14609"/>
  <c r="FY29" i="14609"/>
  <c r="FZ29" i="14609"/>
  <c r="GA29" i="14609"/>
  <c r="GB29" i="14609"/>
  <c r="GC29" i="14609"/>
  <c r="GD29" i="14609"/>
  <c r="GE29" i="14609"/>
  <c r="GF29" i="14609"/>
  <c r="GG29" i="14609"/>
  <c r="GH29" i="14609"/>
  <c r="GI29" i="14609"/>
  <c r="GJ29" i="14609"/>
  <c r="GK29" i="14609"/>
  <c r="GL29" i="14609"/>
  <c r="GM29" i="14609"/>
  <c r="GN29" i="14609"/>
  <c r="GO29" i="14609"/>
  <c r="GP29" i="14609"/>
  <c r="GQ29" i="14609"/>
  <c r="GR29" i="14609"/>
  <c r="GS29" i="14609"/>
  <c r="GT29" i="14609"/>
  <c r="GU29" i="14609"/>
  <c r="GV29" i="14609"/>
  <c r="GW29" i="14609"/>
  <c r="GX29" i="14609"/>
  <c r="GY29" i="14609"/>
  <c r="GZ29" i="14609"/>
  <c r="HA29" i="14609"/>
  <c r="HB29" i="14609"/>
  <c r="HC29" i="14609"/>
  <c r="HD29" i="14609"/>
  <c r="HE29" i="14609"/>
  <c r="HF29" i="14609"/>
  <c r="HG29" i="14609"/>
  <c r="HH29" i="14609"/>
  <c r="HI29" i="14609"/>
  <c r="HJ29" i="14609"/>
  <c r="HK29" i="14609"/>
  <c r="HL29" i="14609"/>
  <c r="HM29" i="14609"/>
  <c r="HN29" i="14609"/>
  <c r="HO29" i="14609"/>
  <c r="HP29" i="14609"/>
  <c r="HQ29" i="14609"/>
  <c r="HR29" i="14609"/>
  <c r="HS29" i="14609"/>
  <c r="HT29" i="14609"/>
  <c r="HU29" i="14609"/>
  <c r="HV29" i="14609"/>
  <c r="HW29" i="14609"/>
  <c r="HX29" i="14609"/>
  <c r="HY29" i="14609"/>
  <c r="HZ29" i="14609"/>
  <c r="IA29" i="14609"/>
  <c r="IB29" i="14609"/>
  <c r="IC29" i="14609"/>
  <c r="ID29" i="14609"/>
  <c r="IE29" i="14609"/>
  <c r="IF29" i="14609"/>
  <c r="IG29" i="14609"/>
  <c r="IH29" i="14609"/>
  <c r="II29" i="14609"/>
  <c r="IJ29" i="14609"/>
  <c r="IK29" i="14609"/>
  <c r="IL29" i="14609"/>
  <c r="IM29" i="14609"/>
  <c r="IN29" i="14609"/>
  <c r="IO29" i="14609"/>
  <c r="IP29" i="14609"/>
  <c r="IQ29" i="14609"/>
  <c r="IR29" i="14609"/>
  <c r="IS29" i="14609"/>
  <c r="IT29" i="14609"/>
  <c r="IU29" i="14609"/>
  <c r="IV29" i="14609"/>
  <c r="A28" i="14609"/>
  <c r="B28" i="14609"/>
  <c r="C28" i="14609"/>
  <c r="D28" i="14609"/>
  <c r="E28" i="14609"/>
  <c r="F28" i="14609"/>
  <c r="G28" i="14609"/>
  <c r="H28" i="14609"/>
  <c r="I28" i="14609"/>
  <c r="J28" i="14609"/>
  <c r="K28" i="14609"/>
  <c r="L28" i="14609"/>
  <c r="M28" i="14609"/>
  <c r="N28" i="14609"/>
  <c r="O28" i="14609"/>
  <c r="P28" i="14609"/>
  <c r="Q28" i="14609"/>
  <c r="R28" i="14609"/>
  <c r="S28" i="14609"/>
  <c r="T28" i="14609"/>
  <c r="U28" i="14609"/>
  <c r="V28" i="14609"/>
  <c r="W28" i="14609"/>
  <c r="X28" i="14609"/>
  <c r="Y28" i="14609"/>
  <c r="Z28" i="14609"/>
  <c r="AA28" i="14609"/>
  <c r="AB28" i="14609"/>
  <c r="AC28" i="14609"/>
  <c r="AD28" i="14609"/>
  <c r="AE28" i="14609"/>
  <c r="AF28" i="14609"/>
  <c r="AG28" i="14609"/>
  <c r="AH28" i="14609"/>
  <c r="AI28" i="14609"/>
  <c r="AJ28" i="14609"/>
  <c r="AK28" i="14609"/>
  <c r="AL28" i="14609"/>
  <c r="AM28" i="14609"/>
  <c r="AN28" i="14609"/>
  <c r="AO28" i="14609"/>
  <c r="AP28" i="14609"/>
  <c r="AQ28" i="14609"/>
  <c r="AR28" i="14609"/>
  <c r="AS28" i="14609"/>
  <c r="AT28" i="14609"/>
  <c r="AU28" i="14609"/>
  <c r="AV28" i="14609"/>
  <c r="AW28" i="14609"/>
  <c r="AX28" i="14609"/>
  <c r="AY28" i="14609"/>
  <c r="AZ28" i="14609"/>
  <c r="BA28" i="14609"/>
  <c r="BB28" i="14609"/>
  <c r="BC28" i="14609"/>
  <c r="BD28" i="14609"/>
  <c r="BE28" i="14609"/>
  <c r="BF28" i="14609"/>
  <c r="BG28" i="14609"/>
  <c r="BH28" i="14609"/>
  <c r="BI28" i="14609"/>
  <c r="BJ28" i="14609"/>
  <c r="BK28" i="14609"/>
  <c r="BL28" i="14609"/>
  <c r="BM28" i="14609"/>
  <c r="BN28" i="14609"/>
  <c r="BO28" i="14609"/>
  <c r="BP28" i="14609"/>
  <c r="BQ28" i="14609"/>
  <c r="BR28" i="14609"/>
  <c r="BS28" i="14609"/>
  <c r="BT28" i="14609"/>
  <c r="BU28" i="14609"/>
  <c r="BV28" i="14609"/>
  <c r="BW28" i="14609"/>
  <c r="BX28" i="14609"/>
  <c r="BY28" i="14609"/>
  <c r="BZ28" i="14609"/>
  <c r="CA28" i="14609"/>
  <c r="CB28" i="14609"/>
  <c r="CC28" i="14609"/>
  <c r="CD28" i="14609"/>
  <c r="CE28" i="14609"/>
  <c r="CF28" i="14609"/>
  <c r="CG28" i="14609"/>
  <c r="CH28" i="14609"/>
  <c r="CI28" i="14609"/>
  <c r="CJ28" i="14609"/>
  <c r="CK28" i="14609"/>
  <c r="CL28" i="14609"/>
  <c r="CM28" i="14609"/>
  <c r="CN28" i="14609"/>
  <c r="CO28" i="14609"/>
  <c r="CP28" i="14609"/>
  <c r="CQ28" i="14609"/>
  <c r="CR28" i="14609"/>
  <c r="CS28" i="14609"/>
  <c r="CT28" i="14609"/>
  <c r="CU28" i="14609"/>
  <c r="CV28" i="14609"/>
  <c r="CW28" i="14609"/>
  <c r="CX28" i="14609"/>
  <c r="CY28" i="14609"/>
  <c r="CZ28" i="14609"/>
  <c r="DA28" i="14609"/>
  <c r="DB28" i="14609"/>
  <c r="DC28" i="14609"/>
  <c r="DD28" i="14609"/>
  <c r="DE28" i="14609"/>
  <c r="DF28" i="14609"/>
  <c r="DG28" i="14609"/>
  <c r="DH28" i="14609"/>
  <c r="DI28" i="14609"/>
  <c r="DJ28" i="14609"/>
  <c r="DK28" i="14609"/>
  <c r="DL28" i="14609"/>
  <c r="DM28" i="14609"/>
  <c r="DN28" i="14609"/>
  <c r="DO28" i="14609"/>
  <c r="DP28" i="14609"/>
  <c r="DQ28" i="14609"/>
  <c r="DR28" i="14609"/>
  <c r="DS28" i="14609"/>
  <c r="DT28" i="14609"/>
  <c r="DU28" i="14609"/>
  <c r="DV28" i="14609"/>
  <c r="DW28" i="14609"/>
  <c r="DX28" i="14609"/>
  <c r="DY28" i="14609"/>
  <c r="DZ28" i="14609"/>
  <c r="EA28" i="14609"/>
  <c r="EB28" i="14609"/>
  <c r="EC28" i="14609"/>
  <c r="ED28" i="14609"/>
  <c r="EE28" i="14609"/>
  <c r="EF28" i="14609"/>
  <c r="EG28" i="14609"/>
  <c r="EH28" i="14609"/>
  <c r="EI28" i="14609"/>
  <c r="EJ28" i="14609"/>
  <c r="EK28" i="14609"/>
  <c r="EL28" i="14609"/>
  <c r="EM28" i="14609"/>
  <c r="EN28" i="14609"/>
  <c r="EO28" i="14609"/>
  <c r="EP28" i="14609"/>
  <c r="EQ28" i="14609"/>
  <c r="ER28" i="14609"/>
  <c r="ES28" i="14609"/>
  <c r="ET28" i="14609"/>
  <c r="EU28" i="14609"/>
  <c r="EV28" i="14609"/>
  <c r="EW28" i="14609"/>
  <c r="EX28" i="14609"/>
  <c r="EY28" i="14609"/>
  <c r="EZ28" i="14609"/>
  <c r="FA28" i="14609"/>
  <c r="FB28" i="14609"/>
  <c r="FC28" i="14609"/>
  <c r="FD28" i="14609"/>
  <c r="FE28" i="14609"/>
  <c r="FF28" i="14609"/>
  <c r="FG28" i="14609"/>
  <c r="FH28" i="14609"/>
  <c r="FI28" i="14609"/>
  <c r="FJ28" i="14609"/>
  <c r="FK28" i="14609"/>
  <c r="FL28" i="14609"/>
  <c r="FM28" i="14609"/>
  <c r="FN28" i="14609"/>
  <c r="FO28" i="14609"/>
  <c r="FP28" i="14609"/>
  <c r="FQ28" i="14609"/>
  <c r="FR28" i="14609"/>
  <c r="FS28" i="14609"/>
  <c r="FT28" i="14609"/>
  <c r="FU28" i="14609"/>
  <c r="FV28" i="14609"/>
  <c r="FW28" i="14609"/>
  <c r="FX28" i="14609"/>
  <c r="FY28" i="14609"/>
  <c r="FZ28" i="14609"/>
  <c r="GA28" i="14609"/>
  <c r="GB28" i="14609"/>
  <c r="GC28" i="14609"/>
  <c r="GD28" i="14609"/>
  <c r="GE28" i="14609"/>
  <c r="GF28" i="14609"/>
  <c r="GG28" i="14609"/>
  <c r="GH28" i="14609"/>
  <c r="GI28" i="14609"/>
  <c r="GJ28" i="14609"/>
  <c r="GK28" i="14609"/>
  <c r="GL28" i="14609"/>
  <c r="GM28" i="14609"/>
  <c r="GN28" i="14609"/>
  <c r="GO28" i="14609"/>
  <c r="GP28" i="14609"/>
  <c r="GQ28" i="14609"/>
  <c r="GR28" i="14609"/>
  <c r="GS28" i="14609"/>
  <c r="GT28" i="14609"/>
  <c r="GU28" i="14609"/>
  <c r="GV28" i="14609"/>
  <c r="GW28" i="14609"/>
  <c r="GX28" i="14609"/>
  <c r="GY28" i="14609"/>
  <c r="GZ28" i="14609"/>
  <c r="HA28" i="14609"/>
  <c r="HB28" i="14609"/>
  <c r="HC28" i="14609"/>
  <c r="HD28" i="14609"/>
  <c r="HE28" i="14609"/>
  <c r="HF28" i="14609"/>
  <c r="HG28" i="14609"/>
  <c r="HH28" i="14609"/>
  <c r="HI28" i="14609"/>
  <c r="HJ28" i="14609"/>
  <c r="HK28" i="14609"/>
  <c r="HL28" i="14609"/>
  <c r="HM28" i="14609"/>
  <c r="HN28" i="14609"/>
  <c r="HO28" i="14609"/>
  <c r="HP28" i="14609"/>
  <c r="HQ28" i="14609"/>
  <c r="HR28" i="14609"/>
  <c r="HS28" i="14609"/>
  <c r="HT28" i="14609"/>
  <c r="HU28" i="14609"/>
  <c r="HV28" i="14609"/>
  <c r="HW28" i="14609"/>
  <c r="HX28" i="14609"/>
  <c r="HY28" i="14609"/>
  <c r="HZ28" i="14609"/>
  <c r="IA28" i="14609"/>
  <c r="IB28" i="14609"/>
  <c r="IC28" i="14609"/>
  <c r="ID28" i="14609"/>
  <c r="IE28" i="14609"/>
  <c r="IF28" i="14609"/>
  <c r="IG28" i="14609"/>
  <c r="IH28" i="14609"/>
  <c r="II28" i="14609"/>
  <c r="IJ28" i="14609"/>
  <c r="IK28" i="14609"/>
  <c r="IL28" i="14609"/>
  <c r="IM28" i="14609"/>
  <c r="IN28" i="14609"/>
  <c r="IO28" i="14609"/>
  <c r="IP28" i="14609"/>
  <c r="IQ28" i="14609"/>
  <c r="IR28" i="14609"/>
  <c r="IS28" i="14609"/>
  <c r="IT28" i="14609"/>
  <c r="IU28" i="14609"/>
  <c r="IV28" i="14609"/>
  <c r="A27" i="14609"/>
  <c r="B27" i="14609"/>
  <c r="C27" i="14609"/>
  <c r="D27" i="14609"/>
  <c r="E27" i="14609"/>
  <c r="F27" i="14609"/>
  <c r="G27" i="14609"/>
  <c r="H27" i="14609"/>
  <c r="I27" i="14609"/>
  <c r="J27" i="14609"/>
  <c r="K27" i="14609"/>
  <c r="L27" i="14609"/>
  <c r="M27" i="14609"/>
  <c r="N27" i="14609"/>
  <c r="O27" i="14609"/>
  <c r="P27" i="14609"/>
  <c r="Q27" i="14609"/>
  <c r="R27" i="14609"/>
  <c r="S27" i="14609"/>
  <c r="T27" i="14609"/>
  <c r="U27" i="14609"/>
  <c r="V27" i="14609"/>
  <c r="W27" i="14609"/>
  <c r="X27" i="14609"/>
  <c r="Y27" i="14609"/>
  <c r="Z27" i="14609"/>
  <c r="AA27" i="14609"/>
  <c r="AB27" i="14609"/>
  <c r="AC27" i="14609"/>
  <c r="AD27" i="14609"/>
  <c r="AE27" i="14609"/>
  <c r="AF27" i="14609"/>
  <c r="AG27" i="14609"/>
  <c r="AH27" i="14609"/>
  <c r="AI27" i="14609"/>
  <c r="AJ27" i="14609"/>
  <c r="AK27" i="14609"/>
  <c r="AL27" i="14609"/>
  <c r="AM27" i="14609"/>
  <c r="AN27" i="14609"/>
  <c r="AO27" i="14609"/>
  <c r="AP27" i="14609"/>
  <c r="AQ27" i="14609"/>
  <c r="AR27" i="14609"/>
  <c r="AT27" i="14609"/>
  <c r="AU27" i="14609"/>
  <c r="AV27" i="14609"/>
  <c r="AW27" i="14609"/>
  <c r="AX27" i="14609"/>
  <c r="AY27" i="14609"/>
  <c r="AZ27" i="14609"/>
  <c r="BA27" i="14609"/>
  <c r="BB27" i="14609"/>
  <c r="BC27" i="14609"/>
  <c r="BD27" i="14609"/>
  <c r="BE27" i="14609"/>
  <c r="BF27" i="14609"/>
  <c r="BG27" i="14609"/>
  <c r="BH27" i="14609"/>
  <c r="BI27" i="14609"/>
  <c r="BJ27" i="14609"/>
  <c r="BK27" i="14609"/>
  <c r="BL27" i="14609"/>
  <c r="BM27" i="14609"/>
  <c r="BN27" i="14609"/>
  <c r="BO27" i="14609"/>
  <c r="BP27" i="14609"/>
  <c r="BQ27" i="14609"/>
  <c r="BR27" i="14609"/>
  <c r="BS27" i="14609"/>
  <c r="BT27" i="14609"/>
  <c r="BU27" i="14609"/>
  <c r="BV27" i="14609"/>
  <c r="BW27" i="14609"/>
  <c r="BX27" i="14609"/>
  <c r="BY27" i="14609"/>
  <c r="BZ27" i="14609"/>
  <c r="CA27" i="14609"/>
  <c r="CB27" i="14609"/>
  <c r="CC27" i="14609"/>
  <c r="CD27" i="14609"/>
  <c r="CE27" i="14609"/>
  <c r="CF27" i="14609"/>
  <c r="CG27" i="14609"/>
  <c r="CH27" i="14609"/>
  <c r="CI27" i="14609"/>
  <c r="CJ27" i="14609"/>
  <c r="CK27" i="14609"/>
  <c r="CL27" i="14609"/>
  <c r="CM27" i="14609"/>
  <c r="CN27" i="14609"/>
  <c r="CO27" i="14609"/>
  <c r="CP27" i="14609"/>
  <c r="CQ27" i="14609"/>
  <c r="CR27" i="14609"/>
  <c r="CS27" i="14609"/>
  <c r="CT27" i="14609"/>
  <c r="CU27" i="14609"/>
  <c r="CV27" i="14609"/>
  <c r="CW27" i="14609"/>
  <c r="CX27" i="14609"/>
  <c r="CY27" i="14609"/>
  <c r="CZ27" i="14609"/>
  <c r="DA27" i="14609"/>
  <c r="DB27" i="14609"/>
  <c r="DC27" i="14609"/>
  <c r="DD27" i="14609"/>
  <c r="DE27" i="14609"/>
  <c r="DF27" i="14609"/>
  <c r="DG27" i="14609"/>
  <c r="DH27" i="14609"/>
  <c r="DI27" i="14609"/>
  <c r="DJ27" i="14609"/>
  <c r="DK27" i="14609"/>
  <c r="DL27" i="14609"/>
  <c r="DM27" i="14609"/>
  <c r="DN27" i="14609"/>
  <c r="DO27" i="14609"/>
  <c r="DP27" i="14609"/>
  <c r="DQ27" i="14609"/>
  <c r="DR27" i="14609"/>
  <c r="DS27" i="14609"/>
  <c r="DT27" i="14609"/>
  <c r="DU27" i="14609"/>
  <c r="DV27" i="14609"/>
  <c r="DW27" i="14609"/>
  <c r="DX27" i="14609"/>
  <c r="DY27" i="14609"/>
  <c r="DZ27" i="14609"/>
  <c r="EA27" i="14609"/>
  <c r="EB27" i="14609"/>
  <c r="EC27" i="14609"/>
  <c r="ED27" i="14609"/>
  <c r="EE27" i="14609"/>
  <c r="EF27" i="14609"/>
  <c r="EG27" i="14609"/>
  <c r="EH27" i="14609"/>
  <c r="EI27" i="14609"/>
  <c r="EJ27" i="14609"/>
  <c r="EK27" i="14609"/>
  <c r="EL27" i="14609"/>
  <c r="EM27" i="14609"/>
  <c r="EN27" i="14609"/>
  <c r="EO27" i="14609"/>
  <c r="EP27" i="14609"/>
  <c r="EQ27" i="14609"/>
  <c r="ER27" i="14609"/>
  <c r="ES27" i="14609"/>
  <c r="ET27" i="14609"/>
  <c r="EU27" i="14609"/>
  <c r="EV27" i="14609"/>
  <c r="EW27" i="14609"/>
  <c r="EX27" i="14609"/>
  <c r="EY27" i="14609"/>
  <c r="EZ27" i="14609"/>
  <c r="FA27" i="14609"/>
  <c r="FB27" i="14609"/>
  <c r="FC27" i="14609"/>
  <c r="FD27" i="14609"/>
  <c r="FE27" i="14609"/>
  <c r="FF27" i="14609"/>
  <c r="FG27" i="14609"/>
  <c r="FH27" i="14609"/>
  <c r="FI27" i="14609"/>
  <c r="FJ27" i="14609"/>
  <c r="FK27" i="14609"/>
  <c r="FL27" i="14609"/>
  <c r="FM27" i="14609"/>
  <c r="FN27" i="14609"/>
  <c r="FO27" i="14609"/>
  <c r="FP27" i="14609"/>
  <c r="FQ27" i="14609"/>
  <c r="FR27" i="14609"/>
  <c r="FS27" i="14609"/>
  <c r="FT27" i="14609"/>
  <c r="FU27" i="14609"/>
  <c r="FV27" i="14609"/>
  <c r="FW27" i="14609"/>
  <c r="FX27" i="14609"/>
  <c r="FY27" i="14609"/>
  <c r="FZ27" i="14609"/>
  <c r="GA27" i="14609"/>
  <c r="GB27" i="14609"/>
  <c r="GC27" i="14609"/>
  <c r="GD27" i="14609"/>
  <c r="GE27" i="14609"/>
  <c r="GF27" i="14609"/>
  <c r="GG27" i="14609"/>
  <c r="GH27" i="14609"/>
  <c r="GI27" i="14609"/>
  <c r="GJ27" i="14609"/>
  <c r="GK27" i="14609"/>
  <c r="GL27" i="14609"/>
  <c r="GM27" i="14609"/>
  <c r="GN27" i="14609"/>
  <c r="GO27" i="14609"/>
  <c r="GP27" i="14609"/>
  <c r="GQ27" i="14609"/>
  <c r="GR27" i="14609"/>
  <c r="GS27" i="14609"/>
  <c r="GT27" i="14609"/>
  <c r="GU27" i="14609"/>
  <c r="GV27" i="14609"/>
  <c r="GW27" i="14609"/>
  <c r="GX27" i="14609"/>
  <c r="GY27" i="14609"/>
  <c r="GZ27" i="14609"/>
  <c r="HA27" i="14609"/>
  <c r="HB27" i="14609"/>
  <c r="HC27" i="14609"/>
  <c r="HD27" i="14609"/>
  <c r="HE27" i="14609"/>
  <c r="HF27" i="14609"/>
  <c r="HG27" i="14609"/>
  <c r="HH27" i="14609"/>
  <c r="HI27" i="14609"/>
  <c r="HJ27" i="14609"/>
  <c r="HK27" i="14609"/>
  <c r="HL27" i="14609"/>
  <c r="HM27" i="14609"/>
  <c r="HN27" i="14609"/>
  <c r="HO27" i="14609"/>
  <c r="HP27" i="14609"/>
  <c r="HQ27" i="14609"/>
  <c r="HR27" i="14609"/>
  <c r="HS27" i="14609"/>
  <c r="HT27" i="14609"/>
  <c r="HU27" i="14609"/>
  <c r="HV27" i="14609"/>
  <c r="HW27" i="14609"/>
  <c r="HX27" i="14609"/>
  <c r="HY27" i="14609"/>
  <c r="HZ27" i="14609"/>
  <c r="IA27" i="14609"/>
  <c r="IB27" i="14609"/>
  <c r="IC27" i="14609"/>
  <c r="ID27" i="14609"/>
  <c r="IE27" i="14609"/>
  <c r="IF27" i="14609"/>
  <c r="IG27" i="14609"/>
  <c r="IH27" i="14609"/>
  <c r="II27" i="14609"/>
  <c r="IJ27" i="14609"/>
  <c r="IK27" i="14609"/>
  <c r="IL27" i="14609"/>
  <c r="IM27" i="14609"/>
  <c r="IN27" i="14609"/>
  <c r="IO27" i="14609"/>
  <c r="IP27" i="14609"/>
  <c r="IQ27" i="14609"/>
  <c r="IR27" i="14609"/>
  <c r="IS27" i="14609"/>
  <c r="IT27" i="14609"/>
  <c r="IU27" i="14609"/>
  <c r="IV27" i="14609"/>
  <c r="A26" i="14609"/>
  <c r="B26" i="14609"/>
  <c r="C26" i="14609"/>
  <c r="D26" i="14609"/>
  <c r="E26" i="14609"/>
  <c r="F26" i="14609"/>
  <c r="G26" i="14609"/>
  <c r="H26" i="14609"/>
  <c r="I26" i="14609"/>
  <c r="J26" i="14609"/>
  <c r="K26" i="14609"/>
  <c r="L26" i="14609"/>
  <c r="M26" i="14609"/>
  <c r="N26" i="14609"/>
  <c r="O26" i="14609"/>
  <c r="P26" i="14609"/>
  <c r="Q26" i="14609"/>
  <c r="R26" i="14609"/>
  <c r="S26" i="14609"/>
  <c r="T26" i="14609"/>
  <c r="U26" i="14609"/>
  <c r="V26" i="14609"/>
  <c r="W26" i="14609"/>
  <c r="X26" i="14609"/>
  <c r="Y26" i="14609"/>
  <c r="Z26" i="14609"/>
  <c r="AA26" i="14609"/>
  <c r="AB26" i="14609"/>
  <c r="AC26" i="14609"/>
  <c r="AD26" i="14609"/>
  <c r="AE26" i="14609"/>
  <c r="AF26" i="14609"/>
  <c r="AG26" i="14609"/>
  <c r="AH26" i="14609"/>
  <c r="AI26" i="14609"/>
  <c r="AJ26" i="14609"/>
  <c r="AK26" i="14609"/>
  <c r="AL26" i="14609"/>
  <c r="AM26" i="14609"/>
  <c r="AN26" i="14609"/>
  <c r="AO26" i="14609"/>
  <c r="AP26" i="14609"/>
  <c r="AQ26" i="14609"/>
  <c r="AR26" i="14609"/>
  <c r="AS26" i="14609"/>
  <c r="AT26" i="14609"/>
  <c r="AU26" i="14609"/>
  <c r="AV26" i="14609"/>
  <c r="AW26" i="14609"/>
  <c r="AX26" i="14609"/>
  <c r="AY26" i="14609"/>
  <c r="AZ26" i="14609"/>
  <c r="BA26" i="14609"/>
  <c r="BB26" i="14609"/>
  <c r="BC26" i="14609"/>
  <c r="BD26" i="14609"/>
  <c r="BE26" i="14609"/>
  <c r="BF26" i="14609"/>
  <c r="BG26" i="14609"/>
  <c r="BH26" i="14609"/>
  <c r="BI26" i="14609"/>
  <c r="BJ26" i="14609"/>
  <c r="BK26" i="14609"/>
  <c r="BL26" i="14609"/>
  <c r="BM26" i="14609"/>
  <c r="BN26" i="14609"/>
  <c r="BO26" i="14609"/>
  <c r="BP26" i="14609"/>
  <c r="BQ26" i="14609"/>
  <c r="BR26" i="14609"/>
  <c r="BS26" i="14609"/>
  <c r="BT26" i="14609"/>
  <c r="BU26" i="14609"/>
  <c r="BV26" i="14609"/>
  <c r="BW26" i="14609"/>
  <c r="BX26" i="14609"/>
  <c r="BY26" i="14609"/>
  <c r="BZ26" i="14609"/>
  <c r="CA26" i="14609"/>
  <c r="CB26" i="14609"/>
  <c r="CC26" i="14609"/>
  <c r="CD26" i="14609"/>
  <c r="CE26" i="14609"/>
  <c r="CF26" i="14609"/>
  <c r="CG26" i="14609"/>
  <c r="CH26" i="14609"/>
  <c r="CI26" i="14609"/>
  <c r="CJ26" i="14609"/>
  <c r="CK26" i="14609"/>
  <c r="CL26" i="14609"/>
  <c r="CM26" i="14609"/>
  <c r="CN26" i="14609"/>
  <c r="CO26" i="14609"/>
  <c r="CP26" i="14609"/>
  <c r="CQ26" i="14609"/>
  <c r="CR26" i="14609"/>
  <c r="CS26" i="14609"/>
  <c r="CT26" i="14609"/>
  <c r="CU26" i="14609"/>
  <c r="CV26" i="14609"/>
  <c r="CW26" i="14609"/>
  <c r="CX26" i="14609"/>
  <c r="CY26" i="14609"/>
  <c r="CZ26" i="14609"/>
  <c r="DA26" i="14609"/>
  <c r="DB26" i="14609"/>
  <c r="DC26" i="14609"/>
  <c r="DD26" i="14609"/>
  <c r="DE26" i="14609"/>
  <c r="DF26" i="14609"/>
  <c r="DG26" i="14609"/>
  <c r="DH26" i="14609"/>
  <c r="DI26" i="14609"/>
  <c r="DJ26" i="14609"/>
  <c r="DK26" i="14609"/>
  <c r="DL26" i="14609"/>
  <c r="DM26" i="14609"/>
  <c r="DN26" i="14609"/>
  <c r="DO26" i="14609"/>
  <c r="DP26" i="14609"/>
  <c r="DQ26" i="14609"/>
  <c r="DR26" i="14609"/>
  <c r="DS26" i="14609"/>
  <c r="DT26" i="14609"/>
  <c r="DU26" i="14609"/>
  <c r="DV26" i="14609"/>
  <c r="DW26" i="14609"/>
  <c r="DX26" i="14609"/>
  <c r="DY26" i="14609"/>
  <c r="DZ26" i="14609"/>
  <c r="EA26" i="14609"/>
  <c r="EB26" i="14609"/>
  <c r="EC26" i="14609"/>
  <c r="ED26" i="14609"/>
  <c r="EE26" i="14609"/>
  <c r="EF26" i="14609"/>
  <c r="EG26" i="14609"/>
  <c r="EH26" i="14609"/>
  <c r="EI26" i="14609"/>
  <c r="EJ26" i="14609"/>
  <c r="EK26" i="14609"/>
  <c r="EL26" i="14609"/>
  <c r="EM26" i="14609"/>
  <c r="EN26" i="14609"/>
  <c r="EO26" i="14609"/>
  <c r="EP26" i="14609"/>
  <c r="EQ26" i="14609"/>
  <c r="ER26" i="14609"/>
  <c r="ES26" i="14609"/>
  <c r="ET26" i="14609"/>
  <c r="EU26" i="14609"/>
  <c r="EV26" i="14609"/>
  <c r="EW26" i="14609"/>
  <c r="EX26" i="14609"/>
  <c r="EY26" i="14609"/>
  <c r="EZ26" i="14609"/>
  <c r="FA26" i="14609"/>
  <c r="FB26" i="14609"/>
  <c r="FC26" i="14609"/>
  <c r="FD26" i="14609"/>
  <c r="FE26" i="14609"/>
  <c r="FF26" i="14609"/>
  <c r="FG26" i="14609"/>
  <c r="FH26" i="14609"/>
  <c r="FI26" i="14609"/>
  <c r="FJ26" i="14609"/>
  <c r="FK26" i="14609"/>
  <c r="FL26" i="14609"/>
  <c r="FM26" i="14609"/>
  <c r="FN26" i="14609"/>
  <c r="FO26" i="14609"/>
  <c r="FP26" i="14609"/>
  <c r="FQ26" i="14609"/>
  <c r="FR26" i="14609"/>
  <c r="FS26" i="14609"/>
  <c r="FT26" i="14609"/>
  <c r="FU26" i="14609"/>
  <c r="FV26" i="14609"/>
  <c r="FW26" i="14609"/>
  <c r="FX26" i="14609"/>
  <c r="FY26" i="14609"/>
  <c r="FZ26" i="14609"/>
  <c r="GA26" i="14609"/>
  <c r="GB26" i="14609"/>
  <c r="GC26" i="14609"/>
  <c r="GD26" i="14609"/>
  <c r="GE26" i="14609"/>
  <c r="GF26" i="14609"/>
  <c r="GG26" i="14609"/>
  <c r="GH26" i="14609"/>
  <c r="GI26" i="14609"/>
  <c r="GJ26" i="14609"/>
  <c r="GK26" i="14609"/>
  <c r="GL26" i="14609"/>
  <c r="GM26" i="14609"/>
  <c r="GN26" i="14609"/>
  <c r="GO26" i="14609"/>
  <c r="GP26" i="14609"/>
  <c r="GQ26" i="14609"/>
  <c r="GR26" i="14609"/>
  <c r="GS26" i="14609"/>
  <c r="GT26" i="14609"/>
  <c r="GU26" i="14609"/>
  <c r="GV26" i="14609"/>
  <c r="GW26" i="14609"/>
  <c r="GX26" i="14609"/>
  <c r="GY26" i="14609"/>
  <c r="GZ26" i="14609"/>
  <c r="HA26" i="14609"/>
  <c r="HB26" i="14609"/>
  <c r="HC26" i="14609"/>
  <c r="HD26" i="14609"/>
  <c r="HE26" i="14609"/>
  <c r="HF26" i="14609"/>
  <c r="HG26" i="14609"/>
  <c r="HH26" i="14609"/>
  <c r="HI26" i="14609"/>
  <c r="HJ26" i="14609"/>
  <c r="HK26" i="14609"/>
  <c r="HL26" i="14609"/>
  <c r="HM26" i="14609"/>
  <c r="HN26" i="14609"/>
  <c r="HO26" i="14609"/>
  <c r="HP26" i="14609"/>
  <c r="HQ26" i="14609"/>
  <c r="HR26" i="14609"/>
  <c r="HS26" i="14609"/>
  <c r="HT26" i="14609"/>
  <c r="HU26" i="14609"/>
  <c r="HV26" i="14609"/>
  <c r="HW26" i="14609"/>
  <c r="HX26" i="14609"/>
  <c r="HY26" i="14609"/>
  <c r="HZ26" i="14609"/>
  <c r="IA26" i="14609"/>
  <c r="IB26" i="14609"/>
  <c r="IC26" i="14609"/>
  <c r="ID26" i="14609"/>
  <c r="IE26" i="14609"/>
  <c r="IF26" i="14609"/>
  <c r="IG26" i="14609"/>
  <c r="IH26" i="14609"/>
  <c r="II26" i="14609"/>
  <c r="IJ26" i="14609"/>
  <c r="IK26" i="14609"/>
  <c r="IL26" i="14609"/>
  <c r="IM26" i="14609"/>
  <c r="IN26" i="14609"/>
  <c r="IO26" i="14609"/>
  <c r="IP26" i="14609"/>
  <c r="IQ26" i="14609"/>
  <c r="IR26" i="14609"/>
  <c r="IS26" i="14609"/>
  <c r="IT26" i="14609"/>
  <c r="IU26" i="14609"/>
  <c r="IV26" i="14609"/>
  <c r="A25" i="14609"/>
  <c r="B25" i="14609"/>
  <c r="C25" i="14609"/>
  <c r="D25" i="14609"/>
  <c r="E25" i="14609"/>
  <c r="F25" i="14609"/>
  <c r="G25" i="14609"/>
  <c r="H25" i="14609"/>
  <c r="I25" i="14609"/>
  <c r="J25" i="14609"/>
  <c r="K25" i="14609"/>
  <c r="L25" i="14609"/>
  <c r="M25" i="14609"/>
  <c r="N25" i="14609"/>
  <c r="O25" i="14609"/>
  <c r="P25" i="14609"/>
  <c r="Q25" i="14609"/>
  <c r="R25" i="14609"/>
  <c r="S25" i="14609"/>
  <c r="T25" i="14609"/>
  <c r="U25" i="14609"/>
  <c r="V25" i="14609"/>
  <c r="W25" i="14609"/>
  <c r="X25" i="14609"/>
  <c r="Y25" i="14609"/>
  <c r="Z25" i="14609"/>
  <c r="AA25" i="14609"/>
  <c r="AB25" i="14609"/>
  <c r="AD25" i="14609"/>
  <c r="AE25" i="14609"/>
  <c r="AF25" i="14609"/>
  <c r="AG25" i="14609"/>
  <c r="AH25" i="14609"/>
  <c r="AI25" i="14609"/>
  <c r="AJ25" i="14609"/>
  <c r="AK25" i="14609"/>
  <c r="AL25" i="14609"/>
  <c r="AM25" i="14609"/>
  <c r="AN25" i="14609"/>
  <c r="AO25" i="14609"/>
  <c r="AP25" i="14609"/>
  <c r="AQ25" i="14609"/>
  <c r="AR25" i="14609"/>
  <c r="AS25" i="14609"/>
  <c r="AT25" i="14609"/>
  <c r="AU25" i="14609"/>
  <c r="AV25" i="14609"/>
  <c r="AW25" i="14609"/>
  <c r="AX25" i="14609"/>
  <c r="AY25" i="14609"/>
  <c r="AZ25" i="14609"/>
  <c r="BA25" i="14609"/>
  <c r="BB25" i="14609"/>
  <c r="BC25" i="14609"/>
  <c r="BD25" i="14609"/>
  <c r="BE25" i="14609"/>
  <c r="BF25" i="14609"/>
  <c r="BG25" i="14609"/>
  <c r="BH25" i="14609"/>
  <c r="BI25" i="14609"/>
  <c r="BJ25" i="14609"/>
  <c r="BK25" i="14609"/>
  <c r="BL25" i="14609"/>
  <c r="BM25" i="14609"/>
  <c r="BN25" i="14609"/>
  <c r="BO25" i="14609"/>
  <c r="BP25" i="14609"/>
  <c r="BQ25" i="14609"/>
  <c r="BR25" i="14609"/>
  <c r="BS25" i="14609"/>
  <c r="BT25" i="14609"/>
  <c r="BU25" i="14609"/>
  <c r="BV25" i="14609"/>
  <c r="BW25" i="14609"/>
  <c r="BX25" i="14609"/>
  <c r="BY25" i="14609"/>
  <c r="BZ25" i="14609"/>
  <c r="CA25" i="14609"/>
  <c r="CB25" i="14609"/>
  <c r="CC25" i="14609"/>
  <c r="CD25" i="14609"/>
  <c r="CE25" i="14609"/>
  <c r="CF25" i="14609"/>
  <c r="CG25" i="14609"/>
  <c r="CH25" i="14609"/>
  <c r="CI25" i="14609"/>
  <c r="CJ25" i="14609"/>
  <c r="CK25" i="14609"/>
  <c r="CL25" i="14609"/>
  <c r="CM25" i="14609"/>
  <c r="CN25" i="14609"/>
  <c r="CO25" i="14609"/>
  <c r="CP25" i="14609"/>
  <c r="CQ25" i="14609"/>
  <c r="CR25" i="14609"/>
  <c r="CS25" i="14609"/>
  <c r="CT25" i="14609"/>
  <c r="CU25" i="14609"/>
  <c r="CV25" i="14609"/>
  <c r="CW25" i="14609"/>
  <c r="CX25" i="14609"/>
  <c r="CY25" i="14609"/>
  <c r="CZ25" i="14609"/>
  <c r="DA25" i="14609"/>
  <c r="DB25" i="14609"/>
  <c r="DC25" i="14609"/>
  <c r="DD25" i="14609"/>
  <c r="DE25" i="14609"/>
  <c r="DF25" i="14609"/>
  <c r="DG25" i="14609"/>
  <c r="DH25" i="14609"/>
  <c r="DI25" i="14609"/>
  <c r="DJ25" i="14609"/>
  <c r="DK25" i="14609"/>
  <c r="DL25" i="14609"/>
  <c r="DM25" i="14609"/>
  <c r="DN25" i="14609"/>
  <c r="DO25" i="14609"/>
  <c r="DP25" i="14609"/>
  <c r="DQ25" i="14609"/>
  <c r="DR25" i="14609"/>
  <c r="DS25" i="14609"/>
  <c r="DT25" i="14609"/>
  <c r="DU25" i="14609"/>
  <c r="DV25" i="14609"/>
  <c r="DW25" i="14609"/>
  <c r="DX25" i="14609"/>
  <c r="DY25" i="14609"/>
  <c r="DZ25" i="14609"/>
  <c r="EA25" i="14609"/>
  <c r="EB25" i="14609"/>
  <c r="EC25" i="14609"/>
  <c r="ED25" i="14609"/>
  <c r="EE25" i="14609"/>
  <c r="EF25" i="14609"/>
  <c r="EG25" i="14609"/>
  <c r="EI25" i="14609"/>
  <c r="EJ25" i="14609"/>
  <c r="EK25" i="14609"/>
  <c r="EL25" i="14609"/>
  <c r="EP25" i="14609"/>
  <c r="EQ25" i="14609"/>
  <c r="ER25" i="14609"/>
  <c r="ES25" i="14609"/>
  <c r="ET25" i="14609"/>
  <c r="EU25" i="14609"/>
  <c r="EW25" i="14609"/>
  <c r="EX25" i="14609"/>
  <c r="EY25" i="14609"/>
  <c r="EZ25" i="14609"/>
  <c r="FA25" i="14609"/>
  <c r="FD25" i="14609"/>
  <c r="FE25" i="14609"/>
  <c r="FF25" i="14609"/>
  <c r="FG25" i="14609"/>
  <c r="FO25" i="14609"/>
  <c r="FP25" i="14609"/>
  <c r="FQ25" i="14609"/>
  <c r="FW25" i="14609"/>
  <c r="GG25" i="14609"/>
  <c r="GH25" i="14609"/>
  <c r="GI25" i="14609"/>
  <c r="GJ25" i="14609"/>
  <c r="GK25" i="14609"/>
  <c r="GL25" i="14609"/>
  <c r="GM25" i="14609"/>
  <c r="GN25" i="14609"/>
  <c r="GO25" i="14609"/>
  <c r="GP25" i="14609"/>
  <c r="GQ25" i="14609"/>
  <c r="GR25" i="14609"/>
  <c r="GS25" i="14609"/>
  <c r="GT25" i="14609"/>
  <c r="GU25" i="14609"/>
  <c r="GV25" i="14609"/>
  <c r="GW25" i="14609"/>
  <c r="GX25" i="14609"/>
  <c r="GY25" i="14609"/>
  <c r="GZ25" i="14609"/>
  <c r="HA25" i="14609"/>
  <c r="HB25" i="14609"/>
  <c r="HC25" i="14609"/>
  <c r="HD25" i="14609"/>
  <c r="HE25" i="14609"/>
  <c r="HF25" i="14609"/>
  <c r="HG25" i="14609"/>
  <c r="HH25" i="14609"/>
  <c r="HI25" i="14609"/>
  <c r="HJ25" i="14609"/>
  <c r="HK25" i="14609"/>
  <c r="HL25" i="14609"/>
  <c r="HM25" i="14609"/>
  <c r="HN25" i="14609"/>
  <c r="HO25" i="14609"/>
  <c r="HP25" i="14609"/>
  <c r="HQ25" i="14609"/>
  <c r="HR25" i="14609"/>
  <c r="HS25" i="14609"/>
  <c r="HT25" i="14609"/>
  <c r="HU25" i="14609"/>
  <c r="HV25" i="14609"/>
  <c r="HW25" i="14609"/>
  <c r="HX25" i="14609"/>
  <c r="HY25" i="14609"/>
  <c r="HZ25" i="14609"/>
  <c r="IA25" i="14609"/>
  <c r="IB25" i="14609"/>
  <c r="IC25" i="14609"/>
  <c r="ID25" i="14609"/>
  <c r="IE25" i="14609"/>
  <c r="IF25" i="14609"/>
  <c r="IG25" i="14609"/>
  <c r="IH25" i="14609"/>
  <c r="II25" i="14609"/>
  <c r="IJ25" i="14609"/>
  <c r="IK25" i="14609"/>
  <c r="IL25" i="14609"/>
  <c r="IM25" i="14609"/>
  <c r="IN25" i="14609"/>
  <c r="IO25" i="14609"/>
  <c r="IP25" i="14609"/>
  <c r="IQ25" i="14609"/>
  <c r="IR25" i="14609"/>
  <c r="IS25" i="14609"/>
  <c r="IT25" i="14609"/>
  <c r="IU25" i="14609"/>
  <c r="IV25" i="14609"/>
  <c r="A24" i="14609"/>
  <c r="B24" i="14609"/>
  <c r="C24" i="14609"/>
  <c r="D24" i="14609"/>
  <c r="E24" i="14609"/>
  <c r="F24" i="14609"/>
  <c r="G24" i="14609"/>
  <c r="H24" i="14609"/>
  <c r="I24" i="14609"/>
  <c r="J24" i="14609"/>
  <c r="K24" i="14609"/>
  <c r="L24" i="14609"/>
  <c r="M24" i="14609"/>
  <c r="N24" i="14609"/>
  <c r="O24" i="14609"/>
  <c r="P24" i="14609"/>
  <c r="Q24" i="14609"/>
  <c r="R24" i="14609"/>
  <c r="S24" i="14609"/>
  <c r="T24" i="14609"/>
  <c r="U24" i="14609"/>
  <c r="V24" i="14609"/>
  <c r="W24" i="14609"/>
  <c r="X24" i="14609"/>
  <c r="Y24" i="14609"/>
  <c r="Z24" i="14609"/>
  <c r="AA24" i="14609"/>
  <c r="AB24" i="14609"/>
  <c r="AC24" i="14609"/>
  <c r="AD24" i="14609"/>
  <c r="AE24" i="14609"/>
  <c r="AF24" i="14609"/>
  <c r="AG24" i="14609"/>
  <c r="AH24" i="14609"/>
  <c r="AI24" i="14609"/>
  <c r="AJ24" i="14609"/>
  <c r="AK24" i="14609"/>
  <c r="AL24" i="14609"/>
  <c r="AM24" i="14609"/>
  <c r="AO24" i="14609"/>
  <c r="AP24" i="14609"/>
  <c r="AQ24" i="14609"/>
  <c r="AR24" i="14609"/>
  <c r="AS24" i="14609"/>
  <c r="AT24" i="14609"/>
  <c r="AU24" i="14609"/>
  <c r="AV24" i="14609"/>
  <c r="AW24" i="14609"/>
  <c r="AX24" i="14609"/>
  <c r="AY24" i="14609"/>
  <c r="AZ24" i="14609"/>
  <c r="BA24" i="14609"/>
  <c r="BB24" i="14609"/>
  <c r="BC24" i="14609"/>
  <c r="BD24" i="14609"/>
  <c r="BE24" i="14609"/>
  <c r="BF24" i="14609"/>
  <c r="BG24" i="14609"/>
  <c r="BH24" i="14609"/>
  <c r="BI24" i="14609"/>
  <c r="BJ24" i="14609"/>
  <c r="BK24" i="14609"/>
  <c r="BL24" i="14609"/>
  <c r="BM24" i="14609"/>
  <c r="BN24" i="14609"/>
  <c r="BO24" i="14609"/>
  <c r="BP24" i="14609"/>
  <c r="BQ24" i="14609"/>
  <c r="BR24" i="14609"/>
  <c r="BS24" i="14609"/>
  <c r="BU24" i="14609"/>
  <c r="BV24" i="14609"/>
  <c r="BX24" i="14609"/>
  <c r="BY24" i="14609"/>
  <c r="BZ24" i="14609"/>
  <c r="CA24" i="14609"/>
  <c r="CB24" i="14609"/>
  <c r="CC24" i="14609"/>
  <c r="CD24" i="14609"/>
  <c r="CE24" i="14609"/>
  <c r="CG24" i="14609"/>
  <c r="CI24" i="14609"/>
  <c r="CJ24" i="14609"/>
  <c r="CK24" i="14609"/>
  <c r="CL24" i="14609"/>
  <c r="CM24" i="14609"/>
  <c r="CN24" i="14609"/>
  <c r="CO24" i="14609"/>
  <c r="CP24" i="14609"/>
  <c r="CQ24" i="14609"/>
  <c r="CR24" i="14609"/>
  <c r="CS24" i="14609"/>
  <c r="CT24" i="14609"/>
  <c r="CU24" i="14609"/>
  <c r="CV24" i="14609"/>
  <c r="CW24" i="14609"/>
  <c r="CX24" i="14609"/>
  <c r="CY24" i="14609"/>
  <c r="CZ24" i="14609"/>
  <c r="DA24" i="14609"/>
  <c r="DB24" i="14609"/>
  <c r="DC24" i="14609"/>
  <c r="DE24" i="14609"/>
  <c r="DF24" i="14609"/>
  <c r="DG24" i="14609"/>
  <c r="DH24" i="14609"/>
  <c r="DI24" i="14609"/>
  <c r="DJ24" i="14609"/>
  <c r="DK24" i="14609"/>
  <c r="DL24" i="14609"/>
  <c r="DM24" i="14609"/>
  <c r="DN24" i="14609"/>
  <c r="DO24" i="14609"/>
  <c r="DP24" i="14609"/>
  <c r="DQ24" i="14609"/>
  <c r="DR24" i="14609"/>
  <c r="DS24" i="14609"/>
  <c r="DT24" i="14609"/>
  <c r="DU24" i="14609"/>
  <c r="DV24" i="14609"/>
  <c r="DW24" i="14609"/>
  <c r="DX24" i="14609"/>
  <c r="DY24" i="14609"/>
  <c r="DZ24" i="14609"/>
  <c r="EA24" i="14609"/>
  <c r="EB24" i="14609"/>
  <c r="EC24" i="14609"/>
  <c r="ED24" i="14609"/>
  <c r="EE24" i="14609"/>
  <c r="EF24" i="14609"/>
  <c r="EG24" i="14609"/>
  <c r="EH24" i="14609"/>
  <c r="EI24" i="14609"/>
  <c r="EJ24" i="14609"/>
  <c r="EK24" i="14609"/>
  <c r="EL24" i="14609"/>
  <c r="EM24" i="14609"/>
  <c r="EN24" i="14609"/>
  <c r="EO24" i="14609"/>
  <c r="EP24" i="14609"/>
  <c r="EQ24" i="14609"/>
  <c r="ER24" i="14609"/>
  <c r="ES24" i="14609"/>
  <c r="ET24" i="14609"/>
  <c r="EU24" i="14609"/>
  <c r="EV24" i="14609"/>
  <c r="EW24" i="14609"/>
  <c r="EX24" i="14609"/>
  <c r="EY24" i="14609"/>
  <c r="EZ24" i="14609"/>
  <c r="FA24" i="14609"/>
  <c r="FB24" i="14609"/>
  <c r="FC24" i="14609"/>
  <c r="FD24" i="14609"/>
  <c r="FE24" i="14609"/>
  <c r="FF24" i="14609"/>
  <c r="FG24" i="14609"/>
  <c r="FH24" i="14609"/>
  <c r="FI24" i="14609"/>
  <c r="FJ24" i="14609"/>
  <c r="FK24" i="14609"/>
  <c r="FL24" i="14609"/>
  <c r="FM24" i="14609"/>
  <c r="FN24" i="14609"/>
  <c r="FO24" i="14609"/>
  <c r="FP24" i="14609"/>
  <c r="FQ24" i="14609"/>
  <c r="FR24" i="14609"/>
  <c r="FS24" i="14609"/>
  <c r="FT24" i="14609"/>
  <c r="FU24" i="14609"/>
  <c r="FV24" i="14609"/>
  <c r="FW24" i="14609"/>
  <c r="FX24" i="14609"/>
  <c r="FY24" i="14609"/>
  <c r="FZ24" i="14609"/>
  <c r="GA24" i="14609"/>
  <c r="GB24" i="14609"/>
  <c r="GC24" i="14609"/>
  <c r="GD24" i="14609"/>
  <c r="GE24" i="14609"/>
  <c r="GF24" i="14609"/>
  <c r="GG24" i="14609"/>
  <c r="GH24" i="14609"/>
  <c r="GI24" i="14609"/>
  <c r="GJ24" i="14609"/>
  <c r="GK24" i="14609"/>
  <c r="GL24" i="14609"/>
  <c r="GM24" i="14609"/>
  <c r="GN24" i="14609"/>
  <c r="GO24" i="14609"/>
  <c r="GP24" i="14609"/>
  <c r="GQ24" i="14609"/>
  <c r="GR24" i="14609"/>
  <c r="GS24" i="14609"/>
  <c r="GT24" i="14609"/>
  <c r="GU24" i="14609"/>
  <c r="GV24" i="14609"/>
  <c r="GW24" i="14609"/>
  <c r="GX24" i="14609"/>
  <c r="GY24" i="14609"/>
  <c r="GZ24" i="14609"/>
  <c r="HA24" i="14609"/>
  <c r="HB24" i="14609"/>
  <c r="HC24" i="14609"/>
  <c r="HD24" i="14609"/>
  <c r="HE24" i="14609"/>
  <c r="HF24" i="14609"/>
  <c r="HG24" i="14609"/>
  <c r="HH24" i="14609"/>
  <c r="HI24" i="14609"/>
  <c r="HJ24" i="14609"/>
  <c r="HK24" i="14609"/>
  <c r="HL24" i="14609"/>
  <c r="HM24" i="14609"/>
  <c r="HP24" i="14609"/>
  <c r="HQ24" i="14609"/>
  <c r="HR24" i="14609"/>
  <c r="HS24" i="14609"/>
  <c r="HT24" i="14609"/>
  <c r="HU24" i="14609"/>
  <c r="HV24" i="14609"/>
  <c r="HW24" i="14609"/>
  <c r="HX24" i="14609"/>
  <c r="HY24" i="14609"/>
  <c r="HZ24" i="14609"/>
  <c r="IA24" i="14609"/>
  <c r="IB24" i="14609"/>
  <c r="IC24" i="14609"/>
  <c r="ID24" i="14609"/>
  <c r="IE24" i="14609"/>
  <c r="IF24" i="14609"/>
  <c r="IG24" i="14609"/>
  <c r="IH24" i="14609"/>
  <c r="II24" i="14609"/>
  <c r="IJ24" i="14609"/>
  <c r="IK24" i="14609"/>
  <c r="IL24" i="14609"/>
  <c r="IM24" i="14609"/>
  <c r="IN24" i="14609"/>
  <c r="IO24" i="14609"/>
  <c r="IP24" i="14609"/>
  <c r="IQ24" i="14609"/>
  <c r="IR24" i="14609"/>
  <c r="IS24" i="14609"/>
  <c r="IT24" i="14609"/>
  <c r="IU24" i="14609"/>
  <c r="IV24" i="14609"/>
  <c r="A23" i="14609"/>
  <c r="B23" i="14609"/>
  <c r="C23" i="14609"/>
  <c r="D23" i="14609"/>
  <c r="E23" i="14609"/>
  <c r="F23" i="14609"/>
  <c r="G23" i="14609"/>
  <c r="H23" i="14609"/>
  <c r="I23" i="14609"/>
  <c r="K23" i="14609"/>
  <c r="L23" i="14609"/>
  <c r="M23" i="14609"/>
  <c r="N23" i="14609"/>
  <c r="O23" i="14609"/>
  <c r="P23" i="14609"/>
  <c r="Q23" i="14609"/>
  <c r="R23" i="14609"/>
  <c r="S23" i="14609"/>
  <c r="T23" i="14609"/>
  <c r="U23" i="14609"/>
  <c r="V23" i="14609"/>
  <c r="W23" i="14609"/>
  <c r="X23" i="14609"/>
  <c r="Y23" i="14609"/>
  <c r="Z23" i="14609"/>
  <c r="AA23" i="14609"/>
  <c r="AB23" i="14609"/>
  <c r="AC23" i="14609"/>
  <c r="AD23" i="14609"/>
  <c r="AE23" i="14609"/>
  <c r="AF23" i="14609"/>
  <c r="AG23" i="14609"/>
  <c r="AH23" i="14609"/>
  <c r="AI23" i="14609"/>
  <c r="AJ23" i="14609"/>
  <c r="AK23" i="14609"/>
  <c r="AL23" i="14609"/>
  <c r="AM23" i="14609"/>
  <c r="AN23" i="14609"/>
  <c r="AO23" i="14609"/>
  <c r="AP23" i="14609"/>
  <c r="AQ23" i="14609"/>
  <c r="AR23" i="14609"/>
  <c r="AS23" i="14609"/>
  <c r="AT23" i="14609"/>
  <c r="AU23" i="14609"/>
  <c r="AV23" i="14609"/>
  <c r="AW23" i="14609"/>
  <c r="AX23" i="14609"/>
  <c r="AY23" i="14609"/>
  <c r="AZ23" i="14609"/>
  <c r="BA23" i="14609"/>
  <c r="BB23" i="14609"/>
  <c r="BC23" i="14609"/>
  <c r="BD23" i="14609"/>
  <c r="BE23" i="14609"/>
  <c r="BF23" i="14609"/>
  <c r="BG23" i="14609"/>
  <c r="BH23" i="14609"/>
  <c r="BI23" i="14609"/>
  <c r="BJ23" i="14609"/>
  <c r="BK23" i="14609"/>
  <c r="BL23" i="14609"/>
  <c r="BM23" i="14609"/>
  <c r="BN23" i="14609"/>
  <c r="BO23" i="14609"/>
  <c r="BP23" i="14609"/>
  <c r="BQ23" i="14609"/>
  <c r="BR23" i="14609"/>
  <c r="BS23" i="14609"/>
  <c r="BT23" i="14609"/>
  <c r="BU23" i="14609"/>
  <c r="BV23" i="14609"/>
  <c r="BW23" i="14609"/>
  <c r="BX23" i="14609"/>
  <c r="BY23" i="14609"/>
  <c r="BZ23" i="14609"/>
  <c r="CA23" i="14609"/>
  <c r="CB23" i="14609"/>
  <c r="CC23" i="14609"/>
  <c r="CD23" i="14609"/>
  <c r="CE23" i="14609"/>
  <c r="CF23" i="14609"/>
  <c r="CG23" i="14609"/>
  <c r="CH23" i="14609"/>
  <c r="CI23" i="14609"/>
  <c r="CJ23" i="14609"/>
  <c r="CK23" i="14609"/>
  <c r="CL23" i="14609"/>
  <c r="CM23" i="14609"/>
  <c r="CN23" i="14609"/>
  <c r="CO23" i="14609"/>
  <c r="CP23" i="14609"/>
  <c r="CQ23" i="14609"/>
  <c r="CR23" i="14609"/>
  <c r="CS23" i="14609"/>
  <c r="CT23" i="14609"/>
  <c r="CU23" i="14609"/>
  <c r="CV23" i="14609"/>
  <c r="CW23" i="14609"/>
  <c r="CX23" i="14609"/>
  <c r="CY23" i="14609"/>
  <c r="CZ23" i="14609"/>
  <c r="DA23" i="14609"/>
  <c r="DB23" i="14609"/>
  <c r="DC23" i="14609"/>
  <c r="DD23" i="14609"/>
  <c r="DE23" i="14609"/>
  <c r="DF23" i="14609"/>
  <c r="DG23" i="14609"/>
  <c r="DH23" i="14609"/>
  <c r="DI23" i="14609"/>
  <c r="DJ23" i="14609"/>
  <c r="DK23" i="14609"/>
  <c r="DL23" i="14609"/>
  <c r="DM23" i="14609"/>
  <c r="DN23" i="14609"/>
  <c r="DP23" i="14609"/>
  <c r="DQ23" i="14609"/>
  <c r="DR23" i="14609"/>
  <c r="DS23" i="14609"/>
  <c r="DT23" i="14609"/>
  <c r="DU23" i="14609"/>
  <c r="DV23" i="14609"/>
  <c r="DW23" i="14609"/>
  <c r="DX23" i="14609"/>
  <c r="DY23" i="14609"/>
  <c r="DZ23" i="14609"/>
  <c r="EA23" i="14609"/>
  <c r="EB23" i="14609"/>
  <c r="EC23" i="14609"/>
  <c r="ED23" i="14609"/>
  <c r="EE23" i="14609"/>
  <c r="EF23" i="14609"/>
  <c r="EG23" i="14609"/>
  <c r="EH23" i="14609"/>
  <c r="EI23" i="14609"/>
  <c r="EJ23" i="14609"/>
  <c r="EK23" i="14609"/>
  <c r="EL23" i="14609"/>
  <c r="EM23" i="14609"/>
  <c r="EN23" i="14609"/>
  <c r="EO23" i="14609"/>
  <c r="EP23" i="14609"/>
  <c r="EQ23" i="14609"/>
  <c r="ER23" i="14609"/>
  <c r="ES23" i="14609"/>
  <c r="EU23" i="14609"/>
  <c r="EV23" i="14609"/>
  <c r="EW23" i="14609"/>
  <c r="EX23" i="14609"/>
  <c r="EY23" i="14609"/>
  <c r="EZ23" i="14609"/>
  <c r="FA23" i="14609"/>
  <c r="FB23" i="14609"/>
  <c r="FC23" i="14609"/>
  <c r="FD23" i="14609"/>
  <c r="FE23" i="14609"/>
  <c r="FF23" i="14609"/>
  <c r="FG23" i="14609"/>
  <c r="FH23" i="14609"/>
  <c r="FI23" i="14609"/>
  <c r="FJ23" i="14609"/>
  <c r="FK23" i="14609"/>
  <c r="FL23" i="14609"/>
  <c r="FM23" i="14609"/>
  <c r="FN23" i="14609"/>
  <c r="FO23" i="14609"/>
  <c r="FP23" i="14609"/>
  <c r="FQ23" i="14609"/>
  <c r="FR23" i="14609"/>
  <c r="FS23" i="14609"/>
  <c r="FT23" i="14609"/>
  <c r="FU23" i="14609"/>
  <c r="FV23" i="14609"/>
  <c r="FW23" i="14609"/>
  <c r="FX23" i="14609"/>
  <c r="FY23" i="14609"/>
  <c r="FZ23" i="14609"/>
  <c r="GA23" i="14609"/>
  <c r="GB23" i="14609"/>
  <c r="GC23" i="14609"/>
  <c r="GD23" i="14609"/>
  <c r="GF23" i="14609"/>
  <c r="GG23" i="14609"/>
  <c r="GH23" i="14609"/>
  <c r="GI23" i="14609"/>
  <c r="GJ23" i="14609"/>
  <c r="GK23" i="14609"/>
  <c r="GL23" i="14609"/>
  <c r="GM23" i="14609"/>
  <c r="GN23" i="14609"/>
  <c r="GO23" i="14609"/>
  <c r="GP23" i="14609"/>
  <c r="GQ23" i="14609"/>
  <c r="GR23" i="14609"/>
  <c r="GS23" i="14609"/>
  <c r="GT23" i="14609"/>
  <c r="GU23" i="14609"/>
  <c r="GV23" i="14609"/>
  <c r="GW23" i="14609"/>
  <c r="GX23" i="14609"/>
  <c r="GY23" i="14609"/>
  <c r="GZ23" i="14609"/>
  <c r="HA23" i="14609"/>
  <c r="HB23" i="14609"/>
  <c r="HC23" i="14609"/>
  <c r="HD23" i="14609"/>
  <c r="HE23" i="14609"/>
  <c r="HF23" i="14609"/>
  <c r="HG23" i="14609"/>
  <c r="HH23" i="14609"/>
  <c r="HI23" i="14609"/>
  <c r="HJ23" i="14609"/>
  <c r="HK23" i="14609"/>
  <c r="HL23" i="14609"/>
  <c r="HM23" i="14609"/>
  <c r="HN23" i="14609"/>
  <c r="HO23" i="14609"/>
  <c r="HP23" i="14609"/>
  <c r="HQ23" i="14609"/>
  <c r="HR23" i="14609"/>
  <c r="HS23" i="14609"/>
  <c r="HT23" i="14609"/>
  <c r="HU23" i="14609"/>
  <c r="HV23" i="14609"/>
  <c r="HW23" i="14609"/>
  <c r="HX23" i="14609"/>
  <c r="HY23" i="14609"/>
  <c r="HZ23" i="14609"/>
  <c r="IA23" i="14609"/>
  <c r="IB23" i="14609"/>
  <c r="IC23" i="14609"/>
  <c r="ID23" i="14609"/>
  <c r="IE23" i="14609"/>
  <c r="IF23" i="14609"/>
  <c r="IG23" i="14609"/>
  <c r="IH23" i="14609"/>
  <c r="II23" i="14609"/>
  <c r="IJ23" i="14609"/>
  <c r="IK23" i="14609"/>
  <c r="IL23" i="14609"/>
  <c r="IM23" i="14609"/>
  <c r="IN23" i="14609"/>
  <c r="IO23" i="14609"/>
  <c r="IP23" i="14609"/>
  <c r="IQ23" i="14609"/>
  <c r="IR23" i="14609"/>
  <c r="IS23" i="14609"/>
  <c r="IT23" i="14609"/>
  <c r="IU23" i="14609"/>
  <c r="IV23" i="14609"/>
  <c r="A22" i="14609"/>
  <c r="B22" i="14609"/>
  <c r="C22" i="14609"/>
  <c r="D22" i="14609"/>
  <c r="E22" i="14609"/>
  <c r="F22" i="14609"/>
  <c r="G22" i="14609"/>
  <c r="H22" i="14609"/>
  <c r="I22" i="14609"/>
  <c r="J22" i="14609"/>
  <c r="K22" i="14609"/>
  <c r="L22" i="14609"/>
  <c r="M22" i="14609"/>
  <c r="N22" i="14609"/>
  <c r="O22" i="14609"/>
  <c r="P22" i="14609"/>
  <c r="Q22" i="14609"/>
  <c r="R22" i="14609"/>
  <c r="S22" i="14609"/>
  <c r="T22" i="14609"/>
  <c r="W22" i="14609"/>
  <c r="Y22" i="14609"/>
  <c r="Z22" i="14609"/>
  <c r="AB22" i="14609"/>
  <c r="AC22" i="14609"/>
  <c r="AD22" i="14609"/>
  <c r="AE22" i="14609"/>
  <c r="AF22" i="14609"/>
  <c r="AG22" i="14609"/>
  <c r="AH22" i="14609"/>
  <c r="AI22" i="14609"/>
  <c r="AJ22" i="14609"/>
  <c r="AK22" i="14609"/>
  <c r="AL22" i="14609"/>
  <c r="AM22" i="14609"/>
  <c r="AN22" i="14609"/>
  <c r="AO22" i="14609"/>
  <c r="AP22" i="14609"/>
  <c r="AQ22" i="14609"/>
  <c r="AR22" i="14609"/>
  <c r="AS22" i="14609"/>
  <c r="AT22" i="14609"/>
  <c r="AU22" i="14609"/>
  <c r="AV22" i="14609"/>
  <c r="AW22" i="14609"/>
  <c r="AX22" i="14609"/>
  <c r="AY22" i="14609"/>
  <c r="AZ22" i="14609"/>
  <c r="BA22" i="14609"/>
  <c r="BB22" i="14609"/>
  <c r="BC22" i="14609"/>
  <c r="BD22" i="14609"/>
  <c r="BE22" i="14609"/>
  <c r="BF22" i="14609"/>
  <c r="BG22" i="14609"/>
  <c r="BH22" i="14609"/>
  <c r="BI22" i="14609"/>
  <c r="BJ22" i="14609"/>
  <c r="BK22" i="14609"/>
  <c r="BL22" i="14609"/>
  <c r="BM22" i="14609"/>
  <c r="BN22" i="14609"/>
  <c r="BO22" i="14609"/>
  <c r="BP22" i="14609"/>
  <c r="BQ22" i="14609"/>
  <c r="BR22" i="14609"/>
  <c r="BS22" i="14609"/>
  <c r="BT22" i="14609"/>
  <c r="BU22" i="14609"/>
  <c r="BV22" i="14609"/>
  <c r="BW22" i="14609"/>
  <c r="BX22" i="14609"/>
  <c r="BY22" i="14609"/>
  <c r="BZ22" i="14609"/>
  <c r="CA22" i="14609"/>
  <c r="CB22" i="14609"/>
  <c r="CC22" i="14609"/>
  <c r="CD22" i="14609"/>
  <c r="CE22" i="14609"/>
  <c r="CF22" i="14609"/>
  <c r="CG22" i="14609"/>
  <c r="CH22" i="14609"/>
  <c r="CI22" i="14609"/>
  <c r="CJ22" i="14609"/>
  <c r="CL22" i="14609"/>
  <c r="CM22" i="14609"/>
  <c r="CN22" i="14609"/>
  <c r="CO22" i="14609"/>
  <c r="CP22" i="14609"/>
  <c r="CQ22" i="14609"/>
  <c r="CR22" i="14609"/>
  <c r="CS22" i="14609"/>
  <c r="CT22" i="14609"/>
  <c r="CU22" i="14609"/>
  <c r="CV22" i="14609"/>
  <c r="CW22" i="14609"/>
  <c r="CX22" i="14609"/>
  <c r="CY22" i="14609"/>
  <c r="CZ22" i="14609"/>
  <c r="DA22" i="14609"/>
  <c r="DB22" i="14609"/>
  <c r="DC22" i="14609"/>
  <c r="DD22" i="14609"/>
  <c r="DE22" i="14609"/>
  <c r="DF22" i="14609"/>
  <c r="DG22" i="14609"/>
  <c r="DH22" i="14609"/>
  <c r="DI22" i="14609"/>
  <c r="DJ22" i="14609"/>
  <c r="DK22" i="14609"/>
  <c r="DL22" i="14609"/>
  <c r="DM22" i="14609"/>
  <c r="DN22" i="14609"/>
  <c r="DO22" i="14609"/>
  <c r="DP22" i="14609"/>
  <c r="DQ22" i="14609"/>
  <c r="DR22" i="14609"/>
  <c r="DS22" i="14609"/>
  <c r="DT22" i="14609"/>
  <c r="DU22" i="14609"/>
  <c r="DV22" i="14609"/>
  <c r="DW22" i="14609"/>
  <c r="DX22" i="14609"/>
  <c r="DY22" i="14609"/>
  <c r="DZ22" i="14609"/>
  <c r="EA22" i="14609"/>
  <c r="EB22" i="14609"/>
  <c r="EC22" i="14609"/>
  <c r="ED22" i="14609"/>
  <c r="EE22" i="14609"/>
  <c r="EF22" i="14609"/>
  <c r="EG22" i="14609"/>
  <c r="EH22" i="14609"/>
  <c r="EI22" i="14609"/>
  <c r="EJ22" i="14609"/>
  <c r="EK22" i="14609"/>
  <c r="EL22" i="14609"/>
  <c r="EM22" i="14609"/>
  <c r="EN22" i="14609"/>
  <c r="EO22" i="14609"/>
  <c r="EP22" i="14609"/>
  <c r="EQ22" i="14609"/>
  <c r="ER22" i="14609"/>
  <c r="ES22" i="14609"/>
  <c r="ET22" i="14609"/>
  <c r="EU22" i="14609"/>
  <c r="EV22" i="14609"/>
  <c r="EW22" i="14609"/>
  <c r="EX22" i="14609"/>
  <c r="EY22" i="14609"/>
  <c r="EZ22" i="14609"/>
  <c r="FA22" i="14609"/>
  <c r="FB22" i="14609"/>
  <c r="FC22" i="14609"/>
  <c r="FD22" i="14609"/>
  <c r="FE22" i="14609"/>
  <c r="FF22" i="14609"/>
  <c r="FG22" i="14609"/>
  <c r="FH22" i="14609"/>
  <c r="FI22" i="14609"/>
  <c r="FJ22" i="14609"/>
  <c r="FK22" i="14609"/>
  <c r="FL22" i="14609"/>
  <c r="FM22" i="14609"/>
  <c r="FN22" i="14609"/>
  <c r="FO22" i="14609"/>
  <c r="FP22" i="14609"/>
  <c r="FQ22" i="14609"/>
  <c r="FR22" i="14609"/>
  <c r="FS22" i="14609"/>
  <c r="FT22" i="14609"/>
  <c r="FU22" i="14609"/>
  <c r="FV22" i="14609"/>
  <c r="FW22" i="14609"/>
  <c r="FX22" i="14609"/>
  <c r="FY22" i="14609"/>
  <c r="FZ22" i="14609"/>
  <c r="GA22" i="14609"/>
  <c r="GB22" i="14609"/>
  <c r="GC22" i="14609"/>
  <c r="GD22" i="14609"/>
  <c r="GE22" i="14609"/>
  <c r="GF22" i="14609"/>
  <c r="GG22" i="14609"/>
  <c r="GH22" i="14609"/>
  <c r="GI22" i="14609"/>
  <c r="GJ22" i="14609"/>
  <c r="GK22" i="14609"/>
  <c r="GL22" i="14609"/>
  <c r="GM22" i="14609"/>
  <c r="GN22" i="14609"/>
  <c r="GO22" i="14609"/>
  <c r="GQ22" i="14609"/>
  <c r="GR22" i="14609"/>
  <c r="GS22" i="14609"/>
  <c r="GT22" i="14609"/>
  <c r="GU22" i="14609"/>
  <c r="GV22" i="14609"/>
  <c r="GW22" i="14609"/>
  <c r="GX22" i="14609"/>
  <c r="GY22" i="14609"/>
  <c r="GZ22" i="14609"/>
  <c r="HA22" i="14609"/>
  <c r="HB22" i="14609"/>
  <c r="HC22" i="14609"/>
  <c r="HD22" i="14609"/>
  <c r="HE22" i="14609"/>
  <c r="HF22" i="14609"/>
  <c r="HG22" i="14609"/>
  <c r="HH22" i="14609"/>
  <c r="HI22" i="14609"/>
  <c r="HJ22" i="14609"/>
  <c r="HK22" i="14609"/>
  <c r="HL22" i="14609"/>
  <c r="HM22" i="14609"/>
  <c r="HN22" i="14609"/>
  <c r="HO22" i="14609"/>
  <c r="HP22" i="14609"/>
  <c r="HQ22" i="14609"/>
  <c r="HR22" i="14609"/>
  <c r="HS22" i="14609"/>
  <c r="HT22" i="14609"/>
  <c r="HU22" i="14609"/>
  <c r="HV22" i="14609"/>
  <c r="HW22" i="14609"/>
  <c r="HX22" i="14609"/>
  <c r="HY22" i="14609"/>
  <c r="HZ22" i="14609"/>
  <c r="IA22" i="14609"/>
  <c r="IB22" i="14609"/>
  <c r="IC22" i="14609"/>
  <c r="ID22" i="14609"/>
  <c r="IE22" i="14609"/>
  <c r="IF22" i="14609"/>
  <c r="IG22" i="14609"/>
  <c r="IH22" i="14609"/>
  <c r="II22" i="14609"/>
  <c r="IJ22" i="14609"/>
  <c r="IK22" i="14609"/>
  <c r="IL22" i="14609"/>
  <c r="IM22" i="14609"/>
  <c r="IN22" i="14609"/>
  <c r="IO22" i="14609"/>
  <c r="IP22" i="14609"/>
  <c r="IQ22" i="14609"/>
  <c r="IR22" i="14609"/>
  <c r="IS22" i="14609"/>
  <c r="IT22" i="14609"/>
  <c r="IU22" i="14609"/>
  <c r="IV22" i="14609"/>
  <c r="A21" i="14609"/>
  <c r="B21" i="14609"/>
  <c r="C21" i="14609"/>
  <c r="D21" i="14609"/>
  <c r="E21" i="14609"/>
  <c r="F21" i="14609"/>
  <c r="G21" i="14609"/>
  <c r="H21" i="14609"/>
  <c r="I21" i="14609"/>
  <c r="J21" i="14609"/>
  <c r="K21" i="14609"/>
  <c r="L21" i="14609"/>
  <c r="M21" i="14609"/>
  <c r="N21" i="14609"/>
  <c r="O21" i="14609"/>
  <c r="P21" i="14609"/>
  <c r="Q21" i="14609"/>
  <c r="R21" i="14609"/>
  <c r="S21" i="14609"/>
  <c r="T21" i="14609"/>
  <c r="U21" i="14609"/>
  <c r="V21" i="14609"/>
  <c r="W21" i="14609"/>
  <c r="X21" i="14609"/>
  <c r="Y21" i="14609"/>
  <c r="Z21" i="14609"/>
  <c r="AA21" i="14609"/>
  <c r="AB21" i="14609"/>
  <c r="AC21" i="14609"/>
  <c r="AD21" i="14609"/>
  <c r="AE21" i="14609"/>
  <c r="AF21" i="14609"/>
  <c r="AG21" i="14609"/>
  <c r="AH21" i="14609"/>
  <c r="AI21" i="14609"/>
  <c r="AJ21" i="14609"/>
  <c r="AK21" i="14609"/>
  <c r="AL21" i="14609"/>
  <c r="AM21" i="14609"/>
  <c r="AN21" i="14609"/>
  <c r="AO21" i="14609"/>
  <c r="AP21" i="14609"/>
  <c r="AQ21" i="14609"/>
  <c r="AR21" i="14609"/>
  <c r="AS21" i="14609"/>
  <c r="AT21" i="14609"/>
  <c r="AU21" i="14609"/>
  <c r="AV21" i="14609"/>
  <c r="AW21" i="14609"/>
  <c r="AX21" i="14609"/>
  <c r="AY21" i="14609"/>
  <c r="AZ21" i="14609"/>
  <c r="BA21" i="14609"/>
  <c r="BB21" i="14609"/>
  <c r="BC21" i="14609"/>
  <c r="BD21" i="14609"/>
  <c r="BE21" i="14609"/>
  <c r="BF21" i="14609"/>
  <c r="BG21" i="14609"/>
  <c r="BH21" i="14609"/>
  <c r="BI21" i="14609"/>
  <c r="BJ21" i="14609"/>
  <c r="BK21" i="14609"/>
  <c r="BL21" i="14609"/>
  <c r="BM21" i="14609"/>
  <c r="BN21" i="14609"/>
  <c r="BO21" i="14609"/>
  <c r="BP21" i="14609"/>
  <c r="BQ21" i="14609"/>
  <c r="BR21" i="14609"/>
  <c r="BS21" i="14609"/>
  <c r="BT21" i="14609"/>
  <c r="BU21" i="14609"/>
  <c r="BV21" i="14609"/>
  <c r="BW21" i="14609"/>
  <c r="BX21" i="14609"/>
  <c r="BY21" i="14609"/>
  <c r="BZ21" i="14609"/>
  <c r="CA21" i="14609"/>
  <c r="CB21" i="14609"/>
  <c r="CC21" i="14609"/>
  <c r="CD21" i="14609"/>
  <c r="CE21" i="14609"/>
  <c r="CF21" i="14609"/>
  <c r="CG21" i="14609"/>
  <c r="CH21" i="14609"/>
  <c r="CI21" i="14609"/>
  <c r="CJ21" i="14609"/>
  <c r="CK21" i="14609"/>
  <c r="CL21" i="14609"/>
  <c r="CM21" i="14609"/>
  <c r="CN21" i="14609"/>
  <c r="CO21" i="14609"/>
  <c r="CP21" i="14609"/>
  <c r="CQ21" i="14609"/>
  <c r="CR21" i="14609"/>
  <c r="CS21" i="14609"/>
  <c r="CT21" i="14609"/>
  <c r="CU21" i="14609"/>
  <c r="CW21" i="14609"/>
  <c r="CX21" i="14609"/>
  <c r="CZ21" i="14609"/>
  <c r="DA21" i="14609"/>
  <c r="DE21" i="14609"/>
  <c r="DF21" i="14609"/>
  <c r="DG21" i="14609"/>
  <c r="DH21" i="14609"/>
  <c r="DI21" i="14609"/>
  <c r="DJ21" i="14609"/>
  <c r="DK21" i="14609"/>
  <c r="DL21" i="14609"/>
  <c r="DM21" i="14609"/>
  <c r="DN21" i="14609"/>
  <c r="DO21" i="14609"/>
  <c r="DP21" i="14609"/>
  <c r="DQ21" i="14609"/>
  <c r="DR21" i="14609"/>
  <c r="DS21" i="14609"/>
  <c r="DT21" i="14609"/>
  <c r="DU21" i="14609"/>
  <c r="DV21" i="14609"/>
  <c r="DW21" i="14609"/>
  <c r="DX21" i="14609"/>
  <c r="DY21" i="14609"/>
  <c r="DZ21" i="14609"/>
  <c r="EA21" i="14609"/>
  <c r="EB21" i="14609"/>
  <c r="EC21" i="14609"/>
  <c r="ED21" i="14609"/>
  <c r="EE21" i="14609"/>
  <c r="EF21" i="14609"/>
  <c r="EG21" i="14609"/>
  <c r="EH21" i="14609"/>
  <c r="EI21" i="14609"/>
  <c r="EJ21" i="14609"/>
  <c r="EK21" i="14609"/>
  <c r="EL21" i="14609"/>
  <c r="EM21" i="14609"/>
  <c r="EN21" i="14609"/>
  <c r="EO21" i="14609"/>
  <c r="EP21" i="14609"/>
  <c r="EQ21" i="14609"/>
  <c r="ER21" i="14609"/>
  <c r="ES21" i="14609"/>
  <c r="ET21" i="14609"/>
  <c r="EU21" i="14609"/>
  <c r="EV21" i="14609"/>
  <c r="EW21" i="14609"/>
  <c r="EX21" i="14609"/>
  <c r="EY21" i="14609"/>
  <c r="EZ21" i="14609"/>
  <c r="FA21" i="14609"/>
  <c r="FB21" i="14609"/>
  <c r="FC21" i="14609"/>
  <c r="FD21" i="14609"/>
  <c r="FE21" i="14609"/>
  <c r="FF21" i="14609"/>
  <c r="FG21" i="14609"/>
  <c r="FH21" i="14609"/>
  <c r="FI21" i="14609"/>
  <c r="FJ21" i="14609"/>
  <c r="FK21" i="14609"/>
  <c r="FM21" i="14609"/>
  <c r="FN21" i="14609"/>
  <c r="FO21" i="14609"/>
  <c r="FP21" i="14609"/>
  <c r="FQ21" i="14609"/>
  <c r="FR21" i="14609"/>
  <c r="FS21" i="14609"/>
  <c r="FT21" i="14609"/>
  <c r="FU21" i="14609"/>
  <c r="FV21" i="14609"/>
  <c r="FW21" i="14609"/>
  <c r="FX21" i="14609"/>
  <c r="FY21" i="14609"/>
  <c r="FZ21" i="14609"/>
  <c r="GA21" i="14609"/>
  <c r="GB21" i="14609"/>
  <c r="GC21" i="14609"/>
  <c r="GD21" i="14609"/>
  <c r="GE21" i="14609"/>
  <c r="GF21" i="14609"/>
  <c r="GG21" i="14609"/>
  <c r="GH21" i="14609"/>
  <c r="GI21" i="14609"/>
  <c r="GJ21" i="14609"/>
  <c r="GK21" i="14609"/>
  <c r="GL21" i="14609"/>
  <c r="GM21" i="14609"/>
  <c r="GN21" i="14609"/>
  <c r="GO21" i="14609"/>
  <c r="GP21" i="14609"/>
  <c r="GQ21" i="14609"/>
  <c r="GR21" i="14609"/>
  <c r="GS21" i="14609"/>
  <c r="GT21" i="14609"/>
  <c r="GU21" i="14609"/>
  <c r="GV21" i="14609"/>
  <c r="GW21" i="14609"/>
  <c r="GX21" i="14609"/>
  <c r="GY21" i="14609"/>
  <c r="GZ21" i="14609"/>
  <c r="HA21" i="14609"/>
  <c r="HB21" i="14609"/>
  <c r="HC21" i="14609"/>
  <c r="HD21" i="14609"/>
  <c r="HE21" i="14609"/>
  <c r="HF21" i="14609"/>
  <c r="HG21" i="14609"/>
  <c r="HH21" i="14609"/>
  <c r="HI21" i="14609"/>
  <c r="HJ21" i="14609"/>
  <c r="HK21" i="14609"/>
  <c r="HL21" i="14609"/>
  <c r="HM21" i="14609"/>
  <c r="HN21" i="14609"/>
  <c r="HO21" i="14609"/>
  <c r="HP21" i="14609"/>
  <c r="HQ21" i="14609"/>
  <c r="HR21" i="14609"/>
  <c r="HS21" i="14609"/>
  <c r="HT21" i="14609"/>
  <c r="HU21" i="14609"/>
  <c r="HV21" i="14609"/>
  <c r="HW21" i="14609"/>
  <c r="HX21" i="14609"/>
  <c r="HY21" i="14609"/>
  <c r="HZ21" i="14609"/>
  <c r="IA21" i="14609"/>
  <c r="IB21" i="14609"/>
  <c r="IC21" i="14609"/>
  <c r="ID21" i="14609"/>
  <c r="IE21" i="14609"/>
  <c r="IF21" i="14609"/>
  <c r="IG21" i="14609"/>
  <c r="IH21" i="14609"/>
  <c r="II21" i="14609"/>
  <c r="IJ21" i="14609"/>
  <c r="IK21" i="14609"/>
  <c r="IL21" i="14609"/>
  <c r="IM21" i="14609"/>
  <c r="IN21" i="14609"/>
  <c r="IO21" i="14609"/>
  <c r="IP21" i="14609"/>
  <c r="IQ21" i="14609"/>
  <c r="IR21" i="14609"/>
  <c r="IS21" i="14609"/>
  <c r="IT21" i="14609"/>
  <c r="IU21" i="14609"/>
  <c r="IV21" i="14609"/>
  <c r="C20" i="14609"/>
  <c r="D20" i="14609"/>
  <c r="E20" i="14609"/>
  <c r="F20" i="14609"/>
  <c r="G20" i="14609"/>
  <c r="H20" i="14609"/>
  <c r="I20" i="14609"/>
  <c r="J20" i="14609"/>
  <c r="L20" i="14609"/>
  <c r="M20" i="14609"/>
  <c r="N20" i="14609"/>
  <c r="O20" i="14609"/>
  <c r="P20" i="14609"/>
  <c r="Q20" i="14609"/>
  <c r="R20" i="14609"/>
  <c r="S20" i="14609"/>
  <c r="T20" i="14609"/>
  <c r="U20" i="14609"/>
  <c r="V20" i="14609"/>
  <c r="W20" i="14609"/>
  <c r="X20" i="14609"/>
  <c r="Y20" i="14609"/>
  <c r="Z20" i="14609"/>
  <c r="AA20" i="14609"/>
  <c r="AB20" i="14609"/>
  <c r="AC20" i="14609"/>
  <c r="AD20" i="14609"/>
  <c r="AE20" i="14609"/>
  <c r="AF20" i="14609"/>
  <c r="AG20" i="14609"/>
  <c r="AK20" i="14609"/>
  <c r="AL20" i="14609"/>
  <c r="AM20" i="14609"/>
  <c r="AN20" i="14609"/>
  <c r="AO20" i="14609"/>
  <c r="AP20" i="14609"/>
  <c r="AQ20" i="14609"/>
  <c r="AR20" i="14609"/>
  <c r="AS20" i="14609"/>
  <c r="AT20" i="14609"/>
  <c r="AU20" i="14609"/>
  <c r="AV20" i="14609"/>
  <c r="AW20" i="14609"/>
  <c r="AX20" i="14609"/>
  <c r="AY20" i="14609"/>
  <c r="AZ20" i="14609"/>
  <c r="BA20" i="14609"/>
  <c r="BO20" i="14609"/>
  <c r="BP20" i="14609"/>
  <c r="BQ20" i="14609"/>
  <c r="BS20" i="14609"/>
  <c r="BT20" i="14609"/>
  <c r="BU20" i="14609"/>
  <c r="BV20" i="14609"/>
  <c r="BW20" i="14609"/>
  <c r="BX20" i="14609"/>
  <c r="BY20" i="14609"/>
  <c r="BZ20" i="14609"/>
  <c r="CA20" i="14609"/>
  <c r="CB20" i="14609"/>
  <c r="CC20" i="14609"/>
  <c r="CD20" i="14609"/>
  <c r="CE20" i="14609"/>
  <c r="CF20" i="14609"/>
  <c r="CG20" i="14609"/>
  <c r="CH20" i="14609"/>
  <c r="CI20" i="14609"/>
  <c r="CJ20" i="14609"/>
  <c r="CK20" i="14609"/>
  <c r="CL20" i="14609"/>
  <c r="CM20" i="14609"/>
  <c r="CN20" i="14609"/>
  <c r="CO20" i="14609"/>
  <c r="CP20" i="14609"/>
  <c r="CQ20" i="14609"/>
  <c r="CR20" i="14609"/>
  <c r="CS20" i="14609"/>
  <c r="CT20" i="14609"/>
  <c r="CU20" i="14609"/>
  <c r="CV20" i="14609"/>
  <c r="CW20" i="14609"/>
  <c r="CX20" i="14609"/>
  <c r="CY20" i="14609"/>
  <c r="CZ20" i="14609"/>
  <c r="DA20" i="14609"/>
  <c r="DB20" i="14609"/>
  <c r="DC20" i="14609"/>
  <c r="DD20" i="14609"/>
  <c r="DE20" i="14609"/>
  <c r="DF20" i="14609"/>
  <c r="DG20" i="14609"/>
  <c r="DH20" i="14609"/>
  <c r="DI20" i="14609"/>
  <c r="DJ20" i="14609"/>
  <c r="DK20" i="14609"/>
  <c r="DL20" i="14609"/>
  <c r="DM20" i="14609"/>
  <c r="DN20" i="14609"/>
  <c r="DO20" i="14609"/>
  <c r="DP20" i="14609"/>
  <c r="DQ20" i="14609"/>
  <c r="DR20" i="14609"/>
  <c r="DS20" i="14609"/>
  <c r="DT20" i="14609"/>
  <c r="DU20" i="14609"/>
  <c r="DV20" i="14609"/>
  <c r="DW20" i="14609"/>
  <c r="DX20" i="14609"/>
  <c r="DY20" i="14609"/>
  <c r="DZ20" i="14609"/>
  <c r="EA20" i="14609"/>
  <c r="EB20" i="14609"/>
  <c r="EC20" i="14609"/>
  <c r="ED20" i="14609"/>
  <c r="EE20" i="14609"/>
  <c r="EF20" i="14609"/>
  <c r="EG20" i="14609"/>
  <c r="EH20" i="14609"/>
  <c r="EI20" i="14609"/>
  <c r="EJ20" i="14609"/>
  <c r="EK20" i="14609"/>
  <c r="EL20" i="14609"/>
  <c r="EM20" i="14609"/>
  <c r="EN20" i="14609"/>
  <c r="EO20" i="14609"/>
  <c r="EP20" i="14609"/>
  <c r="EQ20" i="14609"/>
  <c r="ER20" i="14609"/>
  <c r="ES20" i="14609"/>
  <c r="ET20" i="14609"/>
  <c r="EU20" i="14609"/>
  <c r="EV20" i="14609"/>
  <c r="EW20" i="14609"/>
  <c r="EX20" i="14609"/>
  <c r="EY20" i="14609"/>
  <c r="EZ20" i="14609"/>
  <c r="FA20" i="14609"/>
  <c r="FB20" i="14609"/>
  <c r="FC20" i="14609"/>
  <c r="FD20" i="14609"/>
  <c r="FE20" i="14609"/>
  <c r="FF20" i="14609"/>
  <c r="FG20" i="14609"/>
  <c r="FH20" i="14609"/>
  <c r="FI20" i="14609"/>
  <c r="FJ20" i="14609"/>
  <c r="FK20" i="14609"/>
  <c r="FL20" i="14609"/>
  <c r="FM20" i="14609"/>
  <c r="FN20" i="14609"/>
  <c r="FO20" i="14609"/>
  <c r="FP20" i="14609"/>
  <c r="FQ20" i="14609"/>
  <c r="FR20" i="14609"/>
  <c r="FS20" i="14609"/>
  <c r="FT20" i="14609"/>
  <c r="FU20" i="14609"/>
  <c r="FV20" i="14609"/>
  <c r="FX20" i="14609"/>
  <c r="FY20" i="14609"/>
  <c r="FZ20" i="14609"/>
  <c r="GA20" i="14609"/>
  <c r="GC20" i="14609"/>
  <c r="GF20" i="14609"/>
  <c r="GG20" i="14609"/>
  <c r="GH20" i="14609"/>
  <c r="GI20" i="14609"/>
  <c r="GJ20" i="14609"/>
  <c r="GK20" i="14609"/>
  <c r="GL20" i="14609"/>
  <c r="GM20" i="14609"/>
  <c r="GN20" i="14609"/>
  <c r="GO20" i="14609"/>
  <c r="GP20" i="14609"/>
  <c r="GQ20" i="14609"/>
  <c r="GR20" i="14609"/>
  <c r="GS20" i="14609"/>
  <c r="GT20" i="14609"/>
  <c r="GU20" i="14609"/>
  <c r="GV20" i="14609"/>
  <c r="GW20" i="14609"/>
  <c r="GX20" i="14609"/>
  <c r="GY20" i="14609"/>
  <c r="GZ20" i="14609"/>
  <c r="HA20" i="14609"/>
  <c r="HB20" i="14609"/>
  <c r="HC20" i="14609"/>
  <c r="HD20" i="14609"/>
  <c r="HE20" i="14609"/>
  <c r="HF20" i="14609"/>
  <c r="HG20" i="14609"/>
  <c r="HH20" i="14609"/>
  <c r="HI20" i="14609"/>
  <c r="HJ20" i="14609"/>
  <c r="HK20" i="14609"/>
  <c r="HL20" i="14609"/>
  <c r="HM20" i="14609"/>
  <c r="HN20" i="14609"/>
  <c r="HO20" i="14609"/>
  <c r="HP20" i="14609"/>
  <c r="HQ20" i="14609"/>
  <c r="HR20" i="14609"/>
  <c r="HS20" i="14609"/>
  <c r="HT20" i="14609"/>
  <c r="HU20" i="14609"/>
  <c r="HV20" i="14609"/>
  <c r="HW20" i="14609"/>
  <c r="HX20" i="14609"/>
  <c r="HY20" i="14609"/>
  <c r="HZ20" i="14609"/>
  <c r="IA20" i="14609"/>
  <c r="IB20" i="14609"/>
  <c r="IC20" i="14609"/>
  <c r="ID20" i="14609"/>
  <c r="IE20" i="14609"/>
  <c r="IF20" i="14609"/>
  <c r="IG20" i="14609"/>
  <c r="IH20" i="14609"/>
  <c r="II20" i="14609"/>
  <c r="IJ20" i="14609"/>
  <c r="IK20" i="14609"/>
  <c r="IL20" i="14609"/>
  <c r="IN20" i="14609"/>
  <c r="IO20" i="14609"/>
  <c r="IP20" i="14609"/>
  <c r="IQ20" i="14609"/>
  <c r="IR20" i="14609"/>
  <c r="IS20" i="14609"/>
  <c r="IT20" i="14609"/>
  <c r="IU20" i="14609"/>
  <c r="IV20" i="14609"/>
  <c r="A19" i="14609"/>
  <c r="B19" i="14609"/>
  <c r="C19" i="14609"/>
  <c r="D19" i="14609"/>
  <c r="E19" i="14609"/>
  <c r="F19" i="14609"/>
  <c r="G19" i="14609"/>
  <c r="H19" i="14609"/>
  <c r="I19" i="14609"/>
  <c r="J19" i="14609"/>
  <c r="K19" i="14609"/>
  <c r="L19" i="14609"/>
  <c r="M19" i="14609"/>
  <c r="N19" i="14609"/>
  <c r="O19" i="14609"/>
  <c r="P19" i="14609"/>
  <c r="Q19" i="14609"/>
  <c r="R19" i="14609"/>
  <c r="S19" i="14609"/>
  <c r="T19" i="14609"/>
  <c r="U19" i="14609"/>
  <c r="V19" i="14609"/>
  <c r="W19" i="14609"/>
  <c r="X19" i="14609"/>
  <c r="Y19" i="14609"/>
  <c r="Z19" i="14609"/>
  <c r="AA19" i="14609"/>
  <c r="AB19" i="14609"/>
  <c r="AC19" i="14609"/>
  <c r="AD19" i="14609"/>
  <c r="AE19" i="14609"/>
  <c r="AF19" i="14609"/>
  <c r="AG19" i="14609"/>
  <c r="AH19" i="14609"/>
  <c r="AI19" i="14609"/>
  <c r="AJ19" i="14609"/>
  <c r="AK19" i="14609"/>
  <c r="AL19" i="14609"/>
  <c r="AM19" i="14609"/>
  <c r="AN19" i="14609"/>
  <c r="AO19" i="14609"/>
  <c r="AP19" i="14609"/>
  <c r="AQ19" i="14609"/>
  <c r="AR19" i="14609"/>
  <c r="AS19" i="14609"/>
  <c r="AT19" i="14609"/>
  <c r="AU19" i="14609"/>
  <c r="AV19" i="14609"/>
  <c r="AW19" i="14609"/>
  <c r="AX19" i="14609"/>
  <c r="AY19" i="14609"/>
  <c r="AZ19" i="14609"/>
  <c r="BA19" i="14609"/>
  <c r="BB19" i="14609"/>
  <c r="BC19" i="14609"/>
  <c r="BD19" i="14609"/>
  <c r="BE19" i="14609"/>
  <c r="BF19" i="14609"/>
  <c r="BG19" i="14609"/>
  <c r="BH19" i="14609"/>
  <c r="BI19" i="14609"/>
  <c r="BJ19" i="14609"/>
  <c r="BK19" i="14609"/>
  <c r="BL19" i="14609"/>
  <c r="BM19" i="14609"/>
  <c r="BN19" i="14609"/>
  <c r="BO19" i="14609"/>
  <c r="BP19" i="14609"/>
  <c r="BQ19" i="14609"/>
  <c r="BR19" i="14609"/>
  <c r="BS19" i="14609"/>
  <c r="BT19" i="14609"/>
  <c r="BU19" i="14609"/>
  <c r="BV19" i="14609"/>
  <c r="BW19" i="14609"/>
  <c r="BX19" i="14609"/>
  <c r="BY19" i="14609"/>
  <c r="BZ19" i="14609"/>
  <c r="CA19" i="14609"/>
  <c r="CB19" i="14609"/>
  <c r="CC19" i="14609"/>
  <c r="CD19" i="14609"/>
  <c r="CE19" i="14609"/>
  <c r="CF19" i="14609"/>
  <c r="CG19" i="14609"/>
  <c r="CH19" i="14609"/>
  <c r="CI19" i="14609"/>
  <c r="CJ19" i="14609"/>
  <c r="CK19" i="14609"/>
  <c r="CL19" i="14609"/>
  <c r="CM19" i="14609"/>
  <c r="CN19" i="14609"/>
  <c r="CO19" i="14609"/>
  <c r="CP19" i="14609"/>
  <c r="CQ19" i="14609"/>
  <c r="CR19" i="14609"/>
  <c r="CS19" i="14609"/>
  <c r="CT19" i="14609"/>
  <c r="CU19" i="14609"/>
  <c r="CV19" i="14609"/>
  <c r="CW19" i="14609"/>
  <c r="CX19" i="14609"/>
  <c r="CY19" i="14609"/>
  <c r="CZ19" i="14609"/>
  <c r="DA19" i="14609"/>
  <c r="DB19" i="14609"/>
  <c r="DC19" i="14609"/>
  <c r="DD19" i="14609"/>
  <c r="DE19" i="14609"/>
  <c r="DF19" i="14609"/>
  <c r="DG19" i="14609"/>
  <c r="DH19" i="14609"/>
  <c r="DI19" i="14609"/>
  <c r="DJ19" i="14609"/>
  <c r="DK19" i="14609"/>
  <c r="DL19" i="14609"/>
  <c r="DM19" i="14609"/>
  <c r="DN19" i="14609"/>
  <c r="DO19" i="14609"/>
  <c r="DP19" i="14609"/>
  <c r="DQ19" i="14609"/>
  <c r="DR19" i="14609"/>
  <c r="DS19" i="14609"/>
  <c r="DT19" i="14609"/>
  <c r="DU19" i="14609"/>
  <c r="DV19" i="14609"/>
  <c r="DW19" i="14609"/>
  <c r="DX19" i="14609"/>
  <c r="DY19" i="14609"/>
  <c r="DZ19" i="14609"/>
  <c r="EA19" i="14609"/>
  <c r="EB19" i="14609"/>
  <c r="EC19" i="14609"/>
  <c r="ED19" i="14609"/>
  <c r="EE19" i="14609"/>
  <c r="EF19" i="14609"/>
  <c r="EG19" i="14609"/>
  <c r="EH19" i="14609"/>
  <c r="EI19" i="14609"/>
  <c r="EJ19" i="14609"/>
  <c r="EK19" i="14609"/>
  <c r="EL19" i="14609"/>
  <c r="EM19" i="14609"/>
  <c r="EN19" i="14609"/>
  <c r="EO19" i="14609"/>
  <c r="EP19" i="14609"/>
  <c r="EQ19" i="14609"/>
  <c r="ER19" i="14609"/>
  <c r="ES19" i="14609"/>
  <c r="ET19" i="14609"/>
  <c r="EU19" i="14609"/>
  <c r="EV19" i="14609"/>
  <c r="EW19" i="14609"/>
  <c r="EX19" i="14609"/>
  <c r="EY19" i="14609"/>
  <c r="EZ19" i="14609"/>
  <c r="FA19" i="14609"/>
  <c r="FB19" i="14609"/>
  <c r="FC19" i="14609"/>
  <c r="FD19" i="14609"/>
  <c r="FE19" i="14609"/>
  <c r="FF19" i="14609"/>
  <c r="FG19" i="14609"/>
  <c r="FH19" i="14609"/>
  <c r="FI19" i="14609"/>
  <c r="FJ19" i="14609"/>
  <c r="FK19" i="14609"/>
  <c r="FL19" i="14609"/>
  <c r="FM19" i="14609"/>
  <c r="FN19" i="14609"/>
  <c r="FO19" i="14609"/>
  <c r="FP19" i="14609"/>
  <c r="FQ19" i="14609"/>
  <c r="FR19" i="14609"/>
  <c r="FS19" i="14609"/>
  <c r="FT19" i="14609"/>
  <c r="FU19" i="14609"/>
  <c r="FV19" i="14609"/>
  <c r="FW19" i="14609"/>
  <c r="FX19" i="14609"/>
  <c r="FY19" i="14609"/>
  <c r="FZ19" i="14609"/>
  <c r="GA19" i="14609"/>
  <c r="GB19" i="14609"/>
  <c r="GC19" i="14609"/>
  <c r="GD19" i="14609"/>
  <c r="GE19" i="14609"/>
  <c r="GF19" i="14609"/>
  <c r="GG19" i="14609"/>
  <c r="GH19" i="14609"/>
  <c r="GI19" i="14609"/>
  <c r="GJ19" i="14609"/>
  <c r="GK19" i="14609"/>
  <c r="GL19" i="14609"/>
  <c r="GM19" i="14609"/>
  <c r="GN19" i="14609"/>
  <c r="GO19" i="14609"/>
  <c r="GP19" i="14609"/>
  <c r="GQ19" i="14609"/>
  <c r="GR19" i="14609"/>
  <c r="GS19" i="14609"/>
  <c r="GT19" i="14609"/>
  <c r="GU19" i="14609"/>
  <c r="GV19" i="14609"/>
  <c r="GW19" i="14609"/>
  <c r="GX19" i="14609"/>
  <c r="GY19" i="14609"/>
  <c r="GZ19" i="14609"/>
  <c r="HA19" i="14609"/>
  <c r="HB19" i="14609"/>
  <c r="HC19" i="14609"/>
  <c r="HD19" i="14609"/>
  <c r="HE19" i="14609"/>
  <c r="HF19" i="14609"/>
  <c r="HG19" i="14609"/>
  <c r="HH19" i="14609"/>
  <c r="HI19" i="14609"/>
  <c r="HJ19" i="14609"/>
  <c r="HK19" i="14609"/>
  <c r="HL19" i="14609"/>
  <c r="HM19" i="14609"/>
  <c r="HN19" i="14609"/>
  <c r="HO19" i="14609"/>
  <c r="HP19" i="14609"/>
  <c r="HQ19" i="14609"/>
  <c r="HR19" i="14609"/>
  <c r="HS19" i="14609"/>
  <c r="HT19" i="14609"/>
  <c r="HU19" i="14609"/>
  <c r="HV19" i="14609"/>
  <c r="HW19" i="14609"/>
  <c r="HX19" i="14609"/>
  <c r="HY19" i="14609"/>
  <c r="HZ19" i="14609"/>
  <c r="IA19" i="14609"/>
  <c r="IB19" i="14609"/>
  <c r="IC19" i="14609"/>
  <c r="ID19" i="14609"/>
  <c r="IE19" i="14609"/>
  <c r="IF19" i="14609"/>
  <c r="IG19" i="14609"/>
  <c r="IH19" i="14609"/>
  <c r="II19" i="14609"/>
  <c r="IJ19" i="14609"/>
  <c r="IK19" i="14609"/>
  <c r="IL19" i="14609"/>
  <c r="IM19" i="14609"/>
  <c r="IN19" i="14609"/>
  <c r="IO19" i="14609"/>
  <c r="IP19" i="14609"/>
  <c r="IQ19" i="14609"/>
  <c r="IR19" i="14609"/>
  <c r="IS19" i="14609"/>
  <c r="IT19" i="14609"/>
  <c r="IU19" i="14609"/>
  <c r="IV19" i="14609"/>
  <c r="A18" i="14609"/>
  <c r="B18" i="14609"/>
  <c r="C18" i="14609"/>
  <c r="D18" i="14609"/>
  <c r="E18" i="14609"/>
  <c r="F18" i="14609"/>
  <c r="G18" i="14609"/>
  <c r="H18" i="14609"/>
  <c r="I18" i="14609"/>
  <c r="J18" i="14609"/>
  <c r="K18" i="14609"/>
  <c r="L18" i="14609"/>
  <c r="M18" i="14609"/>
  <c r="N18" i="14609"/>
  <c r="O18" i="14609"/>
  <c r="P18" i="14609"/>
  <c r="Q18" i="14609"/>
  <c r="R18" i="14609"/>
  <c r="S18" i="14609"/>
  <c r="T18" i="14609"/>
  <c r="U18" i="14609"/>
  <c r="V18" i="14609"/>
  <c r="W18" i="14609"/>
  <c r="X18" i="14609"/>
  <c r="Y18" i="14609"/>
  <c r="Z18" i="14609"/>
  <c r="AA18" i="14609"/>
  <c r="AB18" i="14609"/>
  <c r="AC18" i="14609"/>
  <c r="AD18" i="14609"/>
  <c r="AE18" i="14609"/>
  <c r="AF18" i="14609"/>
  <c r="AG18" i="14609"/>
  <c r="AH18" i="14609"/>
  <c r="AI18" i="14609"/>
  <c r="AJ18" i="14609"/>
  <c r="AK18" i="14609"/>
  <c r="AL18" i="14609"/>
  <c r="AM18" i="14609"/>
  <c r="AN18" i="14609"/>
  <c r="AO18" i="14609"/>
  <c r="AP18" i="14609"/>
  <c r="AQ18" i="14609"/>
  <c r="AR18" i="14609"/>
  <c r="AS18" i="14609"/>
  <c r="AT18" i="14609"/>
  <c r="AU18" i="14609"/>
  <c r="AV18" i="14609"/>
  <c r="AW18" i="14609"/>
  <c r="AX18" i="14609"/>
  <c r="AY18" i="14609"/>
  <c r="AZ18" i="14609"/>
  <c r="BA18" i="14609"/>
  <c r="BB18" i="14609"/>
  <c r="BC18" i="14609"/>
  <c r="BD18" i="14609"/>
  <c r="BE18" i="14609"/>
  <c r="BF18" i="14609"/>
  <c r="BG18" i="14609"/>
  <c r="BH18" i="14609"/>
  <c r="BI18" i="14609"/>
  <c r="BJ18" i="14609"/>
  <c r="BK18" i="14609"/>
  <c r="BL18" i="14609"/>
  <c r="BM18" i="14609"/>
  <c r="BN18" i="14609"/>
  <c r="BO18" i="14609"/>
  <c r="BP18" i="14609"/>
  <c r="BQ18" i="14609"/>
  <c r="BR18" i="14609"/>
  <c r="BS18" i="14609"/>
  <c r="BT18" i="14609"/>
  <c r="BU18" i="14609"/>
  <c r="BV18" i="14609"/>
  <c r="BW18" i="14609"/>
  <c r="BX18" i="14609"/>
  <c r="BY18" i="14609"/>
  <c r="BZ18" i="14609"/>
  <c r="CA18" i="14609"/>
  <c r="CB18" i="14609"/>
  <c r="CC18" i="14609"/>
  <c r="CD18" i="14609"/>
  <c r="CE18" i="14609"/>
  <c r="CF18" i="14609"/>
  <c r="CG18" i="14609"/>
  <c r="CH18" i="14609"/>
  <c r="CI18" i="14609"/>
  <c r="CJ18" i="14609"/>
  <c r="CK18" i="14609"/>
  <c r="CL18" i="14609"/>
  <c r="CM18" i="14609"/>
  <c r="CN18" i="14609"/>
  <c r="CO18" i="14609"/>
  <c r="CP18" i="14609"/>
  <c r="CQ18" i="14609"/>
  <c r="CR18" i="14609"/>
  <c r="CS18" i="14609"/>
  <c r="CT18" i="14609"/>
  <c r="CU18" i="14609"/>
  <c r="CV18" i="14609"/>
  <c r="CW18" i="14609"/>
  <c r="CX18" i="14609"/>
  <c r="CY18" i="14609"/>
  <c r="CZ18" i="14609"/>
  <c r="DA18" i="14609"/>
  <c r="DB18" i="14609"/>
  <c r="DC18" i="14609"/>
  <c r="DD18" i="14609"/>
  <c r="DE18" i="14609"/>
  <c r="DF18" i="14609"/>
  <c r="DG18" i="14609"/>
  <c r="DH18" i="14609"/>
  <c r="DI18" i="14609"/>
  <c r="DJ18" i="14609"/>
  <c r="DK18" i="14609"/>
  <c r="DL18" i="14609"/>
  <c r="DM18" i="14609"/>
  <c r="DN18" i="14609"/>
  <c r="DO18" i="14609"/>
  <c r="DP18" i="14609"/>
  <c r="DQ18" i="14609"/>
  <c r="DR18" i="14609"/>
  <c r="DS18" i="14609"/>
  <c r="DT18" i="14609"/>
  <c r="DU18" i="14609"/>
  <c r="DV18" i="14609"/>
  <c r="DW18" i="14609"/>
  <c r="DX18" i="14609"/>
  <c r="DY18" i="14609"/>
  <c r="DZ18" i="14609"/>
  <c r="EA18" i="14609"/>
  <c r="EB18" i="14609"/>
  <c r="EC18" i="14609"/>
  <c r="ED18" i="14609"/>
  <c r="EE18" i="14609"/>
  <c r="EF18" i="14609"/>
  <c r="EG18" i="14609"/>
  <c r="EH18" i="14609"/>
  <c r="EI18" i="14609"/>
  <c r="EJ18" i="14609"/>
  <c r="EK18" i="14609"/>
  <c r="EL18" i="14609"/>
  <c r="EM18" i="14609"/>
  <c r="EN18" i="14609"/>
  <c r="EO18" i="14609"/>
  <c r="EP18" i="14609"/>
  <c r="EQ18" i="14609"/>
  <c r="ER18" i="14609"/>
  <c r="ES18" i="14609"/>
  <c r="ET18" i="14609"/>
  <c r="EU18" i="14609"/>
  <c r="EV18" i="14609"/>
  <c r="EW18" i="14609"/>
  <c r="EX18" i="14609"/>
  <c r="EY18" i="14609"/>
  <c r="EZ18" i="14609"/>
  <c r="FA18" i="14609"/>
  <c r="FB18" i="14609"/>
  <c r="FC18" i="14609"/>
  <c r="FD18" i="14609"/>
  <c r="FE18" i="14609"/>
  <c r="FF18" i="14609"/>
  <c r="FG18" i="14609"/>
  <c r="FH18" i="14609"/>
  <c r="FI18" i="14609"/>
  <c r="FJ18" i="14609"/>
  <c r="FK18" i="14609"/>
  <c r="FL18" i="14609"/>
  <c r="FM18" i="14609"/>
  <c r="FN18" i="14609"/>
  <c r="FO18" i="14609"/>
  <c r="FP18" i="14609"/>
  <c r="FQ18" i="14609"/>
  <c r="FR18" i="14609"/>
  <c r="FS18" i="14609"/>
  <c r="FT18" i="14609"/>
  <c r="FU18" i="14609"/>
  <c r="FV18" i="14609"/>
  <c r="FW18" i="14609"/>
  <c r="FX18" i="14609"/>
  <c r="FY18" i="14609"/>
  <c r="FZ18" i="14609"/>
  <c r="GA18" i="14609"/>
  <c r="GB18" i="14609"/>
  <c r="GC18" i="14609"/>
  <c r="GD18" i="14609"/>
  <c r="GE18" i="14609"/>
  <c r="GF18" i="14609"/>
  <c r="GG18" i="14609"/>
  <c r="GH18" i="14609"/>
  <c r="GI18" i="14609"/>
  <c r="GJ18" i="14609"/>
  <c r="GK18" i="14609"/>
  <c r="GL18" i="14609"/>
  <c r="GM18" i="14609"/>
  <c r="GN18" i="14609"/>
  <c r="GO18" i="14609"/>
  <c r="GP18" i="14609"/>
  <c r="GQ18" i="14609"/>
  <c r="GR18" i="14609"/>
  <c r="GS18" i="14609"/>
  <c r="GT18" i="14609"/>
  <c r="GU18" i="14609"/>
  <c r="GV18" i="14609"/>
  <c r="GW18" i="14609"/>
  <c r="GX18" i="14609"/>
  <c r="GY18" i="14609"/>
  <c r="GZ18" i="14609"/>
  <c r="HA18" i="14609"/>
  <c r="HB18" i="14609"/>
  <c r="HC18" i="14609"/>
  <c r="HD18" i="14609"/>
  <c r="HE18" i="14609"/>
  <c r="HF18" i="14609"/>
  <c r="HG18" i="14609"/>
  <c r="HH18" i="14609"/>
  <c r="HI18" i="14609"/>
  <c r="HJ18" i="14609"/>
  <c r="HK18" i="14609"/>
  <c r="HL18" i="14609"/>
  <c r="HM18" i="14609"/>
  <c r="HN18" i="14609"/>
  <c r="HO18" i="14609"/>
  <c r="HP18" i="14609"/>
  <c r="HQ18" i="14609"/>
  <c r="HR18" i="14609"/>
  <c r="HS18" i="14609"/>
  <c r="HT18" i="14609"/>
  <c r="HU18" i="14609"/>
  <c r="HV18" i="14609"/>
  <c r="HW18" i="14609"/>
  <c r="HX18" i="14609"/>
  <c r="HY18" i="14609"/>
  <c r="HZ18" i="14609"/>
  <c r="IA18" i="14609"/>
  <c r="IB18" i="14609"/>
  <c r="IC18" i="14609"/>
  <c r="ID18" i="14609"/>
  <c r="IE18" i="14609"/>
  <c r="IF18" i="14609"/>
  <c r="IG18" i="14609"/>
  <c r="IH18" i="14609"/>
  <c r="II18" i="14609"/>
  <c r="IJ18" i="14609"/>
  <c r="IK18" i="14609"/>
  <c r="IL18" i="14609"/>
  <c r="IM18" i="14609"/>
  <c r="IN18" i="14609"/>
  <c r="IO18" i="14609"/>
  <c r="IP18" i="14609"/>
  <c r="IQ18" i="14609"/>
  <c r="IR18" i="14609"/>
  <c r="IS18" i="14609"/>
  <c r="IT18" i="14609"/>
  <c r="IU18" i="14609"/>
  <c r="IV18" i="14609"/>
  <c r="A17" i="14609"/>
  <c r="B17" i="14609"/>
  <c r="C17" i="14609"/>
  <c r="D17" i="14609"/>
  <c r="E17" i="14609"/>
  <c r="F17" i="14609"/>
  <c r="G17" i="14609"/>
  <c r="H17" i="14609"/>
  <c r="I17" i="14609"/>
  <c r="J17" i="14609"/>
  <c r="K17" i="14609"/>
  <c r="L17" i="14609"/>
  <c r="M17" i="14609"/>
  <c r="N17" i="14609"/>
  <c r="O17" i="14609"/>
  <c r="P17" i="14609"/>
  <c r="Q17" i="14609"/>
  <c r="R17" i="14609"/>
  <c r="S17" i="14609"/>
  <c r="T17" i="14609"/>
  <c r="U17" i="14609"/>
  <c r="V17" i="14609"/>
  <c r="W17" i="14609"/>
  <c r="X17" i="14609"/>
  <c r="Y17" i="14609"/>
  <c r="Z17" i="14609"/>
  <c r="AA17" i="14609"/>
  <c r="AB17" i="14609"/>
  <c r="AC17" i="14609"/>
  <c r="AD17" i="14609"/>
  <c r="AE17" i="14609"/>
  <c r="AF17" i="14609"/>
  <c r="AG17" i="14609"/>
  <c r="AH17" i="14609"/>
  <c r="AI17" i="14609"/>
  <c r="AJ17" i="14609"/>
  <c r="AK17" i="14609"/>
  <c r="AL17" i="14609"/>
  <c r="AM17" i="14609"/>
  <c r="AN17" i="14609"/>
  <c r="AO17" i="14609"/>
  <c r="AP17" i="14609"/>
  <c r="AQ17" i="14609"/>
  <c r="AR17" i="14609"/>
  <c r="AS17" i="14609"/>
  <c r="AT17" i="14609"/>
  <c r="AU17" i="14609"/>
  <c r="AV17" i="14609"/>
  <c r="AW17" i="14609"/>
  <c r="AX17" i="14609"/>
  <c r="AY17" i="14609"/>
  <c r="AZ17" i="14609"/>
  <c r="BA17" i="14609"/>
  <c r="BB17" i="14609"/>
  <c r="BC17" i="14609"/>
  <c r="BD17" i="14609"/>
  <c r="BE17" i="14609"/>
  <c r="BF17" i="14609"/>
  <c r="BG17" i="14609"/>
  <c r="BH17" i="14609"/>
  <c r="BI17" i="14609"/>
  <c r="BJ17" i="14609"/>
  <c r="BK17" i="14609"/>
  <c r="BL17" i="14609"/>
  <c r="BM17" i="14609"/>
  <c r="BN17" i="14609"/>
  <c r="BO17" i="14609"/>
  <c r="BP17" i="14609"/>
  <c r="BQ17" i="14609"/>
  <c r="BR17" i="14609"/>
  <c r="BS17" i="14609"/>
  <c r="BT17" i="14609"/>
  <c r="BU17" i="14609"/>
  <c r="BV17" i="14609"/>
  <c r="BW17" i="14609"/>
  <c r="BX17" i="14609"/>
  <c r="BY17" i="14609"/>
  <c r="BZ17" i="14609"/>
  <c r="CA17" i="14609"/>
  <c r="CB17" i="14609"/>
  <c r="CC17" i="14609"/>
  <c r="CD17" i="14609"/>
  <c r="CE17" i="14609"/>
  <c r="CF17" i="14609"/>
  <c r="CG17" i="14609"/>
  <c r="CH17" i="14609"/>
  <c r="CI17" i="14609"/>
  <c r="CJ17" i="14609"/>
  <c r="CK17" i="14609"/>
  <c r="CL17" i="14609"/>
  <c r="CM17" i="14609"/>
  <c r="CN17" i="14609"/>
  <c r="CO17" i="14609"/>
  <c r="CP17" i="14609"/>
  <c r="CQ17" i="14609"/>
  <c r="CR17" i="14609"/>
  <c r="CS17" i="14609"/>
  <c r="CT17" i="14609"/>
  <c r="CU17" i="14609"/>
  <c r="CV17" i="14609"/>
  <c r="CW17" i="14609"/>
  <c r="CX17" i="14609"/>
  <c r="CY17" i="14609"/>
  <c r="CZ17" i="14609"/>
  <c r="DA17" i="14609"/>
  <c r="DB17" i="14609"/>
  <c r="DC17" i="14609"/>
  <c r="DD17" i="14609"/>
  <c r="DE17" i="14609"/>
  <c r="DF17" i="14609"/>
  <c r="DG17" i="14609"/>
  <c r="DH17" i="14609"/>
  <c r="DI17" i="14609"/>
  <c r="DJ17" i="14609"/>
  <c r="DK17" i="14609"/>
  <c r="DL17" i="14609"/>
  <c r="DM17" i="14609"/>
  <c r="DN17" i="14609"/>
  <c r="DO17" i="14609"/>
  <c r="DP17" i="14609"/>
  <c r="DQ17" i="14609"/>
  <c r="DR17" i="14609"/>
  <c r="DS17" i="14609"/>
  <c r="DT17" i="14609"/>
  <c r="DU17" i="14609"/>
  <c r="DV17" i="14609"/>
  <c r="DW17" i="14609"/>
  <c r="DX17" i="14609"/>
  <c r="DY17" i="14609"/>
  <c r="DZ17" i="14609"/>
  <c r="EA17" i="14609"/>
  <c r="EB17" i="14609"/>
  <c r="EC17" i="14609"/>
  <c r="ED17" i="14609"/>
  <c r="EE17" i="14609"/>
  <c r="EF17" i="14609"/>
  <c r="EG17" i="14609"/>
  <c r="EH17" i="14609"/>
  <c r="EI17" i="14609"/>
  <c r="EJ17" i="14609"/>
  <c r="EK17" i="14609"/>
  <c r="EL17" i="14609"/>
  <c r="EM17" i="14609"/>
  <c r="EN17" i="14609"/>
  <c r="EO17" i="14609"/>
  <c r="EP17" i="14609"/>
  <c r="EQ17" i="14609"/>
  <c r="ER17" i="14609"/>
  <c r="ES17" i="14609"/>
  <c r="ET17" i="14609"/>
  <c r="EU17" i="14609"/>
  <c r="EV17" i="14609"/>
  <c r="EW17" i="14609"/>
  <c r="EX17" i="14609"/>
  <c r="EY17" i="14609"/>
  <c r="EZ17" i="14609"/>
  <c r="FA17" i="14609"/>
  <c r="FB17" i="14609"/>
  <c r="FC17" i="14609"/>
  <c r="FD17" i="14609"/>
  <c r="FE17" i="14609"/>
  <c r="FF17" i="14609"/>
  <c r="FG17" i="14609"/>
  <c r="FH17" i="14609"/>
  <c r="FI17" i="14609"/>
  <c r="FJ17" i="14609"/>
  <c r="FK17" i="14609"/>
  <c r="FL17" i="14609"/>
  <c r="FM17" i="14609"/>
  <c r="FN17" i="14609"/>
  <c r="FO17" i="14609"/>
  <c r="FP17" i="14609"/>
  <c r="FQ17" i="14609"/>
  <c r="FR17" i="14609"/>
  <c r="FS17" i="14609"/>
  <c r="FT17" i="14609"/>
  <c r="FU17" i="14609"/>
  <c r="FV17" i="14609"/>
  <c r="FW17" i="14609"/>
  <c r="FX17" i="14609"/>
  <c r="FY17" i="14609"/>
  <c r="FZ17" i="14609"/>
  <c r="GA17" i="14609"/>
  <c r="GB17" i="14609"/>
  <c r="GC17" i="14609"/>
  <c r="GD17" i="14609"/>
  <c r="GE17" i="14609"/>
  <c r="GF17" i="14609"/>
  <c r="GG17" i="14609"/>
  <c r="GH17" i="14609"/>
  <c r="GI17" i="14609"/>
  <c r="GJ17" i="14609"/>
  <c r="GK17" i="14609"/>
  <c r="GL17" i="14609"/>
  <c r="GM17" i="14609"/>
  <c r="GN17" i="14609"/>
  <c r="GO17" i="14609"/>
  <c r="GP17" i="14609"/>
  <c r="GQ17" i="14609"/>
  <c r="GR17" i="14609"/>
  <c r="GS17" i="14609"/>
  <c r="GT17" i="14609"/>
  <c r="GU17" i="14609"/>
  <c r="GV17" i="14609"/>
  <c r="GW17" i="14609"/>
  <c r="GX17" i="14609"/>
  <c r="GY17" i="14609"/>
  <c r="GZ17" i="14609"/>
  <c r="HA17" i="14609"/>
  <c r="HB17" i="14609"/>
  <c r="HC17" i="14609"/>
  <c r="HD17" i="14609"/>
  <c r="HE17" i="14609"/>
  <c r="HF17" i="14609"/>
  <c r="HG17" i="14609"/>
  <c r="HH17" i="14609"/>
  <c r="HI17" i="14609"/>
  <c r="HJ17" i="14609"/>
  <c r="HK17" i="14609"/>
  <c r="HL17" i="14609"/>
  <c r="HM17" i="14609"/>
  <c r="HN17" i="14609"/>
  <c r="HO17" i="14609"/>
  <c r="HP17" i="14609"/>
  <c r="HQ17" i="14609"/>
  <c r="HR17" i="14609"/>
  <c r="HS17" i="14609"/>
  <c r="HT17" i="14609"/>
  <c r="HU17" i="14609"/>
  <c r="HV17" i="14609"/>
  <c r="HW17" i="14609"/>
  <c r="HX17" i="14609"/>
  <c r="HY17" i="14609"/>
  <c r="HZ17" i="14609"/>
  <c r="IA17" i="14609"/>
  <c r="IB17" i="14609"/>
  <c r="IC17" i="14609"/>
  <c r="ID17" i="14609"/>
  <c r="IE17" i="14609"/>
  <c r="IF17" i="14609"/>
  <c r="IG17" i="14609"/>
  <c r="IH17" i="14609"/>
  <c r="II17" i="14609"/>
  <c r="IJ17" i="14609"/>
  <c r="IK17" i="14609"/>
  <c r="IL17" i="14609"/>
  <c r="IM17" i="14609"/>
  <c r="IN17" i="14609"/>
  <c r="IO17" i="14609"/>
  <c r="IP17" i="14609"/>
  <c r="IQ17" i="14609"/>
  <c r="IR17" i="14609"/>
  <c r="IS17" i="14609"/>
  <c r="IT17" i="14609"/>
  <c r="IU17" i="14609"/>
  <c r="IV17" i="14609"/>
  <c r="A16" i="14609"/>
  <c r="B16" i="14609"/>
  <c r="C16" i="14609"/>
  <c r="D16" i="14609"/>
  <c r="E16" i="14609"/>
  <c r="F16" i="14609"/>
  <c r="G16" i="14609"/>
  <c r="H16" i="14609"/>
  <c r="I16" i="14609"/>
  <c r="J16" i="14609"/>
  <c r="K16" i="14609"/>
  <c r="L16" i="14609"/>
  <c r="M16" i="14609"/>
  <c r="N16" i="14609"/>
  <c r="O16" i="14609"/>
  <c r="P16" i="14609"/>
  <c r="Q16" i="14609"/>
  <c r="R16" i="14609"/>
  <c r="S16" i="14609"/>
  <c r="T16" i="14609"/>
  <c r="U16" i="14609"/>
  <c r="V16" i="14609"/>
  <c r="W16" i="14609"/>
  <c r="X16" i="14609"/>
  <c r="Y16" i="14609"/>
  <c r="Z16" i="14609"/>
  <c r="AA16" i="14609"/>
  <c r="AB16" i="14609"/>
  <c r="AC16" i="14609"/>
  <c r="AD16" i="14609"/>
  <c r="AE16" i="14609"/>
  <c r="AF16" i="14609"/>
  <c r="AG16" i="14609"/>
  <c r="AH16" i="14609"/>
  <c r="AI16" i="14609"/>
  <c r="AJ16" i="14609"/>
  <c r="AK16" i="14609"/>
  <c r="AL16" i="14609"/>
  <c r="AM16" i="14609"/>
  <c r="AN16" i="14609"/>
  <c r="AO16" i="14609"/>
  <c r="AP16" i="14609"/>
  <c r="AQ16" i="14609"/>
  <c r="AR16" i="14609"/>
  <c r="AS16" i="14609"/>
  <c r="AT16" i="14609"/>
  <c r="AU16" i="14609"/>
  <c r="AV16" i="14609"/>
  <c r="AW16" i="14609"/>
  <c r="AX16" i="14609"/>
  <c r="AY16" i="14609"/>
  <c r="AZ16" i="14609"/>
  <c r="BA16" i="14609"/>
  <c r="BB16" i="14609"/>
  <c r="BC16" i="14609"/>
  <c r="BD16" i="14609"/>
  <c r="BE16" i="14609"/>
  <c r="BF16" i="14609"/>
  <c r="BG16" i="14609"/>
  <c r="BH16" i="14609"/>
  <c r="BI16" i="14609"/>
  <c r="BJ16" i="14609"/>
  <c r="BK16" i="14609"/>
  <c r="BL16" i="14609"/>
  <c r="BM16" i="14609"/>
  <c r="BN16" i="14609"/>
  <c r="BO16" i="14609"/>
  <c r="BP16" i="14609"/>
  <c r="BQ16" i="14609"/>
  <c r="BR16" i="14609"/>
  <c r="BS16" i="14609"/>
  <c r="BT16" i="14609"/>
  <c r="BU16" i="14609"/>
  <c r="BV16" i="14609"/>
  <c r="BW16" i="14609"/>
  <c r="BX16" i="14609"/>
  <c r="BY16" i="14609"/>
  <c r="BZ16" i="14609"/>
  <c r="CA16" i="14609"/>
  <c r="CB16" i="14609"/>
  <c r="CC16" i="14609"/>
  <c r="CD16" i="14609"/>
  <c r="CE16" i="14609"/>
  <c r="CF16" i="14609"/>
  <c r="CG16" i="14609"/>
  <c r="CH16" i="14609"/>
  <c r="CI16" i="14609"/>
  <c r="CJ16" i="14609"/>
  <c r="CK16" i="14609"/>
  <c r="CL16" i="14609"/>
  <c r="CM16" i="14609"/>
  <c r="CN16" i="14609"/>
  <c r="CO16" i="14609"/>
  <c r="CP16" i="14609"/>
  <c r="CQ16" i="14609"/>
  <c r="CR16" i="14609"/>
  <c r="CS16" i="14609"/>
  <c r="CT16" i="14609"/>
  <c r="CU16" i="14609"/>
  <c r="CV16" i="14609"/>
  <c r="CW16" i="14609"/>
  <c r="CX16" i="14609"/>
  <c r="CY16" i="14609"/>
  <c r="CZ16" i="14609"/>
  <c r="DA16" i="14609"/>
  <c r="DB16" i="14609"/>
  <c r="DC16" i="14609"/>
  <c r="DD16" i="14609"/>
  <c r="DE16" i="14609"/>
  <c r="DF16" i="14609"/>
  <c r="DG16" i="14609"/>
  <c r="DH16" i="14609"/>
  <c r="DI16" i="14609"/>
  <c r="DJ16" i="14609"/>
  <c r="DK16" i="14609"/>
  <c r="DL16" i="14609"/>
  <c r="DM16" i="14609"/>
  <c r="DN16" i="14609"/>
  <c r="DO16" i="14609"/>
  <c r="DP16" i="14609"/>
  <c r="DQ16" i="14609"/>
  <c r="DR16" i="14609"/>
  <c r="DS16" i="14609"/>
  <c r="DT16" i="14609"/>
  <c r="DU16" i="14609"/>
  <c r="DV16" i="14609"/>
  <c r="DW16" i="14609"/>
  <c r="DX16" i="14609"/>
  <c r="DY16" i="14609"/>
  <c r="DZ16" i="14609"/>
  <c r="EA16" i="14609"/>
  <c r="EB16" i="14609"/>
  <c r="EC16" i="14609"/>
  <c r="ED16" i="14609"/>
  <c r="EE16" i="14609"/>
  <c r="EF16" i="14609"/>
  <c r="EG16" i="14609"/>
  <c r="EH16" i="14609"/>
  <c r="EI16" i="14609"/>
  <c r="EJ16" i="14609"/>
  <c r="EK16" i="14609"/>
  <c r="EL16" i="14609"/>
  <c r="EM16" i="14609"/>
  <c r="EN16" i="14609"/>
  <c r="EO16" i="14609"/>
  <c r="EP16" i="14609"/>
  <c r="EQ16" i="14609"/>
  <c r="ER16" i="14609"/>
  <c r="ES16" i="14609"/>
  <c r="ET16" i="14609"/>
  <c r="EU16" i="14609"/>
  <c r="EV16" i="14609"/>
  <c r="EW16" i="14609"/>
  <c r="EX16" i="14609"/>
  <c r="EY16" i="14609"/>
  <c r="EZ16" i="14609"/>
  <c r="FA16" i="14609"/>
  <c r="FB16" i="14609"/>
  <c r="FC16" i="14609"/>
  <c r="FD16" i="14609"/>
  <c r="FE16" i="14609"/>
  <c r="FF16" i="14609"/>
  <c r="FG16" i="14609"/>
  <c r="FH16" i="14609"/>
  <c r="FI16" i="14609"/>
  <c r="FJ16" i="14609"/>
  <c r="FK16" i="14609"/>
  <c r="FL16" i="14609"/>
  <c r="FM16" i="14609"/>
  <c r="FN16" i="14609"/>
  <c r="FO16" i="14609"/>
  <c r="FP16" i="14609"/>
  <c r="FQ16" i="14609"/>
  <c r="FR16" i="14609"/>
  <c r="FS16" i="14609"/>
  <c r="FT16" i="14609"/>
  <c r="FU16" i="14609"/>
  <c r="FV16" i="14609"/>
  <c r="FW16" i="14609"/>
  <c r="FX16" i="14609"/>
  <c r="FY16" i="14609"/>
  <c r="FZ16" i="14609"/>
  <c r="GA16" i="14609"/>
  <c r="GB16" i="14609"/>
  <c r="GC16" i="14609"/>
  <c r="GD16" i="14609"/>
  <c r="GE16" i="14609"/>
  <c r="GF16" i="14609"/>
  <c r="GG16" i="14609"/>
  <c r="GH16" i="14609"/>
  <c r="GI16" i="14609"/>
  <c r="GJ16" i="14609"/>
  <c r="GK16" i="14609"/>
  <c r="GL16" i="14609"/>
  <c r="GM16" i="14609"/>
  <c r="GN16" i="14609"/>
  <c r="GO16" i="14609"/>
  <c r="GP16" i="14609"/>
  <c r="GQ16" i="14609"/>
  <c r="GR16" i="14609"/>
  <c r="GS16" i="14609"/>
  <c r="GT16" i="14609"/>
  <c r="GU16" i="14609"/>
  <c r="GV16" i="14609"/>
  <c r="GW16" i="14609"/>
  <c r="GX16" i="14609"/>
  <c r="GY16" i="14609"/>
  <c r="GZ16" i="14609"/>
  <c r="HA16" i="14609"/>
  <c r="HB16" i="14609"/>
  <c r="HC16" i="14609"/>
  <c r="HD16" i="14609"/>
  <c r="HE16" i="14609"/>
  <c r="HF16" i="14609"/>
  <c r="HG16" i="14609"/>
  <c r="HH16" i="14609"/>
  <c r="HI16" i="14609"/>
  <c r="HJ16" i="14609"/>
  <c r="HK16" i="14609"/>
  <c r="HL16" i="14609"/>
  <c r="HM16" i="14609"/>
  <c r="HN16" i="14609"/>
  <c r="HO16" i="14609"/>
  <c r="HP16" i="14609"/>
  <c r="HQ16" i="14609"/>
  <c r="HR16" i="14609"/>
  <c r="HS16" i="14609"/>
  <c r="HT16" i="14609"/>
  <c r="HU16" i="14609"/>
  <c r="HV16" i="14609"/>
  <c r="HW16" i="14609"/>
  <c r="HX16" i="14609"/>
  <c r="HY16" i="14609"/>
  <c r="HZ16" i="14609"/>
  <c r="IA16" i="14609"/>
  <c r="IB16" i="14609"/>
  <c r="IC16" i="14609"/>
  <c r="ID16" i="14609"/>
  <c r="IE16" i="14609"/>
  <c r="IF16" i="14609"/>
  <c r="IG16" i="14609"/>
  <c r="IH16" i="14609"/>
  <c r="II16" i="14609"/>
  <c r="IJ16" i="14609"/>
  <c r="IK16" i="14609"/>
  <c r="IL16" i="14609"/>
  <c r="IM16" i="14609"/>
  <c r="IN16" i="14609"/>
  <c r="IO16" i="14609"/>
  <c r="IP16" i="14609"/>
  <c r="IQ16" i="14609"/>
  <c r="IR16" i="14609"/>
  <c r="IS16" i="14609"/>
  <c r="IT16" i="14609"/>
  <c r="IU16" i="14609"/>
  <c r="IV16" i="14609"/>
  <c r="A15" i="14609"/>
  <c r="B15" i="14609"/>
  <c r="C15" i="14609"/>
  <c r="D15" i="14609"/>
  <c r="E15" i="14609"/>
  <c r="F15" i="14609"/>
  <c r="G15" i="14609"/>
  <c r="H15" i="14609"/>
  <c r="I15" i="14609"/>
  <c r="J15" i="14609"/>
  <c r="K15" i="14609"/>
  <c r="L15" i="14609"/>
  <c r="M15" i="14609"/>
  <c r="N15" i="14609"/>
  <c r="O15" i="14609"/>
  <c r="P15" i="14609"/>
  <c r="Q15" i="14609"/>
  <c r="R15" i="14609"/>
  <c r="S15" i="14609"/>
  <c r="T15" i="14609"/>
  <c r="U15" i="14609"/>
  <c r="V15" i="14609"/>
  <c r="W15" i="14609"/>
  <c r="X15" i="14609"/>
  <c r="Y15" i="14609"/>
  <c r="Z15" i="14609"/>
  <c r="AA15" i="14609"/>
  <c r="AB15" i="14609"/>
  <c r="AC15" i="14609"/>
  <c r="AD15" i="14609"/>
  <c r="AE15" i="14609"/>
  <c r="AF15" i="14609"/>
  <c r="AG15" i="14609"/>
  <c r="AH15" i="14609"/>
  <c r="AI15" i="14609"/>
  <c r="AJ15" i="14609"/>
  <c r="AK15" i="14609"/>
  <c r="AL15" i="14609"/>
  <c r="AM15" i="14609"/>
  <c r="AN15" i="14609"/>
  <c r="AO15" i="14609"/>
  <c r="AP15" i="14609"/>
  <c r="AQ15" i="14609"/>
  <c r="AR15" i="14609"/>
  <c r="AS15" i="14609"/>
  <c r="AT15" i="14609"/>
  <c r="AU15" i="14609"/>
  <c r="AV15" i="14609"/>
  <c r="AW15" i="14609"/>
  <c r="AX15" i="14609"/>
  <c r="AY15" i="14609"/>
  <c r="AZ15" i="14609"/>
  <c r="BA15" i="14609"/>
  <c r="BB15" i="14609"/>
  <c r="BC15" i="14609"/>
  <c r="BD15" i="14609"/>
  <c r="BE15" i="14609"/>
  <c r="BF15" i="14609"/>
  <c r="BG15" i="14609"/>
  <c r="BH15" i="14609"/>
  <c r="BI15" i="14609"/>
  <c r="BJ15" i="14609"/>
  <c r="BK15" i="14609"/>
  <c r="BL15" i="14609"/>
  <c r="BM15" i="14609"/>
  <c r="BN15" i="14609"/>
  <c r="BO15" i="14609"/>
  <c r="BP15" i="14609"/>
  <c r="BQ15" i="14609"/>
  <c r="BR15" i="14609"/>
  <c r="BS15" i="14609"/>
  <c r="BT15" i="14609"/>
  <c r="BU15" i="14609"/>
  <c r="BV15" i="14609"/>
  <c r="BW15" i="14609"/>
  <c r="BX15" i="14609"/>
  <c r="BY15" i="14609"/>
  <c r="BZ15" i="14609"/>
  <c r="CA15" i="14609"/>
  <c r="CB15" i="14609"/>
  <c r="CC15" i="14609"/>
  <c r="CD15" i="14609"/>
  <c r="CE15" i="14609"/>
  <c r="CF15" i="14609"/>
  <c r="CG15" i="14609"/>
  <c r="CH15" i="14609"/>
  <c r="CI15" i="14609"/>
  <c r="CJ15" i="14609"/>
  <c r="CK15" i="14609"/>
  <c r="CL15" i="14609"/>
  <c r="CM15" i="14609"/>
  <c r="CN15" i="14609"/>
  <c r="CO15" i="14609"/>
  <c r="CP15" i="14609"/>
  <c r="CQ15" i="14609"/>
  <c r="CR15" i="14609"/>
  <c r="CS15" i="14609"/>
  <c r="CT15" i="14609"/>
  <c r="CU15" i="14609"/>
  <c r="CV15" i="14609"/>
  <c r="CW15" i="14609"/>
  <c r="CX15" i="14609"/>
  <c r="CY15" i="14609"/>
  <c r="CZ15" i="14609"/>
  <c r="DA15" i="14609"/>
  <c r="DB15" i="14609"/>
  <c r="DC15" i="14609"/>
  <c r="DD15" i="14609"/>
  <c r="DE15" i="14609"/>
  <c r="DF15" i="14609"/>
  <c r="DG15" i="14609"/>
  <c r="DH15" i="14609"/>
  <c r="DI15" i="14609"/>
  <c r="DJ15" i="14609"/>
  <c r="DK15" i="14609"/>
  <c r="DL15" i="14609"/>
  <c r="DM15" i="14609"/>
  <c r="DN15" i="14609"/>
  <c r="DO15" i="14609"/>
  <c r="DP15" i="14609"/>
  <c r="DQ15" i="14609"/>
  <c r="DR15" i="14609"/>
  <c r="DS15" i="14609"/>
  <c r="DT15" i="14609"/>
  <c r="DU15" i="14609"/>
  <c r="DV15" i="14609"/>
  <c r="DW15" i="14609"/>
  <c r="DX15" i="14609"/>
  <c r="DY15" i="14609"/>
  <c r="DZ15" i="14609"/>
  <c r="EA15" i="14609"/>
  <c r="EB15" i="14609"/>
  <c r="EC15" i="14609"/>
  <c r="ED15" i="14609"/>
  <c r="EE15" i="14609"/>
  <c r="EF15" i="14609"/>
  <c r="EG15" i="14609"/>
  <c r="EH15" i="14609"/>
  <c r="EI15" i="14609"/>
  <c r="EJ15" i="14609"/>
  <c r="EK15" i="14609"/>
  <c r="EL15" i="14609"/>
  <c r="EM15" i="14609"/>
  <c r="EN15" i="14609"/>
  <c r="EO15" i="14609"/>
  <c r="EP15" i="14609"/>
  <c r="EQ15" i="14609"/>
  <c r="ER15" i="14609"/>
  <c r="ES15" i="14609"/>
  <c r="ET15" i="14609"/>
  <c r="EU15" i="14609"/>
  <c r="EV15" i="14609"/>
  <c r="EW15" i="14609"/>
  <c r="EX15" i="14609"/>
  <c r="EY15" i="14609"/>
  <c r="EZ15" i="14609"/>
  <c r="FA15" i="14609"/>
  <c r="FB15" i="14609"/>
  <c r="FC15" i="14609"/>
  <c r="FD15" i="14609"/>
  <c r="FE15" i="14609"/>
  <c r="FF15" i="14609"/>
  <c r="FG15" i="14609"/>
  <c r="FH15" i="14609"/>
  <c r="FI15" i="14609"/>
  <c r="FJ15" i="14609"/>
  <c r="FK15" i="14609"/>
  <c r="FL15" i="14609"/>
  <c r="FM15" i="14609"/>
  <c r="FN15" i="14609"/>
  <c r="FO15" i="14609"/>
  <c r="FP15" i="14609"/>
  <c r="FQ15" i="14609"/>
  <c r="FR15" i="14609"/>
  <c r="FS15" i="14609"/>
  <c r="FT15" i="14609"/>
  <c r="FU15" i="14609"/>
  <c r="FV15" i="14609"/>
  <c r="FW15" i="14609"/>
  <c r="FX15" i="14609"/>
  <c r="FY15" i="14609"/>
  <c r="FZ15" i="14609"/>
  <c r="GA15" i="14609"/>
  <c r="GB15" i="14609"/>
  <c r="GC15" i="14609"/>
  <c r="GD15" i="14609"/>
  <c r="GE15" i="14609"/>
  <c r="GF15" i="14609"/>
  <c r="GG15" i="14609"/>
  <c r="GH15" i="14609"/>
  <c r="GI15" i="14609"/>
  <c r="GJ15" i="14609"/>
  <c r="GK15" i="14609"/>
  <c r="GL15" i="14609"/>
  <c r="GM15" i="14609"/>
  <c r="GN15" i="14609"/>
  <c r="GO15" i="14609"/>
  <c r="GP15" i="14609"/>
  <c r="GQ15" i="14609"/>
  <c r="GR15" i="14609"/>
  <c r="GS15" i="14609"/>
  <c r="GT15" i="14609"/>
  <c r="GU15" i="14609"/>
  <c r="GV15" i="14609"/>
  <c r="GW15" i="14609"/>
  <c r="GX15" i="14609"/>
  <c r="GY15" i="14609"/>
  <c r="GZ15" i="14609"/>
  <c r="HA15" i="14609"/>
  <c r="HB15" i="14609"/>
  <c r="HC15" i="14609"/>
  <c r="HD15" i="14609"/>
  <c r="HE15" i="14609"/>
  <c r="HF15" i="14609"/>
  <c r="HG15" i="14609"/>
  <c r="HH15" i="14609"/>
  <c r="HI15" i="14609"/>
  <c r="HJ15" i="14609"/>
  <c r="HK15" i="14609"/>
  <c r="HL15" i="14609"/>
  <c r="HM15" i="14609"/>
  <c r="HN15" i="14609"/>
  <c r="HO15" i="14609"/>
  <c r="HP15" i="14609"/>
  <c r="HQ15" i="14609"/>
  <c r="HR15" i="14609"/>
  <c r="HS15" i="14609"/>
  <c r="HT15" i="14609"/>
  <c r="HU15" i="14609"/>
  <c r="HV15" i="14609"/>
  <c r="HW15" i="14609"/>
  <c r="HX15" i="14609"/>
  <c r="HY15" i="14609"/>
  <c r="HZ15" i="14609"/>
  <c r="IA15" i="14609"/>
  <c r="IB15" i="14609"/>
  <c r="IC15" i="14609"/>
  <c r="ID15" i="14609"/>
  <c r="IE15" i="14609"/>
  <c r="IF15" i="14609"/>
  <c r="IG15" i="14609"/>
  <c r="IH15" i="14609"/>
  <c r="II15" i="14609"/>
  <c r="IJ15" i="14609"/>
  <c r="IK15" i="14609"/>
  <c r="IL15" i="14609"/>
  <c r="IM15" i="14609"/>
  <c r="IN15" i="14609"/>
  <c r="IO15" i="14609"/>
  <c r="IP15" i="14609"/>
  <c r="IQ15" i="14609"/>
  <c r="IR15" i="14609"/>
  <c r="IS15" i="14609"/>
  <c r="IT15" i="14609"/>
  <c r="IU15" i="14609"/>
  <c r="IV15" i="14609"/>
  <c r="A14" i="14609"/>
  <c r="B14" i="14609"/>
  <c r="C14" i="14609"/>
  <c r="D14" i="14609"/>
  <c r="E14" i="14609"/>
  <c r="F14" i="14609"/>
  <c r="G14" i="14609"/>
  <c r="H14" i="14609"/>
  <c r="I14" i="14609"/>
  <c r="J14" i="14609"/>
  <c r="K14" i="14609"/>
  <c r="L14" i="14609"/>
  <c r="M14" i="14609"/>
  <c r="N14" i="14609"/>
  <c r="O14" i="14609"/>
  <c r="P14" i="14609"/>
  <c r="Q14" i="14609"/>
  <c r="R14" i="14609"/>
  <c r="S14" i="14609"/>
  <c r="T14" i="14609"/>
  <c r="U14" i="14609"/>
  <c r="V14" i="14609"/>
  <c r="W14" i="14609"/>
  <c r="X14" i="14609"/>
  <c r="Y14" i="14609"/>
  <c r="Z14" i="14609"/>
  <c r="AB14" i="14609"/>
  <c r="AC14" i="14609"/>
  <c r="AD14" i="14609"/>
  <c r="AE14" i="14609"/>
  <c r="AF14" i="14609"/>
  <c r="AG14" i="14609"/>
  <c r="AH14" i="14609"/>
  <c r="AI14" i="14609"/>
  <c r="AJ14" i="14609"/>
  <c r="AK14" i="14609"/>
  <c r="AL14" i="14609"/>
  <c r="AM14" i="14609"/>
  <c r="AN14" i="14609"/>
  <c r="AO14" i="14609"/>
  <c r="AP14" i="14609"/>
  <c r="AQ14" i="14609"/>
  <c r="AR14" i="14609"/>
  <c r="AS14" i="14609"/>
  <c r="AT14" i="14609"/>
  <c r="AU14" i="14609"/>
  <c r="AV14" i="14609"/>
  <c r="AW14" i="14609"/>
  <c r="AX14" i="14609"/>
  <c r="AY14" i="14609"/>
  <c r="AZ14" i="14609"/>
  <c r="BA14" i="14609"/>
  <c r="BB14" i="14609"/>
  <c r="BC14" i="14609"/>
  <c r="BD14" i="14609"/>
  <c r="BE14" i="14609"/>
  <c r="BF14" i="14609"/>
  <c r="BG14" i="14609"/>
  <c r="BH14" i="14609"/>
  <c r="BI14" i="14609"/>
  <c r="BJ14" i="14609"/>
  <c r="BK14" i="14609"/>
  <c r="BL14" i="14609"/>
  <c r="BM14" i="14609"/>
  <c r="BN14" i="14609"/>
  <c r="BO14" i="14609"/>
  <c r="BP14" i="14609"/>
  <c r="BQ14" i="14609"/>
  <c r="BR14" i="14609"/>
  <c r="BS14" i="14609"/>
  <c r="BT14" i="14609"/>
  <c r="BU14" i="14609"/>
  <c r="BV14" i="14609"/>
  <c r="BW14" i="14609"/>
  <c r="BX14" i="14609"/>
  <c r="BY14" i="14609"/>
  <c r="BZ14" i="14609"/>
  <c r="CA14" i="14609"/>
  <c r="CB14" i="14609"/>
  <c r="CC14" i="14609"/>
  <c r="CD14" i="14609"/>
  <c r="CE14" i="14609"/>
  <c r="CF14" i="14609"/>
  <c r="CG14" i="14609"/>
  <c r="CI14" i="14609"/>
  <c r="CJ14" i="14609"/>
  <c r="CK14" i="14609"/>
  <c r="CL14" i="14609"/>
  <c r="CM14" i="14609"/>
  <c r="CN14" i="14609"/>
  <c r="CO14" i="14609"/>
  <c r="CP14" i="14609"/>
  <c r="CQ14" i="14609"/>
  <c r="CR14" i="14609"/>
  <c r="CS14" i="14609"/>
  <c r="CT14" i="14609"/>
  <c r="CU14" i="14609"/>
  <c r="CV14" i="14609"/>
  <c r="CW14" i="14609"/>
  <c r="CX14" i="14609"/>
  <c r="CY14" i="14609"/>
  <c r="CZ14" i="14609"/>
  <c r="DA14" i="14609"/>
  <c r="DB14" i="14609"/>
  <c r="DC14" i="14609"/>
  <c r="DD14" i="14609"/>
  <c r="DE14" i="14609"/>
  <c r="DF14" i="14609"/>
  <c r="DG14" i="14609"/>
  <c r="DH14" i="14609"/>
  <c r="DI14" i="14609"/>
  <c r="DJ14" i="14609"/>
  <c r="DK14" i="14609"/>
  <c r="DL14" i="14609"/>
  <c r="DM14" i="14609"/>
  <c r="DN14" i="14609"/>
  <c r="DO14" i="14609"/>
  <c r="DP14" i="14609"/>
  <c r="DQ14" i="14609"/>
  <c r="DR14" i="14609"/>
  <c r="DS14" i="14609"/>
  <c r="DT14" i="14609"/>
  <c r="DU14" i="14609"/>
  <c r="DV14" i="14609"/>
  <c r="DW14" i="14609"/>
  <c r="DX14" i="14609"/>
  <c r="DY14" i="14609"/>
  <c r="DZ14" i="14609"/>
  <c r="EA14" i="14609"/>
  <c r="EB14" i="14609"/>
  <c r="EC14" i="14609"/>
  <c r="ED14" i="14609"/>
  <c r="EE14" i="14609"/>
  <c r="EF14" i="14609"/>
  <c r="EG14" i="14609"/>
  <c r="EH14" i="14609"/>
  <c r="EI14" i="14609"/>
  <c r="EJ14" i="14609"/>
  <c r="EK14" i="14609"/>
  <c r="EL14" i="14609"/>
  <c r="EM14" i="14609"/>
  <c r="EN14" i="14609"/>
  <c r="EO14" i="14609"/>
  <c r="EP14" i="14609"/>
  <c r="EQ14" i="14609"/>
  <c r="ER14" i="14609"/>
  <c r="ES14" i="14609"/>
  <c r="ET14" i="14609"/>
  <c r="EU14" i="14609"/>
  <c r="EV14" i="14609"/>
  <c r="EW14" i="14609"/>
  <c r="EX14" i="14609"/>
  <c r="EY14" i="14609"/>
  <c r="EZ14" i="14609"/>
  <c r="FA14" i="14609"/>
  <c r="FB14" i="14609"/>
  <c r="FC14" i="14609"/>
  <c r="FD14" i="14609"/>
  <c r="FE14" i="14609"/>
  <c r="FF14" i="14609"/>
  <c r="FG14" i="14609"/>
  <c r="FH14" i="14609"/>
  <c r="FI14" i="14609"/>
  <c r="FJ14" i="14609"/>
  <c r="FK14" i="14609"/>
  <c r="FL14" i="14609"/>
  <c r="FM14" i="14609"/>
  <c r="FN14" i="14609"/>
  <c r="FO14" i="14609"/>
  <c r="FP14" i="14609"/>
  <c r="FQ14" i="14609"/>
  <c r="FR14" i="14609"/>
  <c r="FS14" i="14609"/>
  <c r="FT14" i="14609"/>
  <c r="FU14" i="14609"/>
  <c r="FV14" i="14609"/>
  <c r="FW14" i="14609"/>
  <c r="FX14" i="14609"/>
  <c r="FY14" i="14609"/>
  <c r="FZ14" i="14609"/>
  <c r="GA14" i="14609"/>
  <c r="GB14" i="14609"/>
  <c r="GC14" i="14609"/>
  <c r="GD14" i="14609"/>
  <c r="GE14" i="14609"/>
  <c r="GF14" i="14609"/>
  <c r="GG14" i="14609"/>
  <c r="GH14" i="14609"/>
  <c r="GI14" i="14609"/>
  <c r="GJ14" i="14609"/>
  <c r="GK14" i="14609"/>
  <c r="GL14" i="14609"/>
  <c r="GM14" i="14609"/>
  <c r="GN14" i="14609"/>
  <c r="GO14" i="14609"/>
  <c r="GP14" i="14609"/>
  <c r="GQ14" i="14609"/>
  <c r="GR14" i="14609"/>
  <c r="GS14" i="14609"/>
  <c r="GT14" i="14609"/>
  <c r="GU14" i="14609"/>
  <c r="GV14" i="14609"/>
  <c r="GW14" i="14609"/>
  <c r="GX14" i="14609"/>
  <c r="GY14" i="14609"/>
  <c r="GZ14" i="14609"/>
  <c r="HA14" i="14609"/>
  <c r="HB14" i="14609"/>
  <c r="HC14" i="14609"/>
  <c r="HD14" i="14609"/>
  <c r="HE14" i="14609"/>
  <c r="HF14" i="14609"/>
  <c r="HG14" i="14609"/>
  <c r="HH14" i="14609"/>
  <c r="HI14" i="14609"/>
  <c r="HJ14" i="14609"/>
  <c r="HK14" i="14609"/>
  <c r="HL14" i="14609"/>
  <c r="HM14" i="14609"/>
  <c r="HN14" i="14609"/>
  <c r="HO14" i="14609"/>
  <c r="HP14" i="14609"/>
  <c r="HQ14" i="14609"/>
  <c r="HR14" i="14609"/>
  <c r="HS14" i="14609"/>
  <c r="HT14" i="14609"/>
  <c r="HU14" i="14609"/>
  <c r="HV14" i="14609"/>
  <c r="HW14" i="14609"/>
  <c r="HX14" i="14609"/>
  <c r="HY14" i="14609"/>
  <c r="HZ14" i="14609"/>
  <c r="IA14" i="14609"/>
  <c r="IB14" i="14609"/>
  <c r="IC14" i="14609"/>
  <c r="ID14" i="14609"/>
  <c r="IE14" i="14609"/>
  <c r="IF14" i="14609"/>
  <c r="IG14" i="14609"/>
  <c r="IH14" i="14609"/>
  <c r="II14" i="14609"/>
  <c r="IJ14" i="14609"/>
  <c r="IK14" i="14609"/>
  <c r="IL14" i="14609"/>
  <c r="IM14" i="14609"/>
  <c r="IN14" i="14609"/>
  <c r="IO14" i="14609"/>
  <c r="IP14" i="14609"/>
  <c r="IQ14" i="14609"/>
  <c r="IR14" i="14609"/>
  <c r="IS14" i="14609"/>
  <c r="IT14" i="14609"/>
  <c r="IU14" i="14609"/>
  <c r="IV14" i="14609"/>
  <c r="A13" i="14609"/>
  <c r="B13" i="14609"/>
  <c r="C13" i="14609"/>
  <c r="D13" i="14609"/>
  <c r="E13" i="14609"/>
  <c r="F13" i="14609"/>
  <c r="G13" i="14609"/>
  <c r="H13" i="14609"/>
  <c r="I13" i="14609"/>
  <c r="J13" i="14609"/>
  <c r="K13" i="14609"/>
  <c r="L13" i="14609"/>
  <c r="M13" i="14609"/>
  <c r="N13" i="14609"/>
  <c r="O13" i="14609"/>
  <c r="P13" i="14609"/>
  <c r="Q13" i="14609"/>
  <c r="R13" i="14609"/>
  <c r="S13" i="14609"/>
  <c r="T13" i="14609"/>
  <c r="U13" i="14609"/>
  <c r="V13" i="14609"/>
  <c r="W13" i="14609"/>
  <c r="X13" i="14609"/>
  <c r="Y13" i="14609"/>
  <c r="Z13" i="14609"/>
  <c r="AA13" i="14609"/>
  <c r="AB13" i="14609"/>
  <c r="AC13" i="14609"/>
  <c r="AD13" i="14609"/>
  <c r="AE13" i="14609"/>
  <c r="AF13" i="14609"/>
  <c r="AG13" i="14609"/>
  <c r="AH13" i="14609"/>
  <c r="AI13" i="14609"/>
  <c r="AJ13" i="14609"/>
  <c r="AK13" i="14609"/>
  <c r="AL13" i="14609"/>
  <c r="AM13" i="14609"/>
  <c r="AN13" i="14609"/>
  <c r="AO13" i="14609"/>
  <c r="AP13" i="14609"/>
  <c r="AQ13" i="14609"/>
  <c r="AR13" i="14609"/>
  <c r="AS13" i="14609"/>
  <c r="AT13" i="14609"/>
  <c r="AU13" i="14609"/>
  <c r="AV13" i="14609"/>
  <c r="AW13" i="14609"/>
  <c r="AX13" i="14609"/>
  <c r="AY13" i="14609"/>
  <c r="AZ13" i="14609"/>
  <c r="BA13" i="14609"/>
  <c r="BB13" i="14609"/>
  <c r="BC13" i="14609"/>
  <c r="BD13" i="14609"/>
  <c r="BE13" i="14609"/>
  <c r="BF13" i="14609"/>
  <c r="BG13" i="14609"/>
  <c r="BH13" i="14609"/>
  <c r="BI13" i="14609"/>
  <c r="BJ13" i="14609"/>
  <c r="BK13" i="14609"/>
  <c r="BL13" i="14609"/>
  <c r="BM13" i="14609"/>
  <c r="BN13" i="14609"/>
  <c r="BO13" i="14609"/>
  <c r="BP13" i="14609"/>
  <c r="BQ13" i="14609"/>
  <c r="BR13" i="14609"/>
  <c r="BS13" i="14609"/>
  <c r="BT13" i="14609"/>
  <c r="BU13" i="14609"/>
  <c r="BV13" i="14609"/>
  <c r="BW13" i="14609"/>
  <c r="BX13" i="14609"/>
  <c r="BY13" i="14609"/>
  <c r="BZ13" i="14609"/>
  <c r="CA13" i="14609"/>
  <c r="CB13" i="14609"/>
  <c r="CC13" i="14609"/>
  <c r="CD13" i="14609"/>
  <c r="CE13" i="14609"/>
  <c r="CF13" i="14609"/>
  <c r="CG13" i="14609"/>
  <c r="CH13" i="14609"/>
  <c r="CI13" i="14609"/>
  <c r="CJ13" i="14609"/>
  <c r="CK13" i="14609"/>
  <c r="CL13" i="14609"/>
  <c r="CM13" i="14609"/>
  <c r="CN13" i="14609"/>
  <c r="CO13" i="14609"/>
  <c r="CP13" i="14609"/>
  <c r="CQ13" i="14609"/>
  <c r="CR13" i="14609"/>
  <c r="CS13" i="14609"/>
  <c r="CT13" i="14609"/>
  <c r="CU13" i="14609"/>
  <c r="CV13" i="14609"/>
  <c r="CW13" i="14609"/>
  <c r="CX13" i="14609"/>
  <c r="CY13" i="14609"/>
  <c r="CZ13" i="14609"/>
  <c r="DA13" i="14609"/>
  <c r="DB13" i="14609"/>
  <c r="DC13" i="14609"/>
  <c r="DD13" i="14609"/>
  <c r="DE13" i="14609"/>
  <c r="DF13" i="14609"/>
  <c r="DG13" i="14609"/>
  <c r="DH13" i="14609"/>
  <c r="DI13" i="14609"/>
  <c r="DJ13" i="14609"/>
  <c r="DK13" i="14609"/>
  <c r="DL13" i="14609"/>
  <c r="DM13" i="14609"/>
  <c r="DN13" i="14609"/>
  <c r="DO13" i="14609"/>
  <c r="DP13" i="14609"/>
  <c r="DQ13" i="14609"/>
  <c r="DR13" i="14609"/>
  <c r="DS13" i="14609"/>
  <c r="DT13" i="14609"/>
  <c r="DU13" i="14609"/>
  <c r="DV13" i="14609"/>
  <c r="DW13" i="14609"/>
  <c r="DX13" i="14609"/>
  <c r="DY13" i="14609"/>
  <c r="DZ13" i="14609"/>
  <c r="EA13" i="14609"/>
  <c r="EB13" i="14609"/>
  <c r="EC13" i="14609"/>
  <c r="ED13" i="14609"/>
  <c r="EE13" i="14609"/>
  <c r="EF13" i="14609"/>
  <c r="EG13" i="14609"/>
  <c r="EH13" i="14609"/>
  <c r="EI13" i="14609"/>
  <c r="EJ13" i="14609"/>
  <c r="EK13" i="14609"/>
  <c r="EL13" i="14609"/>
  <c r="EM13" i="14609"/>
  <c r="EN13" i="14609"/>
  <c r="EO13" i="14609"/>
  <c r="EP13" i="14609"/>
  <c r="EQ13" i="14609"/>
  <c r="ER13" i="14609"/>
  <c r="ES13" i="14609"/>
  <c r="ET13" i="14609"/>
  <c r="EU13" i="14609"/>
  <c r="EV13" i="14609"/>
  <c r="EW13" i="14609"/>
  <c r="EX13" i="14609"/>
  <c r="EY13" i="14609"/>
  <c r="EZ13" i="14609"/>
  <c r="FA13" i="14609"/>
  <c r="FB13" i="14609"/>
  <c r="FC13" i="14609"/>
  <c r="FD13" i="14609"/>
  <c r="FE13" i="14609"/>
  <c r="FF13" i="14609"/>
  <c r="FG13" i="14609"/>
  <c r="FH13" i="14609"/>
  <c r="FI13" i="14609"/>
  <c r="FJ13" i="14609"/>
  <c r="FK13" i="14609"/>
  <c r="FL13" i="14609"/>
  <c r="FM13" i="14609"/>
  <c r="FN13" i="14609"/>
  <c r="FO13" i="14609"/>
  <c r="FP13" i="14609"/>
  <c r="FQ13" i="14609"/>
  <c r="FR13" i="14609"/>
  <c r="FS13" i="14609"/>
  <c r="FT13" i="14609"/>
  <c r="FU13" i="14609"/>
  <c r="FW13" i="14609"/>
  <c r="FX13" i="14609"/>
  <c r="FZ13" i="14609"/>
  <c r="GB13" i="14609"/>
  <c r="GC13" i="14609"/>
  <c r="GD13" i="14609"/>
  <c r="GE13" i="14609"/>
  <c r="GF13" i="14609"/>
  <c r="GG13" i="14609"/>
  <c r="GH13" i="14609"/>
  <c r="GI13" i="14609"/>
  <c r="GJ13" i="14609"/>
  <c r="GK13" i="14609"/>
  <c r="GL13" i="14609"/>
  <c r="GM13" i="14609"/>
  <c r="GN13" i="14609"/>
  <c r="GO13" i="14609"/>
  <c r="GP13" i="14609"/>
  <c r="GQ13" i="14609"/>
  <c r="GR13" i="14609"/>
  <c r="GS13" i="14609"/>
  <c r="GT13" i="14609"/>
  <c r="GU13" i="14609"/>
  <c r="GV13" i="14609"/>
  <c r="GW13" i="14609"/>
  <c r="GX13" i="14609"/>
  <c r="GY13" i="14609"/>
  <c r="GZ13" i="14609"/>
  <c r="HA13" i="14609"/>
  <c r="HB13" i="14609"/>
  <c r="HC13" i="14609"/>
  <c r="HD13" i="14609"/>
  <c r="HE13" i="14609"/>
  <c r="HF13" i="14609"/>
  <c r="HG13" i="14609"/>
  <c r="HH13" i="14609"/>
  <c r="HI13" i="14609"/>
  <c r="HJ13" i="14609"/>
  <c r="HK13" i="14609"/>
  <c r="HL13" i="14609"/>
  <c r="HM13" i="14609"/>
  <c r="HN13" i="14609"/>
  <c r="HO13" i="14609"/>
  <c r="HP13" i="14609"/>
  <c r="HQ13" i="14609"/>
  <c r="HR13" i="14609"/>
  <c r="HS13" i="14609"/>
  <c r="HT13" i="14609"/>
  <c r="HU13" i="14609"/>
  <c r="HV13" i="14609"/>
  <c r="HW13" i="14609"/>
  <c r="HX13" i="14609"/>
  <c r="HY13" i="14609"/>
  <c r="HZ13" i="14609"/>
  <c r="IA13" i="14609"/>
  <c r="IB13" i="14609"/>
  <c r="IC13" i="14609"/>
  <c r="ID13" i="14609"/>
  <c r="IE13" i="14609"/>
  <c r="IF13" i="14609"/>
  <c r="IG13" i="14609"/>
  <c r="IH13" i="14609"/>
  <c r="II13" i="14609"/>
  <c r="IJ13" i="14609"/>
  <c r="IK13" i="14609"/>
  <c r="IL13" i="14609"/>
  <c r="IM13" i="14609"/>
  <c r="IN13" i="14609"/>
  <c r="IO13" i="14609"/>
  <c r="IP13" i="14609"/>
  <c r="IQ13" i="14609"/>
  <c r="IR13" i="14609"/>
  <c r="IS13" i="14609"/>
  <c r="IT13" i="14609"/>
  <c r="IU13" i="14609"/>
  <c r="IV13" i="14609"/>
  <c r="A12" i="14609"/>
  <c r="B12" i="14609"/>
  <c r="C12" i="14609"/>
  <c r="D12" i="14609"/>
  <c r="E12" i="14609"/>
  <c r="F12" i="14609"/>
  <c r="G12" i="14609"/>
  <c r="H12" i="14609"/>
  <c r="I12" i="14609"/>
  <c r="J12" i="14609"/>
  <c r="K12" i="14609"/>
  <c r="L12" i="14609"/>
  <c r="M12" i="14609"/>
  <c r="N12" i="14609"/>
  <c r="O12" i="14609"/>
  <c r="P12" i="14609"/>
  <c r="Q12" i="14609"/>
  <c r="R12" i="14609"/>
  <c r="S12" i="14609"/>
  <c r="T12" i="14609"/>
  <c r="U12" i="14609"/>
  <c r="V12" i="14609"/>
  <c r="W12" i="14609"/>
  <c r="X12" i="14609"/>
  <c r="Y12" i="14609"/>
  <c r="Z12" i="14609"/>
  <c r="AA12" i="14609"/>
  <c r="AB12" i="14609"/>
  <c r="AC12" i="14609"/>
  <c r="AD12" i="14609"/>
  <c r="AE12" i="14609"/>
  <c r="AF12" i="14609"/>
  <c r="AG12" i="14609"/>
  <c r="AH12" i="14609"/>
  <c r="AI12" i="14609"/>
  <c r="AJ12" i="14609"/>
  <c r="AK12" i="14609"/>
  <c r="AL12" i="14609"/>
  <c r="AM12" i="14609"/>
  <c r="AN12" i="14609"/>
  <c r="AO12" i="14609"/>
  <c r="AP12" i="14609"/>
  <c r="AQ12" i="14609"/>
  <c r="AR12" i="14609"/>
  <c r="AS12" i="14609"/>
  <c r="AT12" i="14609"/>
  <c r="AU12" i="14609"/>
  <c r="AV12" i="14609"/>
  <c r="AW12" i="14609"/>
  <c r="AX12" i="14609"/>
  <c r="AY12" i="14609"/>
  <c r="AZ12" i="14609"/>
  <c r="BA12" i="14609"/>
  <c r="BB12" i="14609"/>
  <c r="BC12" i="14609"/>
  <c r="BD12" i="14609"/>
  <c r="BE12" i="14609"/>
  <c r="BF12" i="14609"/>
  <c r="BG12" i="14609"/>
  <c r="BH12" i="14609"/>
  <c r="BI12" i="14609"/>
  <c r="BJ12" i="14609"/>
  <c r="BK12" i="14609"/>
  <c r="BL12" i="14609"/>
  <c r="BM12" i="14609"/>
  <c r="BN12" i="14609"/>
  <c r="BO12" i="14609"/>
  <c r="BP12" i="14609"/>
  <c r="BQ12" i="14609"/>
  <c r="BR12" i="14609"/>
  <c r="BS12" i="14609"/>
  <c r="BT12" i="14609"/>
  <c r="BU12" i="14609"/>
  <c r="BV12" i="14609"/>
  <c r="BW12" i="14609"/>
  <c r="BX12" i="14609"/>
  <c r="BY12" i="14609"/>
  <c r="BZ12" i="14609"/>
  <c r="CA12" i="14609"/>
  <c r="CB12" i="14609"/>
  <c r="CC12" i="14609"/>
  <c r="CD12" i="14609"/>
  <c r="CE12" i="14609"/>
  <c r="CF12" i="14609"/>
  <c r="CG12" i="14609"/>
  <c r="CH12" i="14609"/>
  <c r="CI12" i="14609"/>
  <c r="CJ12" i="14609"/>
  <c r="CK12" i="14609"/>
  <c r="CL12" i="14609"/>
  <c r="CM12" i="14609"/>
  <c r="CN12" i="14609"/>
  <c r="CO12" i="14609"/>
  <c r="CP12" i="14609"/>
  <c r="CQ12" i="14609"/>
  <c r="CR12" i="14609"/>
  <c r="CS12" i="14609"/>
  <c r="CT12" i="14609"/>
  <c r="CU12" i="14609"/>
  <c r="CV12" i="14609"/>
  <c r="CW12" i="14609"/>
  <c r="CX12" i="14609"/>
  <c r="CY12" i="14609"/>
  <c r="CZ12" i="14609"/>
  <c r="DA12" i="14609"/>
  <c r="DB12" i="14609"/>
  <c r="DC12" i="14609"/>
  <c r="DD12" i="14609"/>
  <c r="DE12" i="14609"/>
  <c r="DF12" i="14609"/>
  <c r="DG12" i="14609"/>
  <c r="DH12" i="14609"/>
  <c r="DI12" i="14609"/>
  <c r="DJ12" i="14609"/>
  <c r="DK12" i="14609"/>
  <c r="DL12" i="14609"/>
  <c r="DM12" i="14609"/>
  <c r="DN12" i="14609"/>
  <c r="DO12" i="14609"/>
  <c r="DP12" i="14609"/>
  <c r="DQ12" i="14609"/>
  <c r="DR12" i="14609"/>
  <c r="DS12" i="14609"/>
  <c r="DT12" i="14609"/>
  <c r="DU12" i="14609"/>
  <c r="DV12" i="14609"/>
  <c r="DW12" i="14609"/>
  <c r="DX12" i="14609"/>
  <c r="DY12" i="14609"/>
  <c r="DZ12" i="14609"/>
  <c r="EA12" i="14609"/>
  <c r="EB12" i="14609"/>
  <c r="EC12" i="14609"/>
  <c r="ED12" i="14609"/>
  <c r="EE12" i="14609"/>
  <c r="EF12" i="14609"/>
  <c r="EG12" i="14609"/>
  <c r="EH12" i="14609"/>
  <c r="EI12" i="14609"/>
  <c r="EJ12" i="14609"/>
  <c r="EK12" i="14609"/>
  <c r="EL12" i="14609"/>
  <c r="EM12" i="14609"/>
  <c r="EN12" i="14609"/>
  <c r="EO12" i="14609"/>
  <c r="EP12" i="14609"/>
  <c r="EQ12" i="14609"/>
  <c r="ER12" i="14609"/>
  <c r="ES12" i="14609"/>
  <c r="ET12" i="14609"/>
  <c r="EU12" i="14609"/>
  <c r="EV12" i="14609"/>
  <c r="EW12" i="14609"/>
  <c r="EX12" i="14609"/>
  <c r="EY12" i="14609"/>
  <c r="EZ12" i="14609"/>
  <c r="FA12" i="14609"/>
  <c r="FB12" i="14609"/>
  <c r="FC12" i="14609"/>
  <c r="FD12" i="14609"/>
  <c r="FE12" i="14609"/>
  <c r="FF12" i="14609"/>
  <c r="FG12" i="14609"/>
  <c r="FH12" i="14609"/>
  <c r="FI12" i="14609"/>
  <c r="FJ12" i="14609"/>
  <c r="FK12" i="14609"/>
  <c r="FL12" i="14609"/>
  <c r="FM12" i="14609"/>
  <c r="FN12" i="14609"/>
  <c r="FO12" i="14609"/>
  <c r="FP12" i="14609"/>
  <c r="FQ12" i="14609"/>
  <c r="FR12" i="14609"/>
  <c r="FS12" i="14609"/>
  <c r="FT12" i="14609"/>
  <c r="FU12" i="14609"/>
  <c r="FV12" i="14609"/>
  <c r="FW12" i="14609"/>
  <c r="FX12" i="14609"/>
  <c r="FY12" i="14609"/>
  <c r="FZ12" i="14609"/>
  <c r="GA12" i="14609"/>
  <c r="GB12" i="14609"/>
  <c r="GC12" i="14609"/>
  <c r="GD12" i="14609"/>
  <c r="GE12" i="14609"/>
  <c r="GF12" i="14609"/>
  <c r="GG12" i="14609"/>
  <c r="GH12" i="14609"/>
  <c r="GI12" i="14609"/>
  <c r="GJ12" i="14609"/>
  <c r="GK12" i="14609"/>
  <c r="GL12" i="14609"/>
  <c r="GM12" i="14609"/>
  <c r="GN12" i="14609"/>
  <c r="GO12" i="14609"/>
  <c r="GP12" i="14609"/>
  <c r="GQ12" i="14609"/>
  <c r="GR12" i="14609"/>
  <c r="GS12" i="14609"/>
  <c r="GT12" i="14609"/>
  <c r="GU12" i="14609"/>
  <c r="GV12" i="14609"/>
  <c r="GW12" i="14609"/>
  <c r="GX12" i="14609"/>
  <c r="GY12" i="14609"/>
  <c r="GZ12" i="14609"/>
  <c r="HA12" i="14609"/>
  <c r="HB12" i="14609"/>
  <c r="HC12" i="14609"/>
  <c r="HD12" i="14609"/>
  <c r="HE12" i="14609"/>
  <c r="HF12" i="14609"/>
  <c r="HG12" i="14609"/>
  <c r="HH12" i="14609"/>
  <c r="HI12" i="14609"/>
  <c r="HJ12" i="14609"/>
  <c r="HK12" i="14609"/>
  <c r="HL12" i="14609"/>
  <c r="HM12" i="14609"/>
  <c r="HN12" i="14609"/>
  <c r="HO12" i="14609"/>
  <c r="HP12" i="14609"/>
  <c r="HQ12" i="14609"/>
  <c r="HR12" i="14609"/>
  <c r="HS12" i="14609"/>
  <c r="HT12" i="14609"/>
  <c r="HU12" i="14609"/>
  <c r="HV12" i="14609"/>
  <c r="HW12" i="14609"/>
  <c r="HX12" i="14609"/>
  <c r="HY12" i="14609"/>
  <c r="HZ12" i="14609"/>
  <c r="IA12" i="14609"/>
  <c r="IB12" i="14609"/>
  <c r="IC12" i="14609"/>
  <c r="ID12" i="14609"/>
  <c r="IE12" i="14609"/>
  <c r="IF12" i="14609"/>
  <c r="IG12" i="14609"/>
  <c r="IH12" i="14609"/>
  <c r="II12" i="14609"/>
  <c r="IJ12" i="14609"/>
  <c r="IK12" i="14609"/>
  <c r="IL12" i="14609"/>
  <c r="IM12" i="14609"/>
  <c r="IN12" i="14609"/>
  <c r="IO12" i="14609"/>
  <c r="IP12" i="14609"/>
  <c r="IQ12" i="14609"/>
  <c r="IR12" i="14609"/>
  <c r="IS12" i="14609"/>
  <c r="IT12" i="14609"/>
  <c r="IU12" i="14609"/>
  <c r="IV12" i="14609"/>
  <c r="A11" i="14609"/>
  <c r="B11" i="14609"/>
  <c r="C11" i="14609"/>
  <c r="D11" i="14609"/>
  <c r="E11" i="14609"/>
  <c r="F11" i="14609"/>
  <c r="G11" i="14609"/>
  <c r="H11" i="14609"/>
  <c r="I11" i="14609"/>
  <c r="J11" i="14609"/>
  <c r="K11" i="14609"/>
  <c r="L11" i="14609"/>
  <c r="M11" i="14609"/>
  <c r="N11" i="14609"/>
  <c r="O11" i="14609"/>
  <c r="P11" i="14609"/>
  <c r="Q11" i="14609"/>
  <c r="R11" i="14609"/>
  <c r="S11" i="14609"/>
  <c r="T11" i="14609"/>
  <c r="U11" i="14609"/>
  <c r="V11" i="14609"/>
  <c r="W11" i="14609"/>
  <c r="X11" i="14609"/>
  <c r="Y11" i="14609"/>
  <c r="Z11" i="14609"/>
  <c r="AA11" i="14609"/>
  <c r="AB11" i="14609"/>
  <c r="AC11" i="14609"/>
  <c r="AD11" i="14609"/>
  <c r="AE11" i="14609"/>
  <c r="AF11" i="14609"/>
  <c r="AG11" i="14609"/>
  <c r="AH11" i="14609"/>
  <c r="AI11" i="14609"/>
  <c r="AJ11" i="14609"/>
  <c r="AK11" i="14609"/>
  <c r="AL11" i="14609"/>
  <c r="AM11" i="14609"/>
  <c r="AN11" i="14609"/>
  <c r="AO11" i="14609"/>
  <c r="AP11" i="14609"/>
  <c r="AQ11" i="14609"/>
  <c r="AR11" i="14609"/>
  <c r="AS11" i="14609"/>
  <c r="AT11" i="14609"/>
  <c r="AU11" i="14609"/>
  <c r="AV11" i="14609"/>
  <c r="AW11" i="14609"/>
  <c r="AX11" i="14609"/>
  <c r="AY11" i="14609"/>
  <c r="AZ11" i="14609"/>
  <c r="BA11" i="14609"/>
  <c r="BB11" i="14609"/>
  <c r="BC11" i="14609"/>
  <c r="BD11" i="14609"/>
  <c r="BE11" i="14609"/>
  <c r="BF11" i="14609"/>
  <c r="BG11" i="14609"/>
  <c r="BH11" i="14609"/>
  <c r="BI11" i="14609"/>
  <c r="BJ11" i="14609"/>
  <c r="BK11" i="14609"/>
  <c r="BL11" i="14609"/>
  <c r="BM11" i="14609"/>
  <c r="BN11" i="14609"/>
  <c r="BO11" i="14609"/>
  <c r="BP11" i="14609"/>
  <c r="BQ11" i="14609"/>
  <c r="BR11" i="14609"/>
  <c r="BS11" i="14609"/>
  <c r="BT11" i="14609"/>
  <c r="BU11" i="14609"/>
  <c r="BV11" i="14609"/>
  <c r="BW11" i="14609"/>
  <c r="BX11" i="14609"/>
  <c r="BY11" i="14609"/>
  <c r="BZ11" i="14609"/>
  <c r="CA11" i="14609"/>
  <c r="CB11" i="14609"/>
  <c r="CC11" i="14609"/>
  <c r="CD11" i="14609"/>
  <c r="CE11" i="14609"/>
  <c r="CF11" i="14609"/>
  <c r="CG11" i="14609"/>
  <c r="CH11" i="14609"/>
  <c r="CI11" i="14609"/>
  <c r="CJ11" i="14609"/>
  <c r="CK11" i="14609"/>
  <c r="CL11" i="14609"/>
  <c r="CM11" i="14609"/>
  <c r="CN11" i="14609"/>
  <c r="CO11" i="14609"/>
  <c r="CP11" i="14609"/>
  <c r="CQ11" i="14609"/>
  <c r="CR11" i="14609"/>
  <c r="CS11" i="14609"/>
  <c r="CT11" i="14609"/>
  <c r="CU11" i="14609"/>
  <c r="CV11" i="14609"/>
  <c r="CW11" i="14609"/>
  <c r="CX11" i="14609"/>
  <c r="CY11" i="14609"/>
  <c r="CZ11" i="14609"/>
  <c r="DA11" i="14609"/>
  <c r="DB11" i="14609"/>
  <c r="DC11" i="14609"/>
  <c r="DD11" i="14609"/>
  <c r="DE11" i="14609"/>
  <c r="DF11" i="14609"/>
  <c r="DG11" i="14609"/>
  <c r="DH11" i="14609"/>
  <c r="DI11" i="14609"/>
  <c r="DJ11" i="14609"/>
  <c r="DK11" i="14609"/>
  <c r="DL11" i="14609"/>
  <c r="DM11" i="14609"/>
  <c r="DN11" i="14609"/>
  <c r="DO11" i="14609"/>
  <c r="DP11" i="14609"/>
  <c r="DQ11" i="14609"/>
  <c r="DR11" i="14609"/>
  <c r="DS11" i="14609"/>
  <c r="DT11" i="14609"/>
  <c r="DU11" i="14609"/>
  <c r="DV11" i="14609"/>
  <c r="DW11" i="14609"/>
  <c r="DX11" i="14609"/>
  <c r="DY11" i="14609"/>
  <c r="DZ11" i="14609"/>
  <c r="EA11" i="14609"/>
  <c r="EB11" i="14609"/>
  <c r="EC11" i="14609"/>
  <c r="ED11" i="14609"/>
  <c r="EE11" i="14609"/>
  <c r="EF11" i="14609"/>
  <c r="EG11" i="14609"/>
  <c r="EH11" i="14609"/>
  <c r="EI11" i="14609"/>
  <c r="EJ11" i="14609"/>
  <c r="EK11" i="14609"/>
  <c r="EL11" i="14609"/>
  <c r="EM11" i="14609"/>
  <c r="EN11" i="14609"/>
  <c r="EO11" i="14609"/>
  <c r="EP11" i="14609"/>
  <c r="EQ11" i="14609"/>
  <c r="ER11" i="14609"/>
  <c r="ES11" i="14609"/>
  <c r="ET11" i="14609"/>
  <c r="EU11" i="14609"/>
  <c r="EV11" i="14609"/>
  <c r="EW11" i="14609"/>
  <c r="EX11" i="14609"/>
  <c r="EY11" i="14609"/>
  <c r="EZ11" i="14609"/>
  <c r="FA11" i="14609"/>
  <c r="FB11" i="14609"/>
  <c r="FC11" i="14609"/>
  <c r="FD11" i="14609"/>
  <c r="FE11" i="14609"/>
  <c r="FF11" i="14609"/>
  <c r="FG11" i="14609"/>
  <c r="FH11" i="14609"/>
  <c r="FI11" i="14609"/>
  <c r="FJ11" i="14609"/>
  <c r="FK11" i="14609"/>
  <c r="FL11" i="14609"/>
  <c r="FM11" i="14609"/>
  <c r="FN11" i="14609"/>
  <c r="FO11" i="14609"/>
  <c r="FP11" i="14609"/>
  <c r="FQ11" i="14609"/>
  <c r="FR11" i="14609"/>
  <c r="FS11" i="14609"/>
  <c r="FT11" i="14609"/>
  <c r="FU11" i="14609"/>
  <c r="FV11" i="14609"/>
  <c r="FW11" i="14609"/>
  <c r="FX11" i="14609"/>
  <c r="FY11" i="14609"/>
  <c r="FZ11" i="14609"/>
  <c r="GA11" i="14609"/>
  <c r="GB11" i="14609"/>
  <c r="GC11" i="14609"/>
  <c r="GD11" i="14609"/>
  <c r="GE11" i="14609"/>
  <c r="GF11" i="14609"/>
  <c r="GG11" i="14609"/>
  <c r="GH11" i="14609"/>
  <c r="GI11" i="14609"/>
  <c r="GJ11" i="14609"/>
  <c r="GK11" i="14609"/>
  <c r="GL11" i="14609"/>
  <c r="GM11" i="14609"/>
  <c r="GN11" i="14609"/>
  <c r="GO11" i="14609"/>
  <c r="GP11" i="14609"/>
  <c r="GQ11" i="14609"/>
  <c r="GR11" i="14609"/>
  <c r="GS11" i="14609"/>
  <c r="GT11" i="14609"/>
  <c r="GU11" i="14609"/>
  <c r="GV11" i="14609"/>
  <c r="GW11" i="14609"/>
  <c r="GX11" i="14609"/>
  <c r="GY11" i="14609"/>
  <c r="GZ11" i="14609"/>
  <c r="HA11" i="14609"/>
  <c r="HB11" i="14609"/>
  <c r="HC11" i="14609"/>
  <c r="HD11" i="14609"/>
  <c r="HE11" i="14609"/>
  <c r="HF11" i="14609"/>
  <c r="HG11" i="14609"/>
  <c r="HH11" i="14609"/>
  <c r="HI11" i="14609"/>
  <c r="HJ11" i="14609"/>
  <c r="HK11" i="14609"/>
  <c r="HL11" i="14609"/>
  <c r="HM11" i="14609"/>
  <c r="HN11" i="14609"/>
  <c r="HO11" i="14609"/>
  <c r="HP11" i="14609"/>
  <c r="HQ11" i="14609"/>
  <c r="HR11" i="14609"/>
  <c r="HS11" i="14609"/>
  <c r="HT11" i="14609"/>
  <c r="HU11" i="14609"/>
  <c r="HV11" i="14609"/>
  <c r="HW11" i="14609"/>
  <c r="HX11" i="14609"/>
  <c r="HY11" i="14609"/>
  <c r="HZ11" i="14609"/>
  <c r="IA11" i="14609"/>
  <c r="IB11" i="14609"/>
  <c r="IC11" i="14609"/>
  <c r="ID11" i="14609"/>
  <c r="IE11" i="14609"/>
  <c r="IF11" i="14609"/>
  <c r="IG11" i="14609"/>
  <c r="IH11" i="14609"/>
  <c r="II11" i="14609"/>
  <c r="IJ11" i="14609"/>
  <c r="IK11" i="14609"/>
  <c r="IL11" i="14609"/>
  <c r="IM11" i="14609"/>
  <c r="IN11" i="14609"/>
  <c r="IO11" i="14609"/>
  <c r="IP11" i="14609"/>
  <c r="IQ11" i="14609"/>
  <c r="IR11" i="14609"/>
  <c r="IS11" i="14609"/>
  <c r="IT11" i="14609"/>
  <c r="IU11" i="14609"/>
  <c r="IV11" i="14609"/>
  <c r="A10" i="14609"/>
  <c r="B10" i="14609"/>
  <c r="C10" i="14609"/>
  <c r="D10" i="14609"/>
  <c r="E10" i="14609"/>
  <c r="F10" i="14609"/>
  <c r="G10" i="14609"/>
  <c r="H10" i="14609"/>
  <c r="I10" i="14609"/>
  <c r="J10" i="14609"/>
  <c r="K10" i="14609"/>
  <c r="L10" i="14609"/>
  <c r="M10" i="14609"/>
  <c r="N10" i="14609"/>
  <c r="O10" i="14609"/>
  <c r="P10" i="14609"/>
  <c r="Q10" i="14609"/>
  <c r="R10" i="14609"/>
  <c r="S10" i="14609"/>
  <c r="T10" i="14609"/>
  <c r="U10" i="14609"/>
  <c r="V10" i="14609"/>
  <c r="W10" i="14609"/>
  <c r="X10" i="14609"/>
  <c r="Y10" i="14609"/>
  <c r="Z10" i="14609"/>
  <c r="AA10" i="14609"/>
  <c r="AB10" i="14609"/>
  <c r="AC10" i="14609"/>
  <c r="AD10" i="14609"/>
  <c r="AE10" i="14609"/>
  <c r="AF10" i="14609"/>
  <c r="AG10" i="14609"/>
  <c r="AH10" i="14609"/>
  <c r="AI10" i="14609"/>
  <c r="AJ10" i="14609"/>
  <c r="AK10" i="14609"/>
  <c r="AL10" i="14609"/>
  <c r="AM10" i="14609"/>
  <c r="AN10" i="14609"/>
  <c r="AO10" i="14609"/>
  <c r="AP10" i="14609"/>
  <c r="AQ10" i="14609"/>
  <c r="AR10" i="14609"/>
  <c r="AS10" i="14609"/>
  <c r="AT10" i="14609"/>
  <c r="AU10" i="14609"/>
  <c r="AV10" i="14609"/>
  <c r="AW10" i="14609"/>
  <c r="AX10" i="14609"/>
  <c r="AY10" i="14609"/>
  <c r="AZ10" i="14609"/>
  <c r="BA10" i="14609"/>
  <c r="BB10" i="14609"/>
  <c r="BC10" i="14609"/>
  <c r="BD10" i="14609"/>
  <c r="BE10" i="14609"/>
  <c r="BF10" i="14609"/>
  <c r="BG10" i="14609"/>
  <c r="BH10" i="14609"/>
  <c r="BI10" i="14609"/>
  <c r="BJ10" i="14609"/>
  <c r="BK10" i="14609"/>
  <c r="BL10" i="14609"/>
  <c r="BM10" i="14609"/>
  <c r="BN10" i="14609"/>
  <c r="BO10" i="14609"/>
  <c r="BP10" i="14609"/>
  <c r="BQ10" i="14609"/>
  <c r="BR10" i="14609"/>
  <c r="BS10" i="14609"/>
  <c r="BT10" i="14609"/>
  <c r="BU10" i="14609"/>
  <c r="BV10" i="14609"/>
  <c r="BW10" i="14609"/>
  <c r="BX10" i="14609"/>
  <c r="BY10" i="14609"/>
  <c r="BZ10" i="14609"/>
  <c r="CA10" i="14609"/>
  <c r="CB10" i="14609"/>
  <c r="CC10" i="14609"/>
  <c r="CD10" i="14609"/>
  <c r="CE10" i="14609"/>
  <c r="CF10" i="14609"/>
  <c r="CG10" i="14609"/>
  <c r="CH10" i="14609"/>
  <c r="CI10" i="14609"/>
  <c r="CJ10" i="14609"/>
  <c r="CK10" i="14609"/>
  <c r="CL10" i="14609"/>
  <c r="CM10" i="14609"/>
  <c r="CN10" i="14609"/>
  <c r="CO10" i="14609"/>
  <c r="CP10" i="14609"/>
  <c r="CQ10" i="14609"/>
  <c r="CR10" i="14609"/>
  <c r="CS10" i="14609"/>
  <c r="CT10" i="14609"/>
  <c r="CU10" i="14609"/>
  <c r="CV10" i="14609"/>
  <c r="CW10" i="14609"/>
  <c r="CX10" i="14609"/>
  <c r="CY10" i="14609"/>
  <c r="CZ10" i="14609"/>
  <c r="DA10" i="14609"/>
  <c r="DB10" i="14609"/>
  <c r="DC10" i="14609"/>
  <c r="DD10" i="14609"/>
  <c r="DE10" i="14609"/>
  <c r="DF10" i="14609"/>
  <c r="DG10" i="14609"/>
  <c r="DH10" i="14609"/>
  <c r="DI10" i="14609"/>
  <c r="DJ10" i="14609"/>
  <c r="DK10" i="14609"/>
  <c r="DL10" i="14609"/>
  <c r="DM10" i="14609"/>
  <c r="DN10" i="14609"/>
  <c r="DO10" i="14609"/>
  <c r="DP10" i="14609"/>
  <c r="DQ10" i="14609"/>
  <c r="DR10" i="14609"/>
  <c r="DS10" i="14609"/>
  <c r="DT10" i="14609"/>
  <c r="DU10" i="14609"/>
  <c r="DV10" i="14609"/>
  <c r="DW10" i="14609"/>
  <c r="DX10" i="14609"/>
  <c r="DY10" i="14609"/>
  <c r="DZ10" i="14609"/>
  <c r="EA10" i="14609"/>
  <c r="EB10" i="14609"/>
  <c r="EC10" i="14609"/>
  <c r="ED10" i="14609"/>
  <c r="EE10" i="14609"/>
  <c r="EF10" i="14609"/>
  <c r="EG10" i="14609"/>
  <c r="EH10" i="14609"/>
  <c r="EI10" i="14609"/>
  <c r="EJ10" i="14609"/>
  <c r="EK10" i="14609"/>
  <c r="EL10" i="14609"/>
  <c r="EM10" i="14609"/>
  <c r="EN10" i="14609"/>
  <c r="EO10" i="14609"/>
  <c r="EP10" i="14609"/>
  <c r="EQ10" i="14609"/>
  <c r="ER10" i="14609"/>
  <c r="ES10" i="14609"/>
  <c r="ET10" i="14609"/>
  <c r="EU10" i="14609"/>
  <c r="EV10" i="14609"/>
  <c r="EW10" i="14609"/>
  <c r="EX10" i="14609"/>
  <c r="EY10" i="14609"/>
  <c r="EZ10" i="14609"/>
  <c r="FA10" i="14609"/>
  <c r="FB10" i="14609"/>
  <c r="FC10" i="14609"/>
  <c r="FD10" i="14609"/>
  <c r="FE10" i="14609"/>
  <c r="FF10" i="14609"/>
  <c r="FG10" i="14609"/>
  <c r="FH10" i="14609"/>
  <c r="FI10" i="14609"/>
  <c r="FJ10" i="14609"/>
  <c r="FK10" i="14609"/>
  <c r="FL10" i="14609"/>
  <c r="FM10" i="14609"/>
  <c r="FN10" i="14609"/>
  <c r="FO10" i="14609"/>
  <c r="FP10" i="14609"/>
  <c r="FQ10" i="14609"/>
  <c r="FR10" i="14609"/>
  <c r="FS10" i="14609"/>
  <c r="FT10" i="14609"/>
  <c r="FU10" i="14609"/>
  <c r="FV10" i="14609"/>
  <c r="FW10" i="14609"/>
  <c r="FX10" i="14609"/>
  <c r="FY10" i="14609"/>
  <c r="FZ10" i="14609"/>
  <c r="GA10" i="14609"/>
  <c r="GB10" i="14609"/>
  <c r="GC10" i="14609"/>
  <c r="GD10" i="14609"/>
  <c r="GE10" i="14609"/>
  <c r="GF10" i="14609"/>
  <c r="GG10" i="14609"/>
  <c r="GH10" i="14609"/>
  <c r="GI10" i="14609"/>
  <c r="GJ10" i="14609"/>
  <c r="GK10" i="14609"/>
  <c r="GL10" i="14609"/>
  <c r="GM10" i="14609"/>
  <c r="GN10" i="14609"/>
  <c r="GO10" i="14609"/>
  <c r="GP10" i="14609"/>
  <c r="GQ10" i="14609"/>
  <c r="GR10" i="14609"/>
  <c r="GS10" i="14609"/>
  <c r="GT10" i="14609"/>
  <c r="GU10" i="14609"/>
  <c r="GV10" i="14609"/>
  <c r="GW10" i="14609"/>
  <c r="GX10" i="14609"/>
  <c r="GY10" i="14609"/>
  <c r="GZ10" i="14609"/>
  <c r="HA10" i="14609"/>
  <c r="HB10" i="14609"/>
  <c r="HC10" i="14609"/>
  <c r="HD10" i="14609"/>
  <c r="HE10" i="14609"/>
  <c r="HF10" i="14609"/>
  <c r="HG10" i="14609"/>
  <c r="HH10" i="14609"/>
  <c r="HI10" i="14609"/>
  <c r="HJ10" i="14609"/>
  <c r="HK10" i="14609"/>
  <c r="HL10" i="14609"/>
  <c r="HM10" i="14609"/>
  <c r="HN10" i="14609"/>
  <c r="HO10" i="14609"/>
  <c r="HP10" i="14609"/>
  <c r="HQ10" i="14609"/>
  <c r="HR10" i="14609"/>
  <c r="HS10" i="14609"/>
  <c r="HT10" i="14609"/>
  <c r="HU10" i="14609"/>
  <c r="HV10" i="14609"/>
  <c r="HW10" i="14609"/>
  <c r="HX10" i="14609"/>
  <c r="HY10" i="14609"/>
  <c r="HZ10" i="14609"/>
  <c r="IA10" i="14609"/>
  <c r="IB10" i="14609"/>
  <c r="IC10" i="14609"/>
  <c r="ID10" i="14609"/>
  <c r="IE10" i="14609"/>
  <c r="IF10" i="14609"/>
  <c r="IG10" i="14609"/>
  <c r="IH10" i="14609"/>
  <c r="II10" i="14609"/>
  <c r="IJ10" i="14609"/>
  <c r="IK10" i="14609"/>
  <c r="IL10" i="14609"/>
  <c r="IM10" i="14609"/>
  <c r="IN10" i="14609"/>
  <c r="IO10" i="14609"/>
  <c r="IP10" i="14609"/>
  <c r="IQ10" i="14609"/>
  <c r="IR10" i="14609"/>
  <c r="IS10" i="14609"/>
  <c r="IT10" i="14609"/>
  <c r="IU10" i="14609"/>
  <c r="IV10" i="14609"/>
  <c r="A9" i="14609"/>
  <c r="B9" i="14609"/>
  <c r="C9" i="14609"/>
  <c r="D9" i="14609"/>
  <c r="E9" i="14609"/>
  <c r="F9" i="14609"/>
  <c r="G9" i="14609"/>
  <c r="H9" i="14609"/>
  <c r="I9" i="14609"/>
  <c r="J9" i="14609"/>
  <c r="K9" i="14609"/>
  <c r="L9" i="14609"/>
  <c r="M9" i="14609"/>
  <c r="N9" i="14609"/>
  <c r="O9" i="14609"/>
  <c r="P9" i="14609"/>
  <c r="Q9" i="14609"/>
  <c r="R9" i="14609"/>
  <c r="S9" i="14609"/>
  <c r="T9" i="14609"/>
  <c r="U9" i="14609"/>
  <c r="V9" i="14609"/>
  <c r="W9" i="14609"/>
  <c r="X9" i="14609"/>
  <c r="Y9" i="14609"/>
  <c r="Z9" i="14609"/>
  <c r="AA9" i="14609"/>
  <c r="AB9" i="14609"/>
  <c r="AC9" i="14609"/>
  <c r="AD9" i="14609"/>
  <c r="AE9" i="14609"/>
  <c r="AF9" i="14609"/>
  <c r="AG9" i="14609"/>
  <c r="AH9" i="14609"/>
  <c r="AI9" i="14609"/>
  <c r="AJ9" i="14609"/>
  <c r="AK9" i="14609"/>
  <c r="AL9" i="14609"/>
  <c r="AM9" i="14609"/>
  <c r="AN9" i="14609"/>
  <c r="AO9" i="14609"/>
  <c r="AP9" i="14609"/>
  <c r="AQ9" i="14609"/>
  <c r="AR9" i="14609"/>
  <c r="AS9" i="14609"/>
  <c r="AT9" i="14609"/>
  <c r="AU9" i="14609"/>
  <c r="AV9" i="14609"/>
  <c r="AW9" i="14609"/>
  <c r="AX9" i="14609"/>
  <c r="AY9" i="14609"/>
  <c r="AZ9" i="14609"/>
  <c r="BA9" i="14609"/>
  <c r="BB9" i="14609"/>
  <c r="BC9" i="14609"/>
  <c r="BD9" i="14609"/>
  <c r="BE9" i="14609"/>
  <c r="BF9" i="14609"/>
  <c r="BG9" i="14609"/>
  <c r="BH9" i="14609"/>
  <c r="BI9" i="14609"/>
  <c r="BJ9" i="14609"/>
  <c r="BK9" i="14609"/>
  <c r="BL9" i="14609"/>
  <c r="BM9" i="14609"/>
  <c r="BN9" i="14609"/>
  <c r="BO9" i="14609"/>
  <c r="BP9" i="14609"/>
  <c r="BQ9" i="14609"/>
  <c r="BR9" i="14609"/>
  <c r="BS9" i="14609"/>
  <c r="BT9" i="14609"/>
  <c r="BU9" i="14609"/>
  <c r="BV9" i="14609"/>
  <c r="BW9" i="14609"/>
  <c r="BX9" i="14609"/>
  <c r="BY9" i="14609"/>
  <c r="BZ9" i="14609"/>
  <c r="CA9" i="14609"/>
  <c r="CB9" i="14609"/>
  <c r="CC9" i="14609"/>
  <c r="CD9" i="14609"/>
  <c r="CE9" i="14609"/>
  <c r="CF9" i="14609"/>
  <c r="CG9" i="14609"/>
  <c r="CH9" i="14609"/>
  <c r="CI9" i="14609"/>
  <c r="CJ9" i="14609"/>
  <c r="CK9" i="14609"/>
  <c r="CL9" i="14609"/>
  <c r="CM9" i="14609"/>
  <c r="CN9" i="14609"/>
  <c r="CO9" i="14609"/>
  <c r="CP9" i="14609"/>
  <c r="CQ9" i="14609"/>
  <c r="CR9" i="14609"/>
  <c r="CS9" i="14609"/>
  <c r="CT9" i="14609"/>
  <c r="CU9" i="14609"/>
  <c r="CV9" i="14609"/>
  <c r="CW9" i="14609"/>
  <c r="CX9" i="14609"/>
  <c r="CY9" i="14609"/>
  <c r="CZ9" i="14609"/>
  <c r="DA9" i="14609"/>
  <c r="DB9" i="14609"/>
  <c r="DC9" i="14609"/>
  <c r="DD9" i="14609"/>
  <c r="DE9" i="14609"/>
  <c r="DF9" i="14609"/>
  <c r="DG9" i="14609"/>
  <c r="DH9" i="14609"/>
  <c r="DI9" i="14609"/>
  <c r="DJ9" i="14609"/>
  <c r="DK9" i="14609"/>
  <c r="DL9" i="14609"/>
  <c r="DM9" i="14609"/>
  <c r="DN9" i="14609"/>
  <c r="DO9" i="14609"/>
  <c r="DP9" i="14609"/>
  <c r="DQ9" i="14609"/>
  <c r="DR9" i="14609"/>
  <c r="DS9" i="14609"/>
  <c r="DT9" i="14609"/>
  <c r="DU9" i="14609"/>
  <c r="DV9" i="14609"/>
  <c r="DW9" i="14609"/>
  <c r="DX9" i="14609"/>
  <c r="DY9" i="14609"/>
  <c r="DZ9" i="14609"/>
  <c r="EA9" i="14609"/>
  <c r="EB9" i="14609"/>
  <c r="EC9" i="14609"/>
  <c r="ED9" i="14609"/>
  <c r="EE9" i="14609"/>
  <c r="EF9" i="14609"/>
  <c r="EG9" i="14609"/>
  <c r="EH9" i="14609"/>
  <c r="EI9" i="14609"/>
  <c r="EJ9" i="14609"/>
  <c r="EK9" i="14609"/>
  <c r="EL9" i="14609"/>
  <c r="EM9" i="14609"/>
  <c r="EN9" i="14609"/>
  <c r="EO9" i="14609"/>
  <c r="EP9" i="14609"/>
  <c r="EQ9" i="14609"/>
  <c r="ER9" i="14609"/>
  <c r="ES9" i="14609"/>
  <c r="ET9" i="14609"/>
  <c r="EU9" i="14609"/>
  <c r="EV9" i="14609"/>
  <c r="EW9" i="14609"/>
  <c r="EX9" i="14609"/>
  <c r="EY9" i="14609"/>
  <c r="EZ9" i="14609"/>
  <c r="FA9" i="14609"/>
  <c r="FB9" i="14609"/>
  <c r="FC9" i="14609"/>
  <c r="FD9" i="14609"/>
  <c r="FE9" i="14609"/>
  <c r="FF9" i="14609"/>
  <c r="FG9" i="14609"/>
  <c r="FH9" i="14609"/>
  <c r="FI9" i="14609"/>
  <c r="FJ9" i="14609"/>
  <c r="FK9" i="14609"/>
  <c r="FL9" i="14609"/>
  <c r="FM9" i="14609"/>
  <c r="FN9" i="14609"/>
  <c r="FO9" i="14609"/>
  <c r="FP9" i="14609"/>
  <c r="FQ9" i="14609"/>
  <c r="FR9" i="14609"/>
  <c r="FS9" i="14609"/>
  <c r="FT9" i="14609"/>
  <c r="FU9" i="14609"/>
  <c r="FV9" i="14609"/>
  <c r="FW9" i="14609"/>
  <c r="FX9" i="14609"/>
  <c r="FY9" i="14609"/>
  <c r="FZ9" i="14609"/>
  <c r="GA9" i="14609"/>
  <c r="GB9" i="14609"/>
  <c r="GC9" i="14609"/>
  <c r="GD9" i="14609"/>
  <c r="GE9" i="14609"/>
  <c r="GF9" i="14609"/>
  <c r="GG9" i="14609"/>
  <c r="GH9" i="14609"/>
  <c r="GI9" i="14609"/>
  <c r="GJ9" i="14609"/>
  <c r="GK9" i="14609"/>
  <c r="GL9" i="14609"/>
  <c r="GM9" i="14609"/>
  <c r="GN9" i="14609"/>
  <c r="GO9" i="14609"/>
  <c r="GP9" i="14609"/>
  <c r="GQ9" i="14609"/>
  <c r="GR9" i="14609"/>
  <c r="GS9" i="14609"/>
  <c r="GT9" i="14609"/>
  <c r="GU9" i="14609"/>
  <c r="GV9" i="14609"/>
  <c r="GW9" i="14609"/>
  <c r="GX9" i="14609"/>
  <c r="GY9" i="14609"/>
  <c r="GZ9" i="14609"/>
  <c r="HA9" i="14609"/>
  <c r="HB9" i="14609"/>
  <c r="HC9" i="14609"/>
  <c r="HD9" i="14609"/>
  <c r="HE9" i="14609"/>
  <c r="HF9" i="14609"/>
  <c r="HG9" i="14609"/>
  <c r="HH9" i="14609"/>
  <c r="HI9" i="14609"/>
  <c r="HJ9" i="14609"/>
  <c r="HK9" i="14609"/>
  <c r="HL9" i="14609"/>
  <c r="HM9" i="14609"/>
  <c r="HN9" i="14609"/>
  <c r="HO9" i="14609"/>
  <c r="HP9" i="14609"/>
  <c r="HQ9" i="14609"/>
  <c r="HR9" i="14609"/>
  <c r="HS9" i="14609"/>
  <c r="HT9" i="14609"/>
  <c r="HU9" i="14609"/>
  <c r="HV9" i="14609"/>
  <c r="HW9" i="14609"/>
  <c r="HX9" i="14609"/>
  <c r="HY9" i="14609"/>
  <c r="HZ9" i="14609"/>
  <c r="IA9" i="14609"/>
  <c r="IB9" i="14609"/>
  <c r="IC9" i="14609"/>
  <c r="ID9" i="14609"/>
  <c r="IE9" i="14609"/>
  <c r="IF9" i="14609"/>
  <c r="IG9" i="14609"/>
  <c r="IH9" i="14609"/>
  <c r="II9" i="14609"/>
  <c r="IJ9" i="14609"/>
  <c r="IK9" i="14609"/>
  <c r="IL9" i="14609"/>
  <c r="IM9" i="14609"/>
  <c r="IN9" i="14609"/>
  <c r="IO9" i="14609"/>
  <c r="IP9" i="14609"/>
  <c r="IQ9" i="14609"/>
  <c r="IR9" i="14609"/>
  <c r="IS9" i="14609"/>
  <c r="IT9" i="14609"/>
  <c r="IU9" i="14609"/>
  <c r="IV9" i="14609"/>
  <c r="A8" i="14609"/>
  <c r="B8" i="14609"/>
  <c r="C8" i="14609"/>
  <c r="D8" i="14609"/>
  <c r="E8" i="14609"/>
  <c r="F8" i="14609"/>
  <c r="G8" i="14609"/>
  <c r="H8" i="14609"/>
  <c r="I8" i="14609"/>
  <c r="J8" i="14609"/>
  <c r="K8" i="14609"/>
  <c r="L8" i="14609"/>
  <c r="M8" i="14609"/>
  <c r="N8" i="14609"/>
  <c r="O8" i="14609"/>
  <c r="P8" i="14609"/>
  <c r="Q8" i="14609"/>
  <c r="R8" i="14609"/>
  <c r="S8" i="14609"/>
  <c r="T8" i="14609"/>
  <c r="U8" i="14609"/>
  <c r="V8" i="14609"/>
  <c r="W8" i="14609"/>
  <c r="X8" i="14609"/>
  <c r="Y8" i="14609"/>
  <c r="Z8" i="14609"/>
  <c r="AA8" i="14609"/>
  <c r="AB8" i="14609"/>
  <c r="AC8" i="14609"/>
  <c r="AD8" i="14609"/>
  <c r="AE8" i="14609"/>
  <c r="AF8" i="14609"/>
  <c r="AG8" i="14609"/>
  <c r="AH8" i="14609"/>
  <c r="AI8" i="14609"/>
  <c r="AJ8" i="14609"/>
  <c r="AK8" i="14609"/>
  <c r="AL8" i="14609"/>
  <c r="AM8" i="14609"/>
  <c r="AN8" i="14609"/>
  <c r="AO8" i="14609"/>
  <c r="AP8" i="14609"/>
  <c r="AQ8" i="14609"/>
  <c r="AR8" i="14609"/>
  <c r="AS8" i="14609"/>
  <c r="AT8" i="14609"/>
  <c r="AU8" i="14609"/>
  <c r="AV8" i="14609"/>
  <c r="AW8" i="14609"/>
  <c r="AX8" i="14609"/>
  <c r="AY8" i="14609"/>
  <c r="AZ8" i="14609"/>
  <c r="BA8" i="14609"/>
  <c r="BB8" i="14609"/>
  <c r="BC8" i="14609"/>
  <c r="BD8" i="14609"/>
  <c r="BE8" i="14609"/>
  <c r="BF8" i="14609"/>
  <c r="BG8" i="14609"/>
  <c r="BH8" i="14609"/>
  <c r="BI8" i="14609"/>
  <c r="BJ8" i="14609"/>
  <c r="BK8" i="14609"/>
  <c r="BL8" i="14609"/>
  <c r="BM8" i="14609"/>
  <c r="BN8" i="14609"/>
  <c r="BO8" i="14609"/>
  <c r="BP8" i="14609"/>
  <c r="BQ8" i="14609"/>
  <c r="BR8" i="14609"/>
  <c r="BS8" i="14609"/>
  <c r="BT8" i="14609"/>
  <c r="BU8" i="14609"/>
  <c r="BV8" i="14609"/>
  <c r="BW8" i="14609"/>
  <c r="BX8" i="14609"/>
  <c r="BY8" i="14609"/>
  <c r="BZ8" i="14609"/>
  <c r="CA8" i="14609"/>
  <c r="CB8" i="14609"/>
  <c r="CC8" i="14609"/>
  <c r="CD8" i="14609"/>
  <c r="CE8" i="14609"/>
  <c r="CF8" i="14609"/>
  <c r="CG8" i="14609"/>
  <c r="CH8" i="14609"/>
  <c r="CI8" i="14609"/>
  <c r="CJ8" i="14609"/>
  <c r="CK8" i="14609"/>
  <c r="CL8" i="14609"/>
  <c r="CM8" i="14609"/>
  <c r="CN8" i="14609"/>
  <c r="CO8" i="14609"/>
  <c r="CP8" i="14609"/>
  <c r="CQ8" i="14609"/>
  <c r="CR8" i="14609"/>
  <c r="CS8" i="14609"/>
  <c r="CT8" i="14609"/>
  <c r="CU8" i="14609"/>
  <c r="CV8" i="14609"/>
  <c r="CW8" i="14609"/>
  <c r="CX8" i="14609"/>
  <c r="CY8" i="14609"/>
  <c r="CZ8" i="14609"/>
  <c r="DA8" i="14609"/>
  <c r="DB8" i="14609"/>
  <c r="DC8" i="14609"/>
  <c r="DD8" i="14609"/>
  <c r="DE8" i="14609"/>
  <c r="DF8" i="14609"/>
  <c r="DG8" i="14609"/>
  <c r="DH8" i="14609"/>
  <c r="DI8" i="14609"/>
  <c r="DJ8" i="14609"/>
  <c r="DK8" i="14609"/>
  <c r="DL8" i="14609"/>
  <c r="DM8" i="14609"/>
  <c r="DN8" i="14609"/>
  <c r="DO8" i="14609"/>
  <c r="DP8" i="14609"/>
  <c r="DQ8" i="14609"/>
  <c r="DR8" i="14609"/>
  <c r="DS8" i="14609"/>
  <c r="DT8" i="14609"/>
  <c r="DU8" i="14609"/>
  <c r="DV8" i="14609"/>
  <c r="DW8" i="14609"/>
  <c r="DX8" i="14609"/>
  <c r="DY8" i="14609"/>
  <c r="DZ8" i="14609"/>
  <c r="EA8" i="14609"/>
  <c r="EB8" i="14609"/>
  <c r="EC8" i="14609"/>
  <c r="ED8" i="14609"/>
  <c r="EE8" i="14609"/>
  <c r="EF8" i="14609"/>
  <c r="EG8" i="14609"/>
  <c r="EH8" i="14609"/>
  <c r="EI8" i="14609"/>
  <c r="EJ8" i="14609"/>
  <c r="EK8" i="14609"/>
  <c r="EL8" i="14609"/>
  <c r="EM8" i="14609"/>
  <c r="EN8" i="14609"/>
  <c r="EO8" i="14609"/>
  <c r="EP8" i="14609"/>
  <c r="EQ8" i="14609"/>
  <c r="ER8" i="14609"/>
  <c r="ES8" i="14609"/>
  <c r="ET8" i="14609"/>
  <c r="EU8" i="14609"/>
  <c r="EV8" i="14609"/>
  <c r="EW8" i="14609"/>
  <c r="EX8" i="14609"/>
  <c r="EY8" i="14609"/>
  <c r="EZ8" i="14609"/>
  <c r="FA8" i="14609"/>
  <c r="FB8" i="14609"/>
  <c r="FC8" i="14609"/>
  <c r="FD8" i="14609"/>
  <c r="FE8" i="14609"/>
  <c r="FF8" i="14609"/>
  <c r="FG8" i="14609"/>
  <c r="FH8" i="14609"/>
  <c r="FI8" i="14609"/>
  <c r="FJ8" i="14609"/>
  <c r="FK8" i="14609"/>
  <c r="FL8" i="14609"/>
  <c r="FM8" i="14609"/>
  <c r="FN8" i="14609"/>
  <c r="FO8" i="14609"/>
  <c r="FP8" i="14609"/>
  <c r="FQ8" i="14609"/>
  <c r="FR8" i="14609"/>
  <c r="FS8" i="14609"/>
  <c r="FT8" i="14609"/>
  <c r="FU8" i="14609"/>
  <c r="FV8" i="14609"/>
  <c r="FW8" i="14609"/>
  <c r="FX8" i="14609"/>
  <c r="FY8" i="14609"/>
  <c r="FZ8" i="14609"/>
  <c r="GA8" i="14609"/>
  <c r="GB8" i="14609"/>
  <c r="GC8" i="14609"/>
  <c r="GD8" i="14609"/>
  <c r="GE8" i="14609"/>
  <c r="GF8" i="14609"/>
  <c r="GG8" i="14609"/>
  <c r="GH8" i="14609"/>
  <c r="GI8" i="14609"/>
  <c r="GJ8" i="14609"/>
  <c r="GK8" i="14609"/>
  <c r="GL8" i="14609"/>
  <c r="GM8" i="14609"/>
  <c r="GN8" i="14609"/>
  <c r="GO8" i="14609"/>
  <c r="GP8" i="14609"/>
  <c r="GQ8" i="14609"/>
  <c r="GR8" i="14609"/>
  <c r="GS8" i="14609"/>
  <c r="GT8" i="14609"/>
  <c r="GU8" i="14609"/>
  <c r="GV8" i="14609"/>
  <c r="GW8" i="14609"/>
  <c r="GX8" i="14609"/>
  <c r="GY8" i="14609"/>
  <c r="GZ8" i="14609"/>
  <c r="HA8" i="14609"/>
  <c r="HB8" i="14609"/>
  <c r="HC8" i="14609"/>
  <c r="HD8" i="14609"/>
  <c r="HE8" i="14609"/>
  <c r="HF8" i="14609"/>
  <c r="HG8" i="14609"/>
  <c r="HH8" i="14609"/>
  <c r="HI8" i="14609"/>
  <c r="HJ8" i="14609"/>
  <c r="HK8" i="14609"/>
  <c r="HL8" i="14609"/>
  <c r="HM8" i="14609"/>
  <c r="HN8" i="14609"/>
  <c r="HO8" i="14609"/>
  <c r="HP8" i="14609"/>
  <c r="HQ8" i="14609"/>
  <c r="HR8" i="14609"/>
  <c r="HS8" i="14609"/>
  <c r="HT8" i="14609"/>
  <c r="HU8" i="14609"/>
  <c r="HV8" i="14609"/>
  <c r="HW8" i="14609"/>
  <c r="HX8" i="14609"/>
  <c r="HY8" i="14609"/>
  <c r="HZ8" i="14609"/>
  <c r="IA8" i="14609"/>
  <c r="IB8" i="14609"/>
  <c r="IC8" i="14609"/>
  <c r="ID8" i="14609"/>
  <c r="IE8" i="14609"/>
  <c r="IF8" i="14609"/>
  <c r="IG8" i="14609"/>
  <c r="IH8" i="14609"/>
  <c r="II8" i="14609"/>
  <c r="IJ8" i="14609"/>
  <c r="IK8" i="14609"/>
  <c r="IL8" i="14609"/>
  <c r="IM8" i="14609"/>
  <c r="IN8" i="14609"/>
  <c r="IO8" i="14609"/>
  <c r="IP8" i="14609"/>
  <c r="IQ8" i="14609"/>
  <c r="IR8" i="14609"/>
  <c r="IS8" i="14609"/>
  <c r="IT8" i="14609"/>
  <c r="IU8" i="14609"/>
  <c r="IV8" i="14609"/>
  <c r="A7" i="14609"/>
  <c r="B7" i="14609"/>
  <c r="C7" i="14609"/>
  <c r="D7" i="14609"/>
  <c r="E7" i="14609"/>
  <c r="F7" i="14609"/>
  <c r="G7" i="14609"/>
  <c r="H7" i="14609"/>
  <c r="I7" i="14609"/>
  <c r="J7" i="14609"/>
  <c r="K7" i="14609"/>
  <c r="L7" i="14609"/>
  <c r="M7" i="14609"/>
  <c r="N7" i="14609"/>
  <c r="O7" i="14609"/>
  <c r="P7" i="14609"/>
  <c r="Q7" i="14609"/>
  <c r="R7" i="14609"/>
  <c r="S7" i="14609"/>
  <c r="T7" i="14609"/>
  <c r="U7" i="14609"/>
  <c r="V7" i="14609"/>
  <c r="W7" i="14609"/>
  <c r="X7" i="14609"/>
  <c r="Y7" i="14609"/>
  <c r="Z7" i="14609"/>
  <c r="AA7" i="14609"/>
  <c r="AB7" i="14609"/>
  <c r="AC7" i="14609"/>
  <c r="AD7" i="14609"/>
  <c r="AE7" i="14609"/>
  <c r="AF7" i="14609"/>
  <c r="AG7" i="14609"/>
  <c r="AH7" i="14609"/>
  <c r="AI7" i="14609"/>
  <c r="AJ7" i="14609"/>
  <c r="AK7" i="14609"/>
  <c r="AL7" i="14609"/>
  <c r="AM7" i="14609"/>
  <c r="AN7" i="14609"/>
  <c r="AO7" i="14609"/>
  <c r="AP7" i="14609"/>
  <c r="AQ7" i="14609"/>
  <c r="AR7" i="14609"/>
  <c r="AS7" i="14609"/>
  <c r="AT7" i="14609"/>
  <c r="AU7" i="14609"/>
  <c r="AV7" i="14609"/>
  <c r="AW7" i="14609"/>
  <c r="AX7" i="14609"/>
  <c r="AY7" i="14609"/>
  <c r="AZ7" i="14609"/>
  <c r="BA7" i="14609"/>
  <c r="BB7" i="14609"/>
  <c r="BC7" i="14609"/>
  <c r="BD7" i="14609"/>
  <c r="BE7" i="14609"/>
  <c r="BF7" i="14609"/>
  <c r="BG7" i="14609"/>
  <c r="BH7" i="14609"/>
  <c r="BI7" i="14609"/>
  <c r="BJ7" i="14609"/>
  <c r="BK7" i="14609"/>
  <c r="BL7" i="14609"/>
  <c r="BM7" i="14609"/>
  <c r="BN7" i="14609"/>
  <c r="BO7" i="14609"/>
  <c r="BP7" i="14609"/>
  <c r="BQ7" i="14609"/>
  <c r="BR7" i="14609"/>
  <c r="BS7" i="14609"/>
  <c r="BT7" i="14609"/>
  <c r="BU7" i="14609"/>
  <c r="BV7" i="14609"/>
  <c r="BW7" i="14609"/>
  <c r="BX7" i="14609"/>
  <c r="BY7" i="14609"/>
  <c r="BZ7" i="14609"/>
  <c r="CA7" i="14609"/>
  <c r="CB7" i="14609"/>
  <c r="CC7" i="14609"/>
  <c r="CD7" i="14609"/>
  <c r="CE7" i="14609"/>
  <c r="CF7" i="14609"/>
  <c r="CG7" i="14609"/>
  <c r="CH7" i="14609"/>
  <c r="CI7" i="14609"/>
  <c r="CJ7" i="14609"/>
  <c r="CK7" i="14609"/>
  <c r="CL7" i="14609"/>
  <c r="CM7" i="14609"/>
  <c r="CN7" i="14609"/>
  <c r="CO7" i="14609"/>
  <c r="CP7" i="14609"/>
  <c r="CQ7" i="14609"/>
  <c r="CR7" i="14609"/>
  <c r="CS7" i="14609"/>
  <c r="CT7" i="14609"/>
  <c r="CU7" i="14609"/>
  <c r="CV7" i="14609"/>
  <c r="CW7" i="14609"/>
  <c r="CX7" i="14609"/>
  <c r="CY7" i="14609"/>
  <c r="CZ7" i="14609"/>
  <c r="DA7" i="14609"/>
  <c r="DB7" i="14609"/>
  <c r="DC7" i="14609"/>
  <c r="DD7" i="14609"/>
  <c r="DE7" i="14609"/>
  <c r="DF7" i="14609"/>
  <c r="DG7" i="14609"/>
  <c r="DH7" i="14609"/>
  <c r="DI7" i="14609"/>
  <c r="DJ7" i="14609"/>
  <c r="DK7" i="14609"/>
  <c r="DL7" i="14609"/>
  <c r="DM7" i="14609"/>
  <c r="DN7" i="14609"/>
  <c r="DO7" i="14609"/>
  <c r="DP7" i="14609"/>
  <c r="DQ7" i="14609"/>
  <c r="DR7" i="14609"/>
  <c r="DS7" i="14609"/>
  <c r="DT7" i="14609"/>
  <c r="DU7" i="14609"/>
  <c r="DV7" i="14609"/>
  <c r="DW7" i="14609"/>
  <c r="DX7" i="14609"/>
  <c r="DY7" i="14609"/>
  <c r="DZ7" i="14609"/>
  <c r="EA7" i="14609"/>
  <c r="EB7" i="14609"/>
  <c r="EC7" i="14609"/>
  <c r="ED7" i="14609"/>
  <c r="EE7" i="14609"/>
  <c r="EF7" i="14609"/>
  <c r="EG7" i="14609"/>
  <c r="EH7" i="14609"/>
  <c r="EI7" i="14609"/>
  <c r="EJ7" i="14609"/>
  <c r="EK7" i="14609"/>
  <c r="EL7" i="14609"/>
  <c r="EM7" i="14609"/>
  <c r="EN7" i="14609"/>
  <c r="EO7" i="14609"/>
  <c r="EP7" i="14609"/>
  <c r="EQ7" i="14609"/>
  <c r="ER7" i="14609"/>
  <c r="ES7" i="14609"/>
  <c r="ET7" i="14609"/>
  <c r="EU7" i="14609"/>
  <c r="EV7" i="14609"/>
  <c r="EW7" i="14609"/>
  <c r="EX7" i="14609"/>
  <c r="EY7" i="14609"/>
  <c r="EZ7" i="14609"/>
  <c r="FA7" i="14609"/>
  <c r="FB7" i="14609"/>
  <c r="FC7" i="14609"/>
  <c r="FD7" i="14609"/>
  <c r="FE7" i="14609"/>
  <c r="FF7" i="14609"/>
  <c r="FG7" i="14609"/>
  <c r="FH7" i="14609"/>
  <c r="FI7" i="14609"/>
  <c r="FJ7" i="14609"/>
  <c r="FK7" i="14609"/>
  <c r="FL7" i="14609"/>
  <c r="FM7" i="14609"/>
  <c r="FN7" i="14609"/>
  <c r="FO7" i="14609"/>
  <c r="FP7" i="14609"/>
  <c r="FQ7" i="14609"/>
  <c r="FR7" i="14609"/>
  <c r="FS7" i="14609"/>
  <c r="FT7" i="14609"/>
  <c r="FU7" i="14609"/>
  <c r="FV7" i="14609"/>
  <c r="FW7" i="14609"/>
  <c r="FX7" i="14609"/>
  <c r="FY7" i="14609"/>
  <c r="FZ7" i="14609"/>
  <c r="GA7" i="14609"/>
  <c r="GB7" i="14609"/>
  <c r="GC7" i="14609"/>
  <c r="GD7" i="14609"/>
  <c r="GE7" i="14609"/>
  <c r="GF7" i="14609"/>
  <c r="GG7" i="14609"/>
  <c r="GH7" i="14609"/>
  <c r="GI7" i="14609"/>
  <c r="GJ7" i="14609"/>
  <c r="GK7" i="14609"/>
  <c r="GL7" i="14609"/>
  <c r="GM7" i="14609"/>
  <c r="GN7" i="14609"/>
  <c r="GO7" i="14609"/>
  <c r="GP7" i="14609"/>
  <c r="GQ7" i="14609"/>
  <c r="GR7" i="14609"/>
  <c r="GS7" i="14609"/>
  <c r="GT7" i="14609"/>
  <c r="GU7" i="14609"/>
  <c r="GV7" i="14609"/>
  <c r="GW7" i="14609"/>
  <c r="GX7" i="14609"/>
  <c r="GY7" i="14609"/>
  <c r="GZ7" i="14609"/>
  <c r="HA7" i="14609"/>
  <c r="HB7" i="14609"/>
  <c r="HC7" i="14609"/>
  <c r="HD7" i="14609"/>
  <c r="HE7" i="14609"/>
  <c r="HF7" i="14609"/>
  <c r="HG7" i="14609"/>
  <c r="HH7" i="14609"/>
  <c r="HI7" i="14609"/>
  <c r="HJ7" i="14609"/>
  <c r="HK7" i="14609"/>
  <c r="HL7" i="14609"/>
  <c r="HM7" i="14609"/>
  <c r="HN7" i="14609"/>
  <c r="HO7" i="14609"/>
  <c r="HP7" i="14609"/>
  <c r="HQ7" i="14609"/>
  <c r="HR7" i="14609"/>
  <c r="HS7" i="14609"/>
  <c r="HT7" i="14609"/>
  <c r="HU7" i="14609"/>
  <c r="HV7" i="14609"/>
  <c r="HW7" i="14609"/>
  <c r="HX7" i="14609"/>
  <c r="HY7" i="14609"/>
  <c r="HZ7" i="14609"/>
  <c r="IA7" i="14609"/>
  <c r="IB7" i="14609"/>
  <c r="IC7" i="14609"/>
  <c r="ID7" i="14609"/>
  <c r="IE7" i="14609"/>
  <c r="IF7" i="14609"/>
  <c r="IG7" i="14609"/>
  <c r="IH7" i="14609"/>
  <c r="II7" i="14609"/>
  <c r="IJ7" i="14609"/>
  <c r="IK7" i="14609"/>
  <c r="IL7" i="14609"/>
  <c r="IM7" i="14609"/>
  <c r="IN7" i="14609"/>
  <c r="IO7" i="14609"/>
  <c r="IP7" i="14609"/>
  <c r="IQ7" i="14609"/>
  <c r="IR7" i="14609"/>
  <c r="IS7" i="14609"/>
  <c r="IT7" i="14609"/>
  <c r="IU7" i="14609"/>
  <c r="IV7" i="14609"/>
  <c r="A6" i="14609"/>
  <c r="B6" i="14609"/>
  <c r="C6" i="14609"/>
  <c r="D6" i="14609"/>
  <c r="E6" i="14609"/>
  <c r="F6" i="14609"/>
  <c r="G6" i="14609"/>
  <c r="H6" i="14609"/>
  <c r="I6" i="14609"/>
  <c r="J6" i="14609"/>
  <c r="K6" i="14609"/>
  <c r="L6" i="14609"/>
  <c r="M6" i="14609"/>
  <c r="N6" i="14609"/>
  <c r="O6" i="14609"/>
  <c r="P6" i="14609"/>
  <c r="Q6" i="14609"/>
  <c r="R6" i="14609"/>
  <c r="S6" i="14609"/>
  <c r="T6" i="14609"/>
  <c r="U6" i="14609"/>
  <c r="V6" i="14609"/>
  <c r="W6" i="14609"/>
  <c r="X6" i="14609"/>
  <c r="Y6" i="14609"/>
  <c r="Z6" i="14609"/>
  <c r="AA6" i="14609"/>
  <c r="AB6" i="14609"/>
  <c r="AD6" i="14609"/>
  <c r="AF6" i="14609"/>
  <c r="AG6" i="14609"/>
  <c r="AH6" i="14609"/>
  <c r="AI6" i="14609"/>
  <c r="AJ6" i="14609"/>
  <c r="AK6" i="14609"/>
  <c r="AL6" i="14609"/>
  <c r="AM6" i="14609"/>
  <c r="AN6" i="14609"/>
  <c r="AO6" i="14609"/>
  <c r="AP6" i="14609"/>
  <c r="AQ6" i="14609"/>
  <c r="AR6" i="14609"/>
  <c r="AS6" i="14609"/>
  <c r="AT6" i="14609"/>
  <c r="AU6" i="14609"/>
  <c r="AV6" i="14609"/>
  <c r="AW6" i="14609"/>
  <c r="AX6" i="14609"/>
  <c r="AY6" i="14609"/>
  <c r="AZ6" i="14609"/>
  <c r="BA6" i="14609"/>
  <c r="BB6" i="14609"/>
  <c r="BC6" i="14609"/>
  <c r="BD6" i="14609"/>
  <c r="BE6" i="14609"/>
  <c r="BF6" i="14609"/>
  <c r="BG6" i="14609"/>
  <c r="BH6" i="14609"/>
  <c r="BI6" i="14609"/>
  <c r="BJ6" i="14609"/>
  <c r="BK6" i="14609"/>
  <c r="BL6" i="14609"/>
  <c r="BM6" i="14609"/>
  <c r="BN6" i="14609"/>
  <c r="BO6" i="14609"/>
  <c r="BP6" i="14609"/>
  <c r="BQ6" i="14609"/>
  <c r="BR6" i="14609"/>
  <c r="BS6" i="14609"/>
  <c r="BT6" i="14609"/>
  <c r="BU6" i="14609"/>
  <c r="BV6" i="14609"/>
  <c r="BW6" i="14609"/>
  <c r="BX6" i="14609"/>
  <c r="BY6" i="14609"/>
  <c r="BZ6" i="14609"/>
  <c r="CA6" i="14609"/>
  <c r="CB6" i="14609"/>
  <c r="CC6" i="14609"/>
  <c r="CD6" i="14609"/>
  <c r="CE6" i="14609"/>
  <c r="CF6" i="14609"/>
  <c r="CG6" i="14609"/>
  <c r="CH6" i="14609"/>
  <c r="CI6" i="14609"/>
  <c r="CJ6" i="14609"/>
  <c r="CK6" i="14609"/>
  <c r="CL6" i="14609"/>
  <c r="CM6" i="14609"/>
  <c r="CN6" i="14609"/>
  <c r="CO6" i="14609"/>
  <c r="CP6" i="14609"/>
  <c r="CQ6" i="14609"/>
  <c r="CR6" i="14609"/>
  <c r="CS6" i="14609"/>
  <c r="CT6" i="14609"/>
  <c r="CU6" i="14609"/>
  <c r="CV6" i="14609"/>
  <c r="CW6" i="14609"/>
  <c r="CX6" i="14609"/>
  <c r="CY6" i="14609"/>
  <c r="CZ6" i="14609"/>
  <c r="DA6" i="14609"/>
  <c r="DB6" i="14609"/>
  <c r="DC6" i="14609"/>
  <c r="DD6" i="14609"/>
  <c r="DE6" i="14609"/>
  <c r="DF6" i="14609"/>
  <c r="DG6" i="14609"/>
  <c r="DH6" i="14609"/>
  <c r="DI6" i="14609"/>
  <c r="DJ6" i="14609"/>
  <c r="DK6" i="14609"/>
  <c r="DL6" i="14609"/>
  <c r="DM6" i="14609"/>
  <c r="DN6" i="14609"/>
  <c r="DO6" i="14609"/>
  <c r="DP6" i="14609"/>
  <c r="DQ6" i="14609"/>
  <c r="DR6" i="14609"/>
  <c r="DS6" i="14609"/>
  <c r="DT6" i="14609"/>
  <c r="DU6" i="14609"/>
  <c r="DV6" i="14609"/>
  <c r="DW6" i="14609"/>
  <c r="DX6" i="14609"/>
  <c r="DY6" i="14609"/>
  <c r="DZ6" i="14609"/>
  <c r="EA6" i="14609"/>
  <c r="EB6" i="14609"/>
  <c r="EC6" i="14609"/>
  <c r="ED6" i="14609"/>
  <c r="EE6" i="14609"/>
  <c r="EF6" i="14609"/>
  <c r="EG6" i="14609"/>
  <c r="EH6" i="14609"/>
  <c r="EI6" i="14609"/>
  <c r="EJ6" i="14609"/>
  <c r="EK6" i="14609"/>
  <c r="EL6" i="14609"/>
  <c r="EM6" i="14609"/>
  <c r="EN6" i="14609"/>
  <c r="EO6" i="14609"/>
  <c r="EP6" i="14609"/>
  <c r="EQ6" i="14609"/>
  <c r="ER6" i="14609"/>
  <c r="ES6" i="14609"/>
  <c r="ET6" i="14609"/>
  <c r="EU6" i="14609"/>
  <c r="EV6" i="14609"/>
  <c r="EW6" i="14609"/>
  <c r="EX6" i="14609"/>
  <c r="EY6" i="14609"/>
  <c r="EZ6" i="14609"/>
  <c r="FA6" i="14609"/>
  <c r="FB6" i="14609"/>
  <c r="FC6" i="14609"/>
  <c r="FD6" i="14609"/>
  <c r="FE6" i="14609"/>
  <c r="FF6" i="14609"/>
  <c r="FG6" i="14609"/>
  <c r="FH6" i="14609"/>
  <c r="FI6" i="14609"/>
  <c r="FJ6" i="14609"/>
  <c r="FK6" i="14609"/>
  <c r="FL6" i="14609"/>
  <c r="FM6" i="14609"/>
  <c r="FN6" i="14609"/>
  <c r="FO6" i="14609"/>
  <c r="FP6" i="14609"/>
  <c r="FQ6" i="14609"/>
  <c r="FR6" i="14609"/>
  <c r="FS6" i="14609"/>
  <c r="FT6" i="14609"/>
  <c r="FU6" i="14609"/>
  <c r="FV6" i="14609"/>
  <c r="FW6" i="14609"/>
  <c r="FX6" i="14609"/>
  <c r="FY6" i="14609"/>
  <c r="FZ6" i="14609"/>
  <c r="GA6" i="14609"/>
  <c r="GB6" i="14609"/>
  <c r="GC6" i="14609"/>
  <c r="GD6" i="14609"/>
  <c r="GE6" i="14609"/>
  <c r="GF6" i="14609"/>
  <c r="GG6" i="14609"/>
  <c r="GH6" i="14609"/>
  <c r="GI6" i="14609"/>
  <c r="GJ6" i="14609"/>
  <c r="GK6" i="14609"/>
  <c r="GL6" i="14609"/>
  <c r="GM6" i="14609"/>
  <c r="GN6" i="14609"/>
  <c r="GO6" i="14609"/>
  <c r="GP6" i="14609"/>
  <c r="GQ6" i="14609"/>
  <c r="GR6" i="14609"/>
  <c r="GS6" i="14609"/>
  <c r="GT6" i="14609"/>
  <c r="GU6" i="14609"/>
  <c r="GV6" i="14609"/>
  <c r="GW6" i="14609"/>
  <c r="GX6" i="14609"/>
  <c r="GY6" i="14609"/>
  <c r="GZ6" i="14609"/>
  <c r="HA6" i="14609"/>
  <c r="HB6" i="14609"/>
  <c r="HC6" i="14609"/>
  <c r="HD6" i="14609"/>
  <c r="HE6" i="14609"/>
  <c r="HF6" i="14609"/>
  <c r="HG6" i="14609"/>
  <c r="HH6" i="14609"/>
  <c r="HI6" i="14609"/>
  <c r="HJ6" i="14609"/>
  <c r="HK6" i="14609"/>
  <c r="HL6" i="14609"/>
  <c r="HM6" i="14609"/>
  <c r="HN6" i="14609"/>
  <c r="HO6" i="14609"/>
  <c r="HP6" i="14609"/>
  <c r="HQ6" i="14609"/>
  <c r="HR6" i="14609"/>
  <c r="HS6" i="14609"/>
  <c r="HT6" i="14609"/>
  <c r="HU6" i="14609"/>
  <c r="HV6" i="14609"/>
  <c r="HW6" i="14609"/>
  <c r="HX6" i="14609"/>
  <c r="HY6" i="14609"/>
  <c r="HZ6" i="14609"/>
  <c r="IA6" i="14609"/>
  <c r="IB6" i="14609"/>
  <c r="IC6" i="14609"/>
  <c r="ID6" i="14609"/>
  <c r="IE6" i="14609"/>
  <c r="IF6" i="14609"/>
  <c r="IG6" i="14609"/>
  <c r="IH6" i="14609"/>
  <c r="II6" i="14609"/>
  <c r="IJ6" i="14609"/>
  <c r="IK6" i="14609"/>
  <c r="IL6" i="14609"/>
  <c r="IM6" i="14609"/>
  <c r="IN6" i="14609"/>
  <c r="IO6" i="14609"/>
  <c r="IP6" i="14609"/>
  <c r="IQ6" i="14609"/>
  <c r="IR6" i="14609"/>
  <c r="IS6" i="14609"/>
  <c r="IT6" i="14609"/>
  <c r="IU6" i="14609"/>
  <c r="IV6" i="14609"/>
  <c r="A5" i="14609"/>
  <c r="B5" i="14609"/>
  <c r="C5" i="14609"/>
  <c r="D5" i="14609"/>
  <c r="E5" i="14609"/>
  <c r="F5" i="14609"/>
  <c r="G5" i="14609"/>
  <c r="H5" i="14609"/>
  <c r="I5" i="14609"/>
  <c r="J5" i="14609"/>
  <c r="K5" i="14609"/>
  <c r="L5" i="14609"/>
  <c r="M5" i="14609"/>
  <c r="N5" i="14609"/>
  <c r="O5" i="14609"/>
  <c r="P5" i="14609"/>
  <c r="Q5" i="14609"/>
  <c r="R5" i="14609"/>
  <c r="S5" i="14609"/>
  <c r="T5" i="14609"/>
  <c r="U5" i="14609"/>
  <c r="V5" i="14609"/>
  <c r="W5" i="14609"/>
  <c r="X5" i="14609"/>
  <c r="Y5" i="14609"/>
  <c r="Z5" i="14609"/>
  <c r="AA5" i="14609"/>
  <c r="AB5" i="14609"/>
  <c r="AC5" i="14609"/>
  <c r="AD5" i="14609"/>
  <c r="AE5" i="14609"/>
  <c r="AF5" i="14609"/>
  <c r="AG5" i="14609"/>
  <c r="AH5" i="14609"/>
  <c r="AI5" i="14609"/>
  <c r="AJ5" i="14609"/>
  <c r="AK5" i="14609"/>
  <c r="AL5" i="14609"/>
  <c r="AM5" i="14609"/>
  <c r="AN5" i="14609"/>
  <c r="AO5" i="14609"/>
  <c r="AP5" i="14609"/>
  <c r="AQ5" i="14609"/>
  <c r="AS5" i="14609"/>
  <c r="AT5" i="14609"/>
  <c r="AV5" i="14609"/>
  <c r="AX5" i="14609"/>
  <c r="AY5" i="14609"/>
  <c r="AZ5" i="14609"/>
  <c r="BA5" i="14609"/>
  <c r="BB5" i="14609"/>
  <c r="BC5" i="14609"/>
  <c r="BD5" i="14609"/>
  <c r="BE5" i="14609"/>
  <c r="BF5" i="14609"/>
  <c r="BG5" i="14609"/>
  <c r="BH5" i="14609"/>
  <c r="BI5" i="14609"/>
  <c r="BJ5" i="14609"/>
  <c r="BK5" i="14609"/>
  <c r="BL5" i="14609"/>
  <c r="BM5" i="14609"/>
  <c r="BN5" i="14609"/>
  <c r="BO5" i="14609"/>
  <c r="BP5" i="14609"/>
  <c r="BQ5" i="14609"/>
  <c r="BR5" i="14609"/>
  <c r="BS5" i="14609"/>
  <c r="BT5" i="14609"/>
  <c r="BU5" i="14609"/>
  <c r="BV5" i="14609"/>
  <c r="BW5" i="14609"/>
  <c r="BX5" i="14609"/>
  <c r="BY5" i="14609"/>
  <c r="BZ5" i="14609"/>
  <c r="CA5" i="14609"/>
  <c r="CB5" i="14609"/>
  <c r="CC5" i="14609"/>
  <c r="CD5" i="14609"/>
  <c r="CE5" i="14609"/>
  <c r="CF5" i="14609"/>
  <c r="CG5" i="14609"/>
  <c r="CH5" i="14609"/>
  <c r="CI5" i="14609"/>
  <c r="CJ5" i="14609"/>
  <c r="CK5" i="14609"/>
  <c r="CL5" i="14609"/>
  <c r="CM5" i="14609"/>
  <c r="CN5" i="14609"/>
  <c r="CO5" i="14609"/>
  <c r="CP5" i="14609"/>
  <c r="CQ5" i="14609"/>
  <c r="CR5" i="14609"/>
  <c r="CS5" i="14609"/>
  <c r="CT5" i="14609"/>
  <c r="CU5" i="14609"/>
  <c r="CV5" i="14609"/>
  <c r="CW5" i="14609"/>
  <c r="CX5" i="14609"/>
  <c r="CZ5" i="14609"/>
  <c r="DA5" i="14609"/>
  <c r="DC5" i="14609"/>
  <c r="DE5" i="14609"/>
  <c r="DF5" i="14609"/>
  <c r="DG5" i="14609"/>
  <c r="DH5" i="14609"/>
  <c r="DI5" i="14609"/>
  <c r="DJ5" i="14609"/>
  <c r="DK5" i="14609"/>
  <c r="DL5" i="14609"/>
  <c r="DM5" i="14609"/>
  <c r="DN5" i="14609"/>
  <c r="DO5" i="14609"/>
  <c r="DP5" i="14609"/>
  <c r="DQ5" i="14609"/>
  <c r="DR5" i="14609"/>
  <c r="DS5" i="14609"/>
  <c r="DT5" i="14609"/>
  <c r="DU5" i="14609"/>
  <c r="DV5" i="14609"/>
  <c r="DW5" i="14609"/>
  <c r="DX5" i="14609"/>
  <c r="DY5" i="14609"/>
  <c r="DZ5" i="14609"/>
  <c r="EA5" i="14609"/>
  <c r="EB5" i="14609"/>
  <c r="EC5" i="14609"/>
  <c r="ED5" i="14609"/>
  <c r="EE5" i="14609"/>
  <c r="EF5" i="14609"/>
  <c r="EG5" i="14609"/>
  <c r="EH5" i="14609"/>
  <c r="EI5" i="14609"/>
  <c r="EJ5" i="14609"/>
  <c r="EK5" i="14609"/>
  <c r="EL5" i="14609"/>
  <c r="EM5" i="14609"/>
  <c r="EN5" i="14609"/>
  <c r="EO5" i="14609"/>
  <c r="EP5" i="14609"/>
  <c r="EQ5" i="14609"/>
  <c r="ER5" i="14609"/>
  <c r="ES5" i="14609"/>
  <c r="ET5" i="14609"/>
  <c r="EU5" i="14609"/>
  <c r="EV5" i="14609"/>
  <c r="EW5" i="14609"/>
  <c r="EX5" i="14609"/>
  <c r="EY5" i="14609"/>
  <c r="EZ5" i="14609"/>
  <c r="FA5" i="14609"/>
  <c r="FB5" i="14609"/>
  <c r="FC5" i="14609"/>
  <c r="FD5" i="14609"/>
  <c r="FE5" i="14609"/>
  <c r="FF5" i="14609"/>
  <c r="FG5" i="14609"/>
  <c r="FH5" i="14609"/>
  <c r="FJ5" i="14609"/>
  <c r="FL5" i="14609"/>
  <c r="FM5" i="14609"/>
  <c r="FN5" i="14609"/>
  <c r="FO5" i="14609"/>
  <c r="FP5" i="14609"/>
  <c r="FQ5" i="14609"/>
  <c r="FR5" i="14609"/>
  <c r="FS5" i="14609"/>
  <c r="FT5" i="14609"/>
  <c r="FU5" i="14609"/>
  <c r="FV5" i="14609"/>
  <c r="FW5" i="14609"/>
  <c r="FX5" i="14609"/>
  <c r="FY5" i="14609"/>
  <c r="FZ5" i="14609"/>
  <c r="GA5" i="14609"/>
  <c r="GB5" i="14609"/>
  <c r="GC5" i="14609"/>
  <c r="GD5" i="14609"/>
  <c r="GE5" i="14609"/>
  <c r="GF5" i="14609"/>
  <c r="GG5" i="14609"/>
  <c r="GH5" i="14609"/>
  <c r="GI5" i="14609"/>
  <c r="GJ5" i="14609"/>
  <c r="GK5" i="14609"/>
  <c r="GL5" i="14609"/>
  <c r="GM5" i="14609"/>
  <c r="GN5" i="14609"/>
  <c r="GO5" i="14609"/>
  <c r="GP5" i="14609"/>
  <c r="GQ5" i="14609"/>
  <c r="GR5" i="14609"/>
  <c r="GS5" i="14609"/>
  <c r="GT5" i="14609"/>
  <c r="GU5" i="14609"/>
  <c r="GV5" i="14609"/>
  <c r="GW5" i="14609"/>
  <c r="GX5" i="14609"/>
  <c r="GY5" i="14609"/>
  <c r="GZ5" i="14609"/>
  <c r="HA5" i="14609"/>
  <c r="HB5" i="14609"/>
  <c r="HC5" i="14609"/>
  <c r="HD5" i="14609"/>
  <c r="HE5" i="14609"/>
  <c r="HF5" i="14609"/>
  <c r="HG5" i="14609"/>
  <c r="HH5" i="14609"/>
  <c r="HI5" i="14609"/>
  <c r="HJ5" i="14609"/>
  <c r="HK5" i="14609"/>
  <c r="HL5" i="14609"/>
  <c r="HM5" i="14609"/>
  <c r="HN5" i="14609"/>
  <c r="HO5" i="14609"/>
  <c r="HP5" i="14609"/>
  <c r="HQ5" i="14609"/>
  <c r="HS5" i="14609"/>
  <c r="HU5" i="14609"/>
  <c r="HV5" i="14609"/>
  <c r="HW5" i="14609"/>
  <c r="HX5" i="14609"/>
  <c r="HY5" i="14609"/>
  <c r="HZ5" i="14609"/>
  <c r="IA5" i="14609"/>
  <c r="IB5" i="14609"/>
  <c r="IC5" i="14609"/>
  <c r="ID5" i="14609"/>
  <c r="IE5" i="14609"/>
  <c r="IF5" i="14609"/>
  <c r="IG5" i="14609"/>
  <c r="IH5" i="14609"/>
  <c r="II5" i="14609"/>
  <c r="IJ5" i="14609"/>
  <c r="IK5" i="14609"/>
  <c r="IL5" i="14609"/>
  <c r="IM5" i="14609"/>
  <c r="IN5" i="14609"/>
  <c r="IO5" i="14609"/>
  <c r="IP5" i="14609"/>
  <c r="IQ5" i="14609"/>
  <c r="IR5" i="14609"/>
  <c r="IS5" i="14609"/>
  <c r="IT5" i="14609"/>
  <c r="IU5" i="14609"/>
  <c r="IV5" i="14609"/>
  <c r="A4" i="14609"/>
  <c r="B4" i="14609"/>
  <c r="C4" i="14609"/>
  <c r="D4" i="14609"/>
  <c r="F4" i="14609"/>
  <c r="G4" i="14609"/>
  <c r="I4" i="14609"/>
  <c r="K4" i="14609"/>
  <c r="L4" i="14609"/>
  <c r="M4" i="14609"/>
  <c r="N4" i="14609"/>
  <c r="O4" i="14609"/>
  <c r="P4" i="14609"/>
  <c r="Q4" i="14609"/>
  <c r="R4" i="14609"/>
  <c r="S4" i="14609"/>
  <c r="T4" i="14609"/>
  <c r="U4" i="14609"/>
  <c r="V4" i="14609"/>
  <c r="W4" i="14609"/>
  <c r="X4" i="14609"/>
  <c r="Y4" i="14609"/>
  <c r="Z4" i="14609"/>
  <c r="AA4" i="14609"/>
  <c r="AB4" i="14609"/>
  <c r="AC4" i="14609"/>
  <c r="AD4" i="14609"/>
  <c r="AE4" i="14609"/>
  <c r="AF4" i="14609"/>
  <c r="AG4" i="14609"/>
  <c r="AH4" i="14609"/>
  <c r="AI4" i="14609"/>
  <c r="AJ4" i="14609"/>
  <c r="AK4" i="14609"/>
  <c r="AL4" i="14609"/>
  <c r="AM4" i="14609"/>
  <c r="AN4" i="14609"/>
  <c r="AO4" i="14609"/>
  <c r="AP4" i="14609"/>
  <c r="AQ4" i="14609"/>
  <c r="AR4" i="14609"/>
  <c r="AS4" i="14609"/>
  <c r="AT4" i="14609"/>
  <c r="AU4" i="14609"/>
  <c r="AV4" i="14609"/>
  <c r="AW4" i="14609"/>
  <c r="AX4" i="14609"/>
  <c r="AY4" i="14609"/>
  <c r="AZ4" i="14609"/>
  <c r="BA4" i="14609"/>
  <c r="BB4" i="14609"/>
  <c r="BC4" i="14609"/>
  <c r="BD4" i="14609"/>
  <c r="BE4" i="14609"/>
  <c r="BF4" i="14609"/>
  <c r="BG4" i="14609"/>
  <c r="BH4" i="14609"/>
  <c r="BI4" i="14609"/>
  <c r="BJ4" i="14609"/>
  <c r="BK4" i="14609"/>
  <c r="BM4" i="14609"/>
  <c r="BN4" i="14609"/>
  <c r="BP4" i="14609"/>
  <c r="BR4" i="14609"/>
  <c r="BS4" i="14609"/>
  <c r="BT4" i="14609"/>
  <c r="BU4" i="14609"/>
  <c r="BV4" i="14609"/>
  <c r="BW4" i="14609"/>
  <c r="BX4" i="14609"/>
  <c r="BY4" i="14609"/>
  <c r="BZ4" i="14609"/>
  <c r="CA4" i="14609"/>
  <c r="CB4" i="14609"/>
  <c r="CC4" i="14609"/>
  <c r="CD4" i="14609"/>
  <c r="CE4" i="14609"/>
  <c r="CF4" i="14609"/>
  <c r="CG4" i="14609"/>
  <c r="CH4" i="14609"/>
  <c r="CI4" i="14609"/>
  <c r="CJ4" i="14609"/>
  <c r="CK4" i="14609"/>
  <c r="CL4" i="14609"/>
  <c r="CM4" i="14609"/>
  <c r="CN4" i="14609"/>
  <c r="CO4" i="14609"/>
  <c r="CP4" i="14609"/>
  <c r="CQ4" i="14609"/>
  <c r="CR4" i="14609"/>
  <c r="CS4" i="14609"/>
  <c r="CT4" i="14609"/>
  <c r="CU4" i="14609"/>
  <c r="CV4" i="14609"/>
  <c r="CW4" i="14609"/>
  <c r="CX4" i="14609"/>
  <c r="CY4" i="14609"/>
  <c r="CZ4" i="14609"/>
  <c r="DA4" i="14609"/>
  <c r="DB4" i="14609"/>
  <c r="DC4" i="14609"/>
  <c r="DD4" i="14609"/>
  <c r="DE4" i="14609"/>
  <c r="DF4" i="14609"/>
  <c r="DG4" i="14609"/>
  <c r="DH4" i="14609"/>
  <c r="DI4" i="14609"/>
  <c r="DJ4" i="14609"/>
  <c r="DK4" i="14609"/>
  <c r="DL4" i="14609"/>
  <c r="DM4" i="14609"/>
  <c r="DN4" i="14609"/>
  <c r="DO4" i="14609"/>
  <c r="DP4" i="14609"/>
  <c r="DQ4" i="14609"/>
  <c r="DR4" i="14609"/>
  <c r="DT4" i="14609"/>
  <c r="DU4" i="14609"/>
  <c r="DW4" i="14609"/>
  <c r="DY4" i="14609"/>
  <c r="DZ4" i="14609"/>
  <c r="EA4" i="14609"/>
  <c r="EB4" i="14609"/>
  <c r="EC4" i="14609"/>
  <c r="ED4" i="14609"/>
  <c r="EE4" i="14609"/>
  <c r="EF4" i="14609"/>
  <c r="EG4" i="14609"/>
  <c r="EH4" i="14609"/>
  <c r="EI4" i="14609"/>
  <c r="EJ4" i="14609"/>
  <c r="EK4" i="14609"/>
  <c r="EL4" i="14609"/>
  <c r="EM4" i="14609"/>
  <c r="EN4" i="14609"/>
  <c r="EO4" i="14609"/>
  <c r="EP4" i="14609"/>
  <c r="EQ4" i="14609"/>
  <c r="ER4" i="14609"/>
  <c r="ES4" i="14609"/>
  <c r="ET4" i="14609"/>
  <c r="EU4" i="14609"/>
  <c r="EV4" i="14609"/>
  <c r="EW4" i="14609"/>
  <c r="EX4" i="14609"/>
  <c r="EY4" i="14609"/>
  <c r="EZ4" i="14609"/>
  <c r="FA4" i="14609"/>
  <c r="FB4" i="14609"/>
  <c r="FC4" i="14609"/>
  <c r="FD4" i="14609"/>
  <c r="FE4" i="14609"/>
  <c r="FF4" i="14609"/>
  <c r="FG4" i="14609"/>
  <c r="FH4" i="14609"/>
  <c r="FI4" i="14609"/>
  <c r="FJ4" i="14609"/>
  <c r="FK4" i="14609"/>
  <c r="FL4" i="14609"/>
  <c r="FM4" i="14609"/>
  <c r="FN4" i="14609"/>
  <c r="FO4" i="14609"/>
  <c r="FP4" i="14609"/>
  <c r="FQ4" i="14609"/>
  <c r="FR4" i="14609"/>
  <c r="FS4" i="14609"/>
  <c r="FT4" i="14609"/>
  <c r="FU4" i="14609"/>
  <c r="FV4" i="14609"/>
  <c r="FW4" i="14609"/>
  <c r="FX4" i="14609"/>
  <c r="FY4" i="14609"/>
  <c r="GA4" i="14609"/>
  <c r="GB4" i="14609"/>
  <c r="GD4" i="14609"/>
  <c r="GF4" i="14609"/>
  <c r="GG4" i="14609"/>
  <c r="GH4" i="14609"/>
  <c r="GI4" i="14609"/>
  <c r="GJ4" i="14609"/>
  <c r="GK4" i="14609"/>
  <c r="GL4" i="14609"/>
  <c r="GM4" i="14609"/>
  <c r="GN4" i="14609"/>
  <c r="GO4" i="14609"/>
  <c r="GP4" i="14609"/>
  <c r="GQ4" i="14609"/>
  <c r="GR4" i="14609"/>
  <c r="GS4" i="14609"/>
  <c r="GT4" i="14609"/>
  <c r="GU4" i="14609"/>
  <c r="GV4" i="14609"/>
  <c r="GW4" i="14609"/>
  <c r="GX4" i="14609"/>
  <c r="GY4" i="14609"/>
  <c r="GZ4" i="14609"/>
  <c r="HA4" i="14609"/>
  <c r="HB4" i="14609"/>
  <c r="HC4" i="14609"/>
  <c r="HD4" i="14609"/>
  <c r="HE4" i="14609"/>
  <c r="HF4" i="14609"/>
  <c r="HG4" i="14609"/>
  <c r="HH4" i="14609"/>
  <c r="HI4" i="14609"/>
  <c r="HJ4" i="14609"/>
  <c r="HK4" i="14609"/>
  <c r="HL4" i="14609"/>
  <c r="HM4" i="14609"/>
  <c r="HN4" i="14609"/>
  <c r="HO4" i="14609"/>
  <c r="HP4" i="14609"/>
  <c r="HQ4" i="14609"/>
  <c r="HR4" i="14609"/>
  <c r="HS4" i="14609"/>
  <c r="HT4" i="14609"/>
  <c r="HU4" i="14609"/>
  <c r="HV4" i="14609"/>
  <c r="HW4" i="14609"/>
  <c r="HX4" i="14609"/>
  <c r="HY4" i="14609"/>
  <c r="HZ4" i="14609"/>
  <c r="IA4" i="14609"/>
  <c r="IB4" i="14609"/>
  <c r="IC4" i="14609"/>
  <c r="ID4" i="14609"/>
  <c r="IE4" i="14609"/>
  <c r="IF4" i="14609"/>
  <c r="IH4" i="14609"/>
  <c r="II4" i="14609"/>
  <c r="IK4" i="14609"/>
  <c r="IM4" i="14609"/>
  <c r="IN4" i="14609"/>
  <c r="IO4" i="14609"/>
  <c r="IP4" i="14609"/>
  <c r="IQ4" i="14609"/>
  <c r="IR4" i="14609"/>
  <c r="IS4" i="14609"/>
  <c r="IT4" i="14609"/>
  <c r="IU4" i="14609"/>
  <c r="IV4" i="14609"/>
  <c r="A3" i="14609"/>
  <c r="B3" i="14609"/>
  <c r="C3" i="14609"/>
  <c r="D3" i="14609"/>
  <c r="E3" i="14609"/>
  <c r="F3" i="14609"/>
  <c r="G3" i="14609"/>
  <c r="H3" i="14609"/>
  <c r="I3" i="14609"/>
  <c r="J3" i="14609"/>
  <c r="K3" i="14609"/>
  <c r="L3" i="14609"/>
  <c r="M3" i="14609"/>
  <c r="N3" i="14609"/>
  <c r="O3" i="14609"/>
  <c r="P3" i="14609"/>
  <c r="Q3" i="14609"/>
  <c r="R3" i="14609"/>
  <c r="S3" i="14609"/>
  <c r="T3" i="14609"/>
  <c r="U3" i="14609"/>
  <c r="V3" i="14609"/>
  <c r="W3" i="14609"/>
  <c r="X3" i="14609"/>
  <c r="Z3" i="14609"/>
  <c r="AA3" i="14609"/>
  <c r="AC3" i="14609"/>
  <c r="AE3" i="14609"/>
  <c r="AF3" i="14609"/>
  <c r="AG3" i="14609"/>
  <c r="AH3" i="14609"/>
  <c r="AI3" i="14609"/>
  <c r="AJ3" i="14609"/>
  <c r="AK3" i="14609"/>
  <c r="AL3" i="14609"/>
  <c r="AM3" i="14609"/>
  <c r="AN3" i="14609"/>
  <c r="AO3" i="14609"/>
  <c r="AP3" i="14609"/>
  <c r="AQ3" i="14609"/>
  <c r="AR3" i="14609"/>
  <c r="AS3" i="14609"/>
  <c r="AT3" i="14609"/>
  <c r="AU3" i="14609"/>
  <c r="AV3" i="14609"/>
  <c r="AW3" i="14609"/>
  <c r="AX3" i="14609"/>
  <c r="AY3" i="14609"/>
  <c r="AZ3" i="14609"/>
  <c r="BA3" i="14609"/>
  <c r="BB3" i="14609"/>
  <c r="BC3" i="14609"/>
  <c r="BD3" i="14609"/>
  <c r="BE3" i="14609"/>
  <c r="BF3" i="14609"/>
  <c r="BG3" i="14609"/>
  <c r="BH3" i="14609"/>
  <c r="BI3" i="14609"/>
  <c r="BJ3" i="14609"/>
  <c r="BK3" i="14609"/>
  <c r="BL3" i="14609"/>
  <c r="BM3" i="14609"/>
  <c r="BN3" i="14609"/>
  <c r="BO3" i="14609"/>
  <c r="BP3" i="14609"/>
  <c r="BQ3" i="14609"/>
  <c r="BR3" i="14609"/>
  <c r="BS3" i="14609"/>
  <c r="BT3" i="14609"/>
  <c r="BU3" i="14609"/>
  <c r="BV3" i="14609"/>
  <c r="BW3" i="14609"/>
  <c r="BX3" i="14609"/>
  <c r="BY3" i="14609"/>
  <c r="BZ3" i="14609"/>
  <c r="CA3" i="14609"/>
  <c r="CB3" i="14609"/>
  <c r="CC3" i="14609"/>
  <c r="CD3" i="14609"/>
  <c r="CE3" i="14609"/>
  <c r="CG3" i="14609"/>
  <c r="CH3" i="14609"/>
  <c r="CJ3" i="14609"/>
  <c r="CL3" i="14609"/>
  <c r="CM3" i="14609"/>
  <c r="CN3" i="14609"/>
  <c r="CO3" i="14609"/>
  <c r="CP3" i="14609"/>
  <c r="CQ3" i="14609"/>
  <c r="CR3" i="14609"/>
  <c r="CS3" i="14609"/>
  <c r="CT3" i="14609"/>
  <c r="CU3" i="14609"/>
  <c r="CV3" i="14609"/>
  <c r="CW3" i="14609"/>
  <c r="CX3" i="14609"/>
  <c r="CY3" i="14609"/>
  <c r="CZ3" i="14609"/>
  <c r="DA3" i="14609"/>
  <c r="DB3" i="14609"/>
  <c r="DC3" i="14609"/>
  <c r="DD3" i="14609"/>
  <c r="DE3" i="14609"/>
  <c r="DF3" i="14609"/>
  <c r="DG3" i="14609"/>
  <c r="DH3" i="14609"/>
  <c r="DI3" i="14609"/>
  <c r="DJ3" i="14609"/>
  <c r="DK3" i="14609"/>
  <c r="DL3" i="14609"/>
  <c r="DM3" i="14609"/>
  <c r="DN3" i="14609"/>
  <c r="DO3" i="14609"/>
  <c r="DP3" i="14609"/>
  <c r="DQ3" i="14609"/>
  <c r="DR3" i="14609"/>
  <c r="DS3" i="14609"/>
  <c r="DT3" i="14609"/>
  <c r="DU3" i="14609"/>
  <c r="DV3" i="14609"/>
  <c r="DW3" i="14609"/>
  <c r="DX3" i="14609"/>
  <c r="DY3" i="14609"/>
  <c r="DZ3" i="14609"/>
  <c r="EA3" i="14609"/>
  <c r="EB3" i="14609"/>
  <c r="EC3" i="14609"/>
  <c r="ED3" i="14609"/>
  <c r="EE3" i="14609"/>
  <c r="EF3" i="14609"/>
  <c r="EG3" i="14609"/>
  <c r="EH3" i="14609"/>
  <c r="EI3" i="14609"/>
  <c r="EJ3" i="14609"/>
  <c r="EK3" i="14609"/>
  <c r="EL3" i="14609"/>
  <c r="EN3" i="14609"/>
  <c r="EO3" i="14609"/>
  <c r="EQ3" i="14609"/>
  <c r="ES3" i="14609"/>
  <c r="ET3" i="14609"/>
  <c r="EU3" i="14609"/>
  <c r="EV3" i="14609"/>
  <c r="EW3" i="14609"/>
  <c r="EX3" i="14609"/>
  <c r="EY3" i="14609"/>
  <c r="EZ3" i="14609"/>
  <c r="FA3" i="14609"/>
  <c r="FB3" i="14609"/>
  <c r="FC3" i="14609"/>
  <c r="FD3" i="14609"/>
  <c r="FE3" i="14609"/>
  <c r="FF3" i="14609"/>
  <c r="FG3" i="14609"/>
  <c r="FH3" i="14609"/>
  <c r="FI3" i="14609"/>
  <c r="FJ3" i="14609"/>
  <c r="FK3" i="14609"/>
  <c r="FL3" i="14609"/>
  <c r="FM3" i="14609"/>
  <c r="FN3" i="14609"/>
  <c r="FO3" i="14609"/>
  <c r="FP3" i="14609"/>
  <c r="FQ3" i="14609"/>
  <c r="FR3" i="14609"/>
  <c r="FS3" i="14609"/>
  <c r="FT3" i="14609"/>
  <c r="FU3" i="14609"/>
  <c r="FV3" i="14609"/>
  <c r="FW3" i="14609"/>
  <c r="FX3" i="14609"/>
  <c r="FY3" i="14609"/>
  <c r="FZ3" i="14609"/>
  <c r="GA3" i="14609"/>
  <c r="GB3" i="14609"/>
  <c r="GC3" i="14609"/>
  <c r="GD3" i="14609"/>
  <c r="GE3" i="14609"/>
  <c r="GF3" i="14609"/>
  <c r="GG3" i="14609"/>
  <c r="GH3" i="14609"/>
  <c r="GI3" i="14609"/>
  <c r="GJ3" i="14609"/>
  <c r="GK3" i="14609"/>
  <c r="GL3" i="14609"/>
  <c r="GM3" i="14609"/>
  <c r="GN3" i="14609"/>
  <c r="GO3" i="14609"/>
  <c r="GP3" i="14609"/>
  <c r="GQ3" i="14609"/>
  <c r="GR3" i="14609"/>
  <c r="GS3" i="14609"/>
  <c r="GU3" i="14609"/>
  <c r="GV3" i="14609"/>
  <c r="GX3" i="14609"/>
  <c r="GZ3" i="14609"/>
  <c r="HA3" i="14609"/>
  <c r="HB3" i="14609"/>
  <c r="HC3" i="14609"/>
  <c r="HD3" i="14609"/>
  <c r="HE3" i="14609"/>
  <c r="HF3" i="14609"/>
  <c r="HG3" i="14609"/>
  <c r="HH3" i="14609"/>
  <c r="HI3" i="14609"/>
  <c r="HJ3" i="14609"/>
  <c r="HK3" i="14609"/>
  <c r="HL3" i="14609"/>
  <c r="HM3" i="14609"/>
  <c r="HN3" i="14609"/>
  <c r="HO3" i="14609"/>
  <c r="HP3" i="14609"/>
  <c r="HQ3" i="14609"/>
  <c r="HR3" i="14609"/>
  <c r="HS3" i="14609"/>
  <c r="HT3" i="14609"/>
  <c r="HU3" i="14609"/>
  <c r="HV3" i="14609"/>
  <c r="HW3" i="14609"/>
  <c r="HX3" i="14609"/>
  <c r="HY3" i="14609"/>
  <c r="HZ3" i="14609"/>
  <c r="IA3" i="14609"/>
  <c r="IB3" i="14609"/>
  <c r="IC3" i="14609"/>
  <c r="ID3" i="14609"/>
  <c r="IE3" i="14609"/>
  <c r="IF3" i="14609"/>
  <c r="IG3" i="14609"/>
  <c r="IH3" i="14609"/>
  <c r="II3" i="14609"/>
  <c r="IJ3" i="14609"/>
  <c r="IK3" i="14609"/>
  <c r="IL3" i="14609"/>
  <c r="IM3" i="14609"/>
  <c r="IN3" i="14609"/>
  <c r="IO3" i="14609"/>
  <c r="IP3" i="14609"/>
  <c r="IQ3" i="14609"/>
  <c r="IR3" i="14609"/>
  <c r="IS3" i="14609"/>
  <c r="IT3" i="14609"/>
  <c r="IU3" i="14609"/>
  <c r="IV3" i="14609"/>
  <c r="A2" i="14609"/>
  <c r="B2" i="14609"/>
  <c r="C2" i="14609"/>
  <c r="D2" i="14609"/>
  <c r="E2" i="14609"/>
  <c r="F2" i="14609"/>
  <c r="G2" i="14609"/>
  <c r="H2" i="14609"/>
  <c r="I2" i="14609"/>
  <c r="J2" i="14609"/>
  <c r="K2" i="14609"/>
  <c r="L2" i="14609"/>
  <c r="M2" i="14609"/>
  <c r="N2" i="14609"/>
  <c r="O2" i="14609"/>
  <c r="P2" i="14609"/>
  <c r="Q2" i="14609"/>
  <c r="R2" i="14609"/>
  <c r="S2" i="14609"/>
  <c r="T2" i="14609"/>
  <c r="U2" i="14609"/>
  <c r="V2" i="14609"/>
  <c r="W2" i="14609"/>
  <c r="X2" i="14609"/>
  <c r="Y2" i="14609"/>
  <c r="Z2" i="14609"/>
  <c r="AA2" i="14609"/>
  <c r="AB2" i="14609"/>
  <c r="AC2" i="14609"/>
  <c r="AD2" i="14609"/>
  <c r="AE2" i="14609"/>
  <c r="AF2" i="14609"/>
  <c r="AG2" i="14609"/>
  <c r="AH2" i="14609"/>
  <c r="AI2" i="14609"/>
  <c r="AJ2" i="14609"/>
  <c r="AK2" i="14609"/>
  <c r="AL2" i="14609"/>
  <c r="AM2" i="14609"/>
  <c r="AN2" i="14609"/>
  <c r="AO2" i="14609"/>
  <c r="AP2" i="14609"/>
  <c r="AQ2" i="14609"/>
  <c r="AR2" i="14609"/>
  <c r="AS2" i="14609"/>
  <c r="AT2" i="14609"/>
  <c r="AU2" i="14609"/>
  <c r="AV2" i="14609"/>
  <c r="AW2" i="14609"/>
  <c r="AX2" i="14609"/>
  <c r="AY2" i="14609"/>
  <c r="AZ2" i="14609"/>
  <c r="BA2" i="14609"/>
  <c r="BB2" i="14609"/>
  <c r="BC2" i="14609"/>
  <c r="BD2" i="14609"/>
  <c r="BE2" i="14609"/>
  <c r="BF2" i="14609"/>
  <c r="BG2" i="14609"/>
  <c r="BH2" i="14609"/>
  <c r="BI2" i="14609"/>
  <c r="BJ2" i="14609"/>
  <c r="BK2" i="14609"/>
  <c r="BL2" i="14609"/>
  <c r="BM2" i="14609"/>
  <c r="BN2" i="14609"/>
  <c r="BO2" i="14609"/>
  <c r="BP2" i="14609"/>
  <c r="BQ2" i="14609"/>
  <c r="BR2" i="14609"/>
  <c r="BS2" i="14609"/>
  <c r="BT2" i="14609"/>
  <c r="BU2" i="14609"/>
  <c r="BV2" i="14609"/>
  <c r="BW2" i="14609"/>
  <c r="BX2" i="14609"/>
  <c r="BY2" i="14609"/>
  <c r="BZ2" i="14609"/>
  <c r="CA2" i="14609"/>
  <c r="CB2" i="14609"/>
  <c r="CC2" i="14609"/>
  <c r="CD2" i="14609"/>
  <c r="CE2" i="14609"/>
  <c r="CF2" i="14609"/>
  <c r="CG2" i="14609"/>
  <c r="CH2" i="14609"/>
  <c r="CI2" i="14609"/>
  <c r="CJ2" i="14609"/>
  <c r="CK2" i="14609"/>
  <c r="CL2" i="14609"/>
  <c r="CM2" i="14609"/>
  <c r="CN2" i="14609"/>
  <c r="CO2" i="14609"/>
  <c r="CP2" i="14609"/>
  <c r="CQ2" i="14609"/>
  <c r="CR2" i="14609"/>
  <c r="CS2" i="14609"/>
  <c r="CT2" i="14609"/>
  <c r="CU2" i="14609"/>
  <c r="CV2" i="14609"/>
  <c r="CW2" i="14609"/>
  <c r="CZ2" i="14609"/>
  <c r="DA2" i="14609"/>
  <c r="DC2" i="14609"/>
  <c r="DD2" i="14609"/>
  <c r="DE2" i="14609"/>
  <c r="DF2" i="14609"/>
  <c r="DG2" i="14609"/>
  <c r="DH2" i="14609"/>
  <c r="DI2" i="14609"/>
  <c r="DJ2" i="14609"/>
  <c r="DK2" i="14609"/>
  <c r="DL2" i="14609"/>
  <c r="DM2" i="14609"/>
  <c r="DN2" i="14609"/>
  <c r="DO2" i="14609"/>
  <c r="DP2" i="14609"/>
  <c r="DQ2" i="14609"/>
  <c r="DR2" i="14609"/>
  <c r="DS2" i="14609"/>
  <c r="DT2" i="14609"/>
  <c r="DU2" i="14609"/>
  <c r="DV2" i="14609"/>
  <c r="DW2" i="14609"/>
  <c r="DX2" i="14609"/>
  <c r="DY2" i="14609"/>
  <c r="DZ2" i="14609"/>
  <c r="EA2" i="14609"/>
  <c r="EB2" i="14609"/>
  <c r="EC2" i="14609"/>
  <c r="ED2" i="14609"/>
  <c r="EE2" i="14609"/>
  <c r="EF2" i="14609"/>
  <c r="EG2" i="14609"/>
  <c r="EH2" i="14609"/>
  <c r="EI2" i="14609"/>
  <c r="EJ2" i="14609"/>
  <c r="EK2" i="14609"/>
  <c r="EL2" i="14609"/>
  <c r="EM2" i="14609"/>
  <c r="EN2" i="14609"/>
  <c r="EO2" i="14609"/>
  <c r="EP2" i="14609"/>
  <c r="EQ2" i="14609"/>
  <c r="ER2" i="14609"/>
  <c r="ES2" i="14609"/>
  <c r="ET2" i="14609"/>
  <c r="EU2" i="14609"/>
  <c r="EV2" i="14609"/>
  <c r="EW2" i="14609"/>
  <c r="EX2" i="14609"/>
  <c r="EY2" i="14609"/>
  <c r="EZ2" i="14609"/>
  <c r="FA2" i="14609"/>
  <c r="FB2" i="14609"/>
  <c r="FC2" i="14609"/>
  <c r="FD2" i="14609"/>
  <c r="FE2" i="14609"/>
  <c r="FF2" i="14609"/>
  <c r="FG2" i="14609"/>
  <c r="FH2" i="14609"/>
  <c r="FI2" i="14609"/>
  <c r="FJ2" i="14609"/>
  <c r="FK2" i="14609"/>
  <c r="FL2" i="14609"/>
  <c r="FM2" i="14609"/>
  <c r="FN2" i="14609"/>
  <c r="FO2" i="14609"/>
  <c r="FP2" i="14609"/>
  <c r="FQ2" i="14609"/>
  <c r="FR2" i="14609"/>
  <c r="FS2" i="14609"/>
  <c r="FT2" i="14609"/>
  <c r="FU2" i="14609"/>
  <c r="FV2" i="14609"/>
  <c r="FW2" i="14609"/>
  <c r="FX2" i="14609"/>
  <c r="FY2" i="14609"/>
  <c r="FZ2" i="14609"/>
  <c r="GA2" i="14609"/>
  <c r="GB2" i="14609"/>
  <c r="GC2" i="14609"/>
  <c r="GD2" i="14609"/>
  <c r="GE2" i="14609"/>
  <c r="GF2" i="14609"/>
  <c r="GG2" i="14609"/>
  <c r="GH2" i="14609"/>
  <c r="GI2" i="14609"/>
  <c r="GJ2" i="14609"/>
  <c r="GK2" i="14609"/>
  <c r="GL2" i="14609"/>
  <c r="GM2" i="14609"/>
  <c r="GN2" i="14609"/>
  <c r="GO2" i="14609"/>
  <c r="GP2" i="14609"/>
  <c r="GQ2" i="14609"/>
  <c r="GR2" i="14609"/>
  <c r="GS2" i="14609"/>
  <c r="GT2" i="14609"/>
  <c r="GU2" i="14609"/>
  <c r="GV2" i="14609"/>
  <c r="GW2" i="14609"/>
  <c r="GX2" i="14609"/>
  <c r="GY2" i="14609"/>
  <c r="GZ2" i="14609"/>
  <c r="HA2" i="14609"/>
  <c r="HB2" i="14609"/>
  <c r="HC2" i="14609"/>
  <c r="HD2" i="14609"/>
  <c r="HE2" i="14609"/>
  <c r="HF2" i="14609"/>
  <c r="HG2" i="14609"/>
  <c r="HH2" i="14609"/>
  <c r="HI2" i="14609"/>
  <c r="HJ2" i="14609"/>
  <c r="HK2" i="14609"/>
  <c r="HL2" i="14609"/>
  <c r="HM2" i="14609"/>
  <c r="HN2" i="14609"/>
  <c r="HO2" i="14609"/>
  <c r="HP2" i="14609"/>
  <c r="HQ2" i="14609"/>
  <c r="HR2" i="14609"/>
  <c r="HS2" i="14609"/>
  <c r="HT2" i="14609"/>
  <c r="HU2" i="14609"/>
  <c r="HV2" i="14609"/>
  <c r="HW2" i="14609"/>
  <c r="HX2" i="14609"/>
  <c r="HY2" i="14609"/>
  <c r="HZ2" i="14609"/>
  <c r="IA2" i="14609"/>
  <c r="IB2" i="14609"/>
  <c r="IC2" i="14609"/>
  <c r="ID2" i="14609"/>
  <c r="IE2" i="14609"/>
  <c r="IF2" i="14609"/>
  <c r="IG2" i="14609"/>
  <c r="IH2" i="14609"/>
  <c r="II2" i="14609"/>
  <c r="IJ2" i="14609"/>
  <c r="IK2" i="14609"/>
  <c r="IL2" i="14609"/>
  <c r="IM2" i="14609"/>
  <c r="IN2" i="14609"/>
  <c r="IO2" i="14609"/>
  <c r="IP2" i="14609"/>
  <c r="IQ2" i="14609"/>
  <c r="IR2" i="14609"/>
  <c r="IS2" i="14609"/>
  <c r="IT2" i="14609"/>
  <c r="IU2" i="14609"/>
  <c r="IV2" i="14609"/>
  <c r="A1" i="14609"/>
  <c r="B1" i="14609"/>
  <c r="C1" i="14609"/>
  <c r="D1" i="14609"/>
  <c r="E1" i="14609"/>
  <c r="F1" i="14609"/>
  <c r="G1" i="14609"/>
  <c r="H1" i="14609"/>
  <c r="I1" i="14609"/>
  <c r="J1" i="14609"/>
  <c r="K1" i="14609"/>
  <c r="L1" i="14609"/>
  <c r="N1" i="14609"/>
  <c r="O1" i="14609"/>
  <c r="P1" i="14609"/>
  <c r="Q1" i="14609"/>
  <c r="R1" i="14609"/>
  <c r="S1" i="14609"/>
  <c r="T1" i="14609"/>
  <c r="U1" i="14609"/>
  <c r="V1" i="14609"/>
  <c r="W1" i="14609"/>
  <c r="X1" i="14609"/>
  <c r="Y1" i="14609"/>
  <c r="Z1" i="14609"/>
  <c r="AA1" i="14609"/>
  <c r="AB1" i="14609"/>
  <c r="AC1" i="14609"/>
  <c r="AD1" i="14609"/>
  <c r="AE1" i="14609"/>
  <c r="AF1" i="14609"/>
  <c r="AG1" i="14609"/>
  <c r="AH1" i="14609"/>
  <c r="AI1" i="14609"/>
  <c r="AJ1" i="14609"/>
  <c r="AK1" i="14609"/>
  <c r="AL1" i="14609"/>
  <c r="AM1" i="14609"/>
  <c r="AN1" i="14609"/>
  <c r="AO1" i="14609"/>
  <c r="AP1" i="14609"/>
  <c r="AQ1" i="14609"/>
  <c r="AR1" i="14609"/>
  <c r="AS1" i="14609"/>
  <c r="AT1" i="14609"/>
  <c r="AU1" i="14609"/>
  <c r="AV1" i="14609"/>
  <c r="AW1" i="14609"/>
  <c r="AX1" i="14609"/>
  <c r="AY1" i="14609"/>
  <c r="AZ1" i="14609"/>
  <c r="BA1" i="14609"/>
  <c r="BB1" i="14609"/>
  <c r="BC1" i="14609"/>
  <c r="BD1" i="14609"/>
  <c r="BE1" i="14609"/>
  <c r="BF1" i="14609"/>
  <c r="BG1" i="14609"/>
  <c r="BH1" i="14609"/>
  <c r="BI1" i="14609"/>
  <c r="BJ1" i="14609"/>
  <c r="BK1" i="14609"/>
  <c r="BL1" i="14609"/>
  <c r="BM1" i="14609"/>
  <c r="BN1" i="14609"/>
  <c r="BO1" i="14609"/>
  <c r="BP1" i="14609"/>
  <c r="BQ1" i="14609"/>
  <c r="BR1" i="14609"/>
  <c r="BS1" i="14609"/>
  <c r="BT1" i="14609"/>
  <c r="BU1" i="14609"/>
  <c r="BV1" i="14609"/>
  <c r="BW1" i="14609"/>
  <c r="BX1" i="14609"/>
  <c r="BY1" i="14609"/>
  <c r="BZ1" i="14609"/>
  <c r="CA1" i="14609"/>
  <c r="CB1" i="14609"/>
  <c r="CC1" i="14609"/>
  <c r="CD1" i="14609"/>
  <c r="CE1" i="14609"/>
  <c r="CF1" i="14609"/>
  <c r="CG1" i="14609"/>
  <c r="CH1" i="14609"/>
  <c r="CI1" i="14609"/>
  <c r="CJ1" i="14609"/>
  <c r="CK1" i="14609"/>
  <c r="CL1" i="14609"/>
  <c r="CM1" i="14609"/>
  <c r="CN1" i="14609"/>
  <c r="CO1" i="14609"/>
  <c r="CP1" i="14609"/>
  <c r="CQ1" i="14609"/>
  <c r="CR1" i="14609"/>
  <c r="CS1" i="14609"/>
  <c r="CT1" i="14609"/>
  <c r="CU1" i="14609"/>
  <c r="CV1" i="14609"/>
  <c r="CW1" i="14609"/>
  <c r="CX1" i="14609"/>
  <c r="CY1" i="14609"/>
  <c r="CZ1" i="14609"/>
  <c r="DA1" i="14609"/>
  <c r="DB1" i="14609"/>
  <c r="DC1" i="14609"/>
  <c r="DD1" i="14609"/>
  <c r="DE1" i="14609"/>
  <c r="DF1" i="14609"/>
  <c r="DG1" i="14609"/>
  <c r="DH1" i="14609"/>
  <c r="DI1" i="14609"/>
  <c r="DJ1" i="14609"/>
  <c r="DK1" i="14609"/>
  <c r="DL1" i="14609"/>
  <c r="DM1" i="14609"/>
  <c r="DN1" i="14609"/>
  <c r="DO1" i="14609"/>
  <c r="DP1" i="14609"/>
  <c r="DQ1" i="14609"/>
  <c r="DR1" i="14609"/>
  <c r="DS1" i="14609"/>
  <c r="DT1" i="14609"/>
  <c r="DU1" i="14609"/>
  <c r="DV1" i="14609"/>
  <c r="DW1" i="14609"/>
  <c r="DX1" i="14609"/>
  <c r="DY1" i="14609"/>
  <c r="DZ1" i="14609"/>
  <c r="EA1" i="14609"/>
  <c r="EB1" i="14609"/>
  <c r="EC1" i="14609"/>
  <c r="ED1" i="14609"/>
  <c r="EE1" i="14609"/>
  <c r="EF1" i="14609"/>
  <c r="EG1" i="14609"/>
  <c r="EH1" i="14609"/>
  <c r="EI1" i="14609"/>
  <c r="EJ1" i="14609"/>
  <c r="EK1" i="14609"/>
  <c r="EL1" i="14609"/>
  <c r="EM1" i="14609"/>
  <c r="EN1" i="14609"/>
  <c r="EO1" i="14609"/>
  <c r="EP1" i="14609"/>
  <c r="EQ1" i="14609"/>
  <c r="ER1" i="14609"/>
  <c r="ES1" i="14609"/>
  <c r="ET1" i="14609"/>
  <c r="EU1" i="14609"/>
  <c r="EV1" i="14609"/>
  <c r="EW1" i="14609"/>
  <c r="EX1" i="14609"/>
  <c r="EY1" i="14609"/>
  <c r="EZ1" i="14609"/>
  <c r="FA1" i="14609"/>
  <c r="FB1" i="14609"/>
  <c r="FC1" i="14609"/>
  <c r="FD1" i="14609"/>
  <c r="FE1" i="14609"/>
  <c r="FF1" i="14609"/>
  <c r="FG1" i="14609"/>
  <c r="FH1" i="14609"/>
  <c r="FI1" i="14609"/>
  <c r="FJ1" i="14609"/>
  <c r="FK1" i="14609"/>
  <c r="FL1" i="14609"/>
  <c r="FM1" i="14609"/>
  <c r="FN1" i="14609"/>
  <c r="FO1" i="14609"/>
  <c r="FP1" i="14609"/>
  <c r="FQ1" i="14609"/>
  <c r="FR1" i="14609"/>
  <c r="FS1" i="14609"/>
  <c r="FT1" i="14609"/>
  <c r="FU1" i="14609"/>
  <c r="FV1" i="14609"/>
  <c r="FW1" i="14609"/>
  <c r="FX1" i="14609"/>
  <c r="FY1" i="14609"/>
  <c r="FZ1" i="14609"/>
  <c r="GA1" i="14609"/>
  <c r="GB1" i="14609"/>
  <c r="GC1" i="14609"/>
  <c r="GD1" i="14609"/>
  <c r="GE1" i="14609"/>
  <c r="GF1" i="14609"/>
  <c r="GG1" i="14609"/>
  <c r="GH1" i="14609"/>
  <c r="GI1" i="14609"/>
  <c r="GJ1" i="14609"/>
  <c r="GK1" i="14609"/>
  <c r="GL1" i="14609"/>
  <c r="GM1" i="14609"/>
  <c r="GN1" i="14609"/>
  <c r="GO1" i="14609"/>
  <c r="GP1" i="14609"/>
  <c r="GQ1" i="14609"/>
  <c r="GR1" i="14609"/>
  <c r="GS1" i="14609"/>
  <c r="GT1" i="14609"/>
  <c r="GU1" i="14609"/>
  <c r="GV1" i="14609"/>
  <c r="GW1" i="14609"/>
  <c r="GX1" i="14609"/>
  <c r="GY1" i="14609"/>
  <c r="GZ1" i="14609"/>
  <c r="HA1" i="14609"/>
  <c r="HB1" i="14609"/>
  <c r="HC1" i="14609"/>
  <c r="HD1" i="14609"/>
  <c r="HE1" i="14609"/>
  <c r="HF1" i="14609"/>
  <c r="HG1" i="14609"/>
  <c r="HH1" i="14609"/>
  <c r="HI1" i="14609"/>
  <c r="HJ1" i="14609"/>
  <c r="HK1" i="14609"/>
  <c r="HL1" i="14609"/>
  <c r="HM1" i="14609"/>
  <c r="HN1" i="14609"/>
  <c r="HO1" i="14609"/>
  <c r="HP1" i="14609"/>
  <c r="HQ1" i="14609"/>
  <c r="HR1" i="14609"/>
  <c r="HS1" i="14609"/>
  <c r="HT1" i="14609"/>
  <c r="HU1" i="14609"/>
  <c r="HV1" i="14609"/>
  <c r="HW1" i="14609"/>
  <c r="HX1" i="14609"/>
  <c r="HY1" i="14609"/>
  <c r="HZ1" i="14609"/>
  <c r="IA1" i="14609"/>
  <c r="IB1" i="14609"/>
  <c r="IC1" i="14609"/>
  <c r="ID1" i="14609"/>
  <c r="IE1" i="14609"/>
  <c r="IF1" i="14609"/>
  <c r="IG1" i="14609"/>
  <c r="IH1" i="14609"/>
  <c r="II1" i="14609"/>
  <c r="IJ1" i="14609"/>
  <c r="IK1" i="14609"/>
  <c r="IL1" i="14609"/>
  <c r="IM1" i="14609"/>
  <c r="IN1" i="14609"/>
  <c r="IO1" i="14609"/>
  <c r="IP1" i="14609"/>
  <c r="IQ1" i="14609"/>
  <c r="IR1" i="14609"/>
  <c r="IS1" i="14609"/>
  <c r="IT1" i="14609"/>
  <c r="IU1" i="14609"/>
  <c r="IV1" i="14609"/>
  <c r="F9" i="2"/>
  <c r="EM25" i="14609" s="1"/>
  <c r="H9" i="2"/>
  <c r="EO25" i="14609" s="1"/>
  <c r="B32" i="14585"/>
  <c r="BY116" i="14609" s="1"/>
  <c r="A9" i="2"/>
  <c r="EH25" i="14609" s="1"/>
  <c r="U9" i="2"/>
  <c r="FB25" i="14609" s="1"/>
  <c r="AB9" i="2"/>
  <c r="FI25" i="14609" s="1"/>
  <c r="AD9" i="2"/>
  <c r="FK25" i="14609" s="1"/>
  <c r="O6" i="14606"/>
  <c r="GY116" i="14609" s="1"/>
  <c r="O7" i="14606"/>
  <c r="HS116" i="14609" s="1"/>
  <c r="O8" i="14606"/>
  <c r="II116" i="14609" s="1"/>
  <c r="O9" i="14606"/>
  <c r="C117" i="14609" s="1"/>
  <c r="O10" i="14606"/>
  <c r="S117" i="14609" s="1"/>
  <c r="O11" i="14606"/>
  <c r="AI117" i="14609" s="1"/>
  <c r="O12" i="14606"/>
  <c r="AY117" i="14609" s="1"/>
  <c r="O5" i="14606"/>
  <c r="GE116" i="14609" s="1"/>
  <c r="AI1" i="2"/>
  <c r="AJ20" i="14609" s="1"/>
  <c r="J10" i="9"/>
  <c r="AD3" i="14609" s="1"/>
  <c r="J11" i="9"/>
  <c r="CK3" i="14609" s="1"/>
  <c r="J12" i="9"/>
  <c r="ER3" i="14609" s="1"/>
  <c r="J13" i="9"/>
  <c r="GY3" i="14609" s="1"/>
  <c r="AS7" i="2"/>
  <c r="CF24" i="14609" s="1"/>
  <c r="AU7" i="2"/>
  <c r="CH24" i="14609" s="1"/>
  <c r="F8" i="2"/>
  <c r="HN24" i="14609" s="1"/>
  <c r="AJ7" i="2"/>
  <c r="BW24" i="14609" s="1"/>
  <c r="L22" i="9"/>
  <c r="HT5" i="14609" s="1"/>
  <c r="L23" i="9"/>
  <c r="AE6" i="14609" s="1"/>
  <c r="G3" i="2"/>
  <c r="DB21" i="14609" s="1"/>
  <c r="O9" i="2"/>
  <c r="EV25" i="14609" s="1"/>
  <c r="AA9" i="2"/>
  <c r="FH25" i="14609" s="1"/>
  <c r="AW9" i="2"/>
  <c r="GD25" i="14609" s="1"/>
  <c r="AG1" i="2"/>
  <c r="AH20" i="14609" s="1"/>
  <c r="AE9" i="2"/>
  <c r="K7" i="14600"/>
  <c r="BM113" i="14609" s="1"/>
  <c r="B6" i="14600"/>
  <c r="U113" i="14609" s="1"/>
  <c r="J2" i="14600"/>
  <c r="EO112" i="14609" s="1"/>
  <c r="B2" i="14606"/>
  <c r="DJ116" i="14609" s="1"/>
  <c r="N1" i="14606"/>
  <c r="DB116" i="14609" s="1"/>
  <c r="N13" i="14606"/>
  <c r="BN117" i="14609" s="1"/>
  <c r="O13" i="14606"/>
  <c r="BO117" i="14609" s="1"/>
  <c r="Q6" i="14606"/>
  <c r="HA116" i="14609" s="1"/>
  <c r="Q3" i="14606"/>
  <c r="ES116" i="14609" s="1"/>
  <c r="Q4" i="14606"/>
  <c r="FM116" i="14609" s="1"/>
  <c r="Q5" i="14606"/>
  <c r="GG116" i="14609" s="1"/>
  <c r="Q2" i="14606"/>
  <c r="DY116" i="14609" s="1"/>
  <c r="G9" i="2"/>
  <c r="EN25" i="14609" s="1"/>
  <c r="AK9" i="2"/>
  <c r="FR25" i="14609" s="1"/>
  <c r="AO9" i="2"/>
  <c r="FV25" i="14609" s="1"/>
  <c r="AG7" i="2"/>
  <c r="BT24" i="14609" s="1"/>
  <c r="BA1" i="2"/>
  <c r="BB20" i="14609" s="1"/>
  <c r="BM1" i="2"/>
  <c r="BN20" i="14609" s="1"/>
  <c r="BL1" i="2"/>
  <c r="BM20" i="14609" s="1"/>
  <c r="BK1" i="2"/>
  <c r="BL20" i="14609" s="1"/>
  <c r="BJ1" i="2"/>
  <c r="BK20" i="14609" s="1"/>
  <c r="BI1" i="2"/>
  <c r="BJ20" i="14609" s="1"/>
  <c r="BH1" i="2"/>
  <c r="BI20" i="14609" s="1"/>
  <c r="BG1" i="2"/>
  <c r="BH20" i="14609" s="1"/>
  <c r="BF1" i="2"/>
  <c r="BG20" i="14609" s="1"/>
  <c r="BE1" i="2"/>
  <c r="BF20" i="14609" s="1"/>
  <c r="BD1" i="2"/>
  <c r="BE20" i="14609" s="1"/>
  <c r="BC1" i="2"/>
  <c r="BD20" i="14609" s="1"/>
  <c r="BB1" i="2"/>
  <c r="BC20" i="14609" s="1"/>
  <c r="A3" i="2"/>
  <c r="CV21" i="14609" s="1"/>
  <c r="A6" i="2"/>
  <c r="DO23" i="14609" s="1"/>
  <c r="L1" i="9"/>
  <c r="M1" i="14609" s="1"/>
  <c r="C7" i="9"/>
  <c r="CX2" i="14609" s="1"/>
  <c r="F2" i="6"/>
  <c r="CH14" i="14609" s="1"/>
  <c r="AY1" i="6"/>
  <c r="AA14" i="14609" s="1"/>
  <c r="G4" i="2"/>
  <c r="AA22" i="14609" s="1"/>
  <c r="J14" i="9"/>
  <c r="J4" i="14609" s="1"/>
  <c r="J15" i="9"/>
  <c r="BQ4" i="14609" s="1"/>
  <c r="J16" i="9"/>
  <c r="DX4" i="14609" s="1"/>
  <c r="GA13" i="14609"/>
  <c r="J17" i="9"/>
  <c r="GE4" i="14609" s="1"/>
  <c r="J18" i="9"/>
  <c r="IL4" i="14609" s="1"/>
  <c r="J19" i="9"/>
  <c r="AW5" i="14609" s="1"/>
  <c r="J20" i="9"/>
  <c r="DD5" i="14609" s="1"/>
  <c r="J21" i="9"/>
  <c r="FK5" i="14609" s="1"/>
  <c r="J22" i="9"/>
  <c r="HR5" i="14609" s="1"/>
  <c r="J23" i="9"/>
  <c r="AC6" i="14609" s="1"/>
  <c r="N14" i="14606"/>
  <c r="CD117" i="14609" s="1"/>
  <c r="O14" i="14606"/>
  <c r="CE117" i="14609" s="1"/>
  <c r="AX9" i="2"/>
  <c r="GE25" i="14609" s="1"/>
  <c r="AN9" i="2"/>
  <c r="FU25" i="14609" s="1"/>
  <c r="G8" i="2"/>
  <c r="HO24" i="14609" s="1"/>
  <c r="AL9" i="2"/>
  <c r="FS25" i="14609" s="1"/>
  <c r="V9" i="2"/>
  <c r="FC25" i="14609" s="1"/>
  <c r="AM9" i="2"/>
  <c r="FT25" i="14609" s="1"/>
  <c r="A10" i="14606"/>
  <c r="E117" i="14609" s="1"/>
  <c r="N15" i="14606"/>
  <c r="CT117" i="14609" s="1"/>
  <c r="A7" i="14606"/>
  <c r="HE116" i="14609" s="1"/>
  <c r="A12" i="14606"/>
  <c r="AK117" i="14609" s="1"/>
  <c r="B5" i="14606"/>
  <c r="FR116" i="14609" s="1"/>
  <c r="C5" i="14606"/>
  <c r="FS116" i="14609" s="1"/>
  <c r="A13" i="14606"/>
  <c r="BA117" i="14609" s="1"/>
  <c r="AC9" i="2"/>
  <c r="FJ25" i="14609" s="1"/>
  <c r="A6" i="14606"/>
  <c r="GK116" i="14609" s="1"/>
  <c r="A9" i="14606"/>
  <c r="IK116" i="14609" s="1"/>
  <c r="B9" i="14606"/>
  <c r="IL116" i="14609" s="1"/>
  <c r="C9" i="14606"/>
  <c r="IM116" i="14609" s="1"/>
  <c r="A14" i="14606"/>
  <c r="BQ117" i="14609" s="1"/>
  <c r="A4" i="14606"/>
  <c r="EW116" i="14609" s="1"/>
  <c r="A11" i="14606"/>
  <c r="U117" i="14609" s="1"/>
  <c r="A8" i="14606"/>
  <c r="HU116" i="14609" s="1"/>
  <c r="N16" i="14606"/>
  <c r="DJ117" i="14609" s="1"/>
  <c r="O16" i="14606"/>
  <c r="DK117" i="14609" s="1"/>
  <c r="O15" i="14606"/>
  <c r="CU117" i="14609" s="1"/>
  <c r="A15" i="14606"/>
  <c r="CG117" i="14609" s="1"/>
  <c r="B15" i="14606"/>
  <c r="CH117" i="14609" s="1"/>
  <c r="C15" i="14606"/>
  <c r="CI117" i="14609" s="1"/>
  <c r="AS27" i="14609"/>
  <c r="B8" i="14606"/>
  <c r="HV116" i="14609" s="1"/>
  <c r="B14" i="14606"/>
  <c r="BR117" i="14609" s="1"/>
  <c r="C14" i="14606"/>
  <c r="BS117" i="14609" s="1"/>
  <c r="B13" i="14606"/>
  <c r="BB117" i="14609" s="1"/>
  <c r="C13" i="14606"/>
  <c r="BC117" i="14609" s="1"/>
  <c r="D13" i="14606"/>
  <c r="BD117" i="14609" s="1"/>
  <c r="B10" i="14606"/>
  <c r="F117" i="14609" s="1"/>
  <c r="C10" i="14606"/>
  <c r="G117" i="14609" s="1"/>
  <c r="D10" i="14606"/>
  <c r="H117" i="14609" s="1"/>
  <c r="D117" i="14609"/>
  <c r="B11" i="14606"/>
  <c r="V117" i="14609" s="1"/>
  <c r="B6" i="14606"/>
  <c r="GL116" i="14609" s="1"/>
  <c r="C6" i="14606"/>
  <c r="GM116" i="14609" s="1"/>
  <c r="B12" i="14606"/>
  <c r="AL117" i="14609" s="1"/>
  <c r="C12" i="14606"/>
  <c r="AM117" i="14609" s="1"/>
  <c r="B4" i="14606"/>
  <c r="EX116" i="14609" s="1"/>
  <c r="C4" i="14606"/>
  <c r="EY116" i="14609" s="1"/>
  <c r="B7" i="14606"/>
  <c r="HF116" i="14609" s="1"/>
  <c r="C7" i="14606"/>
  <c r="HG116" i="14609" s="1"/>
  <c r="AQ9" i="2"/>
  <c r="FX25" i="14609" s="1"/>
  <c r="AG9" i="2"/>
  <c r="FN25" i="14609" s="1"/>
  <c r="N17" i="14606"/>
  <c r="DZ117" i="14609" s="1"/>
  <c r="O17" i="14606"/>
  <c r="EA117" i="14609" s="1"/>
  <c r="A16" i="14606"/>
  <c r="CW117" i="14609" s="1"/>
  <c r="D9" i="14606"/>
  <c r="IN116" i="14609" s="1"/>
  <c r="E9" i="14606"/>
  <c r="IO116" i="14609" s="1"/>
  <c r="F9" i="14606"/>
  <c r="IP116" i="14609" s="1"/>
  <c r="D5" i="14606"/>
  <c r="FT116" i="14609" s="1"/>
  <c r="D12" i="14606"/>
  <c r="AN117" i="14609" s="1"/>
  <c r="E12" i="14606"/>
  <c r="AO117" i="14609" s="1"/>
  <c r="F12" i="14606"/>
  <c r="AP117" i="14609" s="1"/>
  <c r="G12" i="14606"/>
  <c r="AQ117" i="14609" s="1"/>
  <c r="E13" i="14606"/>
  <c r="BE117" i="14609" s="1"/>
  <c r="F13" i="14606"/>
  <c r="BF117" i="14609" s="1"/>
  <c r="G13" i="14606"/>
  <c r="BG117" i="14609" s="1"/>
  <c r="H13" i="14606"/>
  <c r="BH117" i="14609" s="1"/>
  <c r="D14" i="14606"/>
  <c r="BT117" i="14609" s="1"/>
  <c r="E14" i="14606"/>
  <c r="BU117" i="14609" s="1"/>
  <c r="F14" i="14606"/>
  <c r="BV117" i="14609" s="1"/>
  <c r="D7" i="14606"/>
  <c r="HH116" i="14609" s="1"/>
  <c r="E7" i="14606"/>
  <c r="HI116" i="14609" s="1"/>
  <c r="D6" i="14606"/>
  <c r="GN116" i="14609" s="1"/>
  <c r="E6" i="14606"/>
  <c r="GO116" i="14609" s="1"/>
  <c r="E10" i="14606"/>
  <c r="I117" i="14609" s="1"/>
  <c r="F10" i="14606"/>
  <c r="J117" i="14609" s="1"/>
  <c r="D4" i="14606"/>
  <c r="EZ116" i="14609" s="1"/>
  <c r="E4" i="14606"/>
  <c r="FA116" i="14609" s="1"/>
  <c r="C8" i="14606"/>
  <c r="HW116" i="14609" s="1"/>
  <c r="D8" i="14606"/>
  <c r="HX116" i="14609" s="1"/>
  <c r="E8" i="14606"/>
  <c r="HY116" i="14609" s="1"/>
  <c r="C11" i="14606"/>
  <c r="W117" i="14609" s="1"/>
  <c r="F7" i="14606"/>
  <c r="HJ116" i="14609" s="1"/>
  <c r="A17" i="14606"/>
  <c r="DM117" i="14609" s="1"/>
  <c r="N18" i="14606"/>
  <c r="EP117" i="14609" s="1"/>
  <c r="O18" i="14606"/>
  <c r="EQ117" i="14609" s="1"/>
  <c r="G9" i="14606"/>
  <c r="IQ116" i="14609" s="1"/>
  <c r="H9" i="14606"/>
  <c r="IR116" i="14609" s="1"/>
  <c r="D15" i="14606"/>
  <c r="CJ117" i="14609" s="1"/>
  <c r="E15" i="14606"/>
  <c r="CK117" i="14609" s="1"/>
  <c r="E5" i="14606"/>
  <c r="FU116" i="14609" s="1"/>
  <c r="B16" i="14606"/>
  <c r="CX117" i="14609" s="1"/>
  <c r="H12" i="14606"/>
  <c r="AR117" i="14609" s="1"/>
  <c r="G10" i="14606"/>
  <c r="K117" i="14609" s="1"/>
  <c r="H10" i="14606"/>
  <c r="L117" i="14609" s="1"/>
  <c r="I10" i="14606"/>
  <c r="M117" i="14609" s="1"/>
  <c r="F4" i="14606"/>
  <c r="FB116" i="14609" s="1"/>
  <c r="G4" i="14606"/>
  <c r="FC116" i="14609" s="1"/>
  <c r="H4" i="14606"/>
  <c r="FD116" i="14609" s="1"/>
  <c r="F6" i="14606"/>
  <c r="GP116" i="14609" s="1"/>
  <c r="G6" i="14606"/>
  <c r="GQ116" i="14609" s="1"/>
  <c r="H6" i="14606"/>
  <c r="GR116" i="14609" s="1"/>
  <c r="G14" i="14606"/>
  <c r="BW117" i="14609" s="1"/>
  <c r="H14" i="14606"/>
  <c r="BX117" i="14609" s="1"/>
  <c r="D11" i="14606"/>
  <c r="X117" i="14609" s="1"/>
  <c r="G7" i="14606"/>
  <c r="HK116" i="14609" s="1"/>
  <c r="F5" i="14606"/>
  <c r="FV116" i="14609" s="1"/>
  <c r="A18" i="14606"/>
  <c r="EC117" i="14609" s="1"/>
  <c r="N19" i="14606"/>
  <c r="FF117" i="14609" s="1"/>
  <c r="O19" i="14606"/>
  <c r="FG117" i="14609" s="1"/>
  <c r="I9" i="14606"/>
  <c r="IS116" i="14609" s="1"/>
  <c r="C16" i="14606"/>
  <c r="CY117" i="14609" s="1"/>
  <c r="F8" i="14606"/>
  <c r="HZ116" i="14609" s="1"/>
  <c r="G8" i="14606"/>
  <c r="IA116" i="14609" s="1"/>
  <c r="I12" i="14606"/>
  <c r="AS117" i="14609" s="1"/>
  <c r="J12" i="14606"/>
  <c r="AT117" i="14609" s="1"/>
  <c r="B17" i="14606"/>
  <c r="DN117" i="14609" s="1"/>
  <c r="C17" i="14606"/>
  <c r="DO117" i="14609" s="1"/>
  <c r="I13" i="14606"/>
  <c r="BI117" i="14609" s="1"/>
  <c r="F15" i="14606"/>
  <c r="CL117" i="14609" s="1"/>
  <c r="I6" i="14606"/>
  <c r="GS116" i="14609" s="1"/>
  <c r="I4" i="14606"/>
  <c r="FE116" i="14609" s="1"/>
  <c r="J4" i="14606"/>
  <c r="FF116" i="14609" s="1"/>
  <c r="P4" i="14606"/>
  <c r="FL116" i="14609" s="1"/>
  <c r="K12" i="14606"/>
  <c r="AU117" i="14609" s="1"/>
  <c r="L12" i="14606"/>
  <c r="AV117" i="14609" s="1"/>
  <c r="J13" i="14606"/>
  <c r="BJ117" i="14609" s="1"/>
  <c r="K13" i="14606"/>
  <c r="BK117" i="14609" s="1"/>
  <c r="H7" i="14606"/>
  <c r="HL116" i="14609" s="1"/>
  <c r="I14" i="14606"/>
  <c r="BY117" i="14609" s="1"/>
  <c r="J14" i="14606"/>
  <c r="BZ117" i="14609" s="1"/>
  <c r="J9" i="14606"/>
  <c r="IT116" i="14609" s="1"/>
  <c r="E11" i="14606"/>
  <c r="Y117" i="14609" s="1"/>
  <c r="J10" i="14606"/>
  <c r="N117" i="14609" s="1"/>
  <c r="B18" i="14606"/>
  <c r="ED117" i="14609" s="1"/>
  <c r="C18" i="14606"/>
  <c r="EE117" i="14609" s="1"/>
  <c r="G15" i="14606"/>
  <c r="CM117" i="14609" s="1"/>
  <c r="D17" i="14606"/>
  <c r="DP117" i="14609" s="1"/>
  <c r="H8" i="14606"/>
  <c r="IB116" i="14609" s="1"/>
  <c r="I8" i="14606"/>
  <c r="IC116" i="14609" s="1"/>
  <c r="J8" i="14606"/>
  <c r="ID116" i="14609" s="1"/>
  <c r="A19" i="14606"/>
  <c r="ES117" i="14609" s="1"/>
  <c r="N20" i="14606"/>
  <c r="FV117" i="14609" s="1"/>
  <c r="O20" i="14606"/>
  <c r="FW117" i="14609" s="1"/>
  <c r="G5" i="14606"/>
  <c r="FW116" i="14609" s="1"/>
  <c r="H5" i="14606"/>
  <c r="FX116" i="14609" s="1"/>
  <c r="D16" i="14606"/>
  <c r="CZ117" i="14609" s="1"/>
  <c r="L12" i="14600"/>
  <c r="IG113" i="14609" s="1"/>
  <c r="N12" i="14600"/>
  <c r="II113" i="14609" s="1"/>
  <c r="O12" i="14600"/>
  <c r="IJ113" i="14609" s="1"/>
  <c r="O10" i="14600"/>
  <c r="FR113" i="14609" s="1"/>
  <c r="L10" i="14600"/>
  <c r="FO113" i="14609" s="1"/>
  <c r="N10" i="14600"/>
  <c r="FQ113" i="14609" s="1"/>
  <c r="L11" i="14600"/>
  <c r="GX113" i="14609" s="1"/>
  <c r="N11" i="14600"/>
  <c r="GZ113" i="14609" s="1"/>
  <c r="O11" i="14600"/>
  <c r="HA113" i="14609" s="1"/>
  <c r="L13" i="14600"/>
  <c r="T114" i="14609" s="1"/>
  <c r="O13" i="14600"/>
  <c r="W114" i="14609" s="1"/>
  <c r="N13" i="14600"/>
  <c r="V114" i="14609" s="1"/>
  <c r="L14" i="14600"/>
  <c r="BC114" i="14609" s="1"/>
  <c r="O14" i="14600"/>
  <c r="BF114" i="14609" s="1"/>
  <c r="N14" i="14600"/>
  <c r="BE114" i="14609" s="1"/>
  <c r="K4" i="14606"/>
  <c r="FG116" i="14609" s="1"/>
  <c r="L4" i="14606"/>
  <c r="FH116" i="14609" s="1"/>
  <c r="J6" i="14606"/>
  <c r="GT116" i="14609" s="1"/>
  <c r="K6" i="14606"/>
  <c r="GU116" i="14609" s="1"/>
  <c r="K14" i="14606"/>
  <c r="CA117" i="14609" s="1"/>
  <c r="L14" i="14606"/>
  <c r="CB117" i="14609" s="1"/>
  <c r="K8" i="14606"/>
  <c r="IE116" i="14609" s="1"/>
  <c r="L8" i="14606"/>
  <c r="IF116" i="14609" s="1"/>
  <c r="I7" i="14606"/>
  <c r="HM116" i="14609" s="1"/>
  <c r="J7" i="14606"/>
  <c r="HN116" i="14609" s="1"/>
  <c r="F11" i="14606"/>
  <c r="Z117" i="14609" s="1"/>
  <c r="K9" i="14606"/>
  <c r="IU116" i="14609" s="1"/>
  <c r="L9" i="14606"/>
  <c r="IV116" i="14609" s="1"/>
  <c r="L13" i="14606"/>
  <c r="BL117" i="14609" s="1"/>
  <c r="K10" i="14606"/>
  <c r="O117" i="14609" s="1"/>
  <c r="L10" i="14606"/>
  <c r="P117" i="14609" s="1"/>
  <c r="E16" i="14606"/>
  <c r="DA117" i="14609" s="1"/>
  <c r="F16" i="14606"/>
  <c r="DB117" i="14609" s="1"/>
  <c r="G16" i="14606"/>
  <c r="DC117" i="14609" s="1"/>
  <c r="H16" i="14606"/>
  <c r="DD117" i="14609" s="1"/>
  <c r="B19" i="14606"/>
  <c r="ET117" i="14609" s="1"/>
  <c r="C19" i="14606"/>
  <c r="EU117" i="14609" s="1"/>
  <c r="H15" i="14606"/>
  <c r="CN117" i="14609" s="1"/>
  <c r="I5" i="14606"/>
  <c r="FY116" i="14609" s="1"/>
  <c r="J5" i="14606"/>
  <c r="FZ116" i="14609" s="1"/>
  <c r="D18" i="14606"/>
  <c r="EF117" i="14609" s="1"/>
  <c r="E17" i="14606"/>
  <c r="DQ117" i="14609" s="1"/>
  <c r="A20" i="14606"/>
  <c r="FI117" i="14609" s="1"/>
  <c r="N21" i="14606"/>
  <c r="GL117" i="14609" s="1"/>
  <c r="O21" i="14606"/>
  <c r="GM117" i="14609" s="1"/>
  <c r="K5" i="14606"/>
  <c r="GA116" i="14609" s="1"/>
  <c r="L5" i="14606"/>
  <c r="GB116" i="14609" s="1"/>
  <c r="L6" i="14606"/>
  <c r="GV116" i="14609" s="1"/>
  <c r="G11" i="14606"/>
  <c r="AA117" i="14609" s="1"/>
  <c r="H11" i="14606"/>
  <c r="AB117" i="14609" s="1"/>
  <c r="K7" i="14606"/>
  <c r="HO116" i="14609" s="1"/>
  <c r="L7" i="14606"/>
  <c r="HP116" i="14609" s="1"/>
  <c r="I16" i="14606"/>
  <c r="DE117" i="14609" s="1"/>
  <c r="J16" i="14606"/>
  <c r="DF117" i="14609" s="1"/>
  <c r="F17" i="14606"/>
  <c r="DR117" i="14609" s="1"/>
  <c r="G17" i="14606"/>
  <c r="DS117" i="14609" s="1"/>
  <c r="H17" i="14606"/>
  <c r="DT117" i="14609" s="1"/>
  <c r="B20" i="14606"/>
  <c r="FJ117" i="14609" s="1"/>
  <c r="C20" i="14606"/>
  <c r="FK117" i="14609" s="1"/>
  <c r="E18" i="14606"/>
  <c r="EG117" i="14609" s="1"/>
  <c r="F18" i="14606"/>
  <c r="EH117" i="14609" s="1"/>
  <c r="G18" i="14606"/>
  <c r="EI117" i="14609" s="1"/>
  <c r="D19" i="14606"/>
  <c r="EV117" i="14609" s="1"/>
  <c r="E19" i="14606"/>
  <c r="EW117" i="14609" s="1"/>
  <c r="I15" i="14606"/>
  <c r="CO117" i="14609" s="1"/>
  <c r="A21" i="14606"/>
  <c r="FY117" i="14609" s="1"/>
  <c r="N22" i="14606"/>
  <c r="HB117" i="14609" s="1"/>
  <c r="O22" i="14606"/>
  <c r="HC117" i="14609" s="1"/>
  <c r="J15" i="14606"/>
  <c r="CP117" i="14609" s="1"/>
  <c r="K15" i="14606"/>
  <c r="CQ117" i="14609" s="1"/>
  <c r="L15" i="14606"/>
  <c r="CR117" i="14609" s="1"/>
  <c r="K16" i="14606"/>
  <c r="DG117" i="14609" s="1"/>
  <c r="L16" i="14606"/>
  <c r="DH117" i="14609" s="1"/>
  <c r="I11" i="14606"/>
  <c r="AC117" i="14609" s="1"/>
  <c r="J11" i="14606"/>
  <c r="AD117" i="14609" s="1"/>
  <c r="H18" i="14606"/>
  <c r="EJ117" i="14609" s="1"/>
  <c r="I18" i="14606"/>
  <c r="EK117" i="14609" s="1"/>
  <c r="J18" i="14606"/>
  <c r="EL117" i="14609" s="1"/>
  <c r="I17" i="14606"/>
  <c r="DU117" i="14609" s="1"/>
  <c r="J17" i="14606"/>
  <c r="DV117" i="14609" s="1"/>
  <c r="B21" i="14606"/>
  <c r="FZ117" i="14609" s="1"/>
  <c r="C21" i="14606"/>
  <c r="GA117" i="14609" s="1"/>
  <c r="A22" i="14606"/>
  <c r="GO117" i="14609" s="1"/>
  <c r="N23" i="14606"/>
  <c r="HR117" i="14609" s="1"/>
  <c r="O23" i="14606"/>
  <c r="HS117" i="14609" s="1"/>
  <c r="F19" i="14606"/>
  <c r="EX117" i="14609" s="1"/>
  <c r="D20" i="14606"/>
  <c r="FL117" i="14609" s="1"/>
  <c r="K11" i="14606"/>
  <c r="AE117" i="14609" s="1"/>
  <c r="L11" i="14606"/>
  <c r="AF117" i="14609" s="1"/>
  <c r="K18" i="14606"/>
  <c r="EM117" i="14609" s="1"/>
  <c r="L18" i="14606"/>
  <c r="EN117" i="14609" s="1"/>
  <c r="K17" i="14606"/>
  <c r="DW117" i="14609" s="1"/>
  <c r="L17" i="14606"/>
  <c r="DX117" i="14609" s="1"/>
  <c r="D21" i="14606"/>
  <c r="GB117" i="14609" s="1"/>
  <c r="A23" i="14606"/>
  <c r="HE117" i="14609" s="1"/>
  <c r="N24" i="14606"/>
  <c r="IH117" i="14609" s="1"/>
  <c r="O24" i="14606"/>
  <c r="II117" i="14609" s="1"/>
  <c r="G19" i="14606"/>
  <c r="EY117" i="14609" s="1"/>
  <c r="E20" i="14606"/>
  <c r="FM117" i="14609" s="1"/>
  <c r="B22" i="14606"/>
  <c r="GP117" i="14609" s="1"/>
  <c r="E21" i="14606"/>
  <c r="GC117" i="14609" s="1"/>
  <c r="F21" i="14606"/>
  <c r="GD117" i="14609" s="1"/>
  <c r="A24" i="14606"/>
  <c r="HU117" i="14609" s="1"/>
  <c r="N25" i="14606"/>
  <c r="B118" i="14609" s="1"/>
  <c r="O25" i="14606"/>
  <c r="C118" i="14609" s="1"/>
  <c r="B23" i="14606"/>
  <c r="HF117" i="14609" s="1"/>
  <c r="C23" i="14606"/>
  <c r="HG117" i="14609" s="1"/>
  <c r="C22" i="14606"/>
  <c r="GQ117" i="14609" s="1"/>
  <c r="H19" i="14606"/>
  <c r="EZ117" i="14609" s="1"/>
  <c r="I19" i="14606"/>
  <c r="FA117" i="14609" s="1"/>
  <c r="F20" i="14606"/>
  <c r="FN117" i="14609" s="1"/>
  <c r="G21" i="14606"/>
  <c r="GE117" i="14609" s="1"/>
  <c r="H21" i="14606"/>
  <c r="GF117" i="14609" s="1"/>
  <c r="I21" i="14606"/>
  <c r="GG117" i="14609" s="1"/>
  <c r="G20" i="14606"/>
  <c r="FO117" i="14609" s="1"/>
  <c r="H20" i="14606"/>
  <c r="FP117" i="14609" s="1"/>
  <c r="I20" i="14606"/>
  <c r="FQ117" i="14609" s="1"/>
  <c r="B24" i="14606"/>
  <c r="HV117" i="14609" s="1"/>
  <c r="C24" i="14606"/>
  <c r="HW117" i="14609" s="1"/>
  <c r="D24" i="14606"/>
  <c r="HX117" i="14609" s="1"/>
  <c r="E24" i="14606"/>
  <c r="HY117" i="14609" s="1"/>
  <c r="D22" i="14606"/>
  <c r="GR117" i="14609" s="1"/>
  <c r="A25" i="14606"/>
  <c r="IK117" i="14609" s="1"/>
  <c r="N26" i="14606"/>
  <c r="R118" i="14609" s="1"/>
  <c r="O26" i="14606"/>
  <c r="S118" i="14609" s="1"/>
  <c r="J19" i="14606"/>
  <c r="FB117" i="14609" s="1"/>
  <c r="D23" i="14606"/>
  <c r="HH117" i="14609" s="1"/>
  <c r="J21" i="14606"/>
  <c r="GH117" i="14609" s="1"/>
  <c r="K21" i="14606"/>
  <c r="GI117" i="14609" s="1"/>
  <c r="L21" i="14606"/>
  <c r="GJ117" i="14609" s="1"/>
  <c r="E23" i="14606"/>
  <c r="HI117" i="14609" s="1"/>
  <c r="F23" i="14606"/>
  <c r="HJ117" i="14609" s="1"/>
  <c r="K19" i="14606"/>
  <c r="FC117" i="14609" s="1"/>
  <c r="L19" i="14606"/>
  <c r="FD117" i="14609" s="1"/>
  <c r="B25" i="14606"/>
  <c r="IL117" i="14609" s="1"/>
  <c r="C25" i="14606"/>
  <c r="IM117" i="14609" s="1"/>
  <c r="N27" i="14606"/>
  <c r="AH118" i="14609" s="1"/>
  <c r="O27" i="14606"/>
  <c r="AI118" i="14609" s="1"/>
  <c r="A26" i="14606"/>
  <c r="E118" i="14609" s="1"/>
  <c r="J20" i="14606"/>
  <c r="FR117" i="14609" s="1"/>
  <c r="K20" i="14606"/>
  <c r="FS117" i="14609" s="1"/>
  <c r="F24" i="14606"/>
  <c r="HZ117" i="14609" s="1"/>
  <c r="E22" i="14606"/>
  <c r="GS117" i="14609" s="1"/>
  <c r="L20" i="14606"/>
  <c r="FT117" i="14609" s="1"/>
  <c r="G24" i="14606"/>
  <c r="IA117" i="14609" s="1"/>
  <c r="H24" i="14606"/>
  <c r="IB117" i="14609" s="1"/>
  <c r="F22" i="14606"/>
  <c r="GT117" i="14609" s="1"/>
  <c r="G22" i="14606"/>
  <c r="GU117" i="14609" s="1"/>
  <c r="A27" i="14606"/>
  <c r="U118" i="14609" s="1"/>
  <c r="N28" i="14606"/>
  <c r="AX118" i="14609" s="1"/>
  <c r="O28" i="14606"/>
  <c r="AY118" i="14609" s="1"/>
  <c r="B26" i="14606"/>
  <c r="F118" i="14609" s="1"/>
  <c r="D25" i="14606"/>
  <c r="IN117" i="14609" s="1"/>
  <c r="G23" i="14606"/>
  <c r="HK117" i="14609" s="1"/>
  <c r="I24" i="14606"/>
  <c r="IC117" i="14609" s="1"/>
  <c r="H22" i="14606"/>
  <c r="GV117" i="14609" s="1"/>
  <c r="B27" i="14606"/>
  <c r="V118" i="14609" s="1"/>
  <c r="A28" i="14606"/>
  <c r="AK118" i="14609" s="1"/>
  <c r="N29" i="14606"/>
  <c r="BN118" i="14609" s="1"/>
  <c r="O29" i="14606"/>
  <c r="BO118" i="14609" s="1"/>
  <c r="H23" i="14606"/>
  <c r="HL117" i="14609" s="1"/>
  <c r="I23" i="14606"/>
  <c r="HM117" i="14609" s="1"/>
  <c r="C26" i="14606"/>
  <c r="G118" i="14609" s="1"/>
  <c r="E25" i="14606"/>
  <c r="IO117" i="14609" s="1"/>
  <c r="J24" i="14606"/>
  <c r="ID117" i="14609" s="1"/>
  <c r="I22" i="14606"/>
  <c r="GW117" i="14609" s="1"/>
  <c r="A29" i="14606"/>
  <c r="BA118" i="14609" s="1"/>
  <c r="N30" i="14606"/>
  <c r="CD118" i="14609" s="1"/>
  <c r="O30" i="14606"/>
  <c r="CE118" i="14609" s="1"/>
  <c r="B28" i="14606"/>
  <c r="AL118" i="14609" s="1"/>
  <c r="C28" i="14606"/>
  <c r="AM118" i="14609" s="1"/>
  <c r="C27" i="14606"/>
  <c r="W118" i="14609" s="1"/>
  <c r="J23" i="14606"/>
  <c r="HN117" i="14609" s="1"/>
  <c r="F25" i="14606"/>
  <c r="IP117" i="14609" s="1"/>
  <c r="D26" i="14606"/>
  <c r="H118" i="14609" s="1"/>
  <c r="D118" i="14609"/>
  <c r="K24" i="14606"/>
  <c r="IE117" i="14609" s="1"/>
  <c r="L24" i="14606"/>
  <c r="IF117" i="14609" s="1"/>
  <c r="K23" i="14606"/>
  <c r="HO117" i="14609" s="1"/>
  <c r="L23" i="14606"/>
  <c r="HP117" i="14609" s="1"/>
  <c r="J22" i="14606"/>
  <c r="GX117" i="14609" s="1"/>
  <c r="K22" i="14606"/>
  <c r="GY117" i="14609" s="1"/>
  <c r="L22" i="14606"/>
  <c r="GZ117" i="14609" s="1"/>
  <c r="A30" i="14606"/>
  <c r="BQ118" i="14609" s="1"/>
  <c r="N31" i="14606"/>
  <c r="CT118" i="14609" s="1"/>
  <c r="O31" i="14606"/>
  <c r="CU118" i="14609" s="1"/>
  <c r="B29" i="14606"/>
  <c r="BB118" i="14609" s="1"/>
  <c r="C29" i="14606"/>
  <c r="BC118" i="14609" s="1"/>
  <c r="D29" i="14606"/>
  <c r="BD118" i="14609" s="1"/>
  <c r="D27" i="14606"/>
  <c r="X118" i="14609" s="1"/>
  <c r="E26" i="14606"/>
  <c r="I118" i="14609" s="1"/>
  <c r="D28" i="14606"/>
  <c r="AN118" i="14609" s="1"/>
  <c r="G25" i="14606"/>
  <c r="IQ117" i="14609" s="1"/>
  <c r="H25" i="14606"/>
  <c r="IR117" i="14609" s="1"/>
  <c r="I25" i="14606"/>
  <c r="IS117" i="14609" s="1"/>
  <c r="F26" i="14606"/>
  <c r="J118" i="14609" s="1"/>
  <c r="G26" i="14606"/>
  <c r="K118" i="14609" s="1"/>
  <c r="H26" i="14606"/>
  <c r="L118" i="14609" s="1"/>
  <c r="I26" i="14606"/>
  <c r="M118" i="14609" s="1"/>
  <c r="E27" i="14606"/>
  <c r="Y118" i="14609" s="1"/>
  <c r="F27" i="14606"/>
  <c r="Z118" i="14609" s="1"/>
  <c r="G27" i="14606"/>
  <c r="AA118" i="14609" s="1"/>
  <c r="E28" i="14606"/>
  <c r="AO118" i="14609" s="1"/>
  <c r="E29" i="14606"/>
  <c r="BE118" i="14609" s="1"/>
  <c r="F29" i="14606"/>
  <c r="BF118" i="14609" s="1"/>
  <c r="G29" i="14606"/>
  <c r="BG118" i="14609" s="1"/>
  <c r="H29" i="14606"/>
  <c r="BH118" i="14609" s="1"/>
  <c r="B30" i="14606"/>
  <c r="BR118" i="14609" s="1"/>
  <c r="A31" i="14606"/>
  <c r="CG118" i="14609" s="1"/>
  <c r="N32" i="14606"/>
  <c r="DJ118" i="14609" s="1"/>
  <c r="O32" i="14606"/>
  <c r="DK118" i="14609" s="1"/>
  <c r="J25" i="14606"/>
  <c r="IT117" i="14609" s="1"/>
  <c r="K25" i="14606"/>
  <c r="IU117" i="14609" s="1"/>
  <c r="L25" i="14606"/>
  <c r="IV117" i="14609" s="1"/>
  <c r="F28" i="14606"/>
  <c r="AP118" i="14609" s="1"/>
  <c r="G28" i="14606"/>
  <c r="AQ118" i="14609" s="1"/>
  <c r="H28" i="14606"/>
  <c r="AR118" i="14609" s="1"/>
  <c r="I28" i="14606"/>
  <c r="AS118" i="14609" s="1"/>
  <c r="J28" i="14606"/>
  <c r="AT118" i="14609" s="1"/>
  <c r="C30" i="14606"/>
  <c r="BS118" i="14609" s="1"/>
  <c r="D30" i="14606"/>
  <c r="BT118" i="14609" s="1"/>
  <c r="N33" i="14606"/>
  <c r="DZ118" i="14609" s="1"/>
  <c r="O33" i="14606"/>
  <c r="EA118" i="14609" s="1"/>
  <c r="A32" i="14606"/>
  <c r="CW118" i="14609" s="1"/>
  <c r="H27" i="14606"/>
  <c r="AB118" i="14609" s="1"/>
  <c r="B31" i="14606"/>
  <c r="CH118" i="14609" s="1"/>
  <c r="C31" i="14606"/>
  <c r="CI118" i="14609" s="1"/>
  <c r="I29" i="14606"/>
  <c r="BI118" i="14609" s="1"/>
  <c r="J29" i="14606"/>
  <c r="BJ118" i="14609" s="1"/>
  <c r="J26" i="14606"/>
  <c r="N118" i="14609" s="1"/>
  <c r="K29" i="14606"/>
  <c r="BK118" i="14609" s="1"/>
  <c r="L29" i="14606"/>
  <c r="BL118" i="14609" s="1"/>
  <c r="K28" i="14606"/>
  <c r="AU118" i="14609" s="1"/>
  <c r="L28" i="14606"/>
  <c r="AV118" i="14609" s="1"/>
  <c r="K26" i="14606"/>
  <c r="O118" i="14609" s="1"/>
  <c r="L26" i="14606"/>
  <c r="P118" i="14609" s="1"/>
  <c r="I27" i="14606"/>
  <c r="AC118" i="14609" s="1"/>
  <c r="J27" i="14606"/>
  <c r="AD118" i="14609" s="1"/>
  <c r="D31" i="14606"/>
  <c r="CJ118" i="14609" s="1"/>
  <c r="E30" i="14606"/>
  <c r="BU118" i="14609" s="1"/>
  <c r="F30" i="14606"/>
  <c r="BV118" i="14609" s="1"/>
  <c r="G30" i="14606"/>
  <c r="BW118" i="14609" s="1"/>
  <c r="B32" i="14606"/>
  <c r="CX118" i="14609" s="1"/>
  <c r="A33" i="14606"/>
  <c r="DM118" i="14609" s="1"/>
  <c r="N34" i="14606"/>
  <c r="EP118" i="14609" s="1"/>
  <c r="O34" i="14606"/>
  <c r="EQ118" i="14609" s="1"/>
  <c r="K27" i="14606"/>
  <c r="AE118" i="14609" s="1"/>
  <c r="L27" i="14606"/>
  <c r="AF118" i="14609" s="1"/>
  <c r="E31" i="14606"/>
  <c r="CK118" i="14609" s="1"/>
  <c r="A34" i="14606"/>
  <c r="EC118" i="14609" s="1"/>
  <c r="N35" i="14606"/>
  <c r="FF118" i="14609" s="1"/>
  <c r="O35" i="14606"/>
  <c r="FG118" i="14609" s="1"/>
  <c r="H30" i="14606"/>
  <c r="BX118" i="14609" s="1"/>
  <c r="B33" i="14606"/>
  <c r="DN118" i="14609" s="1"/>
  <c r="C32" i="14606"/>
  <c r="CY118" i="14609" s="1"/>
  <c r="F31" i="14606"/>
  <c r="CL118" i="14609" s="1"/>
  <c r="G31" i="14606"/>
  <c r="CM118" i="14609" s="1"/>
  <c r="I30" i="14606"/>
  <c r="BY118" i="14609" s="1"/>
  <c r="J30" i="14606"/>
  <c r="BZ118" i="14609" s="1"/>
  <c r="A35" i="14606"/>
  <c r="ES118" i="14609" s="1"/>
  <c r="N36" i="14606"/>
  <c r="FV118" i="14609" s="1"/>
  <c r="O36" i="14606"/>
  <c r="FW118" i="14609" s="1"/>
  <c r="B34" i="14606"/>
  <c r="ED118" i="14609" s="1"/>
  <c r="C33" i="14606"/>
  <c r="DO118" i="14609" s="1"/>
  <c r="D32" i="14606"/>
  <c r="CZ118" i="14609" s="1"/>
  <c r="K30" i="14606"/>
  <c r="CA118" i="14609" s="1"/>
  <c r="L30" i="14606"/>
  <c r="CB118" i="14609" s="1"/>
  <c r="H31" i="14606"/>
  <c r="CN118" i="14609" s="1"/>
  <c r="I31" i="14606"/>
  <c r="CO118" i="14609" s="1"/>
  <c r="J31" i="14606"/>
  <c r="CP118" i="14609" s="1"/>
  <c r="C34" i="14606"/>
  <c r="EE118" i="14609" s="1"/>
  <c r="B35" i="14606"/>
  <c r="ET118" i="14609" s="1"/>
  <c r="C35" i="14606"/>
  <c r="EU118" i="14609" s="1"/>
  <c r="E32" i="14606"/>
  <c r="DA118" i="14609" s="1"/>
  <c r="N37" i="14606"/>
  <c r="GL118" i="14609" s="1"/>
  <c r="O37" i="14606"/>
  <c r="GM118" i="14609" s="1"/>
  <c r="A36" i="14606"/>
  <c r="FI118" i="14609" s="1"/>
  <c r="D33" i="14606"/>
  <c r="DP118" i="14609" s="1"/>
  <c r="E33" i="14606"/>
  <c r="DQ118" i="14609" s="1"/>
  <c r="D34" i="14606"/>
  <c r="EF118" i="14609" s="1"/>
  <c r="E34" i="14606"/>
  <c r="EG118" i="14609" s="1"/>
  <c r="F32" i="14606"/>
  <c r="DB118" i="14609" s="1"/>
  <c r="K31" i="14606"/>
  <c r="CQ118" i="14609" s="1"/>
  <c r="L31" i="14606"/>
  <c r="CR118" i="14609" s="1"/>
  <c r="A37" i="14606"/>
  <c r="FY118" i="14609" s="1"/>
  <c r="N38" i="14606"/>
  <c r="HB118" i="14609" s="1"/>
  <c r="O38" i="14606"/>
  <c r="HC118" i="14609" s="1"/>
  <c r="B36" i="14606"/>
  <c r="FJ118" i="14609" s="1"/>
  <c r="C36" i="14606"/>
  <c r="FK118" i="14609" s="1"/>
  <c r="F33" i="14606"/>
  <c r="DR118" i="14609" s="1"/>
  <c r="D35" i="14606"/>
  <c r="EV118" i="14609" s="1"/>
  <c r="F34" i="14606"/>
  <c r="EH118" i="14609" s="1"/>
  <c r="G34" i="14606"/>
  <c r="EI118" i="14609" s="1"/>
  <c r="H34" i="14606"/>
  <c r="EJ118" i="14609" s="1"/>
  <c r="G33" i="14606"/>
  <c r="DS118" i="14609" s="1"/>
  <c r="G32" i="14606"/>
  <c r="DC118" i="14609" s="1"/>
  <c r="N39" i="14606"/>
  <c r="HR118" i="14609" s="1"/>
  <c r="O39" i="14606"/>
  <c r="HS118" i="14609" s="1"/>
  <c r="A38" i="14606"/>
  <c r="GO118" i="14609" s="1"/>
  <c r="B37" i="14606"/>
  <c r="FZ118" i="14609" s="1"/>
  <c r="D36" i="14606"/>
  <c r="FL118" i="14609" s="1"/>
  <c r="H33" i="14606"/>
  <c r="DT118" i="14609" s="1"/>
  <c r="E35" i="14606"/>
  <c r="EW118" i="14609" s="1"/>
  <c r="F35" i="14606"/>
  <c r="EX118" i="14609" s="1"/>
  <c r="G35" i="14606"/>
  <c r="EY118" i="14609" s="1"/>
  <c r="H32" i="14606"/>
  <c r="DD118" i="14609" s="1"/>
  <c r="C37" i="14606"/>
  <c r="GA118" i="14609" s="1"/>
  <c r="D37" i="14606"/>
  <c r="GB118" i="14609" s="1"/>
  <c r="B38" i="14606"/>
  <c r="GP118" i="14609" s="1"/>
  <c r="C38" i="14606"/>
  <c r="GQ118" i="14609" s="1"/>
  <c r="H35" i="14606"/>
  <c r="EZ118" i="14609" s="1"/>
  <c r="E36" i="14606"/>
  <c r="FM118" i="14609" s="1"/>
  <c r="I34" i="14606"/>
  <c r="EK118" i="14609" s="1"/>
  <c r="I33" i="14606"/>
  <c r="DU118" i="14609" s="1"/>
  <c r="J33" i="14606"/>
  <c r="DV118" i="14609" s="1"/>
  <c r="A39" i="14606"/>
  <c r="HE118" i="14609" s="1"/>
  <c r="N40" i="14606"/>
  <c r="IH118" i="14609" s="1"/>
  <c r="O40" i="14606"/>
  <c r="II118" i="14609" s="1"/>
  <c r="K33" i="14606"/>
  <c r="DW118" i="14609" s="1"/>
  <c r="L33" i="14606"/>
  <c r="DX118" i="14609" s="1"/>
  <c r="J34" i="14606"/>
  <c r="EL118" i="14609" s="1"/>
  <c r="K34" i="14606"/>
  <c r="EM118" i="14609" s="1"/>
  <c r="I32" i="14606"/>
  <c r="DE118" i="14609" s="1"/>
  <c r="J32" i="14606"/>
  <c r="DF118" i="14609" s="1"/>
  <c r="E37" i="14606"/>
  <c r="GC118" i="14609" s="1"/>
  <c r="F37" i="14606"/>
  <c r="GD118" i="14609" s="1"/>
  <c r="G37" i="14606"/>
  <c r="GE118" i="14609" s="1"/>
  <c r="B39" i="14606"/>
  <c r="HF118" i="14609" s="1"/>
  <c r="C39" i="14606"/>
  <c r="HG118" i="14609" s="1"/>
  <c r="F36" i="14606"/>
  <c r="FN118" i="14609" s="1"/>
  <c r="I35" i="14606"/>
  <c r="FA118" i="14609" s="1"/>
  <c r="D38" i="14606"/>
  <c r="GR118" i="14609" s="1"/>
  <c r="A40" i="14606"/>
  <c r="HU118" i="14609" s="1"/>
  <c r="N41" i="14606"/>
  <c r="B119" i="14609" s="1"/>
  <c r="O41" i="14606"/>
  <c r="C119" i="14609" s="1"/>
  <c r="L34" i="14606"/>
  <c r="EN118" i="14609" s="1"/>
  <c r="K32" i="14606"/>
  <c r="DG118" i="14609" s="1"/>
  <c r="L32" i="14606"/>
  <c r="DH118" i="14609" s="1"/>
  <c r="J35" i="14606"/>
  <c r="FB118" i="14609" s="1"/>
  <c r="K35" i="14606"/>
  <c r="FC118" i="14609" s="1"/>
  <c r="L35" i="14606"/>
  <c r="FD118" i="14609" s="1"/>
  <c r="G36" i="14606"/>
  <c r="FO118" i="14609" s="1"/>
  <c r="H36" i="14606"/>
  <c r="FP118" i="14609" s="1"/>
  <c r="B40" i="14606"/>
  <c r="HV118" i="14609" s="1"/>
  <c r="C40" i="14606"/>
  <c r="HW118" i="14609" s="1"/>
  <c r="A41" i="14606"/>
  <c r="IK118" i="14609" s="1"/>
  <c r="N42" i="14606"/>
  <c r="R119" i="14609" s="1"/>
  <c r="O42" i="14606"/>
  <c r="S119" i="14609" s="1"/>
  <c r="H37" i="14606"/>
  <c r="GF118" i="14609" s="1"/>
  <c r="E38" i="14606"/>
  <c r="GS118" i="14609" s="1"/>
  <c r="D39" i="14606"/>
  <c r="HH118" i="14609" s="1"/>
  <c r="I37" i="14606"/>
  <c r="GG118" i="14609" s="1"/>
  <c r="J37" i="14606"/>
  <c r="GH118" i="14609" s="1"/>
  <c r="K37" i="14606"/>
  <c r="GI118" i="14609" s="1"/>
  <c r="I36" i="14606"/>
  <c r="FQ118" i="14609" s="1"/>
  <c r="D40" i="14606"/>
  <c r="HX118" i="14609" s="1"/>
  <c r="A42" i="14606"/>
  <c r="E119" i="14609" s="1"/>
  <c r="N43" i="14606"/>
  <c r="AH119" i="14609" s="1"/>
  <c r="O43" i="14606"/>
  <c r="AI119" i="14609" s="1"/>
  <c r="E39" i="14606"/>
  <c r="HI118" i="14609" s="1"/>
  <c r="F38" i="14606"/>
  <c r="GT118" i="14609" s="1"/>
  <c r="B41" i="14606"/>
  <c r="IL118" i="14609" s="1"/>
  <c r="C41" i="14606"/>
  <c r="IM118" i="14609" s="1"/>
  <c r="E40" i="14606"/>
  <c r="HY118" i="14609" s="1"/>
  <c r="F40" i="14606"/>
  <c r="HZ118" i="14609" s="1"/>
  <c r="L37" i="14606"/>
  <c r="GJ118" i="14609" s="1"/>
  <c r="J36" i="14606"/>
  <c r="FR118" i="14609" s="1"/>
  <c r="K36" i="14606"/>
  <c r="FS118" i="14609" s="1"/>
  <c r="L36" i="14606"/>
  <c r="FT118" i="14609" s="1"/>
  <c r="G38" i="14606"/>
  <c r="GU118" i="14609" s="1"/>
  <c r="D41" i="14606"/>
  <c r="IN118" i="14609" s="1"/>
  <c r="E41" i="14606"/>
  <c r="IO118" i="14609" s="1"/>
  <c r="B42" i="14606"/>
  <c r="F119" i="14609" s="1"/>
  <c r="C42" i="14606"/>
  <c r="G119" i="14609" s="1"/>
  <c r="D42" i="14606"/>
  <c r="H119" i="14609" s="1"/>
  <c r="D119" i="14609"/>
  <c r="A43" i="14606"/>
  <c r="U119" i="14609" s="1"/>
  <c r="N44" i="14606"/>
  <c r="AX119" i="14609" s="1"/>
  <c r="O44" i="14606"/>
  <c r="AY119" i="14609" s="1"/>
  <c r="F39" i="14606"/>
  <c r="HJ118" i="14609" s="1"/>
  <c r="G39" i="14606"/>
  <c r="HK118" i="14609" s="1"/>
  <c r="H39" i="14606"/>
  <c r="HL118" i="14609" s="1"/>
  <c r="G40" i="14606"/>
  <c r="IA118" i="14609" s="1"/>
  <c r="H40" i="14606"/>
  <c r="IB118" i="14609" s="1"/>
  <c r="H38" i="14606"/>
  <c r="GV118" i="14609" s="1"/>
  <c r="I38" i="14606"/>
  <c r="GW118" i="14609" s="1"/>
  <c r="J38" i="14606"/>
  <c r="GX118" i="14609" s="1"/>
  <c r="B43" i="14606"/>
  <c r="V119" i="14609" s="1"/>
  <c r="C43" i="14606"/>
  <c r="W119" i="14609" s="1"/>
  <c r="D43" i="14606"/>
  <c r="X119" i="14609" s="1"/>
  <c r="E43" i="14606"/>
  <c r="Y119" i="14609" s="1"/>
  <c r="A44" i="14606"/>
  <c r="AK119" i="14609" s="1"/>
  <c r="N45" i="14606"/>
  <c r="BN119" i="14609" s="1"/>
  <c r="O45" i="14606"/>
  <c r="BO119" i="14609" s="1"/>
  <c r="I39" i="14606"/>
  <c r="HM118" i="14609" s="1"/>
  <c r="J39" i="14606"/>
  <c r="HN118" i="14609" s="1"/>
  <c r="F41" i="14606"/>
  <c r="IP118" i="14609" s="1"/>
  <c r="E42" i="14606"/>
  <c r="I119" i="14609" s="1"/>
  <c r="F42" i="14606"/>
  <c r="J119" i="14609" s="1"/>
  <c r="G42" i="14606"/>
  <c r="K119" i="14609" s="1"/>
  <c r="I40" i="14606"/>
  <c r="IC118" i="14609" s="1"/>
  <c r="J40" i="14606"/>
  <c r="ID118" i="14609" s="1"/>
  <c r="K38" i="14606"/>
  <c r="GY118" i="14609" s="1"/>
  <c r="L38" i="14606"/>
  <c r="GZ118" i="14609" s="1"/>
  <c r="K39" i="14606"/>
  <c r="HO118" i="14609" s="1"/>
  <c r="L39" i="14606"/>
  <c r="HP118" i="14609" s="1"/>
  <c r="H42" i="14606"/>
  <c r="L119" i="14609" s="1"/>
  <c r="I42" i="14606"/>
  <c r="M119" i="14609" s="1"/>
  <c r="F43" i="14606"/>
  <c r="Z119" i="14609" s="1"/>
  <c r="G43" i="14606"/>
  <c r="AA119" i="14609" s="1"/>
  <c r="A45" i="14606"/>
  <c r="BA119" i="14609" s="1"/>
  <c r="N46" i="14606"/>
  <c r="CD119" i="14609" s="1"/>
  <c r="O46" i="14606"/>
  <c r="CE119" i="14609" s="1"/>
  <c r="G41" i="14606"/>
  <c r="IQ118" i="14609" s="1"/>
  <c r="H41" i="14606"/>
  <c r="IR118" i="14609" s="1"/>
  <c r="I41" i="14606"/>
  <c r="IS118" i="14609" s="1"/>
  <c r="B44" i="14606"/>
  <c r="AL119" i="14609" s="1"/>
  <c r="C44" i="14606"/>
  <c r="AM119" i="14609" s="1"/>
  <c r="K40" i="14606"/>
  <c r="IE118" i="14609" s="1"/>
  <c r="L40" i="14606"/>
  <c r="IF118" i="14609" s="1"/>
  <c r="H43" i="14606"/>
  <c r="AB119" i="14609" s="1"/>
  <c r="I43" i="14606"/>
  <c r="AC119" i="14609" s="1"/>
  <c r="J43" i="14606"/>
  <c r="AD119" i="14609" s="1"/>
  <c r="A46" i="14606"/>
  <c r="BQ119" i="14609" s="1"/>
  <c r="N47" i="14606"/>
  <c r="CT119" i="14609" s="1"/>
  <c r="O47" i="14606"/>
  <c r="CU119" i="14609" s="1"/>
  <c r="J41" i="14606"/>
  <c r="IT118" i="14609" s="1"/>
  <c r="K41" i="14606"/>
  <c r="IU118" i="14609" s="1"/>
  <c r="D44" i="14606"/>
  <c r="AN119" i="14609" s="1"/>
  <c r="J42" i="14606"/>
  <c r="N119" i="14609" s="1"/>
  <c r="B45" i="14606"/>
  <c r="BB119" i="14609" s="1"/>
  <c r="C45" i="14606"/>
  <c r="BC119" i="14609" s="1"/>
  <c r="K42" i="14606"/>
  <c r="O119" i="14609" s="1"/>
  <c r="L42" i="14606"/>
  <c r="P119" i="14609" s="1"/>
  <c r="K43" i="14606"/>
  <c r="AE119" i="14609" s="1"/>
  <c r="L43" i="14606"/>
  <c r="AF119" i="14609" s="1"/>
  <c r="L41" i="14606"/>
  <c r="IV118" i="14609" s="1"/>
  <c r="D45" i="14606"/>
  <c r="BD119" i="14609" s="1"/>
  <c r="B46" i="14606"/>
  <c r="BR119" i="14609" s="1"/>
  <c r="C46" i="14606"/>
  <c r="BS119" i="14609" s="1"/>
  <c r="E44" i="14606"/>
  <c r="AO119" i="14609" s="1"/>
  <c r="F44" i="14606"/>
  <c r="AP119" i="14609" s="1"/>
  <c r="G44" i="14606"/>
  <c r="AQ119" i="14609" s="1"/>
  <c r="A47" i="14606"/>
  <c r="CG119" i="14609" s="1"/>
  <c r="N48" i="14606"/>
  <c r="DJ119" i="14609" s="1"/>
  <c r="O48" i="14606"/>
  <c r="DK119" i="14609" s="1"/>
  <c r="E45" i="14606"/>
  <c r="BE119" i="14609" s="1"/>
  <c r="D46" i="14606"/>
  <c r="BT119" i="14609" s="1"/>
  <c r="E46" i="14606"/>
  <c r="BU119" i="14609" s="1"/>
  <c r="A48" i="14606"/>
  <c r="CW119" i="14609" s="1"/>
  <c r="N49" i="14606"/>
  <c r="DZ119" i="14609" s="1"/>
  <c r="O49" i="14606"/>
  <c r="EA119" i="14609" s="1"/>
  <c r="B47" i="14606"/>
  <c r="CH119" i="14609" s="1"/>
  <c r="H44" i="14606"/>
  <c r="AR119" i="14609" s="1"/>
  <c r="I44" i="14606"/>
  <c r="AS119" i="14609" s="1"/>
  <c r="F45" i="14606"/>
  <c r="BF119" i="14609" s="1"/>
  <c r="G45" i="14606"/>
  <c r="BG119" i="14609" s="1"/>
  <c r="C47" i="14606"/>
  <c r="CI119" i="14609" s="1"/>
  <c r="A49" i="14606"/>
  <c r="DM119" i="14609" s="1"/>
  <c r="N50" i="14606"/>
  <c r="EP119" i="14609" s="1"/>
  <c r="O50" i="14606"/>
  <c r="EQ119" i="14609" s="1"/>
  <c r="F46" i="14606"/>
  <c r="BV119" i="14609" s="1"/>
  <c r="J44" i="14606"/>
  <c r="AT119" i="14609" s="1"/>
  <c r="K44" i="14606"/>
  <c r="AU119" i="14609" s="1"/>
  <c r="B48" i="14606"/>
  <c r="CX119" i="14609" s="1"/>
  <c r="L44" i="14606"/>
  <c r="AV119" i="14609" s="1"/>
  <c r="G46" i="14606"/>
  <c r="BW119" i="14609" s="1"/>
  <c r="H46" i="14606"/>
  <c r="BX119" i="14609" s="1"/>
  <c r="D47" i="14606"/>
  <c r="CJ119" i="14609" s="1"/>
  <c r="E47" i="14606"/>
  <c r="CK119" i="14609" s="1"/>
  <c r="F47" i="14606"/>
  <c r="CL119" i="14609" s="1"/>
  <c r="H45" i="14606"/>
  <c r="BH119" i="14609" s="1"/>
  <c r="C48" i="14606"/>
  <c r="CY119" i="14609" s="1"/>
  <c r="A50" i="14606"/>
  <c r="EC119" i="14609" s="1"/>
  <c r="N51" i="14606"/>
  <c r="FF119" i="14609" s="1"/>
  <c r="O51" i="14606"/>
  <c r="FG119" i="14609" s="1"/>
  <c r="B49" i="14606"/>
  <c r="DN119" i="14609" s="1"/>
  <c r="C49" i="14606"/>
  <c r="DO119" i="14609" s="1"/>
  <c r="I45" i="14606"/>
  <c r="BI119" i="14609" s="1"/>
  <c r="J45" i="14606"/>
  <c r="BJ119" i="14609" s="1"/>
  <c r="D48" i="14606"/>
  <c r="CZ119" i="14609" s="1"/>
  <c r="D49" i="14606"/>
  <c r="DP119" i="14609" s="1"/>
  <c r="B50" i="14606"/>
  <c r="ED119" i="14609" s="1"/>
  <c r="C50" i="14606"/>
  <c r="EE119" i="14609" s="1"/>
  <c r="A51" i="14606"/>
  <c r="ES119" i="14609" s="1"/>
  <c r="N52" i="14606"/>
  <c r="FV119" i="14609" s="1"/>
  <c r="O52" i="14606"/>
  <c r="FW119" i="14609" s="1"/>
  <c r="I46" i="14606"/>
  <c r="BY119" i="14609" s="1"/>
  <c r="J46" i="14606"/>
  <c r="BZ119" i="14609" s="1"/>
  <c r="G47" i="14606"/>
  <c r="CM119" i="14609" s="1"/>
  <c r="E49" i="14606"/>
  <c r="DQ119" i="14609" s="1"/>
  <c r="F49" i="14606"/>
  <c r="DR119" i="14609" s="1"/>
  <c r="G49" i="14606"/>
  <c r="DS119" i="14609" s="1"/>
  <c r="K45" i="14606"/>
  <c r="BK119" i="14609" s="1"/>
  <c r="L45" i="14606"/>
  <c r="BL119" i="14609" s="1"/>
  <c r="K46" i="14606"/>
  <c r="CA119" i="14609" s="1"/>
  <c r="L46" i="14606"/>
  <c r="CB119" i="14609" s="1"/>
  <c r="E48" i="14606"/>
  <c r="DA119" i="14609" s="1"/>
  <c r="H47" i="14606"/>
  <c r="CN119" i="14609" s="1"/>
  <c r="B51" i="14606"/>
  <c r="ET119" i="14609" s="1"/>
  <c r="A52" i="14606"/>
  <c r="FI119" i="14609" s="1"/>
  <c r="N53" i="14606"/>
  <c r="GL119" i="14609" s="1"/>
  <c r="O53" i="14606"/>
  <c r="GM119" i="14609" s="1"/>
  <c r="D50" i="14606"/>
  <c r="EF119" i="14609" s="1"/>
  <c r="I47" i="14606"/>
  <c r="CO119" i="14609" s="1"/>
  <c r="J47" i="14606"/>
  <c r="CP119" i="14609" s="1"/>
  <c r="F48" i="14606"/>
  <c r="DB119" i="14609" s="1"/>
  <c r="E50" i="14606"/>
  <c r="EG119" i="14609" s="1"/>
  <c r="C51" i="14606"/>
  <c r="EU119" i="14609" s="1"/>
  <c r="D51" i="14606"/>
  <c r="EV119" i="14609" s="1"/>
  <c r="E51" i="14606"/>
  <c r="EW119" i="14609" s="1"/>
  <c r="F51" i="14606"/>
  <c r="EX119" i="14609" s="1"/>
  <c r="B52" i="14606"/>
  <c r="FJ119" i="14609" s="1"/>
  <c r="H49" i="14606"/>
  <c r="DT119" i="14609" s="1"/>
  <c r="I49" i="14606"/>
  <c r="DU119" i="14609" s="1"/>
  <c r="A53" i="14606"/>
  <c r="FY119" i="14609" s="1"/>
  <c r="N54" i="14606"/>
  <c r="HB119" i="14609" s="1"/>
  <c r="O54" i="14606"/>
  <c r="HC119" i="14609" s="1"/>
  <c r="K47" i="14606"/>
  <c r="CQ119" i="14609" s="1"/>
  <c r="L47" i="14606"/>
  <c r="CR119" i="14609" s="1"/>
  <c r="G48" i="14606"/>
  <c r="DC119" i="14609" s="1"/>
  <c r="F50" i="14606"/>
  <c r="EH119" i="14609" s="1"/>
  <c r="G51" i="14606"/>
  <c r="EY119" i="14609" s="1"/>
  <c r="H51" i="14606"/>
  <c r="EZ119" i="14609" s="1"/>
  <c r="A54" i="14606"/>
  <c r="GO119" i="14609" s="1"/>
  <c r="N55" i="14606"/>
  <c r="HR119" i="14609" s="1"/>
  <c r="O55" i="14606"/>
  <c r="HS119" i="14609" s="1"/>
  <c r="B53" i="14606"/>
  <c r="FZ119" i="14609" s="1"/>
  <c r="C52" i="14606"/>
  <c r="FK119" i="14609" s="1"/>
  <c r="J49" i="14606"/>
  <c r="DV119" i="14609" s="1"/>
  <c r="K49" i="14606"/>
  <c r="DW119" i="14609" s="1"/>
  <c r="H48" i="14606"/>
  <c r="DD119" i="14609" s="1"/>
  <c r="I48" i="14606"/>
  <c r="DE119" i="14609" s="1"/>
  <c r="D52" i="14606"/>
  <c r="FL119" i="14609" s="1"/>
  <c r="E52" i="14606"/>
  <c r="FM119" i="14609" s="1"/>
  <c r="L49" i="14606"/>
  <c r="DX119" i="14609" s="1"/>
  <c r="I51" i="14606"/>
  <c r="FA119" i="14609" s="1"/>
  <c r="G50" i="14606"/>
  <c r="EI119" i="14609" s="1"/>
  <c r="C53" i="14606"/>
  <c r="GA119" i="14609" s="1"/>
  <c r="D53" i="14606"/>
  <c r="GB119" i="14609" s="1"/>
  <c r="B54" i="14606"/>
  <c r="GP119" i="14609" s="1"/>
  <c r="C54" i="14606"/>
  <c r="GQ119" i="14609" s="1"/>
  <c r="A55" i="14606"/>
  <c r="HE119" i="14609" s="1"/>
  <c r="N56" i="14606"/>
  <c r="IH119" i="14609" s="1"/>
  <c r="O56" i="14606"/>
  <c r="II119" i="14609" s="1"/>
  <c r="J48" i="14606"/>
  <c r="DF119" i="14609" s="1"/>
  <c r="K48" i="14606"/>
  <c r="DG119" i="14609" s="1"/>
  <c r="F52" i="14606"/>
  <c r="FN119" i="14609" s="1"/>
  <c r="G52" i="14606"/>
  <c r="FO119" i="14609" s="1"/>
  <c r="J51" i="14606"/>
  <c r="FB119" i="14609" s="1"/>
  <c r="K51" i="14606"/>
  <c r="FC119" i="14609" s="1"/>
  <c r="E53" i="14606"/>
  <c r="GC119" i="14609" s="1"/>
  <c r="H50" i="14606"/>
  <c r="EJ119" i="14609" s="1"/>
  <c r="B55" i="14606"/>
  <c r="HF119" i="14609" s="1"/>
  <c r="A56" i="14606"/>
  <c r="HU119" i="14609" s="1"/>
  <c r="N57" i="14606"/>
  <c r="B120" i="14609" s="1"/>
  <c r="O57" i="14606"/>
  <c r="C120" i="14609" s="1"/>
  <c r="D54" i="14606"/>
  <c r="GR119" i="14609" s="1"/>
  <c r="L51" i="14606"/>
  <c r="FD119" i="14609" s="1"/>
  <c r="L48" i="14606"/>
  <c r="DH119" i="14609" s="1"/>
  <c r="F53" i="14606"/>
  <c r="GD119" i="14609" s="1"/>
  <c r="G53" i="14606"/>
  <c r="GE119" i="14609" s="1"/>
  <c r="H52" i="14606"/>
  <c r="FP119" i="14609" s="1"/>
  <c r="I50" i="14606"/>
  <c r="EK119" i="14609" s="1"/>
  <c r="J50" i="14606"/>
  <c r="EL119" i="14609" s="1"/>
  <c r="B56" i="14606"/>
  <c r="HV119" i="14609" s="1"/>
  <c r="C56" i="14606"/>
  <c r="HW119" i="14609" s="1"/>
  <c r="E54" i="14606"/>
  <c r="GS119" i="14609" s="1"/>
  <c r="C55" i="14606"/>
  <c r="HG119" i="14609" s="1"/>
  <c r="A57" i="14606"/>
  <c r="IK119" i="14609" s="1"/>
  <c r="N58" i="14606"/>
  <c r="R120" i="14609" s="1"/>
  <c r="O58" i="14606"/>
  <c r="S120" i="14609" s="1"/>
  <c r="K50" i="14606"/>
  <c r="EM119" i="14609" s="1"/>
  <c r="L50" i="14606"/>
  <c r="EN119" i="14609" s="1"/>
  <c r="I52" i="14606"/>
  <c r="FQ119" i="14609" s="1"/>
  <c r="F54" i="14606"/>
  <c r="GT119" i="14609" s="1"/>
  <c r="G54" i="14606"/>
  <c r="GU119" i="14609" s="1"/>
  <c r="H53" i="14606"/>
  <c r="GF119" i="14609" s="1"/>
  <c r="I53" i="14606"/>
  <c r="GG119" i="14609" s="1"/>
  <c r="J53" i="14606"/>
  <c r="GH119" i="14609" s="1"/>
  <c r="D56" i="14606"/>
  <c r="HX119" i="14609" s="1"/>
  <c r="E56" i="14606"/>
  <c r="HY119" i="14609" s="1"/>
  <c r="B57" i="14606"/>
  <c r="IL119" i="14609" s="1"/>
  <c r="A58" i="14606"/>
  <c r="E120" i="14609" s="1"/>
  <c r="N59" i="14606"/>
  <c r="AH120" i="14609" s="1"/>
  <c r="O59" i="14606"/>
  <c r="AI120" i="14609" s="1"/>
  <c r="D55" i="14606"/>
  <c r="HH119" i="14609" s="1"/>
  <c r="K53" i="14606"/>
  <c r="GI119" i="14609" s="1"/>
  <c r="L53" i="14606"/>
  <c r="GJ119" i="14609" s="1"/>
  <c r="J52" i="14606"/>
  <c r="FR119" i="14609" s="1"/>
  <c r="K52" i="14606"/>
  <c r="FS119" i="14609" s="1"/>
  <c r="H54" i="14606"/>
  <c r="GV119" i="14609" s="1"/>
  <c r="F56" i="14606"/>
  <c r="HZ119" i="14609" s="1"/>
  <c r="G56" i="14606"/>
  <c r="IA119" i="14609" s="1"/>
  <c r="H56" i="14606"/>
  <c r="IB119" i="14609" s="1"/>
  <c r="B58" i="14606"/>
  <c r="F120" i="14609" s="1"/>
  <c r="C58" i="14606"/>
  <c r="G120" i="14609" s="1"/>
  <c r="C57" i="14606"/>
  <c r="IM119" i="14609" s="1"/>
  <c r="E55" i="14606"/>
  <c r="HI119" i="14609" s="1"/>
  <c r="A59" i="14606"/>
  <c r="U120" i="14609" s="1"/>
  <c r="N60" i="14606"/>
  <c r="AX120" i="14609" s="1"/>
  <c r="O60" i="14606"/>
  <c r="AY120" i="14609" s="1"/>
  <c r="I54" i="14606"/>
  <c r="GW119" i="14609" s="1"/>
  <c r="L52" i="14606"/>
  <c r="FT119" i="14609" s="1"/>
  <c r="I56" i="14606"/>
  <c r="IC119" i="14609" s="1"/>
  <c r="A60" i="14606"/>
  <c r="AK120" i="14609" s="1"/>
  <c r="N61" i="14606"/>
  <c r="BN120" i="14609" s="1"/>
  <c r="O61" i="14606"/>
  <c r="BO120" i="14609" s="1"/>
  <c r="B59" i="14606"/>
  <c r="V120" i="14609" s="1"/>
  <c r="C59" i="14606"/>
  <c r="W120" i="14609" s="1"/>
  <c r="D58" i="14606"/>
  <c r="H120" i="14609" s="1"/>
  <c r="D120" i="14609"/>
  <c r="F55" i="14606"/>
  <c r="HJ119" i="14609" s="1"/>
  <c r="D57" i="14606"/>
  <c r="IN119" i="14609" s="1"/>
  <c r="J56" i="14606"/>
  <c r="ID119" i="14609" s="1"/>
  <c r="E58" i="14606"/>
  <c r="I120" i="14609" s="1"/>
  <c r="F58" i="14606"/>
  <c r="J120" i="14609" s="1"/>
  <c r="J54" i="14606"/>
  <c r="GX119" i="14609" s="1"/>
  <c r="K54" i="14606"/>
  <c r="GY119" i="14609" s="1"/>
  <c r="D59" i="14606"/>
  <c r="X120" i="14609" s="1"/>
  <c r="E59" i="14606"/>
  <c r="Y120" i="14609" s="1"/>
  <c r="F59" i="14606"/>
  <c r="Z120" i="14609" s="1"/>
  <c r="G55" i="14606"/>
  <c r="HK119" i="14609" s="1"/>
  <c r="H55" i="14606"/>
  <c r="HL119" i="14609" s="1"/>
  <c r="I55" i="14606"/>
  <c r="HM119" i="14609" s="1"/>
  <c r="J55" i="14606"/>
  <c r="HN119" i="14609" s="1"/>
  <c r="E57" i="14606"/>
  <c r="IO119" i="14609" s="1"/>
  <c r="A61" i="14606"/>
  <c r="BA120" i="14609" s="1"/>
  <c r="N62" i="14606"/>
  <c r="CD120" i="14609" s="1"/>
  <c r="O62" i="14606"/>
  <c r="CE120" i="14609" s="1"/>
  <c r="B60" i="14606"/>
  <c r="AL120" i="14609" s="1"/>
  <c r="L54" i="14606"/>
  <c r="GZ119" i="14609" s="1"/>
  <c r="K55" i="14606"/>
  <c r="HO119" i="14609" s="1"/>
  <c r="L55" i="14606"/>
  <c r="HP119" i="14609" s="1"/>
  <c r="K56" i="14606"/>
  <c r="IE119" i="14609" s="1"/>
  <c r="L56" i="14606"/>
  <c r="IF119" i="14609" s="1"/>
  <c r="F57" i="14606"/>
  <c r="IP119" i="14609" s="1"/>
  <c r="G57" i="14606"/>
  <c r="IQ119" i="14609" s="1"/>
  <c r="H57" i="14606"/>
  <c r="IR119" i="14609" s="1"/>
  <c r="G58" i="14606"/>
  <c r="K120" i="14609" s="1"/>
  <c r="B61" i="14606"/>
  <c r="BB120" i="14609" s="1"/>
  <c r="A62" i="14606"/>
  <c r="BQ120" i="14609" s="1"/>
  <c r="N63" i="14606"/>
  <c r="CT120" i="14609" s="1"/>
  <c r="O63" i="14606"/>
  <c r="CU120" i="14609" s="1"/>
  <c r="C60" i="14606"/>
  <c r="AM120" i="14609" s="1"/>
  <c r="D60" i="14606"/>
  <c r="AN120" i="14609" s="1"/>
  <c r="G59" i="14606"/>
  <c r="AA120" i="14609" s="1"/>
  <c r="H58" i="14606"/>
  <c r="L120" i="14609" s="1"/>
  <c r="E60" i="14606"/>
  <c r="AO120" i="14609" s="1"/>
  <c r="F60" i="14606"/>
  <c r="AP120" i="14609" s="1"/>
  <c r="I57" i="14606"/>
  <c r="IS119" i="14609" s="1"/>
  <c r="B62" i="14606"/>
  <c r="BR120" i="14609" s="1"/>
  <c r="C62" i="14606"/>
  <c r="BS120" i="14609" s="1"/>
  <c r="H59" i="14606"/>
  <c r="AB120" i="14609" s="1"/>
  <c r="C61" i="14606"/>
  <c r="BC120" i="14609" s="1"/>
  <c r="A63" i="14606"/>
  <c r="CG120" i="14609" s="1"/>
  <c r="N64" i="14606"/>
  <c r="DJ120" i="14609" s="1"/>
  <c r="O64" i="14606"/>
  <c r="DK120" i="14609" s="1"/>
  <c r="D61" i="14606"/>
  <c r="BD120" i="14609" s="1"/>
  <c r="J57" i="14606"/>
  <c r="IT119" i="14609" s="1"/>
  <c r="I59" i="14606"/>
  <c r="AC120" i="14609" s="1"/>
  <c r="I58" i="14606"/>
  <c r="M120" i="14609" s="1"/>
  <c r="J58" i="14606"/>
  <c r="N120" i="14609" s="1"/>
  <c r="G60" i="14606"/>
  <c r="AQ120" i="14609" s="1"/>
  <c r="H60" i="14606"/>
  <c r="AR120" i="14609" s="1"/>
  <c r="I60" i="14606"/>
  <c r="AS120" i="14609" s="1"/>
  <c r="D62" i="14606"/>
  <c r="BT120" i="14609" s="1"/>
  <c r="B63" i="14606"/>
  <c r="CH120" i="14609" s="1"/>
  <c r="C63" i="14606"/>
  <c r="CI120" i="14609" s="1"/>
  <c r="A64" i="14606"/>
  <c r="CW120" i="14609" s="1"/>
  <c r="N65" i="14606"/>
  <c r="DZ120" i="14609" s="1"/>
  <c r="O65" i="14606"/>
  <c r="EA120" i="14609" s="1"/>
  <c r="K58" i="14606"/>
  <c r="O120" i="14609" s="1"/>
  <c r="L58" i="14606"/>
  <c r="P120" i="14609" s="1"/>
  <c r="K57" i="14606"/>
  <c r="IU119" i="14609" s="1"/>
  <c r="L57" i="14606"/>
  <c r="IV119" i="14609" s="1"/>
  <c r="J59" i="14606"/>
  <c r="AD120" i="14609" s="1"/>
  <c r="K59" i="14606"/>
  <c r="AE120" i="14609" s="1"/>
  <c r="E61" i="14606"/>
  <c r="BE120" i="14609" s="1"/>
  <c r="J60" i="14606"/>
  <c r="AT120" i="14609" s="1"/>
  <c r="K60" i="14606"/>
  <c r="AU120" i="14609" s="1"/>
  <c r="L60" i="14606"/>
  <c r="AV120" i="14609" s="1"/>
  <c r="D63" i="14606"/>
  <c r="CJ120" i="14609" s="1"/>
  <c r="E63" i="14606"/>
  <c r="CK120" i="14609" s="1"/>
  <c r="B64" i="14606"/>
  <c r="CX120" i="14609" s="1"/>
  <c r="E62" i="14606"/>
  <c r="BU120" i="14609" s="1"/>
  <c r="A65" i="14606"/>
  <c r="DM120" i="14609" s="1"/>
  <c r="N66" i="14606"/>
  <c r="EP120" i="14609" s="1"/>
  <c r="O66" i="14606"/>
  <c r="EQ120" i="14609" s="1"/>
  <c r="L59" i="14606"/>
  <c r="AF120" i="14609" s="1"/>
  <c r="F61" i="14606"/>
  <c r="BF120" i="14609" s="1"/>
  <c r="F62" i="14606"/>
  <c r="BV120" i="14609" s="1"/>
  <c r="G62" i="14606"/>
  <c r="BW120" i="14609" s="1"/>
  <c r="B65" i="14606"/>
  <c r="DN120" i="14609" s="1"/>
  <c r="C65" i="14606"/>
  <c r="DO120" i="14609" s="1"/>
  <c r="A66" i="14606"/>
  <c r="EC120" i="14609" s="1"/>
  <c r="N67" i="14606"/>
  <c r="FF120" i="14609" s="1"/>
  <c r="O67" i="14606"/>
  <c r="FG120" i="14609" s="1"/>
  <c r="F63" i="14606"/>
  <c r="CL120" i="14609" s="1"/>
  <c r="C64" i="14606"/>
  <c r="CY120" i="14609" s="1"/>
  <c r="G61" i="14606"/>
  <c r="BG120" i="14609" s="1"/>
  <c r="B66" i="14606"/>
  <c r="ED120" i="14609" s="1"/>
  <c r="C66" i="14606"/>
  <c r="EE120" i="14609" s="1"/>
  <c r="D66" i="14606"/>
  <c r="EF120" i="14609" s="1"/>
  <c r="A67" i="14606"/>
  <c r="ES120" i="14609" s="1"/>
  <c r="N68" i="14606"/>
  <c r="FV120" i="14609" s="1"/>
  <c r="O68" i="14606"/>
  <c r="FW120" i="14609" s="1"/>
  <c r="D64" i="14606"/>
  <c r="CZ120" i="14609" s="1"/>
  <c r="H62" i="14606"/>
  <c r="BX120" i="14609" s="1"/>
  <c r="G63" i="14606"/>
  <c r="CM120" i="14609" s="1"/>
  <c r="D65" i="14606"/>
  <c r="DP120" i="14609" s="1"/>
  <c r="H61" i="14606"/>
  <c r="BH120" i="14609" s="1"/>
  <c r="I61" i="14606"/>
  <c r="BI120" i="14609" s="1"/>
  <c r="J61" i="14606"/>
  <c r="BJ120" i="14609" s="1"/>
  <c r="H63" i="14606"/>
  <c r="CN120" i="14609" s="1"/>
  <c r="E64" i="14606"/>
  <c r="DA120" i="14609" s="1"/>
  <c r="A68" i="14606"/>
  <c r="FI120" i="14609" s="1"/>
  <c r="N69" i="14606"/>
  <c r="GL120" i="14609" s="1"/>
  <c r="O69" i="14606"/>
  <c r="GM120" i="14609" s="1"/>
  <c r="B67" i="14606"/>
  <c r="ET120" i="14609" s="1"/>
  <c r="C67" i="14606"/>
  <c r="EU120" i="14609" s="1"/>
  <c r="I63" i="14606"/>
  <c r="CO120" i="14609" s="1"/>
  <c r="J63" i="14606"/>
  <c r="CP120" i="14609" s="1"/>
  <c r="I62" i="14606"/>
  <c r="BY120" i="14609" s="1"/>
  <c r="J62" i="14606"/>
  <c r="BZ120" i="14609" s="1"/>
  <c r="E65" i="14606"/>
  <c r="DQ120" i="14609" s="1"/>
  <c r="E66" i="14606"/>
  <c r="EG120" i="14609" s="1"/>
  <c r="K63" i="14606"/>
  <c r="CQ120" i="14609" s="1"/>
  <c r="L63" i="14606"/>
  <c r="CR120" i="14609" s="1"/>
  <c r="K61" i="14606"/>
  <c r="BK120" i="14609" s="1"/>
  <c r="L61" i="14606"/>
  <c r="BL120" i="14609" s="1"/>
  <c r="K62" i="14606"/>
  <c r="CA120" i="14609" s="1"/>
  <c r="L62" i="14606"/>
  <c r="CB120" i="14609" s="1"/>
  <c r="F64" i="14606"/>
  <c r="DB120" i="14609" s="1"/>
  <c r="G64" i="14606"/>
  <c r="DC120" i="14609" s="1"/>
  <c r="H64" i="14606"/>
  <c r="DD120" i="14609" s="1"/>
  <c r="D67" i="14606"/>
  <c r="EV120" i="14609" s="1"/>
  <c r="B68" i="14606"/>
  <c r="FJ120" i="14609" s="1"/>
  <c r="C68" i="14606"/>
  <c r="FK120" i="14609" s="1"/>
  <c r="D68" i="14606"/>
  <c r="FL120" i="14609" s="1"/>
  <c r="F65" i="14606"/>
  <c r="DR120" i="14609" s="1"/>
  <c r="F66" i="14606"/>
  <c r="EH120" i="14609" s="1"/>
  <c r="A69" i="14606"/>
  <c r="FY120" i="14609" s="1"/>
  <c r="N70" i="14606"/>
  <c r="HB120" i="14609" s="1"/>
  <c r="O70" i="14606"/>
  <c r="HC120" i="14609" s="1"/>
  <c r="G66" i="14606"/>
  <c r="EI120" i="14609" s="1"/>
  <c r="H66" i="14606"/>
  <c r="EJ120" i="14609" s="1"/>
  <c r="I66" i="14606"/>
  <c r="EK120" i="14609" s="1"/>
  <c r="G65" i="14606"/>
  <c r="DS120" i="14609" s="1"/>
  <c r="H65" i="14606"/>
  <c r="DT120" i="14609" s="1"/>
  <c r="I65" i="14606"/>
  <c r="DU120" i="14609" s="1"/>
  <c r="E67" i="14606"/>
  <c r="EW120" i="14609" s="1"/>
  <c r="F67" i="14606"/>
  <c r="EX120" i="14609" s="1"/>
  <c r="G67" i="14606"/>
  <c r="EY120" i="14609" s="1"/>
  <c r="H67" i="14606"/>
  <c r="EZ120" i="14609" s="1"/>
  <c r="I67" i="14606"/>
  <c r="FA120" i="14609" s="1"/>
  <c r="I64" i="14606"/>
  <c r="DE120" i="14609" s="1"/>
  <c r="J64" i="14606"/>
  <c r="DF120" i="14609" s="1"/>
  <c r="B69" i="14606"/>
  <c r="FZ120" i="14609" s="1"/>
  <c r="C69" i="14606"/>
  <c r="GA120" i="14609" s="1"/>
  <c r="E68" i="14606"/>
  <c r="FM120" i="14609" s="1"/>
  <c r="A70" i="14606"/>
  <c r="GO120" i="14609" s="1"/>
  <c r="N71" i="14606"/>
  <c r="HR120" i="14609" s="1"/>
  <c r="O71" i="14606"/>
  <c r="HS120" i="14609" s="1"/>
  <c r="K64" i="14606"/>
  <c r="DG120" i="14609" s="1"/>
  <c r="L64" i="14606"/>
  <c r="DH120" i="14609" s="1"/>
  <c r="J67" i="14606"/>
  <c r="FB120" i="14609" s="1"/>
  <c r="K67" i="14606"/>
  <c r="FC120" i="14609" s="1"/>
  <c r="J65" i="14606"/>
  <c r="DV120" i="14609" s="1"/>
  <c r="A71" i="14606"/>
  <c r="HE120" i="14609" s="1"/>
  <c r="N72" i="14606"/>
  <c r="IH120" i="14609" s="1"/>
  <c r="O72" i="14606"/>
  <c r="II120" i="14609" s="1"/>
  <c r="J66" i="14606"/>
  <c r="EL120" i="14609" s="1"/>
  <c r="K66" i="14606"/>
  <c r="EM120" i="14609" s="1"/>
  <c r="D69" i="14606"/>
  <c r="GB120" i="14609" s="1"/>
  <c r="B70" i="14606"/>
  <c r="GP120" i="14609" s="1"/>
  <c r="C70" i="14606"/>
  <c r="GQ120" i="14609" s="1"/>
  <c r="F68" i="14606"/>
  <c r="FN120" i="14609" s="1"/>
  <c r="L66" i="14606"/>
  <c r="EN120" i="14609" s="1"/>
  <c r="K65" i="14606"/>
  <c r="DW120" i="14609" s="1"/>
  <c r="L65" i="14606"/>
  <c r="DX120" i="14609" s="1"/>
  <c r="E69" i="14606"/>
  <c r="GC120" i="14609" s="1"/>
  <c r="F69" i="14606"/>
  <c r="GD120" i="14609" s="1"/>
  <c r="G69" i="14606"/>
  <c r="GE120" i="14609" s="1"/>
  <c r="L67" i="14606"/>
  <c r="FD120" i="14609" s="1"/>
  <c r="B71" i="14606"/>
  <c r="HF120" i="14609" s="1"/>
  <c r="A72" i="14606"/>
  <c r="HU120" i="14609" s="1"/>
  <c r="N73" i="14606"/>
  <c r="B121" i="14609" s="1"/>
  <c r="O73" i="14606"/>
  <c r="C121" i="14609" s="1"/>
  <c r="D70" i="14606"/>
  <c r="GR120" i="14609" s="1"/>
  <c r="E70" i="14606"/>
  <c r="GS120" i="14609" s="1"/>
  <c r="F70" i="14606"/>
  <c r="GT120" i="14609" s="1"/>
  <c r="G68" i="14606"/>
  <c r="FO120" i="14609" s="1"/>
  <c r="A73" i="14606"/>
  <c r="IK120" i="14609" s="1"/>
  <c r="N74" i="14606"/>
  <c r="R121" i="14609" s="1"/>
  <c r="O74" i="14606"/>
  <c r="S121" i="14609" s="1"/>
  <c r="B72" i="14606"/>
  <c r="HV120" i="14609" s="1"/>
  <c r="H69" i="14606"/>
  <c r="GF120" i="14609" s="1"/>
  <c r="G70" i="14606"/>
  <c r="GU120" i="14609" s="1"/>
  <c r="C71" i="14606"/>
  <c r="HG120" i="14609" s="1"/>
  <c r="H68" i="14606"/>
  <c r="FP120" i="14609" s="1"/>
  <c r="I68" i="14606"/>
  <c r="FQ120" i="14609" s="1"/>
  <c r="J68" i="14606"/>
  <c r="FR120" i="14609" s="1"/>
  <c r="I69" i="14606"/>
  <c r="GG120" i="14609" s="1"/>
  <c r="H70" i="14606"/>
  <c r="GV120" i="14609" s="1"/>
  <c r="K68" i="14606"/>
  <c r="FS120" i="14609" s="1"/>
  <c r="L68" i="14606"/>
  <c r="FT120" i="14609" s="1"/>
  <c r="D71" i="14606"/>
  <c r="HH120" i="14609" s="1"/>
  <c r="E71" i="14606"/>
  <c r="HI120" i="14609" s="1"/>
  <c r="J69" i="14606"/>
  <c r="GH120" i="14609" s="1"/>
  <c r="I70" i="14606"/>
  <c r="GW120" i="14609" s="1"/>
  <c r="J70" i="14606"/>
  <c r="GX120" i="14609" s="1"/>
  <c r="B73" i="14606"/>
  <c r="IL120" i="14609" s="1"/>
  <c r="C73" i="14606"/>
  <c r="IM120" i="14609" s="1"/>
  <c r="A74" i="14606"/>
  <c r="E121" i="14609" s="1"/>
  <c r="N75" i="14606"/>
  <c r="AH121" i="14609" s="1"/>
  <c r="O75" i="14606"/>
  <c r="AI121" i="14609" s="1"/>
  <c r="C72" i="14606"/>
  <c r="HW120" i="14609" s="1"/>
  <c r="K69" i="14606"/>
  <c r="GI120" i="14609" s="1"/>
  <c r="L69" i="14606"/>
  <c r="GJ120" i="14609" s="1"/>
  <c r="K70" i="14606"/>
  <c r="GY120" i="14609" s="1"/>
  <c r="L70" i="14606"/>
  <c r="GZ120" i="14609" s="1"/>
  <c r="A75" i="14606"/>
  <c r="U121" i="14609" s="1"/>
  <c r="N76" i="14606"/>
  <c r="AX121" i="14609" s="1"/>
  <c r="O76" i="14606"/>
  <c r="AY121" i="14609" s="1"/>
  <c r="D73" i="14606"/>
  <c r="IN120" i="14609" s="1"/>
  <c r="D72" i="14606"/>
  <c r="HX120" i="14609" s="1"/>
  <c r="F71" i="14606"/>
  <c r="HJ120" i="14609" s="1"/>
  <c r="B74" i="14606"/>
  <c r="F121" i="14609" s="1"/>
  <c r="E72" i="14606"/>
  <c r="HY120" i="14609" s="1"/>
  <c r="F72" i="14606"/>
  <c r="HZ120" i="14609" s="1"/>
  <c r="G72" i="14606"/>
  <c r="IA120" i="14609" s="1"/>
  <c r="G71" i="14606"/>
  <c r="HK120" i="14609" s="1"/>
  <c r="H71" i="14606"/>
  <c r="HL120" i="14609" s="1"/>
  <c r="B75" i="14606"/>
  <c r="V121" i="14609" s="1"/>
  <c r="C75" i="14606"/>
  <c r="W121" i="14609" s="1"/>
  <c r="C74" i="14606"/>
  <c r="G121" i="14609" s="1"/>
  <c r="E73" i="14606"/>
  <c r="IO120" i="14609" s="1"/>
  <c r="A76" i="14606"/>
  <c r="AK121" i="14609" s="1"/>
  <c r="N77" i="14606"/>
  <c r="BN121" i="14609" s="1"/>
  <c r="O77" i="14606"/>
  <c r="BO121" i="14609" s="1"/>
  <c r="D74" i="14606"/>
  <c r="H121" i="14609" s="1"/>
  <c r="I71" i="14606"/>
  <c r="HM120" i="14609" s="1"/>
  <c r="H72" i="14606"/>
  <c r="IB120" i="14609" s="1"/>
  <c r="A77" i="14606"/>
  <c r="BA121" i="14609" s="1"/>
  <c r="N78" i="14606"/>
  <c r="CD121" i="14609" s="1"/>
  <c r="O78" i="14606"/>
  <c r="CE121" i="14609" s="1"/>
  <c r="F73" i="14606"/>
  <c r="IP120" i="14609" s="1"/>
  <c r="G73" i="14606"/>
  <c r="IQ120" i="14609" s="1"/>
  <c r="D75" i="14606"/>
  <c r="X121" i="14609" s="1"/>
  <c r="B76" i="14606"/>
  <c r="AL121" i="14609" s="1"/>
  <c r="C76" i="14606"/>
  <c r="AM121" i="14609" s="1"/>
  <c r="E74" i="14606"/>
  <c r="I121" i="14609" s="1"/>
  <c r="F74" i="14606"/>
  <c r="J121" i="14609" s="1"/>
  <c r="D121" i="14609"/>
  <c r="I72" i="14606"/>
  <c r="IC120" i="14609" s="1"/>
  <c r="J72" i="14606"/>
  <c r="ID120" i="14609" s="1"/>
  <c r="J71" i="14606"/>
  <c r="HN120" i="14609" s="1"/>
  <c r="K71" i="14606"/>
  <c r="HO120" i="14609" s="1"/>
  <c r="L71" i="14606"/>
  <c r="HP120" i="14609" s="1"/>
  <c r="H73" i="14606"/>
  <c r="IR120" i="14609" s="1"/>
  <c r="D76" i="14606"/>
  <c r="AN121" i="14609" s="1"/>
  <c r="B77" i="14606"/>
  <c r="BB121" i="14609" s="1"/>
  <c r="C77" i="14606"/>
  <c r="BC121" i="14609" s="1"/>
  <c r="E75" i="14606"/>
  <c r="Y121" i="14609" s="1"/>
  <c r="A78" i="14606"/>
  <c r="BQ121" i="14609" s="1"/>
  <c r="N79" i="14606"/>
  <c r="CT121" i="14609" s="1"/>
  <c r="O79" i="14606"/>
  <c r="CU121" i="14609" s="1"/>
  <c r="G74" i="14606"/>
  <c r="K121" i="14609" s="1"/>
  <c r="H74" i="14606"/>
  <c r="L121" i="14609" s="1"/>
  <c r="I73" i="14606"/>
  <c r="IS120" i="14609" s="1"/>
  <c r="J73" i="14606"/>
  <c r="IT120" i="14609" s="1"/>
  <c r="K72" i="14606"/>
  <c r="IE120" i="14609" s="1"/>
  <c r="L72" i="14606"/>
  <c r="IF120" i="14609" s="1"/>
  <c r="D77" i="14606"/>
  <c r="BD121" i="14609" s="1"/>
  <c r="A79" i="14606"/>
  <c r="CG121" i="14609" s="1"/>
  <c r="N80" i="14606"/>
  <c r="DJ121" i="14609" s="1"/>
  <c r="O80" i="14606"/>
  <c r="DK121" i="14609" s="1"/>
  <c r="B78" i="14606"/>
  <c r="BR121" i="14609" s="1"/>
  <c r="F75" i="14606"/>
  <c r="Z121" i="14609" s="1"/>
  <c r="I74" i="14606"/>
  <c r="M121" i="14609" s="1"/>
  <c r="E76" i="14606"/>
  <c r="AO121" i="14609" s="1"/>
  <c r="J74" i="14606"/>
  <c r="N121" i="14609" s="1"/>
  <c r="K74" i="14606"/>
  <c r="O121" i="14609" s="1"/>
  <c r="L74" i="14606"/>
  <c r="P121" i="14609" s="1"/>
  <c r="K73" i="14606"/>
  <c r="IU120" i="14609" s="1"/>
  <c r="L73" i="14606"/>
  <c r="IV120" i="14609" s="1"/>
  <c r="C78" i="14606"/>
  <c r="BS121" i="14609" s="1"/>
  <c r="D78" i="14606"/>
  <c r="BT121" i="14609" s="1"/>
  <c r="E78" i="14606"/>
  <c r="BU121" i="14609" s="1"/>
  <c r="E77" i="14606"/>
  <c r="BE121" i="14609" s="1"/>
  <c r="F77" i="14606"/>
  <c r="BF121" i="14609" s="1"/>
  <c r="B79" i="14606"/>
  <c r="CH121" i="14609" s="1"/>
  <c r="G75" i="14606"/>
  <c r="AA121" i="14609" s="1"/>
  <c r="A80" i="14606"/>
  <c r="CW121" i="14609" s="1"/>
  <c r="N81" i="14606"/>
  <c r="DZ121" i="14609" s="1"/>
  <c r="O81" i="14606"/>
  <c r="EA121" i="14609" s="1"/>
  <c r="F76" i="14606"/>
  <c r="AP121" i="14609" s="1"/>
  <c r="H75" i="14606"/>
  <c r="AB121" i="14609" s="1"/>
  <c r="G77" i="14606"/>
  <c r="BG121" i="14609" s="1"/>
  <c r="F78" i="14606"/>
  <c r="BV121" i="14609" s="1"/>
  <c r="A81" i="14606"/>
  <c r="DM121" i="14609" s="1"/>
  <c r="N82" i="14606"/>
  <c r="EP121" i="14609" s="1"/>
  <c r="O82" i="14606"/>
  <c r="EQ121" i="14609" s="1"/>
  <c r="B80" i="14606"/>
  <c r="CX121" i="14609" s="1"/>
  <c r="C80" i="14606"/>
  <c r="CY121" i="14609" s="1"/>
  <c r="C79" i="14606"/>
  <c r="CI121" i="14609" s="1"/>
  <c r="G76" i="14606"/>
  <c r="AQ121" i="14609" s="1"/>
  <c r="H77" i="14606"/>
  <c r="BH121" i="14609" s="1"/>
  <c r="I77" i="14606"/>
  <c r="BI121" i="14609" s="1"/>
  <c r="J77" i="14606"/>
  <c r="BJ121" i="14609" s="1"/>
  <c r="I75" i="14606"/>
  <c r="AC121" i="14609" s="1"/>
  <c r="J75" i="14606"/>
  <c r="AD121" i="14609" s="1"/>
  <c r="G78" i="14606"/>
  <c r="BW121" i="14609" s="1"/>
  <c r="H78" i="14606"/>
  <c r="BX121" i="14609" s="1"/>
  <c r="I78" i="14606"/>
  <c r="BY121" i="14609" s="1"/>
  <c r="J78" i="14606"/>
  <c r="BZ121" i="14609" s="1"/>
  <c r="K78" i="14606"/>
  <c r="CA121" i="14609" s="1"/>
  <c r="D80" i="14606"/>
  <c r="CZ121" i="14609" s="1"/>
  <c r="H76" i="14606"/>
  <c r="AR121" i="14609" s="1"/>
  <c r="I76" i="14606"/>
  <c r="AS121" i="14609" s="1"/>
  <c r="J76" i="14606"/>
  <c r="AT121" i="14609" s="1"/>
  <c r="A82" i="14606"/>
  <c r="EC121" i="14609" s="1"/>
  <c r="N83" i="14606"/>
  <c r="FF121" i="14609" s="1"/>
  <c r="O83" i="14606"/>
  <c r="FG121" i="14609" s="1"/>
  <c r="B81" i="14606"/>
  <c r="DN121" i="14609" s="1"/>
  <c r="C81" i="14606"/>
  <c r="DO121" i="14609" s="1"/>
  <c r="D79" i="14606"/>
  <c r="CJ121" i="14609" s="1"/>
  <c r="E79" i="14606"/>
  <c r="CK121" i="14609" s="1"/>
  <c r="K77" i="14606"/>
  <c r="BK121" i="14609" s="1"/>
  <c r="L77" i="14606"/>
  <c r="BL121" i="14609" s="1"/>
  <c r="K75" i="14606"/>
  <c r="AE121" i="14609" s="1"/>
  <c r="L75" i="14606"/>
  <c r="AF121" i="14609" s="1"/>
  <c r="E80" i="14606"/>
  <c r="DA121" i="14609" s="1"/>
  <c r="F80" i="14606"/>
  <c r="DB121" i="14609" s="1"/>
  <c r="G80" i="14606"/>
  <c r="DC121" i="14609" s="1"/>
  <c r="L78" i="14606"/>
  <c r="CB121" i="14609" s="1"/>
  <c r="K76" i="14606"/>
  <c r="AU121" i="14609" s="1"/>
  <c r="L76" i="14606"/>
  <c r="AV121" i="14609" s="1"/>
  <c r="D81" i="14606"/>
  <c r="DP121" i="14609" s="1"/>
  <c r="E81" i="14606"/>
  <c r="DQ121" i="14609" s="1"/>
  <c r="F81" i="14606"/>
  <c r="DR121" i="14609" s="1"/>
  <c r="A83" i="14606"/>
  <c r="ES121" i="14609" s="1"/>
  <c r="N84" i="14606"/>
  <c r="FV121" i="14609" s="1"/>
  <c r="O84" i="14606"/>
  <c r="FW121" i="14609" s="1"/>
  <c r="F79" i="14606"/>
  <c r="CL121" i="14609" s="1"/>
  <c r="B82" i="14606"/>
  <c r="ED121" i="14609" s="1"/>
  <c r="G79" i="14606"/>
  <c r="CM121" i="14609" s="1"/>
  <c r="H79" i="14606"/>
  <c r="CN121" i="14609" s="1"/>
  <c r="H80" i="14606"/>
  <c r="DD121" i="14609" s="1"/>
  <c r="I80" i="14606"/>
  <c r="DE121" i="14609" s="1"/>
  <c r="B83" i="14606"/>
  <c r="ET121" i="14609" s="1"/>
  <c r="C83" i="14606"/>
  <c r="EU121" i="14609" s="1"/>
  <c r="D83" i="14606"/>
  <c r="EV121" i="14609" s="1"/>
  <c r="A84" i="14606"/>
  <c r="FI121" i="14609" s="1"/>
  <c r="N85" i="14606"/>
  <c r="GL121" i="14609" s="1"/>
  <c r="O85" i="14606"/>
  <c r="GM121" i="14609" s="1"/>
  <c r="C82" i="14606"/>
  <c r="EE121" i="14609" s="1"/>
  <c r="D82" i="14606"/>
  <c r="EF121" i="14609" s="1"/>
  <c r="E82" i="14606"/>
  <c r="EG121" i="14609" s="1"/>
  <c r="G81" i="14606"/>
  <c r="DS121" i="14609" s="1"/>
  <c r="I79" i="14606"/>
  <c r="CO121" i="14609" s="1"/>
  <c r="J79" i="14606"/>
  <c r="CP121" i="14609" s="1"/>
  <c r="J80" i="14606"/>
  <c r="DF121" i="14609" s="1"/>
  <c r="H81" i="14606"/>
  <c r="DT121" i="14609" s="1"/>
  <c r="I81" i="14606"/>
  <c r="DU121" i="14609" s="1"/>
  <c r="J81" i="14606"/>
  <c r="DV121" i="14609" s="1"/>
  <c r="B84" i="14606"/>
  <c r="FJ121" i="14609" s="1"/>
  <c r="A85" i="14606"/>
  <c r="FY121" i="14609" s="1"/>
  <c r="N86" i="14606"/>
  <c r="HB121" i="14609" s="1"/>
  <c r="O86" i="14606"/>
  <c r="HC121" i="14609" s="1"/>
  <c r="E83" i="14606"/>
  <c r="EW121" i="14609" s="1"/>
  <c r="F82" i="14606"/>
  <c r="EH121" i="14609" s="1"/>
  <c r="K79" i="14606"/>
  <c r="CQ121" i="14609" s="1"/>
  <c r="L79" i="14606"/>
  <c r="CR121" i="14609" s="1"/>
  <c r="K81" i="14606"/>
  <c r="DW121" i="14609" s="1"/>
  <c r="L81" i="14606"/>
  <c r="DX121" i="14609" s="1"/>
  <c r="F83" i="14606"/>
  <c r="EX121" i="14609" s="1"/>
  <c r="K80" i="14606"/>
  <c r="DG121" i="14609" s="1"/>
  <c r="L80" i="14606"/>
  <c r="DH121" i="14609" s="1"/>
  <c r="C84" i="14606"/>
  <c r="FK121" i="14609" s="1"/>
  <c r="B85" i="14606"/>
  <c r="FZ121" i="14609" s="1"/>
  <c r="A86" i="14606"/>
  <c r="GO121" i="14609" s="1"/>
  <c r="N87" i="14606"/>
  <c r="HR121" i="14609" s="1"/>
  <c r="O87" i="14606"/>
  <c r="HS121" i="14609" s="1"/>
  <c r="G82" i="14606"/>
  <c r="EI121" i="14609" s="1"/>
  <c r="G83" i="14606"/>
  <c r="EY121" i="14609" s="1"/>
  <c r="H83" i="14606"/>
  <c r="EZ121" i="14609" s="1"/>
  <c r="I83" i="14606"/>
  <c r="FA121" i="14609" s="1"/>
  <c r="J83" i="14606"/>
  <c r="FB121" i="14609" s="1"/>
  <c r="D84" i="14606"/>
  <c r="FL121" i="14609" s="1"/>
  <c r="B86" i="14606"/>
  <c r="GP121" i="14609" s="1"/>
  <c r="C86" i="14606"/>
  <c r="GQ121" i="14609" s="1"/>
  <c r="A87" i="14606"/>
  <c r="HE121" i="14609" s="1"/>
  <c r="N88" i="14606"/>
  <c r="IH121" i="14609" s="1"/>
  <c r="O88" i="14606"/>
  <c r="II121" i="14609" s="1"/>
  <c r="C85" i="14606"/>
  <c r="GA121" i="14609" s="1"/>
  <c r="H82" i="14606"/>
  <c r="EJ121" i="14609" s="1"/>
  <c r="K83" i="14606"/>
  <c r="FC121" i="14609" s="1"/>
  <c r="L83" i="14606"/>
  <c r="FD121" i="14609" s="1"/>
  <c r="D85" i="14606"/>
  <c r="GB121" i="14609" s="1"/>
  <c r="E85" i="14606"/>
  <c r="GC121" i="14609" s="1"/>
  <c r="I82" i="14606"/>
  <c r="EK121" i="14609" s="1"/>
  <c r="E84" i="14606"/>
  <c r="FM121" i="14609" s="1"/>
  <c r="D86" i="14606"/>
  <c r="GR121" i="14609" s="1"/>
  <c r="B87" i="14606"/>
  <c r="HF121" i="14609" s="1"/>
  <c r="C87" i="14606"/>
  <c r="HG121" i="14609" s="1"/>
  <c r="A88" i="14606"/>
  <c r="HU121" i="14609" s="1"/>
  <c r="N89" i="14606"/>
  <c r="B122" i="14609" s="1"/>
  <c r="O89" i="14606"/>
  <c r="C122" i="14609" s="1"/>
  <c r="J82" i="14606"/>
  <c r="EL121" i="14609" s="1"/>
  <c r="K82" i="14606"/>
  <c r="EM121" i="14609" s="1"/>
  <c r="F84" i="14606"/>
  <c r="FN121" i="14609" s="1"/>
  <c r="D87" i="14606"/>
  <c r="HH121" i="14609" s="1"/>
  <c r="B88" i="14606"/>
  <c r="HV121" i="14609" s="1"/>
  <c r="C88" i="14606"/>
  <c r="HW121" i="14609" s="1"/>
  <c r="D88" i="14606"/>
  <c r="HX121" i="14609" s="1"/>
  <c r="A89" i="14606"/>
  <c r="IK121" i="14609" s="1"/>
  <c r="N90" i="14606"/>
  <c r="R122" i="14609" s="1"/>
  <c r="O90" i="14606"/>
  <c r="S122" i="14609" s="1"/>
  <c r="F85" i="14606"/>
  <c r="GD121" i="14609" s="1"/>
  <c r="G85" i="14606"/>
  <c r="GE121" i="14609" s="1"/>
  <c r="H85" i="14606"/>
  <c r="GF121" i="14609" s="1"/>
  <c r="E86" i="14606"/>
  <c r="GS121" i="14609" s="1"/>
  <c r="L82" i="14606"/>
  <c r="EN121" i="14609" s="1"/>
  <c r="E87" i="14606"/>
  <c r="HI121" i="14609" s="1"/>
  <c r="F87" i="14606"/>
  <c r="HJ121" i="14609" s="1"/>
  <c r="G87" i="14606"/>
  <c r="HK121" i="14609" s="1"/>
  <c r="G84" i="14606"/>
  <c r="FO121" i="14609" s="1"/>
  <c r="H84" i="14606"/>
  <c r="FP121" i="14609" s="1"/>
  <c r="I84" i="14606"/>
  <c r="FQ121" i="14609" s="1"/>
  <c r="J84" i="14606"/>
  <c r="FR121" i="14609" s="1"/>
  <c r="I85" i="14606"/>
  <c r="GG121" i="14609" s="1"/>
  <c r="J85" i="14606"/>
  <c r="GH121" i="14609" s="1"/>
  <c r="B89" i="14606"/>
  <c r="IL121" i="14609" s="1"/>
  <c r="A90" i="14606"/>
  <c r="E122" i="14609" s="1"/>
  <c r="N91" i="14606"/>
  <c r="AH122" i="14609" s="1"/>
  <c r="O91" i="14606"/>
  <c r="AI122" i="14609" s="1"/>
  <c r="E88" i="14606"/>
  <c r="HY121" i="14609" s="1"/>
  <c r="F86" i="14606"/>
  <c r="GT121" i="14609" s="1"/>
  <c r="K85" i="14606"/>
  <c r="GI121" i="14609" s="1"/>
  <c r="L85" i="14606"/>
  <c r="GJ121" i="14609" s="1"/>
  <c r="K84" i="14606"/>
  <c r="FS121" i="14609" s="1"/>
  <c r="L84" i="14606"/>
  <c r="FT121" i="14609" s="1"/>
  <c r="G86" i="14606"/>
  <c r="GU121" i="14609" s="1"/>
  <c r="H86" i="14606"/>
  <c r="GV121" i="14609" s="1"/>
  <c r="A91" i="14606"/>
  <c r="U122" i="14609" s="1"/>
  <c r="N92" i="14606"/>
  <c r="AX122" i="14609" s="1"/>
  <c r="O92" i="14606"/>
  <c r="AY122" i="14609" s="1"/>
  <c r="F88" i="14606"/>
  <c r="HZ121" i="14609" s="1"/>
  <c r="G88" i="14606"/>
  <c r="IA121" i="14609" s="1"/>
  <c r="B90" i="14606"/>
  <c r="F122" i="14609" s="1"/>
  <c r="C90" i="14606"/>
  <c r="G122" i="14609" s="1"/>
  <c r="D90" i="14606"/>
  <c r="H122" i="14609" s="1"/>
  <c r="D122" i="14609"/>
  <c r="H87" i="14606"/>
  <c r="HL121" i="14609" s="1"/>
  <c r="C89" i="14606"/>
  <c r="IM121" i="14609" s="1"/>
  <c r="I87" i="14606"/>
  <c r="HM121" i="14609" s="1"/>
  <c r="J87" i="14606"/>
  <c r="HN121" i="14609" s="1"/>
  <c r="D89" i="14606"/>
  <c r="IN121" i="14609" s="1"/>
  <c r="E89" i="14606"/>
  <c r="IO121" i="14609" s="1"/>
  <c r="E90" i="14606"/>
  <c r="I122" i="14609" s="1"/>
  <c r="F90" i="14606"/>
  <c r="J122" i="14609" s="1"/>
  <c r="I86" i="14606"/>
  <c r="GW121" i="14609" s="1"/>
  <c r="A92" i="14606"/>
  <c r="AK122" i="14609" s="1"/>
  <c r="N93" i="14606"/>
  <c r="BN122" i="14609" s="1"/>
  <c r="O93" i="14606"/>
  <c r="BO122" i="14609" s="1"/>
  <c r="H88" i="14606"/>
  <c r="IB121" i="14609" s="1"/>
  <c r="I88" i="14606"/>
  <c r="IC121" i="14609" s="1"/>
  <c r="B91" i="14606"/>
  <c r="V122" i="14609" s="1"/>
  <c r="F89" i="14606"/>
  <c r="IP121" i="14609" s="1"/>
  <c r="K87" i="14606"/>
  <c r="HO121" i="14609" s="1"/>
  <c r="L87" i="14606"/>
  <c r="HP121" i="14609" s="1"/>
  <c r="J86" i="14606"/>
  <c r="GX121" i="14609" s="1"/>
  <c r="K86" i="14606"/>
  <c r="GY121" i="14609" s="1"/>
  <c r="G90" i="14606"/>
  <c r="K122" i="14609" s="1"/>
  <c r="H90" i="14606"/>
  <c r="L122" i="14609" s="1"/>
  <c r="J88" i="14606"/>
  <c r="ID121" i="14609" s="1"/>
  <c r="K88" i="14606"/>
  <c r="IE121" i="14609" s="1"/>
  <c r="A93" i="14606"/>
  <c r="BA122" i="14609" s="1"/>
  <c r="N94" i="14606"/>
  <c r="CD122" i="14609" s="1"/>
  <c r="O94" i="14606"/>
  <c r="CE122" i="14609" s="1"/>
  <c r="B92" i="14606"/>
  <c r="AL122" i="14609" s="1"/>
  <c r="C91" i="14606"/>
  <c r="W122" i="14609" s="1"/>
  <c r="G89" i="14606"/>
  <c r="IQ121" i="14609" s="1"/>
  <c r="H89" i="14606"/>
  <c r="IR121" i="14609" s="1"/>
  <c r="L86" i="14606"/>
  <c r="GZ121" i="14609" s="1"/>
  <c r="L88" i="14606"/>
  <c r="IF121" i="14609" s="1"/>
  <c r="I90" i="14606"/>
  <c r="M122" i="14609" s="1"/>
  <c r="I89" i="14606"/>
  <c r="IS121" i="14609" s="1"/>
  <c r="J89" i="14606"/>
  <c r="IT121" i="14609" s="1"/>
  <c r="C92" i="14606"/>
  <c r="AM122" i="14609" s="1"/>
  <c r="B93" i="14606"/>
  <c r="BB122" i="14609" s="1"/>
  <c r="A94" i="14606"/>
  <c r="BQ122" i="14609" s="1"/>
  <c r="N95" i="14606"/>
  <c r="CT122" i="14609" s="1"/>
  <c r="O95" i="14606"/>
  <c r="CU122" i="14609" s="1"/>
  <c r="D91" i="14606"/>
  <c r="X122" i="14609" s="1"/>
  <c r="J90" i="14606"/>
  <c r="N122" i="14609" s="1"/>
  <c r="K90" i="14606"/>
  <c r="O122" i="14609" s="1"/>
  <c r="L90" i="14606"/>
  <c r="P122" i="14609" s="1"/>
  <c r="K89" i="14606"/>
  <c r="IU121" i="14609" s="1"/>
  <c r="L89" i="14606"/>
  <c r="IV121" i="14609" s="1"/>
  <c r="D92" i="14606"/>
  <c r="AN122" i="14609" s="1"/>
  <c r="A95" i="14606"/>
  <c r="CG122" i="14609" s="1"/>
  <c r="N96" i="14606"/>
  <c r="DJ122" i="14609" s="1"/>
  <c r="O96" i="14606"/>
  <c r="DK122" i="14609" s="1"/>
  <c r="E91" i="14606"/>
  <c r="Y122" i="14609" s="1"/>
  <c r="B94" i="14606"/>
  <c r="BR122" i="14609" s="1"/>
  <c r="C94" i="14606"/>
  <c r="BS122" i="14609" s="1"/>
  <c r="C93" i="14606"/>
  <c r="BC122" i="14609" s="1"/>
  <c r="D93" i="14606"/>
  <c r="BD122" i="14609" s="1"/>
  <c r="E93" i="14606"/>
  <c r="BE122" i="14609" s="1"/>
  <c r="F93" i="14606"/>
  <c r="BF122" i="14609" s="1"/>
  <c r="F91" i="14606"/>
  <c r="Z122" i="14609" s="1"/>
  <c r="G91" i="14606"/>
  <c r="AA122" i="14609" s="1"/>
  <c r="E92" i="14606"/>
  <c r="AO122" i="14609" s="1"/>
  <c r="B95" i="14606"/>
  <c r="CH122" i="14609" s="1"/>
  <c r="A96" i="14606"/>
  <c r="CW122" i="14609" s="1"/>
  <c r="N97" i="14606"/>
  <c r="DZ122" i="14609" s="1"/>
  <c r="O97" i="14606"/>
  <c r="EA122" i="14609" s="1"/>
  <c r="D94" i="14606"/>
  <c r="BT122" i="14609" s="1"/>
  <c r="H91" i="14606"/>
  <c r="AB122" i="14609" s="1"/>
  <c r="I91" i="14606"/>
  <c r="AC122" i="14609" s="1"/>
  <c r="F92" i="14606"/>
  <c r="AP122" i="14609" s="1"/>
  <c r="G93" i="14606"/>
  <c r="BG122" i="14609" s="1"/>
  <c r="H93" i="14606"/>
  <c r="BH122" i="14609" s="1"/>
  <c r="I93" i="14606"/>
  <c r="BI122" i="14609" s="1"/>
  <c r="J93" i="14606"/>
  <c r="BJ122" i="14609" s="1"/>
  <c r="B96" i="14606"/>
  <c r="CX122" i="14609" s="1"/>
  <c r="E94" i="14606"/>
  <c r="BU122" i="14609" s="1"/>
  <c r="C95" i="14606"/>
  <c r="CI122" i="14609" s="1"/>
  <c r="D95" i="14606"/>
  <c r="CJ122" i="14609" s="1"/>
  <c r="A97" i="14606"/>
  <c r="DM122" i="14609" s="1"/>
  <c r="N98" i="14606"/>
  <c r="EP122" i="14609" s="1"/>
  <c r="O98" i="14606"/>
  <c r="EQ122" i="14609" s="1"/>
  <c r="K93" i="14606"/>
  <c r="BK122" i="14609" s="1"/>
  <c r="L93" i="14606"/>
  <c r="BL122" i="14609" s="1"/>
  <c r="G92" i="14606"/>
  <c r="AQ122" i="14609" s="1"/>
  <c r="H92" i="14606"/>
  <c r="AR122" i="14609" s="1"/>
  <c r="J91" i="14606"/>
  <c r="AD122" i="14609" s="1"/>
  <c r="B97" i="14606"/>
  <c r="DN122" i="14609" s="1"/>
  <c r="C97" i="14606"/>
  <c r="DO122" i="14609" s="1"/>
  <c r="F94" i="14606"/>
  <c r="BV122" i="14609" s="1"/>
  <c r="G94" i="14606"/>
  <c r="BW122" i="14609" s="1"/>
  <c r="C96" i="14606"/>
  <c r="CY122" i="14609" s="1"/>
  <c r="A98" i="14606"/>
  <c r="EC122" i="14609" s="1"/>
  <c r="N99" i="14606"/>
  <c r="FF122" i="14609" s="1"/>
  <c r="O99" i="14606"/>
  <c r="FG122" i="14609" s="1"/>
  <c r="E95" i="14606"/>
  <c r="CK122" i="14609" s="1"/>
  <c r="I92" i="14606"/>
  <c r="AS122" i="14609" s="1"/>
  <c r="J92" i="14606"/>
  <c r="AT122" i="14609" s="1"/>
  <c r="K91" i="14606"/>
  <c r="AE122" i="14609" s="1"/>
  <c r="L91" i="14606"/>
  <c r="AF122" i="14609" s="1"/>
  <c r="H94" i="14606"/>
  <c r="BX122" i="14609" s="1"/>
  <c r="B98" i="14606"/>
  <c r="ED122" i="14609" s="1"/>
  <c r="C98" i="14606"/>
  <c r="EE122" i="14609" s="1"/>
  <c r="D97" i="14606"/>
  <c r="DP122" i="14609" s="1"/>
  <c r="F95" i="14606"/>
  <c r="CL122" i="14609" s="1"/>
  <c r="G95" i="14606"/>
  <c r="CM122" i="14609" s="1"/>
  <c r="A99" i="14606"/>
  <c r="ES122" i="14609" s="1"/>
  <c r="N100" i="14606"/>
  <c r="FV122" i="14609" s="1"/>
  <c r="O100" i="14606"/>
  <c r="FW122" i="14609" s="1"/>
  <c r="D96" i="14606"/>
  <c r="CZ122" i="14609" s="1"/>
  <c r="K92" i="14606"/>
  <c r="AU122" i="14609" s="1"/>
  <c r="L92" i="14606"/>
  <c r="AV122" i="14609" s="1"/>
  <c r="I94" i="14606"/>
  <c r="BY122" i="14609" s="1"/>
  <c r="J94" i="14606"/>
  <c r="BZ122" i="14609" s="1"/>
  <c r="E97" i="14606"/>
  <c r="DQ122" i="14609" s="1"/>
  <c r="D98" i="14606"/>
  <c r="EF122" i="14609" s="1"/>
  <c r="E98" i="14606"/>
  <c r="EG122" i="14609" s="1"/>
  <c r="A100" i="14606"/>
  <c r="FI122" i="14609" s="1"/>
  <c r="N101" i="14606"/>
  <c r="GL122" i="14609" s="1"/>
  <c r="O101" i="14606"/>
  <c r="GM122" i="14609" s="1"/>
  <c r="B99" i="14606"/>
  <c r="ET122" i="14609" s="1"/>
  <c r="H95" i="14606"/>
  <c r="CN122" i="14609" s="1"/>
  <c r="E96" i="14606"/>
  <c r="DA122" i="14609" s="1"/>
  <c r="I95" i="14606"/>
  <c r="CO122" i="14609" s="1"/>
  <c r="J95" i="14606"/>
  <c r="CP122" i="14609" s="1"/>
  <c r="K94" i="14606"/>
  <c r="CA122" i="14609" s="1"/>
  <c r="L94" i="14606"/>
  <c r="CB122" i="14609" s="1"/>
  <c r="F97" i="14606"/>
  <c r="DR122" i="14609" s="1"/>
  <c r="C99" i="14606"/>
  <c r="EU122" i="14609" s="1"/>
  <c r="D99" i="14606"/>
  <c r="EV122" i="14609" s="1"/>
  <c r="E99" i="14606"/>
  <c r="EW122" i="14609" s="1"/>
  <c r="F98" i="14606"/>
  <c r="EH122" i="14609" s="1"/>
  <c r="G98" i="14606"/>
  <c r="EI122" i="14609" s="1"/>
  <c r="H98" i="14606"/>
  <c r="EJ122" i="14609" s="1"/>
  <c r="I98" i="14606"/>
  <c r="EK122" i="14609" s="1"/>
  <c r="J98" i="14606"/>
  <c r="EL122" i="14609" s="1"/>
  <c r="B100" i="14606"/>
  <c r="FJ122" i="14609" s="1"/>
  <c r="C100" i="14606"/>
  <c r="FK122" i="14609" s="1"/>
  <c r="D100" i="14606"/>
  <c r="FL122" i="14609" s="1"/>
  <c r="A101" i="14606"/>
  <c r="FY122" i="14609" s="1"/>
  <c r="N102" i="14606"/>
  <c r="HB122" i="14609" s="1"/>
  <c r="O102" i="14606"/>
  <c r="HC122" i="14609" s="1"/>
  <c r="F96" i="14606"/>
  <c r="DB122" i="14609" s="1"/>
  <c r="K95" i="14606"/>
  <c r="CQ122" i="14609" s="1"/>
  <c r="L95" i="14606"/>
  <c r="CR122" i="14609" s="1"/>
  <c r="G97" i="14606"/>
  <c r="DS122" i="14609" s="1"/>
  <c r="H97" i="14606"/>
  <c r="DT122" i="14609" s="1"/>
  <c r="I97" i="14606"/>
  <c r="DU122" i="14609" s="1"/>
  <c r="J97" i="14606"/>
  <c r="DV122" i="14609" s="1"/>
  <c r="G96" i="14606"/>
  <c r="DC122" i="14609" s="1"/>
  <c r="H96" i="14606"/>
  <c r="DD122" i="14609" s="1"/>
  <c r="I96" i="14606"/>
  <c r="DE122" i="14609" s="1"/>
  <c r="J96" i="14606"/>
  <c r="DF122" i="14609" s="1"/>
  <c r="K98" i="14606"/>
  <c r="EM122" i="14609" s="1"/>
  <c r="L98" i="14606"/>
  <c r="EN122" i="14609" s="1"/>
  <c r="F99" i="14606"/>
  <c r="EX122" i="14609" s="1"/>
  <c r="G99" i="14606"/>
  <c r="EY122" i="14609" s="1"/>
  <c r="H99" i="14606"/>
  <c r="EZ122" i="14609" s="1"/>
  <c r="I99" i="14606"/>
  <c r="FA122" i="14609" s="1"/>
  <c r="J99" i="14606"/>
  <c r="FB122" i="14609" s="1"/>
  <c r="A102" i="14606"/>
  <c r="GO122" i="14609" s="1"/>
  <c r="N103" i="14606"/>
  <c r="HR122" i="14609" s="1"/>
  <c r="O103" i="14606"/>
  <c r="HS122" i="14609" s="1"/>
  <c r="E100" i="14606"/>
  <c r="FM122" i="14609" s="1"/>
  <c r="F100" i="14606"/>
  <c r="FN122" i="14609" s="1"/>
  <c r="B101" i="14606"/>
  <c r="FZ122" i="14609" s="1"/>
  <c r="C101" i="14606"/>
  <c r="GA122" i="14609" s="1"/>
  <c r="K99" i="14606"/>
  <c r="FC122" i="14609" s="1"/>
  <c r="L99" i="14606"/>
  <c r="FD122" i="14609" s="1"/>
  <c r="K97" i="14606"/>
  <c r="DW122" i="14609" s="1"/>
  <c r="L97" i="14606"/>
  <c r="DX122" i="14609" s="1"/>
  <c r="K96" i="14606"/>
  <c r="DG122" i="14609" s="1"/>
  <c r="L96" i="14606"/>
  <c r="DH122" i="14609" s="1"/>
  <c r="D101" i="14606"/>
  <c r="GB122" i="14609" s="1"/>
  <c r="B102" i="14606"/>
  <c r="GP122" i="14609" s="1"/>
  <c r="C102" i="14606"/>
  <c r="GQ122" i="14609" s="1"/>
  <c r="A103" i="14606"/>
  <c r="HE122" i="14609" s="1"/>
  <c r="N104" i="14606"/>
  <c r="IH122" i="14609" s="1"/>
  <c r="O104" i="14606"/>
  <c r="II122" i="14609" s="1"/>
  <c r="G100" i="14606"/>
  <c r="FO122" i="14609" s="1"/>
  <c r="H100" i="14606"/>
  <c r="FP122" i="14609" s="1"/>
  <c r="A104" i="14606"/>
  <c r="HU122" i="14609" s="1"/>
  <c r="N105" i="14606"/>
  <c r="B123" i="14609" s="1"/>
  <c r="O105" i="14606"/>
  <c r="C123" i="14609" s="1"/>
  <c r="D102" i="14606"/>
  <c r="GR122" i="14609" s="1"/>
  <c r="E101" i="14606"/>
  <c r="GC122" i="14609" s="1"/>
  <c r="B103" i="14606"/>
  <c r="HF122" i="14609" s="1"/>
  <c r="I100" i="14606"/>
  <c r="FQ122" i="14609" s="1"/>
  <c r="J100" i="14606"/>
  <c r="FR122" i="14609" s="1"/>
  <c r="B104" i="14606"/>
  <c r="HV122" i="14609" s="1"/>
  <c r="C104" i="14606"/>
  <c r="HW122" i="14609" s="1"/>
  <c r="A105" i="14606"/>
  <c r="IK122" i="14609" s="1"/>
  <c r="N106" i="14606"/>
  <c r="R123" i="14609" s="1"/>
  <c r="O106" i="14606"/>
  <c r="S123" i="14609" s="1"/>
  <c r="E102" i="14606"/>
  <c r="GS122" i="14609" s="1"/>
  <c r="C103" i="14606"/>
  <c r="HG122" i="14609" s="1"/>
  <c r="F101" i="14606"/>
  <c r="GD122" i="14609" s="1"/>
  <c r="K100" i="14606"/>
  <c r="FS122" i="14609" s="1"/>
  <c r="L100" i="14606"/>
  <c r="FT122" i="14609" s="1"/>
  <c r="B105" i="14606"/>
  <c r="IL122" i="14609" s="1"/>
  <c r="C105" i="14606"/>
  <c r="IM122" i="14609" s="1"/>
  <c r="D105" i="14606"/>
  <c r="IN122" i="14609" s="1"/>
  <c r="A106" i="14606"/>
  <c r="E123" i="14609" s="1"/>
  <c r="N107" i="14606"/>
  <c r="AH123" i="14609" s="1"/>
  <c r="O107" i="14606"/>
  <c r="AI123" i="14609" s="1"/>
  <c r="G101" i="14606"/>
  <c r="GE122" i="14609" s="1"/>
  <c r="H101" i="14606"/>
  <c r="GF122" i="14609" s="1"/>
  <c r="D104" i="14606"/>
  <c r="HX122" i="14609" s="1"/>
  <c r="D103" i="14606"/>
  <c r="HH122" i="14609" s="1"/>
  <c r="F102" i="14606"/>
  <c r="GT122" i="14609" s="1"/>
  <c r="G102" i="14606"/>
  <c r="GU122" i="14609" s="1"/>
  <c r="H102" i="14606"/>
  <c r="GV122" i="14609" s="1"/>
  <c r="B106" i="14606"/>
  <c r="F123" i="14609" s="1"/>
  <c r="E103" i="14606"/>
  <c r="HI122" i="14609" s="1"/>
  <c r="E105" i="14606"/>
  <c r="IO122" i="14609" s="1"/>
  <c r="F105" i="14606"/>
  <c r="IP122" i="14609" s="1"/>
  <c r="E104" i="14606"/>
  <c r="HY122" i="14609" s="1"/>
  <c r="I101" i="14606"/>
  <c r="GG122" i="14609" s="1"/>
  <c r="J101" i="14606"/>
  <c r="GH122" i="14609" s="1"/>
  <c r="N108" i="14606"/>
  <c r="AX123" i="14609" s="1"/>
  <c r="O108" i="14606"/>
  <c r="AY123" i="14609" s="1"/>
  <c r="A107" i="14606"/>
  <c r="U123" i="14609" s="1"/>
  <c r="F103" i="14606"/>
  <c r="HJ122" i="14609" s="1"/>
  <c r="G103" i="14606"/>
  <c r="HK122" i="14609" s="1"/>
  <c r="K101" i="14606"/>
  <c r="GI122" i="14609" s="1"/>
  <c r="L101" i="14606"/>
  <c r="GJ122" i="14609" s="1"/>
  <c r="B107" i="14606"/>
  <c r="V123" i="14609" s="1"/>
  <c r="C107" i="14606"/>
  <c r="W123" i="14609" s="1"/>
  <c r="N109" i="14606"/>
  <c r="BN123" i="14609" s="1"/>
  <c r="O109" i="14606"/>
  <c r="BO123" i="14609" s="1"/>
  <c r="A108" i="14606"/>
  <c r="AK123" i="14609" s="1"/>
  <c r="F104" i="14606"/>
  <c r="HZ122" i="14609" s="1"/>
  <c r="G104" i="14606"/>
  <c r="IA122" i="14609" s="1"/>
  <c r="G105" i="14606"/>
  <c r="IQ122" i="14609" s="1"/>
  <c r="I102" i="14606"/>
  <c r="GW122" i="14609" s="1"/>
  <c r="J102" i="14606"/>
  <c r="GX122" i="14609" s="1"/>
  <c r="C106" i="14606"/>
  <c r="G123" i="14609" s="1"/>
  <c r="H103" i="14606"/>
  <c r="HL122" i="14609" s="1"/>
  <c r="I103" i="14606"/>
  <c r="HM122" i="14609" s="1"/>
  <c r="K102" i="14606"/>
  <c r="GY122" i="14609" s="1"/>
  <c r="L102" i="14606"/>
  <c r="GZ122" i="14609" s="1"/>
  <c r="H104" i="14606"/>
  <c r="IB122" i="14609" s="1"/>
  <c r="D107" i="14606"/>
  <c r="X123" i="14609" s="1"/>
  <c r="B108" i="14606"/>
  <c r="AL123" i="14609" s="1"/>
  <c r="C108" i="14606"/>
  <c r="AM123" i="14609" s="1"/>
  <c r="H105" i="14606"/>
  <c r="IR122" i="14609" s="1"/>
  <c r="J103" i="14606"/>
  <c r="HN122" i="14609" s="1"/>
  <c r="K103" i="14606"/>
  <c r="HO122" i="14609" s="1"/>
  <c r="L103" i="14606"/>
  <c r="HP122" i="14609" s="1"/>
  <c r="N110" i="14606"/>
  <c r="CD123" i="14609" s="1"/>
  <c r="O110" i="14606"/>
  <c r="CE123" i="14609" s="1"/>
  <c r="A109" i="14606"/>
  <c r="BA123" i="14609" s="1"/>
  <c r="D106" i="14606"/>
  <c r="H123" i="14609" s="1"/>
  <c r="D123" i="14609"/>
  <c r="E107" i="14606"/>
  <c r="Y123" i="14609" s="1"/>
  <c r="F107" i="14606"/>
  <c r="Z123" i="14609" s="1"/>
  <c r="I105" i="14606"/>
  <c r="IS122" i="14609" s="1"/>
  <c r="I104" i="14606"/>
  <c r="IC122" i="14609" s="1"/>
  <c r="B109" i="14606"/>
  <c r="BB123" i="14609" s="1"/>
  <c r="C109" i="14606"/>
  <c r="BC123" i="14609" s="1"/>
  <c r="D108" i="14606"/>
  <c r="AN123" i="14609" s="1"/>
  <c r="E106" i="14606"/>
  <c r="I123" i="14609" s="1"/>
  <c r="N111" i="14606"/>
  <c r="CT123" i="14609" s="1"/>
  <c r="O111" i="14606"/>
  <c r="CU123" i="14609" s="1"/>
  <c r="A110" i="14606"/>
  <c r="BQ123" i="14609" s="1"/>
  <c r="G107" i="14606"/>
  <c r="AA123" i="14609" s="1"/>
  <c r="H107" i="14606"/>
  <c r="AB123" i="14609" s="1"/>
  <c r="I107" i="14606"/>
  <c r="AC123" i="14609" s="1"/>
  <c r="J104" i="14606"/>
  <c r="ID122" i="14609" s="1"/>
  <c r="K104" i="14606"/>
  <c r="IE122" i="14609" s="1"/>
  <c r="J105" i="14606"/>
  <c r="IT122" i="14609" s="1"/>
  <c r="K105" i="14606"/>
  <c r="IU122" i="14609" s="1"/>
  <c r="D109" i="14606"/>
  <c r="BD123" i="14609" s="1"/>
  <c r="E109" i="14606"/>
  <c r="BE123" i="14609" s="1"/>
  <c r="F109" i="14606"/>
  <c r="BF123" i="14609" s="1"/>
  <c r="A111" i="14606"/>
  <c r="CG123" i="14609" s="1"/>
  <c r="N112" i="14606"/>
  <c r="DJ123" i="14609" s="1"/>
  <c r="O112" i="14606"/>
  <c r="DK123" i="14609" s="1"/>
  <c r="B110" i="14606"/>
  <c r="BR123" i="14609" s="1"/>
  <c r="F106" i="14606"/>
  <c r="J123" i="14609" s="1"/>
  <c r="E108" i="14606"/>
  <c r="AO123" i="14609" s="1"/>
  <c r="L104" i="14606"/>
  <c r="IF122" i="14609" s="1"/>
  <c r="L105" i="14606"/>
  <c r="IV122" i="14609" s="1"/>
  <c r="F108" i="14606"/>
  <c r="AP123" i="14609" s="1"/>
  <c r="G108" i="14606"/>
  <c r="AQ123" i="14609" s="1"/>
  <c r="H108" i="14606"/>
  <c r="AR123" i="14609" s="1"/>
  <c r="I108" i="14606"/>
  <c r="AS123" i="14609" s="1"/>
  <c r="G109" i="14606"/>
  <c r="BG123" i="14609" s="1"/>
  <c r="H109" i="14606"/>
  <c r="BH123" i="14609" s="1"/>
  <c r="I109" i="14606"/>
  <c r="BI123" i="14609" s="1"/>
  <c r="J109" i="14606"/>
  <c r="BJ123" i="14609" s="1"/>
  <c r="A112" i="14606"/>
  <c r="CW123" i="14609" s="1"/>
  <c r="N113" i="14606"/>
  <c r="DZ123" i="14609" s="1"/>
  <c r="O113" i="14606"/>
  <c r="EA123" i="14609" s="1"/>
  <c r="C110" i="14606"/>
  <c r="BS123" i="14609" s="1"/>
  <c r="J107" i="14606"/>
  <c r="AD123" i="14609" s="1"/>
  <c r="K107" i="14606"/>
  <c r="AE123" i="14609" s="1"/>
  <c r="G106" i="14606"/>
  <c r="K123" i="14609" s="1"/>
  <c r="B111" i="14606"/>
  <c r="CH123" i="14609" s="1"/>
  <c r="K109" i="14606"/>
  <c r="BK123" i="14609" s="1"/>
  <c r="L109" i="14606"/>
  <c r="BL123" i="14609" s="1"/>
  <c r="L107" i="14606"/>
  <c r="AF123" i="14609" s="1"/>
  <c r="J108" i="14606"/>
  <c r="AT123" i="14609" s="1"/>
  <c r="K108" i="14606"/>
  <c r="AU123" i="14609" s="1"/>
  <c r="B112" i="14606"/>
  <c r="CX123" i="14609" s="1"/>
  <c r="C112" i="14606"/>
  <c r="CY123" i="14609" s="1"/>
  <c r="D112" i="14606"/>
  <c r="CZ123" i="14609" s="1"/>
  <c r="A113" i="14606"/>
  <c r="DM123" i="14609" s="1"/>
  <c r="N114" i="14606"/>
  <c r="EP123" i="14609" s="1"/>
  <c r="O114" i="14606"/>
  <c r="EQ123" i="14609" s="1"/>
  <c r="C111" i="14606"/>
  <c r="CI123" i="14609" s="1"/>
  <c r="H106" i="14606"/>
  <c r="L123" i="14609" s="1"/>
  <c r="I106" i="14606"/>
  <c r="M123" i="14609" s="1"/>
  <c r="D110" i="14606"/>
  <c r="BT123" i="14609" s="1"/>
  <c r="E110" i="14606"/>
  <c r="BU123" i="14609" s="1"/>
  <c r="F110" i="14606"/>
  <c r="BV123" i="14609" s="1"/>
  <c r="L108" i="14606"/>
  <c r="AV123" i="14609" s="1"/>
  <c r="G110" i="14606"/>
  <c r="BW123" i="14609" s="1"/>
  <c r="A114" i="14606"/>
  <c r="EC123" i="14609" s="1"/>
  <c r="N115" i="14606"/>
  <c r="FF123" i="14609" s="1"/>
  <c r="O115" i="14606"/>
  <c r="FG123" i="14609" s="1"/>
  <c r="E112" i="14606"/>
  <c r="DA123" i="14609" s="1"/>
  <c r="F112" i="14606"/>
  <c r="DB123" i="14609" s="1"/>
  <c r="G112" i="14606"/>
  <c r="DC123" i="14609" s="1"/>
  <c r="J106" i="14606"/>
  <c r="N123" i="14609" s="1"/>
  <c r="K106" i="14606"/>
  <c r="O123" i="14609" s="1"/>
  <c r="B113" i="14606"/>
  <c r="DN123" i="14609" s="1"/>
  <c r="C113" i="14606"/>
  <c r="DO123" i="14609" s="1"/>
  <c r="D111" i="14606"/>
  <c r="CJ123" i="14609" s="1"/>
  <c r="L106" i="14606"/>
  <c r="P123" i="14609" s="1"/>
  <c r="H110" i="14606"/>
  <c r="BX123" i="14609" s="1"/>
  <c r="B114" i="14606"/>
  <c r="ED123" i="14609" s="1"/>
  <c r="C114" i="14606"/>
  <c r="EE123" i="14609" s="1"/>
  <c r="D114" i="14606"/>
  <c r="EF123" i="14609" s="1"/>
  <c r="H112" i="14606"/>
  <c r="DD123" i="14609" s="1"/>
  <c r="D113" i="14606"/>
  <c r="DP123" i="14609" s="1"/>
  <c r="E113" i="14606"/>
  <c r="DQ123" i="14609" s="1"/>
  <c r="A115" i="14606"/>
  <c r="ES123" i="14609" s="1"/>
  <c r="N116" i="14606"/>
  <c r="FV123" i="14609" s="1"/>
  <c r="O116" i="14606"/>
  <c r="FW123" i="14609" s="1"/>
  <c r="E111" i="14606"/>
  <c r="CK123" i="14609" s="1"/>
  <c r="I110" i="14606"/>
  <c r="BY123" i="14609" s="1"/>
  <c r="J110" i="14606"/>
  <c r="BZ123" i="14609" s="1"/>
  <c r="I112" i="14606"/>
  <c r="DE123" i="14609" s="1"/>
  <c r="J112" i="14606"/>
  <c r="DF123" i="14609" s="1"/>
  <c r="E114" i="14606"/>
  <c r="EG123" i="14609" s="1"/>
  <c r="F114" i="14606"/>
  <c r="EH123" i="14609" s="1"/>
  <c r="F111" i="14606"/>
  <c r="CL123" i="14609" s="1"/>
  <c r="F113" i="14606"/>
  <c r="DR123" i="14609" s="1"/>
  <c r="A116" i="14606"/>
  <c r="FI123" i="14609" s="1"/>
  <c r="N117" i="14606"/>
  <c r="GL123" i="14609" s="1"/>
  <c r="O117" i="14606"/>
  <c r="GM123" i="14609" s="1"/>
  <c r="B115" i="14606"/>
  <c r="ET123" i="14609" s="1"/>
  <c r="C115" i="14606"/>
  <c r="EU123" i="14609" s="1"/>
  <c r="D115" i="14606"/>
  <c r="EV123" i="14609" s="1"/>
  <c r="E115" i="14606"/>
  <c r="EW123" i="14609" s="1"/>
  <c r="K110" i="14606"/>
  <c r="CA123" i="14609" s="1"/>
  <c r="L110" i="14606"/>
  <c r="CB123" i="14609" s="1"/>
  <c r="G111" i="14606"/>
  <c r="CM123" i="14609" s="1"/>
  <c r="H111" i="14606"/>
  <c r="CN123" i="14609" s="1"/>
  <c r="K112" i="14606"/>
  <c r="DG123" i="14609" s="1"/>
  <c r="L112" i="14606"/>
  <c r="DH123" i="14609" s="1"/>
  <c r="G114" i="14606"/>
  <c r="EI123" i="14609" s="1"/>
  <c r="H114" i="14606"/>
  <c r="EJ123" i="14609" s="1"/>
  <c r="I114" i="14606"/>
  <c r="EK123" i="14609" s="1"/>
  <c r="J114" i="14606"/>
  <c r="EL123" i="14609" s="1"/>
  <c r="F115" i="14606"/>
  <c r="EX123" i="14609" s="1"/>
  <c r="G115" i="14606"/>
  <c r="EY123" i="14609" s="1"/>
  <c r="H115" i="14606"/>
  <c r="EZ123" i="14609" s="1"/>
  <c r="B116" i="14606"/>
  <c r="FJ123" i="14609" s="1"/>
  <c r="G113" i="14606"/>
  <c r="DS123" i="14609" s="1"/>
  <c r="H113" i="14606"/>
  <c r="DT123" i="14609" s="1"/>
  <c r="A117" i="14606"/>
  <c r="FY123" i="14609" s="1"/>
  <c r="N118" i="14606"/>
  <c r="HB123" i="14609" s="1"/>
  <c r="O118" i="14606"/>
  <c r="HC123" i="14609" s="1"/>
  <c r="K114" i="14606"/>
  <c r="EM123" i="14609" s="1"/>
  <c r="L114" i="14606"/>
  <c r="EN123" i="14609" s="1"/>
  <c r="I111" i="14606"/>
  <c r="CO123" i="14609" s="1"/>
  <c r="J111" i="14606"/>
  <c r="CP123" i="14609" s="1"/>
  <c r="I115" i="14606"/>
  <c r="FA123" i="14609" s="1"/>
  <c r="C116" i="14606"/>
  <c r="FK123" i="14609" s="1"/>
  <c r="B117" i="14606"/>
  <c r="FZ123" i="14609" s="1"/>
  <c r="I113" i="14606"/>
  <c r="DU123" i="14609" s="1"/>
  <c r="J113" i="14606"/>
  <c r="DV123" i="14609" s="1"/>
  <c r="A118" i="14606"/>
  <c r="GO123" i="14609" s="1"/>
  <c r="N119" i="14606"/>
  <c r="HR123" i="14609" s="1"/>
  <c r="O119" i="14606"/>
  <c r="HS123" i="14609" s="1"/>
  <c r="K111" i="14606"/>
  <c r="CQ123" i="14609" s="1"/>
  <c r="L111" i="14606"/>
  <c r="CR123" i="14609" s="1"/>
  <c r="D116" i="14606"/>
  <c r="FL123" i="14609" s="1"/>
  <c r="E116" i="14606"/>
  <c r="FM123" i="14609" s="1"/>
  <c r="K113" i="14606"/>
  <c r="DW123" i="14609" s="1"/>
  <c r="L113" i="14606"/>
  <c r="DX123" i="14609" s="1"/>
  <c r="J115" i="14606"/>
  <c r="FB123" i="14609" s="1"/>
  <c r="K115" i="14606"/>
  <c r="FC123" i="14609" s="1"/>
  <c r="A119" i="14606"/>
  <c r="HE123" i="14609" s="1"/>
  <c r="N120" i="14606"/>
  <c r="IH123" i="14609" s="1"/>
  <c r="O120" i="14606"/>
  <c r="II123" i="14609" s="1"/>
  <c r="C117" i="14606"/>
  <c r="GA123" i="14609" s="1"/>
  <c r="D117" i="14606"/>
  <c r="GB123" i="14609" s="1"/>
  <c r="B118" i="14606"/>
  <c r="GP123" i="14609" s="1"/>
  <c r="L115" i="14606"/>
  <c r="FD123" i="14609" s="1"/>
  <c r="F116" i="14606"/>
  <c r="FN123" i="14609" s="1"/>
  <c r="G116" i="14606"/>
  <c r="FO123" i="14609" s="1"/>
  <c r="H116" i="14606"/>
  <c r="FP123" i="14609" s="1"/>
  <c r="I116" i="14606"/>
  <c r="FQ123" i="14609" s="1"/>
  <c r="J116" i="14606"/>
  <c r="FR123" i="14609" s="1"/>
  <c r="E117" i="14606"/>
  <c r="GC123" i="14609" s="1"/>
  <c r="B119" i="14606"/>
  <c r="HF123" i="14609" s="1"/>
  <c r="C119" i="14606"/>
  <c r="HG123" i="14609" s="1"/>
  <c r="C118" i="14606"/>
  <c r="GQ123" i="14609" s="1"/>
  <c r="A120" i="14606"/>
  <c r="HU123" i="14609" s="1"/>
  <c r="N121" i="14606"/>
  <c r="B124" i="14609" s="1"/>
  <c r="O121" i="14606"/>
  <c r="C124" i="14609" s="1"/>
  <c r="K116" i="14606"/>
  <c r="FS123" i="14609" s="1"/>
  <c r="L116" i="14606"/>
  <c r="FT123" i="14609" s="1"/>
  <c r="D118" i="14606"/>
  <c r="GR123" i="14609" s="1"/>
  <c r="E118" i="14606"/>
  <c r="GS123" i="14609" s="1"/>
  <c r="D119" i="14606"/>
  <c r="HH123" i="14609" s="1"/>
  <c r="A121" i="14606"/>
  <c r="IK123" i="14609" s="1"/>
  <c r="N122" i="14606"/>
  <c r="R124" i="14609" s="1"/>
  <c r="O122" i="14606"/>
  <c r="S124" i="14609" s="1"/>
  <c r="B120" i="14606"/>
  <c r="HV123" i="14609" s="1"/>
  <c r="C120" i="14606"/>
  <c r="HW123" i="14609" s="1"/>
  <c r="F117" i="14606"/>
  <c r="GD123" i="14609" s="1"/>
  <c r="E119" i="14606"/>
  <c r="HI123" i="14609" s="1"/>
  <c r="F118" i="14606"/>
  <c r="GT123" i="14609" s="1"/>
  <c r="G117" i="14606"/>
  <c r="GE123" i="14609" s="1"/>
  <c r="H117" i="14606"/>
  <c r="GF123" i="14609" s="1"/>
  <c r="I117" i="14606"/>
  <c r="GG123" i="14609" s="1"/>
  <c r="B121" i="14606"/>
  <c r="IL123" i="14609" s="1"/>
  <c r="C121" i="14606"/>
  <c r="IM123" i="14609" s="1"/>
  <c r="D120" i="14606"/>
  <c r="HX123" i="14609" s="1"/>
  <c r="N123" i="14606"/>
  <c r="AH124" i="14609" s="1"/>
  <c r="O123" i="14606"/>
  <c r="AI124" i="14609" s="1"/>
  <c r="A122" i="14606"/>
  <c r="E124" i="14609" s="1"/>
  <c r="G118" i="14606"/>
  <c r="GU123" i="14609" s="1"/>
  <c r="F119" i="14606"/>
  <c r="HJ123" i="14609" s="1"/>
  <c r="G119" i="14606"/>
  <c r="HK123" i="14609" s="1"/>
  <c r="D121" i="14606"/>
  <c r="IN123" i="14609" s="1"/>
  <c r="A123" i="14606"/>
  <c r="U124" i="14609" s="1"/>
  <c r="N124" i="14606"/>
  <c r="AX124" i="14609" s="1"/>
  <c r="O124" i="14606"/>
  <c r="AY124" i="14609" s="1"/>
  <c r="J117" i="14606"/>
  <c r="GH123" i="14609" s="1"/>
  <c r="E120" i="14606"/>
  <c r="HY123" i="14609" s="1"/>
  <c r="B122" i="14606"/>
  <c r="F124" i="14609" s="1"/>
  <c r="K117" i="14606"/>
  <c r="GI123" i="14609" s="1"/>
  <c r="L117" i="14606"/>
  <c r="GJ123" i="14609" s="1"/>
  <c r="H118" i="14606"/>
  <c r="GV123" i="14609" s="1"/>
  <c r="I118" i="14606"/>
  <c r="GW123" i="14609" s="1"/>
  <c r="F120" i="14606"/>
  <c r="HZ123" i="14609" s="1"/>
  <c r="G120" i="14606"/>
  <c r="IA123" i="14609" s="1"/>
  <c r="H119" i="14606"/>
  <c r="HL123" i="14609" s="1"/>
  <c r="E121" i="14606"/>
  <c r="IO123" i="14609" s="1"/>
  <c r="N125" i="14606"/>
  <c r="BN124" i="14609" s="1"/>
  <c r="O125" i="14606"/>
  <c r="BO124" i="14609" s="1"/>
  <c r="A124" i="14606"/>
  <c r="AK124" i="14609" s="1"/>
  <c r="C122" i="14606"/>
  <c r="G124" i="14609" s="1"/>
  <c r="D122" i="14606"/>
  <c r="H124" i="14609" s="1"/>
  <c r="D124" i="14609"/>
  <c r="B123" i="14606"/>
  <c r="V124" i="14609" s="1"/>
  <c r="F121" i="14606"/>
  <c r="IP123" i="14609" s="1"/>
  <c r="G121" i="14606"/>
  <c r="IQ123" i="14609" s="1"/>
  <c r="I119" i="14606"/>
  <c r="HM123" i="14609" s="1"/>
  <c r="J119" i="14606"/>
  <c r="HN123" i="14609" s="1"/>
  <c r="J118" i="14606"/>
  <c r="GX123" i="14609" s="1"/>
  <c r="K118" i="14606"/>
  <c r="GY123" i="14609" s="1"/>
  <c r="E122" i="14606"/>
  <c r="I124" i="14609" s="1"/>
  <c r="A125" i="14606"/>
  <c r="BA124" i="14609" s="1"/>
  <c r="N126" i="14606"/>
  <c r="CD124" i="14609" s="1"/>
  <c r="O126" i="14606"/>
  <c r="CE124" i="14609" s="1"/>
  <c r="B124" i="14606"/>
  <c r="AL124" i="14609" s="1"/>
  <c r="C124" i="14606"/>
  <c r="AM124" i="14609" s="1"/>
  <c r="D124" i="14606"/>
  <c r="AN124" i="14609" s="1"/>
  <c r="C123" i="14606"/>
  <c r="W124" i="14609" s="1"/>
  <c r="H120" i="14606"/>
  <c r="IB123" i="14609" s="1"/>
  <c r="L118" i="14606"/>
  <c r="GZ123" i="14609" s="1"/>
  <c r="K119" i="14606"/>
  <c r="HO123" i="14609" s="1"/>
  <c r="L119" i="14606"/>
  <c r="HP123" i="14609" s="1"/>
  <c r="I120" i="14606"/>
  <c r="IC123" i="14609" s="1"/>
  <c r="H121" i="14606"/>
  <c r="IR123" i="14609" s="1"/>
  <c r="I121" i="14606"/>
  <c r="IS123" i="14609" s="1"/>
  <c r="J121" i="14606"/>
  <c r="IT123" i="14609" s="1"/>
  <c r="F122" i="14606"/>
  <c r="J124" i="14609" s="1"/>
  <c r="E124" i="14606"/>
  <c r="AO124" i="14609" s="1"/>
  <c r="A126" i="14606"/>
  <c r="BQ124" i="14609" s="1"/>
  <c r="N127" i="14606"/>
  <c r="CT124" i="14609" s="1"/>
  <c r="O127" i="14606"/>
  <c r="CU124" i="14609" s="1"/>
  <c r="B125" i="14606"/>
  <c r="BB124" i="14609" s="1"/>
  <c r="C125" i="14606"/>
  <c r="BC124" i="14609" s="1"/>
  <c r="D123" i="14606"/>
  <c r="X124" i="14609" s="1"/>
  <c r="J120" i="14606"/>
  <c r="ID123" i="14609" s="1"/>
  <c r="K121" i="14606"/>
  <c r="IU123" i="14609" s="1"/>
  <c r="L121" i="14606"/>
  <c r="IV123" i="14609" s="1"/>
  <c r="E123" i="14606"/>
  <c r="Y124" i="14609" s="1"/>
  <c r="F123" i="14606"/>
  <c r="Z124" i="14609" s="1"/>
  <c r="G123" i="14606"/>
  <c r="AA124" i="14609" s="1"/>
  <c r="F124" i="14606"/>
  <c r="AP124" i="14609" s="1"/>
  <c r="G124" i="14606"/>
  <c r="AQ124" i="14609" s="1"/>
  <c r="G122" i="14606"/>
  <c r="K124" i="14609" s="1"/>
  <c r="H122" i="14606"/>
  <c r="L124" i="14609" s="1"/>
  <c r="I122" i="14606"/>
  <c r="M124" i="14609" s="1"/>
  <c r="J122" i="14606"/>
  <c r="N124" i="14609" s="1"/>
  <c r="B126" i="14606"/>
  <c r="BR124" i="14609" s="1"/>
  <c r="C126" i="14606"/>
  <c r="BS124" i="14609" s="1"/>
  <c r="A127" i="14606"/>
  <c r="CG124" i="14609" s="1"/>
  <c r="N128" i="14606"/>
  <c r="DJ124" i="14609" s="1"/>
  <c r="O128" i="14606"/>
  <c r="DK124" i="14609" s="1"/>
  <c r="D125" i="14606"/>
  <c r="BD124" i="14609" s="1"/>
  <c r="K122" i="14606"/>
  <c r="O124" i="14609" s="1"/>
  <c r="L122" i="14606"/>
  <c r="P124" i="14609" s="1"/>
  <c r="K120" i="14606"/>
  <c r="IE123" i="14609" s="1"/>
  <c r="L120" i="14606"/>
  <c r="IF123" i="14609" s="1"/>
  <c r="D126" i="14606"/>
  <c r="BT124" i="14609" s="1"/>
  <c r="E126" i="14606"/>
  <c r="BU124" i="14609" s="1"/>
  <c r="A128" i="14606"/>
  <c r="CW124" i="14609" s="1"/>
  <c r="N129" i="14606"/>
  <c r="DZ124" i="14609" s="1"/>
  <c r="O129" i="14606"/>
  <c r="EA124" i="14609" s="1"/>
  <c r="H123" i="14606"/>
  <c r="AB124" i="14609" s="1"/>
  <c r="I123" i="14606"/>
  <c r="AC124" i="14609" s="1"/>
  <c r="E125" i="14606"/>
  <c r="BE124" i="14609" s="1"/>
  <c r="F125" i="14606"/>
  <c r="BF124" i="14609" s="1"/>
  <c r="H124" i="14606"/>
  <c r="AR124" i="14609" s="1"/>
  <c r="B127" i="14606"/>
  <c r="CH124" i="14609" s="1"/>
  <c r="C127" i="14606"/>
  <c r="CI124" i="14609" s="1"/>
  <c r="I124" i="14606"/>
  <c r="AS124" i="14609" s="1"/>
  <c r="J124" i="14606"/>
  <c r="AT124" i="14609" s="1"/>
  <c r="A129" i="14606"/>
  <c r="DM124" i="14609" s="1"/>
  <c r="N130" i="14606"/>
  <c r="EP124" i="14609" s="1"/>
  <c r="O130" i="14606"/>
  <c r="EQ124" i="14609" s="1"/>
  <c r="D127" i="14606"/>
  <c r="CJ124" i="14609" s="1"/>
  <c r="G125" i="14606"/>
  <c r="BG124" i="14609" s="1"/>
  <c r="F126" i="14606"/>
  <c r="BV124" i="14609" s="1"/>
  <c r="J123" i="14606"/>
  <c r="AD124" i="14609" s="1"/>
  <c r="K123" i="14606"/>
  <c r="AE124" i="14609" s="1"/>
  <c r="B128" i="14606"/>
  <c r="CX124" i="14609" s="1"/>
  <c r="L123" i="14606"/>
  <c r="AF124" i="14609" s="1"/>
  <c r="K124" i="14606"/>
  <c r="AU124" i="14609" s="1"/>
  <c r="L124" i="14606"/>
  <c r="AV124" i="14609" s="1"/>
  <c r="A130" i="14606"/>
  <c r="EC124" i="14609" s="1"/>
  <c r="N131" i="14606"/>
  <c r="FF124" i="14609" s="1"/>
  <c r="O131" i="14606"/>
  <c r="FG124" i="14609" s="1"/>
  <c r="G126" i="14606"/>
  <c r="BW124" i="14609" s="1"/>
  <c r="C128" i="14606"/>
  <c r="CY124" i="14609" s="1"/>
  <c r="H125" i="14606"/>
  <c r="BH124" i="14609" s="1"/>
  <c r="I125" i="14606"/>
  <c r="BI124" i="14609" s="1"/>
  <c r="E127" i="14606"/>
  <c r="CK124" i="14609" s="1"/>
  <c r="B129" i="14606"/>
  <c r="DN124" i="14609" s="1"/>
  <c r="H126" i="14606"/>
  <c r="BX124" i="14609" s="1"/>
  <c r="B130" i="14606"/>
  <c r="ED124" i="14609" s="1"/>
  <c r="C130" i="14606"/>
  <c r="EE124" i="14609" s="1"/>
  <c r="D130" i="14606"/>
  <c r="EF124" i="14609" s="1"/>
  <c r="C129" i="14606"/>
  <c r="DO124" i="14609" s="1"/>
  <c r="D129" i="14606"/>
  <c r="DP124" i="14609" s="1"/>
  <c r="E129" i="14606"/>
  <c r="DQ124" i="14609" s="1"/>
  <c r="J125" i="14606"/>
  <c r="BJ124" i="14609" s="1"/>
  <c r="K125" i="14606"/>
  <c r="BK124" i="14609" s="1"/>
  <c r="A131" i="14606"/>
  <c r="ES124" i="14609" s="1"/>
  <c r="N132" i="14606"/>
  <c r="FV124" i="14609" s="1"/>
  <c r="O132" i="14606"/>
  <c r="FW124" i="14609" s="1"/>
  <c r="D128" i="14606"/>
  <c r="CZ124" i="14609" s="1"/>
  <c r="E128" i="14606"/>
  <c r="DA124" i="14609" s="1"/>
  <c r="F127" i="14606"/>
  <c r="CL124" i="14609" s="1"/>
  <c r="I126" i="14606"/>
  <c r="BY124" i="14609" s="1"/>
  <c r="J126" i="14606"/>
  <c r="BZ124" i="14609" s="1"/>
  <c r="L125" i="14606"/>
  <c r="BL124" i="14609" s="1"/>
  <c r="E130" i="14606"/>
  <c r="EG124" i="14609" s="1"/>
  <c r="F130" i="14606"/>
  <c r="EH124" i="14609" s="1"/>
  <c r="G130" i="14606"/>
  <c r="EI124" i="14609" s="1"/>
  <c r="F128" i="14606"/>
  <c r="DB124" i="14609" s="1"/>
  <c r="G128" i="14606"/>
  <c r="DC124" i="14609" s="1"/>
  <c r="H128" i="14606"/>
  <c r="DD124" i="14609" s="1"/>
  <c r="F129" i="14606"/>
  <c r="DR124" i="14609" s="1"/>
  <c r="A132" i="14606"/>
  <c r="FI124" i="14609" s="1"/>
  <c r="N133" i="14606"/>
  <c r="GL124" i="14609" s="1"/>
  <c r="O133" i="14606"/>
  <c r="GM124" i="14609" s="1"/>
  <c r="B131" i="14606"/>
  <c r="ET124" i="14609" s="1"/>
  <c r="C131" i="14606"/>
  <c r="EU124" i="14609" s="1"/>
  <c r="G127" i="14606"/>
  <c r="CM124" i="14609" s="1"/>
  <c r="K126" i="14606"/>
  <c r="CA124" i="14609" s="1"/>
  <c r="L126" i="14606"/>
  <c r="CB124" i="14609" s="1"/>
  <c r="G129" i="14606"/>
  <c r="DS124" i="14609" s="1"/>
  <c r="H129" i="14606"/>
  <c r="DT124" i="14609" s="1"/>
  <c r="I129" i="14606"/>
  <c r="DU124" i="14609" s="1"/>
  <c r="A133" i="14606"/>
  <c r="FY124" i="14609" s="1"/>
  <c r="N134" i="14606"/>
  <c r="HB124" i="14609" s="1"/>
  <c r="O134" i="14606"/>
  <c r="HC124" i="14609" s="1"/>
  <c r="D131" i="14606"/>
  <c r="EV124" i="14609" s="1"/>
  <c r="H130" i="14606"/>
  <c r="EJ124" i="14609" s="1"/>
  <c r="I130" i="14606"/>
  <c r="EK124" i="14609" s="1"/>
  <c r="I128" i="14606"/>
  <c r="DE124" i="14609" s="1"/>
  <c r="J128" i="14606"/>
  <c r="DF124" i="14609" s="1"/>
  <c r="K128" i="14606"/>
  <c r="DG124" i="14609" s="1"/>
  <c r="H127" i="14606"/>
  <c r="CN124" i="14609" s="1"/>
  <c r="I127" i="14606"/>
  <c r="CO124" i="14609" s="1"/>
  <c r="B132" i="14606"/>
  <c r="FJ124" i="14609" s="1"/>
  <c r="J129" i="14606"/>
  <c r="DV124" i="14609" s="1"/>
  <c r="K129" i="14606"/>
  <c r="DW124" i="14609" s="1"/>
  <c r="L129" i="14606"/>
  <c r="DX124" i="14609" s="1"/>
  <c r="L128" i="14606"/>
  <c r="DH124" i="14609" s="1"/>
  <c r="B133" i="14606"/>
  <c r="FZ124" i="14609" s="1"/>
  <c r="C132" i="14606"/>
  <c r="FK124" i="14609" s="1"/>
  <c r="J130" i="14606"/>
  <c r="EL124" i="14609" s="1"/>
  <c r="J127" i="14606"/>
  <c r="CP124" i="14609" s="1"/>
  <c r="K127" i="14606"/>
  <c r="CQ124" i="14609" s="1"/>
  <c r="L127" i="14606"/>
  <c r="CR124" i="14609" s="1"/>
  <c r="A134" i="14606"/>
  <c r="GO124" i="14609" s="1"/>
  <c r="N135" i="14606"/>
  <c r="HR124" i="14609" s="1"/>
  <c r="O135" i="14606"/>
  <c r="HS124" i="14609" s="1"/>
  <c r="E131" i="14606"/>
  <c r="EW124" i="14609" s="1"/>
  <c r="K130" i="14606"/>
  <c r="EM124" i="14609" s="1"/>
  <c r="L130" i="14606"/>
  <c r="EN124" i="14609" s="1"/>
  <c r="C133" i="14606"/>
  <c r="GA124" i="14609" s="1"/>
  <c r="D133" i="14606"/>
  <c r="GB124" i="14609" s="1"/>
  <c r="A135" i="14606"/>
  <c r="HE124" i="14609" s="1"/>
  <c r="N136" i="14606"/>
  <c r="IH124" i="14609" s="1"/>
  <c r="O136" i="14606"/>
  <c r="II124" i="14609" s="1"/>
  <c r="B134" i="14606"/>
  <c r="GP124" i="14609" s="1"/>
  <c r="C134" i="14606"/>
  <c r="GQ124" i="14609" s="1"/>
  <c r="F131" i="14606"/>
  <c r="EX124" i="14609" s="1"/>
  <c r="D132" i="14606"/>
  <c r="FL124" i="14609" s="1"/>
  <c r="G131" i="14606"/>
  <c r="EY124" i="14609" s="1"/>
  <c r="H131" i="14606"/>
  <c r="EZ124" i="14609" s="1"/>
  <c r="D134" i="14606"/>
  <c r="GR124" i="14609" s="1"/>
  <c r="E133" i="14606"/>
  <c r="GC124" i="14609" s="1"/>
  <c r="B135" i="14606"/>
  <c r="HF124" i="14609" s="1"/>
  <c r="C135" i="14606"/>
  <c r="HG124" i="14609" s="1"/>
  <c r="E132" i="14606"/>
  <c r="FM124" i="14609" s="1"/>
  <c r="A136" i="14606"/>
  <c r="HU124" i="14609" s="1"/>
  <c r="N137" i="14606"/>
  <c r="B125" i="14609" s="1"/>
  <c r="O137" i="14606"/>
  <c r="C125" i="14609" s="1"/>
  <c r="E134" i="14606"/>
  <c r="GS124" i="14609" s="1"/>
  <c r="F133" i="14606"/>
  <c r="GD124" i="14609" s="1"/>
  <c r="G133" i="14606"/>
  <c r="GE124" i="14609" s="1"/>
  <c r="I131" i="14606"/>
  <c r="FA124" i="14609" s="1"/>
  <c r="B136" i="14606"/>
  <c r="HV124" i="14609" s="1"/>
  <c r="A137" i="14606"/>
  <c r="IK124" i="14609" s="1"/>
  <c r="N138" i="14606"/>
  <c r="R125" i="14609" s="1"/>
  <c r="O138" i="14606"/>
  <c r="S125" i="14609" s="1"/>
  <c r="D135" i="14606"/>
  <c r="HH124" i="14609" s="1"/>
  <c r="E135" i="14606"/>
  <c r="HI124" i="14609" s="1"/>
  <c r="F132" i="14606"/>
  <c r="FN124" i="14609" s="1"/>
  <c r="H133" i="14606"/>
  <c r="GF124" i="14609" s="1"/>
  <c r="F134" i="14606"/>
  <c r="GT124" i="14609" s="1"/>
  <c r="J131" i="14606"/>
  <c r="FB124" i="14609" s="1"/>
  <c r="K131" i="14606"/>
  <c r="FC124" i="14609" s="1"/>
  <c r="B137" i="14606"/>
  <c r="IL124" i="14609" s="1"/>
  <c r="A138" i="14606"/>
  <c r="E125" i="14609" s="1"/>
  <c r="N139" i="14606"/>
  <c r="AH125" i="14609" s="1"/>
  <c r="O139" i="14606"/>
  <c r="AI125" i="14609" s="1"/>
  <c r="F135" i="14606"/>
  <c r="HJ124" i="14609" s="1"/>
  <c r="G135" i="14606"/>
  <c r="HK124" i="14609" s="1"/>
  <c r="C136" i="14606"/>
  <c r="HW124" i="14609" s="1"/>
  <c r="G132" i="14606"/>
  <c r="FO124" i="14609" s="1"/>
  <c r="L131" i="14606"/>
  <c r="FD124" i="14609" s="1"/>
  <c r="G134" i="14606"/>
  <c r="GU124" i="14609" s="1"/>
  <c r="I133" i="14606"/>
  <c r="GG124" i="14609" s="1"/>
  <c r="J133" i="14606"/>
  <c r="GH124" i="14609" s="1"/>
  <c r="D136" i="14606"/>
  <c r="HX124" i="14609" s="1"/>
  <c r="A139" i="14606"/>
  <c r="U125" i="14609" s="1"/>
  <c r="N140" i="14606"/>
  <c r="AX125" i="14609" s="1"/>
  <c r="O140" i="14606"/>
  <c r="AY125" i="14609" s="1"/>
  <c r="C137" i="14606"/>
  <c r="IM124" i="14609" s="1"/>
  <c r="H135" i="14606"/>
  <c r="HL124" i="14609" s="1"/>
  <c r="B138" i="14606"/>
  <c r="F125" i="14609" s="1"/>
  <c r="H132" i="14606"/>
  <c r="FP124" i="14609" s="1"/>
  <c r="K133" i="14606"/>
  <c r="GI124" i="14609" s="1"/>
  <c r="L133" i="14606"/>
  <c r="GJ124" i="14609" s="1"/>
  <c r="E136" i="14606"/>
  <c r="HY124" i="14609" s="1"/>
  <c r="H134" i="14606"/>
  <c r="GV124" i="14609" s="1"/>
  <c r="B139" i="14606"/>
  <c r="V125" i="14609" s="1"/>
  <c r="A140" i="14606"/>
  <c r="AK125" i="14609" s="1"/>
  <c r="N141" i="14606"/>
  <c r="BN125" i="14609" s="1"/>
  <c r="I132" i="14606"/>
  <c r="FQ124" i="14609" s="1"/>
  <c r="C138" i="14606"/>
  <c r="G125" i="14609" s="1"/>
  <c r="D138" i="14606"/>
  <c r="H125" i="14609" s="1"/>
  <c r="D125" i="14609"/>
  <c r="D137" i="14606"/>
  <c r="IN124" i="14609" s="1"/>
  <c r="I135" i="14606"/>
  <c r="HM124" i="14609" s="1"/>
  <c r="J135" i="14606"/>
  <c r="HN124" i="14609" s="1"/>
  <c r="K135" i="14606"/>
  <c r="HO124" i="14609" s="1"/>
  <c r="L135" i="14606"/>
  <c r="HP124" i="14609" s="1"/>
  <c r="DY141" i="14609"/>
  <c r="O141" i="14606"/>
  <c r="BO125" i="14609" s="1"/>
  <c r="DZ141" i="14609"/>
  <c r="I134" i="14606"/>
  <c r="GW124" i="14609" s="1"/>
  <c r="J134" i="14606"/>
  <c r="GX124" i="14609" s="1"/>
  <c r="J132" i="14606"/>
  <c r="FR124" i="14609" s="1"/>
  <c r="K132" i="14606"/>
  <c r="FS124" i="14609" s="1"/>
  <c r="E137" i="14606"/>
  <c r="IO124" i="14609" s="1"/>
  <c r="F136" i="14606"/>
  <c r="HZ124" i="14609" s="1"/>
  <c r="G136" i="14606"/>
  <c r="IA124" i="14609" s="1"/>
  <c r="H136" i="14606"/>
  <c r="IB124" i="14609" s="1"/>
  <c r="I136" i="14606"/>
  <c r="IC124" i="14609" s="1"/>
  <c r="C139" i="14606"/>
  <c r="W125" i="14609" s="1"/>
  <c r="D139" i="14606"/>
  <c r="X125" i="14609" s="1"/>
  <c r="A141" i="14606"/>
  <c r="BA125" i="14609" s="1"/>
  <c r="DL141" i="14609"/>
  <c r="N142" i="14606"/>
  <c r="CD125" i="14609" s="1"/>
  <c r="O142" i="14606"/>
  <c r="CE125" i="14609" s="1"/>
  <c r="B140" i="14606"/>
  <c r="AL125" i="14609" s="1"/>
  <c r="C140" i="14606"/>
  <c r="AM125" i="14609" s="1"/>
  <c r="E138" i="14606"/>
  <c r="I125" i="14609" s="1"/>
  <c r="F138" i="14606"/>
  <c r="J125" i="14609" s="1"/>
  <c r="K134" i="14606"/>
  <c r="GY124" i="14609" s="1"/>
  <c r="L134" i="14606"/>
  <c r="GZ124" i="14609" s="1"/>
  <c r="J136" i="14606"/>
  <c r="ID124" i="14609" s="1"/>
  <c r="K136" i="14606"/>
  <c r="IE124" i="14609" s="1"/>
  <c r="L136" i="14606"/>
  <c r="IF124" i="14609" s="1"/>
  <c r="F137" i="14606"/>
  <c r="IP124" i="14609" s="1"/>
  <c r="G137" i="14606"/>
  <c r="IQ124" i="14609" s="1"/>
  <c r="H137" i="14606"/>
  <c r="IR124" i="14609" s="1"/>
  <c r="L132" i="14606"/>
  <c r="FT124" i="14609" s="1"/>
  <c r="E139" i="14606"/>
  <c r="Y125" i="14609" s="1"/>
  <c r="G138" i="14606"/>
  <c r="K125" i="14609" s="1"/>
  <c r="A142" i="14606"/>
  <c r="BQ125" i="14609" s="1"/>
  <c r="N143" i="14606"/>
  <c r="CT125" i="14609" s="1"/>
  <c r="O143" i="14606"/>
  <c r="CU125" i="14609" s="1"/>
  <c r="B141" i="14606"/>
  <c r="BB125" i="14609" s="1"/>
  <c r="D140" i="14606"/>
  <c r="AN125" i="14609" s="1"/>
  <c r="C141" i="14606"/>
  <c r="BC125" i="14609" s="1"/>
  <c r="DN141" i="14609"/>
  <c r="DM141" i="14609"/>
  <c r="F139" i="14606"/>
  <c r="Z125" i="14609" s="1"/>
  <c r="G139" i="14606"/>
  <c r="AA125" i="14609" s="1"/>
  <c r="H139" i="14606"/>
  <c r="AB125" i="14609" s="1"/>
  <c r="I137" i="14606"/>
  <c r="IS124" i="14609" s="1"/>
  <c r="J137" i="14606"/>
  <c r="IT124" i="14609" s="1"/>
  <c r="D141" i="14606"/>
  <c r="BD125" i="14609" s="1"/>
  <c r="DO141" i="14609"/>
  <c r="A143" i="14606"/>
  <c r="CG125" i="14609" s="1"/>
  <c r="N144" i="14606"/>
  <c r="DJ125" i="14609" s="1"/>
  <c r="O144" i="14606"/>
  <c r="DK125" i="14609" s="1"/>
  <c r="B142" i="14606"/>
  <c r="BR125" i="14609" s="1"/>
  <c r="C142" i="14606"/>
  <c r="BS125" i="14609" s="1"/>
  <c r="E140" i="14606"/>
  <c r="AO125" i="14609" s="1"/>
  <c r="H138" i="14606"/>
  <c r="L125" i="14609" s="1"/>
  <c r="I138" i="14606"/>
  <c r="M125" i="14609" s="1"/>
  <c r="K137" i="14606"/>
  <c r="IU124" i="14609" s="1"/>
  <c r="L137" i="14606"/>
  <c r="IV124" i="14609" s="1"/>
  <c r="I139" i="14606"/>
  <c r="AC125" i="14609" s="1"/>
  <c r="J139" i="14606"/>
  <c r="AD125" i="14609" s="1"/>
  <c r="B143" i="14606"/>
  <c r="CH125" i="14609" s="1"/>
  <c r="C143" i="14606"/>
  <c r="CI125" i="14609" s="1"/>
  <c r="F140" i="14606"/>
  <c r="AP125" i="14609" s="1"/>
  <c r="D142" i="14606"/>
  <c r="BT125" i="14609" s="1"/>
  <c r="E141" i="14606"/>
  <c r="BE125" i="14609" s="1"/>
  <c r="DP141" i="14609"/>
  <c r="A144" i="14606"/>
  <c r="CW125" i="14609" s="1"/>
  <c r="N145" i="14606"/>
  <c r="DZ125" i="14609" s="1"/>
  <c r="O145" i="14606"/>
  <c r="EA125" i="14609" s="1"/>
  <c r="J138" i="14606"/>
  <c r="N125" i="14609" s="1"/>
  <c r="K138" i="14606"/>
  <c r="O125" i="14609" s="1"/>
  <c r="L138" i="14606"/>
  <c r="P125" i="14609" s="1"/>
  <c r="K139" i="14606"/>
  <c r="AE125" i="14609" s="1"/>
  <c r="L139" i="14606"/>
  <c r="AF125" i="14609" s="1"/>
  <c r="A145" i="14606"/>
  <c r="DM125" i="14609" s="1"/>
  <c r="N146" i="14606"/>
  <c r="EP125" i="14609" s="1"/>
  <c r="O146" i="14606"/>
  <c r="EQ125" i="14609" s="1"/>
  <c r="G140" i="14606"/>
  <c r="AQ125" i="14609" s="1"/>
  <c r="F141" i="14606"/>
  <c r="BF125" i="14609" s="1"/>
  <c r="DQ141" i="14609"/>
  <c r="D143" i="14606"/>
  <c r="CJ125" i="14609" s="1"/>
  <c r="E142" i="14606"/>
  <c r="BU125" i="14609" s="1"/>
  <c r="B144" i="14606"/>
  <c r="CX125" i="14609" s="1"/>
  <c r="C144" i="14606"/>
  <c r="CY125" i="14609" s="1"/>
  <c r="D144" i="14606"/>
  <c r="CZ125" i="14609" s="1"/>
  <c r="G141" i="14606"/>
  <c r="BG125" i="14609" s="1"/>
  <c r="DR141" i="14609"/>
  <c r="B145" i="14606"/>
  <c r="DN125" i="14609" s="1"/>
  <c r="C145" i="14606"/>
  <c r="DO125" i="14609" s="1"/>
  <c r="H140" i="14606"/>
  <c r="AR125" i="14609" s="1"/>
  <c r="F142" i="14606"/>
  <c r="BV125" i="14609" s="1"/>
  <c r="A146" i="14606"/>
  <c r="EC125" i="14609" s="1"/>
  <c r="N147" i="14606"/>
  <c r="FF125" i="14609" s="1"/>
  <c r="O147" i="14606"/>
  <c r="FG125" i="14609" s="1"/>
  <c r="E143" i="14606"/>
  <c r="CK125" i="14609" s="1"/>
  <c r="H141" i="14606"/>
  <c r="BH125" i="14609" s="1"/>
  <c r="E144" i="14606"/>
  <c r="DA125" i="14609" s="1"/>
  <c r="F144" i="14606"/>
  <c r="DB125" i="14609" s="1"/>
  <c r="G144" i="14606"/>
  <c r="DC125" i="14609" s="1"/>
  <c r="I140" i="14606"/>
  <c r="AS125" i="14609" s="1"/>
  <c r="J140" i="14606"/>
  <c r="AT125" i="14609" s="1"/>
  <c r="D145" i="14606"/>
  <c r="DP125" i="14609" s="1"/>
  <c r="A147" i="14606"/>
  <c r="ES125" i="14609" s="1"/>
  <c r="N148" i="14606"/>
  <c r="FV125" i="14609" s="1"/>
  <c r="O148" i="14606"/>
  <c r="FW125" i="14609" s="1"/>
  <c r="B146" i="14606"/>
  <c r="ED125" i="14609" s="1"/>
  <c r="C146" i="14606"/>
  <c r="EE125" i="14609" s="1"/>
  <c r="F143" i="14606"/>
  <c r="CL125" i="14609" s="1"/>
  <c r="G142" i="14606"/>
  <c r="BW125" i="14609" s="1"/>
  <c r="H142" i="14606"/>
  <c r="BX125" i="14609" s="1"/>
  <c r="I141" i="14606"/>
  <c r="BI125" i="14609" s="1"/>
  <c r="DS141" i="14609"/>
  <c r="K140" i="14606"/>
  <c r="AU125" i="14609" s="1"/>
  <c r="L140" i="14606"/>
  <c r="AV125" i="14609" s="1"/>
  <c r="E145" i="14606"/>
  <c r="DQ125" i="14609" s="1"/>
  <c r="F145" i="14606"/>
  <c r="DR125" i="14609" s="1"/>
  <c r="H144" i="14606"/>
  <c r="DD125" i="14609" s="1"/>
  <c r="I142" i="14606"/>
  <c r="BY125" i="14609" s="1"/>
  <c r="J142" i="14606"/>
  <c r="BZ125" i="14609" s="1"/>
  <c r="D146" i="14606"/>
  <c r="EF125" i="14609" s="1"/>
  <c r="G143" i="14606"/>
  <c r="CM125" i="14609" s="1"/>
  <c r="H143" i="14606"/>
  <c r="CN125" i="14609" s="1"/>
  <c r="B147" i="14606"/>
  <c r="ET125" i="14609" s="1"/>
  <c r="C147" i="14606"/>
  <c r="EU125" i="14609" s="1"/>
  <c r="A148" i="14606"/>
  <c r="FI125" i="14609" s="1"/>
  <c r="N149" i="14606"/>
  <c r="GL125" i="14609" s="1"/>
  <c r="O149" i="14606"/>
  <c r="GM125" i="14609" s="1"/>
  <c r="J141" i="14606"/>
  <c r="BJ125" i="14609" s="1"/>
  <c r="DT141" i="14609"/>
  <c r="I144" i="14606"/>
  <c r="DE125" i="14609" s="1"/>
  <c r="J144" i="14606"/>
  <c r="DF125" i="14609" s="1"/>
  <c r="K142" i="14606"/>
  <c r="CA125" i="14609" s="1"/>
  <c r="L142" i="14606"/>
  <c r="CB125" i="14609" s="1"/>
  <c r="I143" i="14606"/>
  <c r="CO125" i="14609" s="1"/>
  <c r="J143" i="14606"/>
  <c r="CP125" i="14609" s="1"/>
  <c r="B148" i="14606"/>
  <c r="FJ125" i="14609" s="1"/>
  <c r="A149" i="14606"/>
  <c r="FY125" i="14609" s="1"/>
  <c r="N150" i="14606"/>
  <c r="HB125" i="14609" s="1"/>
  <c r="O150" i="14606"/>
  <c r="HC125" i="14609" s="1"/>
  <c r="G145" i="14606"/>
  <c r="DS125" i="14609" s="1"/>
  <c r="D147" i="14606"/>
  <c r="EV125" i="14609" s="1"/>
  <c r="E147" i="14606"/>
  <c r="EW125" i="14609" s="1"/>
  <c r="E146" i="14606"/>
  <c r="EG125" i="14609" s="1"/>
  <c r="F146" i="14606"/>
  <c r="EH125" i="14609" s="1"/>
  <c r="DU141" i="14609"/>
  <c r="K141" i="14606"/>
  <c r="BK125" i="14609" s="1"/>
  <c r="K144" i="14606"/>
  <c r="DG125" i="14609" s="1"/>
  <c r="K143" i="14606"/>
  <c r="CQ125" i="14609" s="1"/>
  <c r="L143" i="14606"/>
  <c r="CR125" i="14609" s="1"/>
  <c r="L144" i="14606"/>
  <c r="DH125" i="14609" s="1"/>
  <c r="F147" i="14606"/>
  <c r="EX125" i="14609" s="1"/>
  <c r="G147" i="14606"/>
  <c r="EY125" i="14609" s="1"/>
  <c r="A150" i="14606"/>
  <c r="GO125" i="14609" s="1"/>
  <c r="N151" i="14606"/>
  <c r="HR125" i="14609" s="1"/>
  <c r="O151" i="14606"/>
  <c r="HS125" i="14609" s="1"/>
  <c r="B149" i="14606"/>
  <c r="FZ125" i="14609" s="1"/>
  <c r="H145" i="14606"/>
  <c r="DT125" i="14609" s="1"/>
  <c r="I145" i="14606"/>
  <c r="DU125" i="14609" s="1"/>
  <c r="J145" i="14606"/>
  <c r="DV125" i="14609" s="1"/>
  <c r="G146" i="14606"/>
  <c r="EI125" i="14609" s="1"/>
  <c r="C148" i="14606"/>
  <c r="FK125" i="14609" s="1"/>
  <c r="D148" i="14606"/>
  <c r="FL125" i="14609" s="1"/>
  <c r="L141" i="14606"/>
  <c r="BL125" i="14609" s="1"/>
  <c r="DW141" i="14609"/>
  <c r="DV141" i="14609"/>
  <c r="K145" i="14606"/>
  <c r="DW125" i="14609" s="1"/>
  <c r="L145" i="14606"/>
  <c r="DX125" i="14609" s="1"/>
  <c r="H147" i="14606"/>
  <c r="EZ125" i="14609" s="1"/>
  <c r="I147" i="14606"/>
  <c r="FA125" i="14609" s="1"/>
  <c r="J147" i="14606"/>
  <c r="FB125" i="14609" s="1"/>
  <c r="A151" i="14606"/>
  <c r="HE125" i="14609" s="1"/>
  <c r="N152" i="14606"/>
  <c r="IH125" i="14609" s="1"/>
  <c r="O152" i="14606"/>
  <c r="II125" i="14609" s="1"/>
  <c r="C149" i="14606"/>
  <c r="GA125" i="14609" s="1"/>
  <c r="D149" i="14606"/>
  <c r="GB125" i="14609" s="1"/>
  <c r="H146" i="14606"/>
  <c r="EJ125" i="14609" s="1"/>
  <c r="B150" i="14606"/>
  <c r="GP125" i="14609" s="1"/>
  <c r="C150" i="14606"/>
  <c r="GQ125" i="14609" s="1"/>
  <c r="E148" i="14606"/>
  <c r="FM125" i="14609" s="1"/>
  <c r="I146" i="14606"/>
  <c r="EK125" i="14609" s="1"/>
  <c r="J146" i="14606"/>
  <c r="EL125" i="14609" s="1"/>
  <c r="K147" i="14606"/>
  <c r="FC125" i="14609" s="1"/>
  <c r="L147" i="14606"/>
  <c r="FD125" i="14609" s="1"/>
  <c r="D150" i="14606"/>
  <c r="GR125" i="14609" s="1"/>
  <c r="E150" i="14606"/>
  <c r="GS125" i="14609" s="1"/>
  <c r="B151" i="14606"/>
  <c r="HF125" i="14609" s="1"/>
  <c r="C151" i="14606"/>
  <c r="HG125" i="14609" s="1"/>
  <c r="F148" i="14606"/>
  <c r="FN125" i="14609" s="1"/>
  <c r="E149" i="14606"/>
  <c r="GC125" i="14609" s="1"/>
  <c r="A152" i="14606"/>
  <c r="HU125" i="14609" s="1"/>
  <c r="N153" i="14606"/>
  <c r="B126" i="14609" s="1"/>
  <c r="O153" i="14606"/>
  <c r="C126" i="14609" s="1"/>
  <c r="K146" i="14606"/>
  <c r="EM125" i="14609" s="1"/>
  <c r="L146" i="14606"/>
  <c r="EN125" i="14609" s="1"/>
  <c r="D151" i="14606"/>
  <c r="HH125" i="14609" s="1"/>
  <c r="F150" i="14606"/>
  <c r="GT125" i="14609" s="1"/>
  <c r="B152" i="14606"/>
  <c r="HV125" i="14609" s="1"/>
  <c r="C152" i="14606"/>
  <c r="HW125" i="14609" s="1"/>
  <c r="G148" i="14606"/>
  <c r="FO125" i="14609" s="1"/>
  <c r="F149" i="14606"/>
  <c r="GD125" i="14609" s="1"/>
  <c r="A153" i="14606"/>
  <c r="IK125" i="14609" s="1"/>
  <c r="N154" i="14606"/>
  <c r="R126" i="14609" s="1"/>
  <c r="O154" i="14606"/>
  <c r="S126" i="14609" s="1"/>
  <c r="G149" i="14606"/>
  <c r="GE125" i="14609" s="1"/>
  <c r="H149" i="14606"/>
  <c r="GF125" i="14609" s="1"/>
  <c r="I149" i="14606"/>
  <c r="GG125" i="14609" s="1"/>
  <c r="E151" i="14606"/>
  <c r="HI125" i="14609" s="1"/>
  <c r="F151" i="14606"/>
  <c r="HJ125" i="14609" s="1"/>
  <c r="G150" i="14606"/>
  <c r="GU125" i="14609" s="1"/>
  <c r="B153" i="14606"/>
  <c r="IL125" i="14609" s="1"/>
  <c r="C153" i="14606"/>
  <c r="IM125" i="14609" s="1"/>
  <c r="A154" i="14606"/>
  <c r="E126" i="14609" s="1"/>
  <c r="N155" i="14606"/>
  <c r="AH126" i="14609" s="1"/>
  <c r="O155" i="14606"/>
  <c r="AI126" i="14609" s="1"/>
  <c r="D152" i="14606"/>
  <c r="HX125" i="14609" s="1"/>
  <c r="E152" i="14606"/>
  <c r="HY125" i="14609" s="1"/>
  <c r="H148" i="14606"/>
  <c r="FP125" i="14609" s="1"/>
  <c r="I148" i="14606"/>
  <c r="FQ125" i="14609" s="1"/>
  <c r="G151" i="14606"/>
  <c r="HK125" i="14609" s="1"/>
  <c r="H151" i="14606"/>
  <c r="HL125" i="14609" s="1"/>
  <c r="H150" i="14606"/>
  <c r="GV125" i="14609" s="1"/>
  <c r="I150" i="14606"/>
  <c r="GW125" i="14609" s="1"/>
  <c r="J150" i="14606"/>
  <c r="GX125" i="14609" s="1"/>
  <c r="F152" i="14606"/>
  <c r="HZ125" i="14609" s="1"/>
  <c r="G152" i="14606"/>
  <c r="IA125" i="14609" s="1"/>
  <c r="H152" i="14606"/>
  <c r="IB125" i="14609" s="1"/>
  <c r="J149" i="14606"/>
  <c r="GH125" i="14609" s="1"/>
  <c r="J148" i="14606"/>
  <c r="FR125" i="14609" s="1"/>
  <c r="B154" i="14606"/>
  <c r="F126" i="14609" s="1"/>
  <c r="A155" i="14606"/>
  <c r="U126" i="14609" s="1"/>
  <c r="N156" i="14606"/>
  <c r="AX126" i="14609" s="1"/>
  <c r="O156" i="14606"/>
  <c r="AY126" i="14609" s="1"/>
  <c r="D153" i="14606"/>
  <c r="IN125" i="14609" s="1"/>
  <c r="K150" i="14606"/>
  <c r="GY125" i="14609" s="1"/>
  <c r="L150" i="14606"/>
  <c r="GZ125" i="14609" s="1"/>
  <c r="K148" i="14606"/>
  <c r="FS125" i="14609" s="1"/>
  <c r="L148" i="14606"/>
  <c r="FT125" i="14609" s="1"/>
  <c r="K149" i="14606"/>
  <c r="GI125" i="14609" s="1"/>
  <c r="L149" i="14606"/>
  <c r="GJ125" i="14609" s="1"/>
  <c r="I151" i="14606"/>
  <c r="HM125" i="14609" s="1"/>
  <c r="I152" i="14606"/>
  <c r="IC125" i="14609" s="1"/>
  <c r="J152" i="14606"/>
  <c r="ID125" i="14609" s="1"/>
  <c r="A156" i="14606"/>
  <c r="AK126" i="14609" s="1"/>
  <c r="N157" i="14606"/>
  <c r="BN126" i="14609" s="1"/>
  <c r="O157" i="14606"/>
  <c r="BO126" i="14609" s="1"/>
  <c r="B155" i="14606"/>
  <c r="V126" i="14609" s="1"/>
  <c r="C155" i="14606"/>
  <c r="W126" i="14609" s="1"/>
  <c r="C154" i="14606"/>
  <c r="G126" i="14609" s="1"/>
  <c r="E153" i="14606"/>
  <c r="IO125" i="14609" s="1"/>
  <c r="F153" i="14606"/>
  <c r="IP125" i="14609" s="1"/>
  <c r="J151" i="14606"/>
  <c r="HN125" i="14609" s="1"/>
  <c r="K151" i="14606"/>
  <c r="HO125" i="14609" s="1"/>
  <c r="L151" i="14606"/>
  <c r="HP125" i="14609" s="1"/>
  <c r="D154" i="14606"/>
  <c r="H126" i="14609" s="1"/>
  <c r="D126" i="14609"/>
  <c r="K152" i="14606"/>
  <c r="IE125" i="14609" s="1"/>
  <c r="L152" i="14606"/>
  <c r="IF125" i="14609" s="1"/>
  <c r="D155" i="14606"/>
  <c r="X126" i="14609" s="1"/>
  <c r="E155" i="14606"/>
  <c r="Y126" i="14609" s="1"/>
  <c r="B156" i="14606"/>
  <c r="AL126" i="14609" s="1"/>
  <c r="A157" i="14606"/>
  <c r="BA126" i="14609" s="1"/>
  <c r="N158" i="14606"/>
  <c r="CD126" i="14609" s="1"/>
  <c r="O158" i="14606"/>
  <c r="CE126" i="14609" s="1"/>
  <c r="G153" i="14606"/>
  <c r="IQ125" i="14609" s="1"/>
  <c r="E154" i="14606"/>
  <c r="I126" i="14609" s="1"/>
  <c r="F154" i="14606"/>
  <c r="J126" i="14609" s="1"/>
  <c r="G154" i="14606"/>
  <c r="K126" i="14609" s="1"/>
  <c r="A158" i="14606"/>
  <c r="BQ126" i="14609" s="1"/>
  <c r="N159" i="14606"/>
  <c r="CT126" i="14609" s="1"/>
  <c r="O159" i="14606"/>
  <c r="CU126" i="14609" s="1"/>
  <c r="H153" i="14606"/>
  <c r="IR125" i="14609" s="1"/>
  <c r="I153" i="14606"/>
  <c r="IS125" i="14609" s="1"/>
  <c r="B157" i="14606"/>
  <c r="BB126" i="14609" s="1"/>
  <c r="C157" i="14606"/>
  <c r="BC126" i="14609" s="1"/>
  <c r="F155" i="14606"/>
  <c r="Z126" i="14609" s="1"/>
  <c r="C156" i="14606"/>
  <c r="AM126" i="14609" s="1"/>
  <c r="H154" i="14606"/>
  <c r="L126" i="14609" s="1"/>
  <c r="D156" i="14606"/>
  <c r="AN126" i="14609" s="1"/>
  <c r="J153" i="14606"/>
  <c r="IT125" i="14609" s="1"/>
  <c r="K153" i="14606"/>
  <c r="IU125" i="14609" s="1"/>
  <c r="D157" i="14606"/>
  <c r="BD126" i="14609" s="1"/>
  <c r="B158" i="14606"/>
  <c r="BR126" i="14609" s="1"/>
  <c r="C158" i="14606"/>
  <c r="BS126" i="14609" s="1"/>
  <c r="G155" i="14606"/>
  <c r="AA126" i="14609" s="1"/>
  <c r="H155" i="14606"/>
  <c r="AB126" i="14609" s="1"/>
  <c r="I155" i="14606"/>
  <c r="AC126" i="14609" s="1"/>
  <c r="A159" i="14606"/>
  <c r="CG126" i="14609" s="1"/>
  <c r="N160" i="14606"/>
  <c r="DJ126" i="14609" s="1"/>
  <c r="O160" i="14606"/>
  <c r="DK126" i="14609" s="1"/>
  <c r="I154" i="14606"/>
  <c r="M126" i="14609" s="1"/>
  <c r="J154" i="14606"/>
  <c r="N126" i="14609" s="1"/>
  <c r="L153" i="14606"/>
  <c r="IV125" i="14609" s="1"/>
  <c r="E156" i="14606"/>
  <c r="AO126" i="14609" s="1"/>
  <c r="D158" i="14606"/>
  <c r="BT126" i="14609" s="1"/>
  <c r="A160" i="14606"/>
  <c r="CW126" i="14609" s="1"/>
  <c r="N161" i="14606"/>
  <c r="DZ126" i="14609" s="1"/>
  <c r="O161" i="14606"/>
  <c r="EA126" i="14609" s="1"/>
  <c r="J155" i="14606"/>
  <c r="AD126" i="14609" s="1"/>
  <c r="E157" i="14606"/>
  <c r="BE126" i="14609" s="1"/>
  <c r="B159" i="14606"/>
  <c r="CH126" i="14609" s="1"/>
  <c r="C159" i="14606"/>
  <c r="CI126" i="14609" s="1"/>
  <c r="D159" i="14606"/>
  <c r="CJ126" i="14609" s="1"/>
  <c r="K154" i="14606"/>
  <c r="O126" i="14609" s="1"/>
  <c r="L154" i="14606"/>
  <c r="P126" i="14609" s="1"/>
  <c r="K155" i="14606"/>
  <c r="AE126" i="14609" s="1"/>
  <c r="L155" i="14606"/>
  <c r="AF126" i="14609" s="1"/>
  <c r="F156" i="14606"/>
  <c r="AP126" i="14609" s="1"/>
  <c r="F157" i="14606"/>
  <c r="BF126" i="14609" s="1"/>
  <c r="A161" i="14606"/>
  <c r="DM126" i="14609" s="1"/>
  <c r="N162" i="14606"/>
  <c r="EP126" i="14609" s="1"/>
  <c r="O162" i="14606"/>
  <c r="EQ126" i="14609" s="1"/>
  <c r="E159" i="14606"/>
  <c r="CK126" i="14609" s="1"/>
  <c r="F159" i="14606"/>
  <c r="CL126" i="14609" s="1"/>
  <c r="E158" i="14606"/>
  <c r="BU126" i="14609" s="1"/>
  <c r="B160" i="14606"/>
  <c r="CX126" i="14609" s="1"/>
  <c r="C160" i="14606"/>
  <c r="CY126" i="14609" s="1"/>
  <c r="G156" i="14606"/>
  <c r="AQ126" i="14609" s="1"/>
  <c r="H156" i="14606"/>
  <c r="AR126" i="14609" s="1"/>
  <c r="D160" i="14606"/>
  <c r="CZ126" i="14609" s="1"/>
  <c r="E160" i="14606"/>
  <c r="DA126" i="14609" s="1"/>
  <c r="B161" i="14606"/>
  <c r="DN126" i="14609" s="1"/>
  <c r="C161" i="14606"/>
  <c r="DO126" i="14609" s="1"/>
  <c r="A162" i="14606"/>
  <c r="EC126" i="14609" s="1"/>
  <c r="N163" i="14606"/>
  <c r="FF126" i="14609" s="1"/>
  <c r="O163" i="14606"/>
  <c r="FG126" i="14609" s="1"/>
  <c r="F158" i="14606"/>
  <c r="BV126" i="14609" s="1"/>
  <c r="G157" i="14606"/>
  <c r="BG126" i="14609" s="1"/>
  <c r="G159" i="14606"/>
  <c r="CM126" i="14609" s="1"/>
  <c r="H159" i="14606"/>
  <c r="CN126" i="14609" s="1"/>
  <c r="G158" i="14606"/>
  <c r="BW126" i="14609" s="1"/>
  <c r="I156" i="14606"/>
  <c r="AS126" i="14609" s="1"/>
  <c r="B162" i="14606"/>
  <c r="ED126" i="14609" s="1"/>
  <c r="I159" i="14606"/>
  <c r="CO126" i="14609" s="1"/>
  <c r="F160" i="14606"/>
  <c r="DB126" i="14609" s="1"/>
  <c r="G160" i="14606"/>
  <c r="DC126" i="14609" s="1"/>
  <c r="D161" i="14606"/>
  <c r="DP126" i="14609" s="1"/>
  <c r="H157" i="14606"/>
  <c r="BH126" i="14609" s="1"/>
  <c r="A163" i="14606"/>
  <c r="ES126" i="14609" s="1"/>
  <c r="N164" i="14606"/>
  <c r="FV126" i="14609" s="1"/>
  <c r="O164" i="14606"/>
  <c r="FW126" i="14609" s="1"/>
  <c r="H158" i="14606"/>
  <c r="BX126" i="14609" s="1"/>
  <c r="I157" i="14606"/>
  <c r="BI126" i="14609" s="1"/>
  <c r="J157" i="14606"/>
  <c r="BJ126" i="14609" s="1"/>
  <c r="J159" i="14606"/>
  <c r="CP126" i="14609" s="1"/>
  <c r="K159" i="14606"/>
  <c r="CQ126" i="14609" s="1"/>
  <c r="L159" i="14606"/>
  <c r="CR126" i="14609" s="1"/>
  <c r="J156" i="14606"/>
  <c r="AT126" i="14609" s="1"/>
  <c r="K156" i="14606"/>
  <c r="AU126" i="14609" s="1"/>
  <c r="H160" i="14606"/>
  <c r="DD126" i="14609" s="1"/>
  <c r="A164" i="14606"/>
  <c r="FI126" i="14609" s="1"/>
  <c r="N165" i="14606"/>
  <c r="GL126" i="14609" s="1"/>
  <c r="O165" i="14606"/>
  <c r="GM126" i="14609" s="1"/>
  <c r="B163" i="14606"/>
  <c r="ET126" i="14609" s="1"/>
  <c r="C163" i="14606"/>
  <c r="EU126" i="14609" s="1"/>
  <c r="D163" i="14606"/>
  <c r="EV126" i="14609" s="1"/>
  <c r="C162" i="14606"/>
  <c r="EE126" i="14609" s="1"/>
  <c r="D162" i="14606"/>
  <c r="EF126" i="14609" s="1"/>
  <c r="E162" i="14606"/>
  <c r="EG126" i="14609" s="1"/>
  <c r="E161" i="14606"/>
  <c r="DQ126" i="14609" s="1"/>
  <c r="L156" i="14606"/>
  <c r="AV126" i="14609" s="1"/>
  <c r="K157" i="14606"/>
  <c r="BK126" i="14609" s="1"/>
  <c r="L157" i="14606"/>
  <c r="BL126" i="14609" s="1"/>
  <c r="I158" i="14606"/>
  <c r="BY126" i="14609" s="1"/>
  <c r="I160" i="14606"/>
  <c r="DE126" i="14609" s="1"/>
  <c r="J160" i="14606"/>
  <c r="DF126" i="14609" s="1"/>
  <c r="F162" i="14606"/>
  <c r="EH126" i="14609" s="1"/>
  <c r="N166" i="14606"/>
  <c r="HB126" i="14609" s="1"/>
  <c r="O166" i="14606"/>
  <c r="HC126" i="14609" s="1"/>
  <c r="A165" i="14606"/>
  <c r="FY126" i="14609" s="1"/>
  <c r="B164" i="14606"/>
  <c r="FJ126" i="14609" s="1"/>
  <c r="F161" i="14606"/>
  <c r="DR126" i="14609" s="1"/>
  <c r="E163" i="14606"/>
  <c r="EW126" i="14609" s="1"/>
  <c r="F163" i="14606"/>
  <c r="EX126" i="14609" s="1"/>
  <c r="J158" i="14606"/>
  <c r="BZ126" i="14609" s="1"/>
  <c r="G161" i="14606"/>
  <c r="DS126" i="14609" s="1"/>
  <c r="H161" i="14606"/>
  <c r="DT126" i="14609" s="1"/>
  <c r="I161" i="14606"/>
  <c r="DU126" i="14609" s="1"/>
  <c r="J161" i="14606"/>
  <c r="DV126" i="14609" s="1"/>
  <c r="G162" i="14606"/>
  <c r="EI126" i="14609" s="1"/>
  <c r="H162" i="14606"/>
  <c r="EJ126" i="14609" s="1"/>
  <c r="I162" i="14606"/>
  <c r="EK126" i="14609" s="1"/>
  <c r="K160" i="14606"/>
  <c r="DG126" i="14609" s="1"/>
  <c r="L160" i="14606"/>
  <c r="DH126" i="14609" s="1"/>
  <c r="G163" i="14606"/>
  <c r="EY126" i="14609" s="1"/>
  <c r="B165" i="14606"/>
  <c r="FZ126" i="14609" s="1"/>
  <c r="C165" i="14606"/>
  <c r="GA126" i="14609" s="1"/>
  <c r="A166" i="14606"/>
  <c r="GO126" i="14609" s="1"/>
  <c r="N167" i="14606"/>
  <c r="HR126" i="14609" s="1"/>
  <c r="O167" i="14606"/>
  <c r="HS126" i="14609" s="1"/>
  <c r="C164" i="14606"/>
  <c r="FK126" i="14609" s="1"/>
  <c r="K158" i="14606"/>
  <c r="CA126" i="14609" s="1"/>
  <c r="L158" i="14606"/>
  <c r="CB126" i="14609" s="1"/>
  <c r="H163" i="14606"/>
  <c r="EZ126" i="14609" s="1"/>
  <c r="I163" i="14606"/>
  <c r="FA126" i="14609" s="1"/>
  <c r="J163" i="14606"/>
  <c r="FB126" i="14609" s="1"/>
  <c r="J162" i="14606"/>
  <c r="EL126" i="14609" s="1"/>
  <c r="K161" i="14606"/>
  <c r="DW126" i="14609" s="1"/>
  <c r="L161" i="14606"/>
  <c r="DX126" i="14609" s="1"/>
  <c r="B166" i="14606"/>
  <c r="GP126" i="14609" s="1"/>
  <c r="A167" i="14606"/>
  <c r="HE126" i="14609" s="1"/>
  <c r="N168" i="14606"/>
  <c r="IH126" i="14609" s="1"/>
  <c r="O168" i="14606"/>
  <c r="II126" i="14609" s="1"/>
  <c r="D165" i="14606"/>
  <c r="GB126" i="14609" s="1"/>
  <c r="D164" i="14606"/>
  <c r="FL126" i="14609" s="1"/>
  <c r="E164" i="14606"/>
  <c r="FM126" i="14609" s="1"/>
  <c r="K163" i="14606"/>
  <c r="FC126" i="14609" s="1"/>
  <c r="L163" i="14606"/>
  <c r="FD126" i="14609" s="1"/>
  <c r="K162" i="14606"/>
  <c r="EM126" i="14609" s="1"/>
  <c r="L162" i="14606"/>
  <c r="EN126" i="14609" s="1"/>
  <c r="B167" i="14606"/>
  <c r="HF126" i="14609" s="1"/>
  <c r="F164" i="14606"/>
  <c r="FN126" i="14609" s="1"/>
  <c r="G164" i="14606"/>
  <c r="FO126" i="14609" s="1"/>
  <c r="C166" i="14606"/>
  <c r="GQ126" i="14609" s="1"/>
  <c r="E165" i="14606"/>
  <c r="GC126" i="14609" s="1"/>
  <c r="A168" i="14606"/>
  <c r="HU126" i="14609" s="1"/>
  <c r="N169" i="14606"/>
  <c r="B127" i="14609" s="1"/>
  <c r="O169" i="14606"/>
  <c r="C127" i="14609" s="1"/>
  <c r="D166" i="14606"/>
  <c r="GR126" i="14609" s="1"/>
  <c r="C167" i="14606"/>
  <c r="HG126" i="14609" s="1"/>
  <c r="D167" i="14606"/>
  <c r="HH126" i="14609" s="1"/>
  <c r="F165" i="14606"/>
  <c r="GD126" i="14609" s="1"/>
  <c r="B168" i="14606"/>
  <c r="HV126" i="14609" s="1"/>
  <c r="C168" i="14606"/>
  <c r="HW126" i="14609" s="1"/>
  <c r="H164" i="14606"/>
  <c r="FP126" i="14609" s="1"/>
  <c r="I164" i="14606"/>
  <c r="FQ126" i="14609" s="1"/>
  <c r="J164" i="14606"/>
  <c r="FR126" i="14609" s="1"/>
  <c r="A169" i="14606"/>
  <c r="IK126" i="14609" s="1"/>
  <c r="N170" i="14606"/>
  <c r="R127" i="14609" s="1"/>
  <c r="O170" i="14606"/>
  <c r="S127" i="14609" s="1"/>
  <c r="E166" i="14606"/>
  <c r="GS126" i="14609" s="1"/>
  <c r="K164" i="14606"/>
  <c r="FS126" i="14609" s="1"/>
  <c r="L164" i="14606"/>
  <c r="FT126" i="14609" s="1"/>
  <c r="D168" i="14606"/>
  <c r="HX126" i="14609" s="1"/>
  <c r="E168" i="14606"/>
  <c r="HY126" i="14609" s="1"/>
  <c r="E167" i="14606"/>
  <c r="HI126" i="14609" s="1"/>
  <c r="B169" i="14606"/>
  <c r="IL126" i="14609" s="1"/>
  <c r="C169" i="14606"/>
  <c r="IM126" i="14609" s="1"/>
  <c r="A170" i="14606"/>
  <c r="E127" i="14609" s="1"/>
  <c r="N171" i="14606"/>
  <c r="AH127" i="14609" s="1"/>
  <c r="O171" i="14606"/>
  <c r="AI127" i="14609" s="1"/>
  <c r="G165" i="14606"/>
  <c r="GE126" i="14609" s="1"/>
  <c r="F167" i="14606"/>
  <c r="HJ126" i="14609" s="1"/>
  <c r="F166" i="14606"/>
  <c r="GT126" i="14609" s="1"/>
  <c r="D169" i="14606"/>
  <c r="IN126" i="14609" s="1"/>
  <c r="B170" i="14606"/>
  <c r="F127" i="14609" s="1"/>
  <c r="C170" i="14606"/>
  <c r="G127" i="14609" s="1"/>
  <c r="A171" i="14606"/>
  <c r="U127" i="14609" s="1"/>
  <c r="N172" i="14606"/>
  <c r="AX127" i="14609" s="1"/>
  <c r="O172" i="14606"/>
  <c r="AY127" i="14609" s="1"/>
  <c r="H165" i="14606"/>
  <c r="GF126" i="14609" s="1"/>
  <c r="I165" i="14606"/>
  <c r="GG126" i="14609" s="1"/>
  <c r="F168" i="14606"/>
  <c r="HZ126" i="14609" s="1"/>
  <c r="G167" i="14606"/>
  <c r="HK126" i="14609" s="1"/>
  <c r="G166" i="14606"/>
  <c r="GU126" i="14609" s="1"/>
  <c r="H166" i="14606"/>
  <c r="GV126" i="14609" s="1"/>
  <c r="B171" i="14606"/>
  <c r="V127" i="14609" s="1"/>
  <c r="D170" i="14606"/>
  <c r="H127" i="14609" s="1"/>
  <c r="D127" i="14609"/>
  <c r="J165" i="14606"/>
  <c r="GH126" i="14609" s="1"/>
  <c r="K165" i="14606"/>
  <c r="GI126" i="14609" s="1"/>
  <c r="G168" i="14606"/>
  <c r="IA126" i="14609" s="1"/>
  <c r="A172" i="14606"/>
  <c r="AK127" i="14609" s="1"/>
  <c r="N173" i="14606"/>
  <c r="BN127" i="14609" s="1"/>
  <c r="O173" i="14606"/>
  <c r="BO127" i="14609" s="1"/>
  <c r="E169" i="14606"/>
  <c r="IO126" i="14609" s="1"/>
  <c r="I166" i="14606"/>
  <c r="GW126" i="14609" s="1"/>
  <c r="J166" i="14606"/>
  <c r="GX126" i="14609" s="1"/>
  <c r="H167" i="14606"/>
  <c r="HL126" i="14609" s="1"/>
  <c r="E170" i="14606"/>
  <c r="I127" i="14609" s="1"/>
  <c r="F170" i="14606"/>
  <c r="J127" i="14609" s="1"/>
  <c r="L165" i="14606"/>
  <c r="GJ126" i="14609" s="1"/>
  <c r="B172" i="14606"/>
  <c r="AL127" i="14609" s="1"/>
  <c r="C172" i="14606"/>
  <c r="AM127" i="14609" s="1"/>
  <c r="C171" i="14606"/>
  <c r="W127" i="14609" s="1"/>
  <c r="D171" i="14606"/>
  <c r="X127" i="14609" s="1"/>
  <c r="H168" i="14606"/>
  <c r="IB126" i="14609" s="1"/>
  <c r="F169" i="14606"/>
  <c r="IP126" i="14609" s="1"/>
  <c r="A173" i="14606"/>
  <c r="BA127" i="14609" s="1"/>
  <c r="N174" i="14606"/>
  <c r="CD127" i="14609" s="1"/>
  <c r="O174" i="14606"/>
  <c r="CE127" i="14609" s="1"/>
  <c r="K166" i="14606"/>
  <c r="GY126" i="14609" s="1"/>
  <c r="L166" i="14606"/>
  <c r="GZ126" i="14609" s="1"/>
  <c r="I168" i="14606"/>
  <c r="IC126" i="14609" s="1"/>
  <c r="I167" i="14606"/>
  <c r="HM126" i="14609" s="1"/>
  <c r="J167" i="14606"/>
  <c r="HN126" i="14609" s="1"/>
  <c r="A174" i="14606"/>
  <c r="BQ127" i="14609" s="1"/>
  <c r="N175" i="14606"/>
  <c r="CT127" i="14609" s="1"/>
  <c r="O175" i="14606"/>
  <c r="CU127" i="14609" s="1"/>
  <c r="E171" i="14606"/>
  <c r="Y127" i="14609" s="1"/>
  <c r="F171" i="14606"/>
  <c r="Z127" i="14609" s="1"/>
  <c r="G171" i="14606"/>
  <c r="AA127" i="14609" s="1"/>
  <c r="G169" i="14606"/>
  <c r="IQ126" i="14609" s="1"/>
  <c r="G170" i="14606"/>
  <c r="K127" i="14609" s="1"/>
  <c r="B173" i="14606"/>
  <c r="BB127" i="14609" s="1"/>
  <c r="D172" i="14606"/>
  <c r="AN127" i="14609" s="1"/>
  <c r="K167" i="14606"/>
  <c r="HO126" i="14609" s="1"/>
  <c r="L167" i="14606"/>
  <c r="HP126" i="14609" s="1"/>
  <c r="H169" i="14606"/>
  <c r="IR126" i="14609" s="1"/>
  <c r="I169" i="14606"/>
  <c r="IS126" i="14609" s="1"/>
  <c r="J169" i="14606"/>
  <c r="IT126" i="14609" s="1"/>
  <c r="J168" i="14606"/>
  <c r="ID126" i="14609" s="1"/>
  <c r="K168" i="14606"/>
  <c r="IE126" i="14609" s="1"/>
  <c r="A175" i="14606"/>
  <c r="CG127" i="14609" s="1"/>
  <c r="N176" i="14606"/>
  <c r="DJ127" i="14609" s="1"/>
  <c r="O176" i="14606"/>
  <c r="DK127" i="14609" s="1"/>
  <c r="H170" i="14606"/>
  <c r="L127" i="14609" s="1"/>
  <c r="I170" i="14606"/>
  <c r="M127" i="14609" s="1"/>
  <c r="J170" i="14606"/>
  <c r="N127" i="14609" s="1"/>
  <c r="B174" i="14606"/>
  <c r="BR127" i="14609" s="1"/>
  <c r="C174" i="14606"/>
  <c r="BS127" i="14609" s="1"/>
  <c r="C173" i="14606"/>
  <c r="BC127" i="14609" s="1"/>
  <c r="E172" i="14606"/>
  <c r="AO127" i="14609" s="1"/>
  <c r="H171" i="14606"/>
  <c r="AB127" i="14609" s="1"/>
  <c r="L168" i="14606"/>
  <c r="IF126" i="14609" s="1"/>
  <c r="K170" i="14606"/>
  <c r="O127" i="14609" s="1"/>
  <c r="L170" i="14606"/>
  <c r="P127" i="14609" s="1"/>
  <c r="K169" i="14606"/>
  <c r="IU126" i="14609" s="1"/>
  <c r="L169" i="14606"/>
  <c r="IV126" i="14609" s="1"/>
  <c r="I171" i="14606"/>
  <c r="AC127" i="14609" s="1"/>
  <c r="J171" i="14606"/>
  <c r="AD127" i="14609" s="1"/>
  <c r="A176" i="14606"/>
  <c r="CW127" i="14609" s="1"/>
  <c r="N177" i="14606"/>
  <c r="DZ127" i="14609" s="1"/>
  <c r="O177" i="14606"/>
  <c r="EA127" i="14609" s="1"/>
  <c r="F172" i="14606"/>
  <c r="AP127" i="14609" s="1"/>
  <c r="D174" i="14606"/>
  <c r="BT127" i="14609" s="1"/>
  <c r="D173" i="14606"/>
  <c r="BD127" i="14609" s="1"/>
  <c r="B175" i="14606"/>
  <c r="CH127" i="14609" s="1"/>
  <c r="C175" i="14606"/>
  <c r="CI127" i="14609" s="1"/>
  <c r="D175" i="14606"/>
  <c r="CJ127" i="14609" s="1"/>
  <c r="K171" i="14606"/>
  <c r="AE127" i="14609" s="1"/>
  <c r="L171" i="14606"/>
  <c r="AF127" i="14609" s="1"/>
  <c r="E175" i="14606"/>
  <c r="CK127" i="14609" s="1"/>
  <c r="F175" i="14606"/>
  <c r="CL127" i="14609" s="1"/>
  <c r="G175" i="14606"/>
  <c r="CM127" i="14609" s="1"/>
  <c r="A177" i="14606"/>
  <c r="DM127" i="14609" s="1"/>
  <c r="N178" i="14606"/>
  <c r="EP127" i="14609" s="1"/>
  <c r="O178" i="14606"/>
  <c r="EQ127" i="14609" s="1"/>
  <c r="B176" i="14606"/>
  <c r="CX127" i="14609" s="1"/>
  <c r="C176" i="14606"/>
  <c r="CY127" i="14609" s="1"/>
  <c r="E174" i="14606"/>
  <c r="BU127" i="14609" s="1"/>
  <c r="F174" i="14606"/>
  <c r="BV127" i="14609" s="1"/>
  <c r="G172" i="14606"/>
  <c r="AQ127" i="14609" s="1"/>
  <c r="E173" i="14606"/>
  <c r="BE127" i="14609" s="1"/>
  <c r="H172" i="14606"/>
  <c r="AR127" i="14609" s="1"/>
  <c r="I172" i="14606"/>
  <c r="AS127" i="14609" s="1"/>
  <c r="G174" i="14606"/>
  <c r="BW127" i="14609" s="1"/>
  <c r="D176" i="14606"/>
  <c r="CZ127" i="14609" s="1"/>
  <c r="E176" i="14606"/>
  <c r="DA127" i="14609" s="1"/>
  <c r="B177" i="14606"/>
  <c r="DN127" i="14609" s="1"/>
  <c r="H175" i="14606"/>
  <c r="CN127" i="14609" s="1"/>
  <c r="F173" i="14606"/>
  <c r="BF127" i="14609" s="1"/>
  <c r="A178" i="14606"/>
  <c r="EC127" i="14609" s="1"/>
  <c r="N179" i="14606"/>
  <c r="FF127" i="14609" s="1"/>
  <c r="O179" i="14606"/>
  <c r="FG127" i="14609" s="1"/>
  <c r="J172" i="14606"/>
  <c r="AT127" i="14609" s="1"/>
  <c r="K172" i="14606"/>
  <c r="AU127" i="14609" s="1"/>
  <c r="I175" i="14606"/>
  <c r="CO127" i="14609" s="1"/>
  <c r="J175" i="14606"/>
  <c r="CP127" i="14609" s="1"/>
  <c r="H174" i="14606"/>
  <c r="BX127" i="14609" s="1"/>
  <c r="F176" i="14606"/>
  <c r="DB127" i="14609" s="1"/>
  <c r="B178" i="14606"/>
  <c r="ED127" i="14609" s="1"/>
  <c r="C178" i="14606"/>
  <c r="EE127" i="14609" s="1"/>
  <c r="A179" i="14606"/>
  <c r="ES127" i="14609" s="1"/>
  <c r="N180" i="14606"/>
  <c r="FV127" i="14609" s="1"/>
  <c r="O180" i="14606"/>
  <c r="FW127" i="14609" s="1"/>
  <c r="G173" i="14606"/>
  <c r="BG127" i="14609" s="1"/>
  <c r="C177" i="14606"/>
  <c r="DO127" i="14609" s="1"/>
  <c r="L172" i="14606"/>
  <c r="AV127" i="14609" s="1"/>
  <c r="K175" i="14606"/>
  <c r="CQ127" i="14609" s="1"/>
  <c r="L175" i="14606"/>
  <c r="CR127" i="14609" s="1"/>
  <c r="H173" i="14606"/>
  <c r="BH127" i="14609" s="1"/>
  <c r="I174" i="14606"/>
  <c r="BY127" i="14609" s="1"/>
  <c r="J174" i="14606"/>
  <c r="BZ127" i="14609" s="1"/>
  <c r="D178" i="14606"/>
  <c r="EF127" i="14609" s="1"/>
  <c r="E178" i="14606"/>
  <c r="EG127" i="14609" s="1"/>
  <c r="B179" i="14606"/>
  <c r="ET127" i="14609" s="1"/>
  <c r="C179" i="14606"/>
  <c r="EU127" i="14609" s="1"/>
  <c r="I173" i="14606"/>
  <c r="BI127" i="14609" s="1"/>
  <c r="J173" i="14606"/>
  <c r="BJ127" i="14609" s="1"/>
  <c r="D177" i="14606"/>
  <c r="DP127" i="14609" s="1"/>
  <c r="G176" i="14606"/>
  <c r="DC127" i="14609" s="1"/>
  <c r="A180" i="14606"/>
  <c r="FI127" i="14609" s="1"/>
  <c r="N181" i="14606"/>
  <c r="GL127" i="14609" s="1"/>
  <c r="O181" i="14606"/>
  <c r="GM127" i="14609" s="1"/>
  <c r="K173" i="14606"/>
  <c r="BK127" i="14609" s="1"/>
  <c r="L173" i="14606"/>
  <c r="BL127" i="14609" s="1"/>
  <c r="K174" i="14606"/>
  <c r="CA127" i="14609" s="1"/>
  <c r="L174" i="14606"/>
  <c r="CB127" i="14609" s="1"/>
  <c r="E177" i="14606"/>
  <c r="DQ127" i="14609" s="1"/>
  <c r="F177" i="14606"/>
  <c r="DR127" i="14609" s="1"/>
  <c r="H176" i="14606"/>
  <c r="DD127" i="14609" s="1"/>
  <c r="F178" i="14606"/>
  <c r="EH127" i="14609" s="1"/>
  <c r="B180" i="14606"/>
  <c r="FJ127" i="14609" s="1"/>
  <c r="C180" i="14606"/>
  <c r="FK127" i="14609" s="1"/>
  <c r="A181" i="14606"/>
  <c r="FY127" i="14609" s="1"/>
  <c r="N182" i="14606"/>
  <c r="HB127" i="14609" s="1"/>
  <c r="O182" i="14606"/>
  <c r="HC127" i="14609" s="1"/>
  <c r="D179" i="14606"/>
  <c r="EV127" i="14609" s="1"/>
  <c r="G177" i="14606"/>
  <c r="DS127" i="14609" s="1"/>
  <c r="H177" i="14606"/>
  <c r="DT127" i="14609" s="1"/>
  <c r="I177" i="14606"/>
  <c r="DU127" i="14609" s="1"/>
  <c r="G178" i="14606"/>
  <c r="EI127" i="14609" s="1"/>
  <c r="H178" i="14606"/>
  <c r="EJ127" i="14609" s="1"/>
  <c r="I178" i="14606"/>
  <c r="EK127" i="14609" s="1"/>
  <c r="I176" i="14606"/>
  <c r="DE127" i="14609" s="1"/>
  <c r="J176" i="14606"/>
  <c r="DF127" i="14609" s="1"/>
  <c r="D180" i="14606"/>
  <c r="FL127" i="14609" s="1"/>
  <c r="B181" i="14606"/>
  <c r="FZ127" i="14609" s="1"/>
  <c r="A182" i="14606"/>
  <c r="GO127" i="14609" s="1"/>
  <c r="N183" i="14606"/>
  <c r="HR127" i="14609" s="1"/>
  <c r="O183" i="14606"/>
  <c r="HS127" i="14609" s="1"/>
  <c r="E179" i="14606"/>
  <c r="EW127" i="14609" s="1"/>
  <c r="F179" i="14606"/>
  <c r="EX127" i="14609" s="1"/>
  <c r="E180" i="14606"/>
  <c r="FM127" i="14609" s="1"/>
  <c r="F180" i="14606"/>
  <c r="FN127" i="14609" s="1"/>
  <c r="K176" i="14606"/>
  <c r="DG127" i="14609" s="1"/>
  <c r="L176" i="14606"/>
  <c r="DH127" i="14609" s="1"/>
  <c r="J178" i="14606"/>
  <c r="EL127" i="14609" s="1"/>
  <c r="K178" i="14606"/>
  <c r="EM127" i="14609" s="1"/>
  <c r="A183" i="14606"/>
  <c r="HE127" i="14609" s="1"/>
  <c r="N184" i="14606"/>
  <c r="IH127" i="14609" s="1"/>
  <c r="O184" i="14606"/>
  <c r="II127" i="14609" s="1"/>
  <c r="B182" i="14606"/>
  <c r="GP127" i="14609" s="1"/>
  <c r="C182" i="14606"/>
  <c r="GQ127" i="14609" s="1"/>
  <c r="J177" i="14606"/>
  <c r="DV127" i="14609" s="1"/>
  <c r="K177" i="14606"/>
  <c r="DW127" i="14609" s="1"/>
  <c r="G179" i="14606"/>
  <c r="EY127" i="14609" s="1"/>
  <c r="C181" i="14606"/>
  <c r="GA127" i="14609" s="1"/>
  <c r="L178" i="14606"/>
  <c r="EN127" i="14609" s="1"/>
  <c r="L177" i="14606"/>
  <c r="DX127" i="14609" s="1"/>
  <c r="H179" i="14606"/>
  <c r="EZ127" i="14609" s="1"/>
  <c r="I179" i="14606"/>
  <c r="FA127" i="14609" s="1"/>
  <c r="J179" i="14606"/>
  <c r="FB127" i="14609" s="1"/>
  <c r="B183" i="14606"/>
  <c r="HF127" i="14609" s="1"/>
  <c r="C183" i="14606"/>
  <c r="HG127" i="14609" s="1"/>
  <c r="D181" i="14606"/>
  <c r="GB127" i="14609" s="1"/>
  <c r="A184" i="14606"/>
  <c r="HU127" i="14609" s="1"/>
  <c r="N185" i="14606"/>
  <c r="B128" i="14609" s="1"/>
  <c r="O185" i="14606"/>
  <c r="C128" i="14609" s="1"/>
  <c r="G180" i="14606"/>
  <c r="FO127" i="14609" s="1"/>
  <c r="H180" i="14606"/>
  <c r="FP127" i="14609" s="1"/>
  <c r="D182" i="14606"/>
  <c r="GR127" i="14609" s="1"/>
  <c r="E181" i="14606"/>
  <c r="GC127" i="14609" s="1"/>
  <c r="F181" i="14606"/>
  <c r="GD127" i="14609" s="1"/>
  <c r="G181" i="14606"/>
  <c r="GE127" i="14609" s="1"/>
  <c r="H181" i="14606"/>
  <c r="GF127" i="14609" s="1"/>
  <c r="K179" i="14606"/>
  <c r="FC127" i="14609" s="1"/>
  <c r="L179" i="14606"/>
  <c r="FD127" i="14609" s="1"/>
  <c r="B184" i="14606"/>
  <c r="HV127" i="14609" s="1"/>
  <c r="C184" i="14606"/>
  <c r="HW127" i="14609" s="1"/>
  <c r="D183" i="14606"/>
  <c r="HH127" i="14609" s="1"/>
  <c r="I180" i="14606"/>
  <c r="FQ127" i="14609" s="1"/>
  <c r="E182" i="14606"/>
  <c r="GS127" i="14609" s="1"/>
  <c r="A185" i="14606"/>
  <c r="IK127" i="14609" s="1"/>
  <c r="N186" i="14606"/>
  <c r="R128" i="14609" s="1"/>
  <c r="O186" i="14606"/>
  <c r="S128" i="14609" s="1"/>
  <c r="F182" i="14606"/>
  <c r="GT127" i="14609" s="1"/>
  <c r="G182" i="14606"/>
  <c r="GU127" i="14609" s="1"/>
  <c r="H182" i="14606"/>
  <c r="GV127" i="14609" s="1"/>
  <c r="J180" i="14606"/>
  <c r="FR127" i="14609" s="1"/>
  <c r="B185" i="14606"/>
  <c r="IL127" i="14609" s="1"/>
  <c r="A186" i="14606"/>
  <c r="E128" i="14609" s="1"/>
  <c r="N187" i="14606"/>
  <c r="AH128" i="14609" s="1"/>
  <c r="O187" i="14606"/>
  <c r="AI128" i="14609" s="1"/>
  <c r="D184" i="14606"/>
  <c r="HX127" i="14609" s="1"/>
  <c r="I181" i="14606"/>
  <c r="GG127" i="14609" s="1"/>
  <c r="J181" i="14606"/>
  <c r="GH127" i="14609" s="1"/>
  <c r="K181" i="14606"/>
  <c r="GI127" i="14609" s="1"/>
  <c r="E183" i="14606"/>
  <c r="HI127" i="14609" s="1"/>
  <c r="L181" i="14606"/>
  <c r="GJ127" i="14609" s="1"/>
  <c r="K180" i="14606"/>
  <c r="FS127" i="14609" s="1"/>
  <c r="L180" i="14606"/>
  <c r="FT127" i="14609" s="1"/>
  <c r="I182" i="14606"/>
  <c r="GW127" i="14609" s="1"/>
  <c r="J182" i="14606"/>
  <c r="GX127" i="14609" s="1"/>
  <c r="C185" i="14606"/>
  <c r="IM127" i="14609" s="1"/>
  <c r="D185" i="14606"/>
  <c r="IN127" i="14609" s="1"/>
  <c r="B186" i="14606"/>
  <c r="F128" i="14609" s="1"/>
  <c r="A187" i="14606"/>
  <c r="U128" i="14609" s="1"/>
  <c r="N188" i="14606"/>
  <c r="AX128" i="14609" s="1"/>
  <c r="O188" i="14606"/>
  <c r="AY128" i="14609" s="1"/>
  <c r="F183" i="14606"/>
  <c r="HJ127" i="14609" s="1"/>
  <c r="E184" i="14606"/>
  <c r="HY127" i="14609" s="1"/>
  <c r="K182" i="14606"/>
  <c r="GY127" i="14609" s="1"/>
  <c r="L182" i="14606"/>
  <c r="GZ127" i="14609" s="1"/>
  <c r="E185" i="14606"/>
  <c r="IO127" i="14609" s="1"/>
  <c r="F185" i="14606"/>
  <c r="IP127" i="14609" s="1"/>
  <c r="C186" i="14606"/>
  <c r="G128" i="14609" s="1"/>
  <c r="B187" i="14606"/>
  <c r="V128" i="14609" s="1"/>
  <c r="G183" i="14606"/>
  <c r="HK127" i="14609" s="1"/>
  <c r="F184" i="14606"/>
  <c r="HZ127" i="14609" s="1"/>
  <c r="A188" i="14606"/>
  <c r="AK128" i="14609" s="1"/>
  <c r="N189" i="14606"/>
  <c r="BN128" i="14609" s="1"/>
  <c r="O189" i="14606"/>
  <c r="BO128" i="14609" s="1"/>
  <c r="D186" i="14606"/>
  <c r="H128" i="14609" s="1"/>
  <c r="D128" i="14609"/>
  <c r="G185" i="14606"/>
  <c r="IQ127" i="14609" s="1"/>
  <c r="B188" i="14606"/>
  <c r="AL128" i="14609" s="1"/>
  <c r="A189" i="14606"/>
  <c r="BA128" i="14609" s="1"/>
  <c r="N190" i="14606"/>
  <c r="CD128" i="14609" s="1"/>
  <c r="O190" i="14606"/>
  <c r="CE128" i="14609" s="1"/>
  <c r="H183" i="14606"/>
  <c r="HL127" i="14609" s="1"/>
  <c r="I183" i="14606"/>
  <c r="HM127" i="14609" s="1"/>
  <c r="G184" i="14606"/>
  <c r="IA127" i="14609" s="1"/>
  <c r="C187" i="14606"/>
  <c r="W128" i="14609" s="1"/>
  <c r="H185" i="14606"/>
  <c r="IR127" i="14609" s="1"/>
  <c r="I185" i="14606"/>
  <c r="IS127" i="14609" s="1"/>
  <c r="J185" i="14606"/>
  <c r="IT127" i="14609" s="1"/>
  <c r="E186" i="14606"/>
  <c r="I128" i="14609" s="1"/>
  <c r="J183" i="14606"/>
  <c r="HN127" i="14609" s="1"/>
  <c r="K183" i="14606"/>
  <c r="HO127" i="14609" s="1"/>
  <c r="A190" i="14606"/>
  <c r="BQ128" i="14609" s="1"/>
  <c r="N191" i="14606"/>
  <c r="CT128" i="14609" s="1"/>
  <c r="O191" i="14606"/>
  <c r="CU128" i="14609" s="1"/>
  <c r="B189" i="14606"/>
  <c r="BB128" i="14609" s="1"/>
  <c r="C189" i="14606"/>
  <c r="BC128" i="14609" s="1"/>
  <c r="C188" i="14606"/>
  <c r="AM128" i="14609" s="1"/>
  <c r="H184" i="14606"/>
  <c r="IB127" i="14609" s="1"/>
  <c r="I184" i="14606"/>
  <c r="IC127" i="14609" s="1"/>
  <c r="J184" i="14606"/>
  <c r="ID127" i="14609" s="1"/>
  <c r="D187" i="14606"/>
  <c r="X128" i="14609" s="1"/>
  <c r="K184" i="14606"/>
  <c r="IE127" i="14609" s="1"/>
  <c r="L184" i="14606"/>
  <c r="IF127" i="14609" s="1"/>
  <c r="L183" i="14606"/>
  <c r="HP127" i="14609" s="1"/>
  <c r="F186" i="14606"/>
  <c r="J128" i="14609" s="1"/>
  <c r="D188" i="14606"/>
  <c r="AN128" i="14609" s="1"/>
  <c r="E188" i="14606"/>
  <c r="AO128" i="14609" s="1"/>
  <c r="K185" i="14606"/>
  <c r="IU127" i="14609" s="1"/>
  <c r="L185" i="14606"/>
  <c r="IV127" i="14609" s="1"/>
  <c r="B190" i="14606"/>
  <c r="BR128" i="14609" s="1"/>
  <c r="C190" i="14606"/>
  <c r="BS128" i="14609" s="1"/>
  <c r="D190" i="14606"/>
  <c r="BT128" i="14609" s="1"/>
  <c r="D189" i="14606"/>
  <c r="BD128" i="14609" s="1"/>
  <c r="E187" i="14606"/>
  <c r="Y128" i="14609" s="1"/>
  <c r="F187" i="14606"/>
  <c r="Z128" i="14609" s="1"/>
  <c r="A191" i="14606"/>
  <c r="CG128" i="14609" s="1"/>
  <c r="N192" i="14606"/>
  <c r="DJ128" i="14609" s="1"/>
  <c r="O192" i="14606"/>
  <c r="DK128" i="14609" s="1"/>
  <c r="G186" i="14606"/>
  <c r="K128" i="14609" s="1"/>
  <c r="H186" i="14606"/>
  <c r="L128" i="14609" s="1"/>
  <c r="I186" i="14606"/>
  <c r="M128" i="14609" s="1"/>
  <c r="J186" i="14606"/>
  <c r="N128" i="14609" s="1"/>
  <c r="F188" i="14606"/>
  <c r="AP128" i="14609" s="1"/>
  <c r="G188" i="14606"/>
  <c r="AQ128" i="14609" s="1"/>
  <c r="H188" i="14606"/>
  <c r="AR128" i="14609" s="1"/>
  <c r="I188" i="14606"/>
  <c r="AS128" i="14609" s="1"/>
  <c r="J188" i="14606"/>
  <c r="AT128" i="14609" s="1"/>
  <c r="A192" i="14606"/>
  <c r="CW128" i="14609" s="1"/>
  <c r="N193" i="14606"/>
  <c r="DZ128" i="14609" s="1"/>
  <c r="O193" i="14606"/>
  <c r="EA128" i="14609" s="1"/>
  <c r="E190" i="14606"/>
  <c r="BU128" i="14609" s="1"/>
  <c r="G187" i="14606"/>
  <c r="AA128" i="14609" s="1"/>
  <c r="B191" i="14606"/>
  <c r="CH128" i="14609" s="1"/>
  <c r="C191" i="14606"/>
  <c r="CI128" i="14609" s="1"/>
  <c r="D191" i="14606"/>
  <c r="CJ128" i="14609" s="1"/>
  <c r="E189" i="14606"/>
  <c r="BE128" i="14609" s="1"/>
  <c r="K186" i="14606"/>
  <c r="O128" i="14609" s="1"/>
  <c r="L186" i="14606"/>
  <c r="P128" i="14609" s="1"/>
  <c r="K188" i="14606"/>
  <c r="AU128" i="14609" s="1"/>
  <c r="L188" i="14606"/>
  <c r="AV128" i="14609" s="1"/>
  <c r="N194" i="14606"/>
  <c r="EP128" i="14609" s="1"/>
  <c r="O194" i="14606"/>
  <c r="EQ128" i="14609" s="1"/>
  <c r="A193" i="14606"/>
  <c r="DM128" i="14609" s="1"/>
  <c r="H187" i="14606"/>
  <c r="AB128" i="14609" s="1"/>
  <c r="I187" i="14606"/>
  <c r="AC128" i="14609" s="1"/>
  <c r="B192" i="14606"/>
  <c r="CX128" i="14609" s="1"/>
  <c r="C192" i="14606"/>
  <c r="CY128" i="14609" s="1"/>
  <c r="E191" i="14606"/>
  <c r="CK128" i="14609" s="1"/>
  <c r="F190" i="14606"/>
  <c r="BV128" i="14609" s="1"/>
  <c r="F189" i="14606"/>
  <c r="BF128" i="14609" s="1"/>
  <c r="G190" i="14606"/>
  <c r="BW128" i="14609" s="1"/>
  <c r="B193" i="14606"/>
  <c r="DN128" i="14609" s="1"/>
  <c r="N195" i="14606"/>
  <c r="FF128" i="14609" s="1"/>
  <c r="O195" i="14606"/>
  <c r="FG128" i="14609" s="1"/>
  <c r="A194" i="14606"/>
  <c r="EC128" i="14609" s="1"/>
  <c r="G189" i="14606"/>
  <c r="BG128" i="14609" s="1"/>
  <c r="D192" i="14606"/>
  <c r="CZ128" i="14609" s="1"/>
  <c r="J187" i="14606"/>
  <c r="AD128" i="14609" s="1"/>
  <c r="K187" i="14606"/>
  <c r="AE128" i="14609" s="1"/>
  <c r="F191" i="14606"/>
  <c r="CL128" i="14609" s="1"/>
  <c r="H190" i="14606"/>
  <c r="BX128" i="14609" s="1"/>
  <c r="I190" i="14606"/>
  <c r="BY128" i="14609" s="1"/>
  <c r="J190" i="14606"/>
  <c r="BZ128" i="14609" s="1"/>
  <c r="L187" i="14606"/>
  <c r="AF128" i="14609" s="1"/>
  <c r="C193" i="14606"/>
  <c r="DO128" i="14609" s="1"/>
  <c r="E192" i="14606"/>
  <c r="DA128" i="14609" s="1"/>
  <c r="B194" i="14606"/>
  <c r="ED128" i="14609" s="1"/>
  <c r="C194" i="14606"/>
  <c r="EE128" i="14609" s="1"/>
  <c r="G191" i="14606"/>
  <c r="CM128" i="14609" s="1"/>
  <c r="A195" i="14606"/>
  <c r="ES128" i="14609" s="1"/>
  <c r="N196" i="14606"/>
  <c r="FV128" i="14609" s="1"/>
  <c r="O196" i="14606"/>
  <c r="FW128" i="14609" s="1"/>
  <c r="H189" i="14606"/>
  <c r="BH128" i="14609" s="1"/>
  <c r="I189" i="14606"/>
  <c r="BI128" i="14609" s="1"/>
  <c r="K190" i="14606"/>
  <c r="CA128" i="14609" s="1"/>
  <c r="L190" i="14606"/>
  <c r="CB128" i="14609" s="1"/>
  <c r="F192" i="14606"/>
  <c r="DB128" i="14609" s="1"/>
  <c r="D193" i="14606"/>
  <c r="DP128" i="14609" s="1"/>
  <c r="B195" i="14606"/>
  <c r="ET128" i="14609" s="1"/>
  <c r="C195" i="14606"/>
  <c r="EU128" i="14609" s="1"/>
  <c r="H191" i="14606"/>
  <c r="CN128" i="14609" s="1"/>
  <c r="A196" i="14606"/>
  <c r="FI128" i="14609" s="1"/>
  <c r="N197" i="14606"/>
  <c r="GL128" i="14609" s="1"/>
  <c r="O197" i="14606"/>
  <c r="GM128" i="14609" s="1"/>
  <c r="D194" i="14606"/>
  <c r="EF128" i="14609" s="1"/>
  <c r="J189" i="14606"/>
  <c r="BJ128" i="14609" s="1"/>
  <c r="K189" i="14606"/>
  <c r="BK128" i="14609" s="1"/>
  <c r="L189" i="14606"/>
  <c r="BL128" i="14609" s="1"/>
  <c r="G192" i="14606"/>
  <c r="DC128" i="14609" s="1"/>
  <c r="H192" i="14606"/>
  <c r="DD128" i="14609" s="1"/>
  <c r="I192" i="14606"/>
  <c r="DE128" i="14609" s="1"/>
  <c r="J192" i="14606"/>
  <c r="DF128" i="14609" s="1"/>
  <c r="D195" i="14606"/>
  <c r="EV128" i="14609" s="1"/>
  <c r="E193" i="14606"/>
  <c r="DQ128" i="14609" s="1"/>
  <c r="A197" i="14606"/>
  <c r="FY128" i="14609" s="1"/>
  <c r="N198" i="14606"/>
  <c r="HB128" i="14609" s="1"/>
  <c r="O198" i="14606"/>
  <c r="HC128" i="14609" s="1"/>
  <c r="E194" i="14606"/>
  <c r="EG128" i="14609" s="1"/>
  <c r="F194" i="14606"/>
  <c r="EH128" i="14609" s="1"/>
  <c r="I191" i="14606"/>
  <c r="CO128" i="14609" s="1"/>
  <c r="J191" i="14606"/>
  <c r="CP128" i="14609" s="1"/>
  <c r="B196" i="14606"/>
  <c r="FJ128" i="14609" s="1"/>
  <c r="E195" i="14606"/>
  <c r="EW128" i="14609" s="1"/>
  <c r="F195" i="14606"/>
  <c r="EX128" i="14609" s="1"/>
  <c r="G195" i="14606"/>
  <c r="EY128" i="14609" s="1"/>
  <c r="K191" i="14606"/>
  <c r="CQ128" i="14609" s="1"/>
  <c r="L191" i="14606"/>
  <c r="CR128" i="14609" s="1"/>
  <c r="K192" i="14606"/>
  <c r="DG128" i="14609" s="1"/>
  <c r="L192" i="14606"/>
  <c r="DH128" i="14609" s="1"/>
  <c r="F193" i="14606"/>
  <c r="DR128" i="14609" s="1"/>
  <c r="G193" i="14606"/>
  <c r="DS128" i="14609" s="1"/>
  <c r="H193" i="14606"/>
  <c r="DT128" i="14609" s="1"/>
  <c r="C196" i="14606"/>
  <c r="FK128" i="14609" s="1"/>
  <c r="G194" i="14606"/>
  <c r="EI128" i="14609" s="1"/>
  <c r="A198" i="14606"/>
  <c r="GO128" i="14609" s="1"/>
  <c r="N199" i="14606"/>
  <c r="HR128" i="14609" s="1"/>
  <c r="O199" i="14606"/>
  <c r="HS128" i="14609" s="1"/>
  <c r="B197" i="14606"/>
  <c r="FZ128" i="14609" s="1"/>
  <c r="C197" i="14606"/>
  <c r="GA128" i="14609" s="1"/>
  <c r="H194" i="14606"/>
  <c r="EJ128" i="14609" s="1"/>
  <c r="I194" i="14606"/>
  <c r="EK128" i="14609" s="1"/>
  <c r="J194" i="14606"/>
  <c r="EL128" i="14609" s="1"/>
  <c r="D196" i="14606"/>
  <c r="FL128" i="14609" s="1"/>
  <c r="H195" i="14606"/>
  <c r="EZ128" i="14609" s="1"/>
  <c r="I193" i="14606"/>
  <c r="DU128" i="14609" s="1"/>
  <c r="B198" i="14606"/>
  <c r="GP128" i="14609" s="1"/>
  <c r="C198" i="14606"/>
  <c r="GQ128" i="14609" s="1"/>
  <c r="A199" i="14606"/>
  <c r="HE128" i="14609" s="1"/>
  <c r="N200" i="14606"/>
  <c r="IH128" i="14609" s="1"/>
  <c r="O200" i="14606"/>
  <c r="II128" i="14609" s="1"/>
  <c r="D197" i="14606"/>
  <c r="GB128" i="14609" s="1"/>
  <c r="E197" i="14606"/>
  <c r="GC128" i="14609" s="1"/>
  <c r="K194" i="14606"/>
  <c r="EM128" i="14609" s="1"/>
  <c r="L194" i="14606"/>
  <c r="EN128" i="14609" s="1"/>
  <c r="J193" i="14606"/>
  <c r="DV128" i="14609" s="1"/>
  <c r="K193" i="14606"/>
  <c r="DW128" i="14609" s="1"/>
  <c r="I195" i="14606"/>
  <c r="FA128" i="14609" s="1"/>
  <c r="E196" i="14606"/>
  <c r="FM128" i="14609" s="1"/>
  <c r="A200" i="14606"/>
  <c r="HU128" i="14609" s="1"/>
  <c r="N201" i="14606"/>
  <c r="B129" i="14609" s="1"/>
  <c r="O201" i="14606"/>
  <c r="C129" i="14609" s="1"/>
  <c r="B199" i="14606"/>
  <c r="HF128" i="14609" s="1"/>
  <c r="C199" i="14606"/>
  <c r="HG128" i="14609" s="1"/>
  <c r="D198" i="14606"/>
  <c r="GR128" i="14609" s="1"/>
  <c r="E198" i="14606"/>
  <c r="GS128" i="14609" s="1"/>
  <c r="F197" i="14606"/>
  <c r="GD128" i="14609" s="1"/>
  <c r="J195" i="14606"/>
  <c r="FB128" i="14609" s="1"/>
  <c r="K195" i="14606"/>
  <c r="FC128" i="14609" s="1"/>
  <c r="L193" i="14606"/>
  <c r="DX128" i="14609" s="1"/>
  <c r="F196" i="14606"/>
  <c r="FN128" i="14609" s="1"/>
  <c r="G196" i="14606"/>
  <c r="FO128" i="14609" s="1"/>
  <c r="H196" i="14606"/>
  <c r="FP128" i="14609" s="1"/>
  <c r="G197" i="14606"/>
  <c r="GE128" i="14609" s="1"/>
  <c r="D199" i="14606"/>
  <c r="HH128" i="14609" s="1"/>
  <c r="E199" i="14606"/>
  <c r="HI128" i="14609" s="1"/>
  <c r="F199" i="14606"/>
  <c r="HJ128" i="14609" s="1"/>
  <c r="G199" i="14606"/>
  <c r="HK128" i="14609" s="1"/>
  <c r="B200" i="14606"/>
  <c r="HV128" i="14609" s="1"/>
  <c r="C200" i="14606"/>
  <c r="HW128" i="14609" s="1"/>
  <c r="F198" i="14606"/>
  <c r="GT128" i="14609" s="1"/>
  <c r="A201" i="14606"/>
  <c r="IK128" i="14609" s="1"/>
  <c r="N202" i="14606"/>
  <c r="R129" i="14609" s="1"/>
  <c r="O202" i="14606"/>
  <c r="S129" i="14609" s="1"/>
  <c r="L195" i="14606"/>
  <c r="FD128" i="14609" s="1"/>
  <c r="H197" i="14606"/>
  <c r="GF128" i="14609" s="1"/>
  <c r="I196" i="14606"/>
  <c r="FQ128" i="14609" s="1"/>
  <c r="J196" i="14606"/>
  <c r="FR128" i="14609" s="1"/>
  <c r="G198" i="14606"/>
  <c r="GU128" i="14609" s="1"/>
  <c r="A202" i="14606"/>
  <c r="E129" i="14609" s="1"/>
  <c r="N203" i="14606"/>
  <c r="AH129" i="14609" s="1"/>
  <c r="O203" i="14606"/>
  <c r="AI129" i="14609" s="1"/>
  <c r="B201" i="14606"/>
  <c r="IL128" i="14609" s="1"/>
  <c r="H199" i="14606"/>
  <c r="HL128" i="14609" s="1"/>
  <c r="D200" i="14606"/>
  <c r="HX128" i="14609" s="1"/>
  <c r="K196" i="14606"/>
  <c r="FS128" i="14609" s="1"/>
  <c r="L196" i="14606"/>
  <c r="FT128" i="14609" s="1"/>
  <c r="I199" i="14606"/>
  <c r="HM128" i="14609" s="1"/>
  <c r="J199" i="14606"/>
  <c r="HN128" i="14609" s="1"/>
  <c r="H198" i="14606"/>
  <c r="GV128" i="14609" s="1"/>
  <c r="I197" i="14606"/>
  <c r="GG128" i="14609" s="1"/>
  <c r="J197" i="14606"/>
  <c r="GH128" i="14609" s="1"/>
  <c r="B202" i="14606"/>
  <c r="F129" i="14609" s="1"/>
  <c r="E200" i="14606"/>
  <c r="HY128" i="14609" s="1"/>
  <c r="F200" i="14606"/>
  <c r="HZ128" i="14609" s="1"/>
  <c r="A203" i="14606"/>
  <c r="U129" i="14609" s="1"/>
  <c r="N204" i="14606"/>
  <c r="AX129" i="14609" s="1"/>
  <c r="O204" i="14606"/>
  <c r="AY129" i="14609" s="1"/>
  <c r="C201" i="14606"/>
  <c r="IM128" i="14609" s="1"/>
  <c r="K197" i="14606"/>
  <c r="GI128" i="14609" s="1"/>
  <c r="K199" i="14606"/>
  <c r="HO128" i="14609" s="1"/>
  <c r="L199" i="14606"/>
  <c r="HP128" i="14609" s="1"/>
  <c r="D201" i="14606"/>
  <c r="IN128" i="14609" s="1"/>
  <c r="E201" i="14606"/>
  <c r="IO128" i="14609" s="1"/>
  <c r="F201" i="14606"/>
  <c r="IP128" i="14609" s="1"/>
  <c r="I198" i="14606"/>
  <c r="GW128" i="14609" s="1"/>
  <c r="J198" i="14606"/>
  <c r="GX128" i="14609" s="1"/>
  <c r="L197" i="14606"/>
  <c r="GJ128" i="14609" s="1"/>
  <c r="B203" i="14606"/>
  <c r="V129" i="14609" s="1"/>
  <c r="C203" i="14606"/>
  <c r="W129" i="14609" s="1"/>
  <c r="D203" i="14606"/>
  <c r="X129" i="14609" s="1"/>
  <c r="A204" i="14606"/>
  <c r="AK129" i="14609" s="1"/>
  <c r="N205" i="14606"/>
  <c r="BN129" i="14609" s="1"/>
  <c r="O205" i="14606"/>
  <c r="BO129" i="14609" s="1"/>
  <c r="G200" i="14606"/>
  <c r="IA128" i="14609" s="1"/>
  <c r="H200" i="14606"/>
  <c r="IB128" i="14609" s="1"/>
  <c r="C202" i="14606"/>
  <c r="G129" i="14609" s="1"/>
  <c r="D202" i="14606"/>
  <c r="H129" i="14609" s="1"/>
  <c r="D129" i="14609"/>
  <c r="K198" i="14606"/>
  <c r="GY128" i="14609" s="1"/>
  <c r="L198" i="14606"/>
  <c r="GZ128" i="14609" s="1"/>
  <c r="E203" i="14606"/>
  <c r="Y129" i="14609" s="1"/>
  <c r="F203" i="14606"/>
  <c r="Z129" i="14609" s="1"/>
  <c r="G203" i="14606"/>
  <c r="AA129" i="14609" s="1"/>
  <c r="H203" i="14606"/>
  <c r="AB129" i="14609" s="1"/>
  <c r="I200" i="14606"/>
  <c r="IC128" i="14609" s="1"/>
  <c r="J200" i="14606"/>
  <c r="ID128" i="14609" s="1"/>
  <c r="A205" i="14606"/>
  <c r="BA129" i="14609" s="1"/>
  <c r="N206" i="14606"/>
  <c r="CD129" i="14609" s="1"/>
  <c r="O206" i="14606"/>
  <c r="CE129" i="14609" s="1"/>
  <c r="G201" i="14606"/>
  <c r="IQ128" i="14609" s="1"/>
  <c r="H201" i="14606"/>
  <c r="IR128" i="14609" s="1"/>
  <c r="B204" i="14606"/>
  <c r="AL129" i="14609" s="1"/>
  <c r="C204" i="14606"/>
  <c r="AM129" i="14609" s="1"/>
  <c r="K200" i="14606"/>
  <c r="IE128" i="14609" s="1"/>
  <c r="L200" i="14606"/>
  <c r="IF128" i="14609" s="1"/>
  <c r="E202" i="14606"/>
  <c r="I129" i="14609" s="1"/>
  <c r="I201" i="14606"/>
  <c r="IS128" i="14609" s="1"/>
  <c r="J201" i="14606"/>
  <c r="IT128" i="14609" s="1"/>
  <c r="A206" i="14606"/>
  <c r="BQ129" i="14609" s="1"/>
  <c r="N207" i="14606"/>
  <c r="CT129" i="14609" s="1"/>
  <c r="O207" i="14606"/>
  <c r="CU129" i="14609" s="1"/>
  <c r="B205" i="14606"/>
  <c r="BB129" i="14609" s="1"/>
  <c r="C205" i="14606"/>
  <c r="BC129" i="14609" s="1"/>
  <c r="D204" i="14606"/>
  <c r="AN129" i="14609" s="1"/>
  <c r="E204" i="14606"/>
  <c r="AO129" i="14609" s="1"/>
  <c r="I203" i="14606"/>
  <c r="AC129" i="14609" s="1"/>
  <c r="J203" i="14606"/>
  <c r="AD129" i="14609" s="1"/>
  <c r="K201" i="14606"/>
  <c r="IU128" i="14609" s="1"/>
  <c r="L201" i="14606"/>
  <c r="IV128" i="14609" s="1"/>
  <c r="F202" i="14606"/>
  <c r="J129" i="14609" s="1"/>
  <c r="G202" i="14606"/>
  <c r="K129" i="14609" s="1"/>
  <c r="H202" i="14606"/>
  <c r="L129" i="14609" s="1"/>
  <c r="K203" i="14606"/>
  <c r="AE129" i="14609" s="1"/>
  <c r="L203" i="14606"/>
  <c r="AF129" i="14609" s="1"/>
  <c r="D205" i="14606"/>
  <c r="BD129" i="14609" s="1"/>
  <c r="A207" i="14606"/>
  <c r="CG129" i="14609" s="1"/>
  <c r="N208" i="14606"/>
  <c r="DJ129" i="14609" s="1"/>
  <c r="O208" i="14606"/>
  <c r="DK129" i="14609" s="1"/>
  <c r="B206" i="14606"/>
  <c r="BR129" i="14609" s="1"/>
  <c r="C206" i="14606"/>
  <c r="BS129" i="14609" s="1"/>
  <c r="F204" i="14606"/>
  <c r="AP129" i="14609" s="1"/>
  <c r="E205" i="14606"/>
  <c r="BE129" i="14609" s="1"/>
  <c r="F205" i="14606"/>
  <c r="BF129" i="14609" s="1"/>
  <c r="G205" i="14606"/>
  <c r="BG129" i="14609" s="1"/>
  <c r="I202" i="14606"/>
  <c r="M129" i="14609" s="1"/>
  <c r="A208" i="14606"/>
  <c r="CW129" i="14609" s="1"/>
  <c r="N209" i="14606"/>
  <c r="DZ129" i="14609" s="1"/>
  <c r="O209" i="14606"/>
  <c r="EA129" i="14609" s="1"/>
  <c r="G204" i="14606"/>
  <c r="AQ129" i="14609" s="1"/>
  <c r="B207" i="14606"/>
  <c r="CH129" i="14609" s="1"/>
  <c r="D206" i="14606"/>
  <c r="BT129" i="14609" s="1"/>
  <c r="E206" i="14606"/>
  <c r="BU129" i="14609" s="1"/>
  <c r="F206" i="14606"/>
  <c r="BV129" i="14609" s="1"/>
  <c r="G206" i="14606"/>
  <c r="BW129" i="14609" s="1"/>
  <c r="J202" i="14606"/>
  <c r="N129" i="14609" s="1"/>
  <c r="K202" i="14606"/>
  <c r="O129" i="14609" s="1"/>
  <c r="L202" i="14606"/>
  <c r="P129" i="14609" s="1"/>
  <c r="H204" i="14606"/>
  <c r="AR129" i="14609" s="1"/>
  <c r="I204" i="14606"/>
  <c r="AS129" i="14609" s="1"/>
  <c r="J204" i="14606"/>
  <c r="AT129" i="14609" s="1"/>
  <c r="H205" i="14606"/>
  <c r="BH129" i="14609" s="1"/>
  <c r="B208" i="14606"/>
  <c r="CX129" i="14609" s="1"/>
  <c r="C208" i="14606"/>
  <c r="CY129" i="14609" s="1"/>
  <c r="C207" i="14606"/>
  <c r="CI129" i="14609" s="1"/>
  <c r="A209" i="14606"/>
  <c r="DM129" i="14609" s="1"/>
  <c r="N210" i="14606"/>
  <c r="EP129" i="14609" s="1"/>
  <c r="O210" i="14606"/>
  <c r="EQ129" i="14609" s="1"/>
  <c r="I205" i="14606"/>
  <c r="BI129" i="14609" s="1"/>
  <c r="J205" i="14606"/>
  <c r="BJ129" i="14609" s="1"/>
  <c r="K204" i="14606"/>
  <c r="AU129" i="14609" s="1"/>
  <c r="L204" i="14606"/>
  <c r="AV129" i="14609" s="1"/>
  <c r="H206" i="14606"/>
  <c r="BX129" i="14609" s="1"/>
  <c r="I206" i="14606"/>
  <c r="BY129" i="14609" s="1"/>
  <c r="J206" i="14606"/>
  <c r="BZ129" i="14609" s="1"/>
  <c r="D208" i="14606"/>
  <c r="CZ129" i="14609" s="1"/>
  <c r="B209" i="14606"/>
  <c r="DN129" i="14609" s="1"/>
  <c r="C209" i="14606"/>
  <c r="DO129" i="14609" s="1"/>
  <c r="D207" i="14606"/>
  <c r="CJ129" i="14609" s="1"/>
  <c r="A210" i="14606"/>
  <c r="EC129" i="14609" s="1"/>
  <c r="N211" i="14606"/>
  <c r="FF129" i="14609" s="1"/>
  <c r="O211" i="14606"/>
  <c r="FG129" i="14609" s="1"/>
  <c r="K205" i="14606"/>
  <c r="BK129" i="14609" s="1"/>
  <c r="L205" i="14606"/>
  <c r="BL129" i="14609" s="1"/>
  <c r="E208" i="14606"/>
  <c r="DA129" i="14609" s="1"/>
  <c r="F208" i="14606"/>
  <c r="DB129" i="14609" s="1"/>
  <c r="E207" i="14606"/>
  <c r="CK129" i="14609" s="1"/>
  <c r="F207" i="14606"/>
  <c r="CL129" i="14609" s="1"/>
  <c r="K206" i="14606"/>
  <c r="CA129" i="14609" s="1"/>
  <c r="L206" i="14606"/>
  <c r="CB129" i="14609" s="1"/>
  <c r="A211" i="14606"/>
  <c r="ES129" i="14609" s="1"/>
  <c r="N212" i="14606"/>
  <c r="FV129" i="14609" s="1"/>
  <c r="O212" i="14606"/>
  <c r="FW129" i="14609" s="1"/>
  <c r="D209" i="14606"/>
  <c r="DP129" i="14609" s="1"/>
  <c r="E209" i="14606"/>
  <c r="DQ129" i="14609" s="1"/>
  <c r="B210" i="14606"/>
  <c r="ED129" i="14609" s="1"/>
  <c r="G208" i="14606"/>
  <c r="DC129" i="14609" s="1"/>
  <c r="C210" i="14606"/>
  <c r="EE129" i="14609" s="1"/>
  <c r="F209" i="14606"/>
  <c r="DR129" i="14609" s="1"/>
  <c r="G209" i="14606"/>
  <c r="DS129" i="14609" s="1"/>
  <c r="H209" i="14606"/>
  <c r="DT129" i="14609" s="1"/>
  <c r="B211" i="14606"/>
  <c r="ET129" i="14609" s="1"/>
  <c r="A212" i="14606"/>
  <c r="FI129" i="14609" s="1"/>
  <c r="N213" i="14606"/>
  <c r="GL129" i="14609" s="1"/>
  <c r="O213" i="14606"/>
  <c r="GM129" i="14609" s="1"/>
  <c r="G207" i="14606"/>
  <c r="CM129" i="14609" s="1"/>
  <c r="D210" i="14606"/>
  <c r="EF129" i="14609" s="1"/>
  <c r="E210" i="14606"/>
  <c r="EG129" i="14609" s="1"/>
  <c r="F210" i="14606"/>
  <c r="EH129" i="14609" s="1"/>
  <c r="H207" i="14606"/>
  <c r="CN129" i="14609" s="1"/>
  <c r="I207" i="14606"/>
  <c r="CO129" i="14609" s="1"/>
  <c r="J207" i="14606"/>
  <c r="CP129" i="14609" s="1"/>
  <c r="H208" i="14606"/>
  <c r="DD129" i="14609" s="1"/>
  <c r="I208" i="14606"/>
  <c r="DE129" i="14609" s="1"/>
  <c r="I209" i="14606"/>
  <c r="DU129" i="14609" s="1"/>
  <c r="J209" i="14606"/>
  <c r="DV129" i="14609" s="1"/>
  <c r="A213" i="14606"/>
  <c r="FY129" i="14609" s="1"/>
  <c r="N214" i="14606"/>
  <c r="HB129" i="14609" s="1"/>
  <c r="O214" i="14606"/>
  <c r="HC129" i="14609" s="1"/>
  <c r="B212" i="14606"/>
  <c r="FJ129" i="14609" s="1"/>
  <c r="C212" i="14606"/>
  <c r="FK129" i="14609" s="1"/>
  <c r="C211" i="14606"/>
  <c r="EU129" i="14609" s="1"/>
  <c r="D211" i="14606"/>
  <c r="EV129" i="14609" s="1"/>
  <c r="J208" i="14606"/>
  <c r="DF129" i="14609" s="1"/>
  <c r="K208" i="14606"/>
  <c r="DG129" i="14609" s="1"/>
  <c r="K207" i="14606"/>
  <c r="CQ129" i="14609" s="1"/>
  <c r="L207" i="14606"/>
  <c r="CR129" i="14609" s="1"/>
  <c r="K209" i="14606"/>
  <c r="DW129" i="14609" s="1"/>
  <c r="L209" i="14606"/>
  <c r="DX129" i="14609" s="1"/>
  <c r="G210" i="14606"/>
  <c r="EI129" i="14609" s="1"/>
  <c r="D212" i="14606"/>
  <c r="FL129" i="14609" s="1"/>
  <c r="E212" i="14606"/>
  <c r="FM129" i="14609" s="1"/>
  <c r="A214" i="14606"/>
  <c r="GO129" i="14609" s="1"/>
  <c r="N215" i="14606"/>
  <c r="HR129" i="14609" s="1"/>
  <c r="O215" i="14606"/>
  <c r="HS129" i="14609" s="1"/>
  <c r="E211" i="14606"/>
  <c r="EW129" i="14609" s="1"/>
  <c r="B213" i="14606"/>
  <c r="FZ129" i="14609" s="1"/>
  <c r="C213" i="14606"/>
  <c r="GA129" i="14609" s="1"/>
  <c r="L208" i="14606"/>
  <c r="DH129" i="14609" s="1"/>
  <c r="H210" i="14606"/>
  <c r="EJ129" i="14609" s="1"/>
  <c r="D213" i="14606"/>
  <c r="GB129" i="14609" s="1"/>
  <c r="A215" i="14606"/>
  <c r="HE129" i="14609" s="1"/>
  <c r="N216" i="14606"/>
  <c r="IH129" i="14609" s="1"/>
  <c r="O216" i="14606"/>
  <c r="II129" i="14609" s="1"/>
  <c r="B214" i="14606"/>
  <c r="GP129" i="14609" s="1"/>
  <c r="C214" i="14606"/>
  <c r="GQ129" i="14609" s="1"/>
  <c r="F212" i="14606"/>
  <c r="FN129" i="14609" s="1"/>
  <c r="F211" i="14606"/>
  <c r="EX129" i="14609" s="1"/>
  <c r="G212" i="14606"/>
  <c r="FO129" i="14609" s="1"/>
  <c r="H212" i="14606"/>
  <c r="FP129" i="14609" s="1"/>
  <c r="I212" i="14606"/>
  <c r="FQ129" i="14609" s="1"/>
  <c r="I210" i="14606"/>
  <c r="EK129" i="14609" s="1"/>
  <c r="D214" i="14606"/>
  <c r="GR129" i="14609" s="1"/>
  <c r="A216" i="14606"/>
  <c r="HU129" i="14609" s="1"/>
  <c r="N217" i="14606"/>
  <c r="B130" i="14609" s="1"/>
  <c r="O217" i="14606"/>
  <c r="C130" i="14609" s="1"/>
  <c r="B215" i="14606"/>
  <c r="HF129" i="14609" s="1"/>
  <c r="E213" i="14606"/>
  <c r="GC129" i="14609" s="1"/>
  <c r="G211" i="14606"/>
  <c r="EY129" i="14609" s="1"/>
  <c r="F213" i="14606"/>
  <c r="GD129" i="14609" s="1"/>
  <c r="E214" i="14606"/>
  <c r="GS129" i="14609" s="1"/>
  <c r="J210" i="14606"/>
  <c r="EL129" i="14609" s="1"/>
  <c r="K210" i="14606"/>
  <c r="EM129" i="14609" s="1"/>
  <c r="C215" i="14606"/>
  <c r="HG129" i="14609" s="1"/>
  <c r="D215" i="14606"/>
  <c r="HH129" i="14609" s="1"/>
  <c r="B216" i="14606"/>
  <c r="HV129" i="14609" s="1"/>
  <c r="A217" i="14606"/>
  <c r="IK129" i="14609" s="1"/>
  <c r="N218" i="14606"/>
  <c r="R130" i="14609" s="1"/>
  <c r="O218" i="14606"/>
  <c r="S130" i="14609" s="1"/>
  <c r="J212" i="14606"/>
  <c r="FR129" i="14609" s="1"/>
  <c r="K212" i="14606"/>
  <c r="FS129" i="14609" s="1"/>
  <c r="H211" i="14606"/>
  <c r="EZ129" i="14609" s="1"/>
  <c r="G213" i="14606"/>
  <c r="GE129" i="14609" s="1"/>
  <c r="L212" i="14606"/>
  <c r="FT129" i="14609" s="1"/>
  <c r="L210" i="14606"/>
  <c r="EN129" i="14609" s="1"/>
  <c r="F214" i="14606"/>
  <c r="GT129" i="14609" s="1"/>
  <c r="G214" i="14606"/>
  <c r="GU129" i="14609" s="1"/>
  <c r="H214" i="14606"/>
  <c r="GV129" i="14609" s="1"/>
  <c r="I214" i="14606"/>
  <c r="GW129" i="14609" s="1"/>
  <c r="J214" i="14606"/>
  <c r="GX129" i="14609" s="1"/>
  <c r="E215" i="14606"/>
  <c r="HI129" i="14609" s="1"/>
  <c r="B217" i="14606"/>
  <c r="IL129" i="14609" s="1"/>
  <c r="A218" i="14606"/>
  <c r="E130" i="14609" s="1"/>
  <c r="N219" i="14606"/>
  <c r="AH130" i="14609" s="1"/>
  <c r="O219" i="14606"/>
  <c r="AI130" i="14609" s="1"/>
  <c r="I211" i="14606"/>
  <c r="FA129" i="14609" s="1"/>
  <c r="J211" i="14606"/>
  <c r="FB129" i="14609" s="1"/>
  <c r="K211" i="14606"/>
  <c r="FC129" i="14609" s="1"/>
  <c r="C216" i="14606"/>
  <c r="HW129" i="14609" s="1"/>
  <c r="L211" i="14606"/>
  <c r="FD129" i="14609" s="1"/>
  <c r="H213" i="14606"/>
  <c r="GF129" i="14609" s="1"/>
  <c r="F215" i="14606"/>
  <c r="HJ129" i="14609" s="1"/>
  <c r="G215" i="14606"/>
  <c r="HK129" i="14609" s="1"/>
  <c r="H215" i="14606"/>
  <c r="HL129" i="14609" s="1"/>
  <c r="I215" i="14606"/>
  <c r="HM129" i="14609" s="1"/>
  <c r="J215" i="14606"/>
  <c r="HN129" i="14609" s="1"/>
  <c r="K215" i="14606"/>
  <c r="HO129" i="14609" s="1"/>
  <c r="K214" i="14606"/>
  <c r="GY129" i="14609" s="1"/>
  <c r="L214" i="14606"/>
  <c r="GZ129" i="14609" s="1"/>
  <c r="B218" i="14606"/>
  <c r="F130" i="14609" s="1"/>
  <c r="C218" i="14606"/>
  <c r="G130" i="14609" s="1"/>
  <c r="D216" i="14606"/>
  <c r="HX129" i="14609" s="1"/>
  <c r="C217" i="14606"/>
  <c r="IM129" i="14609" s="1"/>
  <c r="A219" i="14606"/>
  <c r="U130" i="14609" s="1"/>
  <c r="N220" i="14606"/>
  <c r="AX130" i="14609" s="1"/>
  <c r="O220" i="14606"/>
  <c r="AY130" i="14609" s="1"/>
  <c r="I213" i="14606"/>
  <c r="GG129" i="14609" s="1"/>
  <c r="E216" i="14606"/>
  <c r="HY129" i="14609" s="1"/>
  <c r="F216" i="14606"/>
  <c r="HZ129" i="14609" s="1"/>
  <c r="L215" i="14606"/>
  <c r="HP129" i="14609" s="1"/>
  <c r="A220" i="14606"/>
  <c r="AK130" i="14609" s="1"/>
  <c r="N221" i="14606"/>
  <c r="BN130" i="14609" s="1"/>
  <c r="O221" i="14606"/>
  <c r="BO130" i="14609" s="1"/>
  <c r="B219" i="14606"/>
  <c r="V130" i="14609" s="1"/>
  <c r="C219" i="14606"/>
  <c r="W130" i="14609" s="1"/>
  <c r="D217" i="14606"/>
  <c r="IN129" i="14609" s="1"/>
  <c r="D218" i="14606"/>
  <c r="H130" i="14609" s="1"/>
  <c r="E218" i="14606"/>
  <c r="I130" i="14609" s="1"/>
  <c r="D130" i="14609"/>
  <c r="J213" i="14606"/>
  <c r="GH129" i="14609" s="1"/>
  <c r="K213" i="14606"/>
  <c r="GI129" i="14609" s="1"/>
  <c r="F218" i="14606"/>
  <c r="J130" i="14609" s="1"/>
  <c r="D219" i="14606"/>
  <c r="X130" i="14609" s="1"/>
  <c r="E219" i="14606"/>
  <c r="Y130" i="14609" s="1"/>
  <c r="A221" i="14606"/>
  <c r="BA130" i="14609" s="1"/>
  <c r="N222" i="14606"/>
  <c r="CD130" i="14609" s="1"/>
  <c r="O222" i="14606"/>
  <c r="CE130" i="14609" s="1"/>
  <c r="B220" i="14606"/>
  <c r="AL130" i="14609" s="1"/>
  <c r="C220" i="14606"/>
  <c r="AM130" i="14609" s="1"/>
  <c r="E217" i="14606"/>
  <c r="IO129" i="14609" s="1"/>
  <c r="G216" i="14606"/>
  <c r="IA129" i="14609" s="1"/>
  <c r="H216" i="14606"/>
  <c r="IB129" i="14609" s="1"/>
  <c r="L213" i="14606"/>
  <c r="GJ129" i="14609" s="1"/>
  <c r="F217" i="14606"/>
  <c r="IP129" i="14609" s="1"/>
  <c r="D220" i="14606"/>
  <c r="AN130" i="14609" s="1"/>
  <c r="A222" i="14606"/>
  <c r="BQ130" i="14609" s="1"/>
  <c r="N223" i="14606"/>
  <c r="CT130" i="14609" s="1"/>
  <c r="O223" i="14606"/>
  <c r="CU130" i="14609" s="1"/>
  <c r="F219" i="14606"/>
  <c r="Z130" i="14609" s="1"/>
  <c r="G218" i="14606"/>
  <c r="K130" i="14609" s="1"/>
  <c r="I216" i="14606"/>
  <c r="IC129" i="14609" s="1"/>
  <c r="J216" i="14606"/>
  <c r="ID129" i="14609" s="1"/>
  <c r="B221" i="14606"/>
  <c r="BB130" i="14609" s="1"/>
  <c r="K216" i="14606"/>
  <c r="IE129" i="14609" s="1"/>
  <c r="L216" i="14606"/>
  <c r="IF129" i="14609" s="1"/>
  <c r="G217" i="14606"/>
  <c r="IQ129" i="14609" s="1"/>
  <c r="H218" i="14606"/>
  <c r="L130" i="14609" s="1"/>
  <c r="E220" i="14606"/>
  <c r="AO130" i="14609" s="1"/>
  <c r="F220" i="14606"/>
  <c r="AP130" i="14609" s="1"/>
  <c r="A223" i="14606"/>
  <c r="CG130" i="14609" s="1"/>
  <c r="N224" i="14606"/>
  <c r="DJ130" i="14609" s="1"/>
  <c r="O224" i="14606"/>
  <c r="DK130" i="14609" s="1"/>
  <c r="B222" i="14606"/>
  <c r="BR130" i="14609" s="1"/>
  <c r="C221" i="14606"/>
  <c r="BC130" i="14609" s="1"/>
  <c r="G219" i="14606"/>
  <c r="AA130" i="14609" s="1"/>
  <c r="H219" i="14606"/>
  <c r="AB130" i="14609" s="1"/>
  <c r="I218" i="14606"/>
  <c r="M130" i="14609" s="1"/>
  <c r="H217" i="14606"/>
  <c r="IR129" i="14609" s="1"/>
  <c r="I217" i="14606"/>
  <c r="IS129" i="14609" s="1"/>
  <c r="J217" i="14606"/>
  <c r="IT129" i="14609" s="1"/>
  <c r="C222" i="14606"/>
  <c r="BS130" i="14609" s="1"/>
  <c r="D222" i="14606"/>
  <c r="BT130" i="14609" s="1"/>
  <c r="B223" i="14606"/>
  <c r="CH130" i="14609" s="1"/>
  <c r="D221" i="14606"/>
  <c r="BD130" i="14609" s="1"/>
  <c r="E221" i="14606"/>
  <c r="BE130" i="14609" s="1"/>
  <c r="A224" i="14606"/>
  <c r="CW130" i="14609" s="1"/>
  <c r="N225" i="14606"/>
  <c r="DZ130" i="14609" s="1"/>
  <c r="O225" i="14606"/>
  <c r="EA130" i="14609" s="1"/>
  <c r="I219" i="14606"/>
  <c r="AC130" i="14609" s="1"/>
  <c r="J219" i="14606"/>
  <c r="AD130" i="14609" s="1"/>
  <c r="K219" i="14606"/>
  <c r="AE130" i="14609" s="1"/>
  <c r="L219" i="14606"/>
  <c r="AF130" i="14609" s="1"/>
  <c r="G220" i="14606"/>
  <c r="AQ130" i="14609" s="1"/>
  <c r="H220" i="14606"/>
  <c r="AR130" i="14609" s="1"/>
  <c r="K217" i="14606"/>
  <c r="IU129" i="14609" s="1"/>
  <c r="L217" i="14606"/>
  <c r="IV129" i="14609" s="1"/>
  <c r="J218" i="14606"/>
  <c r="N130" i="14609" s="1"/>
  <c r="K218" i="14606"/>
  <c r="O130" i="14609" s="1"/>
  <c r="E222" i="14606"/>
  <c r="BU130" i="14609" s="1"/>
  <c r="A225" i="14606"/>
  <c r="DM130" i="14609" s="1"/>
  <c r="N226" i="14606"/>
  <c r="EP130" i="14609" s="1"/>
  <c r="O226" i="14606"/>
  <c r="EQ130" i="14609" s="1"/>
  <c r="F221" i="14606"/>
  <c r="BF130" i="14609" s="1"/>
  <c r="G221" i="14606"/>
  <c r="BG130" i="14609" s="1"/>
  <c r="C223" i="14606"/>
  <c r="CI130" i="14609" s="1"/>
  <c r="B224" i="14606"/>
  <c r="CX130" i="14609" s="1"/>
  <c r="L218" i="14606"/>
  <c r="P130" i="14609" s="1"/>
  <c r="I220" i="14606"/>
  <c r="AS130" i="14609" s="1"/>
  <c r="J220" i="14606"/>
  <c r="AT130" i="14609" s="1"/>
  <c r="D223" i="14606"/>
  <c r="CJ130" i="14609" s="1"/>
  <c r="E223" i="14606"/>
  <c r="CK130" i="14609" s="1"/>
  <c r="F222" i="14606"/>
  <c r="BV130" i="14609" s="1"/>
  <c r="B225" i="14606"/>
  <c r="DN130" i="14609" s="1"/>
  <c r="C225" i="14606"/>
  <c r="DO130" i="14609" s="1"/>
  <c r="C224" i="14606"/>
  <c r="CY130" i="14609" s="1"/>
  <c r="H221" i="14606"/>
  <c r="BH130" i="14609" s="1"/>
  <c r="A226" i="14606"/>
  <c r="EC130" i="14609" s="1"/>
  <c r="N227" i="14606"/>
  <c r="FF130" i="14609" s="1"/>
  <c r="O227" i="14606"/>
  <c r="FG130" i="14609" s="1"/>
  <c r="F223" i="14606"/>
  <c r="CL130" i="14609" s="1"/>
  <c r="G223" i="14606"/>
  <c r="CM130" i="14609" s="1"/>
  <c r="H223" i="14606"/>
  <c r="CN130" i="14609" s="1"/>
  <c r="K220" i="14606"/>
  <c r="AU130" i="14609" s="1"/>
  <c r="L220" i="14606"/>
  <c r="AV130" i="14609" s="1"/>
  <c r="I221" i="14606"/>
  <c r="BI130" i="14609" s="1"/>
  <c r="J221" i="14606"/>
  <c r="BJ130" i="14609" s="1"/>
  <c r="G222" i="14606"/>
  <c r="BW130" i="14609" s="1"/>
  <c r="D225" i="14606"/>
  <c r="DP130" i="14609" s="1"/>
  <c r="B226" i="14606"/>
  <c r="ED130" i="14609" s="1"/>
  <c r="C226" i="14606"/>
  <c r="EE130" i="14609" s="1"/>
  <c r="A227" i="14606"/>
  <c r="ES130" i="14609" s="1"/>
  <c r="N228" i="14606"/>
  <c r="FV130" i="14609" s="1"/>
  <c r="O228" i="14606"/>
  <c r="FW130" i="14609" s="1"/>
  <c r="D224" i="14606"/>
  <c r="CZ130" i="14609" s="1"/>
  <c r="K221" i="14606"/>
  <c r="BK130" i="14609" s="1"/>
  <c r="L221" i="14606"/>
  <c r="BL130" i="14609" s="1"/>
  <c r="E224" i="14606"/>
  <c r="DA130" i="14609" s="1"/>
  <c r="F224" i="14606"/>
  <c r="DB130" i="14609" s="1"/>
  <c r="G224" i="14606"/>
  <c r="DC130" i="14609" s="1"/>
  <c r="E225" i="14606"/>
  <c r="DQ130" i="14609" s="1"/>
  <c r="F225" i="14606"/>
  <c r="DR130" i="14609" s="1"/>
  <c r="G225" i="14606"/>
  <c r="DS130" i="14609" s="1"/>
  <c r="H222" i="14606"/>
  <c r="BX130" i="14609" s="1"/>
  <c r="I222" i="14606"/>
  <c r="BY130" i="14609" s="1"/>
  <c r="J222" i="14606"/>
  <c r="BZ130" i="14609" s="1"/>
  <c r="A228" i="14606"/>
  <c r="FI130" i="14609" s="1"/>
  <c r="N229" i="14606"/>
  <c r="GL130" i="14609" s="1"/>
  <c r="O229" i="14606"/>
  <c r="GM130" i="14609" s="1"/>
  <c r="B227" i="14606"/>
  <c r="ET130" i="14609" s="1"/>
  <c r="C227" i="14606"/>
  <c r="EU130" i="14609" s="1"/>
  <c r="D226" i="14606"/>
  <c r="EF130" i="14609" s="1"/>
  <c r="I223" i="14606"/>
  <c r="CO130" i="14609" s="1"/>
  <c r="K222" i="14606"/>
  <c r="CA130" i="14609" s="1"/>
  <c r="L222" i="14606"/>
  <c r="CB130" i="14609" s="1"/>
  <c r="J223" i="14606"/>
  <c r="CP130" i="14609" s="1"/>
  <c r="K223" i="14606"/>
  <c r="CQ130" i="14609" s="1"/>
  <c r="E226" i="14606"/>
  <c r="EG130" i="14609" s="1"/>
  <c r="F226" i="14606"/>
  <c r="EH130" i="14609" s="1"/>
  <c r="H225" i="14606"/>
  <c r="DT130" i="14609" s="1"/>
  <c r="B228" i="14606"/>
  <c r="FJ130" i="14609" s="1"/>
  <c r="C228" i="14606"/>
  <c r="FK130" i="14609" s="1"/>
  <c r="A229" i="14606"/>
  <c r="FY130" i="14609" s="1"/>
  <c r="N230" i="14606"/>
  <c r="HB130" i="14609" s="1"/>
  <c r="O230" i="14606"/>
  <c r="HC130" i="14609" s="1"/>
  <c r="D227" i="14606"/>
  <c r="EV130" i="14609" s="1"/>
  <c r="H224" i="14606"/>
  <c r="DD130" i="14609" s="1"/>
  <c r="I224" i="14606"/>
  <c r="DE130" i="14609" s="1"/>
  <c r="I225" i="14606"/>
  <c r="DU130" i="14609" s="1"/>
  <c r="J225" i="14606"/>
  <c r="DV130" i="14609" s="1"/>
  <c r="L223" i="14606"/>
  <c r="CR130" i="14609" s="1"/>
  <c r="D228" i="14606"/>
  <c r="FL130" i="14609" s="1"/>
  <c r="E228" i="14606"/>
  <c r="FM130" i="14609" s="1"/>
  <c r="J224" i="14606"/>
  <c r="DF130" i="14609" s="1"/>
  <c r="K224" i="14606"/>
  <c r="DG130" i="14609" s="1"/>
  <c r="L224" i="14606"/>
  <c r="DH130" i="14609" s="1"/>
  <c r="G226" i="14606"/>
  <c r="EI130" i="14609" s="1"/>
  <c r="A230" i="14606"/>
  <c r="GO130" i="14609" s="1"/>
  <c r="N231" i="14606"/>
  <c r="HR130" i="14609" s="1"/>
  <c r="O231" i="14606"/>
  <c r="HS130" i="14609" s="1"/>
  <c r="E227" i="14606"/>
  <c r="EW130" i="14609" s="1"/>
  <c r="F227" i="14606"/>
  <c r="EX130" i="14609" s="1"/>
  <c r="B229" i="14606"/>
  <c r="FZ130" i="14609" s="1"/>
  <c r="C229" i="14606"/>
  <c r="GA130" i="14609" s="1"/>
  <c r="K225" i="14606"/>
  <c r="DW130" i="14609" s="1"/>
  <c r="L225" i="14606"/>
  <c r="DX130" i="14609" s="1"/>
  <c r="F228" i="14606"/>
  <c r="FN130" i="14609" s="1"/>
  <c r="G227" i="14606"/>
  <c r="EY130" i="14609" s="1"/>
  <c r="A231" i="14606"/>
  <c r="HE130" i="14609" s="1"/>
  <c r="N232" i="14606"/>
  <c r="IH130" i="14609" s="1"/>
  <c r="O232" i="14606"/>
  <c r="II130" i="14609" s="1"/>
  <c r="D229" i="14606"/>
  <c r="GB130" i="14609" s="1"/>
  <c r="H226" i="14606"/>
  <c r="EJ130" i="14609" s="1"/>
  <c r="B230" i="14606"/>
  <c r="GP130" i="14609" s="1"/>
  <c r="C230" i="14606"/>
  <c r="GQ130" i="14609" s="1"/>
  <c r="H227" i="14606"/>
  <c r="EZ130" i="14609" s="1"/>
  <c r="G228" i="14606"/>
  <c r="FO130" i="14609" s="1"/>
  <c r="H228" i="14606"/>
  <c r="FP130" i="14609" s="1"/>
  <c r="I228" i="14606"/>
  <c r="FQ130" i="14609" s="1"/>
  <c r="J228" i="14606"/>
  <c r="FR130" i="14609" s="1"/>
  <c r="I226" i="14606"/>
  <c r="EK130" i="14609" s="1"/>
  <c r="J226" i="14606"/>
  <c r="EL130" i="14609" s="1"/>
  <c r="B231" i="14606"/>
  <c r="HF130" i="14609" s="1"/>
  <c r="C231" i="14606"/>
  <c r="HG130" i="14609" s="1"/>
  <c r="D231" i="14606"/>
  <c r="HH130" i="14609" s="1"/>
  <c r="A232" i="14606"/>
  <c r="HU130" i="14609" s="1"/>
  <c r="N233" i="14606"/>
  <c r="B131" i="14609" s="1"/>
  <c r="O233" i="14606"/>
  <c r="C131" i="14609" s="1"/>
  <c r="D230" i="14606"/>
  <c r="GR130" i="14609" s="1"/>
  <c r="E229" i="14606"/>
  <c r="GC130" i="14609" s="1"/>
  <c r="I227" i="14606"/>
  <c r="FA130" i="14609" s="1"/>
  <c r="J227" i="14606"/>
  <c r="FB130" i="14609" s="1"/>
  <c r="K226" i="14606"/>
  <c r="EM130" i="14609" s="1"/>
  <c r="L226" i="14606"/>
  <c r="EN130" i="14609" s="1"/>
  <c r="K228" i="14606"/>
  <c r="FS130" i="14609" s="1"/>
  <c r="L228" i="14606"/>
  <c r="FT130" i="14609" s="1"/>
  <c r="B232" i="14606"/>
  <c r="HV130" i="14609" s="1"/>
  <c r="A233" i="14606"/>
  <c r="IK130" i="14609" s="1"/>
  <c r="N234" i="14606"/>
  <c r="R131" i="14609" s="1"/>
  <c r="O234" i="14606"/>
  <c r="S131" i="14609" s="1"/>
  <c r="E230" i="14606"/>
  <c r="GS130" i="14609" s="1"/>
  <c r="E231" i="14606"/>
  <c r="HI130" i="14609" s="1"/>
  <c r="F231" i="14606"/>
  <c r="HJ130" i="14609" s="1"/>
  <c r="F229" i="14606"/>
  <c r="GD130" i="14609" s="1"/>
  <c r="K227" i="14606"/>
  <c r="FC130" i="14609" s="1"/>
  <c r="L227" i="14606"/>
  <c r="FD130" i="14609" s="1"/>
  <c r="C232" i="14606"/>
  <c r="HW130" i="14609" s="1"/>
  <c r="D232" i="14606"/>
  <c r="HX130" i="14609" s="1"/>
  <c r="F230" i="14606"/>
  <c r="GT130" i="14609" s="1"/>
  <c r="G230" i="14606"/>
  <c r="GU130" i="14609" s="1"/>
  <c r="H230" i="14606"/>
  <c r="GV130" i="14609" s="1"/>
  <c r="A234" i="14606"/>
  <c r="E131" i="14609" s="1"/>
  <c r="N235" i="14606"/>
  <c r="AH131" i="14609" s="1"/>
  <c r="O235" i="14606"/>
  <c r="AI131" i="14609" s="1"/>
  <c r="G231" i="14606"/>
  <c r="HK130" i="14609" s="1"/>
  <c r="G229" i="14606"/>
  <c r="GE130" i="14609" s="1"/>
  <c r="H229" i="14606"/>
  <c r="GF130" i="14609" s="1"/>
  <c r="B233" i="14606"/>
  <c r="IL130" i="14609" s="1"/>
  <c r="C233" i="14606"/>
  <c r="IM130" i="14609" s="1"/>
  <c r="H231" i="14606"/>
  <c r="HL130" i="14609" s="1"/>
  <c r="I231" i="14606"/>
  <c r="HM130" i="14609" s="1"/>
  <c r="D233" i="14606"/>
  <c r="IN130" i="14609" s="1"/>
  <c r="A235" i="14606"/>
  <c r="U131" i="14609" s="1"/>
  <c r="N236" i="14606"/>
  <c r="AX131" i="14609" s="1"/>
  <c r="O236" i="14606"/>
  <c r="AY131" i="14609" s="1"/>
  <c r="E232" i="14606"/>
  <c r="HY130" i="14609" s="1"/>
  <c r="I229" i="14606"/>
  <c r="GG130" i="14609" s="1"/>
  <c r="I230" i="14606"/>
  <c r="GW130" i="14609" s="1"/>
  <c r="J230" i="14606"/>
  <c r="GX130" i="14609" s="1"/>
  <c r="B234" i="14606"/>
  <c r="F131" i="14609" s="1"/>
  <c r="C234" i="14606"/>
  <c r="G131" i="14609" s="1"/>
  <c r="K230" i="14606"/>
  <c r="GY130" i="14609" s="1"/>
  <c r="L230" i="14606"/>
  <c r="GZ130" i="14609" s="1"/>
  <c r="J229" i="14606"/>
  <c r="GH130" i="14609" s="1"/>
  <c r="K229" i="14606"/>
  <c r="GI130" i="14609" s="1"/>
  <c r="L229" i="14606"/>
  <c r="GJ130" i="14609" s="1"/>
  <c r="E233" i="14606"/>
  <c r="IO130" i="14609" s="1"/>
  <c r="F233" i="14606"/>
  <c r="IP130" i="14609" s="1"/>
  <c r="J231" i="14606"/>
  <c r="HN130" i="14609" s="1"/>
  <c r="D234" i="14606"/>
  <c r="H131" i="14609" s="1"/>
  <c r="D131" i="14609"/>
  <c r="B235" i="14606"/>
  <c r="V131" i="14609" s="1"/>
  <c r="F232" i="14606"/>
  <c r="HZ130" i="14609" s="1"/>
  <c r="G232" i="14606"/>
  <c r="IA130" i="14609" s="1"/>
  <c r="A236" i="14606"/>
  <c r="AK131" i="14609" s="1"/>
  <c r="N237" i="14606"/>
  <c r="BN131" i="14609" s="1"/>
  <c r="O237" i="14606"/>
  <c r="BO131" i="14609" s="1"/>
  <c r="E234" i="14606"/>
  <c r="I131" i="14609" s="1"/>
  <c r="K231" i="14606"/>
  <c r="HO130" i="14609" s="1"/>
  <c r="L231" i="14606"/>
  <c r="HP130" i="14609" s="1"/>
  <c r="H232" i="14606"/>
  <c r="IB130" i="14609" s="1"/>
  <c r="A237" i="14606"/>
  <c r="BA131" i="14609" s="1"/>
  <c r="N238" i="14606"/>
  <c r="CD131" i="14609" s="1"/>
  <c r="O238" i="14606"/>
  <c r="CE131" i="14609" s="1"/>
  <c r="B236" i="14606"/>
  <c r="AL131" i="14609" s="1"/>
  <c r="C236" i="14606"/>
  <c r="AM131" i="14609" s="1"/>
  <c r="C235" i="14606"/>
  <c r="W131" i="14609" s="1"/>
  <c r="G233" i="14606"/>
  <c r="IQ130" i="14609" s="1"/>
  <c r="F234" i="14606"/>
  <c r="J131" i="14609" s="1"/>
  <c r="I232" i="14606"/>
  <c r="IC130" i="14609" s="1"/>
  <c r="J232" i="14606"/>
  <c r="ID130" i="14609" s="1"/>
  <c r="A238" i="14606"/>
  <c r="BQ131" i="14609" s="1"/>
  <c r="N239" i="14606"/>
  <c r="CT131" i="14609" s="1"/>
  <c r="O239" i="14606"/>
  <c r="CU131" i="14609" s="1"/>
  <c r="B237" i="14606"/>
  <c r="BB131" i="14609" s="1"/>
  <c r="C237" i="14606"/>
  <c r="BC131" i="14609" s="1"/>
  <c r="D235" i="14606"/>
  <c r="X131" i="14609" s="1"/>
  <c r="H233" i="14606"/>
  <c r="IR130" i="14609" s="1"/>
  <c r="I233" i="14606"/>
  <c r="IS130" i="14609" s="1"/>
  <c r="J233" i="14606"/>
  <c r="IT130" i="14609" s="1"/>
  <c r="K233" i="14606"/>
  <c r="IU130" i="14609" s="1"/>
  <c r="D236" i="14606"/>
  <c r="AN131" i="14609" s="1"/>
  <c r="E236" i="14606"/>
  <c r="AO131" i="14609" s="1"/>
  <c r="F236" i="14606"/>
  <c r="AP131" i="14609" s="1"/>
  <c r="K232" i="14606"/>
  <c r="IE130" i="14609" s="1"/>
  <c r="L232" i="14606"/>
  <c r="IF130" i="14609" s="1"/>
  <c r="G234" i="14606"/>
  <c r="K131" i="14609" s="1"/>
  <c r="H234" i="14606"/>
  <c r="L131" i="14609" s="1"/>
  <c r="E235" i="14606"/>
  <c r="Y131" i="14609" s="1"/>
  <c r="F235" i="14606"/>
  <c r="Z131" i="14609" s="1"/>
  <c r="L233" i="14606"/>
  <c r="IV130" i="14609" s="1"/>
  <c r="D237" i="14606"/>
  <c r="BD131" i="14609" s="1"/>
  <c r="E237" i="14606"/>
  <c r="BE131" i="14609" s="1"/>
  <c r="F237" i="14606"/>
  <c r="BF131" i="14609" s="1"/>
  <c r="G237" i="14606"/>
  <c r="BG131" i="14609" s="1"/>
  <c r="B238" i="14606"/>
  <c r="BR131" i="14609" s="1"/>
  <c r="C238" i="14606"/>
  <c r="BS131" i="14609" s="1"/>
  <c r="G236" i="14606"/>
  <c r="AQ131" i="14609" s="1"/>
  <c r="H236" i="14606"/>
  <c r="AR131" i="14609" s="1"/>
  <c r="A239" i="14606"/>
  <c r="CG131" i="14609" s="1"/>
  <c r="N240" i="14606"/>
  <c r="DJ131" i="14609" s="1"/>
  <c r="O240" i="14606"/>
  <c r="DK131" i="14609" s="1"/>
  <c r="I234" i="14606"/>
  <c r="M131" i="14609" s="1"/>
  <c r="H237" i="14606"/>
  <c r="BH131" i="14609" s="1"/>
  <c r="D238" i="14606"/>
  <c r="BT131" i="14609" s="1"/>
  <c r="E238" i="14606"/>
  <c r="BU131" i="14609" s="1"/>
  <c r="F238" i="14606"/>
  <c r="BV131" i="14609" s="1"/>
  <c r="B239" i="14606"/>
  <c r="CH131" i="14609" s="1"/>
  <c r="C239" i="14606"/>
  <c r="CI131" i="14609" s="1"/>
  <c r="I236" i="14606"/>
  <c r="AS131" i="14609" s="1"/>
  <c r="J236" i="14606"/>
  <c r="AT131" i="14609" s="1"/>
  <c r="G235" i="14606"/>
  <c r="AA131" i="14609" s="1"/>
  <c r="A240" i="14606"/>
  <c r="CW131" i="14609" s="1"/>
  <c r="N241" i="14606"/>
  <c r="DZ131" i="14609" s="1"/>
  <c r="O241" i="14606"/>
  <c r="EA131" i="14609" s="1"/>
  <c r="K236" i="14606"/>
  <c r="AU131" i="14609" s="1"/>
  <c r="L236" i="14606"/>
  <c r="AV131" i="14609" s="1"/>
  <c r="I237" i="14606"/>
  <c r="BI131" i="14609" s="1"/>
  <c r="J237" i="14606"/>
  <c r="BJ131" i="14609" s="1"/>
  <c r="J234" i="14606"/>
  <c r="N131" i="14609" s="1"/>
  <c r="K234" i="14606"/>
  <c r="O131" i="14609" s="1"/>
  <c r="L234" i="14606"/>
  <c r="P131" i="14609" s="1"/>
  <c r="B240" i="14606"/>
  <c r="CX131" i="14609" s="1"/>
  <c r="C240" i="14606"/>
  <c r="CY131" i="14609" s="1"/>
  <c r="D239" i="14606"/>
  <c r="CJ131" i="14609" s="1"/>
  <c r="G238" i="14606"/>
  <c r="BW131" i="14609" s="1"/>
  <c r="H235" i="14606"/>
  <c r="AB131" i="14609" s="1"/>
  <c r="I235" i="14606"/>
  <c r="AC131" i="14609" s="1"/>
  <c r="A241" i="14606"/>
  <c r="DM131" i="14609" s="1"/>
  <c r="N242" i="14606"/>
  <c r="EP131" i="14609" s="1"/>
  <c r="O242" i="14606"/>
  <c r="EQ131" i="14609" s="1"/>
  <c r="K237" i="14606"/>
  <c r="BK131" i="14609" s="1"/>
  <c r="L237" i="14606"/>
  <c r="BL131" i="14609" s="1"/>
  <c r="E239" i="14606"/>
  <c r="CK131" i="14609" s="1"/>
  <c r="D240" i="14606"/>
  <c r="CZ131" i="14609" s="1"/>
  <c r="B241" i="14606"/>
  <c r="DN131" i="14609" s="1"/>
  <c r="A242" i="14606"/>
  <c r="EC131" i="14609" s="1"/>
  <c r="N243" i="14606"/>
  <c r="FF131" i="14609" s="1"/>
  <c r="O243" i="14606"/>
  <c r="FG131" i="14609" s="1"/>
  <c r="H238" i="14606"/>
  <c r="BX131" i="14609" s="1"/>
  <c r="J235" i="14606"/>
  <c r="AD131" i="14609" s="1"/>
  <c r="K235" i="14606"/>
  <c r="AE131" i="14609" s="1"/>
  <c r="I238" i="14606"/>
  <c r="BY131" i="14609" s="1"/>
  <c r="J238" i="14606"/>
  <c r="BZ131" i="14609" s="1"/>
  <c r="L235" i="14606"/>
  <c r="AF131" i="14609" s="1"/>
  <c r="E240" i="14606"/>
  <c r="DA131" i="14609" s="1"/>
  <c r="F240" i="14606"/>
  <c r="DB131" i="14609" s="1"/>
  <c r="F239" i="14606"/>
  <c r="CL131" i="14609" s="1"/>
  <c r="G239" i="14606"/>
  <c r="CM131" i="14609" s="1"/>
  <c r="B242" i="14606"/>
  <c r="ED131" i="14609" s="1"/>
  <c r="C242" i="14606"/>
  <c r="EE131" i="14609" s="1"/>
  <c r="C241" i="14606"/>
  <c r="DO131" i="14609" s="1"/>
  <c r="A243" i="14606"/>
  <c r="ES131" i="14609" s="1"/>
  <c r="N244" i="14606"/>
  <c r="FV131" i="14609" s="1"/>
  <c r="O244" i="14606"/>
  <c r="FW131" i="14609" s="1"/>
  <c r="K238" i="14606"/>
  <c r="CA131" i="14609" s="1"/>
  <c r="L238" i="14606"/>
  <c r="CB131" i="14609" s="1"/>
  <c r="H239" i="14606"/>
  <c r="CN131" i="14609" s="1"/>
  <c r="I239" i="14606"/>
  <c r="CO131" i="14609" s="1"/>
  <c r="J239" i="14606"/>
  <c r="CP131" i="14609" s="1"/>
  <c r="G240" i="14606"/>
  <c r="DC131" i="14609" s="1"/>
  <c r="D242" i="14606"/>
  <c r="EF131" i="14609" s="1"/>
  <c r="E242" i="14606"/>
  <c r="EG131" i="14609" s="1"/>
  <c r="F242" i="14606"/>
  <c r="EH131" i="14609" s="1"/>
  <c r="A244" i="14606"/>
  <c r="FI131" i="14609" s="1"/>
  <c r="N245" i="14606"/>
  <c r="GL131" i="14609" s="1"/>
  <c r="O245" i="14606"/>
  <c r="GM131" i="14609" s="1"/>
  <c r="B243" i="14606"/>
  <c r="ET131" i="14609" s="1"/>
  <c r="C243" i="14606"/>
  <c r="EU131" i="14609" s="1"/>
  <c r="D241" i="14606"/>
  <c r="DP131" i="14609" s="1"/>
  <c r="E241" i="14606"/>
  <c r="DQ131" i="14609" s="1"/>
  <c r="K239" i="14606"/>
  <c r="CQ131" i="14609" s="1"/>
  <c r="L239" i="14606"/>
  <c r="CR131" i="14609" s="1"/>
  <c r="H240" i="14606"/>
  <c r="DD131" i="14609" s="1"/>
  <c r="I240" i="14606"/>
  <c r="DE131" i="14609" s="1"/>
  <c r="J240" i="14606"/>
  <c r="DF131" i="14609" s="1"/>
  <c r="K240" i="14606"/>
  <c r="DG131" i="14609" s="1"/>
  <c r="A245" i="14606"/>
  <c r="FY131" i="14609" s="1"/>
  <c r="N246" i="14606"/>
  <c r="HB131" i="14609" s="1"/>
  <c r="O246" i="14606"/>
  <c r="HC131" i="14609" s="1"/>
  <c r="B244" i="14606"/>
  <c r="FJ131" i="14609" s="1"/>
  <c r="C244" i="14606"/>
  <c r="FK131" i="14609" s="1"/>
  <c r="F241" i="14606"/>
  <c r="DR131" i="14609" s="1"/>
  <c r="D243" i="14606"/>
  <c r="EV131" i="14609" s="1"/>
  <c r="G242" i="14606"/>
  <c r="EI131" i="14609" s="1"/>
  <c r="H242" i="14606"/>
  <c r="EJ131" i="14609" s="1"/>
  <c r="G241" i="14606"/>
  <c r="DS131" i="14609" s="1"/>
  <c r="H241" i="14606"/>
  <c r="DT131" i="14609" s="1"/>
  <c r="I241" i="14606"/>
  <c r="DU131" i="14609" s="1"/>
  <c r="J241" i="14606"/>
  <c r="DV131" i="14609" s="1"/>
  <c r="L240" i="14606"/>
  <c r="DH131" i="14609" s="1"/>
  <c r="D244" i="14606"/>
  <c r="FL131" i="14609" s="1"/>
  <c r="A246" i="14606"/>
  <c r="GO131" i="14609" s="1"/>
  <c r="N247" i="14606"/>
  <c r="HR131" i="14609" s="1"/>
  <c r="O247" i="14606"/>
  <c r="HS131" i="14609" s="1"/>
  <c r="B245" i="14606"/>
  <c r="FZ131" i="14609" s="1"/>
  <c r="I242" i="14606"/>
  <c r="EK131" i="14609" s="1"/>
  <c r="J242" i="14606"/>
  <c r="EL131" i="14609" s="1"/>
  <c r="E243" i="14606"/>
  <c r="EW131" i="14609" s="1"/>
  <c r="K241" i="14606"/>
  <c r="DW131" i="14609" s="1"/>
  <c r="L241" i="14606"/>
  <c r="DX131" i="14609" s="1"/>
  <c r="K242" i="14606"/>
  <c r="EM131" i="14609" s="1"/>
  <c r="L242" i="14606"/>
  <c r="EN131" i="14609" s="1"/>
  <c r="E244" i="14606"/>
  <c r="FM131" i="14609" s="1"/>
  <c r="F244" i="14606"/>
  <c r="FN131" i="14609" s="1"/>
  <c r="C245" i="14606"/>
  <c r="GA131" i="14609" s="1"/>
  <c r="F243" i="14606"/>
  <c r="EX131" i="14609" s="1"/>
  <c r="N248" i="14606"/>
  <c r="IH131" i="14609" s="1"/>
  <c r="O248" i="14606"/>
  <c r="II131" i="14609" s="1"/>
  <c r="A247" i="14606"/>
  <c r="HE131" i="14609" s="1"/>
  <c r="B246" i="14606"/>
  <c r="GP131" i="14609" s="1"/>
  <c r="G243" i="14606"/>
  <c r="EY131" i="14609" s="1"/>
  <c r="H243" i="14606"/>
  <c r="EZ131" i="14609" s="1"/>
  <c r="I243" i="14606"/>
  <c r="FA131" i="14609" s="1"/>
  <c r="D245" i="14606"/>
  <c r="GB131" i="14609" s="1"/>
  <c r="G244" i="14606"/>
  <c r="FO131" i="14609" s="1"/>
  <c r="C246" i="14606"/>
  <c r="GQ131" i="14609" s="1"/>
  <c r="A248" i="14606"/>
  <c r="HU131" i="14609" s="1"/>
  <c r="N249" i="14606"/>
  <c r="B132" i="14609" s="1"/>
  <c r="O249" i="14606"/>
  <c r="C132" i="14609" s="1"/>
  <c r="B247" i="14606"/>
  <c r="HF131" i="14609" s="1"/>
  <c r="C247" i="14606"/>
  <c r="HG131" i="14609" s="1"/>
  <c r="D246" i="14606"/>
  <c r="GR131" i="14609" s="1"/>
  <c r="H244" i="14606"/>
  <c r="FP131" i="14609" s="1"/>
  <c r="E245" i="14606"/>
  <c r="GC131" i="14609" s="1"/>
  <c r="B248" i="14606"/>
  <c r="HV131" i="14609" s="1"/>
  <c r="A249" i="14606"/>
  <c r="IK131" i="14609" s="1"/>
  <c r="N250" i="14606"/>
  <c r="R132" i="14609" s="1"/>
  <c r="O250" i="14606"/>
  <c r="S132" i="14609" s="1"/>
  <c r="J243" i="14606"/>
  <c r="FB131" i="14609" s="1"/>
  <c r="K243" i="14606"/>
  <c r="FC131" i="14609" s="1"/>
  <c r="L243" i="14606"/>
  <c r="FD131" i="14609" s="1"/>
  <c r="D247" i="14606"/>
  <c r="HH131" i="14609" s="1"/>
  <c r="I244" i="14606"/>
  <c r="FQ131" i="14609" s="1"/>
  <c r="C248" i="14606"/>
  <c r="HW131" i="14609" s="1"/>
  <c r="E246" i="14606"/>
  <c r="GS131" i="14609" s="1"/>
  <c r="F245" i="14606"/>
  <c r="GD131" i="14609" s="1"/>
  <c r="A250" i="14606"/>
  <c r="E132" i="14609" s="1"/>
  <c r="N251" i="14606"/>
  <c r="AH132" i="14609" s="1"/>
  <c r="O251" i="14606"/>
  <c r="AI132" i="14609" s="1"/>
  <c r="B249" i="14606"/>
  <c r="IL131" i="14609" s="1"/>
  <c r="J244" i="14606"/>
  <c r="FR131" i="14609" s="1"/>
  <c r="K244" i="14606"/>
  <c r="FS131" i="14609" s="1"/>
  <c r="F246" i="14606"/>
  <c r="GT131" i="14609" s="1"/>
  <c r="G246" i="14606"/>
  <c r="GU131" i="14609" s="1"/>
  <c r="E247" i="14606"/>
  <c r="HI131" i="14609" s="1"/>
  <c r="F247" i="14606"/>
  <c r="HJ131" i="14609" s="1"/>
  <c r="G247" i="14606"/>
  <c r="HK131" i="14609" s="1"/>
  <c r="H247" i="14606"/>
  <c r="HL131" i="14609" s="1"/>
  <c r="D248" i="14606"/>
  <c r="HX131" i="14609" s="1"/>
  <c r="E248" i="14606"/>
  <c r="HY131" i="14609" s="1"/>
  <c r="F248" i="14606"/>
  <c r="HZ131" i="14609" s="1"/>
  <c r="C249" i="14606"/>
  <c r="IM131" i="14609" s="1"/>
  <c r="G245" i="14606"/>
  <c r="GE131" i="14609" s="1"/>
  <c r="A251" i="14606"/>
  <c r="U132" i="14609" s="1"/>
  <c r="N252" i="14606"/>
  <c r="AX132" i="14609" s="1"/>
  <c r="O252" i="14606"/>
  <c r="AY132" i="14609" s="1"/>
  <c r="B250" i="14606"/>
  <c r="F132" i="14609" s="1"/>
  <c r="L244" i="14606"/>
  <c r="FT131" i="14609" s="1"/>
  <c r="G248" i="14606"/>
  <c r="IA131" i="14609" s="1"/>
  <c r="H248" i="14606"/>
  <c r="IB131" i="14609" s="1"/>
  <c r="H246" i="14606"/>
  <c r="GV131" i="14609" s="1"/>
  <c r="H245" i="14606"/>
  <c r="GF131" i="14609" s="1"/>
  <c r="I245" i="14606"/>
  <c r="GG131" i="14609" s="1"/>
  <c r="I247" i="14606"/>
  <c r="HM131" i="14609" s="1"/>
  <c r="J247" i="14606"/>
  <c r="HN131" i="14609" s="1"/>
  <c r="C250" i="14606"/>
  <c r="G132" i="14609" s="1"/>
  <c r="D250" i="14606"/>
  <c r="H132" i="14609" s="1"/>
  <c r="D132" i="14609"/>
  <c r="D249" i="14606"/>
  <c r="IN131" i="14609" s="1"/>
  <c r="A252" i="14606"/>
  <c r="AK132" i="14609" s="1"/>
  <c r="N253" i="14606"/>
  <c r="BN132" i="14609" s="1"/>
  <c r="O253" i="14606"/>
  <c r="BO132" i="14609" s="1"/>
  <c r="B251" i="14606"/>
  <c r="V132" i="14609" s="1"/>
  <c r="K247" i="14606"/>
  <c r="HO131" i="14609" s="1"/>
  <c r="L247" i="14606"/>
  <c r="HP131" i="14609" s="1"/>
  <c r="E250" i="14606"/>
  <c r="I132" i="14609" s="1"/>
  <c r="F250" i="14606"/>
  <c r="J132" i="14609" s="1"/>
  <c r="I248" i="14606"/>
  <c r="IC131" i="14609" s="1"/>
  <c r="J245" i="14606"/>
  <c r="GH131" i="14609" s="1"/>
  <c r="K245" i="14606"/>
  <c r="GI131" i="14609" s="1"/>
  <c r="C251" i="14606"/>
  <c r="W132" i="14609" s="1"/>
  <c r="E249" i="14606"/>
  <c r="IO131" i="14609" s="1"/>
  <c r="I246" i="14606"/>
  <c r="GW131" i="14609" s="1"/>
  <c r="A253" i="14606"/>
  <c r="BA132" i="14609" s="1"/>
  <c r="N254" i="14606"/>
  <c r="CD132" i="14609" s="1"/>
  <c r="O254" i="14606"/>
  <c r="CE132" i="14609" s="1"/>
  <c r="B252" i="14606"/>
  <c r="AL132" i="14609" s="1"/>
  <c r="C252" i="14606"/>
  <c r="AM132" i="14609" s="1"/>
  <c r="L245" i="14606"/>
  <c r="GJ131" i="14609" s="1"/>
  <c r="G250" i="14606"/>
  <c r="K132" i="14609" s="1"/>
  <c r="H250" i="14606"/>
  <c r="L132" i="14609" s="1"/>
  <c r="J246" i="14606"/>
  <c r="GX131" i="14609" s="1"/>
  <c r="K246" i="14606"/>
  <c r="GY131" i="14609" s="1"/>
  <c r="L246" i="14606"/>
  <c r="GZ131" i="14609" s="1"/>
  <c r="J248" i="14606"/>
  <c r="ID131" i="14609" s="1"/>
  <c r="K248" i="14606"/>
  <c r="IE131" i="14609" s="1"/>
  <c r="D252" i="14606"/>
  <c r="AN132" i="14609" s="1"/>
  <c r="F249" i="14606"/>
  <c r="IP131" i="14609" s="1"/>
  <c r="D251" i="14606"/>
  <c r="X132" i="14609" s="1"/>
  <c r="E251" i="14606"/>
  <c r="Y132" i="14609" s="1"/>
  <c r="A254" i="14606"/>
  <c r="BQ132" i="14609" s="1"/>
  <c r="N255" i="14606"/>
  <c r="CT132" i="14609" s="1"/>
  <c r="O255" i="14606"/>
  <c r="CU132" i="14609" s="1"/>
  <c r="B253" i="14606"/>
  <c r="BB132" i="14609" s="1"/>
  <c r="C253" i="14606"/>
  <c r="BC132" i="14609" s="1"/>
  <c r="I250" i="14606"/>
  <c r="M132" i="14609" s="1"/>
  <c r="J250" i="14606"/>
  <c r="N132" i="14609" s="1"/>
  <c r="E252" i="14606"/>
  <c r="AO132" i="14609" s="1"/>
  <c r="F252" i="14606"/>
  <c r="AP132" i="14609" s="1"/>
  <c r="L248" i="14606"/>
  <c r="IF131" i="14609" s="1"/>
  <c r="D253" i="14606"/>
  <c r="BD132" i="14609" s="1"/>
  <c r="E253" i="14606"/>
  <c r="BE132" i="14609" s="1"/>
  <c r="G249" i="14606"/>
  <c r="IQ131" i="14609" s="1"/>
  <c r="H249" i="14606"/>
  <c r="IR131" i="14609" s="1"/>
  <c r="I249" i="14606"/>
  <c r="IS131" i="14609" s="1"/>
  <c r="F251" i="14606"/>
  <c r="Z132" i="14609" s="1"/>
  <c r="A255" i="14606"/>
  <c r="CG132" i="14609" s="1"/>
  <c r="N256" i="14606"/>
  <c r="DJ132" i="14609" s="1"/>
  <c r="O256" i="14606"/>
  <c r="DK132" i="14609" s="1"/>
  <c r="B254" i="14606"/>
  <c r="BR132" i="14609" s="1"/>
  <c r="C254" i="14606"/>
  <c r="BS132" i="14609" s="1"/>
  <c r="K250" i="14606"/>
  <c r="O132" i="14609" s="1"/>
  <c r="L250" i="14606"/>
  <c r="P132" i="14609" s="1"/>
  <c r="G252" i="14606"/>
  <c r="AQ132" i="14609" s="1"/>
  <c r="F253" i="14606"/>
  <c r="BF132" i="14609" s="1"/>
  <c r="D254" i="14606"/>
  <c r="BT132" i="14609" s="1"/>
  <c r="J249" i="14606"/>
  <c r="IT131" i="14609" s="1"/>
  <c r="K249" i="14606"/>
  <c r="IU131" i="14609" s="1"/>
  <c r="L249" i="14606"/>
  <c r="IV131" i="14609" s="1"/>
  <c r="G251" i="14606"/>
  <c r="AA132" i="14609" s="1"/>
  <c r="H251" i="14606"/>
  <c r="AB132" i="14609" s="1"/>
  <c r="I251" i="14606"/>
  <c r="AC132" i="14609" s="1"/>
  <c r="B255" i="14606"/>
  <c r="CH132" i="14609" s="1"/>
  <c r="C255" i="14606"/>
  <c r="CI132" i="14609" s="1"/>
  <c r="A256" i="14606"/>
  <c r="CW132" i="14609" s="1"/>
  <c r="N257" i="14606"/>
  <c r="DZ132" i="14609" s="1"/>
  <c r="O257" i="14606"/>
  <c r="EA132" i="14609" s="1"/>
  <c r="E254" i="14606"/>
  <c r="BU132" i="14609" s="1"/>
  <c r="F254" i="14606"/>
  <c r="BV132" i="14609" s="1"/>
  <c r="G254" i="14606"/>
  <c r="BW132" i="14609" s="1"/>
  <c r="H252" i="14606"/>
  <c r="AR132" i="14609" s="1"/>
  <c r="I252" i="14606"/>
  <c r="AS132" i="14609" s="1"/>
  <c r="G253" i="14606"/>
  <c r="BG132" i="14609" s="1"/>
  <c r="D255" i="14606"/>
  <c r="CJ132" i="14609" s="1"/>
  <c r="J251" i="14606"/>
  <c r="AD132" i="14609" s="1"/>
  <c r="B256" i="14606"/>
  <c r="CX132" i="14609" s="1"/>
  <c r="C256" i="14606"/>
  <c r="CY132" i="14609" s="1"/>
  <c r="A257" i="14606"/>
  <c r="DM132" i="14609" s="1"/>
  <c r="N258" i="14606"/>
  <c r="EP132" i="14609" s="1"/>
  <c r="O258" i="14606"/>
  <c r="EQ132" i="14609" s="1"/>
  <c r="K251" i="14606"/>
  <c r="AE132" i="14609" s="1"/>
  <c r="L251" i="14606"/>
  <c r="AF132" i="14609" s="1"/>
  <c r="J252" i="14606"/>
  <c r="AT132" i="14609" s="1"/>
  <c r="K252" i="14606"/>
  <c r="AU132" i="14609" s="1"/>
  <c r="D256" i="14606"/>
  <c r="CZ132" i="14609" s="1"/>
  <c r="E256" i="14606"/>
  <c r="DA132" i="14609" s="1"/>
  <c r="E255" i="14606"/>
  <c r="CK132" i="14609" s="1"/>
  <c r="H253" i="14606"/>
  <c r="BH132" i="14609" s="1"/>
  <c r="H254" i="14606"/>
  <c r="BX132" i="14609" s="1"/>
  <c r="I254" i="14606"/>
  <c r="BY132" i="14609" s="1"/>
  <c r="B257" i="14606"/>
  <c r="DN132" i="14609" s="1"/>
  <c r="A258" i="14606"/>
  <c r="EC132" i="14609" s="1"/>
  <c r="N259" i="14606"/>
  <c r="FF132" i="14609" s="1"/>
  <c r="O259" i="14606"/>
  <c r="FG132" i="14609" s="1"/>
  <c r="L252" i="14606"/>
  <c r="AV132" i="14609" s="1"/>
  <c r="C257" i="14606"/>
  <c r="DO132" i="14609" s="1"/>
  <c r="J254" i="14606"/>
  <c r="BZ132" i="14609" s="1"/>
  <c r="F256" i="14606"/>
  <c r="DB132" i="14609" s="1"/>
  <c r="G256" i="14606"/>
  <c r="DC132" i="14609" s="1"/>
  <c r="H256" i="14606"/>
  <c r="DD132" i="14609" s="1"/>
  <c r="F255" i="14606"/>
  <c r="CL132" i="14609" s="1"/>
  <c r="G255" i="14606"/>
  <c r="CM132" i="14609" s="1"/>
  <c r="I253" i="14606"/>
  <c r="BI132" i="14609" s="1"/>
  <c r="B258" i="14606"/>
  <c r="ED132" i="14609" s="1"/>
  <c r="C258" i="14606"/>
  <c r="EE132" i="14609" s="1"/>
  <c r="A259" i="14606"/>
  <c r="ES132" i="14609" s="1"/>
  <c r="N260" i="14606"/>
  <c r="FV132" i="14609" s="1"/>
  <c r="O260" i="14606"/>
  <c r="FW132" i="14609" s="1"/>
  <c r="A260" i="14606"/>
  <c r="FI132" i="14609" s="1"/>
  <c r="B260" i="14606"/>
  <c r="FJ132" i="14609" s="1"/>
  <c r="N261" i="14606"/>
  <c r="GL132" i="14609" s="1"/>
  <c r="J253" i="14606"/>
  <c r="BJ132" i="14609" s="1"/>
  <c r="K254" i="14606"/>
  <c r="CA132" i="14609" s="1"/>
  <c r="L254" i="14606"/>
  <c r="CB132" i="14609" s="1"/>
  <c r="H255" i="14606"/>
  <c r="CN132" i="14609" s="1"/>
  <c r="I256" i="14606"/>
  <c r="DE132" i="14609" s="1"/>
  <c r="J256" i="14606"/>
  <c r="DF132" i="14609" s="1"/>
  <c r="D258" i="14606"/>
  <c r="EF132" i="14609" s="1"/>
  <c r="D257" i="14606"/>
  <c r="DP132" i="14609" s="1"/>
  <c r="B259" i="14606"/>
  <c r="ET132" i="14609" s="1"/>
  <c r="AB2" i="14607"/>
  <c r="DA110" i="14609" s="1"/>
  <c r="H2" i="14607"/>
  <c r="CG110" i="14609" s="1"/>
  <c r="G2" i="14607"/>
  <c r="CF110" i="14609" s="1"/>
  <c r="F2" i="14607"/>
  <c r="CE110" i="14609" s="1"/>
  <c r="D1" i="14607"/>
  <c r="AR110" i="14609" s="1"/>
  <c r="C1" i="14607"/>
  <c r="AQ110" i="14609" s="1"/>
  <c r="O261" i="14606"/>
  <c r="GM132" i="14609" s="1"/>
  <c r="A261" i="14606"/>
  <c r="FY132" i="14609" s="1"/>
  <c r="N262" i="14606"/>
  <c r="HB132" i="14609" s="1"/>
  <c r="K256" i="14606"/>
  <c r="DG132" i="14609" s="1"/>
  <c r="L256" i="14606"/>
  <c r="DH132" i="14609" s="1"/>
  <c r="K253" i="14606"/>
  <c r="BK132" i="14609" s="1"/>
  <c r="L253" i="14606"/>
  <c r="BL132" i="14609" s="1"/>
  <c r="C259" i="14606"/>
  <c r="EU132" i="14609" s="1"/>
  <c r="I255" i="14606"/>
  <c r="CO132" i="14609" s="1"/>
  <c r="J255" i="14606"/>
  <c r="CP132" i="14609" s="1"/>
  <c r="C260" i="14606"/>
  <c r="FK132" i="14609" s="1"/>
  <c r="E258" i="14606"/>
  <c r="EG132" i="14609" s="1"/>
  <c r="F258" i="14606"/>
  <c r="EH132" i="14609" s="1"/>
  <c r="E257" i="14606"/>
  <c r="DQ132" i="14609" s="1"/>
  <c r="F257" i="14606"/>
  <c r="DR132" i="14609" s="1"/>
  <c r="O262" i="14606"/>
  <c r="HC132" i="14609" s="1"/>
  <c r="A262" i="14606"/>
  <c r="GO132" i="14609" s="1"/>
  <c r="N263" i="14606"/>
  <c r="HR132" i="14609" s="1"/>
  <c r="B261" i="14606"/>
  <c r="FZ132" i="14609" s="1"/>
  <c r="C261" i="14606"/>
  <c r="GA132" i="14609" s="1"/>
  <c r="D261" i="14606"/>
  <c r="GB132" i="14609" s="1"/>
  <c r="K255" i="14606"/>
  <c r="CQ132" i="14609" s="1"/>
  <c r="L255" i="14606"/>
  <c r="CR132" i="14609" s="1"/>
  <c r="D260" i="14606"/>
  <c r="FL132" i="14609" s="1"/>
  <c r="D259" i="14606"/>
  <c r="EV132" i="14609" s="1"/>
  <c r="G257" i="14606"/>
  <c r="DS132" i="14609" s="1"/>
  <c r="H257" i="14606"/>
  <c r="DT132" i="14609" s="1"/>
  <c r="I257" i="14606"/>
  <c r="DU132" i="14609" s="1"/>
  <c r="J257" i="14606"/>
  <c r="DV132" i="14609" s="1"/>
  <c r="G258" i="14606"/>
  <c r="EI132" i="14609" s="1"/>
  <c r="H258" i="14606"/>
  <c r="EJ132" i="14609" s="1"/>
  <c r="I258" i="14606"/>
  <c r="EK132" i="14609" s="1"/>
  <c r="O263" i="14606"/>
  <c r="HS132" i="14609" s="1"/>
  <c r="A263" i="14606"/>
  <c r="HE132" i="14609" s="1"/>
  <c r="N264" i="14606"/>
  <c r="IH132" i="14609" s="1"/>
  <c r="E261" i="14606"/>
  <c r="GC132" i="14609" s="1"/>
  <c r="B262" i="14606"/>
  <c r="GP132" i="14609" s="1"/>
  <c r="C262" i="14606"/>
  <c r="GQ132" i="14609" s="1"/>
  <c r="E260" i="14606"/>
  <c r="FM132" i="14609" s="1"/>
  <c r="F260" i="14606"/>
  <c r="FN132" i="14609" s="1"/>
  <c r="G260" i="14606"/>
  <c r="FO132" i="14609" s="1"/>
  <c r="H260" i="14606"/>
  <c r="FP132" i="14609" s="1"/>
  <c r="K257" i="14606"/>
  <c r="DW132" i="14609" s="1"/>
  <c r="L257" i="14606"/>
  <c r="DX132" i="14609" s="1"/>
  <c r="J258" i="14606"/>
  <c r="EL132" i="14609" s="1"/>
  <c r="K258" i="14606"/>
  <c r="EM132" i="14609" s="1"/>
  <c r="E259" i="14606"/>
  <c r="EW132" i="14609" s="1"/>
  <c r="F259" i="14606"/>
  <c r="EX132" i="14609" s="1"/>
  <c r="G259" i="14606"/>
  <c r="EY132" i="14609" s="1"/>
  <c r="H259" i="14606"/>
  <c r="EZ132" i="14609" s="1"/>
  <c r="N265" i="14606"/>
  <c r="B133" i="14609" s="1"/>
  <c r="O264" i="14606"/>
  <c r="II132" i="14609" s="1"/>
  <c r="A264" i="14606"/>
  <c r="HU132" i="14609" s="1"/>
  <c r="B263" i="14606"/>
  <c r="HF132" i="14609" s="1"/>
  <c r="C263" i="14606"/>
  <c r="HG132" i="14609" s="1"/>
  <c r="D263" i="14606"/>
  <c r="HH132" i="14609" s="1"/>
  <c r="E263" i="14606"/>
  <c r="HI132" i="14609" s="1"/>
  <c r="D262" i="14606"/>
  <c r="GR132" i="14609" s="1"/>
  <c r="F261" i="14606"/>
  <c r="GD132" i="14609" s="1"/>
  <c r="L258" i="14606"/>
  <c r="EN132" i="14609" s="1"/>
  <c r="I260" i="14606"/>
  <c r="FQ132" i="14609" s="1"/>
  <c r="I259" i="14606"/>
  <c r="FA132" i="14609" s="1"/>
  <c r="J259" i="14606"/>
  <c r="FB132" i="14609" s="1"/>
  <c r="B264" i="14606"/>
  <c r="HV132" i="14609" s="1"/>
  <c r="C264" i="14606"/>
  <c r="HW132" i="14609" s="1"/>
  <c r="D264" i="14606"/>
  <c r="HX132" i="14609" s="1"/>
  <c r="E262" i="14606"/>
  <c r="GS132" i="14609" s="1"/>
  <c r="F262" i="14606"/>
  <c r="GT132" i="14609" s="1"/>
  <c r="O265" i="14606"/>
  <c r="C133" i="14609" s="1"/>
  <c r="A265" i="14606"/>
  <c r="IK132" i="14609" s="1"/>
  <c r="N266" i="14606"/>
  <c r="R133" i="14609" s="1"/>
  <c r="F263" i="14606"/>
  <c r="HJ132" i="14609" s="1"/>
  <c r="G261" i="14606"/>
  <c r="GE132" i="14609" s="1"/>
  <c r="J260" i="14606"/>
  <c r="FR132" i="14609" s="1"/>
  <c r="K260" i="14606"/>
  <c r="FS132" i="14609" s="1"/>
  <c r="L260" i="14606"/>
  <c r="FT132" i="14609" s="1"/>
  <c r="K259" i="14606"/>
  <c r="FC132" i="14609" s="1"/>
  <c r="L259" i="14606"/>
  <c r="FD132" i="14609" s="1"/>
  <c r="E264" i="14606"/>
  <c r="HY132" i="14609" s="1"/>
  <c r="F264" i="14606"/>
  <c r="HZ132" i="14609" s="1"/>
  <c r="G264" i="14606"/>
  <c r="IA132" i="14609" s="1"/>
  <c r="H264" i="14606"/>
  <c r="IB132" i="14609" s="1"/>
  <c r="I264" i="14606"/>
  <c r="IC132" i="14609" s="1"/>
  <c r="G263" i="14606"/>
  <c r="HK132" i="14609" s="1"/>
  <c r="G262" i="14606"/>
  <c r="GU132" i="14609" s="1"/>
  <c r="H262" i="14606"/>
  <c r="GV132" i="14609" s="1"/>
  <c r="I262" i="14606"/>
  <c r="GW132" i="14609" s="1"/>
  <c r="J262" i="14606"/>
  <c r="GX132" i="14609" s="1"/>
  <c r="K262" i="14606"/>
  <c r="GY132" i="14609" s="1"/>
  <c r="H261" i="14606"/>
  <c r="GF132" i="14609" s="1"/>
  <c r="I261" i="14606"/>
  <c r="GG132" i="14609" s="1"/>
  <c r="N267" i="14606"/>
  <c r="AH133" i="14609" s="1"/>
  <c r="O266" i="14606"/>
  <c r="S133" i="14609" s="1"/>
  <c r="A266" i="14606"/>
  <c r="E133" i="14609" s="1"/>
  <c r="B265" i="14606"/>
  <c r="IL132" i="14609" s="1"/>
  <c r="C265" i="14606"/>
  <c r="IM132" i="14609" s="1"/>
  <c r="D265" i="14606"/>
  <c r="IN132" i="14609" s="1"/>
  <c r="E265" i="14606"/>
  <c r="IO132" i="14609" s="1"/>
  <c r="F265" i="14606"/>
  <c r="IP132" i="14609" s="1"/>
  <c r="BQ1" i="2"/>
  <c r="BR20" i="14609" s="1"/>
  <c r="J261" i="14606"/>
  <c r="GH132" i="14609" s="1"/>
  <c r="K261" i="14606"/>
  <c r="GI132" i="14609" s="1"/>
  <c r="L261" i="14606"/>
  <c r="GJ132" i="14609" s="1"/>
  <c r="J264" i="14606"/>
  <c r="ID132" i="14609" s="1"/>
  <c r="K264" i="14606"/>
  <c r="IE132" i="14609" s="1"/>
  <c r="L264" i="14606"/>
  <c r="IF132" i="14609" s="1"/>
  <c r="B266" i="14606"/>
  <c r="F133" i="14609" s="1"/>
  <c r="C266" i="14606"/>
  <c r="G133" i="14609" s="1"/>
  <c r="D266" i="14606"/>
  <c r="H133" i="14609" s="1"/>
  <c r="D133" i="14609"/>
  <c r="E266" i="14606"/>
  <c r="I133" i="14609" s="1"/>
  <c r="F266" i="14606"/>
  <c r="J133" i="14609" s="1"/>
  <c r="G266" i="14606"/>
  <c r="K133" i="14609" s="1"/>
  <c r="H263" i="14606"/>
  <c r="HL132" i="14609" s="1"/>
  <c r="I263" i="14606"/>
  <c r="HM132" i="14609" s="1"/>
  <c r="J263" i="14606"/>
  <c r="HN132" i="14609" s="1"/>
  <c r="K263" i="14606"/>
  <c r="HO132" i="14609" s="1"/>
  <c r="L263" i="14606"/>
  <c r="HP132" i="14609" s="1"/>
  <c r="L262" i="14606"/>
  <c r="GZ132" i="14609" s="1"/>
  <c r="O267" i="14606"/>
  <c r="AI133" i="14609" s="1"/>
  <c r="A267" i="14606"/>
  <c r="U133" i="14609" s="1"/>
  <c r="N268" i="14606"/>
  <c r="AX133" i="14609" s="1"/>
  <c r="G265" i="14606"/>
  <c r="IQ132" i="14609" s="1"/>
  <c r="H265" i="14606"/>
  <c r="IR132" i="14609" s="1"/>
  <c r="BQ2" i="2"/>
  <c r="IM20" i="14609" s="1"/>
  <c r="BQ3" i="2"/>
  <c r="FL21" i="14609" s="1"/>
  <c r="BQ4" i="2"/>
  <c r="CK22" i="14609" s="1"/>
  <c r="BQ5" i="2"/>
  <c r="J23" i="14609" s="1"/>
  <c r="BQ6" i="2"/>
  <c r="GE23" i="14609" s="1"/>
  <c r="BQ7" i="2"/>
  <c r="DD24" i="14609" s="1"/>
  <c r="BQ8" i="2"/>
  <c r="AC25" i="14609" s="1"/>
  <c r="N269" i="14606"/>
  <c r="BN133" i="14609" s="1"/>
  <c r="O268" i="14606"/>
  <c r="AY133" i="14609" s="1"/>
  <c r="A268" i="14606"/>
  <c r="AK133" i="14609" s="1"/>
  <c r="B267" i="14606"/>
  <c r="V133" i="14609" s="1"/>
  <c r="C267" i="14606"/>
  <c r="W133" i="14609" s="1"/>
  <c r="D267" i="14606"/>
  <c r="X133" i="14609" s="1"/>
  <c r="I265" i="14606"/>
  <c r="IS132" i="14609" s="1"/>
  <c r="J265" i="14606"/>
  <c r="IT132" i="14609" s="1"/>
  <c r="K265" i="14606"/>
  <c r="IU132" i="14609" s="1"/>
  <c r="L265" i="14606"/>
  <c r="IV132" i="14609" s="1"/>
  <c r="H266" i="14606"/>
  <c r="L133" i="14609" s="1"/>
  <c r="B268" i="14606"/>
  <c r="AL133" i="14609" s="1"/>
  <c r="C268" i="14606"/>
  <c r="AM133" i="14609" s="1"/>
  <c r="D268" i="14606"/>
  <c r="AN133" i="14609" s="1"/>
  <c r="I266" i="14606"/>
  <c r="M133" i="14609" s="1"/>
  <c r="J266" i="14606"/>
  <c r="N133" i="14609" s="1"/>
  <c r="N270" i="14606"/>
  <c r="CD133" i="14609" s="1"/>
  <c r="O269" i="14606"/>
  <c r="BO133" i="14609" s="1"/>
  <c r="A269" i="14606"/>
  <c r="BA133" i="14609" s="1"/>
  <c r="E267" i="14606"/>
  <c r="Y133" i="14609" s="1"/>
  <c r="F267" i="14606"/>
  <c r="Z133" i="14609" s="1"/>
  <c r="G267" i="14606"/>
  <c r="AA133" i="14609" s="1"/>
  <c r="E268" i="14606"/>
  <c r="AO133" i="14609" s="1"/>
  <c r="B269" i="14606"/>
  <c r="BB133" i="14609" s="1"/>
  <c r="C269" i="14606"/>
  <c r="BC133" i="14609" s="1"/>
  <c r="O270" i="14606"/>
  <c r="CE133" i="14609" s="1"/>
  <c r="A270" i="14606"/>
  <c r="BQ133" i="14609" s="1"/>
  <c r="N271" i="14606"/>
  <c r="CT133" i="14609" s="1"/>
  <c r="K266" i="14606"/>
  <c r="O133" i="14609" s="1"/>
  <c r="L266" i="14606"/>
  <c r="P133" i="14609" s="1"/>
  <c r="B270" i="14606"/>
  <c r="BR133" i="14609" s="1"/>
  <c r="C270" i="14606"/>
  <c r="BS133" i="14609" s="1"/>
  <c r="D270" i="14606"/>
  <c r="BT133" i="14609" s="1"/>
  <c r="E270" i="14606"/>
  <c r="BU133" i="14609" s="1"/>
  <c r="F270" i="14606"/>
  <c r="BV133" i="14609" s="1"/>
  <c r="F268" i="14606"/>
  <c r="AP133" i="14609" s="1"/>
  <c r="G268" i="14606"/>
  <c r="AQ133" i="14609" s="1"/>
  <c r="H268" i="14606"/>
  <c r="AR133" i="14609" s="1"/>
  <c r="I268" i="14606"/>
  <c r="AS133" i="14609" s="1"/>
  <c r="J268" i="14606"/>
  <c r="AT133" i="14609" s="1"/>
  <c r="K268" i="14606"/>
  <c r="AU133" i="14609" s="1"/>
  <c r="L268" i="14606"/>
  <c r="AV133" i="14609" s="1"/>
  <c r="H267" i="14606"/>
  <c r="AB133" i="14609" s="1"/>
  <c r="I267" i="14606"/>
  <c r="AC133" i="14609" s="1"/>
  <c r="N272" i="14606"/>
  <c r="DJ133" i="14609" s="1"/>
  <c r="O271" i="14606"/>
  <c r="CU133" i="14609" s="1"/>
  <c r="A271" i="14606"/>
  <c r="CG133" i="14609" s="1"/>
  <c r="D269" i="14606"/>
  <c r="BD133" i="14609" s="1"/>
  <c r="E269" i="14606"/>
  <c r="BE133" i="14609" s="1"/>
  <c r="F269" i="14606"/>
  <c r="BF133" i="14609" s="1"/>
  <c r="G269" i="14606"/>
  <c r="BG133" i="14609" s="1"/>
  <c r="J267" i="14606"/>
  <c r="AD133" i="14609" s="1"/>
  <c r="K267" i="14606"/>
  <c r="AE133" i="14609" s="1"/>
  <c r="B271" i="14606"/>
  <c r="CH133" i="14609" s="1"/>
  <c r="C271" i="14606"/>
  <c r="CI133" i="14609" s="1"/>
  <c r="D271" i="14606"/>
  <c r="CJ133" i="14609" s="1"/>
  <c r="E271" i="14606"/>
  <c r="CK133" i="14609" s="1"/>
  <c r="F271" i="14606"/>
  <c r="CL133" i="14609" s="1"/>
  <c r="G271" i="14606"/>
  <c r="CM133" i="14609" s="1"/>
  <c r="H271" i="14606"/>
  <c r="CN133" i="14609" s="1"/>
  <c r="I271" i="14606"/>
  <c r="CO133" i="14609" s="1"/>
  <c r="O272" i="14606"/>
  <c r="DK133" i="14609" s="1"/>
  <c r="A272" i="14606"/>
  <c r="CW133" i="14609" s="1"/>
  <c r="N273" i="14606"/>
  <c r="DZ133" i="14609" s="1"/>
  <c r="G270" i="14606"/>
  <c r="BW133" i="14609" s="1"/>
  <c r="H270" i="14606"/>
  <c r="BX133" i="14609" s="1"/>
  <c r="H269" i="14606"/>
  <c r="BH133" i="14609" s="1"/>
  <c r="I269" i="14606"/>
  <c r="BI133" i="14609" s="1"/>
  <c r="J269" i="14606"/>
  <c r="BJ133" i="14609" s="1"/>
  <c r="B272" i="14606"/>
  <c r="CX133" i="14609" s="1"/>
  <c r="C272" i="14606"/>
  <c r="CY133" i="14609" s="1"/>
  <c r="D272" i="14606"/>
  <c r="CZ133" i="14609" s="1"/>
  <c r="L267" i="14606"/>
  <c r="AF133" i="14609" s="1"/>
  <c r="I270" i="14606"/>
  <c r="BY133" i="14609" s="1"/>
  <c r="N274" i="14606"/>
  <c r="EP133" i="14609" s="1"/>
  <c r="O273" i="14606"/>
  <c r="EA133" i="14609" s="1"/>
  <c r="A273" i="14606"/>
  <c r="DM133" i="14609" s="1"/>
  <c r="J271" i="14606"/>
  <c r="CP133" i="14609" s="1"/>
  <c r="K271" i="14606"/>
  <c r="CQ133" i="14609" s="1"/>
  <c r="B273" i="14606"/>
  <c r="DN133" i="14609" s="1"/>
  <c r="C273" i="14606"/>
  <c r="DO133" i="14609" s="1"/>
  <c r="D273" i="14606"/>
  <c r="DP133" i="14609" s="1"/>
  <c r="E273" i="14606"/>
  <c r="DQ133" i="14609" s="1"/>
  <c r="F273" i="14606"/>
  <c r="DR133" i="14609" s="1"/>
  <c r="G273" i="14606"/>
  <c r="DS133" i="14609" s="1"/>
  <c r="H273" i="14606"/>
  <c r="DT133" i="14609" s="1"/>
  <c r="I273" i="14606"/>
  <c r="DU133" i="14609" s="1"/>
  <c r="J273" i="14606"/>
  <c r="DV133" i="14609" s="1"/>
  <c r="N275" i="14606"/>
  <c r="FF133" i="14609" s="1"/>
  <c r="O274" i="14606"/>
  <c r="EQ133" i="14609" s="1"/>
  <c r="A274" i="14606"/>
  <c r="EC133" i="14609" s="1"/>
  <c r="E272" i="14606"/>
  <c r="DA133" i="14609" s="1"/>
  <c r="K269" i="14606"/>
  <c r="BK133" i="14609" s="1"/>
  <c r="L269" i="14606"/>
  <c r="BL133" i="14609" s="1"/>
  <c r="J270" i="14606"/>
  <c r="BZ133" i="14609" s="1"/>
  <c r="K270" i="14606"/>
  <c r="CA133" i="14609" s="1"/>
  <c r="L270" i="14606"/>
  <c r="CB133" i="14609" s="1"/>
  <c r="L271" i="14606"/>
  <c r="CR133" i="14609" s="1"/>
  <c r="B274" i="14606"/>
  <c r="ED133" i="14609" s="1"/>
  <c r="C274" i="14606"/>
  <c r="EE133" i="14609" s="1"/>
  <c r="D274" i="14606"/>
  <c r="EF133" i="14609" s="1"/>
  <c r="E274" i="14606"/>
  <c r="EG133" i="14609" s="1"/>
  <c r="F274" i="14606"/>
  <c r="EH133" i="14609" s="1"/>
  <c r="K273" i="14606"/>
  <c r="DW133" i="14609" s="1"/>
  <c r="L273" i="14606"/>
  <c r="DX133" i="14609" s="1"/>
  <c r="O275" i="14606"/>
  <c r="FG133" i="14609" s="1"/>
  <c r="A275" i="14606"/>
  <c r="ES133" i="14609" s="1"/>
  <c r="N276" i="14606"/>
  <c r="FV133" i="14609" s="1"/>
  <c r="F272" i="14606"/>
  <c r="DB133" i="14609" s="1"/>
  <c r="G272" i="14606"/>
  <c r="DC133" i="14609" s="1"/>
  <c r="H272" i="14606"/>
  <c r="DD133" i="14609" s="1"/>
  <c r="I272" i="14606"/>
  <c r="DE133" i="14609" s="1"/>
  <c r="J272" i="14606"/>
  <c r="DF133" i="14609" s="1"/>
  <c r="K272" i="14606"/>
  <c r="DG133" i="14609" s="1"/>
  <c r="N277" i="14606"/>
  <c r="GL133" i="14609" s="1"/>
  <c r="O276" i="14606"/>
  <c r="FW133" i="14609" s="1"/>
  <c r="A276" i="14606"/>
  <c r="FI133" i="14609" s="1"/>
  <c r="B275" i="14606"/>
  <c r="ET133" i="14609" s="1"/>
  <c r="C275" i="14606"/>
  <c r="EU133" i="14609" s="1"/>
  <c r="D275" i="14606"/>
  <c r="EV133" i="14609" s="1"/>
  <c r="G274" i="14606"/>
  <c r="EI133" i="14609" s="1"/>
  <c r="H274" i="14606"/>
  <c r="EJ133" i="14609" s="1"/>
  <c r="L272" i="14606"/>
  <c r="DH133" i="14609" s="1"/>
  <c r="B276" i="14606"/>
  <c r="FJ133" i="14609" s="1"/>
  <c r="C276" i="14606"/>
  <c r="FK133" i="14609" s="1"/>
  <c r="D276" i="14606"/>
  <c r="FL133" i="14609" s="1"/>
  <c r="E276" i="14606"/>
  <c r="FM133" i="14609" s="1"/>
  <c r="F276" i="14606"/>
  <c r="FN133" i="14609" s="1"/>
  <c r="G276" i="14606"/>
  <c r="FO133" i="14609" s="1"/>
  <c r="H276" i="14606"/>
  <c r="FP133" i="14609" s="1"/>
  <c r="O277" i="14606"/>
  <c r="GM133" i="14609" s="1"/>
  <c r="A277" i="14606"/>
  <c r="FY133" i="14609" s="1"/>
  <c r="N278" i="14606"/>
  <c r="HB133" i="14609" s="1"/>
  <c r="I274" i="14606"/>
  <c r="EK133" i="14609" s="1"/>
  <c r="J274" i="14606"/>
  <c r="EL133" i="14609" s="1"/>
  <c r="E275" i="14606"/>
  <c r="EW133" i="14609" s="1"/>
  <c r="F275" i="14606"/>
  <c r="EX133" i="14609" s="1"/>
  <c r="G275" i="14606"/>
  <c r="EY133" i="14609" s="1"/>
  <c r="N279" i="14606"/>
  <c r="HR133" i="14609" s="1"/>
  <c r="O278" i="14606"/>
  <c r="HC133" i="14609" s="1"/>
  <c r="A278" i="14606"/>
  <c r="GO133" i="14609" s="1"/>
  <c r="I276" i="14606"/>
  <c r="FQ133" i="14609" s="1"/>
  <c r="J276" i="14606"/>
  <c r="FR133" i="14609" s="1"/>
  <c r="K276" i="14606"/>
  <c r="FS133" i="14609" s="1"/>
  <c r="K274" i="14606"/>
  <c r="EM133" i="14609" s="1"/>
  <c r="L274" i="14606"/>
  <c r="EN133" i="14609" s="1"/>
  <c r="B277" i="14606"/>
  <c r="FZ133" i="14609" s="1"/>
  <c r="C277" i="14606"/>
  <c r="GA133" i="14609" s="1"/>
  <c r="D277" i="14606"/>
  <c r="GB133" i="14609" s="1"/>
  <c r="E277" i="14606"/>
  <c r="GC133" i="14609" s="1"/>
  <c r="F277" i="14606"/>
  <c r="GD133" i="14609" s="1"/>
  <c r="G277" i="14606"/>
  <c r="GE133" i="14609" s="1"/>
  <c r="H277" i="14606"/>
  <c r="GF133" i="14609" s="1"/>
  <c r="I277" i="14606"/>
  <c r="GG133" i="14609" s="1"/>
  <c r="J277" i="14606"/>
  <c r="GH133" i="14609" s="1"/>
  <c r="H275" i="14606"/>
  <c r="EZ133" i="14609" s="1"/>
  <c r="I275" i="14606"/>
  <c r="FA133" i="14609" s="1"/>
  <c r="J275" i="14606"/>
  <c r="FB133" i="14609" s="1"/>
  <c r="K275" i="14606"/>
  <c r="FC133" i="14609" s="1"/>
  <c r="L275" i="14606"/>
  <c r="FD133" i="14609" s="1"/>
  <c r="B278" i="14606"/>
  <c r="GP133" i="14609" s="1"/>
  <c r="C278" i="14606"/>
  <c r="GQ133" i="14609" s="1"/>
  <c r="D278" i="14606"/>
  <c r="GR133" i="14609" s="1"/>
  <c r="E278" i="14606"/>
  <c r="GS133" i="14609" s="1"/>
  <c r="F278" i="14606"/>
  <c r="GT133" i="14609" s="1"/>
  <c r="G278" i="14606"/>
  <c r="GU133" i="14609" s="1"/>
  <c r="H278" i="14606"/>
  <c r="GV133" i="14609" s="1"/>
  <c r="I278" i="14606"/>
  <c r="GW133" i="14609" s="1"/>
  <c r="K277" i="14606"/>
  <c r="GI133" i="14609" s="1"/>
  <c r="L277" i="14606"/>
  <c r="GJ133" i="14609" s="1"/>
  <c r="O279" i="14606"/>
  <c r="HS133" i="14609" s="1"/>
  <c r="A279" i="14606"/>
  <c r="HE133" i="14609" s="1"/>
  <c r="N280" i="14606"/>
  <c r="IH133" i="14609" s="1"/>
  <c r="L276" i="14606"/>
  <c r="FT133" i="14609" s="1"/>
  <c r="O280" i="14606"/>
  <c r="II133" i="14609" s="1"/>
  <c r="A280" i="14606"/>
  <c r="HU133" i="14609" s="1"/>
  <c r="N281" i="14606"/>
  <c r="B134" i="14609" s="1"/>
  <c r="J278" i="14606"/>
  <c r="GX133" i="14609" s="1"/>
  <c r="K278" i="14606"/>
  <c r="GY133" i="14609" s="1"/>
  <c r="B279" i="14606"/>
  <c r="HF133" i="14609" s="1"/>
  <c r="C279" i="14606"/>
  <c r="HG133" i="14609" s="1"/>
  <c r="D279" i="14606"/>
  <c r="HH133" i="14609" s="1"/>
  <c r="E279" i="14606"/>
  <c r="HI133" i="14609" s="1"/>
  <c r="F279" i="14606"/>
  <c r="HJ133" i="14609" s="1"/>
  <c r="G279" i="14606"/>
  <c r="HK133" i="14609" s="1"/>
  <c r="H279" i="14606"/>
  <c r="HL133" i="14609" s="1"/>
  <c r="I279" i="14606"/>
  <c r="HM133" i="14609" s="1"/>
  <c r="J279" i="14606"/>
  <c r="HN133" i="14609" s="1"/>
  <c r="N282" i="14606"/>
  <c r="R134" i="14609" s="1"/>
  <c r="O281" i="14606"/>
  <c r="C134" i="14609" s="1"/>
  <c r="A281" i="14606"/>
  <c r="IK133" i="14609" s="1"/>
  <c r="K279" i="14606"/>
  <c r="HO133" i="14609" s="1"/>
  <c r="L279" i="14606"/>
  <c r="HP133" i="14609" s="1"/>
  <c r="B280" i="14606"/>
  <c r="HV133" i="14609" s="1"/>
  <c r="C280" i="14606"/>
  <c r="HW133" i="14609" s="1"/>
  <c r="L278" i="14606"/>
  <c r="GZ133" i="14609" s="1"/>
  <c r="B281" i="14606"/>
  <c r="IL133" i="14609" s="1"/>
  <c r="C281" i="14606"/>
  <c r="IM133" i="14609" s="1"/>
  <c r="D280" i="14606"/>
  <c r="HX133" i="14609" s="1"/>
  <c r="O282" i="14606"/>
  <c r="S134" i="14609" s="1"/>
  <c r="A282" i="14606"/>
  <c r="E134" i="14609" s="1"/>
  <c r="N283" i="14606"/>
  <c r="AH134" i="14609" s="1"/>
  <c r="E280" i="14606"/>
  <c r="HY133" i="14609" s="1"/>
  <c r="O283" i="14606"/>
  <c r="AI134" i="14609" s="1"/>
  <c r="A283" i="14606"/>
  <c r="U134" i="14609" s="1"/>
  <c r="N284" i="14606"/>
  <c r="AX134" i="14609" s="1"/>
  <c r="B282" i="14606"/>
  <c r="F134" i="14609" s="1"/>
  <c r="C282" i="14606"/>
  <c r="G134" i="14609" s="1"/>
  <c r="D282" i="14606"/>
  <c r="H134" i="14609" s="1"/>
  <c r="E282" i="14606"/>
  <c r="I134" i="14609" s="1"/>
  <c r="F282" i="14606"/>
  <c r="J134" i="14609" s="1"/>
  <c r="D134" i="14609"/>
  <c r="D281" i="14606"/>
  <c r="IN133" i="14609" s="1"/>
  <c r="G282" i="14606"/>
  <c r="K134" i="14609" s="1"/>
  <c r="E281" i="14606"/>
  <c r="IO133" i="14609" s="1"/>
  <c r="H282" i="14606"/>
  <c r="L134" i="14609" s="1"/>
  <c r="I282" i="14606"/>
  <c r="M134" i="14609" s="1"/>
  <c r="O284" i="14606"/>
  <c r="AY134" i="14609" s="1"/>
  <c r="A284" i="14606"/>
  <c r="AK134" i="14609" s="1"/>
  <c r="N285" i="14606"/>
  <c r="BN134" i="14609" s="1"/>
  <c r="F280" i="14606"/>
  <c r="HZ133" i="14609" s="1"/>
  <c r="G280" i="14606"/>
  <c r="IA133" i="14609" s="1"/>
  <c r="B283" i="14606"/>
  <c r="V134" i="14609" s="1"/>
  <c r="C283" i="14606"/>
  <c r="W134" i="14609" s="1"/>
  <c r="D283" i="14606"/>
  <c r="X134" i="14609" s="1"/>
  <c r="E283" i="14606"/>
  <c r="Y134" i="14609" s="1"/>
  <c r="B284" i="14606"/>
  <c r="AL134" i="14609" s="1"/>
  <c r="C284" i="14606"/>
  <c r="AM134" i="14609" s="1"/>
  <c r="D284" i="14606"/>
  <c r="AN134" i="14609" s="1"/>
  <c r="E284" i="14606"/>
  <c r="AO134" i="14609" s="1"/>
  <c r="F284" i="14606"/>
  <c r="AP134" i="14609" s="1"/>
  <c r="G284" i="14606"/>
  <c r="AQ134" i="14609" s="1"/>
  <c r="H284" i="14606"/>
  <c r="AR134" i="14609" s="1"/>
  <c r="H280" i="14606"/>
  <c r="IB133" i="14609" s="1"/>
  <c r="I280" i="14606"/>
  <c r="IC133" i="14609" s="1"/>
  <c r="J280" i="14606"/>
  <c r="ID133" i="14609" s="1"/>
  <c r="F283" i="14606"/>
  <c r="Z134" i="14609" s="1"/>
  <c r="J282" i="14606"/>
  <c r="N134" i="14609" s="1"/>
  <c r="K282" i="14606"/>
  <c r="O134" i="14609" s="1"/>
  <c r="L282" i="14606"/>
  <c r="P134" i="14609" s="1"/>
  <c r="O285" i="14606"/>
  <c r="BO134" i="14609" s="1"/>
  <c r="A285" i="14606"/>
  <c r="BA134" i="14609" s="1"/>
  <c r="N286" i="14606"/>
  <c r="CD134" i="14609" s="1"/>
  <c r="F281" i="14606"/>
  <c r="IP133" i="14609" s="1"/>
  <c r="G281" i="14606"/>
  <c r="IQ133" i="14609" s="1"/>
  <c r="H281" i="14606"/>
  <c r="IR133" i="14609" s="1"/>
  <c r="I284" i="14606"/>
  <c r="AS134" i="14609" s="1"/>
  <c r="J284" i="14606"/>
  <c r="AT134" i="14609" s="1"/>
  <c r="G283" i="14606"/>
  <c r="AA134" i="14609" s="1"/>
  <c r="H283" i="14606"/>
  <c r="AB134" i="14609" s="1"/>
  <c r="I283" i="14606"/>
  <c r="AC134" i="14609" s="1"/>
  <c r="N287" i="14606"/>
  <c r="CT134" i="14609" s="1"/>
  <c r="O286" i="14606"/>
  <c r="CE134" i="14609" s="1"/>
  <c r="A286" i="14606"/>
  <c r="BQ134" i="14609" s="1"/>
  <c r="K280" i="14606"/>
  <c r="IE133" i="14609" s="1"/>
  <c r="L280" i="14606"/>
  <c r="IF133" i="14609" s="1"/>
  <c r="I281" i="14606"/>
  <c r="IS133" i="14609" s="1"/>
  <c r="B285" i="14606"/>
  <c r="BB134" i="14609" s="1"/>
  <c r="C285" i="14606"/>
  <c r="BC134" i="14609" s="1"/>
  <c r="D285" i="14606"/>
  <c r="BD134" i="14609" s="1"/>
  <c r="E285" i="14606"/>
  <c r="BE134" i="14609" s="1"/>
  <c r="F285" i="14606"/>
  <c r="BF134" i="14609" s="1"/>
  <c r="G285" i="14606"/>
  <c r="BG134" i="14609" s="1"/>
  <c r="H285" i="14606"/>
  <c r="BH134" i="14609" s="1"/>
  <c r="I285" i="14606"/>
  <c r="BI134" i="14609" s="1"/>
  <c r="K284" i="14606"/>
  <c r="AU134" i="14609" s="1"/>
  <c r="L284" i="14606"/>
  <c r="AV134" i="14609" s="1"/>
  <c r="J285" i="14606"/>
  <c r="BJ134" i="14609" s="1"/>
  <c r="K285" i="14606"/>
  <c r="BK134" i="14609" s="1"/>
  <c r="L285" i="14606"/>
  <c r="BL134" i="14609" s="1"/>
  <c r="B286" i="14606"/>
  <c r="BR134" i="14609" s="1"/>
  <c r="C286" i="14606"/>
  <c r="BS134" i="14609" s="1"/>
  <c r="D286" i="14606"/>
  <c r="BT134" i="14609" s="1"/>
  <c r="J281" i="14606"/>
  <c r="IT133" i="14609" s="1"/>
  <c r="K281" i="14606"/>
  <c r="IU133" i="14609" s="1"/>
  <c r="O287" i="14606"/>
  <c r="CU134" i="14609" s="1"/>
  <c r="A287" i="14606"/>
  <c r="CG134" i="14609" s="1"/>
  <c r="N288" i="14606"/>
  <c r="DJ134" i="14609" s="1"/>
  <c r="J283" i="14606"/>
  <c r="AD134" i="14609" s="1"/>
  <c r="N289" i="14606"/>
  <c r="DZ134" i="14609" s="1"/>
  <c r="O288" i="14606"/>
  <c r="DK134" i="14609" s="1"/>
  <c r="A288" i="14606"/>
  <c r="CW134" i="14609" s="1"/>
  <c r="B287" i="14606"/>
  <c r="CH134" i="14609" s="1"/>
  <c r="C287" i="14606"/>
  <c r="CI134" i="14609" s="1"/>
  <c r="D287" i="14606"/>
  <c r="CJ134" i="14609" s="1"/>
  <c r="L281" i="14606"/>
  <c r="IV133" i="14609" s="1"/>
  <c r="K283" i="14606"/>
  <c r="AE134" i="14609" s="1"/>
  <c r="L283" i="14606"/>
  <c r="AF134" i="14609" s="1"/>
  <c r="E286" i="14606"/>
  <c r="BU134" i="14609" s="1"/>
  <c r="B288" i="14606"/>
  <c r="CX134" i="14609" s="1"/>
  <c r="C288" i="14606"/>
  <c r="CY134" i="14609" s="1"/>
  <c r="D288" i="14606"/>
  <c r="CZ134" i="14609" s="1"/>
  <c r="E287" i="14606"/>
  <c r="CK134" i="14609" s="1"/>
  <c r="F287" i="14606"/>
  <c r="CL134" i="14609" s="1"/>
  <c r="G287" i="14606"/>
  <c r="CM134" i="14609" s="1"/>
  <c r="H287" i="14606"/>
  <c r="CN134" i="14609" s="1"/>
  <c r="N290" i="14606"/>
  <c r="EP134" i="14609" s="1"/>
  <c r="O289" i="14606"/>
  <c r="EA134" i="14609" s="1"/>
  <c r="A289" i="14606"/>
  <c r="DM134" i="14609" s="1"/>
  <c r="F286" i="14606"/>
  <c r="BV134" i="14609" s="1"/>
  <c r="G286" i="14606"/>
  <c r="BW134" i="14609" s="1"/>
  <c r="H286" i="14606"/>
  <c r="BX134" i="14609" s="1"/>
  <c r="I286" i="14606"/>
  <c r="BY134" i="14609" s="1"/>
  <c r="N291" i="14606"/>
  <c r="FF134" i="14609" s="1"/>
  <c r="O290" i="14606"/>
  <c r="EQ134" i="14609" s="1"/>
  <c r="A290" i="14606"/>
  <c r="EC134" i="14609" s="1"/>
  <c r="J286" i="14606"/>
  <c r="BZ134" i="14609" s="1"/>
  <c r="K286" i="14606"/>
  <c r="CA134" i="14609" s="1"/>
  <c r="L286" i="14606"/>
  <c r="CB134" i="14609" s="1"/>
  <c r="E288" i="14606"/>
  <c r="DA134" i="14609" s="1"/>
  <c r="F288" i="14606"/>
  <c r="DB134" i="14609" s="1"/>
  <c r="G288" i="14606"/>
  <c r="DC134" i="14609" s="1"/>
  <c r="I287" i="14606"/>
  <c r="CO134" i="14609" s="1"/>
  <c r="J287" i="14606"/>
  <c r="CP134" i="14609" s="1"/>
  <c r="B289" i="14606"/>
  <c r="DN134" i="14609" s="1"/>
  <c r="C289" i="14606"/>
  <c r="DO134" i="14609" s="1"/>
  <c r="D289" i="14606"/>
  <c r="DP134" i="14609" s="1"/>
  <c r="E289" i="14606"/>
  <c r="DQ134" i="14609" s="1"/>
  <c r="F289" i="14606"/>
  <c r="DR134" i="14609" s="1"/>
  <c r="G289" i="14606"/>
  <c r="DS134" i="14609" s="1"/>
  <c r="H289" i="14606"/>
  <c r="DT134" i="14609" s="1"/>
  <c r="K287" i="14606"/>
  <c r="CQ134" i="14609" s="1"/>
  <c r="L287" i="14606"/>
  <c r="CR134" i="14609" s="1"/>
  <c r="O291" i="14606"/>
  <c r="FG134" i="14609" s="1"/>
  <c r="A291" i="14606"/>
  <c r="ES134" i="14609" s="1"/>
  <c r="N292" i="14606"/>
  <c r="FV134" i="14609" s="1"/>
  <c r="B290" i="14606"/>
  <c r="ED134" i="14609" s="1"/>
  <c r="C290" i="14606"/>
  <c r="EE134" i="14609" s="1"/>
  <c r="I289" i="14606"/>
  <c r="DU134" i="14609" s="1"/>
  <c r="J289" i="14606"/>
  <c r="DV134" i="14609" s="1"/>
  <c r="H288" i="14606"/>
  <c r="DD134" i="14609" s="1"/>
  <c r="N293" i="14606"/>
  <c r="GL134" i="14609" s="1"/>
  <c r="O292" i="14606"/>
  <c r="FW134" i="14609" s="1"/>
  <c r="A292" i="14606"/>
  <c r="FI134" i="14609" s="1"/>
  <c r="B291" i="14606"/>
  <c r="ET134" i="14609" s="1"/>
  <c r="C291" i="14606"/>
  <c r="EU134" i="14609" s="1"/>
  <c r="I288" i="14606"/>
  <c r="DE134" i="14609" s="1"/>
  <c r="J288" i="14606"/>
  <c r="DF134" i="14609" s="1"/>
  <c r="K288" i="14606"/>
  <c r="DG134" i="14609" s="1"/>
  <c r="L288" i="14606"/>
  <c r="DH134" i="14609" s="1"/>
  <c r="D290" i="14606"/>
  <c r="EF134" i="14609" s="1"/>
  <c r="K289" i="14606"/>
  <c r="DW134" i="14609" s="1"/>
  <c r="L289" i="14606"/>
  <c r="DX134" i="14609" s="1"/>
  <c r="B292" i="14606"/>
  <c r="FJ134" i="14609" s="1"/>
  <c r="C292" i="14606"/>
  <c r="FK134" i="14609" s="1"/>
  <c r="D292" i="14606"/>
  <c r="FL134" i="14609" s="1"/>
  <c r="E292" i="14606"/>
  <c r="FM134" i="14609" s="1"/>
  <c r="F292" i="14606"/>
  <c r="FN134" i="14609" s="1"/>
  <c r="G292" i="14606"/>
  <c r="FO134" i="14609" s="1"/>
  <c r="H292" i="14606"/>
  <c r="FP134" i="14609" s="1"/>
  <c r="N294" i="14606"/>
  <c r="HB134" i="14609" s="1"/>
  <c r="O293" i="14606"/>
  <c r="GM134" i="14609" s="1"/>
  <c r="A293" i="14606"/>
  <c r="FY134" i="14609" s="1"/>
  <c r="E290" i="14606"/>
  <c r="EG134" i="14609" s="1"/>
  <c r="F290" i="14606"/>
  <c r="EH134" i="14609" s="1"/>
  <c r="G290" i="14606"/>
  <c r="EI134" i="14609" s="1"/>
  <c r="D291" i="14606"/>
  <c r="EV134" i="14609" s="1"/>
  <c r="H290" i="14606"/>
  <c r="EJ134" i="14609" s="1"/>
  <c r="I290" i="14606"/>
  <c r="EK134" i="14609" s="1"/>
  <c r="J290" i="14606"/>
  <c r="EL134" i="14609" s="1"/>
  <c r="N295" i="14606"/>
  <c r="HR134" i="14609" s="1"/>
  <c r="O294" i="14606"/>
  <c r="HC134" i="14609" s="1"/>
  <c r="A294" i="14606"/>
  <c r="GO134" i="14609" s="1"/>
  <c r="I292" i="14606"/>
  <c r="FQ134" i="14609" s="1"/>
  <c r="J292" i="14606"/>
  <c r="FR134" i="14609" s="1"/>
  <c r="K292" i="14606"/>
  <c r="FS134" i="14609" s="1"/>
  <c r="L292" i="14606"/>
  <c r="FT134" i="14609" s="1"/>
  <c r="E291" i="14606"/>
  <c r="EW134" i="14609" s="1"/>
  <c r="F291" i="14606"/>
  <c r="EX134" i="14609" s="1"/>
  <c r="G291" i="14606"/>
  <c r="EY134" i="14609" s="1"/>
  <c r="H291" i="14606"/>
  <c r="EZ134" i="14609" s="1"/>
  <c r="I291" i="14606"/>
  <c r="FA134" i="14609" s="1"/>
  <c r="J291" i="14606"/>
  <c r="FB134" i="14609" s="1"/>
  <c r="K291" i="14606"/>
  <c r="FC134" i="14609" s="1"/>
  <c r="L291" i="14606"/>
  <c r="FD134" i="14609" s="1"/>
  <c r="B293" i="14606"/>
  <c r="FZ134" i="14609" s="1"/>
  <c r="C293" i="14606"/>
  <c r="GA134" i="14609" s="1"/>
  <c r="K290" i="14606"/>
  <c r="EM134" i="14609" s="1"/>
  <c r="L290" i="14606"/>
  <c r="EN134" i="14609" s="1"/>
  <c r="B294" i="14606"/>
  <c r="GP134" i="14609" s="1"/>
  <c r="C294" i="14606"/>
  <c r="GQ134" i="14609" s="1"/>
  <c r="D294" i="14606"/>
  <c r="GR134" i="14609" s="1"/>
  <c r="E294" i="14606"/>
  <c r="GS134" i="14609" s="1"/>
  <c r="F294" i="14606"/>
  <c r="GT134" i="14609" s="1"/>
  <c r="D293" i="14606"/>
  <c r="GB134" i="14609" s="1"/>
  <c r="E293" i="14606"/>
  <c r="GC134" i="14609" s="1"/>
  <c r="N296" i="14606"/>
  <c r="IH134" i="14609" s="1"/>
  <c r="O295" i="14606"/>
  <c r="HS134" i="14609" s="1"/>
  <c r="A295" i="14606"/>
  <c r="HE134" i="14609" s="1"/>
  <c r="F293" i="14606"/>
  <c r="GD134" i="14609" s="1"/>
  <c r="G293" i="14606"/>
  <c r="GE134" i="14609" s="1"/>
  <c r="N297" i="14606"/>
  <c r="B135" i="14609" s="1"/>
  <c r="O296" i="14606"/>
  <c r="II134" i="14609" s="1"/>
  <c r="A296" i="14606"/>
  <c r="HU134" i="14609" s="1"/>
  <c r="B295" i="14606"/>
  <c r="HF134" i="14609" s="1"/>
  <c r="C295" i="14606"/>
  <c r="HG134" i="14609" s="1"/>
  <c r="D295" i="14606"/>
  <c r="HH134" i="14609" s="1"/>
  <c r="E295" i="14606"/>
  <c r="HI134" i="14609" s="1"/>
  <c r="G294" i="14606"/>
  <c r="GU134" i="14609" s="1"/>
  <c r="H294" i="14606"/>
  <c r="GV134" i="14609" s="1"/>
  <c r="I294" i="14606"/>
  <c r="GW134" i="14609" s="1"/>
  <c r="J294" i="14606"/>
  <c r="GX134" i="14609" s="1"/>
  <c r="F295" i="14606"/>
  <c r="HJ134" i="14609" s="1"/>
  <c r="G295" i="14606"/>
  <c r="HK134" i="14609" s="1"/>
  <c r="H295" i="14606"/>
  <c r="HL134" i="14609" s="1"/>
  <c r="H293" i="14606"/>
  <c r="GF134" i="14609" s="1"/>
  <c r="B296" i="14606"/>
  <c r="HV134" i="14609" s="1"/>
  <c r="C296" i="14606"/>
  <c r="HW134" i="14609" s="1"/>
  <c r="D296" i="14606"/>
  <c r="HX134" i="14609" s="1"/>
  <c r="E296" i="14606"/>
  <c r="HY134" i="14609" s="1"/>
  <c r="N298" i="14606"/>
  <c r="R135" i="14609" s="1"/>
  <c r="O297" i="14606"/>
  <c r="C135" i="14609" s="1"/>
  <c r="A297" i="14606"/>
  <c r="IK134" i="14609" s="1"/>
  <c r="K294" i="14606"/>
  <c r="GY134" i="14609" s="1"/>
  <c r="L294" i="14606"/>
  <c r="GZ134" i="14609" s="1"/>
  <c r="I295" i="14606"/>
  <c r="HM134" i="14609" s="1"/>
  <c r="J295" i="14606"/>
  <c r="HN134" i="14609" s="1"/>
  <c r="K295" i="14606"/>
  <c r="HO134" i="14609" s="1"/>
  <c r="L295" i="14606"/>
  <c r="HP134" i="14609" s="1"/>
  <c r="F296" i="14606"/>
  <c r="HZ134" i="14609" s="1"/>
  <c r="G296" i="14606"/>
  <c r="IA134" i="14609" s="1"/>
  <c r="B297" i="14606"/>
  <c r="IL134" i="14609" s="1"/>
  <c r="C297" i="14606"/>
  <c r="IM134" i="14609" s="1"/>
  <c r="D297" i="14606"/>
  <c r="IN134" i="14609" s="1"/>
  <c r="E297" i="14606"/>
  <c r="IO134" i="14609" s="1"/>
  <c r="O298" i="14606"/>
  <c r="S135" i="14609" s="1"/>
  <c r="A298" i="14606"/>
  <c r="E135" i="14609" s="1"/>
  <c r="N299" i="14606"/>
  <c r="AH135" i="14609" s="1"/>
  <c r="I293" i="14606"/>
  <c r="GG134" i="14609" s="1"/>
  <c r="F297" i="14606"/>
  <c r="IP134" i="14609" s="1"/>
  <c r="G297" i="14606"/>
  <c r="IQ134" i="14609" s="1"/>
  <c r="H297" i="14606"/>
  <c r="IR134" i="14609" s="1"/>
  <c r="I297" i="14606"/>
  <c r="IS134" i="14609" s="1"/>
  <c r="J297" i="14606"/>
  <c r="IT134" i="14609" s="1"/>
  <c r="O299" i="14606"/>
  <c r="AI135" i="14609" s="1"/>
  <c r="A299" i="14606"/>
  <c r="U135" i="14609" s="1"/>
  <c r="N300" i="14606"/>
  <c r="AX135" i="14609" s="1"/>
  <c r="J293" i="14606"/>
  <c r="GH134" i="14609" s="1"/>
  <c r="K293" i="14606"/>
  <c r="GI134" i="14609" s="1"/>
  <c r="K297" i="14606"/>
  <c r="IU134" i="14609" s="1"/>
  <c r="L297" i="14606"/>
  <c r="IV134" i="14609" s="1"/>
  <c r="H296" i="14606"/>
  <c r="IB134" i="14609" s="1"/>
  <c r="I296" i="14606"/>
  <c r="IC134" i="14609" s="1"/>
  <c r="J296" i="14606"/>
  <c r="ID134" i="14609" s="1"/>
  <c r="B298" i="14606"/>
  <c r="F135" i="14609" s="1"/>
  <c r="C298" i="14606"/>
  <c r="G135" i="14609" s="1"/>
  <c r="D298" i="14606"/>
  <c r="H135" i="14609" s="1"/>
  <c r="D135" i="14609"/>
  <c r="E298" i="14606"/>
  <c r="I135" i="14609" s="1"/>
  <c r="B299" i="14606"/>
  <c r="V135" i="14609" s="1"/>
  <c r="C299" i="14606"/>
  <c r="W135" i="14609" s="1"/>
  <c r="D299" i="14606"/>
  <c r="X135" i="14609" s="1"/>
  <c r="E299" i="14606"/>
  <c r="Y135" i="14609" s="1"/>
  <c r="F299" i="14606"/>
  <c r="Z135" i="14609" s="1"/>
  <c r="G299" i="14606"/>
  <c r="AA135" i="14609" s="1"/>
  <c r="N301" i="14606"/>
  <c r="BN135" i="14609" s="1"/>
  <c r="O300" i="14606"/>
  <c r="AY135" i="14609" s="1"/>
  <c r="A300" i="14606"/>
  <c r="AK135" i="14609" s="1"/>
  <c r="F298" i="14606"/>
  <c r="J135" i="14609" s="1"/>
  <c r="K296" i="14606"/>
  <c r="IE134" i="14609" s="1"/>
  <c r="L296" i="14606"/>
  <c r="IF134" i="14609" s="1"/>
  <c r="L293" i="14606"/>
  <c r="GJ134" i="14609" s="1"/>
  <c r="N302" i="14606"/>
  <c r="CD135" i="14609" s="1"/>
  <c r="O301" i="14606"/>
  <c r="BO135" i="14609" s="1"/>
  <c r="A301" i="14606"/>
  <c r="BA135" i="14609" s="1"/>
  <c r="H299" i="14606"/>
  <c r="AB135" i="14609" s="1"/>
  <c r="I299" i="14606"/>
  <c r="AC135" i="14609" s="1"/>
  <c r="J299" i="14606"/>
  <c r="AD135" i="14609" s="1"/>
  <c r="K299" i="14606"/>
  <c r="AE135" i="14609" s="1"/>
  <c r="L299" i="14606"/>
  <c r="AF135" i="14609" s="1"/>
  <c r="B300" i="14606"/>
  <c r="AL135" i="14609" s="1"/>
  <c r="C300" i="14606"/>
  <c r="AM135" i="14609" s="1"/>
  <c r="D300" i="14606"/>
  <c r="AN135" i="14609" s="1"/>
  <c r="E300" i="14606"/>
  <c r="AO135" i="14609" s="1"/>
  <c r="F300" i="14606"/>
  <c r="AP135" i="14609" s="1"/>
  <c r="G300" i="14606"/>
  <c r="AQ135" i="14609" s="1"/>
  <c r="H300" i="14606"/>
  <c r="AR135" i="14609" s="1"/>
  <c r="I300" i="14606"/>
  <c r="AS135" i="14609" s="1"/>
  <c r="J300" i="14606"/>
  <c r="AT135" i="14609" s="1"/>
  <c r="K300" i="14606"/>
  <c r="AU135" i="14609" s="1"/>
  <c r="L300" i="14606"/>
  <c r="AV135" i="14609" s="1"/>
  <c r="G298" i="14606"/>
  <c r="K135" i="14609" s="1"/>
  <c r="B301" i="14606"/>
  <c r="BB135" i="14609" s="1"/>
  <c r="H298" i="14606"/>
  <c r="L135" i="14609" s="1"/>
  <c r="I298" i="14606"/>
  <c r="M135" i="14609" s="1"/>
  <c r="O302" i="14606"/>
  <c r="CE135" i="14609" s="1"/>
  <c r="A302" i="14606"/>
  <c r="BQ135" i="14609" s="1"/>
  <c r="N303" i="14606"/>
  <c r="CT135" i="14609" s="1"/>
  <c r="J298" i="14606"/>
  <c r="N135" i="14609" s="1"/>
  <c r="K298" i="14606"/>
  <c r="O135" i="14609" s="1"/>
  <c r="L298" i="14606"/>
  <c r="P135" i="14609" s="1"/>
  <c r="C301" i="14606"/>
  <c r="BC135" i="14609" s="1"/>
  <c r="D301" i="14606"/>
  <c r="BD135" i="14609" s="1"/>
  <c r="E301" i="14606"/>
  <c r="BE135" i="14609" s="1"/>
  <c r="N304" i="14606"/>
  <c r="DJ135" i="14609" s="1"/>
  <c r="O303" i="14606"/>
  <c r="CU135" i="14609" s="1"/>
  <c r="A303" i="14606"/>
  <c r="CG135" i="14609" s="1"/>
  <c r="F301" i="14606"/>
  <c r="BF135" i="14609" s="1"/>
  <c r="G301" i="14606"/>
  <c r="BG135" i="14609" s="1"/>
  <c r="H301" i="14606"/>
  <c r="BH135" i="14609" s="1"/>
  <c r="I301" i="14606"/>
  <c r="BI135" i="14609" s="1"/>
  <c r="J301" i="14606"/>
  <c r="BJ135" i="14609" s="1"/>
  <c r="B302" i="14606"/>
  <c r="BR135" i="14609" s="1"/>
  <c r="C302" i="14606"/>
  <c r="BS135" i="14609" s="1"/>
  <c r="D302" i="14606"/>
  <c r="BT135" i="14609" s="1"/>
  <c r="E302" i="14606"/>
  <c r="BU135" i="14609" s="1"/>
  <c r="F302" i="14606"/>
  <c r="BV135" i="14609" s="1"/>
  <c r="G302" i="14606"/>
  <c r="BW135" i="14609" s="1"/>
  <c r="H302" i="14606"/>
  <c r="BX135" i="14609" s="1"/>
  <c r="I302" i="14606"/>
  <c r="BY135" i="14609" s="1"/>
  <c r="J302" i="14606"/>
  <c r="BZ135" i="14609" s="1"/>
  <c r="K301" i="14606"/>
  <c r="BK135" i="14609" s="1"/>
  <c r="L301" i="14606"/>
  <c r="BL135" i="14609" s="1"/>
  <c r="K302" i="14606"/>
  <c r="CA135" i="14609" s="1"/>
  <c r="L302" i="14606"/>
  <c r="CB135" i="14609" s="1"/>
  <c r="B303" i="14606"/>
  <c r="CH135" i="14609" s="1"/>
  <c r="N305" i="14606"/>
  <c r="DZ135" i="14609" s="1"/>
  <c r="O304" i="14606"/>
  <c r="DK135" i="14609" s="1"/>
  <c r="A304" i="14606"/>
  <c r="CW135" i="14609" s="1"/>
  <c r="O305" i="14606"/>
  <c r="EA135" i="14609" s="1"/>
  <c r="A305" i="14606"/>
  <c r="DM135" i="14609" s="1"/>
  <c r="N306" i="14606"/>
  <c r="EP135" i="14609" s="1"/>
  <c r="C303" i="14606"/>
  <c r="CI135" i="14609" s="1"/>
  <c r="B304" i="14606"/>
  <c r="CX135" i="14609" s="1"/>
  <c r="C304" i="14606"/>
  <c r="CY135" i="14609" s="1"/>
  <c r="D304" i="14606"/>
  <c r="CZ135" i="14609" s="1"/>
  <c r="N307" i="14606"/>
  <c r="FF135" i="14609" s="1"/>
  <c r="O306" i="14606"/>
  <c r="EQ135" i="14609" s="1"/>
  <c r="A306" i="14606"/>
  <c r="EC135" i="14609" s="1"/>
  <c r="E304" i="14606"/>
  <c r="DA135" i="14609" s="1"/>
  <c r="B305" i="14606"/>
  <c r="DN135" i="14609" s="1"/>
  <c r="C305" i="14606"/>
  <c r="DO135" i="14609" s="1"/>
  <c r="D305" i="14606"/>
  <c r="DP135" i="14609" s="1"/>
  <c r="E305" i="14606"/>
  <c r="DQ135" i="14609" s="1"/>
  <c r="D303" i="14606"/>
  <c r="CJ135" i="14609" s="1"/>
  <c r="E303" i="14606"/>
  <c r="CK135" i="14609" s="1"/>
  <c r="B306" i="14606"/>
  <c r="ED135" i="14609" s="1"/>
  <c r="C306" i="14606"/>
  <c r="EE135" i="14609" s="1"/>
  <c r="D306" i="14606"/>
  <c r="EF135" i="14609" s="1"/>
  <c r="O307" i="14606"/>
  <c r="FG135" i="14609" s="1"/>
  <c r="A307" i="14606"/>
  <c r="ES135" i="14609" s="1"/>
  <c r="N308" i="14606"/>
  <c r="FV135" i="14609" s="1"/>
  <c r="F303" i="14606"/>
  <c r="CL135" i="14609" s="1"/>
  <c r="G303" i="14606"/>
  <c r="CM135" i="14609" s="1"/>
  <c r="H303" i="14606"/>
  <c r="CN135" i="14609" s="1"/>
  <c r="I303" i="14606"/>
  <c r="CO135" i="14609" s="1"/>
  <c r="F305" i="14606"/>
  <c r="DR135" i="14609" s="1"/>
  <c r="F304" i="14606"/>
  <c r="DB135" i="14609" s="1"/>
  <c r="J303" i="14606"/>
  <c r="CP135" i="14609" s="1"/>
  <c r="K303" i="14606"/>
  <c r="CQ135" i="14609" s="1"/>
  <c r="E306" i="14606"/>
  <c r="EG135" i="14609" s="1"/>
  <c r="F306" i="14606"/>
  <c r="EH135" i="14609" s="1"/>
  <c r="O308" i="14606"/>
  <c r="FW135" i="14609" s="1"/>
  <c r="A308" i="14606"/>
  <c r="FI135" i="14609" s="1"/>
  <c r="N309" i="14606"/>
  <c r="GL135" i="14609" s="1"/>
  <c r="G304" i="14606"/>
  <c r="DC135" i="14609" s="1"/>
  <c r="H304" i="14606"/>
  <c r="DD135" i="14609" s="1"/>
  <c r="I304" i="14606"/>
  <c r="DE135" i="14609" s="1"/>
  <c r="J304" i="14606"/>
  <c r="DF135" i="14609" s="1"/>
  <c r="K304" i="14606"/>
  <c r="DG135" i="14609" s="1"/>
  <c r="L304" i="14606"/>
  <c r="DH135" i="14609" s="1"/>
  <c r="B307" i="14606"/>
  <c r="ET135" i="14609" s="1"/>
  <c r="C307" i="14606"/>
  <c r="EU135" i="14609" s="1"/>
  <c r="D307" i="14606"/>
  <c r="EV135" i="14609" s="1"/>
  <c r="E307" i="14606"/>
  <c r="EW135" i="14609" s="1"/>
  <c r="F307" i="14606"/>
  <c r="EX135" i="14609" s="1"/>
  <c r="G307" i="14606"/>
  <c r="EY135" i="14609" s="1"/>
  <c r="H307" i="14606"/>
  <c r="EZ135" i="14609" s="1"/>
  <c r="I307" i="14606"/>
  <c r="FA135" i="14609" s="1"/>
  <c r="G305" i="14606"/>
  <c r="DS135" i="14609" s="1"/>
  <c r="L303" i="14606"/>
  <c r="CR135" i="14609" s="1"/>
  <c r="O309" i="14606"/>
  <c r="GM135" i="14609" s="1"/>
  <c r="A309" i="14606"/>
  <c r="FY135" i="14609" s="1"/>
  <c r="N310" i="14606"/>
  <c r="HB135" i="14609" s="1"/>
  <c r="B308" i="14606"/>
  <c r="FJ135" i="14609" s="1"/>
  <c r="C308" i="14606"/>
  <c r="FK135" i="14609" s="1"/>
  <c r="D308" i="14606"/>
  <c r="FL135" i="14609" s="1"/>
  <c r="E308" i="14606"/>
  <c r="FM135" i="14609" s="1"/>
  <c r="F308" i="14606"/>
  <c r="FN135" i="14609" s="1"/>
  <c r="G308" i="14606"/>
  <c r="FO135" i="14609" s="1"/>
  <c r="H308" i="14606"/>
  <c r="FP135" i="14609" s="1"/>
  <c r="H305" i="14606"/>
  <c r="DT135" i="14609" s="1"/>
  <c r="J307" i="14606"/>
  <c r="FB135" i="14609" s="1"/>
  <c r="K307" i="14606"/>
  <c r="FC135" i="14609" s="1"/>
  <c r="L307" i="14606"/>
  <c r="FD135" i="14609" s="1"/>
  <c r="G306" i="14606"/>
  <c r="EI135" i="14609" s="1"/>
  <c r="H306" i="14606"/>
  <c r="EJ135" i="14609" s="1"/>
  <c r="I306" i="14606"/>
  <c r="EK135" i="14609" s="1"/>
  <c r="J306" i="14606"/>
  <c r="EL135" i="14609" s="1"/>
  <c r="K306" i="14606"/>
  <c r="EM135" i="14609" s="1"/>
  <c r="I308" i="14606"/>
  <c r="FQ135" i="14609" s="1"/>
  <c r="J308" i="14606"/>
  <c r="FR135" i="14609" s="1"/>
  <c r="K308" i="14606"/>
  <c r="FS135" i="14609" s="1"/>
  <c r="L308" i="14606"/>
  <c r="FT135" i="14609" s="1"/>
  <c r="O310" i="14606"/>
  <c r="HC135" i="14609" s="1"/>
  <c r="A310" i="14606"/>
  <c r="GO135" i="14609" s="1"/>
  <c r="N311" i="14606"/>
  <c r="HR135" i="14609" s="1"/>
  <c r="B309" i="14606"/>
  <c r="FZ135" i="14609" s="1"/>
  <c r="C309" i="14606"/>
  <c r="GA135" i="14609" s="1"/>
  <c r="D309" i="14606"/>
  <c r="GB135" i="14609" s="1"/>
  <c r="I305" i="14606"/>
  <c r="DU135" i="14609" s="1"/>
  <c r="J305" i="14606"/>
  <c r="DV135" i="14609" s="1"/>
  <c r="K305" i="14606"/>
  <c r="DW135" i="14609" s="1"/>
  <c r="L305" i="14606"/>
  <c r="DX135" i="14609" s="1"/>
  <c r="L306" i="14606"/>
  <c r="EN135" i="14609" s="1"/>
  <c r="N312" i="14606"/>
  <c r="IH135" i="14609" s="1"/>
  <c r="O311" i="14606"/>
  <c r="HS135" i="14609" s="1"/>
  <c r="A311" i="14606"/>
  <c r="HE135" i="14609" s="1"/>
  <c r="E309" i="14606"/>
  <c r="GC135" i="14609" s="1"/>
  <c r="F309" i="14606"/>
  <c r="GD135" i="14609" s="1"/>
  <c r="B310" i="14606"/>
  <c r="GP135" i="14609" s="1"/>
  <c r="C310" i="14606"/>
  <c r="GQ135" i="14609" s="1"/>
  <c r="D310" i="14606"/>
  <c r="GR135" i="14609" s="1"/>
  <c r="E310" i="14606"/>
  <c r="GS135" i="14609" s="1"/>
  <c r="F310" i="14606"/>
  <c r="GT135" i="14609" s="1"/>
  <c r="G310" i="14606"/>
  <c r="GU135" i="14609" s="1"/>
  <c r="H310" i="14606"/>
  <c r="GV135" i="14609" s="1"/>
  <c r="I310" i="14606"/>
  <c r="GW135" i="14609" s="1"/>
  <c r="G309" i="14606"/>
  <c r="GE135" i="14609" s="1"/>
  <c r="B311" i="14606"/>
  <c r="HF135" i="14609" s="1"/>
  <c r="C311" i="14606"/>
  <c r="HG135" i="14609" s="1"/>
  <c r="D311" i="14606"/>
  <c r="HH135" i="14609" s="1"/>
  <c r="J310" i="14606"/>
  <c r="GX135" i="14609" s="1"/>
  <c r="K310" i="14606"/>
  <c r="GY135" i="14609" s="1"/>
  <c r="L310" i="14606"/>
  <c r="GZ135" i="14609" s="1"/>
  <c r="O312" i="14606"/>
  <c r="II135" i="14609" s="1"/>
  <c r="A312" i="14606"/>
  <c r="HU135" i="14609" s="1"/>
  <c r="N313" i="14606"/>
  <c r="B136" i="14609" s="1"/>
  <c r="H309" i="14606"/>
  <c r="GF135" i="14609" s="1"/>
  <c r="I309" i="14606"/>
  <c r="GG135" i="14609" s="1"/>
  <c r="B312" i="14606"/>
  <c r="HV135" i="14609" s="1"/>
  <c r="C312" i="14606"/>
  <c r="HW135" i="14609" s="1"/>
  <c r="D312" i="14606"/>
  <c r="HX135" i="14609" s="1"/>
  <c r="J309" i="14606"/>
  <c r="GH135" i="14609" s="1"/>
  <c r="K309" i="14606"/>
  <c r="GI135" i="14609" s="1"/>
  <c r="O313" i="14606"/>
  <c r="C136" i="14609" s="1"/>
  <c r="A313" i="14606"/>
  <c r="IK135" i="14609" s="1"/>
  <c r="N314" i="14606"/>
  <c r="R136" i="14609" s="1"/>
  <c r="E311" i="14606"/>
  <c r="HI135" i="14609" s="1"/>
  <c r="O314" i="14606"/>
  <c r="S136" i="14609" s="1"/>
  <c r="A314" i="14606"/>
  <c r="E136" i="14609" s="1"/>
  <c r="N315" i="14606"/>
  <c r="AH136" i="14609" s="1"/>
  <c r="B313" i="14606"/>
  <c r="IL135" i="14609" s="1"/>
  <c r="C313" i="14606"/>
  <c r="IM135" i="14609" s="1"/>
  <c r="D313" i="14606"/>
  <c r="IN135" i="14609" s="1"/>
  <c r="E313" i="14606"/>
  <c r="IO135" i="14609" s="1"/>
  <c r="F313" i="14606"/>
  <c r="IP135" i="14609" s="1"/>
  <c r="G313" i="14606"/>
  <c r="IQ135" i="14609" s="1"/>
  <c r="H313" i="14606"/>
  <c r="IR135" i="14609" s="1"/>
  <c r="E312" i="14606"/>
  <c r="HY135" i="14609" s="1"/>
  <c r="F311" i="14606"/>
  <c r="HJ135" i="14609" s="1"/>
  <c r="L309" i="14606"/>
  <c r="GJ135" i="14609" s="1"/>
  <c r="F312" i="14606"/>
  <c r="HZ135" i="14609" s="1"/>
  <c r="I313" i="14606"/>
  <c r="IS135" i="14609" s="1"/>
  <c r="J313" i="14606"/>
  <c r="IT135" i="14609" s="1"/>
  <c r="N316" i="14606"/>
  <c r="AX136" i="14609" s="1"/>
  <c r="O315" i="14606"/>
  <c r="AI136" i="14609" s="1"/>
  <c r="A315" i="14606"/>
  <c r="U136" i="14609" s="1"/>
  <c r="B314" i="14606"/>
  <c r="F136" i="14609" s="1"/>
  <c r="C314" i="14606"/>
  <c r="G136" i="14609" s="1"/>
  <c r="D314" i="14606"/>
  <c r="H136" i="14609" s="1"/>
  <c r="G311" i="14606"/>
  <c r="HK135" i="14609" s="1"/>
  <c r="G312" i="14606"/>
  <c r="IA135" i="14609" s="1"/>
  <c r="H312" i="14606"/>
  <c r="IB135" i="14609" s="1"/>
  <c r="I312" i="14606"/>
  <c r="IC135" i="14609" s="1"/>
  <c r="H311" i="14606"/>
  <c r="HL135" i="14609" s="1"/>
  <c r="I311" i="14606"/>
  <c r="HM135" i="14609" s="1"/>
  <c r="J311" i="14606"/>
  <c r="HN135" i="14609" s="1"/>
  <c r="K311" i="14606"/>
  <c r="HO135" i="14609" s="1"/>
  <c r="L311" i="14606"/>
  <c r="HP135" i="14609" s="1"/>
  <c r="B315" i="14606"/>
  <c r="V136" i="14609" s="1"/>
  <c r="C315" i="14606"/>
  <c r="W136" i="14609" s="1"/>
  <c r="D315" i="14606"/>
  <c r="X136" i="14609" s="1"/>
  <c r="E315" i="14606"/>
  <c r="Y136" i="14609" s="1"/>
  <c r="F315" i="14606"/>
  <c r="Z136" i="14609" s="1"/>
  <c r="G315" i="14606"/>
  <c r="AA136" i="14609" s="1"/>
  <c r="H315" i="14606"/>
  <c r="AB136" i="14609" s="1"/>
  <c r="I315" i="14606"/>
  <c r="AC136" i="14609" s="1"/>
  <c r="E314" i="14606"/>
  <c r="I136" i="14609" s="1"/>
  <c r="D136" i="14609"/>
  <c r="N317" i="14606"/>
  <c r="BN136" i="14609" s="1"/>
  <c r="O316" i="14606"/>
  <c r="AY136" i="14609" s="1"/>
  <c r="A316" i="14606"/>
  <c r="AK136" i="14609" s="1"/>
  <c r="K313" i="14606"/>
  <c r="IU135" i="14609" s="1"/>
  <c r="L313" i="14606"/>
  <c r="IV135" i="14609" s="1"/>
  <c r="J312" i="14606"/>
  <c r="ID135" i="14609" s="1"/>
  <c r="K312" i="14606"/>
  <c r="IE135" i="14609" s="1"/>
  <c r="L312" i="14606"/>
  <c r="IF135" i="14609" s="1"/>
  <c r="N318" i="14606"/>
  <c r="CD136" i="14609" s="1"/>
  <c r="O317" i="14606"/>
  <c r="BO136" i="14609" s="1"/>
  <c r="A317" i="14606"/>
  <c r="BA136" i="14609" s="1"/>
  <c r="F314" i="14606"/>
  <c r="J136" i="14609" s="1"/>
  <c r="G314" i="14606"/>
  <c r="K136" i="14609" s="1"/>
  <c r="H314" i="14606"/>
  <c r="L136" i="14609" s="1"/>
  <c r="B316" i="14606"/>
  <c r="AL136" i="14609" s="1"/>
  <c r="C316" i="14606"/>
  <c r="AM136" i="14609" s="1"/>
  <c r="D316" i="14606"/>
  <c r="AN136" i="14609" s="1"/>
  <c r="J315" i="14606"/>
  <c r="AD136" i="14609" s="1"/>
  <c r="K315" i="14606"/>
  <c r="AE136" i="14609" s="1"/>
  <c r="L315" i="14606"/>
  <c r="AF136" i="14609" s="1"/>
  <c r="I314" i="14606"/>
  <c r="M136" i="14609" s="1"/>
  <c r="J314" i="14606"/>
  <c r="N136" i="14609" s="1"/>
  <c r="K314" i="14606"/>
  <c r="O136" i="14609" s="1"/>
  <c r="L314" i="14606"/>
  <c r="P136" i="14609" s="1"/>
  <c r="E316" i="14606"/>
  <c r="AO136" i="14609" s="1"/>
  <c r="F316" i="14606"/>
  <c r="AP136" i="14609" s="1"/>
  <c r="G316" i="14606"/>
  <c r="AQ136" i="14609" s="1"/>
  <c r="B317" i="14606"/>
  <c r="BB136" i="14609" s="1"/>
  <c r="C317" i="14606"/>
  <c r="BC136" i="14609" s="1"/>
  <c r="D317" i="14606"/>
  <c r="BD136" i="14609" s="1"/>
  <c r="E317" i="14606"/>
  <c r="BE136" i="14609" s="1"/>
  <c r="F317" i="14606"/>
  <c r="BF136" i="14609" s="1"/>
  <c r="N319" i="14606"/>
  <c r="CT136" i="14609" s="1"/>
  <c r="O318" i="14606"/>
  <c r="CE136" i="14609" s="1"/>
  <c r="A318" i="14606"/>
  <c r="BQ136" i="14609" s="1"/>
  <c r="B318" i="14606"/>
  <c r="BR136" i="14609" s="1"/>
  <c r="C318" i="14606"/>
  <c r="BS136" i="14609" s="1"/>
  <c r="D318" i="14606"/>
  <c r="BT136" i="14609" s="1"/>
  <c r="E318" i="14606"/>
  <c r="BU136" i="14609" s="1"/>
  <c r="F318" i="14606"/>
  <c r="BV136" i="14609" s="1"/>
  <c r="N320" i="14606"/>
  <c r="DJ136" i="14609" s="1"/>
  <c r="O319" i="14606"/>
  <c r="CU136" i="14609" s="1"/>
  <c r="A319" i="14606"/>
  <c r="CG136" i="14609" s="1"/>
  <c r="G317" i="14606"/>
  <c r="BG136" i="14609" s="1"/>
  <c r="H316" i="14606"/>
  <c r="AR136" i="14609" s="1"/>
  <c r="O320" i="14606"/>
  <c r="DK136" i="14609" s="1"/>
  <c r="A320" i="14606"/>
  <c r="CW136" i="14609" s="1"/>
  <c r="N321" i="14606"/>
  <c r="DZ136" i="14609" s="1"/>
  <c r="H317" i="14606"/>
  <c r="BH136" i="14609" s="1"/>
  <c r="I317" i="14606"/>
  <c r="BI136" i="14609" s="1"/>
  <c r="G318" i="14606"/>
  <c r="BW136" i="14609" s="1"/>
  <c r="H318" i="14606"/>
  <c r="BX136" i="14609" s="1"/>
  <c r="I318" i="14606"/>
  <c r="BY136" i="14609" s="1"/>
  <c r="J318" i="14606"/>
  <c r="BZ136" i="14609" s="1"/>
  <c r="I316" i="14606"/>
  <c r="AS136" i="14609" s="1"/>
  <c r="J316" i="14606"/>
  <c r="AT136" i="14609" s="1"/>
  <c r="K316" i="14606"/>
  <c r="AU136" i="14609" s="1"/>
  <c r="B319" i="14606"/>
  <c r="CH136" i="14609" s="1"/>
  <c r="C319" i="14606"/>
  <c r="CI136" i="14609" s="1"/>
  <c r="D319" i="14606"/>
  <c r="CJ136" i="14609" s="1"/>
  <c r="E319" i="14606"/>
  <c r="CK136" i="14609" s="1"/>
  <c r="F319" i="14606"/>
  <c r="CL136" i="14609" s="1"/>
  <c r="G319" i="14606"/>
  <c r="CM136" i="14609" s="1"/>
  <c r="H319" i="14606"/>
  <c r="CN136" i="14609" s="1"/>
  <c r="I319" i="14606"/>
  <c r="CO136" i="14609" s="1"/>
  <c r="J319" i="14606"/>
  <c r="CP136" i="14609" s="1"/>
  <c r="K319" i="14606"/>
  <c r="CQ136" i="14609" s="1"/>
  <c r="L319" i="14606"/>
  <c r="CR136" i="14609" s="1"/>
  <c r="N322" i="14606"/>
  <c r="EP136" i="14609" s="1"/>
  <c r="O321" i="14606"/>
  <c r="EA136" i="14609" s="1"/>
  <c r="A321" i="14606"/>
  <c r="DM136" i="14609" s="1"/>
  <c r="B320" i="14606"/>
  <c r="CX136" i="14609" s="1"/>
  <c r="C320" i="14606"/>
  <c r="CY136" i="14609" s="1"/>
  <c r="D320" i="14606"/>
  <c r="CZ136" i="14609" s="1"/>
  <c r="E320" i="14606"/>
  <c r="DA136" i="14609" s="1"/>
  <c r="F320" i="14606"/>
  <c r="DB136" i="14609" s="1"/>
  <c r="L316" i="14606"/>
  <c r="AV136" i="14609" s="1"/>
  <c r="K318" i="14606"/>
  <c r="CA136" i="14609" s="1"/>
  <c r="L318" i="14606"/>
  <c r="CB136" i="14609" s="1"/>
  <c r="J317" i="14606"/>
  <c r="BJ136" i="14609" s="1"/>
  <c r="K317" i="14606"/>
  <c r="BK136" i="14609" s="1"/>
  <c r="L317" i="14606"/>
  <c r="BL136" i="14609" s="1"/>
  <c r="G320" i="14606"/>
  <c r="DC136" i="14609" s="1"/>
  <c r="H320" i="14606"/>
  <c r="DD136" i="14609" s="1"/>
  <c r="B321" i="14606"/>
  <c r="DN136" i="14609" s="1"/>
  <c r="C321" i="14606"/>
  <c r="DO136" i="14609" s="1"/>
  <c r="N323" i="14606"/>
  <c r="FF136" i="14609" s="1"/>
  <c r="O322" i="14606"/>
  <c r="EQ136" i="14609" s="1"/>
  <c r="A322" i="14606"/>
  <c r="EC136" i="14609" s="1"/>
  <c r="N324" i="14606"/>
  <c r="FV136" i="14609" s="1"/>
  <c r="O323" i="14606"/>
  <c r="FG136" i="14609" s="1"/>
  <c r="A323" i="14606"/>
  <c r="ES136" i="14609" s="1"/>
  <c r="D321" i="14606"/>
  <c r="DP136" i="14609" s="1"/>
  <c r="E321" i="14606"/>
  <c r="DQ136" i="14609" s="1"/>
  <c r="F321" i="14606"/>
  <c r="DR136" i="14609" s="1"/>
  <c r="I320" i="14606"/>
  <c r="DE136" i="14609" s="1"/>
  <c r="J320" i="14606"/>
  <c r="DF136" i="14609" s="1"/>
  <c r="B322" i="14606"/>
  <c r="ED136" i="14609" s="1"/>
  <c r="C322" i="14606"/>
  <c r="EE136" i="14609" s="1"/>
  <c r="D322" i="14606"/>
  <c r="EF136" i="14609" s="1"/>
  <c r="E322" i="14606"/>
  <c r="EG136" i="14609" s="1"/>
  <c r="F322" i="14606"/>
  <c r="EH136" i="14609" s="1"/>
  <c r="G322" i="14606"/>
  <c r="EI136" i="14609" s="1"/>
  <c r="H322" i="14606"/>
  <c r="EJ136" i="14609" s="1"/>
  <c r="K320" i="14606"/>
  <c r="DG136" i="14609" s="1"/>
  <c r="L320" i="14606"/>
  <c r="DH136" i="14609" s="1"/>
  <c r="B323" i="14606"/>
  <c r="ET136" i="14609" s="1"/>
  <c r="C323" i="14606"/>
  <c r="EU136" i="14609" s="1"/>
  <c r="I322" i="14606"/>
  <c r="EK136" i="14609" s="1"/>
  <c r="J322" i="14606"/>
  <c r="EL136" i="14609" s="1"/>
  <c r="N325" i="14606"/>
  <c r="GL136" i="14609" s="1"/>
  <c r="O324" i="14606"/>
  <c r="FW136" i="14609" s="1"/>
  <c r="A324" i="14606"/>
  <c r="FI136" i="14609" s="1"/>
  <c r="G321" i="14606"/>
  <c r="DS136" i="14609" s="1"/>
  <c r="H321" i="14606"/>
  <c r="DT136" i="14609" s="1"/>
  <c r="K322" i="14606"/>
  <c r="EM136" i="14609" s="1"/>
  <c r="L322" i="14606"/>
  <c r="EN136" i="14609" s="1"/>
  <c r="N326" i="14606"/>
  <c r="HB136" i="14609" s="1"/>
  <c r="O325" i="14606"/>
  <c r="GM136" i="14609" s="1"/>
  <c r="A325" i="14606"/>
  <c r="FY136" i="14609" s="1"/>
  <c r="I321" i="14606"/>
  <c r="DU136" i="14609" s="1"/>
  <c r="J321" i="14606"/>
  <c r="DV136" i="14609" s="1"/>
  <c r="K321" i="14606"/>
  <c r="DW136" i="14609" s="1"/>
  <c r="L321" i="14606"/>
  <c r="DX136" i="14609" s="1"/>
  <c r="B324" i="14606"/>
  <c r="FJ136" i="14609" s="1"/>
  <c r="C324" i="14606"/>
  <c r="FK136" i="14609" s="1"/>
  <c r="D324" i="14606"/>
  <c r="FL136" i="14609" s="1"/>
  <c r="E324" i="14606"/>
  <c r="FM136" i="14609" s="1"/>
  <c r="D323" i="14606"/>
  <c r="EV136" i="14609" s="1"/>
  <c r="E323" i="14606"/>
  <c r="EW136" i="14609" s="1"/>
  <c r="F323" i="14606"/>
  <c r="EX136" i="14609" s="1"/>
  <c r="G323" i="14606"/>
  <c r="EY136" i="14609" s="1"/>
  <c r="H323" i="14606"/>
  <c r="EZ136" i="14609" s="1"/>
  <c r="I323" i="14606"/>
  <c r="FA136" i="14609" s="1"/>
  <c r="J323" i="14606"/>
  <c r="FB136" i="14609" s="1"/>
  <c r="K323" i="14606"/>
  <c r="FC136" i="14609" s="1"/>
  <c r="F324" i="14606"/>
  <c r="FN136" i="14609" s="1"/>
  <c r="G324" i="14606"/>
  <c r="FO136" i="14609" s="1"/>
  <c r="H324" i="14606"/>
  <c r="FP136" i="14609" s="1"/>
  <c r="L323" i="14606"/>
  <c r="FD136" i="14609" s="1"/>
  <c r="O326" i="14606"/>
  <c r="HC136" i="14609" s="1"/>
  <c r="A326" i="14606"/>
  <c r="GO136" i="14609" s="1"/>
  <c r="N327" i="14606"/>
  <c r="HR136" i="14609" s="1"/>
  <c r="B325" i="14606"/>
  <c r="FZ136" i="14609" s="1"/>
  <c r="C325" i="14606"/>
  <c r="GA136" i="14609" s="1"/>
  <c r="D325" i="14606"/>
  <c r="GB136" i="14609" s="1"/>
  <c r="I324" i="14606"/>
  <c r="FQ136" i="14609" s="1"/>
  <c r="J324" i="14606"/>
  <c r="FR136" i="14609" s="1"/>
  <c r="K324" i="14606"/>
  <c r="FS136" i="14609" s="1"/>
  <c r="L324" i="14606"/>
  <c r="FT136" i="14609" s="1"/>
  <c r="E325" i="14606"/>
  <c r="GC136" i="14609" s="1"/>
  <c r="F325" i="14606"/>
  <c r="GD136" i="14609" s="1"/>
  <c r="G325" i="14606"/>
  <c r="GE136" i="14609" s="1"/>
  <c r="H325" i="14606"/>
  <c r="GF136" i="14609" s="1"/>
  <c r="N328" i="14606"/>
  <c r="IH136" i="14609" s="1"/>
  <c r="O327" i="14606"/>
  <c r="HS136" i="14609" s="1"/>
  <c r="A327" i="14606"/>
  <c r="HE136" i="14609" s="1"/>
  <c r="B326" i="14606"/>
  <c r="GP136" i="14609" s="1"/>
  <c r="C326" i="14606"/>
  <c r="GQ136" i="14609" s="1"/>
  <c r="D326" i="14606"/>
  <c r="GR136" i="14609" s="1"/>
  <c r="B327" i="14606"/>
  <c r="HF136" i="14609" s="1"/>
  <c r="C327" i="14606"/>
  <c r="HG136" i="14609" s="1"/>
  <c r="D327" i="14606"/>
  <c r="HH136" i="14609" s="1"/>
  <c r="E327" i="14606"/>
  <c r="HI136" i="14609" s="1"/>
  <c r="F327" i="14606"/>
  <c r="HJ136" i="14609" s="1"/>
  <c r="G327" i="14606"/>
  <c r="HK136" i="14609" s="1"/>
  <c r="H327" i="14606"/>
  <c r="HL136" i="14609" s="1"/>
  <c r="E326" i="14606"/>
  <c r="GS136" i="14609" s="1"/>
  <c r="F326" i="14606"/>
  <c r="GT136" i="14609" s="1"/>
  <c r="O328" i="14606"/>
  <c r="II136" i="14609" s="1"/>
  <c r="A328" i="14606"/>
  <c r="HU136" i="14609" s="1"/>
  <c r="N329" i="14606"/>
  <c r="B137" i="14609" s="1"/>
  <c r="I325" i="14606"/>
  <c r="GG136" i="14609" s="1"/>
  <c r="J325" i="14606"/>
  <c r="GH136" i="14609" s="1"/>
  <c r="K325" i="14606"/>
  <c r="GI136" i="14609" s="1"/>
  <c r="B328" i="14606"/>
  <c r="HV136" i="14609" s="1"/>
  <c r="C328" i="14606"/>
  <c r="HW136" i="14609" s="1"/>
  <c r="D328" i="14606"/>
  <c r="HX136" i="14609" s="1"/>
  <c r="E328" i="14606"/>
  <c r="HY136" i="14609" s="1"/>
  <c r="F328" i="14606"/>
  <c r="HZ136" i="14609" s="1"/>
  <c r="G328" i="14606"/>
  <c r="IA136" i="14609" s="1"/>
  <c r="H328" i="14606"/>
  <c r="IB136" i="14609" s="1"/>
  <c r="I328" i="14606"/>
  <c r="IC136" i="14609" s="1"/>
  <c r="G326" i="14606"/>
  <c r="GU136" i="14609" s="1"/>
  <c r="H326" i="14606"/>
  <c r="GV136" i="14609" s="1"/>
  <c r="I326" i="14606"/>
  <c r="GW136" i="14609" s="1"/>
  <c r="J326" i="14606"/>
  <c r="GX136" i="14609" s="1"/>
  <c r="K326" i="14606"/>
  <c r="GY136" i="14609" s="1"/>
  <c r="L326" i="14606"/>
  <c r="GZ136" i="14609" s="1"/>
  <c r="N330" i="14606"/>
  <c r="R137" i="14609" s="1"/>
  <c r="O329" i="14606"/>
  <c r="C137" i="14609" s="1"/>
  <c r="A329" i="14606"/>
  <c r="IK136" i="14609" s="1"/>
  <c r="I327" i="14606"/>
  <c r="HM136" i="14609" s="1"/>
  <c r="J327" i="14606"/>
  <c r="HN136" i="14609" s="1"/>
  <c r="L325" i="14606"/>
  <c r="GJ136" i="14609" s="1"/>
  <c r="J328" i="14606"/>
  <c r="ID136" i="14609" s="1"/>
  <c r="K328" i="14606"/>
  <c r="IE136" i="14609" s="1"/>
  <c r="N331" i="14606"/>
  <c r="AH137" i="14609" s="1"/>
  <c r="O330" i="14606"/>
  <c r="S137" i="14609" s="1"/>
  <c r="A330" i="14606"/>
  <c r="E137" i="14609" s="1"/>
  <c r="K327" i="14606"/>
  <c r="HO136" i="14609" s="1"/>
  <c r="L327" i="14606"/>
  <c r="HP136" i="14609" s="1"/>
  <c r="B329" i="14606"/>
  <c r="IL136" i="14609" s="1"/>
  <c r="C329" i="14606"/>
  <c r="IM136" i="14609" s="1"/>
  <c r="D329" i="14606"/>
  <c r="IN136" i="14609" s="1"/>
  <c r="E329" i="14606"/>
  <c r="IO136" i="14609" s="1"/>
  <c r="F329" i="14606"/>
  <c r="IP136" i="14609" s="1"/>
  <c r="B330" i="14606"/>
  <c r="F137" i="14609" s="1"/>
  <c r="C330" i="14606"/>
  <c r="G137" i="14609" s="1"/>
  <c r="D330" i="14606"/>
  <c r="H137" i="14609" s="1"/>
  <c r="E330" i="14606"/>
  <c r="I137" i="14609" s="1"/>
  <c r="F330" i="14606"/>
  <c r="J137" i="14609" s="1"/>
  <c r="D137" i="14609"/>
  <c r="N332" i="14606"/>
  <c r="AX137" i="14609" s="1"/>
  <c r="O331" i="14606"/>
  <c r="AI137" i="14609" s="1"/>
  <c r="A331" i="14606"/>
  <c r="U137" i="14609" s="1"/>
  <c r="G329" i="14606"/>
  <c r="IQ136" i="14609" s="1"/>
  <c r="H329" i="14606"/>
  <c r="IR136" i="14609" s="1"/>
  <c r="I329" i="14606"/>
  <c r="IS136" i="14609" s="1"/>
  <c r="J329" i="14606"/>
  <c r="IT136" i="14609" s="1"/>
  <c r="L328" i="14606"/>
  <c r="IF136" i="14609" s="1"/>
  <c r="B331" i="14606"/>
  <c r="V137" i="14609" s="1"/>
  <c r="C331" i="14606"/>
  <c r="W137" i="14609" s="1"/>
  <c r="D331" i="14606"/>
  <c r="X137" i="14609" s="1"/>
  <c r="E331" i="14606"/>
  <c r="Y137" i="14609" s="1"/>
  <c r="F331" i="14606"/>
  <c r="Z137" i="14609" s="1"/>
  <c r="G330" i="14606"/>
  <c r="K137" i="14609" s="1"/>
  <c r="H330" i="14606"/>
  <c r="L137" i="14609" s="1"/>
  <c r="N333" i="14606"/>
  <c r="BN137" i="14609" s="1"/>
  <c r="O332" i="14606"/>
  <c r="AY137" i="14609" s="1"/>
  <c r="A332" i="14606"/>
  <c r="AK137" i="14609" s="1"/>
  <c r="K329" i="14606"/>
  <c r="IU136" i="14609" s="1"/>
  <c r="L329" i="14606"/>
  <c r="IV136" i="14609" s="1"/>
  <c r="B332" i="14606"/>
  <c r="AL137" i="14609" s="1"/>
  <c r="C332" i="14606"/>
  <c r="AM137" i="14609" s="1"/>
  <c r="D332" i="14606"/>
  <c r="AN137" i="14609" s="1"/>
  <c r="E332" i="14606"/>
  <c r="AO137" i="14609" s="1"/>
  <c r="F332" i="14606"/>
  <c r="AP137" i="14609" s="1"/>
  <c r="G332" i="14606"/>
  <c r="AQ137" i="14609" s="1"/>
  <c r="N334" i="14606"/>
  <c r="CD137" i="14609" s="1"/>
  <c r="O333" i="14606"/>
  <c r="BO137" i="14609" s="1"/>
  <c r="A333" i="14606"/>
  <c r="BA137" i="14609" s="1"/>
  <c r="I330" i="14606"/>
  <c r="M137" i="14609" s="1"/>
  <c r="J330" i="14606"/>
  <c r="N137" i="14609" s="1"/>
  <c r="K330" i="14606"/>
  <c r="O137" i="14609" s="1"/>
  <c r="L330" i="14606"/>
  <c r="P137" i="14609" s="1"/>
  <c r="G331" i="14606"/>
  <c r="AA137" i="14609" s="1"/>
  <c r="H331" i="14606"/>
  <c r="AB137" i="14609" s="1"/>
  <c r="I331" i="14606"/>
  <c r="AC137" i="14609" s="1"/>
  <c r="J331" i="14606"/>
  <c r="AD137" i="14609" s="1"/>
  <c r="K331" i="14606"/>
  <c r="AE137" i="14609" s="1"/>
  <c r="B333" i="14606"/>
  <c r="BB137" i="14609" s="1"/>
  <c r="C333" i="14606"/>
  <c r="BC137" i="14609" s="1"/>
  <c r="D333" i="14606"/>
  <c r="BD137" i="14609" s="1"/>
  <c r="O334" i="14606"/>
  <c r="CE137" i="14609" s="1"/>
  <c r="A334" i="14606"/>
  <c r="BQ137" i="14609" s="1"/>
  <c r="N335" i="14606"/>
  <c r="CT137" i="14609" s="1"/>
  <c r="H332" i="14606"/>
  <c r="AR137" i="14609" s="1"/>
  <c r="I332" i="14606"/>
  <c r="AS137" i="14609" s="1"/>
  <c r="J332" i="14606"/>
  <c r="AT137" i="14609" s="1"/>
  <c r="L331" i="14606"/>
  <c r="AF137" i="14609" s="1"/>
  <c r="E333" i="14606"/>
  <c r="BE137" i="14609" s="1"/>
  <c r="O335" i="14606"/>
  <c r="CU137" i="14609" s="1"/>
  <c r="A335" i="14606"/>
  <c r="CG137" i="14609" s="1"/>
  <c r="N336" i="14606"/>
  <c r="DJ137" i="14609" s="1"/>
  <c r="K332" i="14606"/>
  <c r="AU137" i="14609" s="1"/>
  <c r="L332" i="14606"/>
  <c r="AV137" i="14609" s="1"/>
  <c r="B334" i="14606"/>
  <c r="BR137" i="14609" s="1"/>
  <c r="C334" i="14606"/>
  <c r="BS137" i="14609" s="1"/>
  <c r="D334" i="14606"/>
  <c r="BT137" i="14609" s="1"/>
  <c r="B335" i="14606"/>
  <c r="CH137" i="14609" s="1"/>
  <c r="C335" i="14606"/>
  <c r="CI137" i="14609" s="1"/>
  <c r="E334" i="14606"/>
  <c r="BU137" i="14609" s="1"/>
  <c r="F334" i="14606"/>
  <c r="BV137" i="14609" s="1"/>
  <c r="G334" i="14606"/>
  <c r="BW137" i="14609" s="1"/>
  <c r="F333" i="14606"/>
  <c r="BF137" i="14609" s="1"/>
  <c r="N337" i="14606"/>
  <c r="DZ137" i="14609" s="1"/>
  <c r="O336" i="14606"/>
  <c r="DK137" i="14609" s="1"/>
  <c r="A336" i="14606"/>
  <c r="CW137" i="14609" s="1"/>
  <c r="O337" i="14606"/>
  <c r="EA137" i="14609" s="1"/>
  <c r="A337" i="14606"/>
  <c r="DM137" i="14609" s="1"/>
  <c r="N338" i="14606"/>
  <c r="EP137" i="14609" s="1"/>
  <c r="B336" i="14606"/>
  <c r="CX137" i="14609" s="1"/>
  <c r="C336" i="14606"/>
  <c r="CY137" i="14609" s="1"/>
  <c r="D336" i="14606"/>
  <c r="CZ137" i="14609" s="1"/>
  <c r="E336" i="14606"/>
  <c r="DA137" i="14609" s="1"/>
  <c r="F336" i="14606"/>
  <c r="DB137" i="14609" s="1"/>
  <c r="G336" i="14606"/>
  <c r="DC137" i="14609" s="1"/>
  <c r="D335" i="14606"/>
  <c r="CJ137" i="14609" s="1"/>
  <c r="H334" i="14606"/>
  <c r="BX137" i="14609" s="1"/>
  <c r="I334" i="14606"/>
  <c r="BY137" i="14609" s="1"/>
  <c r="J334" i="14606"/>
  <c r="BZ137" i="14609" s="1"/>
  <c r="K334" i="14606"/>
  <c r="CA137" i="14609" s="1"/>
  <c r="L334" i="14606"/>
  <c r="CB137" i="14609" s="1"/>
  <c r="G333" i="14606"/>
  <c r="BG137" i="14609" s="1"/>
  <c r="N339" i="14606"/>
  <c r="FF137" i="14609" s="1"/>
  <c r="O338" i="14606"/>
  <c r="EQ137" i="14609" s="1"/>
  <c r="A338" i="14606"/>
  <c r="EC137" i="14609" s="1"/>
  <c r="B337" i="14606"/>
  <c r="DN137" i="14609" s="1"/>
  <c r="C337" i="14606"/>
  <c r="DO137" i="14609" s="1"/>
  <c r="D337" i="14606"/>
  <c r="DP137" i="14609" s="1"/>
  <c r="E337" i="14606"/>
  <c r="DQ137" i="14609" s="1"/>
  <c r="F337" i="14606"/>
  <c r="DR137" i="14609" s="1"/>
  <c r="G337" i="14606"/>
  <c r="DS137" i="14609" s="1"/>
  <c r="H337" i="14606"/>
  <c r="DT137" i="14609" s="1"/>
  <c r="I337" i="14606"/>
  <c r="DU137" i="14609" s="1"/>
  <c r="J337" i="14606"/>
  <c r="DV137" i="14609" s="1"/>
  <c r="H336" i="14606"/>
  <c r="DD137" i="14609" s="1"/>
  <c r="H333" i="14606"/>
  <c r="BH137" i="14609" s="1"/>
  <c r="I333" i="14606"/>
  <c r="BI137" i="14609" s="1"/>
  <c r="J333" i="14606"/>
  <c r="BJ137" i="14609" s="1"/>
  <c r="E335" i="14606"/>
  <c r="CK137" i="14609" s="1"/>
  <c r="N340" i="14606"/>
  <c r="FV137" i="14609" s="1"/>
  <c r="O339" i="14606"/>
  <c r="FG137" i="14609" s="1"/>
  <c r="A339" i="14606"/>
  <c r="ES137" i="14609" s="1"/>
  <c r="I336" i="14606"/>
  <c r="DE137" i="14609" s="1"/>
  <c r="J336" i="14606"/>
  <c r="DF137" i="14609" s="1"/>
  <c r="K333" i="14606"/>
  <c r="BK137" i="14609" s="1"/>
  <c r="L333" i="14606"/>
  <c r="BL137" i="14609" s="1"/>
  <c r="K337" i="14606"/>
  <c r="DW137" i="14609" s="1"/>
  <c r="L337" i="14606"/>
  <c r="DX137" i="14609" s="1"/>
  <c r="F335" i="14606"/>
  <c r="CL137" i="14609" s="1"/>
  <c r="B338" i="14606"/>
  <c r="ED137" i="14609" s="1"/>
  <c r="C338" i="14606"/>
  <c r="EE137" i="14609" s="1"/>
  <c r="D338" i="14606"/>
  <c r="EF137" i="14609" s="1"/>
  <c r="G335" i="14606"/>
  <c r="CM137" i="14609" s="1"/>
  <c r="B339" i="14606"/>
  <c r="ET137" i="14609" s="1"/>
  <c r="C339" i="14606"/>
  <c r="EU137" i="14609" s="1"/>
  <c r="N341" i="14606"/>
  <c r="GL137" i="14609" s="1"/>
  <c r="O340" i="14606"/>
  <c r="FW137" i="14609" s="1"/>
  <c r="A340" i="14606"/>
  <c r="FI137" i="14609" s="1"/>
  <c r="E338" i="14606"/>
  <c r="EG137" i="14609" s="1"/>
  <c r="K336" i="14606"/>
  <c r="DG137" i="14609" s="1"/>
  <c r="L336" i="14606"/>
  <c r="DH137" i="14609" s="1"/>
  <c r="B340" i="14606"/>
  <c r="FJ137" i="14609" s="1"/>
  <c r="H335" i="14606"/>
  <c r="CN137" i="14609" s="1"/>
  <c r="N342" i="14606"/>
  <c r="HB137" i="14609" s="1"/>
  <c r="O341" i="14606"/>
  <c r="GM137" i="14609" s="1"/>
  <c r="A341" i="14606"/>
  <c r="FY137" i="14609" s="1"/>
  <c r="F338" i="14606"/>
  <c r="EH137" i="14609" s="1"/>
  <c r="D339" i="14606"/>
  <c r="EV137" i="14609" s="1"/>
  <c r="B341" i="14606"/>
  <c r="FZ137" i="14609" s="1"/>
  <c r="C341" i="14606"/>
  <c r="GA137" i="14609" s="1"/>
  <c r="O342" i="14606"/>
  <c r="HC137" i="14609" s="1"/>
  <c r="A342" i="14606"/>
  <c r="GO137" i="14609" s="1"/>
  <c r="N343" i="14606"/>
  <c r="HR137" i="14609" s="1"/>
  <c r="G338" i="14606"/>
  <c r="EI137" i="14609" s="1"/>
  <c r="I335" i="14606"/>
  <c r="CO137" i="14609" s="1"/>
  <c r="J335" i="14606"/>
  <c r="CP137" i="14609" s="1"/>
  <c r="K335" i="14606"/>
  <c r="CQ137" i="14609" s="1"/>
  <c r="L335" i="14606"/>
  <c r="CR137" i="14609" s="1"/>
  <c r="C340" i="14606"/>
  <c r="FK137" i="14609" s="1"/>
  <c r="E339" i="14606"/>
  <c r="EW137" i="14609" s="1"/>
  <c r="H338" i="14606"/>
  <c r="EJ137" i="14609" s="1"/>
  <c r="D340" i="14606"/>
  <c r="FL137" i="14609" s="1"/>
  <c r="O343" i="14606"/>
  <c r="HS137" i="14609" s="1"/>
  <c r="A343" i="14606"/>
  <c r="HE137" i="14609" s="1"/>
  <c r="N344" i="14606"/>
  <c r="IH137" i="14609" s="1"/>
  <c r="F339" i="14606"/>
  <c r="EX137" i="14609" s="1"/>
  <c r="G339" i="14606"/>
  <c r="EY137" i="14609" s="1"/>
  <c r="H339" i="14606"/>
  <c r="EZ137" i="14609" s="1"/>
  <c r="I339" i="14606"/>
  <c r="FA137" i="14609" s="1"/>
  <c r="B342" i="14606"/>
  <c r="GP137" i="14609" s="1"/>
  <c r="C342" i="14606"/>
  <c r="GQ137" i="14609" s="1"/>
  <c r="D342" i="14606"/>
  <c r="GR137" i="14609" s="1"/>
  <c r="E342" i="14606"/>
  <c r="GS137" i="14609" s="1"/>
  <c r="F342" i="14606"/>
  <c r="GT137" i="14609" s="1"/>
  <c r="G342" i="14606"/>
  <c r="GU137" i="14609" s="1"/>
  <c r="H342" i="14606"/>
  <c r="GV137" i="14609" s="1"/>
  <c r="D341" i="14606"/>
  <c r="GB137" i="14609" s="1"/>
  <c r="E341" i="14606"/>
  <c r="GC137" i="14609" s="1"/>
  <c r="F341" i="14606"/>
  <c r="GD137" i="14609" s="1"/>
  <c r="G341" i="14606"/>
  <c r="GE137" i="14609" s="1"/>
  <c r="H341" i="14606"/>
  <c r="GF137" i="14609" s="1"/>
  <c r="I341" i="14606"/>
  <c r="GG137" i="14609" s="1"/>
  <c r="J341" i="14606"/>
  <c r="GH137" i="14609" s="1"/>
  <c r="I342" i="14606"/>
  <c r="GW137" i="14609" s="1"/>
  <c r="J342" i="14606"/>
  <c r="GX137" i="14609" s="1"/>
  <c r="B343" i="14606"/>
  <c r="HF137" i="14609" s="1"/>
  <c r="C343" i="14606"/>
  <c r="HG137" i="14609" s="1"/>
  <c r="D343" i="14606"/>
  <c r="HH137" i="14609" s="1"/>
  <c r="E340" i="14606"/>
  <c r="FM137" i="14609" s="1"/>
  <c r="K342" i="14606"/>
  <c r="GY137" i="14609" s="1"/>
  <c r="L342" i="14606"/>
  <c r="GZ137" i="14609" s="1"/>
  <c r="J339" i="14606"/>
  <c r="FB137" i="14609" s="1"/>
  <c r="K339" i="14606"/>
  <c r="FC137" i="14609" s="1"/>
  <c r="L339" i="14606"/>
  <c r="FD137" i="14609" s="1"/>
  <c r="O344" i="14606"/>
  <c r="II137" i="14609" s="1"/>
  <c r="A344" i="14606"/>
  <c r="HU137" i="14609" s="1"/>
  <c r="N345" i="14606"/>
  <c r="B138" i="14609" s="1"/>
  <c r="I338" i="14606"/>
  <c r="EK137" i="14609" s="1"/>
  <c r="J338" i="14606"/>
  <c r="EL137" i="14609" s="1"/>
  <c r="N346" i="14606"/>
  <c r="R138" i="14609" s="1"/>
  <c r="O345" i="14606"/>
  <c r="C138" i="14609" s="1"/>
  <c r="A345" i="14606"/>
  <c r="IK137" i="14609" s="1"/>
  <c r="F340" i="14606"/>
  <c r="FN137" i="14609" s="1"/>
  <c r="G340" i="14606"/>
  <c r="FO137" i="14609" s="1"/>
  <c r="K341" i="14606"/>
  <c r="GI137" i="14609" s="1"/>
  <c r="L341" i="14606"/>
  <c r="GJ137" i="14609" s="1"/>
  <c r="B344" i="14606"/>
  <c r="HV137" i="14609" s="1"/>
  <c r="C344" i="14606"/>
  <c r="HW137" i="14609" s="1"/>
  <c r="K338" i="14606"/>
  <c r="EM137" i="14609" s="1"/>
  <c r="L338" i="14606"/>
  <c r="EN137" i="14609" s="1"/>
  <c r="E343" i="14606"/>
  <c r="HI137" i="14609" s="1"/>
  <c r="F343" i="14606"/>
  <c r="HJ137" i="14609" s="1"/>
  <c r="G343" i="14606"/>
  <c r="HK137" i="14609" s="1"/>
  <c r="H343" i="14606"/>
  <c r="HL137" i="14609" s="1"/>
  <c r="I343" i="14606"/>
  <c r="HM137" i="14609" s="1"/>
  <c r="J343" i="14606"/>
  <c r="HN137" i="14609" s="1"/>
  <c r="D344" i="14606"/>
  <c r="HX137" i="14609" s="1"/>
  <c r="E344" i="14606"/>
  <c r="HY137" i="14609" s="1"/>
  <c r="F344" i="14606"/>
  <c r="HZ137" i="14609" s="1"/>
  <c r="G344" i="14606"/>
  <c r="IA137" i="14609" s="1"/>
  <c r="H344" i="14606"/>
  <c r="IB137" i="14609" s="1"/>
  <c r="B345" i="14606"/>
  <c r="IL137" i="14609" s="1"/>
  <c r="C345" i="14606"/>
  <c r="IM137" i="14609" s="1"/>
  <c r="D345" i="14606"/>
  <c r="IN137" i="14609" s="1"/>
  <c r="E345" i="14606"/>
  <c r="IO137" i="14609" s="1"/>
  <c r="F345" i="14606"/>
  <c r="IP137" i="14609" s="1"/>
  <c r="H340" i="14606"/>
  <c r="FP137" i="14609" s="1"/>
  <c r="I340" i="14606"/>
  <c r="FQ137" i="14609" s="1"/>
  <c r="J340" i="14606"/>
  <c r="FR137" i="14609" s="1"/>
  <c r="N347" i="14606"/>
  <c r="AH138" i="14609" s="1"/>
  <c r="O346" i="14606"/>
  <c r="S138" i="14609" s="1"/>
  <c r="A346" i="14606"/>
  <c r="E138" i="14609" s="1"/>
  <c r="B346" i="14606"/>
  <c r="F138" i="14609" s="1"/>
  <c r="C346" i="14606"/>
  <c r="G138" i="14609" s="1"/>
  <c r="D346" i="14606"/>
  <c r="H138" i="14609" s="1"/>
  <c r="G345" i="14606"/>
  <c r="IQ137" i="14609" s="1"/>
  <c r="H345" i="14606"/>
  <c r="IR137" i="14609" s="1"/>
  <c r="N348" i="14606"/>
  <c r="AX138" i="14609" s="1"/>
  <c r="O347" i="14606"/>
  <c r="AI138" i="14609" s="1"/>
  <c r="A347" i="14606"/>
  <c r="U138" i="14609" s="1"/>
  <c r="I344" i="14606"/>
  <c r="IC137" i="14609" s="1"/>
  <c r="K340" i="14606"/>
  <c r="FS137" i="14609" s="1"/>
  <c r="L340" i="14606"/>
  <c r="FT137" i="14609" s="1"/>
  <c r="K343" i="14606"/>
  <c r="HO137" i="14609" s="1"/>
  <c r="L343" i="14606"/>
  <c r="HP137" i="14609" s="1"/>
  <c r="N349" i="14606"/>
  <c r="BN138" i="14609" s="1"/>
  <c r="O348" i="14606"/>
  <c r="AY138" i="14609" s="1"/>
  <c r="A348" i="14606"/>
  <c r="AK138" i="14609" s="1"/>
  <c r="J344" i="14606"/>
  <c r="ID137" i="14609" s="1"/>
  <c r="K344" i="14606"/>
  <c r="IE137" i="14609" s="1"/>
  <c r="L344" i="14606"/>
  <c r="IF137" i="14609" s="1"/>
  <c r="E346" i="14606"/>
  <c r="I138" i="14609" s="1"/>
  <c r="D138" i="14609"/>
  <c r="I345" i="14606"/>
  <c r="IS137" i="14609" s="1"/>
  <c r="J345" i="14606"/>
  <c r="IT137" i="14609" s="1"/>
  <c r="K345" i="14606"/>
  <c r="IU137" i="14609" s="1"/>
  <c r="B347" i="14606"/>
  <c r="V138" i="14609" s="1"/>
  <c r="C347" i="14606"/>
  <c r="W138" i="14609" s="1"/>
  <c r="D347" i="14606"/>
  <c r="X138" i="14609" s="1"/>
  <c r="E347" i="14606"/>
  <c r="Y138" i="14609" s="1"/>
  <c r="L345" i="14606"/>
  <c r="IV137" i="14609" s="1"/>
  <c r="B348" i="14606"/>
  <c r="AL138" i="14609" s="1"/>
  <c r="C348" i="14606"/>
  <c r="AM138" i="14609" s="1"/>
  <c r="D348" i="14606"/>
  <c r="AN138" i="14609" s="1"/>
  <c r="F346" i="14606"/>
  <c r="J138" i="14609" s="1"/>
  <c r="G346" i="14606"/>
  <c r="K138" i="14609" s="1"/>
  <c r="H346" i="14606"/>
  <c r="L138" i="14609" s="1"/>
  <c r="O349" i="14606"/>
  <c r="BO138" i="14609" s="1"/>
  <c r="A349" i="14606"/>
  <c r="BA138" i="14609" s="1"/>
  <c r="N350" i="14606"/>
  <c r="CD138" i="14609" s="1"/>
  <c r="F347" i="14606"/>
  <c r="Z138" i="14609" s="1"/>
  <c r="I346" i="14606"/>
  <c r="M138" i="14609" s="1"/>
  <c r="J346" i="14606"/>
  <c r="N138" i="14609" s="1"/>
  <c r="E348" i="14606"/>
  <c r="AO138" i="14609" s="1"/>
  <c r="G347" i="14606"/>
  <c r="AA138" i="14609" s="1"/>
  <c r="K346" i="14606"/>
  <c r="O138" i="14609" s="1"/>
  <c r="L346" i="14606"/>
  <c r="P138" i="14609" s="1"/>
  <c r="N351" i="14606"/>
  <c r="CT138" i="14609" s="1"/>
  <c r="O350" i="14606"/>
  <c r="CE138" i="14609" s="1"/>
  <c r="A350" i="14606"/>
  <c r="BQ138" i="14609" s="1"/>
  <c r="B349" i="14606"/>
  <c r="BB138" i="14609" s="1"/>
  <c r="C349" i="14606"/>
  <c r="BC138" i="14609" s="1"/>
  <c r="D349" i="14606"/>
  <c r="BD138" i="14609" s="1"/>
  <c r="B350" i="14606"/>
  <c r="BR138" i="14609" s="1"/>
  <c r="C350" i="14606"/>
  <c r="BS138" i="14609" s="1"/>
  <c r="D350" i="14606"/>
  <c r="BT138" i="14609" s="1"/>
  <c r="E350" i="14606"/>
  <c r="BU138" i="14609" s="1"/>
  <c r="F350" i="14606"/>
  <c r="BV138" i="14609" s="1"/>
  <c r="G350" i="14606"/>
  <c r="BW138" i="14609" s="1"/>
  <c r="H347" i="14606"/>
  <c r="AB138" i="14609" s="1"/>
  <c r="N352" i="14606"/>
  <c r="DJ138" i="14609" s="1"/>
  <c r="O351" i="14606"/>
  <c r="CU138" i="14609" s="1"/>
  <c r="A351" i="14606"/>
  <c r="CG138" i="14609" s="1"/>
  <c r="E349" i="14606"/>
  <c r="BE138" i="14609" s="1"/>
  <c r="F349" i="14606"/>
  <c r="BF138" i="14609" s="1"/>
  <c r="G349" i="14606"/>
  <c r="BG138" i="14609" s="1"/>
  <c r="H349" i="14606"/>
  <c r="BH138" i="14609" s="1"/>
  <c r="F348" i="14606"/>
  <c r="AP138" i="14609" s="1"/>
  <c r="I347" i="14606"/>
  <c r="AC138" i="14609" s="1"/>
  <c r="J347" i="14606"/>
  <c r="AD138" i="14609" s="1"/>
  <c r="G348" i="14606"/>
  <c r="AQ138" i="14609" s="1"/>
  <c r="B351" i="14606"/>
  <c r="CH138" i="14609" s="1"/>
  <c r="C351" i="14606"/>
  <c r="CI138" i="14609" s="1"/>
  <c r="D351" i="14606"/>
  <c r="CJ138" i="14609" s="1"/>
  <c r="I349" i="14606"/>
  <c r="BI138" i="14609" s="1"/>
  <c r="J349" i="14606"/>
  <c r="BJ138" i="14609" s="1"/>
  <c r="K349" i="14606"/>
  <c r="BK138" i="14609" s="1"/>
  <c r="L349" i="14606"/>
  <c r="BL138" i="14609" s="1"/>
  <c r="N353" i="14606"/>
  <c r="DZ138" i="14609" s="1"/>
  <c r="O352" i="14606"/>
  <c r="DK138" i="14609" s="1"/>
  <c r="A352" i="14606"/>
  <c r="CW138" i="14609" s="1"/>
  <c r="H350" i="14606"/>
  <c r="BX138" i="14609" s="1"/>
  <c r="I350" i="14606"/>
  <c r="BY138" i="14609" s="1"/>
  <c r="N354" i="14606"/>
  <c r="EP138" i="14609" s="1"/>
  <c r="O353" i="14606"/>
  <c r="EA138" i="14609" s="1"/>
  <c r="A353" i="14606"/>
  <c r="DM138" i="14609" s="1"/>
  <c r="H348" i="14606"/>
  <c r="AR138" i="14609" s="1"/>
  <c r="I348" i="14606"/>
  <c r="AS138" i="14609" s="1"/>
  <c r="K347" i="14606"/>
  <c r="AE138" i="14609" s="1"/>
  <c r="L347" i="14606"/>
  <c r="AF138" i="14609" s="1"/>
  <c r="B352" i="14606"/>
  <c r="CX138" i="14609" s="1"/>
  <c r="C352" i="14606"/>
  <c r="CY138" i="14609" s="1"/>
  <c r="D352" i="14606"/>
  <c r="CZ138" i="14609" s="1"/>
  <c r="E352" i="14606"/>
  <c r="DA138" i="14609" s="1"/>
  <c r="F352" i="14606"/>
  <c r="DB138" i="14609" s="1"/>
  <c r="G352" i="14606"/>
  <c r="DC138" i="14609" s="1"/>
  <c r="H352" i="14606"/>
  <c r="DD138" i="14609" s="1"/>
  <c r="J350" i="14606"/>
  <c r="BZ138" i="14609" s="1"/>
  <c r="K350" i="14606"/>
  <c r="CA138" i="14609" s="1"/>
  <c r="L350" i="14606"/>
  <c r="CB138" i="14609" s="1"/>
  <c r="E351" i="14606"/>
  <c r="CK138" i="14609" s="1"/>
  <c r="F351" i="14606"/>
  <c r="CL138" i="14609" s="1"/>
  <c r="J348" i="14606"/>
  <c r="AT138" i="14609" s="1"/>
  <c r="K348" i="14606"/>
  <c r="AU138" i="14609" s="1"/>
  <c r="L348" i="14606"/>
  <c r="AV138" i="14609" s="1"/>
  <c r="I352" i="14606"/>
  <c r="DE138" i="14609" s="1"/>
  <c r="J352" i="14606"/>
  <c r="DF138" i="14609" s="1"/>
  <c r="K352" i="14606"/>
  <c r="DG138" i="14609" s="1"/>
  <c r="L352" i="14606"/>
  <c r="DH138" i="14609" s="1"/>
  <c r="G351" i="14606"/>
  <c r="CM138" i="14609" s="1"/>
  <c r="H351" i="14606"/>
  <c r="CN138" i="14609" s="1"/>
  <c r="B353" i="14606"/>
  <c r="DN138" i="14609" s="1"/>
  <c r="C353" i="14606"/>
  <c r="DO138" i="14609" s="1"/>
  <c r="D353" i="14606"/>
  <c r="DP138" i="14609" s="1"/>
  <c r="E353" i="14606"/>
  <c r="DQ138" i="14609" s="1"/>
  <c r="F353" i="14606"/>
  <c r="DR138" i="14609" s="1"/>
  <c r="G353" i="14606"/>
  <c r="DS138" i="14609" s="1"/>
  <c r="H353" i="14606"/>
  <c r="DT138" i="14609" s="1"/>
  <c r="I353" i="14606"/>
  <c r="DU138" i="14609" s="1"/>
  <c r="J353" i="14606"/>
  <c r="DV138" i="14609" s="1"/>
  <c r="K353" i="14606"/>
  <c r="DW138" i="14609" s="1"/>
  <c r="L353" i="14606"/>
  <c r="DX138" i="14609" s="1"/>
  <c r="N355" i="14606"/>
  <c r="FF138" i="14609" s="1"/>
  <c r="O354" i="14606"/>
  <c r="EQ138" i="14609" s="1"/>
  <c r="A354" i="14606"/>
  <c r="EC138" i="14609" s="1"/>
  <c r="B354" i="14606"/>
  <c r="ED138" i="14609" s="1"/>
  <c r="C354" i="14606"/>
  <c r="EE138" i="14609" s="1"/>
  <c r="D354" i="14606"/>
  <c r="EF138" i="14609" s="1"/>
  <c r="E354" i="14606"/>
  <c r="EG138" i="14609" s="1"/>
  <c r="F354" i="14606"/>
  <c r="EH138" i="14609" s="1"/>
  <c r="N356" i="14606"/>
  <c r="FV138" i="14609" s="1"/>
  <c r="O355" i="14606"/>
  <c r="FG138" i="14609" s="1"/>
  <c r="A355" i="14606"/>
  <c r="ES138" i="14609" s="1"/>
  <c r="I351" i="14606"/>
  <c r="CO138" i="14609" s="1"/>
  <c r="J351" i="14606"/>
  <c r="CP138" i="14609" s="1"/>
  <c r="K351" i="14606"/>
  <c r="CQ138" i="14609" s="1"/>
  <c r="L351" i="14606"/>
  <c r="CR138" i="14609" s="1"/>
  <c r="G354" i="14606"/>
  <c r="EI138" i="14609" s="1"/>
  <c r="B355" i="14606"/>
  <c r="ET138" i="14609" s="1"/>
  <c r="C355" i="14606"/>
  <c r="EU138" i="14609" s="1"/>
  <c r="D355" i="14606"/>
  <c r="EV138" i="14609" s="1"/>
  <c r="E355" i="14606"/>
  <c r="EW138" i="14609" s="1"/>
  <c r="F355" i="14606"/>
  <c r="EX138" i="14609" s="1"/>
  <c r="G355" i="14606"/>
  <c r="EY138" i="14609" s="1"/>
  <c r="H355" i="14606"/>
  <c r="EZ138" i="14609" s="1"/>
  <c r="I355" i="14606"/>
  <c r="FA138" i="14609" s="1"/>
  <c r="N357" i="14606"/>
  <c r="GL138" i="14609" s="1"/>
  <c r="O356" i="14606"/>
  <c r="FW138" i="14609" s="1"/>
  <c r="A356" i="14606"/>
  <c r="FI138" i="14609" s="1"/>
  <c r="J355" i="14606"/>
  <c r="FB138" i="14609" s="1"/>
  <c r="K355" i="14606"/>
  <c r="FC138" i="14609" s="1"/>
  <c r="B356" i="14606"/>
  <c r="FJ138" i="14609" s="1"/>
  <c r="C356" i="14606"/>
  <c r="FK138" i="14609" s="1"/>
  <c r="H354" i="14606"/>
  <c r="EJ138" i="14609" s="1"/>
  <c r="N358" i="14606"/>
  <c r="HB138" i="14609" s="1"/>
  <c r="O357" i="14606"/>
  <c r="GM138" i="14609" s="1"/>
  <c r="A357" i="14606"/>
  <c r="FY138" i="14609" s="1"/>
  <c r="D356" i="14606"/>
  <c r="FL138" i="14609" s="1"/>
  <c r="I354" i="14606"/>
  <c r="EK138" i="14609" s="1"/>
  <c r="J354" i="14606"/>
  <c r="EL138" i="14609" s="1"/>
  <c r="K354" i="14606"/>
  <c r="EM138" i="14609" s="1"/>
  <c r="E356" i="14606"/>
  <c r="FM138" i="14609" s="1"/>
  <c r="F356" i="14606"/>
  <c r="FN138" i="14609" s="1"/>
  <c r="N359" i="14606"/>
  <c r="HR138" i="14609" s="1"/>
  <c r="O358" i="14606"/>
  <c r="HC138" i="14609" s="1"/>
  <c r="A358" i="14606"/>
  <c r="GO138" i="14609" s="1"/>
  <c r="G356" i="14606"/>
  <c r="FO138" i="14609" s="1"/>
  <c r="H356" i="14606"/>
  <c r="FP138" i="14609" s="1"/>
  <c r="B357" i="14606"/>
  <c r="FZ138" i="14609" s="1"/>
  <c r="C357" i="14606"/>
  <c r="GA138" i="14609" s="1"/>
  <c r="D357" i="14606"/>
  <c r="GB138" i="14609" s="1"/>
  <c r="E357" i="14606"/>
  <c r="GC138" i="14609" s="1"/>
  <c r="L355" i="14606"/>
  <c r="FD138" i="14609" s="1"/>
  <c r="B358" i="14606"/>
  <c r="GP138" i="14609" s="1"/>
  <c r="C358" i="14606"/>
  <c r="GQ138" i="14609" s="1"/>
  <c r="D358" i="14606"/>
  <c r="GR138" i="14609" s="1"/>
  <c r="E358" i="14606"/>
  <c r="GS138" i="14609" s="1"/>
  <c r="L354" i="14606"/>
  <c r="EN138" i="14609" s="1"/>
  <c r="N360" i="14606"/>
  <c r="IH138" i="14609" s="1"/>
  <c r="O359" i="14606"/>
  <c r="HS138" i="14609" s="1"/>
  <c r="A359" i="14606"/>
  <c r="HE138" i="14609" s="1"/>
  <c r="I356" i="14606"/>
  <c r="FQ138" i="14609" s="1"/>
  <c r="J356" i="14606"/>
  <c r="FR138" i="14609" s="1"/>
  <c r="F357" i="14606"/>
  <c r="GD138" i="14609" s="1"/>
  <c r="G357" i="14606"/>
  <c r="GE138" i="14609" s="1"/>
  <c r="O360" i="14606"/>
  <c r="II138" i="14609" s="1"/>
  <c r="A360" i="14606"/>
  <c r="HU138" i="14609" s="1"/>
  <c r="N361" i="14606"/>
  <c r="B139" i="14609" s="1"/>
  <c r="H357" i="14606"/>
  <c r="GF138" i="14609" s="1"/>
  <c r="I357" i="14606"/>
  <c r="GG138" i="14609" s="1"/>
  <c r="J357" i="14606"/>
  <c r="GH138" i="14609" s="1"/>
  <c r="F358" i="14606"/>
  <c r="GT138" i="14609" s="1"/>
  <c r="B359" i="14606"/>
  <c r="HF138" i="14609" s="1"/>
  <c r="C359" i="14606"/>
  <c r="HG138" i="14609" s="1"/>
  <c r="K356" i="14606"/>
  <c r="FS138" i="14609" s="1"/>
  <c r="L356" i="14606"/>
  <c r="FT138" i="14609" s="1"/>
  <c r="K357" i="14606"/>
  <c r="GI138" i="14609" s="1"/>
  <c r="L357" i="14606"/>
  <c r="GJ138" i="14609" s="1"/>
  <c r="N362" i="14606"/>
  <c r="R139" i="14609" s="1"/>
  <c r="O361" i="14606"/>
  <c r="C139" i="14609" s="1"/>
  <c r="A361" i="14606"/>
  <c r="IK138" i="14609" s="1"/>
  <c r="D359" i="14606"/>
  <c r="HH138" i="14609" s="1"/>
  <c r="E359" i="14606"/>
  <c r="HI138" i="14609" s="1"/>
  <c r="B360" i="14606"/>
  <c r="HV138" i="14609" s="1"/>
  <c r="C360" i="14606"/>
  <c r="HW138" i="14609" s="1"/>
  <c r="D360" i="14606"/>
  <c r="HX138" i="14609" s="1"/>
  <c r="E360" i="14606"/>
  <c r="HY138" i="14609" s="1"/>
  <c r="F360" i="14606"/>
  <c r="HZ138" i="14609" s="1"/>
  <c r="G360" i="14606"/>
  <c r="IA138" i="14609" s="1"/>
  <c r="H360" i="14606"/>
  <c r="IB138" i="14609" s="1"/>
  <c r="G358" i="14606"/>
  <c r="GU138" i="14609" s="1"/>
  <c r="H358" i="14606"/>
  <c r="GV138" i="14609" s="1"/>
  <c r="F359" i="14606"/>
  <c r="HJ138" i="14609" s="1"/>
  <c r="B361" i="14606"/>
  <c r="IL138" i="14609" s="1"/>
  <c r="C361" i="14606"/>
  <c r="IM138" i="14609" s="1"/>
  <c r="D361" i="14606"/>
  <c r="IN138" i="14609" s="1"/>
  <c r="G359" i="14606"/>
  <c r="HK138" i="14609" s="1"/>
  <c r="H359" i="14606"/>
  <c r="HL138" i="14609" s="1"/>
  <c r="I360" i="14606"/>
  <c r="IC138" i="14609" s="1"/>
  <c r="J360" i="14606"/>
  <c r="ID138" i="14609" s="1"/>
  <c r="O362" i="14606"/>
  <c r="S139" i="14609" s="1"/>
  <c r="A362" i="14606"/>
  <c r="E139" i="14609" s="1"/>
  <c r="N363" i="14606"/>
  <c r="AH139" i="14609" s="1"/>
  <c r="I358" i="14606"/>
  <c r="GW138" i="14609" s="1"/>
  <c r="J358" i="14606"/>
  <c r="GX138" i="14609" s="1"/>
  <c r="E361" i="14606"/>
  <c r="IO138" i="14609" s="1"/>
  <c r="I359" i="14606"/>
  <c r="HM138" i="14609" s="1"/>
  <c r="J359" i="14606"/>
  <c r="HN138" i="14609" s="1"/>
  <c r="K359" i="14606"/>
  <c r="HO138" i="14609" s="1"/>
  <c r="L359" i="14606"/>
  <c r="HP138" i="14609" s="1"/>
  <c r="O363" i="14606"/>
  <c r="AI139" i="14609" s="1"/>
  <c r="A363" i="14606"/>
  <c r="U139" i="14609" s="1"/>
  <c r="N364" i="14606"/>
  <c r="AX139" i="14609" s="1"/>
  <c r="K360" i="14606"/>
  <c r="IE138" i="14609" s="1"/>
  <c r="L360" i="14606"/>
  <c r="IF138" i="14609" s="1"/>
  <c r="K358" i="14606"/>
  <c r="GY138" i="14609" s="1"/>
  <c r="L358" i="14606"/>
  <c r="GZ138" i="14609" s="1"/>
  <c r="B362" i="14606"/>
  <c r="F139" i="14609" s="1"/>
  <c r="C362" i="14606"/>
  <c r="G139" i="14609" s="1"/>
  <c r="N365" i="14606"/>
  <c r="BN139" i="14609" s="1"/>
  <c r="O364" i="14606"/>
  <c r="AY139" i="14609" s="1"/>
  <c r="A364" i="14606"/>
  <c r="AK139" i="14609" s="1"/>
  <c r="B363" i="14606"/>
  <c r="V139" i="14609" s="1"/>
  <c r="C363" i="14606"/>
  <c r="W139" i="14609" s="1"/>
  <c r="D363" i="14606"/>
  <c r="X139" i="14609" s="1"/>
  <c r="E363" i="14606"/>
  <c r="Y139" i="14609" s="1"/>
  <c r="F363" i="14606"/>
  <c r="Z139" i="14609" s="1"/>
  <c r="G363" i="14606"/>
  <c r="AA139" i="14609" s="1"/>
  <c r="H363" i="14606"/>
  <c r="AB139" i="14609" s="1"/>
  <c r="I363" i="14606"/>
  <c r="AC139" i="14609" s="1"/>
  <c r="D362" i="14606"/>
  <c r="H139" i="14609" s="1"/>
  <c r="D139" i="14609"/>
  <c r="F361" i="14606"/>
  <c r="IP138" i="14609" s="1"/>
  <c r="B364" i="14606"/>
  <c r="AL139" i="14609" s="1"/>
  <c r="C364" i="14606"/>
  <c r="AM139" i="14609" s="1"/>
  <c r="D364" i="14606"/>
  <c r="AN139" i="14609" s="1"/>
  <c r="E364" i="14606"/>
  <c r="AO139" i="14609" s="1"/>
  <c r="F364" i="14606"/>
  <c r="AP139" i="14609" s="1"/>
  <c r="G361" i="14606"/>
  <c r="IQ138" i="14609" s="1"/>
  <c r="H361" i="14606"/>
  <c r="IR138" i="14609" s="1"/>
  <c r="O365" i="14606"/>
  <c r="BO139" i="14609" s="1"/>
  <c r="A365" i="14606"/>
  <c r="BA139" i="14609" s="1"/>
  <c r="N366" i="14606"/>
  <c r="CD139" i="14609" s="1"/>
  <c r="J363" i="14606"/>
  <c r="AD139" i="14609" s="1"/>
  <c r="K363" i="14606"/>
  <c r="AE139" i="14609" s="1"/>
  <c r="E362" i="14606"/>
  <c r="I139" i="14609" s="1"/>
  <c r="F362" i="14606"/>
  <c r="J139" i="14609" s="1"/>
  <c r="G362" i="14606"/>
  <c r="K139" i="14609" s="1"/>
  <c r="N367" i="14606"/>
  <c r="CT139" i="14609" s="1"/>
  <c r="O366" i="14606"/>
  <c r="CE139" i="14609" s="1"/>
  <c r="A366" i="14606"/>
  <c r="BQ139" i="14609" s="1"/>
  <c r="B365" i="14606"/>
  <c r="BB139" i="14609" s="1"/>
  <c r="C365" i="14606"/>
  <c r="BC139" i="14609" s="1"/>
  <c r="G364" i="14606"/>
  <c r="AQ139" i="14609" s="1"/>
  <c r="H364" i="14606"/>
  <c r="AR139" i="14609" s="1"/>
  <c r="I364" i="14606"/>
  <c r="AS139" i="14609" s="1"/>
  <c r="J364" i="14606"/>
  <c r="AT139" i="14609" s="1"/>
  <c r="K364" i="14606"/>
  <c r="AU139" i="14609" s="1"/>
  <c r="L364" i="14606"/>
  <c r="AV139" i="14609" s="1"/>
  <c r="H362" i="14606"/>
  <c r="L139" i="14609" s="1"/>
  <c r="I362" i="14606"/>
  <c r="M139" i="14609" s="1"/>
  <c r="J362" i="14606"/>
  <c r="N139" i="14609" s="1"/>
  <c r="I361" i="14606"/>
  <c r="IS138" i="14609" s="1"/>
  <c r="J361" i="14606"/>
  <c r="IT138" i="14609" s="1"/>
  <c r="L363" i="14606"/>
  <c r="AF139" i="14609" s="1"/>
  <c r="B366" i="14606"/>
  <c r="BR139" i="14609" s="1"/>
  <c r="D365" i="14606"/>
  <c r="BD139" i="14609" s="1"/>
  <c r="O367" i="14606"/>
  <c r="CU139" i="14609" s="1"/>
  <c r="A367" i="14606"/>
  <c r="CG139" i="14609" s="1"/>
  <c r="N368" i="14606"/>
  <c r="DJ139" i="14609" s="1"/>
  <c r="K362" i="14606"/>
  <c r="O139" i="14609" s="1"/>
  <c r="L362" i="14606"/>
  <c r="P139" i="14609" s="1"/>
  <c r="K361" i="14606"/>
  <c r="IU138" i="14609" s="1"/>
  <c r="L361" i="14606"/>
  <c r="IV138" i="14609" s="1"/>
  <c r="B367" i="14606"/>
  <c r="CH139" i="14609" s="1"/>
  <c r="C367" i="14606"/>
  <c r="CI139" i="14609" s="1"/>
  <c r="D367" i="14606"/>
  <c r="CJ139" i="14609" s="1"/>
  <c r="C366" i="14606"/>
  <c r="BS139" i="14609" s="1"/>
  <c r="D366" i="14606"/>
  <c r="BT139" i="14609" s="1"/>
  <c r="E365" i="14606"/>
  <c r="BE139" i="14609" s="1"/>
  <c r="N369" i="14606"/>
  <c r="DZ139" i="14609" s="1"/>
  <c r="O368" i="14606"/>
  <c r="DK139" i="14609" s="1"/>
  <c r="A368" i="14606"/>
  <c r="CW139" i="14609" s="1"/>
  <c r="N370" i="14606"/>
  <c r="EP139" i="14609" s="1"/>
  <c r="O369" i="14606"/>
  <c r="EA139" i="14609" s="1"/>
  <c r="A369" i="14606"/>
  <c r="DM139" i="14609" s="1"/>
  <c r="F365" i="14606"/>
  <c r="BF139" i="14609" s="1"/>
  <c r="G365" i="14606"/>
  <c r="BG139" i="14609" s="1"/>
  <c r="H365" i="14606"/>
  <c r="BH139" i="14609" s="1"/>
  <c r="I365" i="14606"/>
  <c r="BI139" i="14609" s="1"/>
  <c r="J365" i="14606"/>
  <c r="BJ139" i="14609" s="1"/>
  <c r="E366" i="14606"/>
  <c r="BU139" i="14609" s="1"/>
  <c r="F366" i="14606"/>
  <c r="BV139" i="14609" s="1"/>
  <c r="G366" i="14606"/>
  <c r="BW139" i="14609" s="1"/>
  <c r="H366" i="14606"/>
  <c r="BX139" i="14609" s="1"/>
  <c r="B368" i="14606"/>
  <c r="CX139" i="14609" s="1"/>
  <c r="C368" i="14606"/>
  <c r="CY139" i="14609" s="1"/>
  <c r="D368" i="14606"/>
  <c r="CZ139" i="14609" s="1"/>
  <c r="K365" i="14606"/>
  <c r="BK139" i="14609" s="1"/>
  <c r="L365" i="14606"/>
  <c r="BL139" i="14609" s="1"/>
  <c r="E367" i="14606"/>
  <c r="CK139" i="14609" s="1"/>
  <c r="F367" i="14606"/>
  <c r="CL139" i="14609" s="1"/>
  <c r="I366" i="14606"/>
  <c r="BY139" i="14609" s="1"/>
  <c r="J366" i="14606"/>
  <c r="BZ139" i="14609" s="1"/>
  <c r="K366" i="14606"/>
  <c r="CA139" i="14609" s="1"/>
  <c r="L366" i="14606"/>
  <c r="CB139" i="14609" s="1"/>
  <c r="N371" i="14606"/>
  <c r="FF139" i="14609" s="1"/>
  <c r="O370" i="14606"/>
  <c r="EQ139" i="14609" s="1"/>
  <c r="A370" i="14606"/>
  <c r="EC139" i="14609" s="1"/>
  <c r="G367" i="14606"/>
  <c r="CM139" i="14609" s="1"/>
  <c r="H367" i="14606"/>
  <c r="CN139" i="14609" s="1"/>
  <c r="I367" i="14606"/>
  <c r="CO139" i="14609" s="1"/>
  <c r="J367" i="14606"/>
  <c r="CP139" i="14609" s="1"/>
  <c r="B369" i="14606"/>
  <c r="DN139" i="14609" s="1"/>
  <c r="C369" i="14606"/>
  <c r="DO139" i="14609" s="1"/>
  <c r="E368" i="14606"/>
  <c r="DA139" i="14609" s="1"/>
  <c r="F368" i="14606"/>
  <c r="DB139" i="14609" s="1"/>
  <c r="D369" i="14606"/>
  <c r="DP139" i="14609" s="1"/>
  <c r="G368" i="14606"/>
  <c r="DC139" i="14609" s="1"/>
  <c r="H368" i="14606"/>
  <c r="DD139" i="14609" s="1"/>
  <c r="I368" i="14606"/>
  <c r="DE139" i="14609" s="1"/>
  <c r="J368" i="14606"/>
  <c r="DF139" i="14609" s="1"/>
  <c r="K367" i="14606"/>
  <c r="CQ139" i="14609" s="1"/>
  <c r="L367" i="14606"/>
  <c r="CR139" i="14609" s="1"/>
  <c r="E369" i="14606"/>
  <c r="DQ139" i="14609" s="1"/>
  <c r="F369" i="14606"/>
  <c r="DR139" i="14609" s="1"/>
  <c r="B370" i="14606"/>
  <c r="ED139" i="14609" s="1"/>
  <c r="C370" i="14606"/>
  <c r="EE139" i="14609" s="1"/>
  <c r="K368" i="14606"/>
  <c r="DG139" i="14609" s="1"/>
  <c r="L368" i="14606"/>
  <c r="DH139" i="14609" s="1"/>
  <c r="N372" i="14606"/>
  <c r="FV139" i="14609" s="1"/>
  <c r="O371" i="14606"/>
  <c r="FG139" i="14609" s="1"/>
  <c r="A371" i="14606"/>
  <c r="ES139" i="14609" s="1"/>
  <c r="B371" i="14606"/>
  <c r="ET139" i="14609" s="1"/>
  <c r="C371" i="14606"/>
  <c r="EU139" i="14609" s="1"/>
  <c r="D371" i="14606"/>
  <c r="EV139" i="14609" s="1"/>
  <c r="D370" i="14606"/>
  <c r="EF139" i="14609" s="1"/>
  <c r="O372" i="14606"/>
  <c r="FW139" i="14609" s="1"/>
  <c r="A372" i="14606"/>
  <c r="FI139" i="14609" s="1"/>
  <c r="N373" i="14606"/>
  <c r="GL139" i="14609" s="1"/>
  <c r="G369" i="14606"/>
  <c r="DS139" i="14609" s="1"/>
  <c r="H369" i="14606"/>
  <c r="DT139" i="14609" s="1"/>
  <c r="I369" i="14606"/>
  <c r="DU139" i="14609" s="1"/>
  <c r="J369" i="14606"/>
  <c r="DV139" i="14609" s="1"/>
  <c r="K369" i="14606"/>
  <c r="DW139" i="14609" s="1"/>
  <c r="L369" i="14606"/>
  <c r="DX139" i="14609" s="1"/>
  <c r="E370" i="14606"/>
  <c r="EG139" i="14609" s="1"/>
  <c r="O373" i="14606"/>
  <c r="GM139" i="14609" s="1"/>
  <c r="A373" i="14606"/>
  <c r="FY139" i="14609" s="1"/>
  <c r="N374" i="14606"/>
  <c r="HB139" i="14609" s="1"/>
  <c r="E371" i="14606"/>
  <c r="EW139" i="14609" s="1"/>
  <c r="F371" i="14606"/>
  <c r="EX139" i="14609" s="1"/>
  <c r="G371" i="14606"/>
  <c r="EY139" i="14609" s="1"/>
  <c r="B372" i="14606"/>
  <c r="FJ139" i="14609" s="1"/>
  <c r="C372" i="14606"/>
  <c r="FK139" i="14609" s="1"/>
  <c r="D372" i="14606"/>
  <c r="FL139" i="14609" s="1"/>
  <c r="E372" i="14606"/>
  <c r="FM139" i="14609" s="1"/>
  <c r="F372" i="14606"/>
  <c r="FN139" i="14609" s="1"/>
  <c r="F370" i="14606"/>
  <c r="EH139" i="14609" s="1"/>
  <c r="G370" i="14606"/>
  <c r="EI139" i="14609" s="1"/>
  <c r="H370" i="14606"/>
  <c r="EJ139" i="14609" s="1"/>
  <c r="H371" i="14606"/>
  <c r="EZ139" i="14609" s="1"/>
  <c r="I371" i="14606"/>
  <c r="FA139" i="14609" s="1"/>
  <c r="J371" i="14606"/>
  <c r="FB139" i="14609" s="1"/>
  <c r="K371" i="14606"/>
  <c r="FC139" i="14609" s="1"/>
  <c r="L371" i="14606"/>
  <c r="FD139" i="14609" s="1"/>
  <c r="N375" i="14606"/>
  <c r="HR139" i="14609" s="1"/>
  <c r="O374" i="14606"/>
  <c r="HC139" i="14609" s="1"/>
  <c r="A374" i="14606"/>
  <c r="GO139" i="14609" s="1"/>
  <c r="G372" i="14606"/>
  <c r="FO139" i="14609" s="1"/>
  <c r="B373" i="14606"/>
  <c r="FZ139" i="14609" s="1"/>
  <c r="C373" i="14606"/>
  <c r="GA139" i="14609" s="1"/>
  <c r="D373" i="14606"/>
  <c r="GB139" i="14609" s="1"/>
  <c r="E373" i="14606"/>
  <c r="GC139" i="14609" s="1"/>
  <c r="F373" i="14606"/>
  <c r="GD139" i="14609" s="1"/>
  <c r="G373" i="14606"/>
  <c r="GE139" i="14609" s="1"/>
  <c r="I370" i="14606"/>
  <c r="EK139" i="14609" s="1"/>
  <c r="J370" i="14606"/>
  <c r="EL139" i="14609" s="1"/>
  <c r="H372" i="14606"/>
  <c r="FP139" i="14609" s="1"/>
  <c r="I372" i="14606"/>
  <c r="FQ139" i="14609" s="1"/>
  <c r="H373" i="14606"/>
  <c r="GF139" i="14609" s="1"/>
  <c r="I373" i="14606"/>
  <c r="GG139" i="14609" s="1"/>
  <c r="B374" i="14606"/>
  <c r="GP139" i="14609" s="1"/>
  <c r="C374" i="14606"/>
  <c r="GQ139" i="14609" s="1"/>
  <c r="K370" i="14606"/>
  <c r="EM139" i="14609" s="1"/>
  <c r="L370" i="14606"/>
  <c r="EN139" i="14609" s="1"/>
  <c r="O375" i="14606"/>
  <c r="HS139" i="14609" s="1"/>
  <c r="A375" i="14606"/>
  <c r="HE139" i="14609" s="1"/>
  <c r="N376" i="14606"/>
  <c r="IH139" i="14609" s="1"/>
  <c r="B375" i="14606"/>
  <c r="HF139" i="14609" s="1"/>
  <c r="C375" i="14606"/>
  <c r="HG139" i="14609" s="1"/>
  <c r="D375" i="14606"/>
  <c r="HH139" i="14609" s="1"/>
  <c r="E375" i="14606"/>
  <c r="HI139" i="14609" s="1"/>
  <c r="F375" i="14606"/>
  <c r="HJ139" i="14609" s="1"/>
  <c r="G375" i="14606"/>
  <c r="HK139" i="14609" s="1"/>
  <c r="D374" i="14606"/>
  <c r="GR139" i="14609" s="1"/>
  <c r="E374" i="14606"/>
  <c r="GS139" i="14609" s="1"/>
  <c r="F374" i="14606"/>
  <c r="GT139" i="14609" s="1"/>
  <c r="G374" i="14606"/>
  <c r="GU139" i="14609" s="1"/>
  <c r="J372" i="14606"/>
  <c r="FR139" i="14609" s="1"/>
  <c r="K372" i="14606"/>
  <c r="FS139" i="14609" s="1"/>
  <c r="L372" i="14606"/>
  <c r="FT139" i="14609" s="1"/>
  <c r="N377" i="14606"/>
  <c r="B140" i="14609" s="1"/>
  <c r="O376" i="14606"/>
  <c r="II139" i="14609" s="1"/>
  <c r="A376" i="14606"/>
  <c r="HU139" i="14609" s="1"/>
  <c r="J373" i="14606"/>
  <c r="GH139" i="14609" s="1"/>
  <c r="K373" i="14606"/>
  <c r="GI139" i="14609" s="1"/>
  <c r="B376" i="14606"/>
  <c r="HV139" i="14609" s="1"/>
  <c r="C376" i="14606"/>
  <c r="HW139" i="14609" s="1"/>
  <c r="D376" i="14606"/>
  <c r="HX139" i="14609" s="1"/>
  <c r="E376" i="14606"/>
  <c r="HY139" i="14609" s="1"/>
  <c r="F376" i="14606"/>
  <c r="HZ139" i="14609" s="1"/>
  <c r="N378" i="14606"/>
  <c r="R140" i="14609" s="1"/>
  <c r="O377" i="14606"/>
  <c r="C140" i="14609" s="1"/>
  <c r="A377" i="14606"/>
  <c r="IK139" i="14609" s="1"/>
  <c r="L373" i="14606"/>
  <c r="GJ139" i="14609" s="1"/>
  <c r="H375" i="14606"/>
  <c r="HL139" i="14609" s="1"/>
  <c r="H374" i="14606"/>
  <c r="GV139" i="14609" s="1"/>
  <c r="I374" i="14606"/>
  <c r="GW139" i="14609" s="1"/>
  <c r="G376" i="14606"/>
  <c r="IA139" i="14609" s="1"/>
  <c r="H376" i="14606"/>
  <c r="IB139" i="14609" s="1"/>
  <c r="B377" i="14606"/>
  <c r="IL139" i="14609" s="1"/>
  <c r="C377" i="14606"/>
  <c r="IM139" i="14609" s="1"/>
  <c r="D377" i="14606"/>
  <c r="IN139" i="14609" s="1"/>
  <c r="O378" i="14606"/>
  <c r="S140" i="14609" s="1"/>
  <c r="A378" i="14606"/>
  <c r="E140" i="14609" s="1"/>
  <c r="N379" i="14606"/>
  <c r="AH140" i="14609" s="1"/>
  <c r="I376" i="14606"/>
  <c r="IC139" i="14609" s="1"/>
  <c r="J376" i="14606"/>
  <c r="ID139" i="14609" s="1"/>
  <c r="K376" i="14606"/>
  <c r="IE139" i="14609" s="1"/>
  <c r="L376" i="14606"/>
  <c r="IF139" i="14609" s="1"/>
  <c r="J374" i="14606"/>
  <c r="GX139" i="14609" s="1"/>
  <c r="K374" i="14606"/>
  <c r="GY139" i="14609" s="1"/>
  <c r="L374" i="14606"/>
  <c r="GZ139" i="14609" s="1"/>
  <c r="I375" i="14606"/>
  <c r="HM139" i="14609" s="1"/>
  <c r="J375" i="14606"/>
  <c r="HN139" i="14609" s="1"/>
  <c r="N380" i="14606"/>
  <c r="AX140" i="14609" s="1"/>
  <c r="O379" i="14606"/>
  <c r="AI140" i="14609" s="1"/>
  <c r="A379" i="14606"/>
  <c r="U140" i="14609" s="1"/>
  <c r="B378" i="14606"/>
  <c r="F140" i="14609" s="1"/>
  <c r="C378" i="14606"/>
  <c r="G140" i="14609" s="1"/>
  <c r="D378" i="14606"/>
  <c r="H140" i="14609" s="1"/>
  <c r="E377" i="14606"/>
  <c r="IO139" i="14609" s="1"/>
  <c r="K375" i="14606"/>
  <c r="HO139" i="14609" s="1"/>
  <c r="L375" i="14606"/>
  <c r="HP139" i="14609" s="1"/>
  <c r="E378" i="14606"/>
  <c r="I140" i="14609" s="1"/>
  <c r="F378" i="14606"/>
  <c r="J140" i="14609" s="1"/>
  <c r="G378" i="14606"/>
  <c r="K140" i="14609" s="1"/>
  <c r="H378" i="14606"/>
  <c r="L140" i="14609" s="1"/>
  <c r="D140" i="14609"/>
  <c r="B379" i="14606"/>
  <c r="V140" i="14609" s="1"/>
  <c r="C379" i="14606"/>
  <c r="W140" i="14609" s="1"/>
  <c r="D379" i="14606"/>
  <c r="X140" i="14609" s="1"/>
  <c r="E379" i="14606"/>
  <c r="Y140" i="14609" s="1"/>
  <c r="F379" i="14606"/>
  <c r="Z140" i="14609" s="1"/>
  <c r="G379" i="14606"/>
  <c r="AA140" i="14609" s="1"/>
  <c r="H379" i="14606"/>
  <c r="AB140" i="14609" s="1"/>
  <c r="N381" i="14606"/>
  <c r="BN140" i="14609" s="1"/>
  <c r="O380" i="14606"/>
  <c r="AY140" i="14609" s="1"/>
  <c r="A380" i="14606"/>
  <c r="AK140" i="14609" s="1"/>
  <c r="F377" i="14606"/>
  <c r="IP139" i="14609" s="1"/>
  <c r="G377" i="14606"/>
  <c r="IQ139" i="14609" s="1"/>
  <c r="H377" i="14606"/>
  <c r="IR139" i="14609" s="1"/>
  <c r="I377" i="14606"/>
  <c r="IS139" i="14609" s="1"/>
  <c r="N382" i="14606"/>
  <c r="CD140" i="14609" s="1"/>
  <c r="O381" i="14606"/>
  <c r="BO140" i="14609" s="1"/>
  <c r="A381" i="14606"/>
  <c r="BA140" i="14609" s="1"/>
  <c r="I379" i="14606"/>
  <c r="AC140" i="14609" s="1"/>
  <c r="J379" i="14606"/>
  <c r="AD140" i="14609" s="1"/>
  <c r="K379" i="14606"/>
  <c r="AE140" i="14609" s="1"/>
  <c r="B380" i="14606"/>
  <c r="AL140" i="14609" s="1"/>
  <c r="C380" i="14606"/>
  <c r="AM140" i="14609" s="1"/>
  <c r="D380" i="14606"/>
  <c r="AN140" i="14609" s="1"/>
  <c r="E380" i="14606"/>
  <c r="AO140" i="14609" s="1"/>
  <c r="F380" i="14606"/>
  <c r="AP140" i="14609" s="1"/>
  <c r="G380" i="14606"/>
  <c r="AQ140" i="14609" s="1"/>
  <c r="H380" i="14606"/>
  <c r="AR140" i="14609" s="1"/>
  <c r="I380" i="14606"/>
  <c r="AS140" i="14609" s="1"/>
  <c r="I378" i="14606"/>
  <c r="M140" i="14609" s="1"/>
  <c r="J378" i="14606"/>
  <c r="N140" i="14609" s="1"/>
  <c r="K378" i="14606"/>
  <c r="O140" i="14609" s="1"/>
  <c r="L378" i="14606"/>
  <c r="P140" i="14609" s="1"/>
  <c r="J377" i="14606"/>
  <c r="IT139" i="14609" s="1"/>
  <c r="K377" i="14606"/>
  <c r="IU139" i="14609" s="1"/>
  <c r="J380" i="14606"/>
  <c r="AT140" i="14609" s="1"/>
  <c r="K380" i="14606"/>
  <c r="AU140" i="14609" s="1"/>
  <c r="L380" i="14606"/>
  <c r="AV140" i="14609" s="1"/>
  <c r="B381" i="14606"/>
  <c r="BB140" i="14609" s="1"/>
  <c r="C381" i="14606"/>
  <c r="BC140" i="14609" s="1"/>
  <c r="D381" i="14606"/>
  <c r="BD140" i="14609" s="1"/>
  <c r="E381" i="14606"/>
  <c r="BE140" i="14609" s="1"/>
  <c r="L377" i="14606"/>
  <c r="IV139" i="14609" s="1"/>
  <c r="N383" i="14606"/>
  <c r="CT140" i="14609" s="1"/>
  <c r="O382" i="14606"/>
  <c r="CE140" i="14609" s="1"/>
  <c r="A382" i="14606"/>
  <c r="BQ140" i="14609" s="1"/>
  <c r="L379" i="14606"/>
  <c r="AF140" i="14609" s="1"/>
  <c r="B382" i="14606"/>
  <c r="BR140" i="14609" s="1"/>
  <c r="C382" i="14606"/>
  <c r="BS140" i="14609" s="1"/>
  <c r="D382" i="14606"/>
  <c r="BT140" i="14609" s="1"/>
  <c r="E382" i="14606"/>
  <c r="BU140" i="14609" s="1"/>
  <c r="F382" i="14606"/>
  <c r="BV140" i="14609" s="1"/>
  <c r="G382" i="14606"/>
  <c r="BW140" i="14609" s="1"/>
  <c r="H382" i="14606"/>
  <c r="BX140" i="14609" s="1"/>
  <c r="I382" i="14606"/>
  <c r="BY140" i="14609" s="1"/>
  <c r="J382" i="14606"/>
  <c r="BZ140" i="14609" s="1"/>
  <c r="K382" i="14606"/>
  <c r="CA140" i="14609" s="1"/>
  <c r="N384" i="14606"/>
  <c r="DJ140" i="14609" s="1"/>
  <c r="O383" i="14606"/>
  <c r="CU140" i="14609" s="1"/>
  <c r="A383" i="14606"/>
  <c r="CG140" i="14609" s="1"/>
  <c r="F381" i="14606"/>
  <c r="BF140" i="14609" s="1"/>
  <c r="G381" i="14606"/>
  <c r="BG140" i="14609" s="1"/>
  <c r="H381" i="14606"/>
  <c r="BH140" i="14609" s="1"/>
  <c r="I381" i="14606"/>
  <c r="BI140" i="14609" s="1"/>
  <c r="L382" i="14606"/>
  <c r="CB140" i="14609" s="1"/>
  <c r="B383" i="14606"/>
  <c r="CH140" i="14609" s="1"/>
  <c r="C383" i="14606"/>
  <c r="CI140" i="14609" s="1"/>
  <c r="D383" i="14606"/>
  <c r="CJ140" i="14609" s="1"/>
  <c r="E383" i="14606"/>
  <c r="CK140" i="14609" s="1"/>
  <c r="F383" i="14606"/>
  <c r="CL140" i="14609" s="1"/>
  <c r="G383" i="14606"/>
  <c r="CM140" i="14609" s="1"/>
  <c r="H383" i="14606"/>
  <c r="CN140" i="14609" s="1"/>
  <c r="I383" i="14606"/>
  <c r="CO140" i="14609" s="1"/>
  <c r="J383" i="14606"/>
  <c r="CP140" i="14609" s="1"/>
  <c r="O384" i="14606"/>
  <c r="DK140" i="14609" s="1"/>
  <c r="A384" i="14606"/>
  <c r="CW140" i="14609" s="1"/>
  <c r="N385" i="14606"/>
  <c r="DZ140" i="14609" s="1"/>
  <c r="N386" i="14606"/>
  <c r="EP140" i="14609" s="1"/>
  <c r="O385" i="14606"/>
  <c r="EA140" i="14609" s="1"/>
  <c r="A385" i="14606"/>
  <c r="DM140" i="14609" s="1"/>
  <c r="B384" i="14606"/>
  <c r="CX140" i="14609" s="1"/>
  <c r="C384" i="14606"/>
  <c r="CY140" i="14609" s="1"/>
  <c r="J381" i="14606"/>
  <c r="BJ140" i="14609" s="1"/>
  <c r="K381" i="14606"/>
  <c r="BK140" i="14609" s="1"/>
  <c r="K383" i="14606"/>
  <c r="CQ140" i="14609" s="1"/>
  <c r="L383" i="14606"/>
  <c r="CR140" i="14609" s="1"/>
  <c r="B385" i="14606"/>
  <c r="DN140" i="14609" s="1"/>
  <c r="C385" i="14606"/>
  <c r="DO140" i="14609" s="1"/>
  <c r="D385" i="14606"/>
  <c r="DP140" i="14609" s="1"/>
  <c r="E385" i="14606"/>
  <c r="DQ140" i="14609" s="1"/>
  <c r="F385" i="14606"/>
  <c r="DR140" i="14609" s="1"/>
  <c r="G385" i="14606"/>
  <c r="DS140" i="14609" s="1"/>
  <c r="H385" i="14606"/>
  <c r="DT140" i="14609" s="1"/>
  <c r="N387" i="14606"/>
  <c r="FF140" i="14609" s="1"/>
  <c r="O386" i="14606"/>
  <c r="EQ140" i="14609" s="1"/>
  <c r="A386" i="14606"/>
  <c r="EC140" i="14609" s="1"/>
  <c r="D384" i="14606"/>
  <c r="CZ140" i="14609" s="1"/>
  <c r="L381" i="14606"/>
  <c r="BL140" i="14609" s="1"/>
  <c r="N388" i="14606"/>
  <c r="FV140" i="14609" s="1"/>
  <c r="O387" i="14606"/>
  <c r="FG140" i="14609" s="1"/>
  <c r="A387" i="14606"/>
  <c r="ES140" i="14609" s="1"/>
  <c r="E384" i="14606"/>
  <c r="DA140" i="14609" s="1"/>
  <c r="F384" i="14606"/>
  <c r="DB140" i="14609" s="1"/>
  <c r="B386" i="14606"/>
  <c r="ED140" i="14609" s="1"/>
  <c r="C386" i="14606"/>
  <c r="EE140" i="14609" s="1"/>
  <c r="D386" i="14606"/>
  <c r="EF140" i="14609" s="1"/>
  <c r="I385" i="14606"/>
  <c r="DU140" i="14609" s="1"/>
  <c r="J385" i="14606"/>
  <c r="DV140" i="14609" s="1"/>
  <c r="G384" i="14606"/>
  <c r="DC140" i="14609" s="1"/>
  <c r="H384" i="14606"/>
  <c r="DD140" i="14609" s="1"/>
  <c r="I384" i="14606"/>
  <c r="DE140" i="14609" s="1"/>
  <c r="J384" i="14606"/>
  <c r="DF140" i="14609" s="1"/>
  <c r="E386" i="14606"/>
  <c r="EG140" i="14609" s="1"/>
  <c r="F386" i="14606"/>
  <c r="EH140" i="14609" s="1"/>
  <c r="K385" i="14606"/>
  <c r="DW140" i="14609" s="1"/>
  <c r="L385" i="14606"/>
  <c r="DX140" i="14609" s="1"/>
  <c r="B387" i="14606"/>
  <c r="ET140" i="14609" s="1"/>
  <c r="C387" i="14606"/>
  <c r="EU140" i="14609" s="1"/>
  <c r="D387" i="14606"/>
  <c r="EV140" i="14609" s="1"/>
  <c r="N389" i="14606"/>
  <c r="GL140" i="14609" s="1"/>
  <c r="O388" i="14606"/>
  <c r="FW140" i="14609" s="1"/>
  <c r="A388" i="14606"/>
  <c r="FI140" i="14609" s="1"/>
  <c r="G386" i="14606"/>
  <c r="EI140" i="14609" s="1"/>
  <c r="H386" i="14606"/>
  <c r="EJ140" i="14609" s="1"/>
  <c r="I386" i="14606"/>
  <c r="EK140" i="14609" s="1"/>
  <c r="E387" i="14606"/>
  <c r="EW140" i="14609" s="1"/>
  <c r="F387" i="14606"/>
  <c r="EX140" i="14609" s="1"/>
  <c r="G387" i="14606"/>
  <c r="EY140" i="14609" s="1"/>
  <c r="B388" i="14606"/>
  <c r="FJ140" i="14609" s="1"/>
  <c r="C388" i="14606"/>
  <c r="FK140" i="14609" s="1"/>
  <c r="D388" i="14606"/>
  <c r="FL140" i="14609" s="1"/>
  <c r="E388" i="14606"/>
  <c r="FM140" i="14609" s="1"/>
  <c r="F388" i="14606"/>
  <c r="FN140" i="14609" s="1"/>
  <c r="G388" i="14606"/>
  <c r="FO140" i="14609" s="1"/>
  <c r="O389" i="14606"/>
  <c r="GM140" i="14609" s="1"/>
  <c r="A389" i="14606"/>
  <c r="FY140" i="14609" s="1"/>
  <c r="N390" i="14606"/>
  <c r="HB140" i="14609" s="1"/>
  <c r="K384" i="14606"/>
  <c r="DG140" i="14609" s="1"/>
  <c r="L384" i="14606"/>
  <c r="DH140" i="14609" s="1"/>
  <c r="J386" i="14606"/>
  <c r="EL140" i="14609" s="1"/>
  <c r="K386" i="14606"/>
  <c r="EM140" i="14609" s="1"/>
  <c r="L386" i="14606"/>
  <c r="EN140" i="14609" s="1"/>
  <c r="O390" i="14606"/>
  <c r="HC140" i="14609" s="1"/>
  <c r="A390" i="14606"/>
  <c r="GO140" i="14609" s="1"/>
  <c r="N391" i="14606"/>
  <c r="HR140" i="14609" s="1"/>
  <c r="H388" i="14606"/>
  <c r="FP140" i="14609" s="1"/>
  <c r="I388" i="14606"/>
  <c r="FQ140" i="14609" s="1"/>
  <c r="J388" i="14606"/>
  <c r="FR140" i="14609" s="1"/>
  <c r="K388" i="14606"/>
  <c r="FS140" i="14609" s="1"/>
  <c r="B389" i="14606"/>
  <c r="FZ140" i="14609" s="1"/>
  <c r="C389" i="14606"/>
  <c r="GA140" i="14609" s="1"/>
  <c r="D389" i="14606"/>
  <c r="GB140" i="14609" s="1"/>
  <c r="L388" i="14606"/>
  <c r="FT140" i="14609" s="1"/>
  <c r="H387" i="14606"/>
  <c r="EZ140" i="14609" s="1"/>
  <c r="E389" i="14606"/>
  <c r="GC140" i="14609" s="1"/>
  <c r="F389" i="14606"/>
  <c r="GD140" i="14609" s="1"/>
  <c r="G389" i="14606"/>
  <c r="GE140" i="14609" s="1"/>
  <c r="B390" i="14606"/>
  <c r="GP140" i="14609" s="1"/>
  <c r="C390" i="14606"/>
  <c r="GQ140" i="14609" s="1"/>
  <c r="D390" i="14606"/>
  <c r="GR140" i="14609" s="1"/>
  <c r="I387" i="14606"/>
  <c r="FA140" i="14609" s="1"/>
  <c r="J387" i="14606"/>
  <c r="FB140" i="14609" s="1"/>
  <c r="K387" i="14606"/>
  <c r="FC140" i="14609" s="1"/>
  <c r="L387" i="14606"/>
  <c r="FD140" i="14609" s="1"/>
  <c r="H389" i="14606"/>
  <c r="GF140" i="14609" s="1"/>
  <c r="I389" i="14606"/>
  <c r="GG140" i="14609" s="1"/>
  <c r="N392" i="14606"/>
  <c r="IH140" i="14609" s="1"/>
  <c r="O391" i="14606"/>
  <c r="HS140" i="14609" s="1"/>
  <c r="A391" i="14606"/>
  <c r="HE140" i="14609" s="1"/>
  <c r="B391" i="14606"/>
  <c r="HF140" i="14609" s="1"/>
  <c r="C391" i="14606"/>
  <c r="HG140" i="14609" s="1"/>
  <c r="N393" i="14606"/>
  <c r="B141" i="14609" s="1"/>
  <c r="O392" i="14606"/>
  <c r="II140" i="14609" s="1"/>
  <c r="A392" i="14606"/>
  <c r="HU140" i="14609" s="1"/>
  <c r="E390" i="14606"/>
  <c r="GS140" i="14609" s="1"/>
  <c r="F390" i="14606"/>
  <c r="GT140" i="14609" s="1"/>
  <c r="G390" i="14606"/>
  <c r="GU140" i="14609" s="1"/>
  <c r="J389" i="14606"/>
  <c r="GH140" i="14609" s="1"/>
  <c r="K389" i="14606"/>
  <c r="GI140" i="14609" s="1"/>
  <c r="L389" i="14606"/>
  <c r="GJ140" i="14609" s="1"/>
  <c r="B392" i="14606"/>
  <c r="HV140" i="14609" s="1"/>
  <c r="C392" i="14606"/>
  <c r="HW140" i="14609" s="1"/>
  <c r="D392" i="14606"/>
  <c r="HX140" i="14609" s="1"/>
  <c r="E392" i="14606"/>
  <c r="HY140" i="14609" s="1"/>
  <c r="F392" i="14606"/>
  <c r="HZ140" i="14609" s="1"/>
  <c r="G392" i="14606"/>
  <c r="IA140" i="14609" s="1"/>
  <c r="H392" i="14606"/>
  <c r="IB140" i="14609" s="1"/>
  <c r="I392" i="14606"/>
  <c r="IC140" i="14609" s="1"/>
  <c r="J392" i="14606"/>
  <c r="ID140" i="14609" s="1"/>
  <c r="D391" i="14606"/>
  <c r="HH140" i="14609" s="1"/>
  <c r="O393" i="14606"/>
  <c r="C141" i="14609" s="1"/>
  <c r="A393" i="14606"/>
  <c r="IK140" i="14609" s="1"/>
  <c r="N394" i="14606"/>
  <c r="R141" i="14609" s="1"/>
  <c r="E391" i="14606"/>
  <c r="HI140" i="14609" s="1"/>
  <c r="H390" i="14606"/>
  <c r="GV140" i="14609" s="1"/>
  <c r="N395" i="14606"/>
  <c r="AH141" i="14609" s="1"/>
  <c r="O394" i="14606"/>
  <c r="S141" i="14609" s="1"/>
  <c r="A394" i="14606"/>
  <c r="E141" i="14609" s="1"/>
  <c r="K392" i="14606"/>
  <c r="IE140" i="14609" s="1"/>
  <c r="L392" i="14606"/>
  <c r="IF140" i="14609" s="1"/>
  <c r="F391" i="14606"/>
  <c r="HJ140" i="14609" s="1"/>
  <c r="B393" i="14606"/>
  <c r="IL140" i="14609" s="1"/>
  <c r="C393" i="14606"/>
  <c r="IM140" i="14609" s="1"/>
  <c r="D393" i="14606"/>
  <c r="IN140" i="14609" s="1"/>
  <c r="E393" i="14606"/>
  <c r="IO140" i="14609" s="1"/>
  <c r="F393" i="14606"/>
  <c r="IP140" i="14609" s="1"/>
  <c r="G393" i="14606"/>
  <c r="IQ140" i="14609" s="1"/>
  <c r="H393" i="14606"/>
  <c r="IR140" i="14609" s="1"/>
  <c r="I393" i="14606"/>
  <c r="IS140" i="14609" s="1"/>
  <c r="I390" i="14606"/>
  <c r="GW140" i="14609" s="1"/>
  <c r="J390" i="14606"/>
  <c r="GX140" i="14609" s="1"/>
  <c r="K390" i="14606"/>
  <c r="GY140" i="14609" s="1"/>
  <c r="L390" i="14606"/>
  <c r="GZ140" i="14609" s="1"/>
  <c r="G391" i="14606"/>
  <c r="HK140" i="14609" s="1"/>
  <c r="B394" i="14606"/>
  <c r="F141" i="14609" s="1"/>
  <c r="C394" i="14606"/>
  <c r="G141" i="14609" s="1"/>
  <c r="D394" i="14606"/>
  <c r="H141" i="14609" s="1"/>
  <c r="E394" i="14606"/>
  <c r="I141" i="14609" s="1"/>
  <c r="F394" i="14606"/>
  <c r="J141" i="14609" s="1"/>
  <c r="D141" i="14609"/>
  <c r="J393" i="14606"/>
  <c r="IT140" i="14609" s="1"/>
  <c r="K393" i="14606"/>
  <c r="IU140" i="14609" s="1"/>
  <c r="N396" i="14606"/>
  <c r="AX141" i="14609" s="1"/>
  <c r="O395" i="14606"/>
  <c r="AI141" i="14609" s="1"/>
  <c r="A395" i="14606"/>
  <c r="U141" i="14609" s="1"/>
  <c r="G394" i="14606"/>
  <c r="K141" i="14609" s="1"/>
  <c r="H394" i="14606"/>
  <c r="L141" i="14609" s="1"/>
  <c r="I394" i="14606"/>
  <c r="M141" i="14609" s="1"/>
  <c r="J394" i="14606"/>
  <c r="N141" i="14609" s="1"/>
  <c r="B395" i="14606"/>
  <c r="V141" i="14609" s="1"/>
  <c r="C395" i="14606"/>
  <c r="W141" i="14609" s="1"/>
  <c r="L393" i="14606"/>
  <c r="IV140" i="14609" s="1"/>
  <c r="O396" i="14606"/>
  <c r="AY141" i="14609" s="1"/>
  <c r="A396" i="14606"/>
  <c r="AK141" i="14609" s="1"/>
  <c r="N397" i="14606"/>
  <c r="BN141" i="14609" s="1"/>
  <c r="K394" i="14606"/>
  <c r="O141" i="14609" s="1"/>
  <c r="L394" i="14606"/>
  <c r="P141" i="14609" s="1"/>
  <c r="H391" i="14606"/>
  <c r="HL140" i="14609" s="1"/>
  <c r="I391" i="14606"/>
  <c r="HM140" i="14609" s="1"/>
  <c r="D395" i="14606"/>
  <c r="X141" i="14609" s="1"/>
  <c r="J391" i="14606"/>
  <c r="HN140" i="14609" s="1"/>
  <c r="K391" i="14606"/>
  <c r="HO140" i="14609" s="1"/>
  <c r="O397" i="14606"/>
  <c r="BO141" i="14609" s="1"/>
  <c r="A397" i="14606"/>
  <c r="BA141" i="14609" s="1"/>
  <c r="N398" i="14606"/>
  <c r="CD141" i="14609" s="1"/>
  <c r="B396" i="14606"/>
  <c r="AL141" i="14609" s="1"/>
  <c r="C396" i="14606"/>
  <c r="AM141" i="14609" s="1"/>
  <c r="D396" i="14606"/>
  <c r="AN141" i="14609" s="1"/>
  <c r="E396" i="14606"/>
  <c r="AO141" i="14609" s="1"/>
  <c r="F396" i="14606"/>
  <c r="AP141" i="14609" s="1"/>
  <c r="E395" i="14606"/>
  <c r="Y141" i="14609" s="1"/>
  <c r="F395" i="14606"/>
  <c r="Z141" i="14609" s="1"/>
  <c r="B397" i="14606"/>
  <c r="BB141" i="14609" s="1"/>
  <c r="C397" i="14606"/>
  <c r="BC141" i="14609" s="1"/>
  <c r="D397" i="14606"/>
  <c r="BD141" i="14609" s="1"/>
  <c r="E397" i="14606"/>
  <c r="BE141" i="14609" s="1"/>
  <c r="F397" i="14606"/>
  <c r="BF141" i="14609" s="1"/>
  <c r="G396" i="14606"/>
  <c r="AQ141" i="14609" s="1"/>
  <c r="H396" i="14606"/>
  <c r="AR141" i="14609" s="1"/>
  <c r="L391" i="14606"/>
  <c r="HP140" i="14609" s="1"/>
  <c r="G395" i="14606"/>
  <c r="AA141" i="14609" s="1"/>
  <c r="O398" i="14606"/>
  <c r="CE141" i="14609" s="1"/>
  <c r="A398" i="14606"/>
  <c r="BQ141" i="14609" s="1"/>
  <c r="N399" i="14606"/>
  <c r="CT141" i="14609" s="1"/>
  <c r="O399" i="14606"/>
  <c r="CU141" i="14609" s="1"/>
  <c r="A399" i="14606"/>
  <c r="CG141" i="14609" s="1"/>
  <c r="N400" i="14606"/>
  <c r="DJ141" i="14609" s="1"/>
  <c r="O400" i="14606"/>
  <c r="DK141" i="14609" s="1"/>
  <c r="A400" i="14606"/>
  <c r="CW141" i="14609" s="1"/>
  <c r="B398" i="14606"/>
  <c r="BR141" i="14609" s="1"/>
  <c r="C398" i="14606"/>
  <c r="BS141" i="14609" s="1"/>
  <c r="H395" i="14606"/>
  <c r="AB141" i="14609" s="1"/>
  <c r="I395" i="14606"/>
  <c r="AC141" i="14609" s="1"/>
  <c r="J395" i="14606"/>
  <c r="AD141" i="14609" s="1"/>
  <c r="K395" i="14606"/>
  <c r="AE141" i="14609" s="1"/>
  <c r="L395" i="14606"/>
  <c r="AF141" i="14609" s="1"/>
  <c r="G397" i="14606"/>
  <c r="BG141" i="14609" s="1"/>
  <c r="H397" i="14606"/>
  <c r="BH141" i="14609" s="1"/>
  <c r="I397" i="14606"/>
  <c r="BI141" i="14609" s="1"/>
  <c r="J397" i="14606"/>
  <c r="BJ141" i="14609" s="1"/>
  <c r="I396" i="14606"/>
  <c r="AS141" i="14609" s="1"/>
  <c r="J396" i="14606"/>
  <c r="AT141" i="14609" s="1"/>
  <c r="K396" i="14606"/>
  <c r="AU141" i="14609" s="1"/>
  <c r="L396" i="14606"/>
  <c r="AV141" i="14609" s="1"/>
  <c r="D398" i="14606"/>
  <c r="BT141" i="14609" s="1"/>
  <c r="E398" i="14606"/>
  <c r="BU141" i="14609" s="1"/>
  <c r="B399" i="14606"/>
  <c r="CH141" i="14609" s="1"/>
  <c r="C399" i="14606"/>
  <c r="CI141" i="14609" s="1"/>
  <c r="D399" i="14606"/>
  <c r="CJ141" i="14609" s="1"/>
  <c r="F398" i="14606"/>
  <c r="BV141" i="14609" s="1"/>
  <c r="G398" i="14606"/>
  <c r="BW141" i="14609" s="1"/>
  <c r="H398" i="14606"/>
  <c r="BX141" i="14609" s="1"/>
  <c r="I398" i="14606"/>
  <c r="BY141" i="14609" s="1"/>
  <c r="B400" i="14606"/>
  <c r="CX141" i="14609" s="1"/>
  <c r="C400" i="14606"/>
  <c r="CY141" i="14609" s="1"/>
  <c r="K397" i="14606"/>
  <c r="BK141" i="14609" s="1"/>
  <c r="L397" i="14606"/>
  <c r="BL141" i="14609" s="1"/>
  <c r="J398" i="14606"/>
  <c r="BZ141" i="14609" s="1"/>
  <c r="K398" i="14606"/>
  <c r="CA141" i="14609" s="1"/>
  <c r="D400" i="14606"/>
  <c r="CZ141" i="14609" s="1"/>
  <c r="E399" i="14606"/>
  <c r="CK141" i="14609" s="1"/>
  <c r="E400" i="14606"/>
  <c r="DA141" i="14609" s="1"/>
  <c r="F400" i="14606"/>
  <c r="DB141" i="14609" s="1"/>
  <c r="G400" i="14606"/>
  <c r="DC141" i="14609" s="1"/>
  <c r="L398" i="14606"/>
  <c r="CB141" i="14609" s="1"/>
  <c r="F399" i="14606"/>
  <c r="CL141" i="14609" s="1"/>
  <c r="G399" i="14606"/>
  <c r="CM141" i="14609" s="1"/>
  <c r="H399" i="14606"/>
  <c r="CN141" i="14609" s="1"/>
  <c r="I399" i="14606"/>
  <c r="CO141" i="14609" s="1"/>
  <c r="J399" i="14606"/>
  <c r="CP141" i="14609" s="1"/>
  <c r="K399" i="14606"/>
  <c r="CQ141" i="14609" s="1"/>
  <c r="L399" i="14606"/>
  <c r="CR141" i="14609" s="1"/>
  <c r="H400" i="14606"/>
  <c r="DD141" i="14609" s="1"/>
  <c r="I400" i="14606"/>
  <c r="DE141" i="14609" s="1"/>
  <c r="J400" i="14606"/>
  <c r="DF141" i="14609" s="1"/>
  <c r="K400" i="14606"/>
  <c r="DG141" i="14609" s="1"/>
  <c r="L400" i="14606"/>
  <c r="DH141" i="14609" s="1"/>
  <c r="A1" i="2"/>
  <c r="B20" i="14609" s="1"/>
  <c r="B9" i="14600"/>
  <c r="DV113" i="14609" s="1"/>
  <c r="A6" i="14600"/>
  <c r="T113" i="14609" s="1"/>
  <c r="AY9" i="2" l="1"/>
  <c r="FL25" i="14609"/>
  <c r="B14" i="14600"/>
  <c r="AS114" i="14609" s="1"/>
  <c r="B7" i="14600"/>
  <c r="BD113" i="14609" s="1"/>
  <c r="B12" i="14600"/>
  <c r="HW113" i="14609" s="1"/>
  <c r="B13" i="14600"/>
  <c r="J114" i="14609" s="1"/>
  <c r="B11" i="14600"/>
  <c r="GN113" i="14609" s="1"/>
  <c r="B10" i="14600"/>
  <c r="FE113" i="14609" s="1"/>
  <c r="P9" i="14600"/>
  <c r="EJ113" i="14609" s="1"/>
  <c r="A7" i="2"/>
  <c r="AN24" i="14609" s="1"/>
  <c r="A20" i="14609"/>
  <c r="AF6" i="2"/>
  <c r="ET23" i="14609" s="1"/>
  <c r="K14" i="14600"/>
  <c r="BB114" i="14609" s="1"/>
  <c r="K11" i="14600"/>
  <c r="GW113" i="14609" s="1"/>
  <c r="K10" i="14600"/>
  <c r="FN113" i="14609" s="1"/>
  <c r="K12" i="14600"/>
  <c r="IF113" i="14609" s="1"/>
  <c r="K13" i="14600"/>
  <c r="S114" i="14609" s="1"/>
  <c r="AR9" i="2" l="1"/>
  <c r="GF25" i="14609"/>
  <c r="M13" i="14600"/>
  <c r="U114" i="14609" s="1"/>
  <c r="P13" i="14600"/>
  <c r="X114" i="14609" s="1"/>
  <c r="M12" i="14600"/>
  <c r="IH113" i="14609" s="1"/>
  <c r="P12" i="14600"/>
  <c r="IK113" i="14609" s="1"/>
  <c r="M10" i="14600"/>
  <c r="FP113" i="14609" s="1"/>
  <c r="P10" i="14600"/>
  <c r="FS113" i="14609" s="1"/>
  <c r="M11" i="14600"/>
  <c r="GY113" i="14609" s="1"/>
  <c r="P11" i="14600"/>
  <c r="HB113" i="14609" s="1"/>
  <c r="M14" i="14600"/>
  <c r="BD114" i="14609" s="1"/>
  <c r="P14" i="14600"/>
  <c r="BG114" i="14609" s="1"/>
  <c r="A2" i="2"/>
  <c r="FW20" i="14609" s="1"/>
  <c r="A4" i="2"/>
  <c r="U22" i="14609" s="1"/>
  <c r="FY25" i="14609" l="1"/>
  <c r="AF9" i="2"/>
  <c r="AT9" i="2"/>
  <c r="AS9" i="2"/>
  <c r="A5" i="2"/>
  <c r="GP22" i="14609" s="1"/>
  <c r="J1" i="2"/>
  <c r="K20" i="14609" s="1"/>
  <c r="H2" i="2"/>
  <c r="GD20" i="14609" s="1"/>
  <c r="D3" i="2"/>
  <c r="CY21" i="14609" s="1"/>
  <c r="B4" i="2"/>
  <c r="V22" i="14609" s="1"/>
  <c r="F2" i="2"/>
  <c r="GB20" i="14609" s="1"/>
  <c r="FZ25" i="14609" l="1"/>
  <c r="GA25" i="14609"/>
  <c r="AU9" i="2"/>
  <c r="FM25" i="14609"/>
  <c r="AH1" i="2"/>
  <c r="AI20" i="14609" s="1"/>
  <c r="D7" i="9"/>
  <c r="CY2" i="14609" s="1"/>
  <c r="D4" i="2"/>
  <c r="X22" i="14609" s="1"/>
  <c r="G7" i="9"/>
  <c r="DB2" i="14609" s="1"/>
  <c r="H3" i="2"/>
  <c r="I2" i="2"/>
  <c r="GE20" i="14609" s="1"/>
  <c r="I3" i="2" l="1"/>
  <c r="DD21" i="14609" s="1"/>
  <c r="DC21" i="14609"/>
  <c r="GB25" i="14609"/>
  <c r="AV9" i="2"/>
  <c r="GC25" i="14609" s="1"/>
  <c r="H14" i="9"/>
  <c r="H4" i="14609" s="1"/>
  <c r="H16" i="9"/>
  <c r="DV4" i="14609" s="1"/>
  <c r="H17" i="9"/>
  <c r="GC4" i="14609" s="1"/>
  <c r="H19" i="9"/>
  <c r="AU5" i="14609" s="1"/>
  <c r="H10" i="9"/>
  <c r="AB3" i="14609" s="1"/>
  <c r="H20" i="9"/>
  <c r="DB5" i="14609" s="1"/>
  <c r="H21" i="9"/>
  <c r="FI5" i="14609" s="1"/>
  <c r="H11" i="9"/>
  <c r="CI3" i="14609" s="1"/>
  <c r="H12" i="9"/>
  <c r="EP3" i="14609" s="1"/>
  <c r="H13" i="9"/>
  <c r="H15" i="9"/>
  <c r="BO4" i="14609" s="1"/>
  <c r="H18" i="9"/>
  <c r="IJ4" i="14609" s="1"/>
  <c r="E12" i="9"/>
  <c r="EM3" i="14609" s="1"/>
  <c r="E18" i="9"/>
  <c r="IG4" i="14609" s="1"/>
  <c r="E19" i="9"/>
  <c r="AR5" i="14609" s="1"/>
  <c r="E16" i="9"/>
  <c r="DS4" i="14609" s="1"/>
  <c r="E13" i="9"/>
  <c r="E17" i="9"/>
  <c r="FZ4" i="14609" s="1"/>
  <c r="E11" i="9"/>
  <c r="CF3" i="14609" s="1"/>
  <c r="E15" i="9"/>
  <c r="BL4" i="14609" s="1"/>
  <c r="E14" i="9"/>
  <c r="E4" i="14609" s="1"/>
  <c r="E20" i="9"/>
  <c r="CY5" i="14609" s="1"/>
  <c r="E10" i="9"/>
  <c r="Y3" i="14609" s="1"/>
  <c r="FV13" i="14609" l="1"/>
  <c r="GT3" i="14609"/>
  <c r="FY13" i="14609"/>
  <c r="GW3" i="14609"/>
</calcChain>
</file>

<file path=xl/sharedStrings.xml><?xml version="1.0" encoding="utf-8"?>
<sst xmlns="http://schemas.openxmlformats.org/spreadsheetml/2006/main" count="410" uniqueCount="235">
  <si>
    <t>Powerlifting (3 lift meet)</t>
  </si>
  <si>
    <t>Bench Press Only</t>
  </si>
  <si>
    <t>Squat Only</t>
  </si>
  <si>
    <t>Deadlift Only</t>
  </si>
  <si>
    <t>Push Pull (Bench &amp; Deadlift)</t>
  </si>
  <si>
    <t>Contest Name</t>
  </si>
  <si>
    <t>Date</t>
  </si>
  <si>
    <t>Team Points</t>
  </si>
  <si>
    <t>Platform Weight Set</t>
  </si>
  <si>
    <t>Kg</t>
  </si>
  <si>
    <t>Weight Classes</t>
  </si>
  <si>
    <t>Divisions</t>
  </si>
  <si>
    <t>Place</t>
  </si>
  <si>
    <t>Points</t>
  </si>
  <si>
    <t>Pounds</t>
  </si>
  <si>
    <t>Kilos</t>
  </si>
  <si>
    <t>BWt (Kg)</t>
  </si>
  <si>
    <t>Abbrev</t>
  </si>
  <si>
    <t>Description</t>
  </si>
  <si>
    <t>Scoring</t>
  </si>
  <si>
    <t>M-SR</t>
  </si>
  <si>
    <t>Senior Men</t>
  </si>
  <si>
    <t>How</t>
  </si>
  <si>
    <t>Pound</t>
  </si>
  <si>
    <t>LOAD</t>
  </si>
  <si>
    <t>Kilo</t>
  </si>
  <si>
    <t>limit</t>
  </si>
  <si>
    <t>Men</t>
  </si>
  <si>
    <t>Women</t>
  </si>
  <si>
    <t>F-SR</t>
  </si>
  <si>
    <t>Senior Women</t>
  </si>
  <si>
    <t>Many?</t>
  </si>
  <si>
    <t>Plates</t>
  </si>
  <si>
    <t>on Bar</t>
  </si>
  <si>
    <t>M-JR</t>
  </si>
  <si>
    <t>Junior Men</t>
  </si>
  <si>
    <t>F-JR</t>
  </si>
  <si>
    <t>Junior Women</t>
  </si>
  <si>
    <t>M-M</t>
  </si>
  <si>
    <t>Men Masters</t>
  </si>
  <si>
    <t>F-M</t>
  </si>
  <si>
    <t>Women Masters</t>
  </si>
  <si>
    <t>107+</t>
  </si>
  <si>
    <t>86+</t>
  </si>
  <si>
    <t>Bar plus Collars</t>
  </si>
  <si>
    <t>Squat</t>
  </si>
  <si>
    <t>BP &amp; DL</t>
  </si>
  <si>
    <t>Results - Lbs &amp; Kgs?</t>
  </si>
  <si>
    <t>no</t>
  </si>
  <si>
    <t>Reset for New Contest</t>
  </si>
  <si>
    <t>Web Upload</t>
  </si>
  <si>
    <t>Disable</t>
  </si>
  <si>
    <t>FTP site</t>
  </si>
  <si>
    <t>User Name</t>
  </si>
  <si>
    <t>Folder/File Name</t>
  </si>
  <si>
    <t>Website</t>
  </si>
  <si>
    <t>Flight</t>
  </si>
  <si>
    <t>Surname, Given Name</t>
  </si>
  <si>
    <t>Date of Birth</t>
  </si>
  <si>
    <t>Div</t>
  </si>
  <si>
    <t>WtCls (Kg)</t>
  </si>
  <si>
    <t>Wilks Coeff</t>
  </si>
  <si>
    <t>Lot #</t>
  </si>
  <si>
    <t>Bwt (scale)</t>
  </si>
  <si>
    <t>Left Leg Wt Adj</t>
  </si>
  <si>
    <t>Right Leg Wt Adj</t>
  </si>
  <si>
    <t>Bwt Addition</t>
  </si>
  <si>
    <t>Adjusted Bwt</t>
  </si>
  <si>
    <t>Best Squat</t>
  </si>
  <si>
    <t>RH BP</t>
  </si>
  <si>
    <t xml:space="preserve">  Bench 1</t>
  </si>
  <si>
    <t>Bench 2</t>
  </si>
  <si>
    <t>Bench 3</t>
  </si>
  <si>
    <t>Bench 4</t>
  </si>
  <si>
    <t>Best Bench</t>
  </si>
  <si>
    <t>Sub Total</t>
  </si>
  <si>
    <t>Deadlift 2</t>
  </si>
  <si>
    <t>Deadlift 3</t>
  </si>
  <si>
    <t>Deadlift 4</t>
  </si>
  <si>
    <t>Best Deadlift</t>
  </si>
  <si>
    <t>Coeff Score</t>
  </si>
  <si>
    <t>Age  &amp; Coeff</t>
  </si>
  <si>
    <t>Place code</t>
  </si>
  <si>
    <t>Pl-Div-WtCl</t>
  </si>
  <si>
    <t>Team Pts</t>
  </si>
  <si>
    <t>IPC ID Num.</t>
  </si>
  <si>
    <t>NPC</t>
  </si>
  <si>
    <t>Event check</t>
  </si>
  <si>
    <t>sort #</t>
  </si>
  <si>
    <t>lbs/kg</t>
  </si>
  <si>
    <t>scoring value</t>
  </si>
  <si>
    <t>rank</t>
  </si>
  <si>
    <t>status</t>
  </si>
  <si>
    <t xml:space="preserve"> Squat  1</t>
  </si>
  <si>
    <t xml:space="preserve"> Squat  2</t>
  </si>
  <si>
    <t xml:space="preserve"> Squat  3</t>
  </si>
  <si>
    <t xml:space="preserve"> Squat  4</t>
  </si>
  <si>
    <t>Bench 1</t>
  </si>
  <si>
    <t>Bench  4</t>
  </si>
  <si>
    <t>Deadlift 1</t>
  </si>
  <si>
    <t>FIGLEY, Chelsi</t>
  </si>
  <si>
    <t>SB</t>
  </si>
  <si>
    <t>No Adj</t>
  </si>
  <si>
    <t>USA</t>
  </si>
  <si>
    <t>DYCE. Ashley</t>
  </si>
  <si>
    <t>25.02.1987</t>
  </si>
  <si>
    <t>BILLINGSLEY, JaQue</t>
  </si>
  <si>
    <t>13.03.1996</t>
  </si>
  <si>
    <t>BODY, Bobby</t>
  </si>
  <si>
    <t>24.06.1974</t>
  </si>
  <si>
    <t>CLEMONS, Dennis</t>
  </si>
  <si>
    <t>02.04.1983</t>
  </si>
  <si>
    <t>HEINRICHS, Bradley</t>
  </si>
  <si>
    <t>02.07.1988</t>
  </si>
  <si>
    <t>LBK?</t>
  </si>
  <si>
    <t>HERBERT. Jacob</t>
  </si>
  <si>
    <t>04.09.1991</t>
  </si>
  <si>
    <t>BAK?</t>
  </si>
  <si>
    <t>KLAVITTER, Daniel</t>
  </si>
  <si>
    <t>04.02.1986</t>
  </si>
  <si>
    <t>RBK?</t>
  </si>
  <si>
    <t>KRAUSE, Peter</t>
  </si>
  <si>
    <t>19.08.1987</t>
  </si>
  <si>
    <t>LARGO, Christian</t>
  </si>
  <si>
    <t>22.12.1998</t>
  </si>
  <si>
    <t>OGAR, Kevin</t>
  </si>
  <si>
    <t>19.10.1985</t>
  </si>
  <si>
    <t>P</t>
  </si>
  <si>
    <t>PAGE, David</t>
  </si>
  <si>
    <t>18.06.1994</t>
  </si>
  <si>
    <t>BAK</t>
  </si>
  <si>
    <t>Above Knee</t>
  </si>
  <si>
    <t>SCHROM, Jacob</t>
  </si>
  <si>
    <t>RAK</t>
  </si>
  <si>
    <t>SEGURA, Bryce</t>
  </si>
  <si>
    <t>CP</t>
  </si>
  <si>
    <t>STEARNS, Jacob</t>
  </si>
  <si>
    <t>14.09.1988</t>
  </si>
  <si>
    <t>RBK</t>
  </si>
  <si>
    <t>Below Knee</t>
  </si>
  <si>
    <t>Sort-on</t>
  </si>
  <si>
    <t>Wt Cls</t>
  </si>
  <si>
    <t>A</t>
  </si>
  <si>
    <t>DANBERG, Scott</t>
  </si>
  <si>
    <t>$BB$1:$BE$1</t>
  </si>
  <si>
    <t>B</t>
  </si>
  <si>
    <t>C</t>
  </si>
  <si>
    <t>S15</t>
  </si>
  <si>
    <t>D</t>
  </si>
  <si>
    <t>automatic</t>
  </si>
  <si>
    <t>PL Total</t>
  </si>
  <si>
    <t>$BB$1:$BM$1</t>
  </si>
  <si>
    <t>E</t>
  </si>
  <si>
    <t>Push Pull Total</t>
  </si>
  <si>
    <t>$BB$1:$BI$1</t>
  </si>
  <si>
    <t>F</t>
  </si>
  <si>
    <t>G</t>
  </si>
  <si>
    <t>Sort data</t>
  </si>
  <si>
    <t>Flt A</t>
  </si>
  <si>
    <t>AH Coeff</t>
  </si>
  <si>
    <t>Left Leg Status</t>
  </si>
  <si>
    <t>Right Leg Status</t>
  </si>
  <si>
    <t>Addt'l Wt</t>
  </si>
  <si>
    <t>Adj Bwt</t>
  </si>
  <si>
    <t>f'cast attempt</t>
  </si>
  <si>
    <t>AH Score</t>
  </si>
  <si>
    <t>Forecast AH Score</t>
  </si>
  <si>
    <t>Pl code</t>
  </si>
  <si>
    <t>Tm Pts</t>
  </si>
  <si>
    <t>M/F</t>
  </si>
  <si>
    <t>valid score?</t>
  </si>
  <si>
    <t>Div wt</t>
  </si>
  <si>
    <t>Div rank</t>
  </si>
  <si>
    <t>place</t>
  </si>
  <si>
    <t>bwt</t>
  </si>
  <si>
    <t>bwt rank</t>
  </si>
  <si>
    <t>abs score</t>
  </si>
  <si>
    <t>H</t>
  </si>
  <si>
    <t>Age</t>
  </si>
  <si>
    <t>Coeff</t>
  </si>
  <si>
    <t>Copyright - Joe Marksteiner - 2005</t>
  </si>
  <si>
    <t>KG</t>
  </si>
  <si>
    <t>Women's Coeff</t>
  </si>
  <si>
    <t>Men's Coeff</t>
  </si>
  <si>
    <t>Foster Age Multiples</t>
  </si>
  <si>
    <t>Weight Classes (Kg)</t>
  </si>
  <si>
    <t>McCulloch Numbers</t>
  </si>
  <si>
    <t>LB</t>
  </si>
  <si>
    <t>Upper limit (lbs)</t>
  </si>
  <si>
    <t>SHW</t>
  </si>
  <si>
    <t>------</t>
  </si>
  <si>
    <t>Ankle</t>
  </si>
  <si>
    <t>Hip</t>
  </si>
  <si>
    <t>0?781972</t>
  </si>
  <si>
    <t>Flt B</t>
  </si>
  <si>
    <t>Name</t>
  </si>
  <si>
    <t>RH Sq</t>
  </si>
  <si>
    <t>AH Coeff Score</t>
  </si>
  <si>
    <t>contest logo here</t>
  </si>
  <si>
    <t>Division</t>
  </si>
  <si>
    <t>Open Women</t>
  </si>
  <si>
    <t>WtCls</t>
  </si>
  <si>
    <t>This program is free.</t>
  </si>
  <si>
    <t>Anybody may use, copy or share it and it may be freely distributed.</t>
  </si>
  <si>
    <t>It is copyrighted because I wouldn't want sombody else to sell it.</t>
  </si>
  <si>
    <t>All I ask, is if you use the program and you like it that you consider a contribution in my daughter's name to the Little Star Foundation.</t>
  </si>
  <si>
    <t>You can find them on the web at http://www.littlestar.org/</t>
  </si>
  <si>
    <t>In January 2002 we lost our 16 year old daughter - Liz Marksteiner - after a 16-month fight with cancer.</t>
  </si>
  <si>
    <t>She grew up around powerlifting and though Liz never had any desire to lift, she was so proud of my wife and me when we were competing.</t>
  </si>
  <si>
    <t>When she was old enough she almost always found a way to help out - if she were here she'd be running this program.</t>
  </si>
  <si>
    <t>The summer before her death she spent a magical week at the foundation's Silver Lining Ranch in the Colorado mountains she loved.</t>
  </si>
  <si>
    <t>The ranch is a retreat for kids with cancer and it meant so much to her and us.</t>
  </si>
  <si>
    <t>Best of luck with the program.</t>
  </si>
  <si>
    <t>Sincerely</t>
  </si>
  <si>
    <t>Joe Marksteiner</t>
  </si>
  <si>
    <t>e-mail</t>
  </si>
  <si>
    <t>home</t>
  </si>
  <si>
    <t>steinmark@aol.com</t>
  </si>
  <si>
    <t>work</t>
  </si>
  <si>
    <t>joe.marksteiner@ae.ge.com</t>
  </si>
  <si>
    <t>phone</t>
  </si>
  <si>
    <t>513-755-6878</t>
  </si>
  <si>
    <t>513-552-2122</t>
  </si>
  <si>
    <t>cell</t>
  </si>
  <si>
    <t>513-477-0775</t>
  </si>
  <si>
    <t>Available</t>
  </si>
  <si>
    <t>Bar &amp; Collars</t>
  </si>
  <si>
    <t>Index</t>
  </si>
  <si>
    <t>Weight</t>
  </si>
  <si>
    <t>Collar</t>
  </si>
  <si>
    <t>Wt w/o bar</t>
  </si>
  <si>
    <t>IPC Powerlifting Results Template</t>
  </si>
  <si>
    <t>AAAAAH81c5E=</t>
  </si>
  <si>
    <t>AAAAAH81c5I=</t>
  </si>
  <si>
    <t>AAAAAH81c5M=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</si>
</sst>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"/>
    <numFmt numFmtId="165" formatCode="0.0000"/>
    <numFmt numFmtId="166" formatCode="0.000"/>
    <numFmt numFmtId="167" formatCode="0.00000000000"/>
    <numFmt numFmtId="168" formatCode="0.000000000"/>
    <numFmt numFmtId="169" formatCode="m/d/yy;@"/>
    <numFmt numFmtId="170" formatCode="m/d/yyyy;@"/>
    <numFmt numFmtId="171" formatCode="yyyy\-mm\-dd;@"/>
    <numFmt numFmtId="172" formatCode="m/d;@"/>
    <numFmt numFmtId="173" formatCode="dd\.mm\.yyyy;@"/>
    <numFmt numFmtId="174" formatCode="dd/mm/yyyy;@"/>
  </numFmts>
  <fonts count="4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Arial"/>
      <family val="2"/>
    </font>
    <font>
      <b/>
      <sz val="20"/>
      <name val="Arial"/>
      <family val="2"/>
    </font>
    <font>
      <sz val="10"/>
      <color indexed="22"/>
      <name val="Arial"/>
      <family val="2"/>
    </font>
    <font>
      <b/>
      <sz val="9"/>
      <name val="Arial"/>
      <family val="2"/>
    </font>
    <font>
      <sz val="18"/>
      <name val="Arial"/>
      <family val="2"/>
    </font>
    <font>
      <sz val="1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b/>
      <sz val="18"/>
      <color indexed="9"/>
      <name val="Arial"/>
      <family val="2"/>
    </font>
    <font>
      <sz val="10"/>
      <color indexed="10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10"/>
      <color indexed="55"/>
      <name val="Arial"/>
      <family val="2"/>
    </font>
    <font>
      <sz val="20"/>
      <name val="Arial"/>
      <family val="2"/>
    </font>
    <font>
      <sz val="10"/>
      <color indexed="9"/>
      <name val="Arial"/>
      <family val="2"/>
    </font>
    <font>
      <b/>
      <sz val="28"/>
      <color indexed="9"/>
      <name val="Arial"/>
      <family val="2"/>
    </font>
    <font>
      <b/>
      <sz val="20"/>
      <color indexed="9"/>
      <name val="Arial"/>
      <family val="2"/>
    </font>
    <font>
      <sz val="14"/>
      <color indexed="9"/>
      <name val="Arial"/>
      <family val="2"/>
    </font>
    <font>
      <b/>
      <u/>
      <sz val="20"/>
      <color indexed="9"/>
      <name val="Arial"/>
      <family val="2"/>
    </font>
    <font>
      <sz val="16"/>
      <color indexed="9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8"/>
      <name val="Arial"/>
      <family val="2"/>
    </font>
    <font>
      <sz val="14"/>
      <color indexed="55"/>
      <name val="Arial"/>
      <family val="2"/>
    </font>
    <font>
      <sz val="22"/>
      <name val="Arial"/>
      <family val="2"/>
    </font>
    <font>
      <sz val="28"/>
      <name val="Arial"/>
      <family val="2"/>
    </font>
    <font>
      <sz val="8"/>
      <color rgb="FFFF0000"/>
      <name val="Arial"/>
      <family val="2"/>
    </font>
    <font>
      <b/>
      <sz val="16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1" fillId="0" borderId="0"/>
  </cellStyleXfs>
  <cellXfs count="355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167" fontId="2" fillId="0" borderId="0" xfId="0" applyNumberFormat="1" applyFont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0" fillId="0" borderId="2" xfId="0" applyBorder="1" applyAlignment="1" applyProtection="1">
      <alignment horizontal="center"/>
      <protection locked="0"/>
    </xf>
    <xf numFmtId="0" fontId="0" fillId="0" borderId="0" xfId="0" applyAlignment="1">
      <alignment horizontal="right"/>
    </xf>
    <xf numFmtId="0" fontId="4" fillId="0" borderId="0" xfId="1" applyAlignment="1" applyProtection="1"/>
    <xf numFmtId="0" fontId="0" fillId="3" borderId="1" xfId="0" applyFill="1" applyBorder="1" applyProtection="1">
      <protection locked="0"/>
    </xf>
    <xf numFmtId="0" fontId="0" fillId="0" borderId="0" xfId="0" applyProtection="1">
      <protection locked="0"/>
    </xf>
    <xf numFmtId="0" fontId="0" fillId="0" borderId="6" xfId="0" applyBorder="1" applyAlignment="1" applyProtection="1">
      <alignment horizontal="center"/>
      <protection locked="0"/>
    </xf>
    <xf numFmtId="0" fontId="7" fillId="2" borderId="0" xfId="0" applyFont="1" applyFill="1" applyAlignment="1">
      <alignment horizontal="center"/>
    </xf>
    <xf numFmtId="0" fontId="7" fillId="2" borderId="0" xfId="0" applyFont="1" applyFill="1"/>
    <xf numFmtId="0" fontId="3" fillId="2" borderId="7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/>
    <xf numFmtId="0" fontId="0" fillId="2" borderId="1" xfId="0" applyFill="1" applyBorder="1"/>
    <xf numFmtId="0" fontId="0" fillId="0" borderId="9" xfId="0" applyBorder="1"/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0" fillId="0" borderId="12" xfId="0" applyBorder="1"/>
    <xf numFmtId="0" fontId="0" fillId="2" borderId="10" xfId="0" applyFill="1" applyBorder="1" applyAlignment="1">
      <alignment horizontal="center"/>
    </xf>
    <xf numFmtId="0" fontId="3" fillId="2" borderId="0" xfId="0" applyFont="1" applyFill="1" applyAlignment="1">
      <alignment horizontal="left"/>
    </xf>
    <xf numFmtId="0" fontId="0" fillId="2" borderId="6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Border="1"/>
    <xf numFmtId="0" fontId="16" fillId="2" borderId="0" xfId="0" applyFont="1" applyFill="1" applyAlignment="1">
      <alignment horizontal="center"/>
    </xf>
    <xf numFmtId="0" fontId="3" fillId="2" borderId="14" xfId="0" applyFont="1" applyFill="1" applyBorder="1" applyAlignment="1">
      <alignment horizontal="center" wrapText="1"/>
    </xf>
    <xf numFmtId="0" fontId="0" fillId="4" borderId="1" xfId="0" applyFill="1" applyBorder="1" applyAlignment="1">
      <alignment horizontal="center"/>
    </xf>
    <xf numFmtId="0" fontId="11" fillId="0" borderId="0" xfId="0" applyFont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11" fillId="0" borderId="6" xfId="0" applyFont="1" applyBorder="1" applyAlignment="1" applyProtection="1">
      <alignment horizontal="center"/>
      <protection locked="0"/>
    </xf>
    <xf numFmtId="165" fontId="11" fillId="0" borderId="6" xfId="0" applyNumberFormat="1" applyFont="1" applyBorder="1" applyAlignment="1" applyProtection="1">
      <alignment horizontal="center"/>
      <protection locked="0"/>
    </xf>
    <xf numFmtId="166" fontId="11" fillId="0" borderId="6" xfId="0" applyNumberFormat="1" applyFont="1" applyBorder="1" applyAlignment="1" applyProtection="1">
      <alignment horizontal="center"/>
      <protection locked="0"/>
    </xf>
    <xf numFmtId="165" fontId="11" fillId="0" borderId="0" xfId="0" applyNumberFormat="1" applyFont="1" applyAlignment="1" applyProtection="1">
      <alignment horizontal="center"/>
      <protection locked="0"/>
    </xf>
    <xf numFmtId="164" fontId="11" fillId="0" borderId="0" xfId="0" applyNumberFormat="1" applyFont="1" applyAlignment="1" applyProtection="1">
      <alignment horizontal="center"/>
      <protection locked="0"/>
    </xf>
    <xf numFmtId="166" fontId="11" fillId="0" borderId="0" xfId="0" applyNumberFormat="1" applyFont="1" applyAlignment="1" applyProtection="1">
      <alignment horizontal="center"/>
      <protection locked="0"/>
    </xf>
    <xf numFmtId="164" fontId="11" fillId="0" borderId="6" xfId="0" applyNumberFormat="1" applyFont="1" applyBorder="1" applyAlignment="1" applyProtection="1">
      <alignment horizontal="center"/>
      <protection locked="0"/>
    </xf>
    <xf numFmtId="2" fontId="11" fillId="0" borderId="0" xfId="0" applyNumberFormat="1" applyFont="1" applyAlignment="1" applyProtection="1">
      <alignment horizontal="center"/>
      <protection locked="0"/>
    </xf>
    <xf numFmtId="2" fontId="11" fillId="0" borderId="6" xfId="0" applyNumberFormat="1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center" shrinkToFit="1"/>
      <protection locked="0"/>
    </xf>
    <xf numFmtId="0" fontId="11" fillId="0" borderId="6" xfId="0" applyFont="1" applyBorder="1" applyAlignment="1" applyProtection="1">
      <alignment horizontal="center" shrinkToFit="1"/>
      <protection locked="0"/>
    </xf>
    <xf numFmtId="1" fontId="0" fillId="0" borderId="0" xfId="0" applyNumberFormat="1" applyAlignment="1">
      <alignment horizontal="center"/>
    </xf>
    <xf numFmtId="0" fontId="0" fillId="0" borderId="10" xfId="0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0" fillId="0" borderId="5" xfId="0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6" fillId="0" borderId="0" xfId="0" applyFont="1" applyAlignment="1">
      <alignment vertical="center"/>
    </xf>
    <xf numFmtId="0" fontId="3" fillId="0" borderId="0" xfId="0" applyFont="1"/>
    <xf numFmtId="0" fontId="3" fillId="0" borderId="17" xfId="0" applyFont="1" applyBorder="1" applyAlignment="1">
      <alignment wrapText="1"/>
    </xf>
    <xf numFmtId="0" fontId="5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 wrapText="1"/>
    </xf>
    <xf numFmtId="166" fontId="0" fillId="0" borderId="0" xfId="0" applyNumberFormat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9" fillId="0" borderId="19" xfId="0" applyFont="1" applyBorder="1" applyAlignment="1">
      <alignment horizontal="center" vertical="center" shrinkToFit="1"/>
    </xf>
    <xf numFmtId="0" fontId="0" fillId="0" borderId="20" xfId="0" applyBorder="1" applyAlignment="1">
      <alignment horizontal="center"/>
    </xf>
    <xf numFmtId="164" fontId="17" fillId="0" borderId="18" xfId="0" applyNumberFormat="1" applyFont="1" applyBorder="1" applyAlignment="1">
      <alignment vertical="center" shrinkToFit="1"/>
    </xf>
    <xf numFmtId="0" fontId="0" fillId="2" borderId="6" xfId="0" applyFill="1" applyBorder="1"/>
    <xf numFmtId="0" fontId="3" fillId="2" borderId="21" xfId="0" applyFont="1" applyFill="1" applyBorder="1" applyAlignment="1">
      <alignment horizontal="center" vertical="center" wrapText="1"/>
    </xf>
    <xf numFmtId="0" fontId="14" fillId="7" borderId="22" xfId="0" applyFont="1" applyFill="1" applyBorder="1" applyAlignment="1" applyProtection="1">
      <alignment horizontal="center" vertical="center" wrapText="1"/>
      <protection locked="0"/>
    </xf>
    <xf numFmtId="0" fontId="3" fillId="2" borderId="23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wrapText="1"/>
    </xf>
    <xf numFmtId="0" fontId="18" fillId="2" borderId="19" xfId="0" applyFont="1" applyFill="1" applyBorder="1" applyAlignment="1" applyProtection="1">
      <alignment horizontal="center" vertical="center" shrinkToFit="1"/>
      <protection locked="0"/>
    </xf>
    <xf numFmtId="1" fontId="0" fillId="0" borderId="6" xfId="0" applyNumberFormat="1" applyBorder="1" applyAlignment="1">
      <alignment horizontal="center"/>
    </xf>
    <xf numFmtId="0" fontId="19" fillId="2" borderId="0" xfId="0" applyFont="1" applyFill="1"/>
    <xf numFmtId="0" fontId="19" fillId="2" borderId="0" xfId="0" applyFont="1" applyFill="1" applyAlignment="1">
      <alignment horizontal="center"/>
    </xf>
    <xf numFmtId="0" fontId="19" fillId="2" borderId="0" xfId="0" applyFont="1" applyFill="1" applyAlignment="1">
      <alignment horizontal="left"/>
    </xf>
    <xf numFmtId="0" fontId="14" fillId="8" borderId="25" xfId="0" applyFont="1" applyFill="1" applyBorder="1" applyAlignment="1" applyProtection="1">
      <alignment horizontal="center" vertical="center" wrapText="1"/>
      <protection locked="0"/>
    </xf>
    <xf numFmtId="2" fontId="11" fillId="0" borderId="6" xfId="0" applyNumberFormat="1" applyFont="1" applyBorder="1" applyAlignment="1" applyProtection="1">
      <alignment horizontal="center" shrinkToFit="1"/>
      <protection locked="0"/>
    </xf>
    <xf numFmtId="2" fontId="11" fillId="0" borderId="0" xfId="0" applyNumberFormat="1" applyFont="1" applyAlignment="1" applyProtection="1">
      <alignment horizontal="center" shrinkToFit="1"/>
      <protection locked="0"/>
    </xf>
    <xf numFmtId="0" fontId="0" fillId="2" borderId="0" xfId="0" applyFill="1"/>
    <xf numFmtId="0" fontId="3" fillId="2" borderId="22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11" fillId="2" borderId="12" xfId="0" applyFont="1" applyFill="1" applyBorder="1" applyAlignment="1">
      <alignment wrapText="1"/>
    </xf>
    <xf numFmtId="0" fontId="0" fillId="2" borderId="18" xfId="0" applyFill="1" applyBorder="1"/>
    <xf numFmtId="0" fontId="11" fillId="2" borderId="18" xfId="0" applyFont="1" applyFill="1" applyBorder="1"/>
    <xf numFmtId="0" fontId="11" fillId="2" borderId="0" xfId="0" applyFont="1" applyFill="1" applyAlignment="1">
      <alignment wrapText="1"/>
    </xf>
    <xf numFmtId="0" fontId="0" fillId="2" borderId="0" xfId="0" quotePrefix="1" applyFill="1"/>
    <xf numFmtId="0" fontId="0" fillId="0" borderId="1" xfId="0" applyBorder="1" applyAlignment="1" applyProtection="1">
      <alignment horizontal="center" shrinkToFit="1"/>
      <protection locked="0"/>
    </xf>
    <xf numFmtId="0" fontId="0" fillId="0" borderId="6" xfId="0" applyBorder="1" applyAlignment="1">
      <alignment horizontal="center" shrinkToFit="1"/>
    </xf>
    <xf numFmtId="0" fontId="0" fillId="2" borderId="6" xfId="0" applyFill="1" applyBorder="1" applyAlignment="1">
      <alignment horizontal="center" shrinkToFit="1"/>
    </xf>
    <xf numFmtId="166" fontId="0" fillId="2" borderId="6" xfId="0" applyNumberFormat="1" applyFill="1" applyBorder="1" applyAlignment="1">
      <alignment horizontal="center" shrinkToFit="1"/>
    </xf>
    <xf numFmtId="0" fontId="0" fillId="0" borderId="27" xfId="0" applyBorder="1" applyAlignment="1">
      <alignment horizontal="center" shrinkToFit="1"/>
    </xf>
    <xf numFmtId="0" fontId="12" fillId="2" borderId="22" xfId="0" applyFont="1" applyFill="1" applyBorder="1" applyAlignment="1">
      <alignment horizontal="center" vertical="center" wrapText="1"/>
    </xf>
    <xf numFmtId="0" fontId="0" fillId="0" borderId="3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14" fillId="7" borderId="1" xfId="0" applyFont="1" applyFill="1" applyBorder="1" applyAlignment="1">
      <alignment horizontal="center" wrapText="1"/>
    </xf>
    <xf numFmtId="0" fontId="21" fillId="8" borderId="0" xfId="0" applyFont="1" applyFill="1" applyProtection="1">
      <protection locked="0"/>
    </xf>
    <xf numFmtId="0" fontId="21" fillId="8" borderId="0" xfId="0" applyFont="1" applyFill="1" applyAlignment="1" applyProtection="1">
      <alignment horizontal="center"/>
      <protection locked="0"/>
    </xf>
    <xf numFmtId="0" fontId="21" fillId="8" borderId="0" xfId="0" applyFont="1" applyFill="1" applyAlignment="1" applyProtection="1">
      <alignment horizontal="center" vertical="center" wrapText="1"/>
      <protection locked="0"/>
    </xf>
    <xf numFmtId="2" fontId="24" fillId="8" borderId="0" xfId="0" applyNumberFormat="1" applyFont="1" applyFill="1" applyAlignment="1">
      <alignment horizontal="center" vertical="center" wrapText="1"/>
    </xf>
    <xf numFmtId="0" fontId="24" fillId="8" borderId="0" xfId="0" applyFont="1" applyFill="1" applyAlignment="1" applyProtection="1">
      <alignment horizontal="center" vertical="center" wrapText="1"/>
      <protection locked="0"/>
    </xf>
    <xf numFmtId="2" fontId="21" fillId="8" borderId="0" xfId="0" applyNumberFormat="1" applyFont="1" applyFill="1" applyAlignment="1" applyProtection="1">
      <alignment horizontal="center"/>
      <protection locked="0"/>
    </xf>
    <xf numFmtId="0" fontId="23" fillId="8" borderId="0" xfId="0" applyFont="1" applyFill="1" applyAlignment="1">
      <alignment horizontal="left" vertical="center" wrapText="1"/>
    </xf>
    <xf numFmtId="0" fontId="21" fillId="8" borderId="0" xfId="0" applyFont="1" applyFill="1" applyAlignment="1">
      <alignment horizontal="center"/>
    </xf>
    <xf numFmtId="0" fontId="21" fillId="8" borderId="0" xfId="0" applyFont="1" applyFill="1"/>
    <xf numFmtId="0" fontId="26" fillId="8" borderId="0" xfId="0" applyFont="1" applyFill="1" applyAlignment="1">
      <alignment horizontal="center" vertical="center" wrapText="1"/>
    </xf>
    <xf numFmtId="0" fontId="26" fillId="8" borderId="0" xfId="0" applyFont="1" applyFill="1" applyAlignment="1">
      <alignment horizontal="left" vertical="center" wrapText="1"/>
    </xf>
    <xf numFmtId="0" fontId="24" fillId="8" borderId="0" xfId="0" applyFont="1" applyFill="1" applyAlignment="1">
      <alignment horizontal="center" vertical="center" wrapText="1"/>
    </xf>
    <xf numFmtId="0" fontId="21" fillId="8" borderId="0" xfId="0" applyFont="1" applyFill="1" applyAlignment="1" applyProtection="1">
      <alignment horizontal="left" vertical="center"/>
      <protection locked="0"/>
    </xf>
    <xf numFmtId="0" fontId="26" fillId="8" borderId="0" xfId="0" applyFont="1" applyFill="1" applyAlignment="1" applyProtection="1">
      <alignment horizontal="center" vertical="center" wrapText="1"/>
      <protection locked="0"/>
    </xf>
    <xf numFmtId="0" fontId="26" fillId="8" borderId="0" xfId="0" applyFont="1" applyFill="1" applyAlignment="1" applyProtection="1">
      <alignment horizontal="left" vertical="center" wrapText="1"/>
      <protection locked="0"/>
    </xf>
    <xf numFmtId="2" fontId="24" fillId="8" borderId="0" xfId="0" applyNumberFormat="1" applyFont="1" applyFill="1" applyAlignment="1" applyProtection="1">
      <alignment horizontal="center" vertical="center" wrapText="1"/>
      <protection locked="0"/>
    </xf>
    <xf numFmtId="15" fontId="6" fillId="0" borderId="23" xfId="0" applyNumberFormat="1" applyFont="1" applyBorder="1" applyAlignment="1" applyProtection="1">
      <alignment horizontal="center" shrinkToFit="1"/>
      <protection locked="0"/>
    </xf>
    <xf numFmtId="0" fontId="12" fillId="0" borderId="0" xfId="0" applyFont="1" applyAlignment="1">
      <alignment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shrinkToFit="1"/>
    </xf>
    <xf numFmtId="0" fontId="12" fillId="0" borderId="28" xfId="0" applyFont="1" applyBorder="1" applyAlignment="1">
      <alignment horizontal="center" vertical="center" wrapText="1"/>
    </xf>
    <xf numFmtId="165" fontId="12" fillId="0" borderId="28" xfId="0" applyNumberFormat="1" applyFont="1" applyBorder="1" applyAlignment="1">
      <alignment horizontal="center" vertical="center" wrapText="1"/>
    </xf>
    <xf numFmtId="164" fontId="12" fillId="0" borderId="28" xfId="0" applyNumberFormat="1" applyFont="1" applyBorder="1" applyAlignment="1">
      <alignment horizontal="center" vertical="center" wrapText="1"/>
    </xf>
    <xf numFmtId="2" fontId="12" fillId="0" borderId="28" xfId="0" applyNumberFormat="1" applyFont="1" applyBorder="1" applyAlignment="1">
      <alignment horizontal="center" vertical="center" wrapText="1"/>
    </xf>
    <xf numFmtId="166" fontId="12" fillId="0" borderId="28" xfId="0" applyNumberFormat="1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/>
    </xf>
    <xf numFmtId="0" fontId="27" fillId="2" borderId="0" xfId="0" applyFont="1" applyFill="1"/>
    <xf numFmtId="0" fontId="27" fillId="0" borderId="0" xfId="0" applyFont="1"/>
    <xf numFmtId="0" fontId="28" fillId="2" borderId="22" xfId="0" applyFont="1" applyFill="1" applyBorder="1" applyAlignment="1">
      <alignment horizontal="center" vertical="center" wrapText="1"/>
    </xf>
    <xf numFmtId="0" fontId="27" fillId="0" borderId="6" xfId="0" applyFont="1" applyBorder="1" applyAlignment="1">
      <alignment horizontal="center"/>
    </xf>
    <xf numFmtId="0" fontId="27" fillId="0" borderId="1" xfId="0" applyFont="1" applyBorder="1"/>
    <xf numFmtId="168" fontId="7" fillId="2" borderId="0" xfId="0" applyNumberFormat="1" applyFont="1" applyFill="1" applyAlignment="1">
      <alignment horizontal="center"/>
    </xf>
    <xf numFmtId="168" fontId="0" fillId="0" borderId="0" xfId="0" applyNumberFormat="1" applyAlignment="1">
      <alignment horizontal="center"/>
    </xf>
    <xf numFmtId="168" fontId="3" fillId="2" borderId="22" xfId="0" applyNumberFormat="1" applyFont="1" applyFill="1" applyBorder="1" applyAlignment="1">
      <alignment horizontal="center" vertical="center" wrapText="1"/>
    </xf>
    <xf numFmtId="168" fontId="0" fillId="0" borderId="1" xfId="0" applyNumberFormat="1" applyBorder="1" applyAlignment="1">
      <alignment horizontal="center"/>
    </xf>
    <xf numFmtId="166" fontId="3" fillId="2" borderId="2" xfId="0" applyNumberFormat="1" applyFont="1" applyFill="1" applyBorder="1" applyAlignment="1">
      <alignment horizontal="center" vertical="center"/>
    </xf>
    <xf numFmtId="166" fontId="0" fillId="0" borderId="0" xfId="0" applyNumberFormat="1"/>
    <xf numFmtId="166" fontId="3" fillId="2" borderId="3" xfId="0" applyNumberFormat="1" applyFont="1" applyFill="1" applyBorder="1" applyAlignment="1">
      <alignment horizontal="center" vertical="center"/>
    </xf>
    <xf numFmtId="0" fontId="5" fillId="0" borderId="1" xfId="0" quotePrefix="1" applyFont="1" applyBorder="1" applyAlignment="1">
      <alignment horizontal="center" wrapText="1"/>
    </xf>
    <xf numFmtId="0" fontId="25" fillId="8" borderId="0" xfId="0" applyFont="1" applyFill="1" applyAlignment="1" applyProtection="1">
      <alignment horizontal="center" vertical="center" shrinkToFit="1"/>
      <protection locked="0"/>
    </xf>
    <xf numFmtId="0" fontId="11" fillId="0" borderId="6" xfId="0" applyFont="1" applyBorder="1" applyAlignment="1">
      <alignment horizontal="center" shrinkToFit="1"/>
    </xf>
    <xf numFmtId="0" fontId="29" fillId="0" borderId="0" xfId="2" applyAlignment="1">
      <alignment horizontal="center" wrapText="1"/>
    </xf>
    <xf numFmtId="0" fontId="29" fillId="0" borderId="0" xfId="2" applyAlignment="1">
      <alignment wrapText="1"/>
    </xf>
    <xf numFmtId="0" fontId="29" fillId="0" borderId="0" xfId="2" applyAlignment="1">
      <alignment horizontal="center"/>
    </xf>
    <xf numFmtId="0" fontId="29" fillId="0" borderId="0" xfId="2"/>
    <xf numFmtId="0" fontId="16" fillId="0" borderId="0" xfId="2" applyFont="1" applyAlignment="1">
      <alignment horizontal="center"/>
    </xf>
    <xf numFmtId="0" fontId="2" fillId="2" borderId="0" xfId="2" applyFont="1" applyFill="1"/>
    <xf numFmtId="0" fontId="2" fillId="0" borderId="0" xfId="2" applyFont="1"/>
    <xf numFmtId="0" fontId="3" fillId="2" borderId="1" xfId="0" applyFont="1" applyFill="1" applyBorder="1" applyAlignment="1">
      <alignment wrapText="1"/>
    </xf>
    <xf numFmtId="0" fontId="3" fillId="2" borderId="29" xfId="0" applyFont="1" applyFill="1" applyBorder="1" applyAlignment="1">
      <alignment wrapText="1"/>
    </xf>
    <xf numFmtId="166" fontId="0" fillId="0" borderId="6" xfId="0" applyNumberFormat="1" applyBorder="1" applyAlignment="1">
      <alignment horizontal="center"/>
    </xf>
    <xf numFmtId="0" fontId="30" fillId="8" borderId="0" xfId="0" applyFont="1" applyFill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shrinkToFit="1"/>
      <protection locked="0"/>
    </xf>
    <xf numFmtId="49" fontId="7" fillId="2" borderId="0" xfId="0" applyNumberFormat="1" applyFont="1" applyFill="1" applyAlignment="1">
      <alignment horizontal="center"/>
    </xf>
    <xf numFmtId="49" fontId="0" fillId="0" borderId="0" xfId="0" applyNumberFormat="1" applyAlignment="1">
      <alignment horizontal="center"/>
    </xf>
    <xf numFmtId="49" fontId="3" fillId="2" borderId="25" xfId="0" applyNumberFormat="1" applyFont="1" applyFill="1" applyBorder="1" applyAlignment="1">
      <alignment horizontal="center" vertical="center" wrapText="1"/>
    </xf>
    <xf numFmtId="49" fontId="0" fillId="0" borderId="6" xfId="0" applyNumberFormat="1" applyBorder="1" applyAlignment="1" applyProtection="1">
      <alignment horizontal="center" shrinkToFit="1"/>
      <protection locked="0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 applyAlignment="1" applyProtection="1">
      <alignment horizontal="center"/>
      <protection locked="0"/>
    </xf>
    <xf numFmtId="0" fontId="18" fillId="2" borderId="33" xfId="0" applyFont="1" applyFill="1" applyBorder="1" applyAlignment="1">
      <alignment horizontal="center" vertical="center" shrinkToFit="1"/>
    </xf>
    <xf numFmtId="0" fontId="0" fillId="0" borderId="58" xfId="0" applyBorder="1" applyAlignment="1">
      <alignment horizontal="center"/>
    </xf>
    <xf numFmtId="164" fontId="17" fillId="0" borderId="0" xfId="0" applyNumberFormat="1" applyFont="1" applyAlignment="1">
      <alignment vertical="center" shrinkToFit="1"/>
    </xf>
    <xf numFmtId="0" fontId="0" fillId="0" borderId="38" xfId="0" applyBorder="1" applyAlignment="1">
      <alignment horizontal="center"/>
    </xf>
    <xf numFmtId="0" fontId="0" fillId="0" borderId="46" xfId="0" applyBorder="1" applyAlignment="1">
      <alignment horizontal="center"/>
    </xf>
    <xf numFmtId="164" fontId="17" fillId="0" borderId="8" xfId="0" applyNumberFormat="1" applyFont="1" applyBorder="1" applyAlignment="1">
      <alignment vertical="center" shrinkToFit="1"/>
    </xf>
    <xf numFmtId="164" fontId="17" fillId="0" borderId="39" xfId="0" applyNumberFormat="1" applyFont="1" applyBorder="1" applyAlignment="1">
      <alignment vertical="center" shrinkToFit="1"/>
    </xf>
    <xf numFmtId="164" fontId="17" fillId="0" borderId="19" xfId="0" applyNumberFormat="1" applyFont="1" applyBorder="1" applyAlignment="1">
      <alignment vertical="center" shrinkToFit="1"/>
    </xf>
    <xf numFmtId="165" fontId="11" fillId="0" borderId="0" xfId="0" applyNumberFormat="1" applyFont="1" applyAlignment="1">
      <alignment horizontal="center"/>
    </xf>
    <xf numFmtId="0" fontId="0" fillId="2" borderId="3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2" fillId="0" borderId="2" xfId="0" applyFont="1" applyBorder="1" applyAlignment="1" applyProtection="1">
      <alignment horizontal="center"/>
      <protection locked="0"/>
    </xf>
    <xf numFmtId="0" fontId="2" fillId="0" borderId="10" xfId="0" applyFont="1" applyBorder="1" applyAlignment="1" applyProtection="1">
      <alignment horizontal="center"/>
      <protection locked="0"/>
    </xf>
    <xf numFmtId="0" fontId="3" fillId="0" borderId="1" xfId="2" applyFont="1" applyBorder="1" applyAlignment="1">
      <alignment horizontal="center"/>
    </xf>
    <xf numFmtId="0" fontId="9" fillId="0" borderId="8" xfId="0" applyFont="1" applyBorder="1" applyAlignment="1">
      <alignment horizontal="center" vertical="center" shrinkToFit="1"/>
    </xf>
    <xf numFmtId="0" fontId="12" fillId="2" borderId="25" xfId="0" applyFont="1" applyFill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/>
      <protection locked="0"/>
    </xf>
    <xf numFmtId="0" fontId="2" fillId="0" borderId="0" xfId="0" applyFont="1" applyAlignment="1">
      <alignment horizontal="right"/>
    </xf>
    <xf numFmtId="0" fontId="33" fillId="11" borderId="24" xfId="0" applyFont="1" applyFill="1" applyBorder="1" applyAlignment="1">
      <alignment horizontal="center" vertical="center" wrapText="1"/>
    </xf>
    <xf numFmtId="0" fontId="33" fillId="11" borderId="25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wrapText="1"/>
    </xf>
    <xf numFmtId="49" fontId="2" fillId="0" borderId="1" xfId="0" applyNumberFormat="1" applyFont="1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169" fontId="12" fillId="0" borderId="28" xfId="0" applyNumberFormat="1" applyFont="1" applyBorder="1" applyAlignment="1">
      <alignment horizontal="center" vertical="center" wrapText="1"/>
    </xf>
    <xf numFmtId="169" fontId="11" fillId="0" borderId="6" xfId="0" applyNumberFormat="1" applyFont="1" applyBorder="1" applyAlignment="1" applyProtection="1">
      <alignment horizontal="center"/>
      <protection locked="0"/>
    </xf>
    <xf numFmtId="169" fontId="11" fillId="0" borderId="0" xfId="0" applyNumberFormat="1" applyFont="1" applyAlignment="1" applyProtection="1">
      <alignment horizontal="center"/>
      <protection locked="0"/>
    </xf>
    <xf numFmtId="170" fontId="0" fillId="0" borderId="1" xfId="0" applyNumberFormat="1" applyBorder="1" applyAlignment="1" applyProtection="1">
      <alignment horizontal="center"/>
      <protection locked="0"/>
    </xf>
    <xf numFmtId="170" fontId="3" fillId="2" borderId="1" xfId="0" applyNumberFormat="1" applyFont="1" applyFill="1" applyBorder="1" applyAlignment="1">
      <alignment horizontal="center" wrapText="1"/>
    </xf>
    <xf numFmtId="170" fontId="0" fillId="0" borderId="6" xfId="0" applyNumberFormat="1" applyBorder="1" applyAlignment="1" applyProtection="1">
      <alignment horizontal="center"/>
      <protection locked="0"/>
    </xf>
    <xf numFmtId="49" fontId="12" fillId="0" borderId="28" xfId="0" applyNumberFormat="1" applyFont="1" applyBorder="1" applyAlignment="1">
      <alignment horizontal="center" vertical="center" wrapText="1"/>
    </xf>
    <xf numFmtId="49" fontId="11" fillId="0" borderId="6" xfId="0" applyNumberFormat="1" applyFont="1" applyBorder="1" applyAlignment="1" applyProtection="1">
      <alignment horizontal="center"/>
      <protection locked="0"/>
    </xf>
    <xf numFmtId="49" fontId="11" fillId="0" borderId="0" xfId="0" applyNumberFormat="1" applyFont="1" applyAlignment="1" applyProtection="1">
      <alignment horizontal="center"/>
      <protection locked="0"/>
    </xf>
    <xf numFmtId="0" fontId="35" fillId="0" borderId="0" xfId="3" applyFont="1"/>
    <xf numFmtId="0" fontId="37" fillId="0" borderId="0" xfId="3" applyFont="1" applyAlignment="1">
      <alignment horizontal="left"/>
    </xf>
    <xf numFmtId="0" fontId="38" fillId="0" borderId="0" xfId="3" applyFont="1" applyAlignment="1">
      <alignment horizontal="center"/>
    </xf>
    <xf numFmtId="2" fontId="38" fillId="0" borderId="0" xfId="3" applyNumberFormat="1" applyFont="1" applyAlignment="1">
      <alignment horizontal="center"/>
    </xf>
    <xf numFmtId="0" fontId="35" fillId="0" borderId="0" xfId="3" applyFont="1" applyAlignment="1">
      <alignment horizontal="center"/>
    </xf>
    <xf numFmtId="2" fontId="35" fillId="0" borderId="0" xfId="3" applyNumberFormat="1" applyFont="1" applyAlignment="1">
      <alignment horizontal="center"/>
    </xf>
    <xf numFmtId="0" fontId="39" fillId="13" borderId="1" xfId="3" applyFont="1" applyFill="1" applyBorder="1" applyAlignment="1">
      <alignment horizontal="center" vertical="center"/>
    </xf>
    <xf numFmtId="0" fontId="39" fillId="13" borderId="1" xfId="3" applyFont="1" applyFill="1" applyBorder="1" applyAlignment="1">
      <alignment horizontal="center" vertical="center" wrapText="1"/>
    </xf>
    <xf numFmtId="2" fontId="39" fillId="13" borderId="1" xfId="3" applyNumberFormat="1" applyFont="1" applyFill="1" applyBorder="1" applyAlignment="1">
      <alignment horizontal="center" vertical="center"/>
    </xf>
    <xf numFmtId="0" fontId="35" fillId="0" borderId="0" xfId="3" applyFont="1" applyAlignment="1">
      <alignment vertical="center"/>
    </xf>
    <xf numFmtId="0" fontId="40" fillId="0" borderId="60" xfId="3" applyFont="1" applyBorder="1"/>
    <xf numFmtId="0" fontId="40" fillId="0" borderId="60" xfId="3" applyFont="1" applyBorder="1" applyAlignment="1">
      <alignment horizontal="center"/>
    </xf>
    <xf numFmtId="14" fontId="40" fillId="0" borderId="60" xfId="3" applyNumberFormat="1" applyFont="1" applyBorder="1" applyAlignment="1">
      <alignment horizontal="center"/>
    </xf>
    <xf numFmtId="2" fontId="40" fillId="0" borderId="60" xfId="3" applyNumberFormat="1" applyFont="1" applyBorder="1" applyAlignment="1">
      <alignment horizontal="center"/>
    </xf>
    <xf numFmtId="0" fontId="40" fillId="0" borderId="0" xfId="3" applyFont="1"/>
    <xf numFmtId="0" fontId="40" fillId="0" borderId="0" xfId="3" applyFont="1" applyAlignment="1">
      <alignment horizontal="center"/>
    </xf>
    <xf numFmtId="14" fontId="40" fillId="0" borderId="0" xfId="3" applyNumberFormat="1" applyFont="1" applyAlignment="1">
      <alignment horizontal="center"/>
    </xf>
    <xf numFmtId="2" fontId="40" fillId="0" borderId="0" xfId="3" applyNumberFormat="1" applyFont="1" applyAlignment="1">
      <alignment horizontal="center"/>
    </xf>
    <xf numFmtId="0" fontId="40" fillId="0" borderId="0" xfId="3" quotePrefix="1" applyFont="1"/>
    <xf numFmtId="0" fontId="40" fillId="0" borderId="7" xfId="3" applyFont="1" applyBorder="1"/>
    <xf numFmtId="0" fontId="40" fillId="0" borderId="7" xfId="3" quotePrefix="1" applyFont="1" applyBorder="1"/>
    <xf numFmtId="0" fontId="40" fillId="0" borderId="7" xfId="3" applyFont="1" applyBorder="1" applyAlignment="1">
      <alignment horizontal="center"/>
    </xf>
    <xf numFmtId="14" fontId="40" fillId="0" borderId="7" xfId="3" applyNumberFormat="1" applyFont="1" applyBorder="1" applyAlignment="1">
      <alignment horizontal="center"/>
    </xf>
    <xf numFmtId="2" fontId="40" fillId="0" borderId="7" xfId="3" applyNumberFormat="1" applyFont="1" applyBorder="1" applyAlignment="1">
      <alignment horizontal="center"/>
    </xf>
    <xf numFmtId="0" fontId="35" fillId="0" borderId="7" xfId="3" applyFont="1" applyBorder="1"/>
    <xf numFmtId="171" fontId="35" fillId="0" borderId="0" xfId="3" applyNumberFormat="1" applyFont="1" applyAlignment="1">
      <alignment horizontal="center"/>
    </xf>
    <xf numFmtId="0" fontId="2" fillId="0" borderId="3" xfId="0" applyFont="1" applyBorder="1" applyAlignment="1" applyProtection="1">
      <alignment horizontal="center"/>
      <protection locked="0"/>
    </xf>
    <xf numFmtId="172" fontId="0" fillId="0" borderId="1" xfId="0" applyNumberFormat="1" applyBorder="1" applyAlignment="1" applyProtection="1">
      <alignment horizontal="center"/>
      <protection locked="0"/>
    </xf>
    <xf numFmtId="0" fontId="2" fillId="0" borderId="1" xfId="3" applyFont="1" applyBorder="1" applyAlignment="1">
      <alignment horizontal="center"/>
    </xf>
    <xf numFmtId="0" fontId="2" fillId="0" borderId="6" xfId="3" applyFont="1" applyBorder="1" applyAlignment="1">
      <alignment horizontal="center"/>
    </xf>
    <xf numFmtId="173" fontId="2" fillId="0" borderId="1" xfId="3" applyNumberFormat="1" applyFont="1" applyBorder="1" applyAlignment="1">
      <alignment horizontal="center"/>
    </xf>
    <xf numFmtId="174" fontId="2" fillId="0" borderId="1" xfId="3" applyNumberFormat="1" applyFont="1" applyBorder="1" applyAlignment="1">
      <alignment horizontal="center"/>
    </xf>
    <xf numFmtId="173" fontId="2" fillId="0" borderId="6" xfId="3" applyNumberFormat="1" applyFont="1" applyBorder="1" applyAlignment="1">
      <alignment horizontal="center"/>
    </xf>
    <xf numFmtId="174" fontId="2" fillId="0" borderId="6" xfId="3" applyNumberFormat="1" applyFont="1" applyBorder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12" xfId="0" applyFont="1" applyFill="1" applyBorder="1"/>
    <xf numFmtId="0" fontId="2" fillId="0" borderId="0" xfId="0" applyFont="1" applyAlignment="1">
      <alignment horizontal="center" wrapText="1"/>
    </xf>
    <xf numFmtId="49" fontId="2" fillId="0" borderId="0" xfId="0" applyNumberFormat="1" applyFont="1" applyAlignment="1">
      <alignment horizontal="center" wrapText="1"/>
    </xf>
    <xf numFmtId="0" fontId="2" fillId="0" borderId="6" xfId="0" applyFont="1" applyBorder="1" applyAlignment="1" applyProtection="1">
      <alignment horizontal="center" shrinkToFit="1"/>
      <protection locked="0"/>
    </xf>
    <xf numFmtId="0" fontId="2" fillId="4" borderId="1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2" fillId="0" borderId="0" xfId="0" applyFont="1"/>
    <xf numFmtId="0" fontId="2" fillId="0" borderId="1" xfId="0" applyFont="1" applyBorder="1" applyAlignment="1">
      <alignment horizontal="center"/>
    </xf>
    <xf numFmtId="0" fontId="2" fillId="5" borderId="15" xfId="0" applyFont="1" applyFill="1" applyBorder="1" applyAlignment="1">
      <alignment horizontal="center" wrapText="1"/>
    </xf>
    <xf numFmtId="0" fontId="2" fillId="5" borderId="16" xfId="0" applyFont="1" applyFill="1" applyBorder="1" applyAlignment="1">
      <alignment horizontal="center" wrapText="1"/>
    </xf>
    <xf numFmtId="0" fontId="14" fillId="8" borderId="0" xfId="0" applyFont="1" applyFill="1" applyAlignment="1" applyProtection="1">
      <alignment horizontal="center" wrapText="1"/>
      <protection locked="0"/>
    </xf>
    <xf numFmtId="164" fontId="5" fillId="0" borderId="1" xfId="2" applyNumberFormat="1" applyFont="1" applyBorder="1" applyAlignment="1">
      <alignment horizontal="center" wrapText="1"/>
    </xf>
    <xf numFmtId="0" fontId="3" fillId="2" borderId="1" xfId="2" applyFont="1" applyFill="1" applyBorder="1" applyAlignment="1" applyProtection="1">
      <alignment horizontal="center" wrapText="1"/>
      <protection locked="0"/>
    </xf>
    <xf numFmtId="0" fontId="3" fillId="0" borderId="1" xfId="2" applyFont="1" applyBorder="1" applyAlignment="1" applyProtection="1">
      <alignment horizontal="center" wrapText="1"/>
      <protection locked="0"/>
    </xf>
    <xf numFmtId="164" fontId="5" fillId="0" borderId="1" xfId="2" applyNumberFormat="1" applyFont="1" applyBorder="1" applyAlignment="1" applyProtection="1">
      <alignment horizontal="center"/>
      <protection locked="0"/>
    </xf>
    <xf numFmtId="0" fontId="3" fillId="2" borderId="1" xfId="2" applyFont="1" applyFill="1" applyBorder="1" applyAlignment="1">
      <alignment horizontal="center"/>
    </xf>
    <xf numFmtId="0" fontId="3" fillId="0" borderId="1" xfId="2" applyFont="1" applyBorder="1" applyAlignment="1" applyProtection="1">
      <alignment horizontal="center"/>
      <protection locked="0"/>
    </xf>
    <xf numFmtId="164" fontId="5" fillId="0" borderId="1" xfId="2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0" xfId="0" applyAlignment="1">
      <alignment horizontal="left"/>
    </xf>
    <xf numFmtId="0" fontId="20" fillId="2" borderId="8" xfId="0" applyFont="1" applyFill="1" applyBorder="1" applyAlignment="1">
      <alignment horizontal="center" vertical="center" shrinkToFit="1"/>
    </xf>
    <xf numFmtId="0" fontId="20" fillId="2" borderId="19" xfId="0" applyFont="1" applyFill="1" applyBorder="1" applyAlignment="1">
      <alignment horizontal="center" vertical="center" shrinkToFit="1"/>
    </xf>
    <xf numFmtId="0" fontId="10" fillId="2" borderId="36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8" fillId="2" borderId="31" xfId="0" applyFont="1" applyFill="1" applyBorder="1" applyAlignment="1">
      <alignment horizontal="center" vertical="center"/>
    </xf>
    <xf numFmtId="0" fontId="18" fillId="2" borderId="32" xfId="0" applyFont="1" applyFill="1" applyBorder="1" applyAlignment="1">
      <alignment horizontal="center" vertical="center"/>
    </xf>
    <xf numFmtId="0" fontId="18" fillId="2" borderId="33" xfId="0" applyFont="1" applyFill="1" applyBorder="1" applyAlignment="1">
      <alignment horizontal="center" vertical="center"/>
    </xf>
    <xf numFmtId="0" fontId="18" fillId="2" borderId="30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0" fontId="18" fillId="2" borderId="38" xfId="0" applyFont="1" applyFill="1" applyBorder="1" applyAlignment="1">
      <alignment horizontal="center" vertical="center"/>
    </xf>
    <xf numFmtId="0" fontId="20" fillId="2" borderId="8" xfId="0" applyFont="1" applyFill="1" applyBorder="1" applyAlignment="1" applyProtection="1">
      <alignment horizontal="center" vertical="center" shrinkToFit="1"/>
      <protection locked="0"/>
    </xf>
    <xf numFmtId="0" fontId="20" fillId="2" borderId="39" xfId="0" applyFont="1" applyFill="1" applyBorder="1" applyAlignment="1" applyProtection="1">
      <alignment horizontal="center" vertical="center" shrinkToFit="1"/>
      <protection locked="0"/>
    </xf>
    <xf numFmtId="0" fontId="20" fillId="2" borderId="19" xfId="0" applyFont="1" applyFill="1" applyBorder="1" applyAlignment="1" applyProtection="1">
      <alignment horizontal="center" vertical="center" shrinkToFit="1"/>
      <protection locked="0"/>
    </xf>
    <xf numFmtId="15" fontId="20" fillId="2" borderId="8" xfId="0" applyNumberFormat="1" applyFont="1" applyFill="1" applyBorder="1" applyAlignment="1">
      <alignment horizontal="center" vertical="center" shrinkToFit="1"/>
    </xf>
    <xf numFmtId="0" fontId="20" fillId="2" borderId="39" xfId="0" applyFont="1" applyFill="1" applyBorder="1" applyAlignment="1">
      <alignment horizontal="center" vertical="center" shrinkToFit="1"/>
    </xf>
    <xf numFmtId="0" fontId="15" fillId="8" borderId="42" xfId="0" applyFont="1" applyFill="1" applyBorder="1" applyAlignment="1">
      <alignment horizontal="center" vertical="center"/>
    </xf>
    <xf numFmtId="0" fontId="15" fillId="8" borderId="20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/>
    </xf>
    <xf numFmtId="0" fontId="15" fillId="8" borderId="43" xfId="0" applyFont="1" applyFill="1" applyBorder="1" applyAlignment="1" applyProtection="1">
      <alignment horizontal="center" vertical="center"/>
      <protection locked="0"/>
    </xf>
    <xf numFmtId="0" fontId="15" fillId="8" borderId="0" xfId="0" applyFont="1" applyFill="1" applyAlignment="1" applyProtection="1">
      <alignment horizontal="center" vertical="center"/>
      <protection locked="0"/>
    </xf>
    <xf numFmtId="0" fontId="15" fillId="8" borderId="44" xfId="0" applyFont="1" applyFill="1" applyBorder="1" applyAlignment="1" applyProtection="1">
      <alignment horizontal="center" vertical="center"/>
      <protection locked="0"/>
    </xf>
    <xf numFmtId="0" fontId="15" fillId="8" borderId="30" xfId="0" applyFont="1" applyFill="1" applyBorder="1" applyAlignment="1" applyProtection="1">
      <alignment horizontal="center" vertical="center"/>
      <protection locked="0"/>
    </xf>
    <xf numFmtId="0" fontId="15" fillId="8" borderId="7" xfId="0" applyFont="1" applyFill="1" applyBorder="1" applyAlignment="1" applyProtection="1">
      <alignment horizontal="center" vertical="center"/>
      <protection locked="0"/>
    </xf>
    <xf numFmtId="0" fontId="15" fillId="8" borderId="38" xfId="0" applyFont="1" applyFill="1" applyBorder="1" applyAlignment="1" applyProtection="1">
      <alignment horizontal="center" vertical="center"/>
      <protection locked="0"/>
    </xf>
    <xf numFmtId="0" fontId="13" fillId="2" borderId="31" xfId="0" applyFont="1" applyFill="1" applyBorder="1" applyAlignment="1">
      <alignment horizontal="center" vertical="center"/>
    </xf>
    <xf numFmtId="0" fontId="13" fillId="2" borderId="32" xfId="0" applyFont="1" applyFill="1" applyBorder="1" applyAlignment="1">
      <alignment horizontal="center" vertical="center"/>
    </xf>
    <xf numFmtId="0" fontId="13" fillId="2" borderId="33" xfId="0" applyFont="1" applyFill="1" applyBorder="1" applyAlignment="1">
      <alignment horizontal="center" vertical="center"/>
    </xf>
    <xf numFmtId="0" fontId="13" fillId="2" borderId="30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3" fillId="2" borderId="38" xfId="0" applyFont="1" applyFill="1" applyBorder="1" applyAlignment="1">
      <alignment horizontal="center" vertical="center"/>
    </xf>
    <xf numFmtId="0" fontId="18" fillId="2" borderId="45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13" fillId="2" borderId="34" xfId="0" applyFont="1" applyFill="1" applyBorder="1" applyAlignment="1">
      <alignment horizontal="center" vertical="center"/>
    </xf>
    <xf numFmtId="0" fontId="13" fillId="2" borderId="29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13" fillId="2" borderId="40" xfId="0" applyFont="1" applyFill="1" applyBorder="1" applyAlignment="1" applyProtection="1">
      <alignment horizontal="center" vertical="center"/>
      <protection locked="0"/>
    </xf>
    <xf numFmtId="0" fontId="13" fillId="2" borderId="4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17" fillId="2" borderId="31" xfId="0" applyFont="1" applyFill="1" applyBorder="1" applyAlignment="1">
      <alignment horizontal="center" vertical="center"/>
    </xf>
    <xf numFmtId="0" fontId="17" fillId="2" borderId="32" xfId="0" applyFont="1" applyFill="1" applyBorder="1" applyAlignment="1">
      <alignment horizontal="center" vertical="center"/>
    </xf>
    <xf numFmtId="0" fontId="17" fillId="2" borderId="33" xfId="0" applyFont="1" applyFill="1" applyBorder="1" applyAlignment="1">
      <alignment horizontal="center" vertical="center"/>
    </xf>
    <xf numFmtId="0" fontId="17" fillId="2" borderId="34" xfId="0" applyFont="1" applyFill="1" applyBorder="1" applyAlignment="1">
      <alignment horizontal="center" vertical="center"/>
    </xf>
    <xf numFmtId="0" fontId="17" fillId="2" borderId="29" xfId="0" applyFont="1" applyFill="1" applyBorder="1" applyAlignment="1">
      <alignment horizontal="center" vertical="center"/>
    </xf>
    <xf numFmtId="0" fontId="17" fillId="2" borderId="35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10" fillId="6" borderId="57" xfId="0" applyFont="1" applyFill="1" applyBorder="1" applyAlignment="1">
      <alignment horizontal="center" vertical="center" shrinkToFit="1"/>
    </xf>
    <xf numFmtId="0" fontId="10" fillId="6" borderId="42" xfId="0" applyFont="1" applyFill="1" applyBorder="1" applyAlignment="1">
      <alignment horizontal="center" vertical="center" shrinkToFit="1"/>
    </xf>
    <xf numFmtId="0" fontId="31" fillId="0" borderId="8" xfId="0" applyFont="1" applyBorder="1" applyAlignment="1">
      <alignment horizontal="center" vertical="center" shrinkToFit="1"/>
    </xf>
    <xf numFmtId="0" fontId="31" fillId="0" borderId="39" xfId="0" applyFont="1" applyBorder="1" applyAlignment="1">
      <alignment horizontal="center" vertical="center" shrinkToFit="1"/>
    </xf>
    <xf numFmtId="164" fontId="9" fillId="9" borderId="32" xfId="0" applyNumberFormat="1" applyFont="1" applyFill="1" applyBorder="1" applyAlignment="1">
      <alignment horizontal="center" vertical="center"/>
    </xf>
    <xf numFmtId="0" fontId="10" fillId="6" borderId="21" xfId="0" applyFont="1" applyFill="1" applyBorder="1" applyAlignment="1">
      <alignment horizontal="center" vertical="center" shrinkToFit="1"/>
    </xf>
    <xf numFmtId="0" fontId="10" fillId="6" borderId="25" xfId="0" applyFont="1" applyFill="1" applyBorder="1" applyAlignment="1">
      <alignment horizontal="center" vertical="center" shrinkToFit="1"/>
    </xf>
    <xf numFmtId="0" fontId="10" fillId="6" borderId="53" xfId="0" applyFont="1" applyFill="1" applyBorder="1" applyAlignment="1">
      <alignment horizontal="center" vertical="center" shrinkToFit="1"/>
    </xf>
    <xf numFmtId="0" fontId="0" fillId="0" borderId="32" xfId="0" applyBorder="1" applyAlignment="1">
      <alignment horizontal="center" textRotation="90" shrinkToFit="1"/>
    </xf>
    <xf numFmtId="0" fontId="0" fillId="0" borderId="0" xfId="0" applyAlignment="1">
      <alignment horizontal="center" textRotation="90" shrinkToFit="1"/>
    </xf>
    <xf numFmtId="164" fontId="9" fillId="9" borderId="8" xfId="0" applyNumberFormat="1" applyFont="1" applyFill="1" applyBorder="1" applyAlignment="1">
      <alignment horizontal="center" vertical="center"/>
    </xf>
    <xf numFmtId="164" fontId="9" fillId="9" borderId="39" xfId="0" applyNumberFormat="1" applyFont="1" applyFill="1" applyBorder="1" applyAlignment="1">
      <alignment horizontal="center" vertical="center"/>
    </xf>
    <xf numFmtId="0" fontId="9" fillId="0" borderId="31" xfId="0" applyFont="1" applyBorder="1" applyAlignment="1" applyProtection="1">
      <alignment horizontal="center" vertical="center" shrinkToFit="1"/>
      <protection locked="0"/>
    </xf>
    <xf numFmtId="0" fontId="9" fillId="0" borderId="33" xfId="0" applyFont="1" applyBorder="1" applyAlignment="1" applyProtection="1">
      <alignment horizontal="center" vertical="center" shrinkToFit="1"/>
      <protection locked="0"/>
    </xf>
    <xf numFmtId="0" fontId="9" fillId="0" borderId="57" xfId="0" applyFont="1" applyBorder="1" applyAlignment="1">
      <alignment horizontal="center" vertical="center" shrinkToFit="1"/>
    </xf>
    <xf numFmtId="0" fontId="9" fillId="0" borderId="42" xfId="0" applyFont="1" applyBorder="1" applyAlignment="1">
      <alignment horizontal="center" vertical="center" shrinkToFit="1"/>
    </xf>
    <xf numFmtId="0" fontId="32" fillId="0" borderId="8" xfId="0" applyFont="1" applyBorder="1" applyAlignment="1" applyProtection="1">
      <alignment horizontal="center" vertical="center" shrinkToFit="1"/>
      <protection locked="0"/>
    </xf>
    <xf numFmtId="0" fontId="32" fillId="0" borderId="39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  <protection locked="0"/>
    </xf>
    <xf numFmtId="164" fontId="14" fillId="10" borderId="39" xfId="0" applyNumberFormat="1" applyFont="1" applyFill="1" applyBorder="1" applyAlignment="1" applyProtection="1">
      <alignment horizontal="center" vertical="center" shrinkToFit="1"/>
      <protection locked="0"/>
    </xf>
    <xf numFmtId="0" fontId="3" fillId="0" borderId="54" xfId="0" applyFont="1" applyBorder="1" applyAlignment="1">
      <alignment horizontal="center" wrapText="1"/>
    </xf>
    <xf numFmtId="0" fontId="3" fillId="0" borderId="55" xfId="0" applyFont="1" applyBorder="1" applyAlignment="1">
      <alignment horizontal="center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56" xfId="0" applyBorder="1" applyAlignment="1">
      <alignment horizontal="center" vertical="center" textRotation="90" wrapText="1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9" xfId="0" applyFont="1" applyBorder="1" applyAlignment="1" applyProtection="1">
      <alignment horizontal="center" shrinkToFit="1"/>
      <protection locked="0"/>
    </xf>
    <xf numFmtId="0" fontId="6" fillId="0" borderId="19" xfId="0" applyFont="1" applyBorder="1" applyAlignment="1" applyProtection="1">
      <alignment horizontal="center" shrinkToFit="1"/>
      <protection locked="0"/>
    </xf>
    <xf numFmtId="0" fontId="25" fillId="8" borderId="0" xfId="0" applyFont="1" applyFill="1" applyAlignment="1" applyProtection="1">
      <alignment horizontal="center" vertical="center"/>
      <protection locked="0"/>
    </xf>
    <xf numFmtId="0" fontId="25" fillId="8" borderId="0" xfId="0" applyFont="1" applyFill="1" applyAlignment="1" applyProtection="1">
      <alignment horizontal="center" vertical="center" wrapText="1"/>
      <protection locked="0"/>
    </xf>
    <xf numFmtId="0" fontId="22" fillId="8" borderId="0" xfId="0" applyFont="1" applyFill="1" applyAlignment="1" applyProtection="1">
      <alignment horizontal="center" vertical="center" shrinkToFit="1"/>
      <protection locked="0"/>
    </xf>
    <xf numFmtId="0" fontId="0" fillId="0" borderId="0" xfId="0" applyAlignment="1">
      <alignment horizontal="left"/>
    </xf>
    <xf numFmtId="0" fontId="34" fillId="0" borderId="0" xfId="3" applyFont="1" applyAlignment="1">
      <alignment horizontal="center"/>
    </xf>
    <xf numFmtId="0" fontId="36" fillId="0" borderId="0" xfId="3" applyFont="1" applyAlignment="1">
      <alignment horizontal="center"/>
    </xf>
    <xf numFmtId="0" fontId="36" fillId="12" borderId="0" xfId="3" applyFont="1" applyFill="1" applyAlignment="1">
      <alignment horizontal="center"/>
    </xf>
    <xf numFmtId="0" fontId="36" fillId="12" borderId="59" xfId="3" applyFont="1" applyFill="1" applyBorder="1" applyAlignment="1">
      <alignment horizontal="center"/>
    </xf>
    <xf numFmtId="0" fontId="36" fillId="0" borderId="10" xfId="3" applyFont="1" applyBorder="1" applyAlignment="1">
      <alignment horizontal="center"/>
    </xf>
    <xf numFmtId="0" fontId="36" fillId="0" borderId="47" xfId="3" applyFont="1" applyBorder="1" applyAlignment="1">
      <alignment horizontal="center"/>
    </xf>
  </cellXfs>
  <cellStyles count="4">
    <cellStyle name="Hyperlink" xfId="1" builtinId="8"/>
    <cellStyle name="Normal" xfId="0" builtinId="0"/>
    <cellStyle name="Normal 2" xfId="3" xr:uid="{00000000-0005-0000-0000-000002000000}"/>
    <cellStyle name="Normal_BarLoader" xfId="2" xr:uid="{00000000-0005-0000-0000-000003000000}"/>
  </cellStyles>
  <dxfs count="40">
    <dxf>
      <fill>
        <patternFill>
          <bgColor indexed="42"/>
        </patternFill>
      </fill>
    </dxf>
    <dxf>
      <font>
        <strike/>
        <condense val="0"/>
        <extend val="0"/>
      </font>
      <fill>
        <patternFill patternType="solid">
          <bgColor indexed="45"/>
        </patternFill>
      </fill>
    </dxf>
    <dxf>
      <fill>
        <patternFill>
          <bgColor indexed="42"/>
        </patternFill>
      </fill>
    </dxf>
    <dxf>
      <font>
        <strike/>
        <condense val="0"/>
        <extend val="0"/>
      </font>
      <fill>
        <patternFill patternType="solid">
          <bgColor indexed="45"/>
        </patternFill>
      </fill>
    </dxf>
    <dxf>
      <fill>
        <patternFill>
          <bgColor indexed="42"/>
        </patternFill>
      </fill>
    </dxf>
    <dxf>
      <font>
        <strike/>
        <condense val="0"/>
        <extend val="0"/>
      </font>
      <fill>
        <patternFill patternType="solid">
          <bgColor indexed="45"/>
        </patternFill>
      </fill>
    </dxf>
    <dxf>
      <fill>
        <patternFill>
          <bgColor indexed="42"/>
        </patternFill>
      </fill>
    </dxf>
    <dxf>
      <font>
        <strike/>
        <condense val="0"/>
        <extend val="0"/>
      </font>
      <fill>
        <patternFill patternType="solid">
          <bgColor indexed="45"/>
        </patternFill>
      </fill>
    </dxf>
    <dxf>
      <fill>
        <patternFill>
          <bgColor indexed="42"/>
        </patternFill>
      </fill>
    </dxf>
    <dxf>
      <font>
        <strike/>
        <condense val="0"/>
        <extend val="0"/>
      </font>
      <fill>
        <patternFill patternType="solid">
          <bgColor indexed="45"/>
        </patternFill>
      </fill>
    </dxf>
    <dxf>
      <font>
        <strike/>
        <condense val="0"/>
        <extend val="0"/>
      </font>
      <fill>
        <patternFill patternType="none">
          <bgColor indexed="65"/>
        </patternFill>
      </fill>
    </dxf>
    <dxf>
      <font>
        <strike val="0"/>
        <condense val="0"/>
        <extend val="0"/>
      </font>
      <fill>
        <patternFill>
          <bgColor indexed="13"/>
        </patternFill>
      </fill>
    </dxf>
    <dxf>
      <font>
        <b/>
        <i val="0"/>
        <strike val="0"/>
        <condense val="0"/>
        <extend val="0"/>
      </font>
      <fill>
        <patternFill>
          <bgColor indexed="50"/>
        </patternFill>
      </fill>
    </dxf>
    <dxf>
      <font>
        <strike val="0"/>
        <condense val="0"/>
        <extend val="0"/>
      </font>
      <fill>
        <patternFill>
          <bgColor indexed="13"/>
        </patternFill>
      </fill>
    </dxf>
    <dxf>
      <fill>
        <patternFill>
          <bgColor indexed="11"/>
        </patternFill>
      </fill>
    </dxf>
    <dxf>
      <font>
        <b/>
        <i val="0"/>
        <strike/>
        <condense val="0"/>
        <extend val="0"/>
        <color indexed="9"/>
      </font>
      <fill>
        <patternFill>
          <bgColor indexed="10"/>
        </patternFill>
      </fill>
    </dxf>
    <dxf>
      <font>
        <b val="0"/>
        <i val="0"/>
        <strike val="0"/>
        <condense val="0"/>
        <extend val="0"/>
        <color auto="1"/>
      </font>
      <fill>
        <patternFill>
          <bgColor indexed="9"/>
        </patternFill>
      </fill>
    </dxf>
    <dxf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9"/>
        </patternFill>
      </fill>
    </dxf>
    <dxf>
      <font>
        <b/>
        <i val="0"/>
        <condense val="0"/>
        <extend val="0"/>
      </font>
      <fill>
        <patternFill>
          <bgColor indexed="9"/>
        </patternFill>
      </fill>
    </dxf>
    <dxf>
      <font>
        <b/>
        <i val="0"/>
        <condense val="0"/>
        <extend val="0"/>
      </font>
      <fill>
        <patternFill>
          <bgColor indexed="9"/>
        </patternFill>
      </fill>
    </dxf>
    <dxf>
      <font>
        <b/>
        <i val="0"/>
        <strike val="0"/>
        <condense val="0"/>
        <extend val="0"/>
      </font>
      <fill>
        <patternFill>
          <bgColor indexed="13"/>
        </patternFill>
      </fill>
    </dxf>
    <dxf>
      <font>
        <b/>
        <i val="0"/>
        <strike val="0"/>
        <condense val="0"/>
        <extend val="0"/>
      </font>
      <fill>
        <patternFill>
          <bgColor indexed="13"/>
        </patternFill>
      </fill>
    </dxf>
    <dxf>
      <font>
        <b/>
        <i val="0"/>
        <strike val="0"/>
        <condense val="0"/>
        <extend val="0"/>
      </font>
      <fill>
        <patternFill>
          <bgColor indexed="50"/>
        </patternFill>
      </fill>
    </dxf>
    <dxf>
      <font>
        <b/>
        <i val="0"/>
        <strike val="0"/>
        <condense val="0"/>
        <extend val="0"/>
      </font>
      <fill>
        <patternFill>
          <bgColor indexed="13"/>
        </patternFill>
      </fill>
    </dxf>
    <dxf>
      <fill>
        <patternFill>
          <bgColor indexed="41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strike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strike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strike val="0"/>
        <condense val="0"/>
        <extend val="0"/>
        <color indexed="9"/>
      </font>
      <fill>
        <patternFill>
          <bgColor indexed="12"/>
        </patternFill>
      </fill>
    </dxf>
    <dxf>
      <fill>
        <patternFill>
          <bgColor indexed="41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41"/>
        </patternFill>
      </fill>
    </dxf>
    <dxf>
      <font>
        <b/>
        <i val="0"/>
        <condense val="0"/>
        <extend val="0"/>
      </font>
      <fill>
        <patternFill>
          <bgColor indexed="41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emf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emf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emf"/><Relationship Id="rId27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0581055263203651E-2"/>
          <c:y val="4.819291284154089E-2"/>
          <c:w val="0.94980976946293139"/>
          <c:h val="0.89156888756849961"/>
        </c:manualLayout>
      </c:layout>
      <c:barChart>
        <c:barDir val="bar"/>
        <c:grouping val="stacked"/>
        <c:varyColors val="0"/>
        <c:ser>
          <c:idx val="0"/>
          <c:order val="0"/>
          <c:spPr>
            <a:blipFill dpi="0" rotWithShape="0">
              <a:blip xmlns:r="http://schemas.openxmlformats.org/officeDocument/2006/relationships" r:embed="rId1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Setup!$H$10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7A-9648-8596-16CEC7C3EA60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2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Setup!$H$11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7A-9648-8596-16CEC7C3EA60}"/>
            </c:ext>
          </c:extLst>
        </c:ser>
        <c:ser>
          <c:idx val="2"/>
          <c:order val="2"/>
          <c:spPr>
            <a:blipFill dpi="0" rotWithShape="0">
              <a:blip xmlns:r="http://schemas.openxmlformats.org/officeDocument/2006/relationships" r:embed="rId3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Setup!$H$12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7A-9648-8596-16CEC7C3EA60}"/>
            </c:ext>
          </c:extLst>
        </c:ser>
        <c:ser>
          <c:idx val="3"/>
          <c:order val="3"/>
          <c:spPr>
            <a:blipFill dpi="0" rotWithShape="0">
              <a:blip xmlns:r="http://schemas.openxmlformats.org/officeDocument/2006/relationships" r:embed="rId4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Setup!$H$13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7A-9648-8596-16CEC7C3EA60}"/>
            </c:ext>
          </c:extLst>
        </c:ser>
        <c:ser>
          <c:idx val="4"/>
          <c:order val="4"/>
          <c:spPr>
            <a:blipFill dpi="0" rotWithShape="0">
              <a:blip xmlns:r="http://schemas.openxmlformats.org/officeDocument/2006/relationships" r:embed="rId5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Setup!$H$14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7A-9648-8596-16CEC7C3EA60}"/>
            </c:ext>
          </c:extLst>
        </c:ser>
        <c:ser>
          <c:idx val="5"/>
          <c:order val="5"/>
          <c:spPr>
            <a:blipFill dpi="0" rotWithShape="0">
              <a:blip xmlns:r="http://schemas.openxmlformats.org/officeDocument/2006/relationships" r:embed="rId6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Setup!$H$15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7A-9648-8596-16CEC7C3EA60}"/>
            </c:ext>
          </c:extLst>
        </c:ser>
        <c:ser>
          <c:idx val="6"/>
          <c:order val="6"/>
          <c:spPr>
            <a:blipFill dpi="0" rotWithShape="0">
              <a:blip xmlns:r="http://schemas.openxmlformats.org/officeDocument/2006/relationships" r:embed="rId7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dPt>
            <c:idx val="0"/>
            <c:invertIfNegative val="0"/>
            <c:bubble3D val="0"/>
            <c:spPr>
              <a:blipFill dpi="0" rotWithShape="0">
                <a:blip xmlns:r="http://schemas.openxmlformats.org/officeDocument/2006/relationships" r:embed="rId8"/>
                <a:srcRect/>
                <a:stretch>
                  <a:fillRect/>
                </a:stretch>
              </a:blipFill>
              <a:ln w="25400">
                <a:noFill/>
              </a:ln>
            </c:spPr>
            <c:pictureOptions>
              <c:pictureFormat val="stackScale"/>
              <c:pictureStackUnit val="1"/>
            </c:pictureOptions>
            <c:extLst>
              <c:ext xmlns:c16="http://schemas.microsoft.com/office/drawing/2014/chart" uri="{C3380CC4-5D6E-409C-BE32-E72D297353CC}">
                <c16:uniqueId val="{00000006-9C7A-9648-8596-16CEC7C3EA60}"/>
              </c:ext>
            </c:extLst>
          </c:dPt>
          <c:val>
            <c:numRef>
              <c:f>Setup!$H$16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7A-9648-8596-16CEC7C3EA60}"/>
            </c:ext>
          </c:extLst>
        </c:ser>
        <c:ser>
          <c:idx val="7"/>
          <c:order val="7"/>
          <c:spPr>
            <a:blipFill dpi="0" rotWithShape="0">
              <a:blip xmlns:r="http://schemas.openxmlformats.org/officeDocument/2006/relationships" r:embed="rId9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Setup!$H$17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C7A-9648-8596-16CEC7C3EA60}"/>
            </c:ext>
          </c:extLst>
        </c:ser>
        <c:ser>
          <c:idx val="8"/>
          <c:order val="8"/>
          <c:spPr>
            <a:blipFill dpi="0" rotWithShape="0">
              <a:blip xmlns:r="http://schemas.openxmlformats.org/officeDocument/2006/relationships" r:embed="rId10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Setup!$H$18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7A-9648-8596-16CEC7C3EA60}"/>
            </c:ext>
          </c:extLst>
        </c:ser>
        <c:ser>
          <c:idx val="10"/>
          <c:order val="9"/>
          <c:spPr>
            <a:blipFill dpi="0" rotWithShape="0">
              <a:blip xmlns:r="http://schemas.openxmlformats.org/officeDocument/2006/relationships" r:embed="rId11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Setup!$H$19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C7A-9648-8596-16CEC7C3EA60}"/>
            </c:ext>
          </c:extLst>
        </c:ser>
        <c:ser>
          <c:idx val="9"/>
          <c:order val="10"/>
          <c:spPr>
            <a:blipFill dpi="0" rotWithShape="0">
              <a:blip xmlns:r="http://schemas.openxmlformats.org/officeDocument/2006/relationships" r:embed="rId12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Setup!$H$20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C7A-9648-8596-16CEC7C3EA60}"/>
            </c:ext>
          </c:extLst>
        </c:ser>
        <c:ser>
          <c:idx val="12"/>
          <c:order val="11"/>
          <c:spPr>
            <a:blipFill dpi="0" rotWithShape="0">
              <a:blip xmlns:r="http://schemas.openxmlformats.org/officeDocument/2006/relationships" r:embed="rId13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Setup!$E$10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C7A-9648-8596-16CEC7C3EA60}"/>
            </c:ext>
          </c:extLst>
        </c:ser>
        <c:ser>
          <c:idx val="13"/>
          <c:order val="12"/>
          <c:spPr>
            <a:blipFill dpi="0" rotWithShape="0">
              <a:blip xmlns:r="http://schemas.openxmlformats.org/officeDocument/2006/relationships" r:embed="rId14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Setup!$E$11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C7A-9648-8596-16CEC7C3EA60}"/>
            </c:ext>
          </c:extLst>
        </c:ser>
        <c:ser>
          <c:idx val="14"/>
          <c:order val="13"/>
          <c:spPr>
            <a:blipFill dpi="0" rotWithShape="0">
              <a:blip xmlns:r="http://schemas.openxmlformats.org/officeDocument/2006/relationships" r:embed="rId15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Setup!$E$12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C7A-9648-8596-16CEC7C3EA60}"/>
            </c:ext>
          </c:extLst>
        </c:ser>
        <c:ser>
          <c:idx val="15"/>
          <c:order val="14"/>
          <c:spPr>
            <a:blipFill dpi="0" rotWithShape="0">
              <a:blip xmlns:r="http://schemas.openxmlformats.org/officeDocument/2006/relationships" r:embed="rId16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Setup!$E$13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C7A-9648-8596-16CEC7C3EA60}"/>
            </c:ext>
          </c:extLst>
        </c:ser>
        <c:ser>
          <c:idx val="16"/>
          <c:order val="15"/>
          <c:spPr>
            <a:blipFill dpi="0" rotWithShape="0">
              <a:blip xmlns:r="http://schemas.openxmlformats.org/officeDocument/2006/relationships" r:embed="rId17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Setup!$E$14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C7A-9648-8596-16CEC7C3EA60}"/>
            </c:ext>
          </c:extLst>
        </c:ser>
        <c:ser>
          <c:idx val="17"/>
          <c:order val="16"/>
          <c:spPr>
            <a:blipFill dpi="0" rotWithShape="0">
              <a:blip xmlns:r="http://schemas.openxmlformats.org/officeDocument/2006/relationships" r:embed="rId18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Setup!$E$15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C7A-9648-8596-16CEC7C3EA60}"/>
            </c:ext>
          </c:extLst>
        </c:ser>
        <c:ser>
          <c:idx val="18"/>
          <c:order val="17"/>
          <c:spPr>
            <a:blipFill dpi="0" rotWithShape="0">
              <a:blip xmlns:r="http://schemas.openxmlformats.org/officeDocument/2006/relationships" r:embed="rId19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Setup!$E$16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C7A-9648-8596-16CEC7C3EA60}"/>
            </c:ext>
          </c:extLst>
        </c:ser>
        <c:ser>
          <c:idx val="19"/>
          <c:order val="18"/>
          <c:spPr>
            <a:blipFill dpi="0" rotWithShape="0">
              <a:blip xmlns:r="http://schemas.openxmlformats.org/officeDocument/2006/relationships" r:embed="rId20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Setup!$E$17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C7A-9648-8596-16CEC7C3EA60}"/>
            </c:ext>
          </c:extLst>
        </c:ser>
        <c:ser>
          <c:idx val="20"/>
          <c:order val="19"/>
          <c:spPr>
            <a:blipFill dpi="0" rotWithShape="0">
              <a:blip xmlns:r="http://schemas.openxmlformats.org/officeDocument/2006/relationships" r:embed="rId21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Setup!$E$18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C7A-9648-8596-16CEC7C3EA60}"/>
            </c:ext>
          </c:extLst>
        </c:ser>
        <c:ser>
          <c:idx val="21"/>
          <c:order val="20"/>
          <c:spPr>
            <a:blipFill dpi="0" rotWithShape="0">
              <a:blip xmlns:r="http://schemas.openxmlformats.org/officeDocument/2006/relationships" r:embed="rId22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Setup!$E$19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C7A-9648-8596-16CEC7C3EA60}"/>
            </c:ext>
          </c:extLst>
        </c:ser>
        <c:ser>
          <c:idx val="22"/>
          <c:order val="21"/>
          <c:spPr>
            <a:blipFill dpi="0" rotWithShape="0">
              <a:blip xmlns:r="http://schemas.openxmlformats.org/officeDocument/2006/relationships" r:embed="rId23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Setup!$E$20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C7A-9648-8596-16CEC7C3EA60}"/>
            </c:ext>
          </c:extLst>
        </c:ser>
        <c:ser>
          <c:idx val="23"/>
          <c:order val="22"/>
          <c:tx>
            <c:v>0.25kg</c:v>
          </c:tx>
          <c:spPr>
            <a:blipFill>
              <a:blip xmlns:r="http://schemas.openxmlformats.org/officeDocument/2006/relationships" r:embed="rId24"/>
              <a:stretch>
                <a:fillRect/>
              </a:stretch>
            </a:blipFill>
          </c:spPr>
          <c:invertIfNegative val="0"/>
          <c:val>
            <c:numRef>
              <c:f>Setup!$H$21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C7A-9648-8596-16CEC7C3EA60}"/>
            </c:ext>
          </c:extLst>
        </c:ser>
        <c:ser>
          <c:idx val="11"/>
          <c:order val="23"/>
          <c:tx>
            <c:v>collar</c:v>
          </c:tx>
          <c:spPr>
            <a:blipFill dpi="0" rotWithShape="0">
              <a:blip xmlns:r="http://schemas.openxmlformats.org/officeDocument/2006/relationships" r:embed="rId25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Setup!$H$22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C7A-9648-8596-16CEC7C3E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9312000"/>
        <c:axId val="59313536"/>
      </c:barChart>
      <c:catAx>
        <c:axId val="59312000"/>
        <c:scaling>
          <c:orientation val="minMax"/>
        </c:scaling>
        <c:delete val="1"/>
        <c:axPos val="l"/>
        <c:majorTickMark val="out"/>
        <c:minorTickMark val="none"/>
        <c:tickLblPos val="none"/>
        <c:crossAx val="59313536"/>
        <c:crosses val="autoZero"/>
        <c:auto val="1"/>
        <c:lblAlgn val="ctr"/>
        <c:lblOffset val="100"/>
        <c:noMultiLvlLbl val="0"/>
      </c:catAx>
      <c:valAx>
        <c:axId val="59313536"/>
        <c:scaling>
          <c:orientation val="minMax"/>
          <c:max val="12"/>
        </c:scaling>
        <c:delete val="1"/>
        <c:axPos val="b"/>
        <c:numFmt formatCode="General" sourceLinked="1"/>
        <c:majorTickMark val="out"/>
        <c:minorTickMark val="none"/>
        <c:tickLblPos val="none"/>
        <c:crossAx val="59312000"/>
        <c:crosses val="autoZero"/>
        <c:crossBetween val="between"/>
      </c:valAx>
      <c:spPr>
        <a:blipFill dpi="0" rotWithShape="0">
          <a:blip xmlns:r="http://schemas.openxmlformats.org/officeDocument/2006/relationships" r:embed="rId26"/>
          <a:srcRect/>
          <a:stretch>
            <a:fillRect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/>
  </c:printSettings>
  <c:userShapes r:id="rId27"/>
</c:chartSpac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27</xdr:row>
      <xdr:rowOff>28575</xdr:rowOff>
    </xdr:from>
    <xdr:to>
      <xdr:col>6</xdr:col>
      <xdr:colOff>476250</xdr:colOff>
      <xdr:row>28</xdr:row>
      <xdr:rowOff>133350</xdr:rowOff>
    </xdr:to>
    <xdr:sp macro="Reset" textlink="">
      <xdr:nvSpPr>
        <xdr:cNvPr id="27747" name="Rectangle 16" descr="8cc40c08-9a33-41c5-8619-a4c2364ee432">
          <a:extLst>
            <a:ext uri="{FF2B5EF4-FFF2-40B4-BE49-F238E27FC236}">
              <a16:creationId xmlns:a16="http://schemas.microsoft.com/office/drawing/2014/main" id="{00000000-0008-0000-0000-0000636C0000}"/>
            </a:ext>
          </a:extLst>
        </xdr:cNvPr>
        <xdr:cNvSpPr>
          <a:spLocks noChangeArrowheads="1"/>
        </xdr:cNvSpPr>
      </xdr:nvSpPr>
      <xdr:spPr bwMode="auto">
        <a:xfrm>
          <a:off x="723900" y="4686300"/>
          <a:ext cx="2076450" cy="266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0</xdr:row>
      <xdr:rowOff>57150</xdr:rowOff>
    </xdr:from>
    <xdr:to>
      <xdr:col>2</xdr:col>
      <xdr:colOff>1609725</xdr:colOff>
      <xdr:row>0</xdr:row>
      <xdr:rowOff>409575</xdr:rowOff>
    </xdr:to>
    <xdr:sp macro="[0]!WeighIn" textlink="">
      <xdr:nvSpPr>
        <xdr:cNvPr id="24578" name="Rectangle 2" descr="89890304-fefe-454a-ae0e-2ae3f427e3df">
          <a:extLst>
            <a:ext uri="{FF2B5EF4-FFF2-40B4-BE49-F238E27FC236}">
              <a16:creationId xmlns:a16="http://schemas.microsoft.com/office/drawing/2014/main" id="{00000000-0008-0000-0100-000002600000}"/>
            </a:ext>
          </a:extLst>
        </xdr:cNvPr>
        <xdr:cNvSpPr>
          <a:spLocks noChangeArrowheads="1"/>
        </xdr:cNvSpPr>
      </xdr:nvSpPr>
      <xdr:spPr bwMode="auto">
        <a:xfrm>
          <a:off x="1152525" y="57150"/>
          <a:ext cx="1543050" cy="352425"/>
        </a:xfrm>
        <a:prstGeom prst="rect">
          <a:avLst/>
        </a:prstGeom>
        <a:solidFill>
          <a:srgbClr val="FFFFFF"/>
        </a:solidFill>
        <a:ln w="3810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Click here to copy Weigh-in data to Lifting sheet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7</xdr:row>
      <xdr:rowOff>38100</xdr:rowOff>
    </xdr:from>
    <xdr:to>
      <xdr:col>9</xdr:col>
      <xdr:colOff>0</xdr:colOff>
      <xdr:row>7</xdr:row>
      <xdr:rowOff>447675</xdr:rowOff>
    </xdr:to>
    <xdr:sp macro="[0]!Bench1" textlink="">
      <xdr:nvSpPr>
        <xdr:cNvPr id="57510" name="Rectangle 9" descr="5bcf276a-96bf-49d0-bb4e-be690f07056e">
          <a:extLst>
            <a:ext uri="{FF2B5EF4-FFF2-40B4-BE49-F238E27FC236}">
              <a16:creationId xmlns:a16="http://schemas.microsoft.com/office/drawing/2014/main" id="{00000000-0008-0000-0200-0000A6E00000}"/>
            </a:ext>
          </a:extLst>
        </xdr:cNvPr>
        <xdr:cNvSpPr>
          <a:spLocks noChangeArrowheads="1"/>
        </xdr:cNvSpPr>
      </xdr:nvSpPr>
      <xdr:spPr bwMode="auto">
        <a:xfrm>
          <a:off x="3905250" y="1619250"/>
          <a:ext cx="0" cy="323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0</xdr:colOff>
      <xdr:row>7</xdr:row>
      <xdr:rowOff>28575</xdr:rowOff>
    </xdr:from>
    <xdr:to>
      <xdr:col>9</xdr:col>
      <xdr:colOff>0</xdr:colOff>
      <xdr:row>7</xdr:row>
      <xdr:rowOff>447675</xdr:rowOff>
    </xdr:to>
    <xdr:sp macro="[0]!Bench2" textlink="">
      <xdr:nvSpPr>
        <xdr:cNvPr id="57511" name="Rectangle 10" descr="9a1679fc-36d5-403b-b161-cb925dc0de5e">
          <a:extLst>
            <a:ext uri="{FF2B5EF4-FFF2-40B4-BE49-F238E27FC236}">
              <a16:creationId xmlns:a16="http://schemas.microsoft.com/office/drawing/2014/main" id="{00000000-0008-0000-0200-0000A7E00000}"/>
            </a:ext>
          </a:extLst>
        </xdr:cNvPr>
        <xdr:cNvSpPr>
          <a:spLocks noChangeArrowheads="1"/>
        </xdr:cNvSpPr>
      </xdr:nvSpPr>
      <xdr:spPr bwMode="auto">
        <a:xfrm>
          <a:off x="3905250" y="1609725"/>
          <a:ext cx="0" cy="3333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0</xdr:colOff>
      <xdr:row>7</xdr:row>
      <xdr:rowOff>28575</xdr:rowOff>
    </xdr:from>
    <xdr:to>
      <xdr:col>9</xdr:col>
      <xdr:colOff>0</xdr:colOff>
      <xdr:row>7</xdr:row>
      <xdr:rowOff>447675</xdr:rowOff>
    </xdr:to>
    <xdr:sp macro="[0]!Bench3" textlink="">
      <xdr:nvSpPr>
        <xdr:cNvPr id="57512" name="Rectangle 11" descr="3ff208c1-235c-48e3-8134-6bcfd3c947f6">
          <a:extLst>
            <a:ext uri="{FF2B5EF4-FFF2-40B4-BE49-F238E27FC236}">
              <a16:creationId xmlns:a16="http://schemas.microsoft.com/office/drawing/2014/main" id="{00000000-0008-0000-0200-0000A8E00000}"/>
            </a:ext>
          </a:extLst>
        </xdr:cNvPr>
        <xdr:cNvSpPr>
          <a:spLocks noChangeArrowheads="1"/>
        </xdr:cNvSpPr>
      </xdr:nvSpPr>
      <xdr:spPr bwMode="auto">
        <a:xfrm>
          <a:off x="3905250" y="1609725"/>
          <a:ext cx="0" cy="3333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0</xdr:colOff>
      <xdr:row>7</xdr:row>
      <xdr:rowOff>38100</xdr:rowOff>
    </xdr:from>
    <xdr:to>
      <xdr:col>9</xdr:col>
      <xdr:colOff>0</xdr:colOff>
      <xdr:row>7</xdr:row>
      <xdr:rowOff>447675</xdr:rowOff>
    </xdr:to>
    <xdr:sp macro="[0]!Bench4" textlink="">
      <xdr:nvSpPr>
        <xdr:cNvPr id="57513" name="Rectangle 12" descr="2d9f63b1-3b01-4611-8733-54c69174c912">
          <a:extLst>
            <a:ext uri="{FF2B5EF4-FFF2-40B4-BE49-F238E27FC236}">
              <a16:creationId xmlns:a16="http://schemas.microsoft.com/office/drawing/2014/main" id="{00000000-0008-0000-0200-0000A9E00000}"/>
            </a:ext>
          </a:extLst>
        </xdr:cNvPr>
        <xdr:cNvSpPr>
          <a:spLocks noChangeArrowheads="1"/>
        </xdr:cNvSpPr>
      </xdr:nvSpPr>
      <xdr:spPr bwMode="auto">
        <a:xfrm>
          <a:off x="3905250" y="1619250"/>
          <a:ext cx="0" cy="323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2</xdr:row>
      <xdr:rowOff>9525</xdr:rowOff>
    </xdr:from>
    <xdr:to>
      <xdr:col>8</xdr:col>
      <xdr:colOff>295275</xdr:colOff>
      <xdr:row>3</xdr:row>
      <xdr:rowOff>0</xdr:rowOff>
    </xdr:to>
    <xdr:sp macro="[0]!Good" textlink="">
      <xdr:nvSpPr>
        <xdr:cNvPr id="1121" name="Rectangle 97" descr="1e3ed568-7286-4a09-a47c-d34e197455e5">
          <a:extLst>
            <a:ext uri="{FF2B5EF4-FFF2-40B4-BE49-F238E27FC236}">
              <a16:creationId xmlns:a16="http://schemas.microsoft.com/office/drawing/2014/main" id="{00000000-0008-0000-0200-000061040000}"/>
            </a:ext>
          </a:extLst>
        </xdr:cNvPr>
        <xdr:cNvSpPr>
          <a:spLocks noChangeArrowheads="1"/>
        </xdr:cNvSpPr>
      </xdr:nvSpPr>
      <xdr:spPr bwMode="auto">
        <a:xfrm>
          <a:off x="3095625" y="409575"/>
          <a:ext cx="800100" cy="314325"/>
        </a:xfrm>
        <a:prstGeom prst="rect">
          <a:avLst/>
        </a:prstGeom>
        <a:solidFill>
          <a:srgbClr val="00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Good</a:t>
          </a:r>
        </a:p>
      </xdr:txBody>
    </xdr:sp>
    <xdr:clientData/>
  </xdr:twoCellAnchor>
  <xdr:twoCellAnchor>
    <xdr:from>
      <xdr:col>7</xdr:col>
      <xdr:colOff>9525</xdr:colOff>
      <xdr:row>2</xdr:row>
      <xdr:rowOff>314325</xdr:rowOff>
    </xdr:from>
    <xdr:to>
      <xdr:col>8</xdr:col>
      <xdr:colOff>295275</xdr:colOff>
      <xdr:row>3</xdr:row>
      <xdr:rowOff>314325</xdr:rowOff>
    </xdr:to>
    <xdr:sp macro="[0]!NoLift" textlink="">
      <xdr:nvSpPr>
        <xdr:cNvPr id="1122" name="Rectangle 98" descr="d91366e9-c81e-409c-9722-548a3b29f83b">
          <a:extLst>
            <a:ext uri="{FF2B5EF4-FFF2-40B4-BE49-F238E27FC236}">
              <a16:creationId xmlns:a16="http://schemas.microsoft.com/office/drawing/2014/main" id="{00000000-0008-0000-0200-000062040000}"/>
            </a:ext>
          </a:extLst>
        </xdr:cNvPr>
        <xdr:cNvSpPr>
          <a:spLocks noChangeArrowheads="1"/>
        </xdr:cNvSpPr>
      </xdr:nvSpPr>
      <xdr:spPr bwMode="auto">
        <a:xfrm>
          <a:off x="3095625" y="714375"/>
          <a:ext cx="800100" cy="323850"/>
        </a:xfrm>
        <a:prstGeom prst="rect">
          <a:avLst/>
        </a:prstGeom>
        <a:solidFill>
          <a:srgbClr val="FF000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sngStrike" baseline="0">
              <a:solidFill>
                <a:srgbClr val="FFFFFF"/>
              </a:solidFill>
              <a:latin typeface="Arial"/>
              <a:cs typeface="Arial"/>
            </a:rPr>
            <a:t>No Lift</a:t>
          </a:r>
        </a:p>
      </xdr:txBody>
    </xdr:sp>
    <xdr:clientData/>
  </xdr:twoCellAnchor>
  <xdr:twoCellAnchor>
    <xdr:from>
      <xdr:col>2</xdr:col>
      <xdr:colOff>21981</xdr:colOff>
      <xdr:row>4</xdr:row>
      <xdr:rowOff>19051</xdr:rowOff>
    </xdr:from>
    <xdr:to>
      <xdr:col>2</xdr:col>
      <xdr:colOff>1208943</xdr:colOff>
      <xdr:row>4</xdr:row>
      <xdr:rowOff>228601</xdr:rowOff>
    </xdr:to>
    <xdr:sp macro="[0]!Results" textlink="">
      <xdr:nvSpPr>
        <xdr:cNvPr id="1172" name="Rectangle 148" descr="ec0f3fc8-3d90-45fd-8124-c07f378579a6">
          <a:extLst>
            <a:ext uri="{FF2B5EF4-FFF2-40B4-BE49-F238E27FC236}">
              <a16:creationId xmlns:a16="http://schemas.microsoft.com/office/drawing/2014/main" id="{00000000-0008-0000-0200-000094040000}"/>
            </a:ext>
          </a:extLst>
        </xdr:cNvPr>
        <xdr:cNvSpPr>
          <a:spLocks noChangeArrowheads="1"/>
        </xdr:cNvSpPr>
      </xdr:nvSpPr>
      <xdr:spPr bwMode="auto">
        <a:xfrm>
          <a:off x="260106" y="1176831"/>
          <a:ext cx="1186962" cy="209550"/>
        </a:xfrm>
        <a:prstGeom prst="rect">
          <a:avLst/>
        </a:prstGeom>
        <a:solidFill>
          <a:srgbClr val="C0C0C0"/>
        </a:solidFill>
        <a:ln w="3810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PrintSheet </a:t>
          </a:r>
        </a:p>
      </xdr:txBody>
    </xdr:sp>
    <xdr:clientData/>
  </xdr:twoCellAnchor>
  <xdr:twoCellAnchor>
    <xdr:from>
      <xdr:col>3</xdr:col>
      <xdr:colOff>97648</xdr:colOff>
      <xdr:row>4</xdr:row>
      <xdr:rowOff>11722</xdr:rowOff>
    </xdr:from>
    <xdr:to>
      <xdr:col>4</xdr:col>
      <xdr:colOff>467656</xdr:colOff>
      <xdr:row>4</xdr:row>
      <xdr:rowOff>230797</xdr:rowOff>
    </xdr:to>
    <xdr:sp macro="[0]!IPCresults" textlink="">
      <xdr:nvSpPr>
        <xdr:cNvPr id="2024" name="Rectangle 182" descr="7656295c-b030-4804-b8dd-17716e5b28e2">
          <a:extLst>
            <a:ext uri="{FF2B5EF4-FFF2-40B4-BE49-F238E27FC236}">
              <a16:creationId xmlns:a16="http://schemas.microsoft.com/office/drawing/2014/main" id="{00000000-0008-0000-0200-0000E8070000}"/>
            </a:ext>
          </a:extLst>
        </xdr:cNvPr>
        <xdr:cNvSpPr>
          <a:spLocks noChangeArrowheads="1"/>
        </xdr:cNvSpPr>
      </xdr:nvSpPr>
      <xdr:spPr bwMode="auto">
        <a:xfrm>
          <a:off x="1575665" y="1169502"/>
          <a:ext cx="690245" cy="219075"/>
        </a:xfrm>
        <a:prstGeom prst="rect">
          <a:avLst/>
        </a:prstGeom>
        <a:solidFill>
          <a:srgbClr val="C0C0C0"/>
        </a:solidFill>
        <a:ln w="3810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Results</a:t>
          </a:r>
        </a:p>
      </xdr:txBody>
    </xdr:sp>
    <xdr:clientData/>
  </xdr:twoCellAnchor>
  <xdr:twoCellAnchor>
    <xdr:from>
      <xdr:col>9</xdr:col>
      <xdr:colOff>0</xdr:colOff>
      <xdr:row>0</xdr:row>
      <xdr:rowOff>0</xdr:rowOff>
    </xdr:from>
    <xdr:to>
      <xdr:col>31</xdr:col>
      <xdr:colOff>92075</xdr:colOff>
      <xdr:row>5</xdr:row>
      <xdr:rowOff>0</xdr:rowOff>
    </xdr:to>
    <xdr:graphicFrame macro="">
      <xdr:nvGraphicFramePr>
        <xdr:cNvPr id="57518" name="Chart 302">
          <a:extLst>
            <a:ext uri="{FF2B5EF4-FFF2-40B4-BE49-F238E27FC236}">
              <a16:creationId xmlns:a16="http://schemas.microsoft.com/office/drawing/2014/main" id="{00000000-0008-0000-0200-0000AEE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4</xdr:row>
      <xdr:rowOff>0</xdr:rowOff>
    </xdr:from>
    <xdr:to>
      <xdr:col>9</xdr:col>
      <xdr:colOff>0</xdr:colOff>
      <xdr:row>5</xdr:row>
      <xdr:rowOff>0</xdr:rowOff>
    </xdr:to>
    <xdr:sp macro="[0]!NextLifter" textlink="">
      <xdr:nvSpPr>
        <xdr:cNvPr id="1653" name="Rectangle 629" descr="d94deda3-4a9a-4ce2-ba5d-6eb6b1855e37">
          <a:extLst>
            <a:ext uri="{FF2B5EF4-FFF2-40B4-BE49-F238E27FC236}">
              <a16:creationId xmlns:a16="http://schemas.microsoft.com/office/drawing/2014/main" id="{00000000-0008-0000-0200-000075060000}"/>
            </a:ext>
          </a:extLst>
        </xdr:cNvPr>
        <xdr:cNvSpPr>
          <a:spLocks noChangeArrowheads="1"/>
        </xdr:cNvSpPr>
      </xdr:nvSpPr>
      <xdr:spPr bwMode="auto">
        <a:xfrm>
          <a:off x="3086100" y="1047750"/>
          <a:ext cx="819150" cy="266700"/>
        </a:xfrm>
        <a:prstGeom prst="rect">
          <a:avLst/>
        </a:prstGeom>
        <a:solidFill>
          <a:srgbClr val="0000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Next Lifter</a:t>
          </a: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0.01163</cdr:x>
      <cdr:y>0.03556</cdr:y>
    </cdr:from>
    <cdr:to>
      <cdr:x>0.01163</cdr:x>
      <cdr:y>0.03556</cdr:y>
    </cdr:to>
    <cdr:sp macro="" textlink="">
      <cdr:nvSpPr>
        <cdr:cNvPr id="2" name="DVCHARTID" hidden="1"/>
        <cdr:cNvSpPr txBox="1"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" rtlCol="0" anchor="ctr"/>
        <a:lstStyle xmlns:a="http://schemas.openxmlformats.org/drawingml/2006/main"/>
        <a:p xmlns:a="http://schemas.openxmlformats.org/drawingml/2006/main">
          <a:pPr algn="r"/>
          <a:r>
            <a:rPr lang="en-US" sz="1100"/>
            <a:t>sfXYhkblx5LOaB9LRgPIVH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142662</xdr:colOff>
      <xdr:row>1</xdr:row>
      <xdr:rowOff>66675</xdr:rowOff>
    </xdr:from>
    <xdr:to>
      <xdr:col>15</xdr:col>
      <xdr:colOff>831276</xdr:colOff>
      <xdr:row>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662" y="161925"/>
          <a:ext cx="7584714" cy="2181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hyperlink" Target="mailto:joe.marksteiner@ae.ge.com" TargetMode="External"/><Relationship Id="rId1" Type="http://schemas.openxmlformats.org/officeDocument/2006/relationships/hyperlink" Target="mailto:steinmark@aol.com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A1:BF55"/>
  <sheetViews>
    <sheetView tabSelected="1" topLeftCell="B2" zoomScaleNormal="100" workbookViewId="0">
      <selection activeCell="P20" sqref="P20"/>
    </sheetView>
  </sheetViews>
  <sheetFormatPr defaultColWidth="9.140625" defaultRowHeight="13.15"/>
  <cols>
    <col min="1" max="1" width="3.42578125" hidden="1" customWidth="1"/>
    <col min="2" max="2" width="1.85546875" customWidth="1"/>
    <col min="3" max="3" width="8.42578125" style="5" customWidth="1"/>
    <col min="4" max="4" width="7.85546875" style="5" customWidth="1"/>
    <col min="5" max="5" width="8" style="5" customWidth="1"/>
    <col min="6" max="6" width="8.42578125" customWidth="1"/>
    <col min="7" max="7" width="7.85546875" customWidth="1"/>
    <col min="8" max="8" width="8" customWidth="1"/>
    <col min="9" max="9" width="1.85546875" customWidth="1"/>
    <col min="10" max="10" width="9.140625" style="5" hidden="1" customWidth="1"/>
    <col min="11" max="11" width="9.140625" style="56"/>
    <col min="12" max="12" width="9.140625" hidden="1" customWidth="1"/>
    <col min="13" max="13" width="9.140625" style="136"/>
    <col min="14" max="14" width="2" customWidth="1"/>
    <col min="15" max="15" width="9.85546875" style="5" customWidth="1"/>
    <col min="16" max="16" width="23" customWidth="1"/>
    <col min="17" max="17" width="9.28515625" customWidth="1"/>
    <col min="18" max="18" width="2" customWidth="1"/>
    <col min="19" max="19" width="8.7109375" customWidth="1"/>
    <col min="20" max="20" width="8.42578125" customWidth="1"/>
  </cols>
  <sheetData>
    <row r="1" spans="3:58" ht="13.9" thickBot="1">
      <c r="C1" s="247"/>
      <c r="D1" s="247"/>
      <c r="E1" s="247"/>
      <c r="J1" s="247"/>
      <c r="L1" t="str">
        <f>IF(K6="BWt (Lb)",CONCATENATE("DATA!F14:F28"),CONCATENATE("DATA!E14:E28"))</f>
        <v>DATA!E14:E28</v>
      </c>
      <c r="O1" s="247"/>
      <c r="BB1" t="s">
        <v>0</v>
      </c>
      <c r="BC1" t="s">
        <v>1</v>
      </c>
      <c r="BD1" t="s">
        <v>2</v>
      </c>
      <c r="BE1" t="s">
        <v>3</v>
      </c>
      <c r="BF1" t="s">
        <v>4</v>
      </c>
    </row>
    <row r="2" spans="3:58" ht="28.5" customHeight="1" thickBot="1">
      <c r="C2" s="269" t="s">
        <v>5</v>
      </c>
      <c r="D2" s="270"/>
      <c r="E2" s="270"/>
      <c r="F2" s="270"/>
      <c r="G2" s="270"/>
      <c r="H2" s="271"/>
      <c r="J2" s="247"/>
      <c r="K2" s="272" t="s">
        <v>6</v>
      </c>
      <c r="L2" s="273"/>
      <c r="M2" s="256"/>
      <c r="O2" s="269" t="s">
        <v>1</v>
      </c>
      <c r="P2" s="270"/>
      <c r="Q2" s="271"/>
      <c r="S2" s="255" t="s">
        <v>7</v>
      </c>
      <c r="T2" s="256"/>
    </row>
    <row r="3" spans="3:58" ht="13.9" thickBot="1">
      <c r="C3" s="247"/>
      <c r="D3" s="247"/>
      <c r="E3" s="247"/>
      <c r="J3" s="247"/>
      <c r="O3" s="247"/>
    </row>
    <row r="4" spans="3:58" ht="13.5" customHeight="1">
      <c r="C4" s="263" t="s">
        <v>8</v>
      </c>
      <c r="D4" s="264"/>
      <c r="E4" s="264"/>
      <c r="F4" s="264"/>
      <c r="G4" s="289"/>
      <c r="H4" s="274" t="s">
        <v>9</v>
      </c>
      <c r="J4" s="247"/>
      <c r="K4" s="283" t="s">
        <v>10</v>
      </c>
      <c r="L4" s="284"/>
      <c r="M4" s="285"/>
      <c r="O4" s="263" t="s">
        <v>11</v>
      </c>
      <c r="P4" s="264"/>
      <c r="Q4" s="265"/>
      <c r="S4" s="257" t="s">
        <v>12</v>
      </c>
      <c r="T4" s="259" t="s">
        <v>13</v>
      </c>
    </row>
    <row r="5" spans="3:58" ht="13.5" customHeight="1">
      <c r="C5" s="266"/>
      <c r="D5" s="267"/>
      <c r="E5" s="267"/>
      <c r="F5" s="267"/>
      <c r="G5" s="290"/>
      <c r="H5" s="275"/>
      <c r="J5" s="247"/>
      <c r="K5" s="286"/>
      <c r="L5" s="287"/>
      <c r="M5" s="288"/>
      <c r="O5" s="266"/>
      <c r="P5" s="267"/>
      <c r="Q5" s="268"/>
      <c r="S5" s="258"/>
      <c r="T5" s="260"/>
    </row>
    <row r="6" spans="3:58" ht="13.5" customHeight="1">
      <c r="C6" s="261" t="s">
        <v>14</v>
      </c>
      <c r="D6" s="262"/>
      <c r="E6" s="262"/>
      <c r="F6" s="262" t="s">
        <v>15</v>
      </c>
      <c r="G6" s="262"/>
      <c r="H6" s="276"/>
      <c r="J6" s="247"/>
      <c r="K6" s="277" t="s">
        <v>16</v>
      </c>
      <c r="L6" s="278"/>
      <c r="M6" s="279"/>
      <c r="O6" s="59" t="s">
        <v>17</v>
      </c>
      <c r="P6" s="54" t="s">
        <v>18</v>
      </c>
      <c r="Q6" s="60" t="s">
        <v>19</v>
      </c>
      <c r="S6" s="58">
        <v>1</v>
      </c>
      <c r="T6" s="95">
        <v>12</v>
      </c>
    </row>
    <row r="7" spans="3:58">
      <c r="C7" s="49" t="str">
        <f>TRIM(Lifting!B3)</f>
        <v>Bench 3</v>
      </c>
      <c r="D7" s="252" t="e">
        <f ca="1">ABS(Lifting!D3)</f>
        <v>#N/A</v>
      </c>
      <c r="E7" s="252"/>
      <c r="F7" s="252"/>
      <c r="G7" s="252" t="e">
        <f ca="1">ABS(Lifting!D3)</f>
        <v>#N/A</v>
      </c>
      <c r="H7" s="253"/>
      <c r="I7" s="247"/>
      <c r="J7" s="247"/>
      <c r="K7" s="280"/>
      <c r="L7" s="281"/>
      <c r="M7" s="282"/>
      <c r="O7" s="172" t="s">
        <v>20</v>
      </c>
      <c r="P7" s="173" t="s">
        <v>21</v>
      </c>
      <c r="Q7" s="95">
        <v>2</v>
      </c>
      <c r="S7" s="58">
        <v>2</v>
      </c>
      <c r="T7" s="95">
        <v>11</v>
      </c>
    </row>
    <row r="8" spans="3:58" ht="12.75" customHeight="1">
      <c r="C8" s="251" t="s">
        <v>22</v>
      </c>
      <c r="D8" s="252" t="s">
        <v>23</v>
      </c>
      <c r="E8" s="252" t="s">
        <v>24</v>
      </c>
      <c r="F8" s="252" t="s">
        <v>22</v>
      </c>
      <c r="G8" s="252" t="s">
        <v>25</v>
      </c>
      <c r="H8" s="253" t="s">
        <v>24</v>
      </c>
      <c r="J8" s="247" t="s">
        <v>26</v>
      </c>
      <c r="K8" s="135" t="s">
        <v>27</v>
      </c>
      <c r="L8" s="57"/>
      <c r="M8" s="137" t="s">
        <v>28</v>
      </c>
      <c r="O8" s="172" t="s">
        <v>29</v>
      </c>
      <c r="P8" s="173" t="s">
        <v>30</v>
      </c>
      <c r="Q8" s="95">
        <v>2</v>
      </c>
      <c r="S8" s="58">
        <v>3</v>
      </c>
      <c r="T8" s="95">
        <v>10</v>
      </c>
    </row>
    <row r="9" spans="3:58" ht="12.75" customHeight="1">
      <c r="C9" s="251" t="s">
        <v>31</v>
      </c>
      <c r="D9" s="252" t="s">
        <v>32</v>
      </c>
      <c r="E9" s="252" t="s">
        <v>33</v>
      </c>
      <c r="F9" s="252" t="s">
        <v>31</v>
      </c>
      <c r="G9" s="252" t="s">
        <v>32</v>
      </c>
      <c r="H9" s="253" t="s">
        <v>33</v>
      </c>
      <c r="I9" s="247"/>
      <c r="J9" s="167">
        <v>10</v>
      </c>
      <c r="K9" s="6">
        <v>49</v>
      </c>
      <c r="L9" s="167">
        <v>10</v>
      </c>
      <c r="M9" s="95">
        <v>41</v>
      </c>
      <c r="O9" s="172" t="s">
        <v>34</v>
      </c>
      <c r="P9" s="173" t="s">
        <v>35</v>
      </c>
      <c r="Q9" s="95">
        <v>2</v>
      </c>
      <c r="S9" s="58">
        <v>4</v>
      </c>
      <c r="T9" s="95">
        <v>9</v>
      </c>
    </row>
    <row r="10" spans="3:58">
      <c r="C10" s="6">
        <v>0</v>
      </c>
      <c r="D10" s="252">
        <v>110</v>
      </c>
      <c r="E10" s="252" t="e">
        <f ca="1">IF(OR(D7=0,H4="Kg"),0,MIN(INT((D7-IF(LEFT($C$7,1)="S",$D$23,$D$24))/(2*D10)),C10/2))</f>
        <v>#N/A</v>
      </c>
      <c r="F10" s="45">
        <v>0</v>
      </c>
      <c r="G10" s="252">
        <v>50</v>
      </c>
      <c r="H10" s="253" t="e">
        <f ca="1">IF(OR(G7=0,H4="Lb"),0,MIN(INT((G7-IF(LEFT($C$7,1)="S",$G$23,$G$24))/(2*G10)),F10/2))</f>
        <v>#N/A</v>
      </c>
      <c r="I10" s="247"/>
      <c r="J10" s="167">
        <f>IF(K9="SHW",1000,IF(K10="",J9+1,IF(ISERROR(VLOOKUP(K9,DATA!$F$32:$G$59,2,FALSE)),K9,VLOOKUP(K9,DATA!$F$32:$G$59,2,FALSE))+0.0001))</f>
        <v>49.000100000000003</v>
      </c>
      <c r="K10" s="6">
        <v>54</v>
      </c>
      <c r="L10" s="167">
        <v>44.000100000000003</v>
      </c>
      <c r="M10" s="95">
        <v>45</v>
      </c>
      <c r="O10" s="172" t="s">
        <v>36</v>
      </c>
      <c r="P10" s="173" t="s">
        <v>37</v>
      </c>
      <c r="Q10" s="95">
        <v>2</v>
      </c>
      <c r="S10" s="58">
        <v>5</v>
      </c>
      <c r="T10" s="95">
        <v>8</v>
      </c>
    </row>
    <row r="11" spans="3:58">
      <c r="C11" s="6">
        <v>2</v>
      </c>
      <c r="D11" s="252">
        <v>100</v>
      </c>
      <c r="E11" s="252" t="e">
        <f ca="1">IF(OR(D7=0,H4="Kg"),0,MIN(INT((D7-IF(LEFT($C$7,1)="S",$D$23,$D$24)-2*E10*D10)/(2*D11)),C11/2))</f>
        <v>#N/A</v>
      </c>
      <c r="F11" s="45">
        <v>10</v>
      </c>
      <c r="G11" s="252">
        <v>25</v>
      </c>
      <c r="H11" s="253" t="e">
        <f ca="1">IF(OR(G7=0,H4="Lb"),0,MIN(INT((G7-IF(LEFT($C$7,1)="S",$G$23,$G$24)-2*H10*G10)/(2*G11)),F11/2))</f>
        <v>#N/A</v>
      </c>
      <c r="I11" s="247"/>
      <c r="J11" s="167">
        <f>IF(K10="SHW",1000,IF(K11="",J10+1,IF(ISERROR(VLOOKUP(K10,DATA!$F$32:$G$59,2,FALSE)),K10,VLOOKUP(K10,DATA!$F$32:$G$59,2,FALSE))+0.001))</f>
        <v>54.000999999999998</v>
      </c>
      <c r="K11" s="6">
        <v>59</v>
      </c>
      <c r="L11" s="167">
        <v>48.000999999999998</v>
      </c>
      <c r="M11" s="95">
        <v>50</v>
      </c>
      <c r="O11" s="172" t="s">
        <v>38</v>
      </c>
      <c r="P11" s="173" t="s">
        <v>39</v>
      </c>
      <c r="Q11" s="95">
        <v>2</v>
      </c>
      <c r="S11" s="58">
        <v>6</v>
      </c>
      <c r="T11" s="95">
        <v>6</v>
      </c>
    </row>
    <row r="12" spans="3:58">
      <c r="C12" s="6">
        <v>0</v>
      </c>
      <c r="D12" s="252">
        <v>50</v>
      </c>
      <c r="E12" s="252" t="e">
        <f ca="1">IF(OR(D7=0,H4="Kg"),0,MIN(INT((D7-IF(LEFT($C$7,1)="S",$D$23,$D$24)-2*E10*D10-2*E11*D11)/(2*D12)),C12/2))</f>
        <v>#N/A</v>
      </c>
      <c r="F12" s="45">
        <v>2</v>
      </c>
      <c r="G12" s="252">
        <v>20</v>
      </c>
      <c r="H12" s="253" t="e">
        <f ca="1">IF(OR(G7=0,H4="Lb"),0,MIN(INT((G7-IF(LEFT($C$7,1)="S",$G$23,$G$24)-2*H10*G10-2*H11*G11)/(2*G12)),F12/2))</f>
        <v>#N/A</v>
      </c>
      <c r="I12" s="247"/>
      <c r="J12" s="167">
        <f>IF(K11="SHW",1000,IF(K12="",J11+1,IF(ISERROR(VLOOKUP(K11,DATA!$F$32:$G$59,2,FALSE)),K11,VLOOKUP(K11,DATA!$F$32:$G$59,2,FALSE))+0.001))</f>
        <v>59.000999999999998</v>
      </c>
      <c r="K12" s="6">
        <v>65</v>
      </c>
      <c r="L12" s="167">
        <v>52.000999999999998</v>
      </c>
      <c r="M12" s="95">
        <v>55</v>
      </c>
      <c r="O12" s="172" t="s">
        <v>40</v>
      </c>
      <c r="P12" s="173" t="s">
        <v>41</v>
      </c>
      <c r="Q12" s="95">
        <v>2</v>
      </c>
      <c r="S12" s="58">
        <v>7</v>
      </c>
      <c r="T12" s="95">
        <v>4</v>
      </c>
    </row>
    <row r="13" spans="3:58">
      <c r="C13" s="6">
        <v>6</v>
      </c>
      <c r="D13" s="252">
        <v>45</v>
      </c>
      <c r="E13" s="252" t="e">
        <f ca="1">IF(OR(D7=0,H4="Kg"),0,MIN(INT((D7-IF(LEFT($C$7,1)="S",$D$23,$D$24)-2*E10*D10-2*E11*D11-2*E12*D12)/(2*D13)),C13/2))</f>
        <v>#N/A</v>
      </c>
      <c r="F13" s="45">
        <v>2</v>
      </c>
      <c r="G13" s="252">
        <v>15</v>
      </c>
      <c r="H13" s="253" t="e">
        <f ca="1">IF(OR(G7=0,H4="Lb"),0,MIN(INT((G7-IF(LEFT($C$7,1)="S",$G$23,$G$24)-2*H10*G10-2*H11*G11-2*H12*G12)/(2*G13)),F13/2))</f>
        <v>#N/A</v>
      </c>
      <c r="I13" s="247"/>
      <c r="J13" s="167">
        <f>IF(K12="SHW",1000,IF(K13="",J12+1,IF(ISERROR(VLOOKUP(K12,DATA!$F$32:$G$59,2,FALSE)),K12,VLOOKUP(K12,DATA!$F$32:$G$59,2,FALSE))+0.001))</f>
        <v>65.001000000000005</v>
      </c>
      <c r="K13" s="6">
        <v>72</v>
      </c>
      <c r="L13" s="167">
        <v>56.000999999999998</v>
      </c>
      <c r="M13" s="95">
        <v>61</v>
      </c>
      <c r="O13" s="172"/>
      <c r="P13" s="173"/>
      <c r="Q13" s="95"/>
      <c r="S13" s="58">
        <v>8</v>
      </c>
      <c r="T13" s="95">
        <v>3</v>
      </c>
    </row>
    <row r="14" spans="3:58">
      <c r="C14" s="6">
        <v>4</v>
      </c>
      <c r="D14" s="252">
        <v>35</v>
      </c>
      <c r="E14" s="252" t="e">
        <f ca="1">IF(OR(D7=0,H4="Kg"),0,MIN(INT((D7-IF(LEFT($C$7,1)="S",$D$23,$D$24)-2*E10*D10-2*E11*D11-2*E12*D12-2*E13*D13)/(2*D14)),C14/2))</f>
        <v>#N/A</v>
      </c>
      <c r="F14" s="45">
        <v>2</v>
      </c>
      <c r="G14" s="252">
        <v>10</v>
      </c>
      <c r="H14" s="253" t="e">
        <f ca="1">IF(OR(G7=0,H4="Lb"),0,MIN(INT((G7-IF(LEFT($C$7,1)="S",$G$23,$G$24)-2*H10*G10-2*H11*G11-2*H12*G12-2*H13*G13)/(2*G14)),F14/2))</f>
        <v>#N/A</v>
      </c>
      <c r="I14" s="247"/>
      <c r="J14" s="167">
        <f>IF(K13="SHW",1000,IF(K14="",J13+1,IF(ISERROR(VLOOKUP(K13,DATA!$F$32:$G$59,2,FALSE)),K13,VLOOKUP(K13,DATA!$F$32:$G$59,2,FALSE))+0.001))</f>
        <v>72.001000000000005</v>
      </c>
      <c r="K14" s="6">
        <v>80</v>
      </c>
      <c r="L14" s="167">
        <v>60.000999999999998</v>
      </c>
      <c r="M14" s="95">
        <v>67</v>
      </c>
      <c r="O14" s="6"/>
      <c r="P14" s="98"/>
      <c r="Q14" s="95"/>
      <c r="S14" s="58">
        <v>9</v>
      </c>
      <c r="T14" s="95">
        <v>2</v>
      </c>
    </row>
    <row r="15" spans="3:58" ht="13.9" thickBot="1">
      <c r="C15" s="6">
        <v>2</v>
      </c>
      <c r="D15" s="252">
        <v>25</v>
      </c>
      <c r="E15" s="252" t="e">
        <f ca="1">IF(OR(D7=0,H4="Kg"),0,MIN(INT((D7-IF(LEFT($C$7,1)="S",$D$23,$D$24)-2*E10*D10-2*E11*D11-2*E12*D12-2*E13*D13-2*E14*D14)/(2*D15)),C15/2))</f>
        <v>#N/A</v>
      </c>
      <c r="F15" s="45">
        <v>2</v>
      </c>
      <c r="G15" s="252">
        <v>5</v>
      </c>
      <c r="H15" s="253" t="e">
        <f ca="1">IF(OR(G7=0,H4="Lb"),0,MIN(INT((G7-IF(LEFT($C$7,1)="S",$G$23,$G$24)-2*H10*G10-2*H11*G11-2*H12*G12-2*H13*G13-2*H14*G14)/(2*G15)),F15/2))</f>
        <v>#N/A</v>
      </c>
      <c r="I15" s="247"/>
      <c r="J15" s="167">
        <f>IF(K14="SHW",1000,IF(K15="",J14+1,IF(ISERROR(VLOOKUP(K14,DATA!$F$32:$G$59,2,FALSE)),K14,VLOOKUP(K14,DATA!$F$32:$G$59,2,FALSE))+0.001))</f>
        <v>80.001000000000005</v>
      </c>
      <c r="K15" s="6">
        <v>88</v>
      </c>
      <c r="L15" s="167">
        <v>67.501000000000005</v>
      </c>
      <c r="M15" s="95">
        <v>73</v>
      </c>
      <c r="O15" s="6"/>
      <c r="P15" s="98"/>
      <c r="Q15" s="95"/>
      <c r="S15" s="58">
        <v>10</v>
      </c>
      <c r="T15" s="97">
        <v>1</v>
      </c>
    </row>
    <row r="16" spans="3:58">
      <c r="C16" s="6">
        <v>6</v>
      </c>
      <c r="D16" s="252">
        <v>10</v>
      </c>
      <c r="E16" s="252" t="e">
        <f ca="1">IF(OR(D7=0,H4="Kg"),0,MIN(INT((D7-IF(LEFT($C$7,1)="S",$D$23,$D$24)-2*E10*D10-2*E11*D11-2*E12*D12-2*E13*D13-2*E14*D14-2*E15*D15)/(2*D16)),C16/2))</f>
        <v>#N/A</v>
      </c>
      <c r="F16" s="45">
        <v>2</v>
      </c>
      <c r="G16" s="252">
        <v>2.5</v>
      </c>
      <c r="H16" s="253" t="e">
        <f ca="1">IF(OR(G7=0,H4="Lb"),0,MIN(INT((G7-IF(LEFT($C$7,1)="S",$G$23,$G$24)-2*H10*G10-2*H11*G11-2*H12*G12-2*H13*G13-2*H14*G14-2*H15*G15)/(2*G16)),F16/2))</f>
        <v>#N/A</v>
      </c>
      <c r="I16" s="247"/>
      <c r="J16" s="167">
        <f>IF(K15="SHW",1000,IF(K16="",J15+1,IF(ISERROR(VLOOKUP(K15,DATA!$F$32:$G$59,2,FALSE)),K15,VLOOKUP(K15,DATA!$F$32:$G$59,2,FALSE))+0.001))</f>
        <v>88.001000000000005</v>
      </c>
      <c r="K16" s="6">
        <v>97</v>
      </c>
      <c r="L16" s="167">
        <v>75.001000000000005</v>
      </c>
      <c r="M16" s="95">
        <v>79</v>
      </c>
      <c r="O16" s="6"/>
      <c r="P16" s="98"/>
      <c r="Q16" s="95"/>
    </row>
    <row r="17" spans="3:17">
      <c r="C17" s="6">
        <v>4</v>
      </c>
      <c r="D17" s="252">
        <v>5</v>
      </c>
      <c r="E17" s="252" t="e">
        <f ca="1">IF(OR(D7=0,H4="Kg"),0,MIN(INT((D7-IF(LEFT($C$7,1)="S",$D$23,$D$24)-2*E10*D10-2*E11*D11-2*E12*D12-2*E13*D13-2*E14*D14-2*E15*D15-2*E16*D16)/(2*D17)),C17/2))</f>
        <v>#N/A</v>
      </c>
      <c r="F17" s="45">
        <v>2</v>
      </c>
      <c r="G17" s="252">
        <v>2</v>
      </c>
      <c r="H17" s="253" t="e">
        <f ca="1">IF(OR(G7=0,H4="Lb"),0,MIN(INT((G7-IF(LEFT($C$7,1)="S",$G$23,$G$24)-2*H10*G10-2*H11*G11-2*H12*G12-2*H13*G13-2*H14*G14-2*H15*G15-2*H16*G16)/(2*G17)),F17/2))</f>
        <v>#N/A</v>
      </c>
      <c r="I17" s="247"/>
      <c r="J17" s="167">
        <f>IF(K16="SHW",1000,IF(K17="",J16+1,IF(ISERROR(VLOOKUP(K16,DATA!$F$32:$G$59,2,FALSE)),K16,VLOOKUP(K16,DATA!$F$32:$G$59,2,FALSE))+0.001))</f>
        <v>97.003400000000013</v>
      </c>
      <c r="K17" s="6">
        <v>107</v>
      </c>
      <c r="L17" s="167">
        <v>82.501000000000005</v>
      </c>
      <c r="M17" s="95">
        <v>86</v>
      </c>
      <c r="O17" s="6"/>
      <c r="P17" s="98"/>
      <c r="Q17" s="95"/>
    </row>
    <row r="18" spans="3:17">
      <c r="C18" s="6">
        <v>4</v>
      </c>
      <c r="D18" s="252">
        <v>2.5</v>
      </c>
      <c r="E18" s="252" t="e">
        <f ca="1">IF(OR(D7=0,H4="Kg"),0,MIN(INT((D7-IF(LEFT($C$7,1)="S",$D$23,$D$24)-2*E10*D10-2*E11*D11-2*E12*D12-2*E13*D13-2*E14*D14-2*E15*D15-2*E16*D16-2*E17*D17)/(2*D18)),C18/2))</f>
        <v>#N/A</v>
      </c>
      <c r="F18" s="45">
        <v>2</v>
      </c>
      <c r="G18" s="252">
        <v>1.5</v>
      </c>
      <c r="H18" s="253" t="e">
        <f ca="1">IF(OR(G7=0,H4="Lb"),0,MIN(INT((G7-IF(LEFT($C$7,1)="S",$G$23,$G$24)-2*H10*G10-2*H11*G11-2*H12*G12-2*H13*G13-2*H14*G14-2*H15*G15-2*H16*G16-2*H17*G17)/(2*G18)),F18/2))</f>
        <v>#N/A</v>
      </c>
      <c r="I18" s="247"/>
      <c r="J18" s="167">
        <f>IF(K17="SHW",1000,IF(K18="",J17+1,IF(ISERROR(VLOOKUP(K17,DATA!$F$32:$G$59,2,FALSE)),K17,VLOOKUP(K17,DATA!$F$32:$G$59,2,FALSE))+0.001))</f>
        <v>107.001</v>
      </c>
      <c r="K18" s="172" t="s">
        <v>42</v>
      </c>
      <c r="L18" s="167">
        <v>90.001000000000005</v>
      </c>
      <c r="M18" s="219" t="s">
        <v>43</v>
      </c>
      <c r="O18" s="6"/>
      <c r="P18" s="98"/>
      <c r="Q18" s="95"/>
    </row>
    <row r="19" spans="3:17">
      <c r="C19" s="6">
        <v>0</v>
      </c>
      <c r="D19" s="252">
        <v>1</v>
      </c>
      <c r="E19" s="252" t="e">
        <f ca="1">IF(OR(D7=0,H4="Kg"),0,MIN(INT((D7-IF(LEFT($C$7,1)="S",$D$23,$D$24)-2*E10*D10-2*E11*D11-2*E12*D12-2*E13*D13-2*E14*D14-2*E15*D15-2*E16*D16-2*E17*D17-2*E18*D18)/(2*D19)),C19/2))</f>
        <v>#N/A</v>
      </c>
      <c r="F19" s="45">
        <v>2</v>
      </c>
      <c r="G19" s="252">
        <v>1</v>
      </c>
      <c r="H19" s="253" t="e">
        <f ca="1">IF(OR(G7=0,H4="Lb"),0,MIN(INT((G7-IF(LEFT($C$7,1)="S",$G$23,$G$24)-2*H10*G10-2*H11*G11-2*H12*G12-2*H13*G13-2*H14*G14-2*H15*G15-2*H16*G16-2*H17*G17-2*H18*G18)/(2*G19)),F19/2))</f>
        <v>#N/A</v>
      </c>
      <c r="I19" s="247"/>
      <c r="J19" s="167">
        <f>IF(K18="SHW",1000,IF(K19="",J18+1,IF(ISERROR(VLOOKUP(K18,DATA!$F$32:$G$59,2,FALSE)),K18,VLOOKUP(K18,DATA!$F$32:$G$59,2,FALSE))+0.001))</f>
        <v>108.001</v>
      </c>
      <c r="K19" s="6"/>
      <c r="L19" s="167">
        <v>1000</v>
      </c>
      <c r="M19" s="95"/>
      <c r="O19" s="6"/>
      <c r="P19" s="98"/>
      <c r="Q19" s="95"/>
    </row>
    <row r="20" spans="3:17">
      <c r="C20" s="6">
        <v>0</v>
      </c>
      <c r="D20" s="252">
        <v>0.5</v>
      </c>
      <c r="E20" s="252" t="e">
        <f ca="1">IF(OR(D7=0,H4="Kg"),0,MIN(INT((D7-IF(LEFT($C$7,1)="S",$D$23,$D$24)-2*E10*D10-2*E11*D11-2*E12*D12-2*E13*D13-2*E14*D14-2*E15*D15-2*E16*D16-2*E17*D17-2*E18*D18-2*E19*D19)/(2*D20)),C20/2))</f>
        <v>#N/A</v>
      </c>
      <c r="F20" s="45">
        <v>2</v>
      </c>
      <c r="G20" s="252">
        <v>0.5</v>
      </c>
      <c r="H20" s="253" t="e">
        <f ca="1">IF(OR(G7=0,H4="Lb"),0,MIN(INT((G7-IF(LEFT($C$7,1)="S",$G$23,$G$24)-2*H10*G10-2*H11*G11-2*H12*G12-2*H13*G13-2*H14*G14-2*H15*G15-2*H16*G16-2*H17*G17-2*H18*G18-2*H19*G19)/(2*G20)),F20/2))</f>
        <v>#N/A</v>
      </c>
      <c r="I20" s="247"/>
      <c r="J20" s="167">
        <f>IF(K19="SHW",1000,IF(K20="",J19+1,IF(ISERROR(VLOOKUP(K19,DATA!$F$32:$G$59,2,FALSE)),K19,VLOOKUP(K19,DATA!$F$32:$G$59,2,FALSE))+0.001))</f>
        <v>109.001</v>
      </c>
      <c r="K20" s="6"/>
      <c r="L20" s="167">
        <v>1001</v>
      </c>
      <c r="M20" s="95"/>
      <c r="O20" s="6"/>
      <c r="P20" s="98"/>
      <c r="Q20" s="95"/>
    </row>
    <row r="21" spans="3:17">
      <c r="C21" s="6"/>
      <c r="D21" s="252"/>
      <c r="E21" s="252"/>
      <c r="F21" s="45">
        <v>2</v>
      </c>
      <c r="G21" s="252">
        <v>0.25</v>
      </c>
      <c r="H21" s="253" t="e">
        <f ca="1">IF(OR(G7=0,H4="Lb"),0,MIN(INT((G7-IF(LEFT($C$7,1)="S",$G$23,$G$24)-2*H10*G10-2*H11*G11-2*H12*G12-2*H13*G13-2*H14*G14-2*H15*G15-2*H16*G16-2*H17*G17-2*H18*G18-2*H19*G19-2*H20*G20)/(2*G21)),F21/2))</f>
        <v>#N/A</v>
      </c>
      <c r="I21" s="247"/>
      <c r="J21" s="167">
        <f>IF(K20="SHW",1000,IF(K21="",J20+1,IF(ISERROR(VLOOKUP(K20,DATA!$F$32:$G$59,2,FALSE)),K20,VLOOKUP(K20,DATA!$F$32:$G$59,2,FALSE))+0.001))</f>
        <v>110.001</v>
      </c>
      <c r="K21" s="6"/>
      <c r="L21" s="167"/>
      <c r="M21" s="95"/>
      <c r="O21" s="6"/>
      <c r="P21" s="98"/>
      <c r="Q21" s="95"/>
    </row>
    <row r="22" spans="3:17">
      <c r="C22" s="261" t="s">
        <v>44</v>
      </c>
      <c r="D22" s="262"/>
      <c r="E22" s="252">
        <v>1</v>
      </c>
      <c r="F22" s="262" t="s">
        <v>44</v>
      </c>
      <c r="G22" s="262"/>
      <c r="H22" s="253">
        <v>1</v>
      </c>
      <c r="I22" s="247"/>
      <c r="J22" s="167">
        <f>IF(K21="SHW",1000,IF(K22="",J21+1,IF(ISERROR(VLOOKUP(K21,DATA!$F$32:$G$59,2,FALSE)),K21,VLOOKUP(K21,DATA!$F$32:$G$59,2,FALSE))+0.001))</f>
        <v>111.001</v>
      </c>
      <c r="K22" s="6"/>
      <c r="L22" s="167">
        <f>IF(M21="SHW",1000,IF(M22="",L21+1,IF(ISERROR(VLOOKUP(M21,DATA!$F$32:$G$59,2,FALSE)),M21,VLOOKUP(M21,DATA!$F$32:$G$59,2,FALSE))+0.001))</f>
        <v>1</v>
      </c>
      <c r="M22" s="95"/>
      <c r="O22" s="6"/>
      <c r="P22" s="98"/>
      <c r="Q22" s="95"/>
    </row>
    <row r="23" spans="3:17" ht="13.9" thickBot="1">
      <c r="C23" s="251" t="s">
        <v>45</v>
      </c>
      <c r="D23" s="250">
        <v>65</v>
      </c>
      <c r="E23" s="170" t="s">
        <v>14</v>
      </c>
      <c r="F23" s="252" t="s">
        <v>45</v>
      </c>
      <c r="G23" s="47">
        <v>25</v>
      </c>
      <c r="H23" s="168" t="s">
        <v>15</v>
      </c>
      <c r="I23" s="247"/>
      <c r="J23" s="167">
        <f>IF(K22="SHW",1000,IF(K23="",J22+1,IF(ISERROR(VLOOKUP(K22,DATA!$F$32:$G$59,2,FALSE)),K22,VLOOKUP(K22,DATA!$F$32:$G$59,2,FALSE))+0.001))</f>
        <v>112.001</v>
      </c>
      <c r="K23" s="96"/>
      <c r="L23" s="167">
        <f>IF(M22="SHW",1000,IF(M23="",L22+1,IF(ISERROR(VLOOKUP(M22,DATA!$F$32:$G$59,2,FALSE)),M22,VLOOKUP(M22,DATA!$F$32:$G$59,2,FALSE))+0.001))</f>
        <v>2</v>
      </c>
      <c r="M23" s="97"/>
      <c r="O23" s="6"/>
      <c r="P23" s="98"/>
      <c r="Q23" s="95"/>
    </row>
    <row r="24" spans="3:17" ht="13.9" thickBot="1">
      <c r="C24" s="248" t="s">
        <v>46</v>
      </c>
      <c r="D24" s="46">
        <v>55</v>
      </c>
      <c r="E24" s="171"/>
      <c r="F24" s="249" t="s">
        <v>46</v>
      </c>
      <c r="G24" s="48">
        <v>25</v>
      </c>
      <c r="H24" s="169"/>
      <c r="I24" s="247"/>
      <c r="J24" s="247"/>
      <c r="O24" s="6"/>
      <c r="P24" s="98"/>
      <c r="Q24" s="95"/>
    </row>
    <row r="25" spans="3:17" ht="12.75" customHeight="1">
      <c r="C25" s="247"/>
      <c r="D25" s="283" t="s">
        <v>47</v>
      </c>
      <c r="E25" s="284"/>
      <c r="F25" s="285"/>
      <c r="G25" s="299" t="s">
        <v>48</v>
      </c>
      <c r="H25" s="7"/>
      <c r="I25" s="247"/>
      <c r="J25" s="247"/>
      <c r="O25" s="6"/>
      <c r="P25" s="98"/>
      <c r="Q25" s="95"/>
    </row>
    <row r="26" spans="3:17" ht="12.75" customHeight="1" thickBot="1">
      <c r="C26" s="247"/>
      <c r="D26" s="296"/>
      <c r="E26" s="297"/>
      <c r="F26" s="298"/>
      <c r="G26" s="300"/>
      <c r="H26" s="7"/>
      <c r="I26" s="247"/>
      <c r="J26" s="247"/>
      <c r="O26" s="6"/>
      <c r="P26" s="98"/>
      <c r="Q26" s="95"/>
    </row>
    <row r="27" spans="3:17" ht="13.9" thickBot="1">
      <c r="C27" s="247"/>
      <c r="D27" s="247"/>
      <c r="E27" s="247"/>
      <c r="H27" s="7"/>
      <c r="I27" s="247"/>
      <c r="J27" s="247"/>
      <c r="L27" s="56"/>
      <c r="M27" s="56"/>
      <c r="O27" s="6"/>
      <c r="P27" s="98"/>
      <c r="Q27" s="95"/>
    </row>
    <row r="28" spans="3:17" ht="12.75" customHeight="1">
      <c r="C28" s="247"/>
      <c r="D28" s="306" t="s">
        <v>49</v>
      </c>
      <c r="E28" s="307"/>
      <c r="F28" s="307"/>
      <c r="G28" s="308"/>
      <c r="H28" s="7"/>
      <c r="I28" s="247"/>
      <c r="J28" s="247"/>
      <c r="L28" s="56"/>
      <c r="M28" s="56"/>
      <c r="O28" s="6"/>
      <c r="P28" s="98"/>
      <c r="Q28" s="95"/>
    </row>
    <row r="29" spans="3:17" ht="13.5" customHeight="1" thickBot="1">
      <c r="C29" s="254"/>
      <c r="D29" s="309"/>
      <c r="E29" s="310"/>
      <c r="F29" s="310"/>
      <c r="G29" s="311"/>
      <c r="H29" s="7"/>
      <c r="I29" s="247"/>
      <c r="J29" s="247"/>
      <c r="L29" s="56"/>
      <c r="M29" s="56"/>
      <c r="O29" s="6"/>
      <c r="P29" s="98"/>
      <c r="Q29" s="95"/>
    </row>
    <row r="30" spans="3:17" ht="12.75" customHeight="1">
      <c r="C30" s="247"/>
      <c r="D30" s="247"/>
      <c r="E30" s="247"/>
      <c r="H30" s="7"/>
      <c r="I30" s="247"/>
      <c r="J30" s="247"/>
      <c r="L30" s="56"/>
      <c r="M30" s="56"/>
      <c r="O30" s="6"/>
      <c r="P30" s="98"/>
      <c r="Q30" s="95"/>
    </row>
    <row r="31" spans="3:17" ht="12.75" customHeight="1">
      <c r="C31" s="247"/>
      <c r="D31" s="247"/>
      <c r="E31" s="247"/>
      <c r="J31" s="247"/>
      <c r="L31" s="56"/>
      <c r="M31" s="56"/>
      <c r="O31" s="6"/>
      <c r="P31" s="98"/>
      <c r="Q31" s="95"/>
    </row>
    <row r="32" spans="3:17" ht="13.9" thickBot="1">
      <c r="C32" s="247"/>
      <c r="D32" s="247"/>
      <c r="E32" s="247"/>
      <c r="J32" s="247"/>
      <c r="O32" s="6"/>
      <c r="P32" s="98"/>
      <c r="Q32" s="95"/>
    </row>
    <row r="33" spans="3:17">
      <c r="C33" s="303" t="s">
        <v>50</v>
      </c>
      <c r="D33" s="304"/>
      <c r="E33" s="304"/>
      <c r="F33" s="304" t="s">
        <v>51</v>
      </c>
      <c r="G33" s="304"/>
      <c r="H33" s="305"/>
      <c r="J33" s="247"/>
      <c r="O33" s="6"/>
      <c r="P33" s="98"/>
      <c r="Q33" s="95"/>
    </row>
    <row r="34" spans="3:17">
      <c r="C34" s="261" t="s">
        <v>52</v>
      </c>
      <c r="D34" s="262"/>
      <c r="E34" s="301"/>
      <c r="F34" s="301"/>
      <c r="G34" s="301"/>
      <c r="H34" s="302"/>
      <c r="J34" s="247"/>
      <c r="O34" s="6"/>
      <c r="P34" s="98"/>
      <c r="Q34" s="95"/>
    </row>
    <row r="35" spans="3:17">
      <c r="C35" s="261" t="s">
        <v>53</v>
      </c>
      <c r="D35" s="262"/>
      <c r="E35" s="312"/>
      <c r="F35" s="313"/>
      <c r="G35" s="313"/>
      <c r="H35" s="314"/>
      <c r="J35" s="247"/>
      <c r="O35" s="6"/>
      <c r="P35" s="98"/>
      <c r="Q35" s="95"/>
    </row>
    <row r="36" spans="3:17" ht="13.9" thickBot="1">
      <c r="C36" s="294" t="s">
        <v>54</v>
      </c>
      <c r="D36" s="295"/>
      <c r="E36" s="315"/>
      <c r="F36" s="316"/>
      <c r="G36" s="316"/>
      <c r="H36" s="317"/>
      <c r="J36" s="247"/>
      <c r="O36" s="6"/>
      <c r="P36" s="98"/>
      <c r="Q36" s="95"/>
    </row>
    <row r="37" spans="3:17" ht="13.9" thickBot="1">
      <c r="C37" s="247"/>
      <c r="D37" s="247"/>
      <c r="E37" s="247"/>
      <c r="J37" s="247"/>
      <c r="O37" s="6"/>
      <c r="P37" s="98"/>
      <c r="Q37" s="95"/>
    </row>
    <row r="38" spans="3:17" ht="13.9" thickBot="1">
      <c r="C38" s="247"/>
      <c r="D38" s="8"/>
      <c r="E38" s="292" t="s">
        <v>55</v>
      </c>
      <c r="F38" s="293"/>
      <c r="J38" s="247"/>
      <c r="O38" s="6"/>
      <c r="P38" s="98"/>
      <c r="Q38" s="95"/>
    </row>
    <row r="39" spans="3:17">
      <c r="C39" s="291"/>
      <c r="D39" s="291"/>
      <c r="E39" s="291"/>
      <c r="F39" s="291"/>
      <c r="G39" s="291"/>
      <c r="H39" s="291"/>
      <c r="J39" s="247"/>
      <c r="O39" s="6"/>
      <c r="P39" s="98"/>
      <c r="Q39" s="95"/>
    </row>
    <row r="40" spans="3:17">
      <c r="C40" s="247"/>
      <c r="D40" s="247"/>
      <c r="E40" s="247"/>
      <c r="J40" s="247"/>
      <c r="O40" s="6"/>
      <c r="P40" s="98"/>
      <c r="Q40" s="95"/>
    </row>
    <row r="41" spans="3:17">
      <c r="C41" s="247"/>
      <c r="D41" s="247"/>
      <c r="E41" s="247"/>
      <c r="J41" s="247"/>
      <c r="O41" s="6"/>
      <c r="P41" s="98"/>
      <c r="Q41" s="95"/>
    </row>
    <row r="42" spans="3:17">
      <c r="C42" s="247"/>
      <c r="D42" s="247"/>
      <c r="E42" s="247"/>
      <c r="J42" s="247"/>
      <c r="O42" s="6"/>
      <c r="P42" s="98"/>
      <c r="Q42" s="95"/>
    </row>
    <row r="43" spans="3:17">
      <c r="C43" s="247"/>
      <c r="D43" s="247"/>
      <c r="E43" s="247"/>
      <c r="J43" s="247"/>
      <c r="O43" s="6"/>
      <c r="P43" s="98"/>
      <c r="Q43" s="95"/>
    </row>
    <row r="44" spans="3:17">
      <c r="C44" s="247"/>
      <c r="D44" s="247"/>
      <c r="E44" s="247"/>
      <c r="J44" s="247"/>
      <c r="O44" s="6"/>
      <c r="P44" s="98"/>
      <c r="Q44" s="95"/>
    </row>
    <row r="45" spans="3:17">
      <c r="C45" s="247"/>
      <c r="D45" s="247"/>
      <c r="E45" s="247"/>
      <c r="J45" s="247"/>
      <c r="O45" s="6"/>
      <c r="P45" s="98"/>
      <c r="Q45" s="95"/>
    </row>
    <row r="46" spans="3:17">
      <c r="C46" s="247"/>
      <c r="D46" s="247"/>
      <c r="E46" s="247"/>
      <c r="J46" s="247"/>
      <c r="O46" s="6"/>
      <c r="P46" s="98"/>
      <c r="Q46" s="95"/>
    </row>
    <row r="47" spans="3:17">
      <c r="C47" s="247"/>
      <c r="D47" s="247"/>
      <c r="E47" s="247"/>
      <c r="J47" s="247"/>
      <c r="O47" s="6"/>
      <c r="P47" s="98"/>
      <c r="Q47" s="95"/>
    </row>
    <row r="48" spans="3:17">
      <c r="C48" s="247"/>
      <c r="D48" s="247"/>
      <c r="E48" s="247"/>
      <c r="J48" s="247"/>
      <c r="O48" s="6"/>
      <c r="P48" s="98"/>
      <c r="Q48" s="95"/>
    </row>
    <row r="49" spans="15:17">
      <c r="O49" s="6"/>
      <c r="P49" s="98"/>
      <c r="Q49" s="95"/>
    </row>
    <row r="50" spans="15:17">
      <c r="O50" s="6"/>
      <c r="P50" s="98"/>
      <c r="Q50" s="95"/>
    </row>
    <row r="51" spans="15:17">
      <c r="O51" s="6"/>
      <c r="P51" s="98"/>
      <c r="Q51" s="95"/>
    </row>
    <row r="52" spans="15:17">
      <c r="O52" s="6"/>
      <c r="P52" s="98"/>
      <c r="Q52" s="95"/>
    </row>
    <row r="53" spans="15:17">
      <c r="O53" s="6"/>
      <c r="P53" s="98"/>
      <c r="Q53" s="95"/>
    </row>
    <row r="54" spans="15:17">
      <c r="O54" s="6"/>
      <c r="P54" s="98"/>
      <c r="Q54" s="95"/>
    </row>
    <row r="55" spans="15:17" ht="13.9" thickBot="1">
      <c r="O55" s="96"/>
      <c r="P55" s="98"/>
      <c r="Q55" s="97"/>
    </row>
  </sheetData>
  <mergeCells count="28">
    <mergeCell ref="C39:H39"/>
    <mergeCell ref="E38:F38"/>
    <mergeCell ref="C36:D36"/>
    <mergeCell ref="D25:F26"/>
    <mergeCell ref="G25:G26"/>
    <mergeCell ref="E34:H34"/>
    <mergeCell ref="C33:E33"/>
    <mergeCell ref="F33:H33"/>
    <mergeCell ref="D28:G29"/>
    <mergeCell ref="E35:H35"/>
    <mergeCell ref="C35:D35"/>
    <mergeCell ref="C34:D34"/>
    <mergeCell ref="E36:H36"/>
    <mergeCell ref="S2:T2"/>
    <mergeCell ref="S4:S5"/>
    <mergeCell ref="T4:T5"/>
    <mergeCell ref="C22:D22"/>
    <mergeCell ref="F22:G22"/>
    <mergeCell ref="O4:Q5"/>
    <mergeCell ref="O2:Q2"/>
    <mergeCell ref="C2:H2"/>
    <mergeCell ref="K2:M2"/>
    <mergeCell ref="H4:H5"/>
    <mergeCell ref="C6:E6"/>
    <mergeCell ref="F6:H6"/>
    <mergeCell ref="K6:M7"/>
    <mergeCell ref="K4:M5"/>
    <mergeCell ref="C4:G5"/>
  </mergeCells>
  <phoneticPr fontId="0" type="noConversion"/>
  <conditionalFormatting sqref="C6 D6:E20 C22:E24 C8:C20">
    <cfRule type="expression" dxfId="39" priority="4" stopIfTrue="1">
      <formula>AND($H$4="Kg")</formula>
    </cfRule>
  </conditionalFormatting>
  <conditionalFormatting sqref="F6:H20 F22:H24">
    <cfRule type="expression" dxfId="38" priority="5" stopIfTrue="1">
      <formula>AND($H$4="Lb")</formula>
    </cfRule>
  </conditionalFormatting>
  <conditionalFormatting sqref="C21:E21">
    <cfRule type="expression" dxfId="37" priority="2" stopIfTrue="1">
      <formula>AND($H$4="Kg")</formula>
    </cfRule>
  </conditionalFormatting>
  <conditionalFormatting sqref="G21:H21">
    <cfRule type="expression" dxfId="36" priority="3" stopIfTrue="1">
      <formula>AND($H$4="Lb")</formula>
    </cfRule>
  </conditionalFormatting>
  <conditionalFormatting sqref="F21">
    <cfRule type="expression" dxfId="35" priority="1" stopIfTrue="1">
      <formula>AND($H$4="Lb")</formula>
    </cfRule>
  </conditionalFormatting>
  <dataValidations count="13">
    <dataValidation type="list" allowBlank="1" showInputMessage="1" showErrorMessage="1" sqref="D2" xr:uid="{00000000-0002-0000-0000-000000000000}">
      <formula1>$BB$1:$BF$1</formula1>
    </dataValidation>
    <dataValidation type="list" allowBlank="1" showInputMessage="1" showErrorMessage="1" sqref="J24:J25 C10:C12 C14 F10:F21" xr:uid="{00000000-0002-0000-0000-000001000000}">
      <formula1>"0,2,4,6,8,10,12,14,16,18,20"</formula1>
    </dataValidation>
    <dataValidation type="list" allowBlank="1" showInputMessage="1" showErrorMessage="1" sqref="J26:J28 C13 C15:C18" xr:uid="{00000000-0002-0000-0000-000002000000}">
      <formula1>"2,4,6,8,10,12,14,16,18,20"</formula1>
    </dataValidation>
    <dataValidation type="list" allowBlank="1" showInputMessage="1" showErrorMessage="1" sqref="H4:H5" xr:uid="{00000000-0002-0000-0000-000003000000}">
      <formula1>"Lb,Kg"</formula1>
    </dataValidation>
    <dataValidation type="custom" allowBlank="1" showInputMessage="1" showErrorMessage="1" promptTitle="Division Abbreviation" prompt="First letter must be M or F to for the program to compute coefficients_x000a_Then a few letters or numbers to identify the division_x000a_Example M-M1 = Men's Master 40-45" sqref="O7:O55" xr:uid="{00000000-0002-0000-0000-000004000000}">
      <formula1>OR(LEFT(O7,1)="M",LEFT(O7,1)="F")</formula1>
    </dataValidation>
    <dataValidation type="list" allowBlank="1" showInputMessage="1" showErrorMessage="1" promptTitle="Weigh In scales" prompt="Select Kg (kilograms) or Lb (pounds) depending on the scales used at weigh -in" sqref="K6:M7" xr:uid="{00000000-0002-0000-0000-000005000000}">
      <formula1>"BWt (Kg),BWt (Lb)"</formula1>
    </dataValidation>
    <dataValidation type="list" allowBlank="1" showInputMessage="1" showErrorMessage="1" promptTitle="Coefficients" prompt="Select Best Lifter Formula from list" sqref="K30:M31" xr:uid="{00000000-0002-0000-0000-000006000000}">
      <formula1>"Wilks,Schwartz,Schwartz/Malone,Glossbrenner,Reshel"</formula1>
    </dataValidation>
    <dataValidation type="list" errorStyle="information" allowBlank="1" showInputMessage="1" showErrorMessage="1" errorTitle="New Weight Class" error="The program will use this value as the upper lkimit for the class." promptTitle="Wt Class" prompt="Start with the lightest weight class and finish with SHW. _x000a_You may choose weight classes that are not on the list and the program will use the value you enter as the upper limit for the class._x000a_" sqref="M9:M23 K9:K23" xr:uid="{00000000-0002-0000-0000-000007000000}">
      <formula1>INDIRECT($L$1)</formula1>
    </dataValidation>
    <dataValidation type="list" allowBlank="1" showInputMessage="1" showErrorMessage="1" promptTitle="Weight of bar &amp; collars" prompt="select the weight of the Bar plus collars from the pulldown list" sqref="D23:D24" xr:uid="{00000000-0002-0000-0000-000008000000}">
      <formula1>"45,50,55,65,70"</formula1>
    </dataValidation>
    <dataValidation type="list" allowBlank="1" showInputMessage="1" showErrorMessage="1" promptTitle="Weight of bar &amp; collars" prompt="select the weight of the Bar plus collars from the pulldown list" sqref="G23:G24" xr:uid="{00000000-0002-0000-0000-000009000000}">
      <formula1>"20,22.5,25,30,32.5"</formula1>
    </dataValidation>
    <dataValidation type="list" allowBlank="1" showInputMessage="1" showErrorMessage="1" sqref="G25:G26" xr:uid="{00000000-0002-0000-0000-00000A000000}">
      <formula1>"yes,no"</formula1>
    </dataValidation>
    <dataValidation type="list" allowBlank="1" showInputMessage="1" showErrorMessage="1" sqref="F33:H33" xr:uid="{00000000-0002-0000-0000-00000B000000}">
      <formula1>"Enable,Disable"</formula1>
    </dataValidation>
    <dataValidation type="list" allowBlank="1" showInputMessage="1" showErrorMessage="1" promptTitle="Determine place using" prompt="1 = Division, Wt Class &amp; total_x000a_2 = Division &amp; Total x Coef" sqref="Q7:Q55" xr:uid="{00000000-0002-0000-0000-00000C000000}">
      <formula1>"1,2"</formula1>
    </dataValidation>
  </dataValidations>
  <pageMargins left="0.75" right="0.75" top="1" bottom="1" header="0.5" footer="0.5"/>
  <pageSetup orientation="portrait" r:id="rId1"/>
  <headerFooter alignWithMargins="0"/>
  <customProperties>
    <customPr name="DVSECTION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IV397"/>
  <sheetViews>
    <sheetView workbookViewId="0">
      <selection activeCell="ER397" sqref="ER397"/>
    </sheetView>
  </sheetViews>
  <sheetFormatPr defaultColWidth="8.85546875" defaultRowHeight="13.15"/>
  <sheetData>
    <row r="1" spans="1:256">
      <c r="A1">
        <f>IF(Setup!1:1,"AAAAAH+sfwA=",0)</f>
        <v>0</v>
      </c>
      <c r="B1" t="e">
        <f>AND(Setup!A1,"AAAAAH+sfwE=")</f>
        <v>#VALUE!</v>
      </c>
      <c r="C1" t="e">
        <f>AND(Setup!B1,"AAAAAH+sfwI=")</f>
        <v>#VALUE!</v>
      </c>
      <c r="D1" t="e">
        <f>AND(Setup!C1,"AAAAAH+sfwM=")</f>
        <v>#VALUE!</v>
      </c>
      <c r="E1" t="e">
        <f>AND(Setup!D1,"AAAAAH+sfwQ=")</f>
        <v>#VALUE!</v>
      </c>
      <c r="F1" t="e">
        <f>AND(Setup!E1,"AAAAAH+sfwU=")</f>
        <v>#VALUE!</v>
      </c>
      <c r="G1" t="e">
        <f>AND(Setup!F1,"AAAAAH+sfwY=")</f>
        <v>#VALUE!</v>
      </c>
      <c r="H1" t="e">
        <f>AND(Setup!G1,"AAAAAH+sfwc=")</f>
        <v>#VALUE!</v>
      </c>
      <c r="I1" t="e">
        <f>AND(Setup!H1,"AAAAAH+sfwg=")</f>
        <v>#VALUE!</v>
      </c>
      <c r="J1" t="e">
        <f>AND(Setup!I1,"AAAAAH+sfwk=")</f>
        <v>#VALUE!</v>
      </c>
      <c r="K1" t="e">
        <f>AND(Setup!J1,"AAAAAH+sfwo=")</f>
        <v>#VALUE!</v>
      </c>
      <c r="L1" t="e">
        <f>AND(Setup!K1,"AAAAAH+sfws=")</f>
        <v>#VALUE!</v>
      </c>
      <c r="M1" t="e">
        <f>AND(Setup!L1,"AAAAAH+sfww=")</f>
        <v>#VALUE!</v>
      </c>
      <c r="N1" t="e">
        <f>AND(Setup!M1,"AAAAAH+sfw0=")</f>
        <v>#VALUE!</v>
      </c>
      <c r="O1" t="e">
        <f>AND(Setup!N1,"AAAAAH+sfw4=")</f>
        <v>#VALUE!</v>
      </c>
      <c r="P1" t="e">
        <f>AND(Setup!O1,"AAAAAH+sfw8=")</f>
        <v>#VALUE!</v>
      </c>
      <c r="Q1" t="e">
        <f>AND(Setup!P1,"AAAAAH+sfxA=")</f>
        <v>#VALUE!</v>
      </c>
      <c r="R1" t="e">
        <f>AND(Setup!Q1,"AAAAAH+sfxE=")</f>
        <v>#VALUE!</v>
      </c>
      <c r="S1" t="e">
        <f>AND(Setup!R1,"AAAAAH+sfxI=")</f>
        <v>#VALUE!</v>
      </c>
      <c r="T1" t="e">
        <f>AND(Setup!S1,"AAAAAH+sfxM=")</f>
        <v>#VALUE!</v>
      </c>
      <c r="U1" t="e">
        <f>AND(Setup!T1,"AAAAAH+sfxQ=")</f>
        <v>#VALUE!</v>
      </c>
      <c r="V1" t="e">
        <f>AND(Setup!U1,"AAAAAH+sfxU=")</f>
        <v>#VALUE!</v>
      </c>
      <c r="W1" t="e">
        <f>AND(Setup!V1,"AAAAAH+sfxY=")</f>
        <v>#VALUE!</v>
      </c>
      <c r="X1" t="e">
        <f>AND(Setup!W1,"AAAAAH+sfxc=")</f>
        <v>#VALUE!</v>
      </c>
      <c r="Y1" t="e">
        <f>AND(Setup!X1,"AAAAAH+sfxg=")</f>
        <v>#VALUE!</v>
      </c>
      <c r="Z1" t="e">
        <f>AND(Setup!Y1,"AAAAAH+sfxk=")</f>
        <v>#VALUE!</v>
      </c>
      <c r="AA1" t="e">
        <f>AND(Setup!Z1,"AAAAAH+sfxo=")</f>
        <v>#VALUE!</v>
      </c>
      <c r="AB1" t="e">
        <f>AND(Setup!AA1,"AAAAAH+sfxs=")</f>
        <v>#VALUE!</v>
      </c>
      <c r="AC1" t="e">
        <f>AND(Setup!AB1,"AAAAAH+sfxw=")</f>
        <v>#VALUE!</v>
      </c>
      <c r="AD1" t="e">
        <f>AND(Setup!AC1,"AAAAAH+sfx0=")</f>
        <v>#VALUE!</v>
      </c>
      <c r="AE1" t="e">
        <f>AND(Setup!AD1,"AAAAAH+sfx4=")</f>
        <v>#VALUE!</v>
      </c>
      <c r="AF1" t="e">
        <f>AND(Setup!AE1,"AAAAAH+sfx8=")</f>
        <v>#VALUE!</v>
      </c>
      <c r="AG1" t="e">
        <f>AND(Setup!AF1,"AAAAAH+sfyA=")</f>
        <v>#VALUE!</v>
      </c>
      <c r="AH1" t="e">
        <f>AND(Setup!AG1,"AAAAAH+sfyE=")</f>
        <v>#VALUE!</v>
      </c>
      <c r="AI1" t="e">
        <f>AND(Setup!AH1,"AAAAAH+sfyI=")</f>
        <v>#VALUE!</v>
      </c>
      <c r="AJ1" t="e">
        <f>AND(Setup!AI1,"AAAAAH+sfyM=")</f>
        <v>#VALUE!</v>
      </c>
      <c r="AK1" t="e">
        <f>AND(Setup!AJ1,"AAAAAH+sfyQ=")</f>
        <v>#VALUE!</v>
      </c>
      <c r="AL1" t="e">
        <f>AND(Setup!AK1,"AAAAAH+sfyU=")</f>
        <v>#VALUE!</v>
      </c>
      <c r="AM1" t="e">
        <f>AND(Setup!AL1,"AAAAAH+sfyY=")</f>
        <v>#VALUE!</v>
      </c>
      <c r="AN1" t="e">
        <f>AND(Setup!AM1,"AAAAAH+sfyc=")</f>
        <v>#VALUE!</v>
      </c>
      <c r="AO1" t="e">
        <f>AND(Setup!AN1,"AAAAAH+sfyg=")</f>
        <v>#VALUE!</v>
      </c>
      <c r="AP1" t="e">
        <f>AND(Setup!AO1,"AAAAAH+sfyk=")</f>
        <v>#VALUE!</v>
      </c>
      <c r="AQ1" t="e">
        <f>AND(Setup!AP1,"AAAAAH+sfyo=")</f>
        <v>#VALUE!</v>
      </c>
      <c r="AR1" t="e">
        <f>AND(Setup!AQ1,"AAAAAH+sfys=")</f>
        <v>#VALUE!</v>
      </c>
      <c r="AS1" t="e">
        <f>AND(Setup!AR1,"AAAAAH+sfyw=")</f>
        <v>#VALUE!</v>
      </c>
      <c r="AT1" t="e">
        <f>AND(Setup!AS1,"AAAAAH+sfy0=")</f>
        <v>#VALUE!</v>
      </c>
      <c r="AU1" t="e">
        <f>AND(Setup!AT1,"AAAAAH+sfy4=")</f>
        <v>#VALUE!</v>
      </c>
      <c r="AV1" t="e">
        <f>AND(Setup!AU1,"AAAAAH+sfy8=")</f>
        <v>#VALUE!</v>
      </c>
      <c r="AW1" t="e">
        <f>AND(Setup!AV1,"AAAAAH+sfzA=")</f>
        <v>#VALUE!</v>
      </c>
      <c r="AX1" t="e">
        <f>AND(Setup!AW1,"AAAAAH+sfzE=")</f>
        <v>#VALUE!</v>
      </c>
      <c r="AY1" t="e">
        <f>AND(Setup!AX1,"AAAAAH+sfzI=")</f>
        <v>#VALUE!</v>
      </c>
      <c r="AZ1" t="e">
        <f>AND(Setup!AY1,"AAAAAH+sfzM=")</f>
        <v>#VALUE!</v>
      </c>
      <c r="BA1" t="e">
        <f>AND(Setup!AZ1,"AAAAAH+sfzQ=")</f>
        <v>#VALUE!</v>
      </c>
      <c r="BB1" t="e">
        <f>AND(Setup!BA1,"AAAAAH+sfzU=")</f>
        <v>#VALUE!</v>
      </c>
      <c r="BC1" t="e">
        <f>AND(Setup!BB1,"AAAAAH+sfzY=")</f>
        <v>#VALUE!</v>
      </c>
      <c r="BD1" t="e">
        <f>AND(Setup!BC1,"AAAAAH+sfzc=")</f>
        <v>#VALUE!</v>
      </c>
      <c r="BE1" t="e">
        <f>AND(Setup!BD1,"AAAAAH+sfzg=")</f>
        <v>#VALUE!</v>
      </c>
      <c r="BF1" t="e">
        <f>AND(Setup!BE1,"AAAAAH+sfzk=")</f>
        <v>#VALUE!</v>
      </c>
      <c r="BG1" t="e">
        <f>AND(Setup!BF1,"AAAAAH+sfzo=")</f>
        <v>#VALUE!</v>
      </c>
      <c r="BH1">
        <f>IF(Setup!2:2,"AAAAAH+sfzs=",0)</f>
        <v>0</v>
      </c>
      <c r="BI1" t="e">
        <f>AND(Setup!A2,"AAAAAH+sfzw=")</f>
        <v>#VALUE!</v>
      </c>
      <c r="BJ1" t="e">
        <f>AND(Setup!B2,"AAAAAH+sfz0=")</f>
        <v>#VALUE!</v>
      </c>
      <c r="BK1" t="e">
        <f>AND(Setup!C2,"AAAAAH+sfz4=")</f>
        <v>#VALUE!</v>
      </c>
      <c r="BL1" t="e">
        <f>AND(Setup!D2,"AAAAAH+sfz8=")</f>
        <v>#VALUE!</v>
      </c>
      <c r="BM1" t="e">
        <f>AND(Setup!E2,"AAAAAH+sf0A=")</f>
        <v>#VALUE!</v>
      </c>
      <c r="BN1" t="e">
        <f>AND(Setup!F2,"AAAAAH+sf0E=")</f>
        <v>#VALUE!</v>
      </c>
      <c r="BO1" t="e">
        <f>AND(Setup!G2,"AAAAAH+sf0I=")</f>
        <v>#VALUE!</v>
      </c>
      <c r="BP1" t="e">
        <f>AND(Setup!H2,"AAAAAH+sf0M=")</f>
        <v>#VALUE!</v>
      </c>
      <c r="BQ1" t="e">
        <f>AND(Setup!I2,"AAAAAH+sf0Q=")</f>
        <v>#VALUE!</v>
      </c>
      <c r="BR1" t="e">
        <f>AND(Setup!J2,"AAAAAH+sf0U=")</f>
        <v>#VALUE!</v>
      </c>
      <c r="BS1" t="e">
        <f>AND(Setup!K2,"AAAAAH+sf0Y=")</f>
        <v>#VALUE!</v>
      </c>
      <c r="BT1" t="e">
        <f>AND(Setup!L2,"AAAAAH+sf0c=")</f>
        <v>#VALUE!</v>
      </c>
      <c r="BU1" t="e">
        <f>AND(Setup!M2,"AAAAAH+sf0g=")</f>
        <v>#VALUE!</v>
      </c>
      <c r="BV1" t="e">
        <f>AND(Setup!N2,"AAAAAH+sf0k=")</f>
        <v>#VALUE!</v>
      </c>
      <c r="BW1" t="e">
        <f>AND(Setup!O2,"AAAAAH+sf0o=")</f>
        <v>#VALUE!</v>
      </c>
      <c r="BX1" t="e">
        <f>AND(Setup!P2,"AAAAAH+sf0s=")</f>
        <v>#VALUE!</v>
      </c>
      <c r="BY1" t="e">
        <f>AND(Setup!Q2,"AAAAAH+sf0w=")</f>
        <v>#VALUE!</v>
      </c>
      <c r="BZ1" t="e">
        <f>AND(Setup!R2,"AAAAAH+sf00=")</f>
        <v>#VALUE!</v>
      </c>
      <c r="CA1" t="e">
        <f>AND(Setup!S2,"AAAAAH+sf04=")</f>
        <v>#VALUE!</v>
      </c>
      <c r="CB1" t="e">
        <f>AND(Setup!T2,"AAAAAH+sf08=")</f>
        <v>#VALUE!</v>
      </c>
      <c r="CC1" t="e">
        <f>AND(Setup!U2,"AAAAAH+sf1A=")</f>
        <v>#VALUE!</v>
      </c>
      <c r="CD1" t="e">
        <f>AND(Setup!V2,"AAAAAH+sf1E=")</f>
        <v>#VALUE!</v>
      </c>
      <c r="CE1" t="e">
        <f>AND(Setup!W2,"AAAAAH+sf1I=")</f>
        <v>#VALUE!</v>
      </c>
      <c r="CF1" t="e">
        <f>AND(Setup!X2,"AAAAAH+sf1M=")</f>
        <v>#VALUE!</v>
      </c>
      <c r="CG1" t="e">
        <f>AND(Setup!Y2,"AAAAAH+sf1Q=")</f>
        <v>#VALUE!</v>
      </c>
      <c r="CH1" t="e">
        <f>AND(Setup!Z2,"AAAAAH+sf1U=")</f>
        <v>#VALUE!</v>
      </c>
      <c r="CI1" t="e">
        <f>AND(Setup!AA2,"AAAAAH+sf1Y=")</f>
        <v>#VALUE!</v>
      </c>
      <c r="CJ1" t="e">
        <f>AND(Setup!AB2,"AAAAAH+sf1c=")</f>
        <v>#VALUE!</v>
      </c>
      <c r="CK1" t="e">
        <f>AND(Setup!AC2,"AAAAAH+sf1g=")</f>
        <v>#VALUE!</v>
      </c>
      <c r="CL1" t="e">
        <f>AND(Setup!AD2,"AAAAAH+sf1k=")</f>
        <v>#VALUE!</v>
      </c>
      <c r="CM1" t="e">
        <f>AND(Setup!AE2,"AAAAAH+sf1o=")</f>
        <v>#VALUE!</v>
      </c>
      <c r="CN1" t="e">
        <f>AND(Setup!AF2,"AAAAAH+sf1s=")</f>
        <v>#VALUE!</v>
      </c>
      <c r="CO1" t="e">
        <f>AND(Setup!AG2,"AAAAAH+sf1w=")</f>
        <v>#VALUE!</v>
      </c>
      <c r="CP1" t="e">
        <f>AND(Setup!AH2,"AAAAAH+sf10=")</f>
        <v>#VALUE!</v>
      </c>
      <c r="CQ1" t="e">
        <f>AND(Setup!AI2,"AAAAAH+sf14=")</f>
        <v>#VALUE!</v>
      </c>
      <c r="CR1" t="e">
        <f>AND(Setup!AJ2,"AAAAAH+sf18=")</f>
        <v>#VALUE!</v>
      </c>
      <c r="CS1" t="e">
        <f>AND(Setup!AK2,"AAAAAH+sf2A=")</f>
        <v>#VALUE!</v>
      </c>
      <c r="CT1" t="e">
        <f>AND(Setup!AL2,"AAAAAH+sf2E=")</f>
        <v>#VALUE!</v>
      </c>
      <c r="CU1" t="e">
        <f>AND(Setup!AM2,"AAAAAH+sf2I=")</f>
        <v>#VALUE!</v>
      </c>
      <c r="CV1" t="e">
        <f>AND(Setup!AN2,"AAAAAH+sf2M=")</f>
        <v>#VALUE!</v>
      </c>
      <c r="CW1" t="e">
        <f>AND(Setup!AO2,"AAAAAH+sf2Q=")</f>
        <v>#VALUE!</v>
      </c>
      <c r="CX1" t="e">
        <f>AND(Setup!AP2,"AAAAAH+sf2U=")</f>
        <v>#VALUE!</v>
      </c>
      <c r="CY1" t="e">
        <f>AND(Setup!AQ2,"AAAAAH+sf2Y=")</f>
        <v>#VALUE!</v>
      </c>
      <c r="CZ1" t="e">
        <f>AND(Setup!AR2,"AAAAAH+sf2c=")</f>
        <v>#VALUE!</v>
      </c>
      <c r="DA1" t="e">
        <f>AND(Setup!AS2,"AAAAAH+sf2g=")</f>
        <v>#VALUE!</v>
      </c>
      <c r="DB1" t="e">
        <f>AND(Setup!AT2,"AAAAAH+sf2k=")</f>
        <v>#VALUE!</v>
      </c>
      <c r="DC1" t="e">
        <f>AND(Setup!AU2,"AAAAAH+sf2o=")</f>
        <v>#VALUE!</v>
      </c>
      <c r="DD1" t="e">
        <f>AND(Setup!AV2,"AAAAAH+sf2s=")</f>
        <v>#VALUE!</v>
      </c>
      <c r="DE1" t="e">
        <f>AND(Setup!AW2,"AAAAAH+sf2w=")</f>
        <v>#VALUE!</v>
      </c>
      <c r="DF1" t="e">
        <f>AND(Setup!AX2,"AAAAAH+sf20=")</f>
        <v>#VALUE!</v>
      </c>
      <c r="DG1" t="e">
        <f>AND(Setup!AY2,"AAAAAH+sf24=")</f>
        <v>#VALUE!</v>
      </c>
      <c r="DH1" t="e">
        <f>AND(Setup!AZ2,"AAAAAH+sf28=")</f>
        <v>#VALUE!</v>
      </c>
      <c r="DI1" t="e">
        <f>AND(Setup!BA2,"AAAAAH+sf3A=")</f>
        <v>#VALUE!</v>
      </c>
      <c r="DJ1" t="e">
        <f>AND(Setup!BB2,"AAAAAH+sf3E=")</f>
        <v>#VALUE!</v>
      </c>
      <c r="DK1" t="e">
        <f>AND(Setup!BC2,"AAAAAH+sf3I=")</f>
        <v>#VALUE!</v>
      </c>
      <c r="DL1" t="e">
        <f>AND(Setup!BD2,"AAAAAH+sf3M=")</f>
        <v>#VALUE!</v>
      </c>
      <c r="DM1" t="e">
        <f>AND(Setup!BE2,"AAAAAH+sf3Q=")</f>
        <v>#VALUE!</v>
      </c>
      <c r="DN1" t="e">
        <f>AND(Setup!BF2,"AAAAAH+sf3U=")</f>
        <v>#VALUE!</v>
      </c>
      <c r="DO1">
        <f>IF(Setup!3:3,"AAAAAH+sf3Y=",0)</f>
        <v>0</v>
      </c>
      <c r="DP1" t="e">
        <f>AND(Setup!A3,"AAAAAH+sf3c=")</f>
        <v>#VALUE!</v>
      </c>
      <c r="DQ1" t="e">
        <f>AND(Setup!B3,"AAAAAH+sf3g=")</f>
        <v>#VALUE!</v>
      </c>
      <c r="DR1" t="e">
        <f>AND(Setup!C3,"AAAAAH+sf3k=")</f>
        <v>#VALUE!</v>
      </c>
      <c r="DS1" t="e">
        <f>AND(Setup!D3,"AAAAAH+sf3o=")</f>
        <v>#VALUE!</v>
      </c>
      <c r="DT1" t="e">
        <f>AND(Setup!E3,"AAAAAH+sf3s=")</f>
        <v>#VALUE!</v>
      </c>
      <c r="DU1" t="e">
        <f>AND(Setup!F3,"AAAAAH+sf3w=")</f>
        <v>#VALUE!</v>
      </c>
      <c r="DV1" t="e">
        <f>AND(Setup!G3,"AAAAAH+sf30=")</f>
        <v>#VALUE!</v>
      </c>
      <c r="DW1" t="e">
        <f>AND(Setup!H3,"AAAAAH+sf34=")</f>
        <v>#VALUE!</v>
      </c>
      <c r="DX1" t="e">
        <f>AND(Setup!I3,"AAAAAH+sf38=")</f>
        <v>#VALUE!</v>
      </c>
      <c r="DY1" t="e">
        <f>AND(Setup!J3,"AAAAAH+sf4A=")</f>
        <v>#VALUE!</v>
      </c>
      <c r="DZ1" t="e">
        <f>AND(Setup!K3,"AAAAAH+sf4E=")</f>
        <v>#VALUE!</v>
      </c>
      <c r="EA1" t="e">
        <f>AND(Setup!L3,"AAAAAH+sf4I=")</f>
        <v>#VALUE!</v>
      </c>
      <c r="EB1" t="e">
        <f>AND(Setup!M3,"AAAAAH+sf4M=")</f>
        <v>#VALUE!</v>
      </c>
      <c r="EC1" t="e">
        <f>AND(Setup!N3,"AAAAAH+sf4Q=")</f>
        <v>#VALUE!</v>
      </c>
      <c r="ED1" t="e">
        <f>AND(Setup!O3,"AAAAAH+sf4U=")</f>
        <v>#VALUE!</v>
      </c>
      <c r="EE1" t="e">
        <f>AND(Setup!P3,"AAAAAH+sf4Y=")</f>
        <v>#VALUE!</v>
      </c>
      <c r="EF1" t="e">
        <f>AND(Setup!Q3,"AAAAAH+sf4c=")</f>
        <v>#VALUE!</v>
      </c>
      <c r="EG1" t="e">
        <f>AND(Setup!R3,"AAAAAH+sf4g=")</f>
        <v>#VALUE!</v>
      </c>
      <c r="EH1" t="e">
        <f>AND(Setup!S3,"AAAAAH+sf4k=")</f>
        <v>#VALUE!</v>
      </c>
      <c r="EI1" t="e">
        <f>AND(Setup!T3,"AAAAAH+sf4o=")</f>
        <v>#VALUE!</v>
      </c>
      <c r="EJ1" t="e">
        <f>AND(Setup!U3,"AAAAAH+sf4s=")</f>
        <v>#VALUE!</v>
      </c>
      <c r="EK1" t="e">
        <f>AND(Setup!V3,"AAAAAH+sf4w=")</f>
        <v>#VALUE!</v>
      </c>
      <c r="EL1" t="e">
        <f>AND(Setup!W3,"AAAAAH+sf40=")</f>
        <v>#VALUE!</v>
      </c>
      <c r="EM1" t="e">
        <f>AND(Setup!X3,"AAAAAH+sf44=")</f>
        <v>#VALUE!</v>
      </c>
      <c r="EN1" t="e">
        <f>AND(Setup!Y3,"AAAAAH+sf48=")</f>
        <v>#VALUE!</v>
      </c>
      <c r="EO1" t="e">
        <f>AND(Setup!Z3,"AAAAAH+sf5A=")</f>
        <v>#VALUE!</v>
      </c>
      <c r="EP1" t="e">
        <f>AND(Setup!AA3,"AAAAAH+sf5E=")</f>
        <v>#VALUE!</v>
      </c>
      <c r="EQ1" t="e">
        <f>AND(Setup!AB3,"AAAAAH+sf5I=")</f>
        <v>#VALUE!</v>
      </c>
      <c r="ER1" t="e">
        <f>AND(Setup!AC3,"AAAAAH+sf5M=")</f>
        <v>#VALUE!</v>
      </c>
      <c r="ES1" t="e">
        <f>AND(Setup!AD3,"AAAAAH+sf5Q=")</f>
        <v>#VALUE!</v>
      </c>
      <c r="ET1" t="e">
        <f>AND(Setup!AE3,"AAAAAH+sf5U=")</f>
        <v>#VALUE!</v>
      </c>
      <c r="EU1" t="e">
        <f>AND(Setup!AF3,"AAAAAH+sf5Y=")</f>
        <v>#VALUE!</v>
      </c>
      <c r="EV1" t="e">
        <f>AND(Setup!AG3,"AAAAAH+sf5c=")</f>
        <v>#VALUE!</v>
      </c>
      <c r="EW1" t="e">
        <f>AND(Setup!AH3,"AAAAAH+sf5g=")</f>
        <v>#VALUE!</v>
      </c>
      <c r="EX1" t="e">
        <f>AND(Setup!AI3,"AAAAAH+sf5k=")</f>
        <v>#VALUE!</v>
      </c>
      <c r="EY1" t="e">
        <f>AND(Setup!AJ3,"AAAAAH+sf5o=")</f>
        <v>#VALUE!</v>
      </c>
      <c r="EZ1" t="e">
        <f>AND(Setup!AK3,"AAAAAH+sf5s=")</f>
        <v>#VALUE!</v>
      </c>
      <c r="FA1" t="e">
        <f>AND(Setup!AL3,"AAAAAH+sf5w=")</f>
        <v>#VALUE!</v>
      </c>
      <c r="FB1" t="e">
        <f>AND(Setup!AM3,"AAAAAH+sf50=")</f>
        <v>#VALUE!</v>
      </c>
      <c r="FC1" t="e">
        <f>AND(Setup!AN3,"AAAAAH+sf54=")</f>
        <v>#VALUE!</v>
      </c>
      <c r="FD1" t="e">
        <f>AND(Setup!AO3,"AAAAAH+sf58=")</f>
        <v>#VALUE!</v>
      </c>
      <c r="FE1" t="e">
        <f>AND(Setup!AP3,"AAAAAH+sf6A=")</f>
        <v>#VALUE!</v>
      </c>
      <c r="FF1" t="e">
        <f>AND(Setup!AQ3,"AAAAAH+sf6E=")</f>
        <v>#VALUE!</v>
      </c>
      <c r="FG1" t="e">
        <f>AND(Setup!AR3,"AAAAAH+sf6I=")</f>
        <v>#VALUE!</v>
      </c>
      <c r="FH1" t="e">
        <f>AND(Setup!AS3,"AAAAAH+sf6M=")</f>
        <v>#VALUE!</v>
      </c>
      <c r="FI1" t="e">
        <f>AND(Setup!AT3,"AAAAAH+sf6Q=")</f>
        <v>#VALUE!</v>
      </c>
      <c r="FJ1" t="e">
        <f>AND(Setup!AU3,"AAAAAH+sf6U=")</f>
        <v>#VALUE!</v>
      </c>
      <c r="FK1" t="e">
        <f>AND(Setup!AV3,"AAAAAH+sf6Y=")</f>
        <v>#VALUE!</v>
      </c>
      <c r="FL1" t="e">
        <f>AND(Setup!AW3,"AAAAAH+sf6c=")</f>
        <v>#VALUE!</v>
      </c>
      <c r="FM1" t="e">
        <f>AND(Setup!AX3,"AAAAAH+sf6g=")</f>
        <v>#VALUE!</v>
      </c>
      <c r="FN1" t="e">
        <f>AND(Setup!AY3,"AAAAAH+sf6k=")</f>
        <v>#VALUE!</v>
      </c>
      <c r="FO1" t="e">
        <f>AND(Setup!AZ3,"AAAAAH+sf6o=")</f>
        <v>#VALUE!</v>
      </c>
      <c r="FP1" t="e">
        <f>AND(Setup!BA3,"AAAAAH+sf6s=")</f>
        <v>#VALUE!</v>
      </c>
      <c r="FQ1" t="e">
        <f>AND(Setup!BB3,"AAAAAH+sf6w=")</f>
        <v>#VALUE!</v>
      </c>
      <c r="FR1" t="e">
        <f>AND(Setup!BC3,"AAAAAH+sf60=")</f>
        <v>#VALUE!</v>
      </c>
      <c r="FS1" t="e">
        <f>AND(Setup!BD3,"AAAAAH+sf64=")</f>
        <v>#VALUE!</v>
      </c>
      <c r="FT1" t="e">
        <f>AND(Setup!BE3,"AAAAAH+sf68=")</f>
        <v>#VALUE!</v>
      </c>
      <c r="FU1" t="e">
        <f>AND(Setup!BF3,"AAAAAH+sf7A=")</f>
        <v>#VALUE!</v>
      </c>
      <c r="FV1">
        <f>IF(Setup!4:4,"AAAAAH+sf7E=",0)</f>
        <v>0</v>
      </c>
      <c r="FW1" t="e">
        <f>AND(Setup!A4,"AAAAAH+sf7I=")</f>
        <v>#VALUE!</v>
      </c>
      <c r="FX1" t="e">
        <f>AND(Setup!B4,"AAAAAH+sf7M=")</f>
        <v>#VALUE!</v>
      </c>
      <c r="FY1" t="e">
        <f>AND(Setup!C4,"AAAAAH+sf7Q=")</f>
        <v>#VALUE!</v>
      </c>
      <c r="FZ1" t="e">
        <f>AND(Setup!D4,"AAAAAH+sf7U=")</f>
        <v>#VALUE!</v>
      </c>
      <c r="GA1" t="e">
        <f>AND(Setup!E4,"AAAAAH+sf7Y=")</f>
        <v>#VALUE!</v>
      </c>
      <c r="GB1" t="e">
        <f>AND(Setup!F4,"AAAAAH+sf7c=")</f>
        <v>#VALUE!</v>
      </c>
      <c r="GC1" t="e">
        <f>AND(Setup!G4,"AAAAAH+sf7g=")</f>
        <v>#VALUE!</v>
      </c>
      <c r="GD1" t="e">
        <f>AND(Setup!H4,"AAAAAH+sf7k=")</f>
        <v>#VALUE!</v>
      </c>
      <c r="GE1" t="e">
        <f>AND(Setup!I4,"AAAAAH+sf7o=")</f>
        <v>#VALUE!</v>
      </c>
      <c r="GF1" t="e">
        <f>AND(Setup!J4,"AAAAAH+sf7s=")</f>
        <v>#VALUE!</v>
      </c>
      <c r="GG1" t="e">
        <f>AND(Setup!K4,"AAAAAH+sf7w=")</f>
        <v>#VALUE!</v>
      </c>
      <c r="GH1" t="e">
        <f>AND(Setup!L4,"AAAAAH+sf70=")</f>
        <v>#VALUE!</v>
      </c>
      <c r="GI1" t="e">
        <f>AND(Setup!M4,"AAAAAH+sf74=")</f>
        <v>#VALUE!</v>
      </c>
      <c r="GJ1" t="e">
        <f>AND(Setup!N4,"AAAAAH+sf78=")</f>
        <v>#VALUE!</v>
      </c>
      <c r="GK1" t="e">
        <f>AND(Setup!O4,"AAAAAH+sf8A=")</f>
        <v>#VALUE!</v>
      </c>
      <c r="GL1" t="e">
        <f>AND(Setup!P4,"AAAAAH+sf8E=")</f>
        <v>#VALUE!</v>
      </c>
      <c r="GM1" t="e">
        <f>AND(Setup!Q4,"AAAAAH+sf8I=")</f>
        <v>#VALUE!</v>
      </c>
      <c r="GN1" t="e">
        <f>AND(Setup!R4,"AAAAAH+sf8M=")</f>
        <v>#VALUE!</v>
      </c>
      <c r="GO1" t="e">
        <f>AND(Setup!S4,"AAAAAH+sf8Q=")</f>
        <v>#VALUE!</v>
      </c>
      <c r="GP1" t="e">
        <f>AND(Setup!T4,"AAAAAH+sf8U=")</f>
        <v>#VALUE!</v>
      </c>
      <c r="GQ1" t="e">
        <f>AND(Setup!U4,"AAAAAH+sf8Y=")</f>
        <v>#VALUE!</v>
      </c>
      <c r="GR1" t="e">
        <f>AND(Setup!V4,"AAAAAH+sf8c=")</f>
        <v>#VALUE!</v>
      </c>
      <c r="GS1" t="e">
        <f>AND(Setup!W4,"AAAAAH+sf8g=")</f>
        <v>#VALUE!</v>
      </c>
      <c r="GT1" t="e">
        <f>AND(Setup!X4,"AAAAAH+sf8k=")</f>
        <v>#VALUE!</v>
      </c>
      <c r="GU1" t="e">
        <f>AND(Setup!Y4,"AAAAAH+sf8o=")</f>
        <v>#VALUE!</v>
      </c>
      <c r="GV1" t="e">
        <f>AND(Setup!Z4,"AAAAAH+sf8s=")</f>
        <v>#VALUE!</v>
      </c>
      <c r="GW1" t="e">
        <f>AND(Setup!AA4,"AAAAAH+sf8w=")</f>
        <v>#VALUE!</v>
      </c>
      <c r="GX1" t="e">
        <f>AND(Setup!AB4,"AAAAAH+sf80=")</f>
        <v>#VALUE!</v>
      </c>
      <c r="GY1" t="e">
        <f>AND(Setup!AC4,"AAAAAH+sf84=")</f>
        <v>#VALUE!</v>
      </c>
      <c r="GZ1" t="e">
        <f>AND(Setup!AD4,"AAAAAH+sf88=")</f>
        <v>#VALUE!</v>
      </c>
      <c r="HA1" t="e">
        <f>AND(Setup!AE4,"AAAAAH+sf9A=")</f>
        <v>#VALUE!</v>
      </c>
      <c r="HB1" t="e">
        <f>AND(Setup!AF4,"AAAAAH+sf9E=")</f>
        <v>#VALUE!</v>
      </c>
      <c r="HC1" t="e">
        <f>AND(Setup!AG4,"AAAAAH+sf9I=")</f>
        <v>#VALUE!</v>
      </c>
      <c r="HD1" t="e">
        <f>AND(Setup!AH4,"AAAAAH+sf9M=")</f>
        <v>#VALUE!</v>
      </c>
      <c r="HE1" t="e">
        <f>AND(Setup!AI4,"AAAAAH+sf9Q=")</f>
        <v>#VALUE!</v>
      </c>
      <c r="HF1" t="e">
        <f>AND(Setup!AJ4,"AAAAAH+sf9U=")</f>
        <v>#VALUE!</v>
      </c>
      <c r="HG1" t="e">
        <f>AND(Setup!AK4,"AAAAAH+sf9Y=")</f>
        <v>#VALUE!</v>
      </c>
      <c r="HH1" t="e">
        <f>AND(Setup!AL4,"AAAAAH+sf9c=")</f>
        <v>#VALUE!</v>
      </c>
      <c r="HI1" t="e">
        <f>AND(Setup!AM4,"AAAAAH+sf9g=")</f>
        <v>#VALUE!</v>
      </c>
      <c r="HJ1" t="e">
        <f>AND(Setup!AN4,"AAAAAH+sf9k=")</f>
        <v>#VALUE!</v>
      </c>
      <c r="HK1" t="e">
        <f>AND(Setup!AO4,"AAAAAH+sf9o=")</f>
        <v>#VALUE!</v>
      </c>
      <c r="HL1" t="e">
        <f>AND(Setup!AP4,"AAAAAH+sf9s=")</f>
        <v>#VALUE!</v>
      </c>
      <c r="HM1" t="e">
        <f>AND(Setup!AQ4,"AAAAAH+sf9w=")</f>
        <v>#VALUE!</v>
      </c>
      <c r="HN1" t="e">
        <f>AND(Setup!AR4,"AAAAAH+sf90=")</f>
        <v>#VALUE!</v>
      </c>
      <c r="HO1" t="e">
        <f>AND(Setup!AS4,"AAAAAH+sf94=")</f>
        <v>#VALUE!</v>
      </c>
      <c r="HP1" t="e">
        <f>AND(Setup!AT4,"AAAAAH+sf98=")</f>
        <v>#VALUE!</v>
      </c>
      <c r="HQ1" t="e">
        <f>AND(Setup!AU4,"AAAAAH+sf+A=")</f>
        <v>#VALUE!</v>
      </c>
      <c r="HR1" t="e">
        <f>AND(Setup!AV4,"AAAAAH+sf+E=")</f>
        <v>#VALUE!</v>
      </c>
      <c r="HS1" t="e">
        <f>AND(Setup!AW4,"AAAAAH+sf+I=")</f>
        <v>#VALUE!</v>
      </c>
      <c r="HT1" t="e">
        <f>AND(Setup!AX4,"AAAAAH+sf+M=")</f>
        <v>#VALUE!</v>
      </c>
      <c r="HU1" t="e">
        <f>AND(Setup!AY4,"AAAAAH+sf+Q=")</f>
        <v>#VALUE!</v>
      </c>
      <c r="HV1" t="e">
        <f>AND(Setup!AZ4,"AAAAAH+sf+U=")</f>
        <v>#VALUE!</v>
      </c>
      <c r="HW1" t="e">
        <f>AND(Setup!BA4,"AAAAAH+sf+Y=")</f>
        <v>#VALUE!</v>
      </c>
      <c r="HX1" t="e">
        <f>AND(Setup!BB4,"AAAAAH+sf+c=")</f>
        <v>#VALUE!</v>
      </c>
      <c r="HY1" t="e">
        <f>AND(Setup!BC4,"AAAAAH+sf+g=")</f>
        <v>#VALUE!</v>
      </c>
      <c r="HZ1" t="e">
        <f>AND(Setup!BD4,"AAAAAH+sf+k=")</f>
        <v>#VALUE!</v>
      </c>
      <c r="IA1" t="e">
        <f>AND(Setup!BE4,"AAAAAH+sf+o=")</f>
        <v>#VALUE!</v>
      </c>
      <c r="IB1" t="e">
        <f>AND(Setup!BF4,"AAAAAH+sf+s=")</f>
        <v>#VALUE!</v>
      </c>
      <c r="IC1">
        <f>IF(Setup!5:5,"AAAAAH+sf+w=",0)</f>
        <v>0</v>
      </c>
      <c r="ID1" t="e">
        <f>AND(Setup!A5,"AAAAAH+sf+0=")</f>
        <v>#VALUE!</v>
      </c>
      <c r="IE1" t="e">
        <f>AND(Setup!B5,"AAAAAH+sf+4=")</f>
        <v>#VALUE!</v>
      </c>
      <c r="IF1" t="e">
        <f>AND(Setup!C5,"AAAAAH+sf+8=")</f>
        <v>#VALUE!</v>
      </c>
      <c r="IG1" t="e">
        <f>AND(Setup!D5,"AAAAAH+sf/A=")</f>
        <v>#VALUE!</v>
      </c>
      <c r="IH1" t="e">
        <f>AND(Setup!E5,"AAAAAH+sf/E=")</f>
        <v>#VALUE!</v>
      </c>
      <c r="II1" t="e">
        <f>AND(Setup!F5,"AAAAAH+sf/I=")</f>
        <v>#VALUE!</v>
      </c>
      <c r="IJ1" t="e">
        <f>AND(Setup!G5,"AAAAAH+sf/M=")</f>
        <v>#VALUE!</v>
      </c>
      <c r="IK1" t="e">
        <f>AND(Setup!H5,"AAAAAH+sf/Q=")</f>
        <v>#VALUE!</v>
      </c>
      <c r="IL1" t="e">
        <f>AND(Setup!I5,"AAAAAH+sf/U=")</f>
        <v>#VALUE!</v>
      </c>
      <c r="IM1" t="e">
        <f>AND(Setup!J5,"AAAAAH+sf/Y=")</f>
        <v>#VALUE!</v>
      </c>
      <c r="IN1" t="e">
        <f>AND(Setup!K5,"AAAAAH+sf/c=")</f>
        <v>#VALUE!</v>
      </c>
      <c r="IO1" t="e">
        <f>AND(Setup!L5,"AAAAAH+sf/g=")</f>
        <v>#VALUE!</v>
      </c>
      <c r="IP1" t="e">
        <f>AND(Setup!M5,"AAAAAH+sf/k=")</f>
        <v>#VALUE!</v>
      </c>
      <c r="IQ1" t="e">
        <f>AND(Setup!N5,"AAAAAH+sf/o=")</f>
        <v>#VALUE!</v>
      </c>
      <c r="IR1" t="e">
        <f>AND(Setup!O5,"AAAAAH+sf/s=")</f>
        <v>#VALUE!</v>
      </c>
      <c r="IS1" t="e">
        <f>AND(Setup!P5,"AAAAAH+sf/w=")</f>
        <v>#VALUE!</v>
      </c>
      <c r="IT1" t="e">
        <f>AND(Setup!Q5,"AAAAAH+sf/0=")</f>
        <v>#VALUE!</v>
      </c>
      <c r="IU1" t="e">
        <f>AND(Setup!R5,"AAAAAH+sf/4=")</f>
        <v>#VALUE!</v>
      </c>
      <c r="IV1" t="e">
        <f>AND(Setup!S5,"AAAAAH+sf/8=")</f>
        <v>#VALUE!</v>
      </c>
    </row>
    <row r="2" spans="1:256">
      <c r="A2" t="e">
        <f>AND(Setup!T5,"AAAAAHc/VQA=")</f>
        <v>#VALUE!</v>
      </c>
      <c r="B2" t="e">
        <f>AND(Setup!U5,"AAAAAHc/VQE=")</f>
        <v>#VALUE!</v>
      </c>
      <c r="C2" t="e">
        <f>AND(Setup!V5,"AAAAAHc/VQI=")</f>
        <v>#VALUE!</v>
      </c>
      <c r="D2" t="e">
        <f>AND(Setup!W5,"AAAAAHc/VQM=")</f>
        <v>#VALUE!</v>
      </c>
      <c r="E2" t="e">
        <f>AND(Setup!X5,"AAAAAHc/VQQ=")</f>
        <v>#VALUE!</v>
      </c>
      <c r="F2" t="e">
        <f>AND(Setup!Y5,"AAAAAHc/VQU=")</f>
        <v>#VALUE!</v>
      </c>
      <c r="G2" t="e">
        <f>AND(Setup!Z5,"AAAAAHc/VQY=")</f>
        <v>#VALUE!</v>
      </c>
      <c r="H2" t="e">
        <f>AND(Setup!AA5,"AAAAAHc/VQc=")</f>
        <v>#VALUE!</v>
      </c>
      <c r="I2" t="e">
        <f>AND(Setup!AB5,"AAAAAHc/VQg=")</f>
        <v>#VALUE!</v>
      </c>
      <c r="J2" t="e">
        <f>AND(Setup!AC5,"AAAAAHc/VQk=")</f>
        <v>#VALUE!</v>
      </c>
      <c r="K2" t="e">
        <f>AND(Setup!AD5,"AAAAAHc/VQo=")</f>
        <v>#VALUE!</v>
      </c>
      <c r="L2" t="e">
        <f>AND(Setup!AE5,"AAAAAHc/VQs=")</f>
        <v>#VALUE!</v>
      </c>
      <c r="M2" t="e">
        <f>AND(Setup!AF5,"AAAAAHc/VQw=")</f>
        <v>#VALUE!</v>
      </c>
      <c r="N2" t="e">
        <f>AND(Setup!AG5,"AAAAAHc/VQ0=")</f>
        <v>#VALUE!</v>
      </c>
      <c r="O2" t="e">
        <f>AND(Setup!AH5,"AAAAAHc/VQ4=")</f>
        <v>#VALUE!</v>
      </c>
      <c r="P2" t="e">
        <f>AND(Setup!AI5,"AAAAAHc/VQ8=")</f>
        <v>#VALUE!</v>
      </c>
      <c r="Q2" t="e">
        <f>AND(Setup!AJ5,"AAAAAHc/VRA=")</f>
        <v>#VALUE!</v>
      </c>
      <c r="R2" t="e">
        <f>AND(Setup!AK5,"AAAAAHc/VRE=")</f>
        <v>#VALUE!</v>
      </c>
      <c r="S2" t="e">
        <f>AND(Setup!AL5,"AAAAAHc/VRI=")</f>
        <v>#VALUE!</v>
      </c>
      <c r="T2" t="e">
        <f>AND(Setup!AM5,"AAAAAHc/VRM=")</f>
        <v>#VALUE!</v>
      </c>
      <c r="U2" t="e">
        <f>AND(Setup!AN5,"AAAAAHc/VRQ=")</f>
        <v>#VALUE!</v>
      </c>
      <c r="V2" t="e">
        <f>AND(Setup!AO5,"AAAAAHc/VRU=")</f>
        <v>#VALUE!</v>
      </c>
      <c r="W2" t="e">
        <f>AND(Setup!AP5,"AAAAAHc/VRY=")</f>
        <v>#VALUE!</v>
      </c>
      <c r="X2" t="e">
        <f>AND(Setup!AQ5,"AAAAAHc/VRc=")</f>
        <v>#VALUE!</v>
      </c>
      <c r="Y2" t="e">
        <f>AND(Setup!AR5,"AAAAAHc/VRg=")</f>
        <v>#VALUE!</v>
      </c>
      <c r="Z2" t="e">
        <f>AND(Setup!AS5,"AAAAAHc/VRk=")</f>
        <v>#VALUE!</v>
      </c>
      <c r="AA2" t="e">
        <f>AND(Setup!AT5,"AAAAAHc/VRo=")</f>
        <v>#VALUE!</v>
      </c>
      <c r="AB2" t="e">
        <f>AND(Setup!AU5,"AAAAAHc/VRs=")</f>
        <v>#VALUE!</v>
      </c>
      <c r="AC2" t="e">
        <f>AND(Setup!AV5,"AAAAAHc/VRw=")</f>
        <v>#VALUE!</v>
      </c>
      <c r="AD2" t="e">
        <f>AND(Setup!AW5,"AAAAAHc/VR0=")</f>
        <v>#VALUE!</v>
      </c>
      <c r="AE2" t="e">
        <f>AND(Setup!AX5,"AAAAAHc/VR4=")</f>
        <v>#VALUE!</v>
      </c>
      <c r="AF2" t="e">
        <f>AND(Setup!AY5,"AAAAAHc/VR8=")</f>
        <v>#VALUE!</v>
      </c>
      <c r="AG2" t="e">
        <f>AND(Setup!AZ5,"AAAAAHc/VSA=")</f>
        <v>#VALUE!</v>
      </c>
      <c r="AH2" t="e">
        <f>AND(Setup!BA5,"AAAAAHc/VSE=")</f>
        <v>#VALUE!</v>
      </c>
      <c r="AI2" t="e">
        <f>AND(Setup!BB5,"AAAAAHc/VSI=")</f>
        <v>#VALUE!</v>
      </c>
      <c r="AJ2" t="e">
        <f>AND(Setup!BC5,"AAAAAHc/VSM=")</f>
        <v>#VALUE!</v>
      </c>
      <c r="AK2" t="e">
        <f>AND(Setup!BD5,"AAAAAHc/VSQ=")</f>
        <v>#VALUE!</v>
      </c>
      <c r="AL2" t="e">
        <f>AND(Setup!BE5,"AAAAAHc/VSU=")</f>
        <v>#VALUE!</v>
      </c>
      <c r="AM2" t="e">
        <f>AND(Setup!BF5,"AAAAAHc/VSY=")</f>
        <v>#VALUE!</v>
      </c>
      <c r="AN2">
        <f>IF(Setup!6:6,"AAAAAHc/VSc=",0)</f>
        <v>0</v>
      </c>
      <c r="AO2" t="e">
        <f>AND(Setup!A6,"AAAAAHc/VSg=")</f>
        <v>#VALUE!</v>
      </c>
      <c r="AP2" t="e">
        <f>AND(Setup!B6,"AAAAAHc/VSk=")</f>
        <v>#VALUE!</v>
      </c>
      <c r="AQ2" t="e">
        <f>AND(Setup!C6,"AAAAAHc/VSo=")</f>
        <v>#VALUE!</v>
      </c>
      <c r="AR2" t="e">
        <f>AND(Setup!D6,"AAAAAHc/VSs=")</f>
        <v>#VALUE!</v>
      </c>
      <c r="AS2" t="e">
        <f>AND(Setup!E6,"AAAAAHc/VSw=")</f>
        <v>#VALUE!</v>
      </c>
      <c r="AT2" t="e">
        <f>AND(Setup!F6,"AAAAAHc/VS0=")</f>
        <v>#VALUE!</v>
      </c>
      <c r="AU2" t="e">
        <f>AND(Setup!G6,"AAAAAHc/VS4=")</f>
        <v>#VALUE!</v>
      </c>
      <c r="AV2" t="e">
        <f>AND(Setup!H6,"AAAAAHc/VS8=")</f>
        <v>#VALUE!</v>
      </c>
      <c r="AW2" t="e">
        <f>AND(Setup!I6,"AAAAAHc/VTA=")</f>
        <v>#VALUE!</v>
      </c>
      <c r="AX2" t="e">
        <f>AND(Setup!J6,"AAAAAHc/VTE=")</f>
        <v>#VALUE!</v>
      </c>
      <c r="AY2" t="e">
        <f>AND(Setup!K6,"AAAAAHc/VTI=")</f>
        <v>#VALUE!</v>
      </c>
      <c r="AZ2" t="e">
        <f>AND(Setup!L6,"AAAAAHc/VTM=")</f>
        <v>#VALUE!</v>
      </c>
      <c r="BA2" t="e">
        <f>AND(Setup!M6,"AAAAAHc/VTQ=")</f>
        <v>#VALUE!</v>
      </c>
      <c r="BB2" t="e">
        <f>AND(Setup!N6,"AAAAAHc/VTU=")</f>
        <v>#VALUE!</v>
      </c>
      <c r="BC2" t="e">
        <f>AND(Setup!O6,"AAAAAHc/VTY=")</f>
        <v>#VALUE!</v>
      </c>
      <c r="BD2" t="e">
        <f>AND(Setup!P6,"AAAAAHc/VTc=")</f>
        <v>#VALUE!</v>
      </c>
      <c r="BE2" t="e">
        <f>AND(Setup!Q6,"AAAAAHc/VTg=")</f>
        <v>#VALUE!</v>
      </c>
      <c r="BF2" t="e">
        <f>AND(Setup!R6,"AAAAAHc/VTk=")</f>
        <v>#VALUE!</v>
      </c>
      <c r="BG2" t="b">
        <f>AND(Setup!S6,"AAAAAHc/VTo=")</f>
        <v>1</v>
      </c>
      <c r="BH2" t="b">
        <f>AND(Setup!T6,"AAAAAHc/VTs=")</f>
        <v>1</v>
      </c>
      <c r="BI2" t="e">
        <f>AND(Setup!U6,"AAAAAHc/VTw=")</f>
        <v>#VALUE!</v>
      </c>
      <c r="BJ2" t="e">
        <f>AND(Setup!V6,"AAAAAHc/VT0=")</f>
        <v>#VALUE!</v>
      </c>
      <c r="BK2" t="e">
        <f>AND(Setup!W6,"AAAAAHc/VT4=")</f>
        <v>#VALUE!</v>
      </c>
      <c r="BL2" t="e">
        <f>AND(Setup!X6,"AAAAAHc/VT8=")</f>
        <v>#VALUE!</v>
      </c>
      <c r="BM2" t="e">
        <f>AND(Setup!Y6,"AAAAAHc/VUA=")</f>
        <v>#VALUE!</v>
      </c>
      <c r="BN2" t="e">
        <f>AND(Setup!Z6,"AAAAAHc/VUE=")</f>
        <v>#VALUE!</v>
      </c>
      <c r="BO2" t="e">
        <f>AND(Setup!AA6,"AAAAAHc/VUI=")</f>
        <v>#VALUE!</v>
      </c>
      <c r="BP2" t="e">
        <f>AND(Setup!AB6,"AAAAAHc/VUM=")</f>
        <v>#VALUE!</v>
      </c>
      <c r="BQ2" t="e">
        <f>AND(Setup!AC6,"AAAAAHc/VUQ=")</f>
        <v>#VALUE!</v>
      </c>
      <c r="BR2" t="e">
        <f>AND(Setup!AD6,"AAAAAHc/VUU=")</f>
        <v>#VALUE!</v>
      </c>
      <c r="BS2" t="e">
        <f>AND(Setup!AE6,"AAAAAHc/VUY=")</f>
        <v>#VALUE!</v>
      </c>
      <c r="BT2" t="e">
        <f>AND(Setup!AF6,"AAAAAHc/VUc=")</f>
        <v>#VALUE!</v>
      </c>
      <c r="BU2" t="e">
        <f>AND(Setup!AG6,"AAAAAHc/VUg=")</f>
        <v>#VALUE!</v>
      </c>
      <c r="BV2" t="e">
        <f>AND(Setup!AH6,"AAAAAHc/VUk=")</f>
        <v>#VALUE!</v>
      </c>
      <c r="BW2" t="e">
        <f>AND(Setup!AI6,"AAAAAHc/VUo=")</f>
        <v>#VALUE!</v>
      </c>
      <c r="BX2" t="e">
        <f>AND(Setup!AJ6,"AAAAAHc/VUs=")</f>
        <v>#VALUE!</v>
      </c>
      <c r="BY2" t="e">
        <f>AND(Setup!AK6,"AAAAAHc/VUw=")</f>
        <v>#VALUE!</v>
      </c>
      <c r="BZ2" t="e">
        <f>AND(Setup!AL6,"AAAAAHc/VU0=")</f>
        <v>#VALUE!</v>
      </c>
      <c r="CA2" t="e">
        <f>AND(Setup!AM6,"AAAAAHc/VU4=")</f>
        <v>#VALUE!</v>
      </c>
      <c r="CB2" t="e">
        <f>AND(Setup!AN6,"AAAAAHc/VU8=")</f>
        <v>#VALUE!</v>
      </c>
      <c r="CC2" t="e">
        <f>AND(Setup!AO6,"AAAAAHc/VVA=")</f>
        <v>#VALUE!</v>
      </c>
      <c r="CD2" t="e">
        <f>AND(Setup!AP6,"AAAAAHc/VVE=")</f>
        <v>#VALUE!</v>
      </c>
      <c r="CE2" t="e">
        <f>AND(Setup!AQ6,"AAAAAHc/VVI=")</f>
        <v>#VALUE!</v>
      </c>
      <c r="CF2" t="e">
        <f>AND(Setup!AR6,"AAAAAHc/VVM=")</f>
        <v>#VALUE!</v>
      </c>
      <c r="CG2" t="e">
        <f>AND(Setup!AS6,"AAAAAHc/VVQ=")</f>
        <v>#VALUE!</v>
      </c>
      <c r="CH2" t="e">
        <f>AND(Setup!AT6,"AAAAAHc/VVU=")</f>
        <v>#VALUE!</v>
      </c>
      <c r="CI2" t="e">
        <f>AND(Setup!AU6,"AAAAAHc/VVY=")</f>
        <v>#VALUE!</v>
      </c>
      <c r="CJ2" t="e">
        <f>AND(Setup!AV6,"AAAAAHc/VVc=")</f>
        <v>#VALUE!</v>
      </c>
      <c r="CK2" t="e">
        <f>AND(Setup!AW6,"AAAAAHc/VVg=")</f>
        <v>#VALUE!</v>
      </c>
      <c r="CL2" t="e">
        <f>AND(Setup!AX6,"AAAAAHc/VVk=")</f>
        <v>#VALUE!</v>
      </c>
      <c r="CM2" t="e">
        <f>AND(Setup!AY6,"AAAAAHc/VVo=")</f>
        <v>#VALUE!</v>
      </c>
      <c r="CN2" t="e">
        <f>AND(Setup!AZ6,"AAAAAHc/VVs=")</f>
        <v>#VALUE!</v>
      </c>
      <c r="CO2" t="e">
        <f>AND(Setup!BA6,"AAAAAHc/VVw=")</f>
        <v>#VALUE!</v>
      </c>
      <c r="CP2" t="e">
        <f>AND(Setup!BB6,"AAAAAHc/VV0=")</f>
        <v>#VALUE!</v>
      </c>
      <c r="CQ2" t="e">
        <f>AND(Setup!BC6,"AAAAAHc/VV4=")</f>
        <v>#VALUE!</v>
      </c>
      <c r="CR2" t="e">
        <f>AND(Setup!BD6,"AAAAAHc/VV8=")</f>
        <v>#VALUE!</v>
      </c>
      <c r="CS2" t="e">
        <f>AND(Setup!BE6,"AAAAAHc/VWA=")</f>
        <v>#VALUE!</v>
      </c>
      <c r="CT2" t="e">
        <f>AND(Setup!BF6,"AAAAAHc/VWE=")</f>
        <v>#VALUE!</v>
      </c>
      <c r="CU2">
        <f>IF(Setup!7:7,"AAAAAHc/VWI=",0)</f>
        <v>0</v>
      </c>
      <c r="CV2" t="e">
        <f>AND(Setup!A7,"AAAAAHc/VWM=")</f>
        <v>#VALUE!</v>
      </c>
      <c r="CW2" t="e">
        <f>AND(Setup!B7,"AAAAAHc/VWQ=")</f>
        <v>#VALUE!</v>
      </c>
      <c r="CX2" t="e">
        <f>AND(Setup!C7,"AAAAAHc/VWU=")</f>
        <v>#VALUE!</v>
      </c>
      <c r="CY2" t="e">
        <f ca="1">AND(Setup!D7,"AAAAAHc/VWY=")</f>
        <v>#N/A</v>
      </c>
      <c r="CZ2" t="e">
        <f>AND(Setup!E7,"AAAAAHc/VWc=")</f>
        <v>#VALUE!</v>
      </c>
      <c r="DA2" t="e">
        <f>AND(Setup!F7,"AAAAAHc/VWg=")</f>
        <v>#VALUE!</v>
      </c>
      <c r="DB2" t="e">
        <f ca="1">AND(Setup!G7,"AAAAAHc/VWk=")</f>
        <v>#N/A</v>
      </c>
      <c r="DC2" t="e">
        <f>AND(Setup!H7,"AAAAAHc/VWo=")</f>
        <v>#VALUE!</v>
      </c>
      <c r="DD2" t="e">
        <f>AND(Setup!I7,"AAAAAHc/VWs=")</f>
        <v>#VALUE!</v>
      </c>
      <c r="DE2" t="e">
        <f>AND(Setup!J7,"AAAAAHc/VWw=")</f>
        <v>#VALUE!</v>
      </c>
      <c r="DF2" t="e">
        <f>AND(Setup!K7,"AAAAAHc/VW0=")</f>
        <v>#VALUE!</v>
      </c>
      <c r="DG2" t="e">
        <f>AND(Setup!L7,"AAAAAHc/VW4=")</f>
        <v>#VALUE!</v>
      </c>
      <c r="DH2" t="e">
        <f>AND(Setup!M7,"AAAAAHc/VW8=")</f>
        <v>#VALUE!</v>
      </c>
      <c r="DI2" t="e">
        <f>AND(Setup!N7,"AAAAAHc/VXA=")</f>
        <v>#VALUE!</v>
      </c>
      <c r="DJ2" t="e">
        <f>AND(Setup!O7,"AAAAAHc/VXE=")</f>
        <v>#VALUE!</v>
      </c>
      <c r="DK2" t="e">
        <f>AND(Setup!P7,"AAAAAHc/VXI=")</f>
        <v>#VALUE!</v>
      </c>
      <c r="DL2" t="b">
        <f>AND(Setup!Q7,"AAAAAHc/VXM=")</f>
        <v>1</v>
      </c>
      <c r="DM2" t="e">
        <f>AND(Setup!R7,"AAAAAHc/VXQ=")</f>
        <v>#VALUE!</v>
      </c>
      <c r="DN2" t="b">
        <f>AND(Setup!S7,"AAAAAHc/VXU=")</f>
        <v>1</v>
      </c>
      <c r="DO2" t="b">
        <f>AND(Setup!T7,"AAAAAHc/VXY=")</f>
        <v>1</v>
      </c>
      <c r="DP2" t="e">
        <f>AND(Setup!U7,"AAAAAHc/VXc=")</f>
        <v>#VALUE!</v>
      </c>
      <c r="DQ2" t="e">
        <f>AND(Setup!V7,"AAAAAHc/VXg=")</f>
        <v>#VALUE!</v>
      </c>
      <c r="DR2" t="e">
        <f>AND(Setup!W7,"AAAAAHc/VXk=")</f>
        <v>#VALUE!</v>
      </c>
      <c r="DS2" t="e">
        <f>AND(Setup!X7,"AAAAAHc/VXo=")</f>
        <v>#VALUE!</v>
      </c>
      <c r="DT2" t="e">
        <f>AND(Setup!Y7,"AAAAAHc/VXs=")</f>
        <v>#VALUE!</v>
      </c>
      <c r="DU2" t="e">
        <f>AND(Setup!Z7,"AAAAAHc/VXw=")</f>
        <v>#VALUE!</v>
      </c>
      <c r="DV2" t="e">
        <f>AND(Setup!AA7,"AAAAAHc/VX0=")</f>
        <v>#VALUE!</v>
      </c>
      <c r="DW2" t="e">
        <f>AND(Setup!AB7,"AAAAAHc/VX4=")</f>
        <v>#VALUE!</v>
      </c>
      <c r="DX2" t="e">
        <f>AND(Setup!AC7,"AAAAAHc/VX8=")</f>
        <v>#VALUE!</v>
      </c>
      <c r="DY2" t="e">
        <f>AND(Setup!AD7,"AAAAAHc/VYA=")</f>
        <v>#VALUE!</v>
      </c>
      <c r="DZ2" t="e">
        <f>AND(Setup!AE7,"AAAAAHc/VYE=")</f>
        <v>#VALUE!</v>
      </c>
      <c r="EA2" t="e">
        <f>AND(Setup!AF7,"AAAAAHc/VYI=")</f>
        <v>#VALUE!</v>
      </c>
      <c r="EB2" t="e">
        <f>AND(Setup!AG7,"AAAAAHc/VYM=")</f>
        <v>#VALUE!</v>
      </c>
      <c r="EC2" t="e">
        <f>AND(Setup!AH7,"AAAAAHc/VYQ=")</f>
        <v>#VALUE!</v>
      </c>
      <c r="ED2" t="e">
        <f>AND(Setup!AI7,"AAAAAHc/VYU=")</f>
        <v>#VALUE!</v>
      </c>
      <c r="EE2" t="e">
        <f>AND(Setup!AJ7,"AAAAAHc/VYY=")</f>
        <v>#VALUE!</v>
      </c>
      <c r="EF2" t="e">
        <f>AND(Setup!AK7,"AAAAAHc/VYc=")</f>
        <v>#VALUE!</v>
      </c>
      <c r="EG2" t="e">
        <f>AND(Setup!AL7,"AAAAAHc/VYg=")</f>
        <v>#VALUE!</v>
      </c>
      <c r="EH2" t="e">
        <f>AND(Setup!AM7,"AAAAAHc/VYk=")</f>
        <v>#VALUE!</v>
      </c>
      <c r="EI2" t="e">
        <f>AND(Setup!AN7,"AAAAAHc/VYo=")</f>
        <v>#VALUE!</v>
      </c>
      <c r="EJ2" t="e">
        <f>AND(Setup!AO7,"AAAAAHc/VYs=")</f>
        <v>#VALUE!</v>
      </c>
      <c r="EK2" t="e">
        <f>AND(Setup!AP7,"AAAAAHc/VYw=")</f>
        <v>#VALUE!</v>
      </c>
      <c r="EL2" t="e">
        <f>AND(Setup!AQ7,"AAAAAHc/VY0=")</f>
        <v>#VALUE!</v>
      </c>
      <c r="EM2" t="e">
        <f>AND(Setup!AR7,"AAAAAHc/VY4=")</f>
        <v>#VALUE!</v>
      </c>
      <c r="EN2" t="e">
        <f>AND(Setup!AS7,"AAAAAHc/VY8=")</f>
        <v>#VALUE!</v>
      </c>
      <c r="EO2" t="e">
        <f>AND(Setup!AT7,"AAAAAHc/VZA=")</f>
        <v>#VALUE!</v>
      </c>
      <c r="EP2" t="e">
        <f>AND(Setup!AU7,"AAAAAHc/VZE=")</f>
        <v>#VALUE!</v>
      </c>
      <c r="EQ2" t="e">
        <f>AND(Setup!AV7,"AAAAAHc/VZI=")</f>
        <v>#VALUE!</v>
      </c>
      <c r="ER2" t="e">
        <f>AND(Setup!AW7,"AAAAAHc/VZM=")</f>
        <v>#VALUE!</v>
      </c>
      <c r="ES2" t="e">
        <f>AND(Setup!AX7,"AAAAAHc/VZQ=")</f>
        <v>#VALUE!</v>
      </c>
      <c r="ET2" t="e">
        <f>AND(Setup!AY7,"AAAAAHc/VZU=")</f>
        <v>#VALUE!</v>
      </c>
      <c r="EU2" t="e">
        <f>AND(Setup!AZ7,"AAAAAHc/VZY=")</f>
        <v>#VALUE!</v>
      </c>
      <c r="EV2" t="e">
        <f>AND(Setup!BA7,"AAAAAHc/VZc=")</f>
        <v>#VALUE!</v>
      </c>
      <c r="EW2" t="e">
        <f>AND(Setup!BB7,"AAAAAHc/VZg=")</f>
        <v>#VALUE!</v>
      </c>
      <c r="EX2" t="e">
        <f>AND(Setup!BC7,"AAAAAHc/VZk=")</f>
        <v>#VALUE!</v>
      </c>
      <c r="EY2" t="e">
        <f>AND(Setup!BD7,"AAAAAHc/VZo=")</f>
        <v>#VALUE!</v>
      </c>
      <c r="EZ2" t="e">
        <f>AND(Setup!BE7,"AAAAAHc/VZs=")</f>
        <v>#VALUE!</v>
      </c>
      <c r="FA2" t="e">
        <f>AND(Setup!BF7,"AAAAAHc/VZw=")</f>
        <v>#VALUE!</v>
      </c>
      <c r="FB2">
        <f>IF(Setup!8:8,"AAAAAHc/VZ0=",0)</f>
        <v>0</v>
      </c>
      <c r="FC2" t="e">
        <f>AND(Setup!A8,"AAAAAHc/VZ4=")</f>
        <v>#VALUE!</v>
      </c>
      <c r="FD2" t="e">
        <f>AND(Setup!B8,"AAAAAHc/VZ8=")</f>
        <v>#VALUE!</v>
      </c>
      <c r="FE2" t="e">
        <f>AND(Setup!C8,"AAAAAHc/VaA=")</f>
        <v>#VALUE!</v>
      </c>
      <c r="FF2" t="e">
        <f>AND(Setup!D8,"AAAAAHc/VaE=")</f>
        <v>#VALUE!</v>
      </c>
      <c r="FG2" t="e">
        <f>AND(Setup!E8,"AAAAAHc/VaI=")</f>
        <v>#VALUE!</v>
      </c>
      <c r="FH2" t="e">
        <f>AND(Setup!F8,"AAAAAHc/VaM=")</f>
        <v>#VALUE!</v>
      </c>
      <c r="FI2" t="e">
        <f>AND(Setup!G8,"AAAAAHc/VaQ=")</f>
        <v>#VALUE!</v>
      </c>
      <c r="FJ2" t="e">
        <f>AND(Setup!H8,"AAAAAHc/VaU=")</f>
        <v>#VALUE!</v>
      </c>
      <c r="FK2" t="e">
        <f>AND(Setup!I8,"AAAAAHc/VaY=")</f>
        <v>#VALUE!</v>
      </c>
      <c r="FL2" t="e">
        <f>AND(Setup!J8,"AAAAAHc/Vac=")</f>
        <v>#VALUE!</v>
      </c>
      <c r="FM2" t="e">
        <f>AND(Setup!K8,"AAAAAHc/Vag=")</f>
        <v>#VALUE!</v>
      </c>
      <c r="FN2" t="e">
        <f>AND(Setup!L8,"AAAAAHc/Vak=")</f>
        <v>#VALUE!</v>
      </c>
      <c r="FO2" t="e">
        <f>AND(Setup!M8,"AAAAAHc/Vao=")</f>
        <v>#VALUE!</v>
      </c>
      <c r="FP2" t="e">
        <f>AND(Setup!N8,"AAAAAHc/Vas=")</f>
        <v>#VALUE!</v>
      </c>
      <c r="FQ2" t="e">
        <f>AND(Setup!O8,"AAAAAHc/Vaw=")</f>
        <v>#VALUE!</v>
      </c>
      <c r="FR2" t="e">
        <f>AND(Setup!P8,"AAAAAHc/Va0=")</f>
        <v>#VALUE!</v>
      </c>
      <c r="FS2" t="b">
        <f>AND(Setup!Q8,"AAAAAHc/Va4=")</f>
        <v>1</v>
      </c>
      <c r="FT2" t="e">
        <f>AND(Setup!R8,"AAAAAHc/Va8=")</f>
        <v>#VALUE!</v>
      </c>
      <c r="FU2" t="b">
        <f>AND(Setup!S8,"AAAAAHc/VbA=")</f>
        <v>1</v>
      </c>
      <c r="FV2" t="b">
        <f>AND(Setup!T8,"AAAAAHc/VbE=")</f>
        <v>1</v>
      </c>
      <c r="FW2" t="e">
        <f>AND(Setup!U8,"AAAAAHc/VbI=")</f>
        <v>#VALUE!</v>
      </c>
      <c r="FX2" t="e">
        <f>AND(Setup!V8,"AAAAAHc/VbM=")</f>
        <v>#VALUE!</v>
      </c>
      <c r="FY2" t="e">
        <f>AND(Setup!W8,"AAAAAHc/VbQ=")</f>
        <v>#VALUE!</v>
      </c>
      <c r="FZ2" t="e">
        <f>AND(Setup!X8,"AAAAAHc/VbU=")</f>
        <v>#VALUE!</v>
      </c>
      <c r="GA2" t="e">
        <f>AND(Setup!Y8,"AAAAAHc/VbY=")</f>
        <v>#VALUE!</v>
      </c>
      <c r="GB2" t="e">
        <f>AND(Setup!Z8,"AAAAAHc/Vbc=")</f>
        <v>#VALUE!</v>
      </c>
      <c r="GC2" t="e">
        <f>AND(Setup!AA8,"AAAAAHc/Vbg=")</f>
        <v>#VALUE!</v>
      </c>
      <c r="GD2" t="e">
        <f>AND(Setup!AB8,"AAAAAHc/Vbk=")</f>
        <v>#VALUE!</v>
      </c>
      <c r="GE2" t="e">
        <f>AND(Setup!AC8,"AAAAAHc/Vbo=")</f>
        <v>#VALUE!</v>
      </c>
      <c r="GF2" t="e">
        <f>AND(Setup!AD8,"AAAAAHc/Vbs=")</f>
        <v>#VALUE!</v>
      </c>
      <c r="GG2" t="e">
        <f>AND(Setup!AE8,"AAAAAHc/Vbw=")</f>
        <v>#VALUE!</v>
      </c>
      <c r="GH2" t="e">
        <f>AND(Setup!AF8,"AAAAAHc/Vb0=")</f>
        <v>#VALUE!</v>
      </c>
      <c r="GI2" t="e">
        <f>AND(Setup!AG8,"AAAAAHc/Vb4=")</f>
        <v>#VALUE!</v>
      </c>
      <c r="GJ2" t="e">
        <f>AND(Setup!AH8,"AAAAAHc/Vb8=")</f>
        <v>#VALUE!</v>
      </c>
      <c r="GK2" t="e">
        <f>AND(Setup!AI8,"AAAAAHc/VcA=")</f>
        <v>#VALUE!</v>
      </c>
      <c r="GL2" t="e">
        <f>AND(Setup!AJ8,"AAAAAHc/VcE=")</f>
        <v>#VALUE!</v>
      </c>
      <c r="GM2" t="e">
        <f>AND(Setup!AK8,"AAAAAHc/VcI=")</f>
        <v>#VALUE!</v>
      </c>
      <c r="GN2" t="e">
        <f>AND(Setup!AL8,"AAAAAHc/VcM=")</f>
        <v>#VALUE!</v>
      </c>
      <c r="GO2" t="e">
        <f>AND(Setup!AM8,"AAAAAHc/VcQ=")</f>
        <v>#VALUE!</v>
      </c>
      <c r="GP2" t="e">
        <f>AND(Setup!AN8,"AAAAAHc/VcU=")</f>
        <v>#VALUE!</v>
      </c>
      <c r="GQ2" t="e">
        <f>AND(Setup!AO8,"AAAAAHc/VcY=")</f>
        <v>#VALUE!</v>
      </c>
      <c r="GR2" t="e">
        <f>AND(Setup!AP8,"AAAAAHc/Vcc=")</f>
        <v>#VALUE!</v>
      </c>
      <c r="GS2" t="e">
        <f>AND(Setup!AQ8,"AAAAAHc/Vcg=")</f>
        <v>#VALUE!</v>
      </c>
      <c r="GT2" t="e">
        <f>AND(Setup!AR8,"AAAAAHc/Vck=")</f>
        <v>#VALUE!</v>
      </c>
      <c r="GU2" t="e">
        <f>AND(Setup!AS8,"AAAAAHc/Vco=")</f>
        <v>#VALUE!</v>
      </c>
      <c r="GV2" t="e">
        <f>AND(Setup!AT8,"AAAAAHc/Vcs=")</f>
        <v>#VALUE!</v>
      </c>
      <c r="GW2" t="e">
        <f>AND(Setup!AU8,"AAAAAHc/Vcw=")</f>
        <v>#VALUE!</v>
      </c>
      <c r="GX2" t="e">
        <f>AND(Setup!AV8,"AAAAAHc/Vc0=")</f>
        <v>#VALUE!</v>
      </c>
      <c r="GY2" t="e">
        <f>AND(Setup!AW8,"AAAAAHc/Vc4=")</f>
        <v>#VALUE!</v>
      </c>
      <c r="GZ2" t="e">
        <f>AND(Setup!AX8,"AAAAAHc/Vc8=")</f>
        <v>#VALUE!</v>
      </c>
      <c r="HA2" t="e">
        <f>AND(Setup!AY8,"AAAAAHc/VdA=")</f>
        <v>#VALUE!</v>
      </c>
      <c r="HB2" t="e">
        <f>AND(Setup!AZ8,"AAAAAHc/VdE=")</f>
        <v>#VALUE!</v>
      </c>
      <c r="HC2" t="e">
        <f>AND(Setup!BA8,"AAAAAHc/VdI=")</f>
        <v>#VALUE!</v>
      </c>
      <c r="HD2" t="e">
        <f>AND(Setup!BB8,"AAAAAHc/VdM=")</f>
        <v>#VALUE!</v>
      </c>
      <c r="HE2" t="e">
        <f>AND(Setup!BC8,"AAAAAHc/VdQ=")</f>
        <v>#VALUE!</v>
      </c>
      <c r="HF2" t="e">
        <f>AND(Setup!BD8,"AAAAAHc/VdU=")</f>
        <v>#VALUE!</v>
      </c>
      <c r="HG2" t="e">
        <f>AND(Setup!BE8,"AAAAAHc/VdY=")</f>
        <v>#VALUE!</v>
      </c>
      <c r="HH2" t="e">
        <f>AND(Setup!BF8,"AAAAAHc/Vdc=")</f>
        <v>#VALUE!</v>
      </c>
      <c r="HI2">
        <f>IF(Setup!9:9,"AAAAAHc/Vdg=",0)</f>
        <v>0</v>
      </c>
      <c r="HJ2" t="e">
        <f>AND(Setup!A9,"AAAAAHc/Vdk=")</f>
        <v>#VALUE!</v>
      </c>
      <c r="HK2" t="e">
        <f>AND(Setup!B9,"AAAAAHc/Vdo=")</f>
        <v>#VALUE!</v>
      </c>
      <c r="HL2" t="e">
        <f>AND(Setup!C9,"AAAAAHc/Vds=")</f>
        <v>#VALUE!</v>
      </c>
      <c r="HM2" t="e">
        <f>AND(Setup!D9,"AAAAAHc/Vdw=")</f>
        <v>#VALUE!</v>
      </c>
      <c r="HN2" t="e">
        <f>AND(Setup!E9,"AAAAAHc/Vd0=")</f>
        <v>#VALUE!</v>
      </c>
      <c r="HO2" t="e">
        <f>AND(Setup!F9,"AAAAAHc/Vd4=")</f>
        <v>#VALUE!</v>
      </c>
      <c r="HP2" t="e">
        <f>AND(Setup!G9,"AAAAAHc/Vd8=")</f>
        <v>#VALUE!</v>
      </c>
      <c r="HQ2" t="e">
        <f>AND(Setup!H9,"AAAAAHc/VeA=")</f>
        <v>#VALUE!</v>
      </c>
      <c r="HR2" t="e">
        <f>AND(Setup!I9,"AAAAAHc/VeE=")</f>
        <v>#VALUE!</v>
      </c>
      <c r="HS2" t="b">
        <f>AND(Setup!J9,"AAAAAHc/VeI=")</f>
        <v>1</v>
      </c>
      <c r="HT2" t="b">
        <f>AND(Setup!K9,"AAAAAHc/VeM=")</f>
        <v>1</v>
      </c>
      <c r="HU2" t="b">
        <f>AND(Setup!L9,"AAAAAHc/VeQ=")</f>
        <v>1</v>
      </c>
      <c r="HV2" t="b">
        <f>AND(Setup!M9,"AAAAAHc/VeU=")</f>
        <v>1</v>
      </c>
      <c r="HW2" t="e">
        <f>AND(Setup!N9,"AAAAAHc/VeY=")</f>
        <v>#VALUE!</v>
      </c>
      <c r="HX2" t="e">
        <f>AND(Setup!O9,"AAAAAHc/Vec=")</f>
        <v>#VALUE!</v>
      </c>
      <c r="HY2" t="e">
        <f>AND(Setup!P9,"AAAAAHc/Veg=")</f>
        <v>#VALUE!</v>
      </c>
      <c r="HZ2" t="b">
        <f>AND(Setup!Q9,"AAAAAHc/Vek=")</f>
        <v>1</v>
      </c>
      <c r="IA2" t="e">
        <f>AND(Setup!R9,"AAAAAHc/Veo=")</f>
        <v>#VALUE!</v>
      </c>
      <c r="IB2" t="b">
        <f>AND(Setup!S9,"AAAAAHc/Ves=")</f>
        <v>1</v>
      </c>
      <c r="IC2" t="b">
        <f>AND(Setup!T9,"AAAAAHc/Vew=")</f>
        <v>1</v>
      </c>
      <c r="ID2" t="e">
        <f>AND(Setup!U9,"AAAAAHc/Ve0=")</f>
        <v>#VALUE!</v>
      </c>
      <c r="IE2" t="e">
        <f>AND(Setup!V9,"AAAAAHc/Ve4=")</f>
        <v>#VALUE!</v>
      </c>
      <c r="IF2" t="e">
        <f>AND(Setup!W9,"AAAAAHc/Ve8=")</f>
        <v>#VALUE!</v>
      </c>
      <c r="IG2" t="e">
        <f>AND(Setup!X9,"AAAAAHc/VfA=")</f>
        <v>#VALUE!</v>
      </c>
      <c r="IH2" t="e">
        <f>AND(Setup!Y9,"AAAAAHc/VfE=")</f>
        <v>#VALUE!</v>
      </c>
      <c r="II2" t="e">
        <f>AND(Setup!Z9,"AAAAAHc/VfI=")</f>
        <v>#VALUE!</v>
      </c>
      <c r="IJ2" t="e">
        <f>AND(Setup!AA9,"AAAAAHc/VfM=")</f>
        <v>#VALUE!</v>
      </c>
      <c r="IK2" t="e">
        <f>AND(Setup!AB9,"AAAAAHc/VfQ=")</f>
        <v>#VALUE!</v>
      </c>
      <c r="IL2" t="e">
        <f>AND(Setup!AC9,"AAAAAHc/VfU=")</f>
        <v>#VALUE!</v>
      </c>
      <c r="IM2" t="e">
        <f>AND(Setup!AD9,"AAAAAHc/VfY=")</f>
        <v>#VALUE!</v>
      </c>
      <c r="IN2" t="e">
        <f>AND(Setup!AE9,"AAAAAHc/Vfc=")</f>
        <v>#VALUE!</v>
      </c>
      <c r="IO2" t="e">
        <f>AND(Setup!AF9,"AAAAAHc/Vfg=")</f>
        <v>#VALUE!</v>
      </c>
      <c r="IP2" t="e">
        <f>AND(Setup!AG9,"AAAAAHc/Vfk=")</f>
        <v>#VALUE!</v>
      </c>
      <c r="IQ2" t="e">
        <f>AND(Setup!AH9,"AAAAAHc/Vfo=")</f>
        <v>#VALUE!</v>
      </c>
      <c r="IR2" t="e">
        <f>AND(Setup!AI9,"AAAAAHc/Vfs=")</f>
        <v>#VALUE!</v>
      </c>
      <c r="IS2" t="e">
        <f>AND(Setup!AJ9,"AAAAAHc/Vfw=")</f>
        <v>#VALUE!</v>
      </c>
      <c r="IT2" t="e">
        <f>AND(Setup!AK9,"AAAAAHc/Vf0=")</f>
        <v>#VALUE!</v>
      </c>
      <c r="IU2" t="e">
        <f>AND(Setup!AL9,"AAAAAHc/Vf4=")</f>
        <v>#VALUE!</v>
      </c>
      <c r="IV2" t="e">
        <f>AND(Setup!AM9,"AAAAAHc/Vf8=")</f>
        <v>#VALUE!</v>
      </c>
    </row>
    <row r="3" spans="1:256">
      <c r="A3" t="e">
        <f>AND(Setup!AN9,"AAAAAHXr/AA=")</f>
        <v>#VALUE!</v>
      </c>
      <c r="B3" t="e">
        <f>AND(Setup!AO9,"AAAAAHXr/AE=")</f>
        <v>#VALUE!</v>
      </c>
      <c r="C3" t="e">
        <f>AND(Setup!AP9,"AAAAAHXr/AI=")</f>
        <v>#VALUE!</v>
      </c>
      <c r="D3" t="e">
        <f>AND(Setup!AQ9,"AAAAAHXr/AM=")</f>
        <v>#VALUE!</v>
      </c>
      <c r="E3" t="e">
        <f>AND(Setup!AR9,"AAAAAHXr/AQ=")</f>
        <v>#VALUE!</v>
      </c>
      <c r="F3" t="e">
        <f>AND(Setup!AS9,"AAAAAHXr/AU=")</f>
        <v>#VALUE!</v>
      </c>
      <c r="G3" t="e">
        <f>AND(Setup!AT9,"AAAAAHXr/AY=")</f>
        <v>#VALUE!</v>
      </c>
      <c r="H3" t="e">
        <f>AND(Setup!AU9,"AAAAAHXr/Ac=")</f>
        <v>#VALUE!</v>
      </c>
      <c r="I3" t="e">
        <f>AND(Setup!AV9,"AAAAAHXr/Ag=")</f>
        <v>#VALUE!</v>
      </c>
      <c r="J3" t="e">
        <f>AND(Setup!AW9,"AAAAAHXr/Ak=")</f>
        <v>#VALUE!</v>
      </c>
      <c r="K3" t="e">
        <f>AND(Setup!AX9,"AAAAAHXr/Ao=")</f>
        <v>#VALUE!</v>
      </c>
      <c r="L3" t="e">
        <f>AND(Setup!AY9,"AAAAAHXr/As=")</f>
        <v>#VALUE!</v>
      </c>
      <c r="M3" t="e">
        <f>AND(Setup!AZ9,"AAAAAHXr/Aw=")</f>
        <v>#VALUE!</v>
      </c>
      <c r="N3" t="e">
        <f>AND(Setup!BA9,"AAAAAHXr/A0=")</f>
        <v>#VALUE!</v>
      </c>
      <c r="O3" t="e">
        <f>AND(Setup!BB9,"AAAAAHXr/A4=")</f>
        <v>#VALUE!</v>
      </c>
      <c r="P3" t="e">
        <f>AND(Setup!BC9,"AAAAAHXr/A8=")</f>
        <v>#VALUE!</v>
      </c>
      <c r="Q3" t="e">
        <f>AND(Setup!BD9,"AAAAAHXr/BA=")</f>
        <v>#VALUE!</v>
      </c>
      <c r="R3" t="e">
        <f>AND(Setup!BE9,"AAAAAHXr/BE=")</f>
        <v>#VALUE!</v>
      </c>
      <c r="S3" t="e">
        <f>AND(Setup!BF9,"AAAAAHXr/BI=")</f>
        <v>#VALUE!</v>
      </c>
      <c r="T3" t="str">
        <f>IF(Setup!10:10,"AAAAAHXr/BM=",0)</f>
        <v>AAAAAHXr/BM=</v>
      </c>
      <c r="U3" t="e">
        <f>AND(Setup!A10,"AAAAAHXr/BQ=")</f>
        <v>#VALUE!</v>
      </c>
      <c r="V3" t="e">
        <f>AND(Setup!B10,"AAAAAHXr/BU=")</f>
        <v>#VALUE!</v>
      </c>
      <c r="W3" t="b">
        <f>AND(Setup!C10,"AAAAAHXr/BY=")</f>
        <v>0</v>
      </c>
      <c r="X3" t="b">
        <f>AND(Setup!D10,"AAAAAHXr/Bc=")</f>
        <v>1</v>
      </c>
      <c r="Y3" t="e">
        <f ca="1">AND(Setup!E10,"AAAAAHXr/Bg=")</f>
        <v>#N/A</v>
      </c>
      <c r="Z3" t="b">
        <f>AND(Setup!F10,"AAAAAHXr/Bk=")</f>
        <v>0</v>
      </c>
      <c r="AA3" t="b">
        <f>AND(Setup!G10,"AAAAAHXr/Bo=")</f>
        <v>1</v>
      </c>
      <c r="AB3" t="e">
        <f ca="1">AND(Setup!H10,"AAAAAHXr/Bs=")</f>
        <v>#N/A</v>
      </c>
      <c r="AC3" t="e">
        <f>AND(Setup!I10,"AAAAAHXr/Bw=")</f>
        <v>#VALUE!</v>
      </c>
      <c r="AD3" t="b">
        <f>AND(Setup!J10,"AAAAAHXr/B0=")</f>
        <v>1</v>
      </c>
      <c r="AE3" t="b">
        <f>AND(Setup!K10,"AAAAAHXr/B4=")</f>
        <v>1</v>
      </c>
      <c r="AF3" t="b">
        <f>AND(Setup!L10,"AAAAAHXr/B8=")</f>
        <v>1</v>
      </c>
      <c r="AG3" t="b">
        <f>AND(Setup!M10,"AAAAAHXr/CA=")</f>
        <v>1</v>
      </c>
      <c r="AH3" t="e">
        <f>AND(Setup!N10,"AAAAAHXr/CE=")</f>
        <v>#VALUE!</v>
      </c>
      <c r="AI3" t="e">
        <f>AND(Setup!O10,"AAAAAHXr/CI=")</f>
        <v>#VALUE!</v>
      </c>
      <c r="AJ3" t="e">
        <f>AND(Setup!P10,"AAAAAHXr/CM=")</f>
        <v>#VALUE!</v>
      </c>
      <c r="AK3" t="b">
        <f>AND(Setup!Q10,"AAAAAHXr/CQ=")</f>
        <v>1</v>
      </c>
      <c r="AL3" t="e">
        <f>AND(Setup!R10,"AAAAAHXr/CU=")</f>
        <v>#VALUE!</v>
      </c>
      <c r="AM3" t="b">
        <f>AND(Setup!S10,"AAAAAHXr/CY=")</f>
        <v>1</v>
      </c>
      <c r="AN3" t="b">
        <f>AND(Setup!T10,"AAAAAHXr/Cc=")</f>
        <v>1</v>
      </c>
      <c r="AO3" t="e">
        <f>AND(Setup!U10,"AAAAAHXr/Cg=")</f>
        <v>#VALUE!</v>
      </c>
      <c r="AP3" t="e">
        <f>AND(Setup!V10,"AAAAAHXr/Ck=")</f>
        <v>#VALUE!</v>
      </c>
      <c r="AQ3" t="e">
        <f>AND(Setup!W10,"AAAAAHXr/Co=")</f>
        <v>#VALUE!</v>
      </c>
      <c r="AR3" t="e">
        <f>AND(Setup!X10,"AAAAAHXr/Cs=")</f>
        <v>#VALUE!</v>
      </c>
      <c r="AS3" t="e">
        <f>AND(Setup!Y10,"AAAAAHXr/Cw=")</f>
        <v>#VALUE!</v>
      </c>
      <c r="AT3" t="e">
        <f>AND(Setup!Z10,"AAAAAHXr/C0=")</f>
        <v>#VALUE!</v>
      </c>
      <c r="AU3" t="e">
        <f>AND(Setup!AA10,"AAAAAHXr/C4=")</f>
        <v>#VALUE!</v>
      </c>
      <c r="AV3" t="e">
        <f>AND(Setup!AB10,"AAAAAHXr/C8=")</f>
        <v>#VALUE!</v>
      </c>
      <c r="AW3" t="e">
        <f>AND(Setup!AC10,"AAAAAHXr/DA=")</f>
        <v>#VALUE!</v>
      </c>
      <c r="AX3" t="e">
        <f>AND(Setup!AD10,"AAAAAHXr/DE=")</f>
        <v>#VALUE!</v>
      </c>
      <c r="AY3" t="e">
        <f>AND(Setup!AE10,"AAAAAHXr/DI=")</f>
        <v>#VALUE!</v>
      </c>
      <c r="AZ3" t="e">
        <f>AND(Setup!AF10,"AAAAAHXr/DM=")</f>
        <v>#VALUE!</v>
      </c>
      <c r="BA3" t="e">
        <f>AND(Setup!AG10,"AAAAAHXr/DQ=")</f>
        <v>#VALUE!</v>
      </c>
      <c r="BB3" t="e">
        <f>AND(Setup!AH10,"AAAAAHXr/DU=")</f>
        <v>#VALUE!</v>
      </c>
      <c r="BC3" t="e">
        <f>AND(Setup!AI10,"AAAAAHXr/DY=")</f>
        <v>#VALUE!</v>
      </c>
      <c r="BD3" t="e">
        <f>AND(Setup!AJ10,"AAAAAHXr/Dc=")</f>
        <v>#VALUE!</v>
      </c>
      <c r="BE3" t="e">
        <f>AND(Setup!AK10,"AAAAAHXr/Dg=")</f>
        <v>#VALUE!</v>
      </c>
      <c r="BF3" t="e">
        <f>AND(Setup!AL10,"AAAAAHXr/Dk=")</f>
        <v>#VALUE!</v>
      </c>
      <c r="BG3" t="e">
        <f>AND(Setup!AM10,"AAAAAHXr/Do=")</f>
        <v>#VALUE!</v>
      </c>
      <c r="BH3" t="e">
        <f>AND(Setup!AN10,"AAAAAHXr/Ds=")</f>
        <v>#VALUE!</v>
      </c>
      <c r="BI3" t="e">
        <f>AND(Setup!AO10,"AAAAAHXr/Dw=")</f>
        <v>#VALUE!</v>
      </c>
      <c r="BJ3" t="e">
        <f>AND(Setup!AP10,"AAAAAHXr/D0=")</f>
        <v>#VALUE!</v>
      </c>
      <c r="BK3" t="e">
        <f>AND(Setup!AQ10,"AAAAAHXr/D4=")</f>
        <v>#VALUE!</v>
      </c>
      <c r="BL3" t="e">
        <f>AND(Setup!AR10,"AAAAAHXr/D8=")</f>
        <v>#VALUE!</v>
      </c>
      <c r="BM3" t="e">
        <f>AND(Setup!AS10,"AAAAAHXr/EA=")</f>
        <v>#VALUE!</v>
      </c>
      <c r="BN3" t="e">
        <f>AND(Setup!AT10,"AAAAAHXr/EE=")</f>
        <v>#VALUE!</v>
      </c>
      <c r="BO3" t="e">
        <f>AND(Setup!AU10,"AAAAAHXr/EI=")</f>
        <v>#VALUE!</v>
      </c>
      <c r="BP3" t="e">
        <f>AND(Setup!AV10,"AAAAAHXr/EM=")</f>
        <v>#VALUE!</v>
      </c>
      <c r="BQ3" t="e">
        <f>AND(Setup!AW10,"AAAAAHXr/EQ=")</f>
        <v>#VALUE!</v>
      </c>
      <c r="BR3" t="e">
        <f>AND(Setup!AX10,"AAAAAHXr/EU=")</f>
        <v>#VALUE!</v>
      </c>
      <c r="BS3" t="e">
        <f>AND(Setup!AY10,"AAAAAHXr/EY=")</f>
        <v>#VALUE!</v>
      </c>
      <c r="BT3" t="e">
        <f>AND(Setup!AZ10,"AAAAAHXr/Ec=")</f>
        <v>#VALUE!</v>
      </c>
      <c r="BU3" t="e">
        <f>AND(Setup!BA10,"AAAAAHXr/Eg=")</f>
        <v>#VALUE!</v>
      </c>
      <c r="BV3" t="e">
        <f>AND(Setup!BB10,"AAAAAHXr/Ek=")</f>
        <v>#VALUE!</v>
      </c>
      <c r="BW3" t="e">
        <f>AND(Setup!BC10,"AAAAAHXr/Eo=")</f>
        <v>#VALUE!</v>
      </c>
      <c r="BX3" t="e">
        <f>AND(Setup!BD10,"AAAAAHXr/Es=")</f>
        <v>#VALUE!</v>
      </c>
      <c r="BY3" t="e">
        <f>AND(Setup!BE10,"AAAAAHXr/Ew=")</f>
        <v>#VALUE!</v>
      </c>
      <c r="BZ3" t="e">
        <f>AND(Setup!BF10,"AAAAAHXr/E0=")</f>
        <v>#VALUE!</v>
      </c>
      <c r="CA3">
        <f>IF(Setup!11:11,"AAAAAHXr/E4=",0)</f>
        <v>0</v>
      </c>
      <c r="CB3" t="e">
        <f>AND(Setup!A11,"AAAAAHXr/E8=")</f>
        <v>#VALUE!</v>
      </c>
      <c r="CC3" t="e">
        <f>AND(Setup!B11,"AAAAAHXr/FA=")</f>
        <v>#VALUE!</v>
      </c>
      <c r="CD3" t="b">
        <f>AND(Setup!C11,"AAAAAHXr/FE=")</f>
        <v>1</v>
      </c>
      <c r="CE3" t="b">
        <f>AND(Setup!D11,"AAAAAHXr/FI=")</f>
        <v>1</v>
      </c>
      <c r="CF3" t="e">
        <f ca="1">AND(Setup!E11,"AAAAAHXr/FM=")</f>
        <v>#N/A</v>
      </c>
      <c r="CG3" t="b">
        <f>AND(Setup!F11,"AAAAAHXr/FQ=")</f>
        <v>1</v>
      </c>
      <c r="CH3" t="b">
        <f>AND(Setup!G11,"AAAAAHXr/FU=")</f>
        <v>1</v>
      </c>
      <c r="CI3" t="e">
        <f ca="1">AND(Setup!H11,"AAAAAHXr/FY=")</f>
        <v>#N/A</v>
      </c>
      <c r="CJ3" t="e">
        <f>AND(Setup!I11,"AAAAAHXr/Fc=")</f>
        <v>#VALUE!</v>
      </c>
      <c r="CK3" t="b">
        <f>AND(Setup!J11,"AAAAAHXr/Fg=")</f>
        <v>1</v>
      </c>
      <c r="CL3" t="b">
        <f>AND(Setup!K11,"AAAAAHXr/Fk=")</f>
        <v>1</v>
      </c>
      <c r="CM3" t="b">
        <f>AND(Setup!L11,"AAAAAHXr/Fo=")</f>
        <v>1</v>
      </c>
      <c r="CN3" t="b">
        <f>AND(Setup!M11,"AAAAAHXr/Fs=")</f>
        <v>1</v>
      </c>
      <c r="CO3" t="e">
        <f>AND(Setup!N11,"AAAAAHXr/Fw=")</f>
        <v>#VALUE!</v>
      </c>
      <c r="CP3" t="e">
        <f>AND(Setup!O11,"AAAAAHXr/F0=")</f>
        <v>#VALUE!</v>
      </c>
      <c r="CQ3" t="e">
        <f>AND(Setup!P11,"AAAAAHXr/F4=")</f>
        <v>#VALUE!</v>
      </c>
      <c r="CR3" t="b">
        <f>AND(Setup!Q11,"AAAAAHXr/F8=")</f>
        <v>1</v>
      </c>
      <c r="CS3" t="e">
        <f>AND(Setup!R11,"AAAAAHXr/GA=")</f>
        <v>#VALUE!</v>
      </c>
      <c r="CT3" t="b">
        <f>AND(Setup!S11,"AAAAAHXr/GE=")</f>
        <v>1</v>
      </c>
      <c r="CU3" t="b">
        <f>AND(Setup!T11,"AAAAAHXr/GI=")</f>
        <v>1</v>
      </c>
      <c r="CV3" t="e">
        <f>AND(Setup!U11,"AAAAAHXr/GM=")</f>
        <v>#VALUE!</v>
      </c>
      <c r="CW3" t="e">
        <f>AND(Setup!V11,"AAAAAHXr/GQ=")</f>
        <v>#VALUE!</v>
      </c>
      <c r="CX3" t="e">
        <f>AND(Setup!W11,"AAAAAHXr/GU=")</f>
        <v>#VALUE!</v>
      </c>
      <c r="CY3" t="e">
        <f>AND(Setup!X11,"AAAAAHXr/GY=")</f>
        <v>#VALUE!</v>
      </c>
      <c r="CZ3" t="e">
        <f>AND(Setup!Y11,"AAAAAHXr/Gc=")</f>
        <v>#VALUE!</v>
      </c>
      <c r="DA3" t="e">
        <f>AND(Setup!Z11,"AAAAAHXr/Gg=")</f>
        <v>#VALUE!</v>
      </c>
      <c r="DB3" t="e">
        <f>AND(Setup!AA11,"AAAAAHXr/Gk=")</f>
        <v>#VALUE!</v>
      </c>
      <c r="DC3" t="e">
        <f>AND(Setup!AB11,"AAAAAHXr/Go=")</f>
        <v>#VALUE!</v>
      </c>
      <c r="DD3" t="e">
        <f>AND(Setup!AC11,"AAAAAHXr/Gs=")</f>
        <v>#VALUE!</v>
      </c>
      <c r="DE3" t="e">
        <f>AND(Setup!AD11,"AAAAAHXr/Gw=")</f>
        <v>#VALUE!</v>
      </c>
      <c r="DF3" t="e">
        <f>AND(Setup!AE11,"AAAAAHXr/G0=")</f>
        <v>#VALUE!</v>
      </c>
      <c r="DG3" t="e">
        <f>AND(Setup!AF11,"AAAAAHXr/G4=")</f>
        <v>#VALUE!</v>
      </c>
      <c r="DH3" t="e">
        <f>AND(Setup!AG11,"AAAAAHXr/G8=")</f>
        <v>#VALUE!</v>
      </c>
      <c r="DI3" t="e">
        <f>AND(Setup!AH11,"AAAAAHXr/HA=")</f>
        <v>#VALUE!</v>
      </c>
      <c r="DJ3" t="e">
        <f>AND(Setup!AI11,"AAAAAHXr/HE=")</f>
        <v>#VALUE!</v>
      </c>
      <c r="DK3" t="e">
        <f>AND(Setup!AJ11,"AAAAAHXr/HI=")</f>
        <v>#VALUE!</v>
      </c>
      <c r="DL3" t="e">
        <f>AND(Setup!AK11,"AAAAAHXr/HM=")</f>
        <v>#VALUE!</v>
      </c>
      <c r="DM3" t="e">
        <f>AND(Setup!AL11,"AAAAAHXr/HQ=")</f>
        <v>#VALUE!</v>
      </c>
      <c r="DN3" t="e">
        <f>AND(Setup!AM11,"AAAAAHXr/HU=")</f>
        <v>#VALUE!</v>
      </c>
      <c r="DO3" t="e">
        <f>AND(Setup!AN11,"AAAAAHXr/HY=")</f>
        <v>#VALUE!</v>
      </c>
      <c r="DP3" t="e">
        <f>AND(Setup!AO11,"AAAAAHXr/Hc=")</f>
        <v>#VALUE!</v>
      </c>
      <c r="DQ3" t="e">
        <f>AND(Setup!AP11,"AAAAAHXr/Hg=")</f>
        <v>#VALUE!</v>
      </c>
      <c r="DR3" t="e">
        <f>AND(Setup!AQ11,"AAAAAHXr/Hk=")</f>
        <v>#VALUE!</v>
      </c>
      <c r="DS3" t="e">
        <f>AND(Setup!AR11,"AAAAAHXr/Ho=")</f>
        <v>#VALUE!</v>
      </c>
      <c r="DT3" t="e">
        <f>AND(Setup!AS11,"AAAAAHXr/Hs=")</f>
        <v>#VALUE!</v>
      </c>
      <c r="DU3" t="e">
        <f>AND(Setup!AT11,"AAAAAHXr/Hw=")</f>
        <v>#VALUE!</v>
      </c>
      <c r="DV3" t="e">
        <f>AND(Setup!AU11,"AAAAAHXr/H0=")</f>
        <v>#VALUE!</v>
      </c>
      <c r="DW3" t="e">
        <f>AND(Setup!AV11,"AAAAAHXr/H4=")</f>
        <v>#VALUE!</v>
      </c>
      <c r="DX3" t="e">
        <f>AND(Setup!AW11,"AAAAAHXr/H8=")</f>
        <v>#VALUE!</v>
      </c>
      <c r="DY3" t="e">
        <f>AND(Setup!AX11,"AAAAAHXr/IA=")</f>
        <v>#VALUE!</v>
      </c>
      <c r="DZ3" t="e">
        <f>AND(Setup!AY11,"AAAAAHXr/IE=")</f>
        <v>#VALUE!</v>
      </c>
      <c r="EA3" t="e">
        <f>AND(Setup!AZ11,"AAAAAHXr/II=")</f>
        <v>#VALUE!</v>
      </c>
      <c r="EB3" t="e">
        <f>AND(Setup!BA11,"AAAAAHXr/IM=")</f>
        <v>#VALUE!</v>
      </c>
      <c r="EC3" t="e">
        <f>AND(Setup!BB11,"AAAAAHXr/IQ=")</f>
        <v>#VALUE!</v>
      </c>
      <c r="ED3" t="e">
        <f>AND(Setup!BC11,"AAAAAHXr/IU=")</f>
        <v>#VALUE!</v>
      </c>
      <c r="EE3" t="e">
        <f>AND(Setup!BD11,"AAAAAHXr/IY=")</f>
        <v>#VALUE!</v>
      </c>
      <c r="EF3" t="e">
        <f>AND(Setup!BE11,"AAAAAHXr/Ic=")</f>
        <v>#VALUE!</v>
      </c>
      <c r="EG3" t="e">
        <f>AND(Setup!BF11,"AAAAAHXr/Ig=")</f>
        <v>#VALUE!</v>
      </c>
      <c r="EH3">
        <f>IF(Setup!12:12,"AAAAAHXr/Ik=",0)</f>
        <v>0</v>
      </c>
      <c r="EI3" t="e">
        <f>AND(Setup!A12,"AAAAAHXr/Io=")</f>
        <v>#VALUE!</v>
      </c>
      <c r="EJ3" t="e">
        <f>AND(Setup!B12,"AAAAAHXr/Is=")</f>
        <v>#VALUE!</v>
      </c>
      <c r="EK3" t="b">
        <f>AND(Setup!C12,"AAAAAHXr/Iw=")</f>
        <v>0</v>
      </c>
      <c r="EL3" t="b">
        <f>AND(Setup!D12,"AAAAAHXr/I0=")</f>
        <v>1</v>
      </c>
      <c r="EM3" t="e">
        <f ca="1">AND(Setup!E12,"AAAAAHXr/I4=")</f>
        <v>#N/A</v>
      </c>
      <c r="EN3" t="b">
        <f>AND(Setup!F12,"AAAAAHXr/I8=")</f>
        <v>1</v>
      </c>
      <c r="EO3" t="b">
        <f>AND(Setup!G12,"AAAAAHXr/JA=")</f>
        <v>1</v>
      </c>
      <c r="EP3" t="e">
        <f ca="1">AND(Setup!H12,"AAAAAHXr/JE=")</f>
        <v>#N/A</v>
      </c>
      <c r="EQ3" t="e">
        <f>AND(Setup!I12,"AAAAAHXr/JI=")</f>
        <v>#VALUE!</v>
      </c>
      <c r="ER3" t="b">
        <f>AND(Setup!J12,"AAAAAHXr/JM=")</f>
        <v>1</v>
      </c>
      <c r="ES3" t="b">
        <f>AND(Setup!K12,"AAAAAHXr/JQ=")</f>
        <v>1</v>
      </c>
      <c r="ET3" t="b">
        <f>AND(Setup!L12,"AAAAAHXr/JU=")</f>
        <v>1</v>
      </c>
      <c r="EU3" t="b">
        <f>AND(Setup!M12,"AAAAAHXr/JY=")</f>
        <v>1</v>
      </c>
      <c r="EV3" t="e">
        <f>AND(Setup!N12,"AAAAAHXr/Jc=")</f>
        <v>#VALUE!</v>
      </c>
      <c r="EW3" t="e">
        <f>AND(Setup!O12,"AAAAAHXr/Jg=")</f>
        <v>#VALUE!</v>
      </c>
      <c r="EX3" t="e">
        <f>AND(Setup!P12,"AAAAAHXr/Jk=")</f>
        <v>#VALUE!</v>
      </c>
      <c r="EY3" t="b">
        <f>AND(Setup!Q12,"AAAAAHXr/Jo=")</f>
        <v>1</v>
      </c>
      <c r="EZ3" t="e">
        <f>AND(Setup!R12,"AAAAAHXr/Js=")</f>
        <v>#VALUE!</v>
      </c>
      <c r="FA3" t="b">
        <f>AND(Setup!S12,"AAAAAHXr/Jw=")</f>
        <v>1</v>
      </c>
      <c r="FB3" t="b">
        <f>AND(Setup!T12,"AAAAAHXr/J0=")</f>
        <v>1</v>
      </c>
      <c r="FC3" t="e">
        <f>AND(Setup!U12,"AAAAAHXr/J4=")</f>
        <v>#VALUE!</v>
      </c>
      <c r="FD3" t="e">
        <f>AND(Setup!V12,"AAAAAHXr/J8=")</f>
        <v>#VALUE!</v>
      </c>
      <c r="FE3" t="e">
        <f>AND(Setup!W12,"AAAAAHXr/KA=")</f>
        <v>#VALUE!</v>
      </c>
      <c r="FF3" t="e">
        <f>AND(Setup!X12,"AAAAAHXr/KE=")</f>
        <v>#VALUE!</v>
      </c>
      <c r="FG3" t="e">
        <f>AND(Setup!Y12,"AAAAAHXr/KI=")</f>
        <v>#VALUE!</v>
      </c>
      <c r="FH3" t="e">
        <f>AND(Setup!Z12,"AAAAAHXr/KM=")</f>
        <v>#VALUE!</v>
      </c>
      <c r="FI3" t="e">
        <f>AND(Setup!AA12,"AAAAAHXr/KQ=")</f>
        <v>#VALUE!</v>
      </c>
      <c r="FJ3" t="e">
        <f>AND(Setup!AB12,"AAAAAHXr/KU=")</f>
        <v>#VALUE!</v>
      </c>
      <c r="FK3" t="e">
        <f>AND(Setup!AC12,"AAAAAHXr/KY=")</f>
        <v>#VALUE!</v>
      </c>
      <c r="FL3" t="e">
        <f>AND(Setup!AD12,"AAAAAHXr/Kc=")</f>
        <v>#VALUE!</v>
      </c>
      <c r="FM3" t="e">
        <f>AND(Setup!AE12,"AAAAAHXr/Kg=")</f>
        <v>#VALUE!</v>
      </c>
      <c r="FN3" t="e">
        <f>AND(Setup!AF12,"AAAAAHXr/Kk=")</f>
        <v>#VALUE!</v>
      </c>
      <c r="FO3" t="e">
        <f>AND(Setup!AG12,"AAAAAHXr/Ko=")</f>
        <v>#VALUE!</v>
      </c>
      <c r="FP3" t="e">
        <f>AND(Setup!AH12,"AAAAAHXr/Ks=")</f>
        <v>#VALUE!</v>
      </c>
      <c r="FQ3" t="e">
        <f>AND(Setup!AI12,"AAAAAHXr/Kw=")</f>
        <v>#VALUE!</v>
      </c>
      <c r="FR3" t="e">
        <f>AND(Setup!AJ12,"AAAAAHXr/K0=")</f>
        <v>#VALUE!</v>
      </c>
      <c r="FS3" t="e">
        <f>AND(Setup!AK12,"AAAAAHXr/K4=")</f>
        <v>#VALUE!</v>
      </c>
      <c r="FT3" t="e">
        <f>AND(Setup!AL12,"AAAAAHXr/K8=")</f>
        <v>#VALUE!</v>
      </c>
      <c r="FU3" t="e">
        <f>AND(Setup!AM12,"AAAAAHXr/LA=")</f>
        <v>#VALUE!</v>
      </c>
      <c r="FV3" t="e">
        <f>AND(Setup!AN12,"AAAAAHXr/LE=")</f>
        <v>#VALUE!</v>
      </c>
      <c r="FW3" t="e">
        <f>AND(Setup!AO12,"AAAAAHXr/LI=")</f>
        <v>#VALUE!</v>
      </c>
      <c r="FX3" t="e">
        <f>AND(Setup!AP12,"AAAAAHXr/LM=")</f>
        <v>#VALUE!</v>
      </c>
      <c r="FY3" t="e">
        <f>AND(Setup!AQ12,"AAAAAHXr/LQ=")</f>
        <v>#VALUE!</v>
      </c>
      <c r="FZ3" t="e">
        <f>AND(Setup!AR12,"AAAAAHXr/LU=")</f>
        <v>#VALUE!</v>
      </c>
      <c r="GA3" t="e">
        <f>AND(Setup!AS12,"AAAAAHXr/LY=")</f>
        <v>#VALUE!</v>
      </c>
      <c r="GB3" t="e">
        <f>AND(Setup!AT12,"AAAAAHXr/Lc=")</f>
        <v>#VALUE!</v>
      </c>
      <c r="GC3" t="e">
        <f>AND(Setup!AU12,"AAAAAHXr/Lg=")</f>
        <v>#VALUE!</v>
      </c>
      <c r="GD3" t="e">
        <f>AND(Setup!AV12,"AAAAAHXr/Lk=")</f>
        <v>#VALUE!</v>
      </c>
      <c r="GE3" t="e">
        <f>AND(Setup!AW12,"AAAAAHXr/Lo=")</f>
        <v>#VALUE!</v>
      </c>
      <c r="GF3" t="e">
        <f>AND(Setup!AX12,"AAAAAHXr/Ls=")</f>
        <v>#VALUE!</v>
      </c>
      <c r="GG3" t="e">
        <f>AND(Setup!AY12,"AAAAAHXr/Lw=")</f>
        <v>#VALUE!</v>
      </c>
      <c r="GH3" t="e">
        <f>AND(Setup!AZ12,"AAAAAHXr/L0=")</f>
        <v>#VALUE!</v>
      </c>
      <c r="GI3" t="e">
        <f>AND(Setup!BA12,"AAAAAHXr/L4=")</f>
        <v>#VALUE!</v>
      </c>
      <c r="GJ3" t="e">
        <f>AND(Setup!BB12,"AAAAAHXr/L8=")</f>
        <v>#VALUE!</v>
      </c>
      <c r="GK3" t="e">
        <f>AND(Setup!BC12,"AAAAAHXr/MA=")</f>
        <v>#VALUE!</v>
      </c>
      <c r="GL3" t="e">
        <f>AND(Setup!BD12,"AAAAAHXr/ME=")</f>
        <v>#VALUE!</v>
      </c>
      <c r="GM3" t="e">
        <f>AND(Setup!BE12,"AAAAAHXr/MI=")</f>
        <v>#VALUE!</v>
      </c>
      <c r="GN3" t="e">
        <f>AND(Setup!BF12,"AAAAAHXr/MM=")</f>
        <v>#VALUE!</v>
      </c>
      <c r="GO3">
        <f>IF(Setup!13:13,"AAAAAHXr/MQ=",0)</f>
        <v>0</v>
      </c>
      <c r="GP3" t="e">
        <f>AND(Setup!A13,"AAAAAHXr/MU=")</f>
        <v>#VALUE!</v>
      </c>
      <c r="GQ3" t="e">
        <f>AND(Setup!B13,"AAAAAHXr/MY=")</f>
        <v>#VALUE!</v>
      </c>
      <c r="GR3" t="b">
        <f>AND(Setup!C13,"AAAAAHXr/Mc=")</f>
        <v>1</v>
      </c>
      <c r="GS3" t="b">
        <f>AND(Setup!D13,"AAAAAHXr/Mg=")</f>
        <v>1</v>
      </c>
      <c r="GT3" t="e">
        <f ca="1">AND(Setup!E13,"AAAAAHXr/Mk=")</f>
        <v>#N/A</v>
      </c>
      <c r="GU3" t="b">
        <f>AND(Setup!F13,"AAAAAHXr/Mo=")</f>
        <v>1</v>
      </c>
      <c r="GV3" t="b">
        <f>AND(Setup!G13,"AAAAAHXr/Ms=")</f>
        <v>1</v>
      </c>
      <c r="GW3" t="e">
        <f ca="1">AND(Setup!H13,"AAAAAHXr/Mw=")</f>
        <v>#N/A</v>
      </c>
      <c r="GX3" t="e">
        <f>AND(Setup!I13,"AAAAAHXr/M0=")</f>
        <v>#VALUE!</v>
      </c>
      <c r="GY3" t="b">
        <f>AND(Setup!J13,"AAAAAHXr/M4=")</f>
        <v>1</v>
      </c>
      <c r="GZ3" t="b">
        <f>AND(Setup!K13,"AAAAAHXr/M8=")</f>
        <v>1</v>
      </c>
      <c r="HA3" t="b">
        <f>AND(Setup!L13,"AAAAAHXr/NA=")</f>
        <v>1</v>
      </c>
      <c r="HB3" t="b">
        <f>AND(Setup!M13,"AAAAAHXr/NE=")</f>
        <v>1</v>
      </c>
      <c r="HC3" t="e">
        <f>AND(Setup!N13,"AAAAAHXr/NI=")</f>
        <v>#VALUE!</v>
      </c>
      <c r="HD3" t="e">
        <f>AND(Setup!O13,"AAAAAHXr/NM=")</f>
        <v>#VALUE!</v>
      </c>
      <c r="HE3" t="e">
        <f>AND(Setup!P13,"AAAAAHXr/NQ=")</f>
        <v>#VALUE!</v>
      </c>
      <c r="HF3" t="e">
        <f>AND(Setup!Q13,"AAAAAHXr/NU=")</f>
        <v>#VALUE!</v>
      </c>
      <c r="HG3" t="e">
        <f>AND(Setup!R13,"AAAAAHXr/NY=")</f>
        <v>#VALUE!</v>
      </c>
      <c r="HH3" t="b">
        <f>AND(Setup!S13,"AAAAAHXr/Nc=")</f>
        <v>1</v>
      </c>
      <c r="HI3" t="b">
        <f>AND(Setup!T13,"AAAAAHXr/Ng=")</f>
        <v>1</v>
      </c>
      <c r="HJ3" t="e">
        <f>AND(Setup!U13,"AAAAAHXr/Nk=")</f>
        <v>#VALUE!</v>
      </c>
      <c r="HK3" t="e">
        <f>AND(Setup!V13,"AAAAAHXr/No=")</f>
        <v>#VALUE!</v>
      </c>
      <c r="HL3" t="e">
        <f>AND(Setup!W13,"AAAAAHXr/Ns=")</f>
        <v>#VALUE!</v>
      </c>
      <c r="HM3" t="e">
        <f>AND(Setup!X13,"AAAAAHXr/Nw=")</f>
        <v>#VALUE!</v>
      </c>
      <c r="HN3" t="e">
        <f>AND(Setup!Y13,"AAAAAHXr/N0=")</f>
        <v>#VALUE!</v>
      </c>
      <c r="HO3" t="e">
        <f>AND(Setup!Z13,"AAAAAHXr/N4=")</f>
        <v>#VALUE!</v>
      </c>
      <c r="HP3" t="e">
        <f>AND(Setup!AA13,"AAAAAHXr/N8=")</f>
        <v>#VALUE!</v>
      </c>
      <c r="HQ3" t="e">
        <f>AND(Setup!AB13,"AAAAAHXr/OA=")</f>
        <v>#VALUE!</v>
      </c>
      <c r="HR3" t="e">
        <f>AND(Setup!AC13,"AAAAAHXr/OE=")</f>
        <v>#VALUE!</v>
      </c>
      <c r="HS3" t="e">
        <f>AND(Setup!AD13,"AAAAAHXr/OI=")</f>
        <v>#VALUE!</v>
      </c>
      <c r="HT3" t="e">
        <f>AND(Setup!AE13,"AAAAAHXr/OM=")</f>
        <v>#VALUE!</v>
      </c>
      <c r="HU3" t="e">
        <f>AND(Setup!AF13,"AAAAAHXr/OQ=")</f>
        <v>#VALUE!</v>
      </c>
      <c r="HV3" t="e">
        <f>AND(Setup!AG13,"AAAAAHXr/OU=")</f>
        <v>#VALUE!</v>
      </c>
      <c r="HW3" t="e">
        <f>AND(Setup!AH13,"AAAAAHXr/OY=")</f>
        <v>#VALUE!</v>
      </c>
      <c r="HX3" t="e">
        <f>AND(Setup!AI13,"AAAAAHXr/Oc=")</f>
        <v>#VALUE!</v>
      </c>
      <c r="HY3" t="e">
        <f>AND(Setup!AJ13,"AAAAAHXr/Og=")</f>
        <v>#VALUE!</v>
      </c>
      <c r="HZ3" t="e">
        <f>AND(Setup!AK13,"AAAAAHXr/Ok=")</f>
        <v>#VALUE!</v>
      </c>
      <c r="IA3" t="e">
        <f>AND(Setup!AL13,"AAAAAHXr/Oo=")</f>
        <v>#VALUE!</v>
      </c>
      <c r="IB3" t="e">
        <f>AND(Setup!AM13,"AAAAAHXr/Os=")</f>
        <v>#VALUE!</v>
      </c>
      <c r="IC3" t="e">
        <f>AND(Setup!AN13,"AAAAAHXr/Ow=")</f>
        <v>#VALUE!</v>
      </c>
      <c r="ID3" t="e">
        <f>AND(Setup!AO13,"AAAAAHXr/O0=")</f>
        <v>#VALUE!</v>
      </c>
      <c r="IE3" t="e">
        <f>AND(Setup!AP13,"AAAAAHXr/O4=")</f>
        <v>#VALUE!</v>
      </c>
      <c r="IF3" t="e">
        <f>AND(Setup!AQ13,"AAAAAHXr/O8=")</f>
        <v>#VALUE!</v>
      </c>
      <c r="IG3" t="e">
        <f>AND(Setup!AR13,"AAAAAHXr/PA=")</f>
        <v>#VALUE!</v>
      </c>
      <c r="IH3" t="e">
        <f>AND(Setup!AS13,"AAAAAHXr/PE=")</f>
        <v>#VALUE!</v>
      </c>
      <c r="II3" t="e">
        <f>AND(Setup!AT13,"AAAAAHXr/PI=")</f>
        <v>#VALUE!</v>
      </c>
      <c r="IJ3" t="e">
        <f>AND(Setup!AU13,"AAAAAHXr/PM=")</f>
        <v>#VALUE!</v>
      </c>
      <c r="IK3" t="e">
        <f>AND(Setup!AV13,"AAAAAHXr/PQ=")</f>
        <v>#VALUE!</v>
      </c>
      <c r="IL3" t="e">
        <f>AND(Setup!AW13,"AAAAAHXr/PU=")</f>
        <v>#VALUE!</v>
      </c>
      <c r="IM3" t="e">
        <f>AND(Setup!AX13,"AAAAAHXr/PY=")</f>
        <v>#VALUE!</v>
      </c>
      <c r="IN3" t="e">
        <f>AND(Setup!AY13,"AAAAAHXr/Pc=")</f>
        <v>#VALUE!</v>
      </c>
      <c r="IO3" t="e">
        <f>AND(Setup!AZ13,"AAAAAHXr/Pg=")</f>
        <v>#VALUE!</v>
      </c>
      <c r="IP3" t="e">
        <f>AND(Setup!BA13,"AAAAAHXr/Pk=")</f>
        <v>#VALUE!</v>
      </c>
      <c r="IQ3" t="e">
        <f>AND(Setup!BB13,"AAAAAHXr/Po=")</f>
        <v>#VALUE!</v>
      </c>
      <c r="IR3" t="e">
        <f>AND(Setup!BC13,"AAAAAHXr/Ps=")</f>
        <v>#VALUE!</v>
      </c>
      <c r="IS3" t="e">
        <f>AND(Setup!BD13,"AAAAAHXr/Pw=")</f>
        <v>#VALUE!</v>
      </c>
      <c r="IT3" t="e">
        <f>AND(Setup!BE13,"AAAAAHXr/P0=")</f>
        <v>#VALUE!</v>
      </c>
      <c r="IU3" t="e">
        <f>AND(Setup!BF13,"AAAAAHXr/P4=")</f>
        <v>#VALUE!</v>
      </c>
      <c r="IV3">
        <f>IF(Setup!14:14,"AAAAAHXr/P8=",0)</f>
        <v>0</v>
      </c>
    </row>
    <row r="4" spans="1:256">
      <c r="A4" t="e">
        <f>AND(Setup!A14,"AAAAAGW/2wA=")</f>
        <v>#VALUE!</v>
      </c>
      <c r="B4" t="e">
        <f>AND(Setup!B14,"AAAAAGW/2wE=")</f>
        <v>#VALUE!</v>
      </c>
      <c r="C4" t="b">
        <f>AND(Setup!C14,"AAAAAGW/2wI=")</f>
        <v>1</v>
      </c>
      <c r="D4" t="b">
        <f>AND(Setup!D14,"AAAAAGW/2wM=")</f>
        <v>1</v>
      </c>
      <c r="E4" t="e">
        <f ca="1">AND(Setup!E14,"AAAAAGW/2wQ=")</f>
        <v>#N/A</v>
      </c>
      <c r="F4" t="b">
        <f>AND(Setup!F14,"AAAAAGW/2wU=")</f>
        <v>1</v>
      </c>
      <c r="G4" t="b">
        <f>AND(Setup!G14,"AAAAAGW/2wY=")</f>
        <v>1</v>
      </c>
      <c r="H4" t="e">
        <f ca="1">AND(Setup!H14,"AAAAAGW/2wc=")</f>
        <v>#N/A</v>
      </c>
      <c r="I4" t="e">
        <f>AND(Setup!I14,"AAAAAGW/2wg=")</f>
        <v>#VALUE!</v>
      </c>
      <c r="J4" t="b">
        <f>AND(Setup!J14,"AAAAAGW/2wk=")</f>
        <v>1</v>
      </c>
      <c r="K4" t="b">
        <f>AND(Setup!K14,"AAAAAGW/2wo=")</f>
        <v>1</v>
      </c>
      <c r="L4" t="b">
        <f>AND(Setup!L14,"AAAAAGW/2ws=")</f>
        <v>1</v>
      </c>
      <c r="M4" t="b">
        <f>AND(Setup!M14,"AAAAAGW/2ww=")</f>
        <v>1</v>
      </c>
      <c r="N4" t="e">
        <f>AND(Setup!N14,"AAAAAGW/2w0=")</f>
        <v>#VALUE!</v>
      </c>
      <c r="O4" t="e">
        <f>AND(Setup!O14,"AAAAAGW/2w4=")</f>
        <v>#VALUE!</v>
      </c>
      <c r="P4" t="e">
        <f>AND(Setup!P14,"AAAAAGW/2w8=")</f>
        <v>#VALUE!</v>
      </c>
      <c r="Q4" t="e">
        <f>AND(Setup!Q14,"AAAAAGW/2xA=")</f>
        <v>#VALUE!</v>
      </c>
      <c r="R4" t="e">
        <f>AND(Setup!R14,"AAAAAGW/2xE=")</f>
        <v>#VALUE!</v>
      </c>
      <c r="S4" t="b">
        <f>AND(Setup!S14,"AAAAAGW/2xI=")</f>
        <v>1</v>
      </c>
      <c r="T4" t="b">
        <f>AND(Setup!T14,"AAAAAGW/2xM=")</f>
        <v>1</v>
      </c>
      <c r="U4" t="e">
        <f>AND(Setup!U14,"AAAAAGW/2xQ=")</f>
        <v>#VALUE!</v>
      </c>
      <c r="V4" t="e">
        <f>AND(Setup!V14,"AAAAAGW/2xU=")</f>
        <v>#VALUE!</v>
      </c>
      <c r="W4" t="e">
        <f>AND(Setup!W14,"AAAAAGW/2xY=")</f>
        <v>#VALUE!</v>
      </c>
      <c r="X4" t="e">
        <f>AND(Setup!X14,"AAAAAGW/2xc=")</f>
        <v>#VALUE!</v>
      </c>
      <c r="Y4" t="e">
        <f>AND(Setup!Y14,"AAAAAGW/2xg=")</f>
        <v>#VALUE!</v>
      </c>
      <c r="Z4" t="e">
        <f>AND(Setup!Z14,"AAAAAGW/2xk=")</f>
        <v>#VALUE!</v>
      </c>
      <c r="AA4" t="e">
        <f>AND(Setup!AA14,"AAAAAGW/2xo=")</f>
        <v>#VALUE!</v>
      </c>
      <c r="AB4" t="e">
        <f>AND(Setup!AB14,"AAAAAGW/2xs=")</f>
        <v>#VALUE!</v>
      </c>
      <c r="AC4" t="e">
        <f>AND(Setup!AC14,"AAAAAGW/2xw=")</f>
        <v>#VALUE!</v>
      </c>
      <c r="AD4" t="e">
        <f>AND(Setup!AD14,"AAAAAGW/2x0=")</f>
        <v>#VALUE!</v>
      </c>
      <c r="AE4" t="e">
        <f>AND(Setup!AE14,"AAAAAGW/2x4=")</f>
        <v>#VALUE!</v>
      </c>
      <c r="AF4" t="e">
        <f>AND(Setup!AF14,"AAAAAGW/2x8=")</f>
        <v>#VALUE!</v>
      </c>
      <c r="AG4" t="e">
        <f>AND(Setup!AG14,"AAAAAGW/2yA=")</f>
        <v>#VALUE!</v>
      </c>
      <c r="AH4" t="e">
        <f>AND(Setup!AH14,"AAAAAGW/2yE=")</f>
        <v>#VALUE!</v>
      </c>
      <c r="AI4" t="e">
        <f>AND(Setup!AI14,"AAAAAGW/2yI=")</f>
        <v>#VALUE!</v>
      </c>
      <c r="AJ4" t="e">
        <f>AND(Setup!AJ14,"AAAAAGW/2yM=")</f>
        <v>#VALUE!</v>
      </c>
      <c r="AK4" t="e">
        <f>AND(Setup!AK14,"AAAAAGW/2yQ=")</f>
        <v>#VALUE!</v>
      </c>
      <c r="AL4" t="e">
        <f>AND(Setup!AL14,"AAAAAGW/2yU=")</f>
        <v>#VALUE!</v>
      </c>
      <c r="AM4" t="e">
        <f>AND(Setup!AM14,"AAAAAGW/2yY=")</f>
        <v>#VALUE!</v>
      </c>
      <c r="AN4" t="e">
        <f>AND(Setup!AN14,"AAAAAGW/2yc=")</f>
        <v>#VALUE!</v>
      </c>
      <c r="AO4" t="e">
        <f>AND(Setup!AO14,"AAAAAGW/2yg=")</f>
        <v>#VALUE!</v>
      </c>
      <c r="AP4" t="e">
        <f>AND(Setup!AP14,"AAAAAGW/2yk=")</f>
        <v>#VALUE!</v>
      </c>
      <c r="AQ4" t="e">
        <f>AND(Setup!AQ14,"AAAAAGW/2yo=")</f>
        <v>#VALUE!</v>
      </c>
      <c r="AR4" t="e">
        <f>AND(Setup!AR14,"AAAAAGW/2ys=")</f>
        <v>#VALUE!</v>
      </c>
      <c r="AS4" t="e">
        <f>AND(Setup!AS14,"AAAAAGW/2yw=")</f>
        <v>#VALUE!</v>
      </c>
      <c r="AT4" t="e">
        <f>AND(Setup!AT14,"AAAAAGW/2y0=")</f>
        <v>#VALUE!</v>
      </c>
      <c r="AU4" t="e">
        <f>AND(Setup!AU14,"AAAAAGW/2y4=")</f>
        <v>#VALUE!</v>
      </c>
      <c r="AV4" t="e">
        <f>AND(Setup!AV14,"AAAAAGW/2y8=")</f>
        <v>#VALUE!</v>
      </c>
      <c r="AW4" t="e">
        <f>AND(Setup!AW14,"AAAAAGW/2zA=")</f>
        <v>#VALUE!</v>
      </c>
      <c r="AX4" t="e">
        <f>AND(Setup!AX14,"AAAAAGW/2zE=")</f>
        <v>#VALUE!</v>
      </c>
      <c r="AY4" t="e">
        <f>AND(Setup!AY14,"AAAAAGW/2zI=")</f>
        <v>#VALUE!</v>
      </c>
      <c r="AZ4" t="e">
        <f>AND(Setup!AZ14,"AAAAAGW/2zM=")</f>
        <v>#VALUE!</v>
      </c>
      <c r="BA4" t="e">
        <f>AND(Setup!BA14,"AAAAAGW/2zQ=")</f>
        <v>#VALUE!</v>
      </c>
      <c r="BB4" t="e">
        <f>AND(Setup!BB14,"AAAAAGW/2zU=")</f>
        <v>#VALUE!</v>
      </c>
      <c r="BC4" t="e">
        <f>AND(Setup!BC14,"AAAAAGW/2zY=")</f>
        <v>#VALUE!</v>
      </c>
      <c r="BD4" t="e">
        <f>AND(Setup!BD14,"AAAAAGW/2zc=")</f>
        <v>#VALUE!</v>
      </c>
      <c r="BE4" t="e">
        <f>AND(Setup!BE14,"AAAAAGW/2zg=")</f>
        <v>#VALUE!</v>
      </c>
      <c r="BF4" t="e">
        <f>AND(Setup!BF14,"AAAAAGW/2zk=")</f>
        <v>#VALUE!</v>
      </c>
      <c r="BG4">
        <f>IF(Setup!15:15,"AAAAAGW/2zo=",0)</f>
        <v>0</v>
      </c>
      <c r="BH4" t="e">
        <f>AND(Setup!A15,"AAAAAGW/2zs=")</f>
        <v>#VALUE!</v>
      </c>
      <c r="BI4" t="e">
        <f>AND(Setup!B15,"AAAAAGW/2zw=")</f>
        <v>#VALUE!</v>
      </c>
      <c r="BJ4" t="b">
        <f>AND(Setup!C15,"AAAAAGW/2z0=")</f>
        <v>1</v>
      </c>
      <c r="BK4" t="b">
        <f>AND(Setup!D15,"AAAAAGW/2z4=")</f>
        <v>1</v>
      </c>
      <c r="BL4" t="e">
        <f ca="1">AND(Setup!E15,"AAAAAGW/2z8=")</f>
        <v>#N/A</v>
      </c>
      <c r="BM4" t="b">
        <f>AND(Setup!F15,"AAAAAGW/20A=")</f>
        <v>1</v>
      </c>
      <c r="BN4" t="b">
        <f>AND(Setup!G15,"AAAAAGW/20E=")</f>
        <v>1</v>
      </c>
      <c r="BO4" t="e">
        <f ca="1">AND(Setup!H15,"AAAAAGW/20I=")</f>
        <v>#N/A</v>
      </c>
      <c r="BP4" t="e">
        <f>AND(Setup!I15,"AAAAAGW/20M=")</f>
        <v>#VALUE!</v>
      </c>
      <c r="BQ4" t="b">
        <f>AND(Setup!J15,"AAAAAGW/20Q=")</f>
        <v>1</v>
      </c>
      <c r="BR4" t="b">
        <f>AND(Setup!K15,"AAAAAGW/20U=")</f>
        <v>1</v>
      </c>
      <c r="BS4" t="b">
        <f>AND(Setup!L15,"AAAAAGW/20Y=")</f>
        <v>1</v>
      </c>
      <c r="BT4" t="b">
        <f>AND(Setup!M15,"AAAAAGW/20c=")</f>
        <v>1</v>
      </c>
      <c r="BU4" t="e">
        <f>AND(Setup!N15,"AAAAAGW/20g=")</f>
        <v>#VALUE!</v>
      </c>
      <c r="BV4" t="e">
        <f>AND(Setup!O15,"AAAAAGW/20k=")</f>
        <v>#VALUE!</v>
      </c>
      <c r="BW4" t="e">
        <f>AND(Setup!P15,"AAAAAGW/20o=")</f>
        <v>#VALUE!</v>
      </c>
      <c r="BX4" t="e">
        <f>AND(Setup!Q15,"AAAAAGW/20s=")</f>
        <v>#VALUE!</v>
      </c>
      <c r="BY4" t="e">
        <f>AND(Setup!R15,"AAAAAGW/20w=")</f>
        <v>#VALUE!</v>
      </c>
      <c r="BZ4" t="b">
        <f>AND(Setup!S15,"AAAAAGW/200=")</f>
        <v>1</v>
      </c>
      <c r="CA4" t="b">
        <f>AND(Setup!T15,"AAAAAGW/204=")</f>
        <v>1</v>
      </c>
      <c r="CB4" t="e">
        <f>AND(Setup!U15,"AAAAAGW/208=")</f>
        <v>#VALUE!</v>
      </c>
      <c r="CC4" t="e">
        <f>AND(Setup!V15,"AAAAAGW/21A=")</f>
        <v>#VALUE!</v>
      </c>
      <c r="CD4" t="e">
        <f>AND(Setup!W15,"AAAAAGW/21E=")</f>
        <v>#VALUE!</v>
      </c>
      <c r="CE4" t="e">
        <f>AND(Setup!X15,"AAAAAGW/21I=")</f>
        <v>#VALUE!</v>
      </c>
      <c r="CF4" t="e">
        <f>AND(Setup!Y15,"AAAAAGW/21M=")</f>
        <v>#VALUE!</v>
      </c>
      <c r="CG4" t="e">
        <f>AND(Setup!Z15,"AAAAAGW/21Q=")</f>
        <v>#VALUE!</v>
      </c>
      <c r="CH4" t="e">
        <f>AND(Setup!AA15,"AAAAAGW/21U=")</f>
        <v>#VALUE!</v>
      </c>
      <c r="CI4" t="e">
        <f>AND(Setup!AB15,"AAAAAGW/21Y=")</f>
        <v>#VALUE!</v>
      </c>
      <c r="CJ4" t="e">
        <f>AND(Setup!AC15,"AAAAAGW/21c=")</f>
        <v>#VALUE!</v>
      </c>
      <c r="CK4" t="e">
        <f>AND(Setup!AD15,"AAAAAGW/21g=")</f>
        <v>#VALUE!</v>
      </c>
      <c r="CL4" t="e">
        <f>AND(Setup!AE15,"AAAAAGW/21k=")</f>
        <v>#VALUE!</v>
      </c>
      <c r="CM4" t="e">
        <f>AND(Setup!AF15,"AAAAAGW/21o=")</f>
        <v>#VALUE!</v>
      </c>
      <c r="CN4" t="e">
        <f>AND(Setup!AG15,"AAAAAGW/21s=")</f>
        <v>#VALUE!</v>
      </c>
      <c r="CO4" t="e">
        <f>AND(Setup!AH15,"AAAAAGW/21w=")</f>
        <v>#VALUE!</v>
      </c>
      <c r="CP4" t="e">
        <f>AND(Setup!AI15,"AAAAAGW/210=")</f>
        <v>#VALUE!</v>
      </c>
      <c r="CQ4" t="e">
        <f>AND(Setup!AJ15,"AAAAAGW/214=")</f>
        <v>#VALUE!</v>
      </c>
      <c r="CR4" t="e">
        <f>AND(Setup!AK15,"AAAAAGW/218=")</f>
        <v>#VALUE!</v>
      </c>
      <c r="CS4" t="e">
        <f>AND(Setup!AL15,"AAAAAGW/22A=")</f>
        <v>#VALUE!</v>
      </c>
      <c r="CT4" t="e">
        <f>AND(Setup!AM15,"AAAAAGW/22E=")</f>
        <v>#VALUE!</v>
      </c>
      <c r="CU4" t="e">
        <f>AND(Setup!AN15,"AAAAAGW/22I=")</f>
        <v>#VALUE!</v>
      </c>
      <c r="CV4" t="e">
        <f>AND(Setup!AO15,"AAAAAGW/22M=")</f>
        <v>#VALUE!</v>
      </c>
      <c r="CW4" t="e">
        <f>AND(Setup!AP15,"AAAAAGW/22Q=")</f>
        <v>#VALUE!</v>
      </c>
      <c r="CX4" t="e">
        <f>AND(Setup!AQ15,"AAAAAGW/22U=")</f>
        <v>#VALUE!</v>
      </c>
      <c r="CY4" t="e">
        <f>AND(Setup!AR15,"AAAAAGW/22Y=")</f>
        <v>#VALUE!</v>
      </c>
      <c r="CZ4" t="e">
        <f>AND(Setup!AS15,"AAAAAGW/22c=")</f>
        <v>#VALUE!</v>
      </c>
      <c r="DA4" t="e">
        <f>AND(Setup!AT15,"AAAAAGW/22g=")</f>
        <v>#VALUE!</v>
      </c>
      <c r="DB4" t="e">
        <f>AND(Setup!AU15,"AAAAAGW/22k=")</f>
        <v>#VALUE!</v>
      </c>
      <c r="DC4" t="e">
        <f>AND(Setup!AV15,"AAAAAGW/22o=")</f>
        <v>#VALUE!</v>
      </c>
      <c r="DD4" t="e">
        <f>AND(Setup!AW15,"AAAAAGW/22s=")</f>
        <v>#VALUE!</v>
      </c>
      <c r="DE4" t="e">
        <f>AND(Setup!AX15,"AAAAAGW/22w=")</f>
        <v>#VALUE!</v>
      </c>
      <c r="DF4" t="e">
        <f>AND(Setup!AY15,"AAAAAGW/220=")</f>
        <v>#VALUE!</v>
      </c>
      <c r="DG4" t="e">
        <f>AND(Setup!AZ15,"AAAAAGW/224=")</f>
        <v>#VALUE!</v>
      </c>
      <c r="DH4" t="e">
        <f>AND(Setup!BA15,"AAAAAGW/228=")</f>
        <v>#VALUE!</v>
      </c>
      <c r="DI4" t="e">
        <f>AND(Setup!BB15,"AAAAAGW/23A=")</f>
        <v>#VALUE!</v>
      </c>
      <c r="DJ4" t="e">
        <f>AND(Setup!BC15,"AAAAAGW/23E=")</f>
        <v>#VALUE!</v>
      </c>
      <c r="DK4" t="e">
        <f>AND(Setup!BD15,"AAAAAGW/23I=")</f>
        <v>#VALUE!</v>
      </c>
      <c r="DL4" t="e">
        <f>AND(Setup!BE15,"AAAAAGW/23M=")</f>
        <v>#VALUE!</v>
      </c>
      <c r="DM4" t="e">
        <f>AND(Setup!BF15,"AAAAAGW/23Q=")</f>
        <v>#VALUE!</v>
      </c>
      <c r="DN4">
        <f>IF(Setup!16:16,"AAAAAGW/23U=",0)</f>
        <v>0</v>
      </c>
      <c r="DO4" t="e">
        <f>AND(Setup!A16,"AAAAAGW/23Y=")</f>
        <v>#VALUE!</v>
      </c>
      <c r="DP4" t="e">
        <f>AND(Setup!B16,"AAAAAGW/23c=")</f>
        <v>#VALUE!</v>
      </c>
      <c r="DQ4" t="b">
        <f>AND(Setup!C16,"AAAAAGW/23g=")</f>
        <v>1</v>
      </c>
      <c r="DR4" t="b">
        <f>AND(Setup!D16,"AAAAAGW/23k=")</f>
        <v>1</v>
      </c>
      <c r="DS4" t="e">
        <f ca="1">AND(Setup!E16,"AAAAAGW/23o=")</f>
        <v>#N/A</v>
      </c>
      <c r="DT4" t="b">
        <f>AND(Setup!F16,"AAAAAGW/23s=")</f>
        <v>1</v>
      </c>
      <c r="DU4" t="b">
        <f>AND(Setup!G16,"AAAAAGW/23w=")</f>
        <v>1</v>
      </c>
      <c r="DV4" t="e">
        <f ca="1">AND(Setup!H16,"AAAAAGW/230=")</f>
        <v>#N/A</v>
      </c>
      <c r="DW4" t="e">
        <f>AND(Setup!I16,"AAAAAGW/234=")</f>
        <v>#VALUE!</v>
      </c>
      <c r="DX4" t="b">
        <f>AND(Setup!J16,"AAAAAGW/238=")</f>
        <v>1</v>
      </c>
      <c r="DY4" t="b">
        <f>AND(Setup!K16,"AAAAAGW/24A=")</f>
        <v>1</v>
      </c>
      <c r="DZ4" t="b">
        <f>AND(Setup!L16,"AAAAAGW/24E=")</f>
        <v>1</v>
      </c>
      <c r="EA4" t="b">
        <f>AND(Setup!M16,"AAAAAGW/24I=")</f>
        <v>1</v>
      </c>
      <c r="EB4" t="e">
        <f>AND(Setup!N16,"AAAAAGW/24M=")</f>
        <v>#VALUE!</v>
      </c>
      <c r="EC4" t="e">
        <f>AND(Setup!O16,"AAAAAGW/24Q=")</f>
        <v>#VALUE!</v>
      </c>
      <c r="ED4" t="e">
        <f>AND(Setup!P16,"AAAAAGW/24U=")</f>
        <v>#VALUE!</v>
      </c>
      <c r="EE4" t="e">
        <f>AND(Setup!Q16,"AAAAAGW/24Y=")</f>
        <v>#VALUE!</v>
      </c>
      <c r="EF4" t="e">
        <f>AND(Setup!R16,"AAAAAGW/24c=")</f>
        <v>#VALUE!</v>
      </c>
      <c r="EG4" t="e">
        <f>AND(Setup!S16,"AAAAAGW/24g=")</f>
        <v>#VALUE!</v>
      </c>
      <c r="EH4" t="e">
        <f>AND(Setup!T16,"AAAAAGW/24k=")</f>
        <v>#VALUE!</v>
      </c>
      <c r="EI4" t="e">
        <f>AND(Setup!U16,"AAAAAGW/24o=")</f>
        <v>#VALUE!</v>
      </c>
      <c r="EJ4" t="e">
        <f>AND(Setup!V16,"AAAAAGW/24s=")</f>
        <v>#VALUE!</v>
      </c>
      <c r="EK4" t="e">
        <f>AND(Setup!W16,"AAAAAGW/24w=")</f>
        <v>#VALUE!</v>
      </c>
      <c r="EL4" t="e">
        <f>AND(Setup!X16,"AAAAAGW/240=")</f>
        <v>#VALUE!</v>
      </c>
      <c r="EM4" t="e">
        <f>AND(Setup!Y16,"AAAAAGW/244=")</f>
        <v>#VALUE!</v>
      </c>
      <c r="EN4" t="e">
        <f>AND(Setup!Z16,"AAAAAGW/248=")</f>
        <v>#VALUE!</v>
      </c>
      <c r="EO4" t="e">
        <f>AND(Setup!AA16,"AAAAAGW/25A=")</f>
        <v>#VALUE!</v>
      </c>
      <c r="EP4" t="e">
        <f>AND(Setup!AB16,"AAAAAGW/25E=")</f>
        <v>#VALUE!</v>
      </c>
      <c r="EQ4" t="e">
        <f>AND(Setup!AC16,"AAAAAGW/25I=")</f>
        <v>#VALUE!</v>
      </c>
      <c r="ER4" t="e">
        <f>AND(Setup!AD16,"AAAAAGW/25M=")</f>
        <v>#VALUE!</v>
      </c>
      <c r="ES4" t="e">
        <f>AND(Setup!AE16,"AAAAAGW/25Q=")</f>
        <v>#VALUE!</v>
      </c>
      <c r="ET4" t="e">
        <f>AND(Setup!AF16,"AAAAAGW/25U=")</f>
        <v>#VALUE!</v>
      </c>
      <c r="EU4" t="e">
        <f>AND(Setup!AG16,"AAAAAGW/25Y=")</f>
        <v>#VALUE!</v>
      </c>
      <c r="EV4" t="e">
        <f>AND(Setup!AH16,"AAAAAGW/25c=")</f>
        <v>#VALUE!</v>
      </c>
      <c r="EW4" t="e">
        <f>AND(Setup!AI16,"AAAAAGW/25g=")</f>
        <v>#VALUE!</v>
      </c>
      <c r="EX4" t="e">
        <f>AND(Setup!AJ16,"AAAAAGW/25k=")</f>
        <v>#VALUE!</v>
      </c>
      <c r="EY4" t="e">
        <f>AND(Setup!AK16,"AAAAAGW/25o=")</f>
        <v>#VALUE!</v>
      </c>
      <c r="EZ4" t="e">
        <f>AND(Setup!AL16,"AAAAAGW/25s=")</f>
        <v>#VALUE!</v>
      </c>
      <c r="FA4" t="e">
        <f>AND(Setup!AM16,"AAAAAGW/25w=")</f>
        <v>#VALUE!</v>
      </c>
      <c r="FB4" t="e">
        <f>AND(Setup!AN16,"AAAAAGW/250=")</f>
        <v>#VALUE!</v>
      </c>
      <c r="FC4" t="e">
        <f>AND(Setup!AO16,"AAAAAGW/254=")</f>
        <v>#VALUE!</v>
      </c>
      <c r="FD4" t="e">
        <f>AND(Setup!AP16,"AAAAAGW/258=")</f>
        <v>#VALUE!</v>
      </c>
      <c r="FE4" t="e">
        <f>AND(Setup!AQ16,"AAAAAGW/26A=")</f>
        <v>#VALUE!</v>
      </c>
      <c r="FF4" t="e">
        <f>AND(Setup!AR16,"AAAAAGW/26E=")</f>
        <v>#VALUE!</v>
      </c>
      <c r="FG4" t="e">
        <f>AND(Setup!AS16,"AAAAAGW/26I=")</f>
        <v>#VALUE!</v>
      </c>
      <c r="FH4" t="e">
        <f>AND(Setup!AT16,"AAAAAGW/26M=")</f>
        <v>#VALUE!</v>
      </c>
      <c r="FI4" t="e">
        <f>AND(Setup!AU16,"AAAAAGW/26Q=")</f>
        <v>#VALUE!</v>
      </c>
      <c r="FJ4" t="e">
        <f>AND(Setup!AV16,"AAAAAGW/26U=")</f>
        <v>#VALUE!</v>
      </c>
      <c r="FK4" t="e">
        <f>AND(Setup!AW16,"AAAAAGW/26Y=")</f>
        <v>#VALUE!</v>
      </c>
      <c r="FL4" t="e">
        <f>AND(Setup!AX16,"AAAAAGW/26c=")</f>
        <v>#VALUE!</v>
      </c>
      <c r="FM4" t="e">
        <f>AND(Setup!AY16,"AAAAAGW/26g=")</f>
        <v>#VALUE!</v>
      </c>
      <c r="FN4" t="e">
        <f>AND(Setup!AZ16,"AAAAAGW/26k=")</f>
        <v>#VALUE!</v>
      </c>
      <c r="FO4" t="e">
        <f>AND(Setup!BA16,"AAAAAGW/26o=")</f>
        <v>#VALUE!</v>
      </c>
      <c r="FP4" t="e">
        <f>AND(Setup!BB16,"AAAAAGW/26s=")</f>
        <v>#VALUE!</v>
      </c>
      <c r="FQ4" t="e">
        <f>AND(Setup!BC16,"AAAAAGW/26w=")</f>
        <v>#VALUE!</v>
      </c>
      <c r="FR4" t="e">
        <f>AND(Setup!BD16,"AAAAAGW/260=")</f>
        <v>#VALUE!</v>
      </c>
      <c r="FS4" t="e">
        <f>AND(Setup!BE16,"AAAAAGW/264=")</f>
        <v>#VALUE!</v>
      </c>
      <c r="FT4" t="e">
        <f>AND(Setup!BF16,"AAAAAGW/268=")</f>
        <v>#VALUE!</v>
      </c>
      <c r="FU4">
        <f>IF(Setup!17:17,"AAAAAGW/27A=",0)</f>
        <v>0</v>
      </c>
      <c r="FV4" t="e">
        <f>AND(Setup!A17,"AAAAAGW/27E=")</f>
        <v>#VALUE!</v>
      </c>
      <c r="FW4" t="e">
        <f>AND(Setup!B17,"AAAAAGW/27I=")</f>
        <v>#VALUE!</v>
      </c>
      <c r="FX4" t="b">
        <f>AND(Setup!C17,"AAAAAGW/27M=")</f>
        <v>1</v>
      </c>
      <c r="FY4" t="b">
        <f>AND(Setup!D17,"AAAAAGW/27Q=")</f>
        <v>1</v>
      </c>
      <c r="FZ4" t="e">
        <f ca="1">AND(Setup!E17,"AAAAAGW/27U=")</f>
        <v>#N/A</v>
      </c>
      <c r="GA4" t="b">
        <f>AND(Setup!F17,"AAAAAGW/27Y=")</f>
        <v>1</v>
      </c>
      <c r="GB4" t="b">
        <f>AND(Setup!G17,"AAAAAGW/27c=")</f>
        <v>1</v>
      </c>
      <c r="GC4" t="e">
        <f ca="1">AND(Setup!H17,"AAAAAGW/27g=")</f>
        <v>#N/A</v>
      </c>
      <c r="GD4" t="e">
        <f>AND(Setup!I17,"AAAAAGW/27k=")</f>
        <v>#VALUE!</v>
      </c>
      <c r="GE4" t="b">
        <f>AND(Setup!J17,"AAAAAGW/27o=")</f>
        <v>1</v>
      </c>
      <c r="GF4" t="b">
        <f>AND(Setup!K17,"AAAAAGW/27s=")</f>
        <v>1</v>
      </c>
      <c r="GG4" t="b">
        <f>AND(Setup!L17,"AAAAAGW/27w=")</f>
        <v>1</v>
      </c>
      <c r="GH4" t="b">
        <f>AND(Setup!M17,"AAAAAGW/270=")</f>
        <v>1</v>
      </c>
      <c r="GI4" t="e">
        <f>AND(Setup!N17,"AAAAAGW/274=")</f>
        <v>#VALUE!</v>
      </c>
      <c r="GJ4" t="e">
        <f>AND(Setup!O17,"AAAAAGW/278=")</f>
        <v>#VALUE!</v>
      </c>
      <c r="GK4" t="e">
        <f>AND(Setup!P17,"AAAAAGW/28A=")</f>
        <v>#VALUE!</v>
      </c>
      <c r="GL4" t="e">
        <f>AND(Setup!Q17,"AAAAAGW/28E=")</f>
        <v>#VALUE!</v>
      </c>
      <c r="GM4" t="e">
        <f>AND(Setup!R17,"AAAAAGW/28I=")</f>
        <v>#VALUE!</v>
      </c>
      <c r="GN4" t="e">
        <f>AND(Setup!S17,"AAAAAGW/28M=")</f>
        <v>#VALUE!</v>
      </c>
      <c r="GO4" t="e">
        <f>AND(Setup!T17,"AAAAAGW/28Q=")</f>
        <v>#VALUE!</v>
      </c>
      <c r="GP4" t="e">
        <f>AND(Setup!U17,"AAAAAGW/28U=")</f>
        <v>#VALUE!</v>
      </c>
      <c r="GQ4" t="e">
        <f>AND(Setup!V17,"AAAAAGW/28Y=")</f>
        <v>#VALUE!</v>
      </c>
      <c r="GR4" t="e">
        <f>AND(Setup!W17,"AAAAAGW/28c=")</f>
        <v>#VALUE!</v>
      </c>
      <c r="GS4" t="e">
        <f>AND(Setup!X17,"AAAAAGW/28g=")</f>
        <v>#VALUE!</v>
      </c>
      <c r="GT4" t="e">
        <f>AND(Setup!Y17,"AAAAAGW/28k=")</f>
        <v>#VALUE!</v>
      </c>
      <c r="GU4" t="e">
        <f>AND(Setup!Z17,"AAAAAGW/28o=")</f>
        <v>#VALUE!</v>
      </c>
      <c r="GV4" t="e">
        <f>AND(Setup!AA17,"AAAAAGW/28s=")</f>
        <v>#VALUE!</v>
      </c>
      <c r="GW4" t="e">
        <f>AND(Setup!AB17,"AAAAAGW/28w=")</f>
        <v>#VALUE!</v>
      </c>
      <c r="GX4" t="e">
        <f>AND(Setup!AC17,"AAAAAGW/280=")</f>
        <v>#VALUE!</v>
      </c>
      <c r="GY4" t="e">
        <f>AND(Setup!AD17,"AAAAAGW/284=")</f>
        <v>#VALUE!</v>
      </c>
      <c r="GZ4" t="e">
        <f>AND(Setup!AE17,"AAAAAGW/288=")</f>
        <v>#VALUE!</v>
      </c>
      <c r="HA4" t="e">
        <f>AND(Setup!AF17,"AAAAAGW/29A=")</f>
        <v>#VALUE!</v>
      </c>
      <c r="HB4" t="e">
        <f>AND(Setup!AG17,"AAAAAGW/29E=")</f>
        <v>#VALUE!</v>
      </c>
      <c r="HC4" t="e">
        <f>AND(Setup!AH17,"AAAAAGW/29I=")</f>
        <v>#VALUE!</v>
      </c>
      <c r="HD4" t="e">
        <f>AND(Setup!AI17,"AAAAAGW/29M=")</f>
        <v>#VALUE!</v>
      </c>
      <c r="HE4" t="e">
        <f>AND(Setup!AJ17,"AAAAAGW/29Q=")</f>
        <v>#VALUE!</v>
      </c>
      <c r="HF4" t="e">
        <f>AND(Setup!AK17,"AAAAAGW/29U=")</f>
        <v>#VALUE!</v>
      </c>
      <c r="HG4" t="e">
        <f>AND(Setup!AL17,"AAAAAGW/29Y=")</f>
        <v>#VALUE!</v>
      </c>
      <c r="HH4" t="e">
        <f>AND(Setup!AM17,"AAAAAGW/29c=")</f>
        <v>#VALUE!</v>
      </c>
      <c r="HI4" t="e">
        <f>AND(Setup!AN17,"AAAAAGW/29g=")</f>
        <v>#VALUE!</v>
      </c>
      <c r="HJ4" t="e">
        <f>AND(Setup!AO17,"AAAAAGW/29k=")</f>
        <v>#VALUE!</v>
      </c>
      <c r="HK4" t="e">
        <f>AND(Setup!AP17,"AAAAAGW/29o=")</f>
        <v>#VALUE!</v>
      </c>
      <c r="HL4" t="e">
        <f>AND(Setup!AQ17,"AAAAAGW/29s=")</f>
        <v>#VALUE!</v>
      </c>
      <c r="HM4" t="e">
        <f>AND(Setup!AR17,"AAAAAGW/29w=")</f>
        <v>#VALUE!</v>
      </c>
      <c r="HN4" t="e">
        <f>AND(Setup!AS17,"AAAAAGW/290=")</f>
        <v>#VALUE!</v>
      </c>
      <c r="HO4" t="e">
        <f>AND(Setup!AT17,"AAAAAGW/294=")</f>
        <v>#VALUE!</v>
      </c>
      <c r="HP4" t="e">
        <f>AND(Setup!AU17,"AAAAAGW/298=")</f>
        <v>#VALUE!</v>
      </c>
      <c r="HQ4" t="e">
        <f>AND(Setup!AV17,"AAAAAGW/2+A=")</f>
        <v>#VALUE!</v>
      </c>
      <c r="HR4" t="e">
        <f>AND(Setup!AW17,"AAAAAGW/2+E=")</f>
        <v>#VALUE!</v>
      </c>
      <c r="HS4" t="e">
        <f>AND(Setup!AX17,"AAAAAGW/2+I=")</f>
        <v>#VALUE!</v>
      </c>
      <c r="HT4" t="e">
        <f>AND(Setup!AY17,"AAAAAGW/2+M=")</f>
        <v>#VALUE!</v>
      </c>
      <c r="HU4" t="e">
        <f>AND(Setup!AZ17,"AAAAAGW/2+Q=")</f>
        <v>#VALUE!</v>
      </c>
      <c r="HV4" t="e">
        <f>AND(Setup!BA17,"AAAAAGW/2+U=")</f>
        <v>#VALUE!</v>
      </c>
      <c r="HW4" t="e">
        <f>AND(Setup!BB17,"AAAAAGW/2+Y=")</f>
        <v>#VALUE!</v>
      </c>
      <c r="HX4" t="e">
        <f>AND(Setup!BC17,"AAAAAGW/2+c=")</f>
        <v>#VALUE!</v>
      </c>
      <c r="HY4" t="e">
        <f>AND(Setup!BD17,"AAAAAGW/2+g=")</f>
        <v>#VALUE!</v>
      </c>
      <c r="HZ4" t="e">
        <f>AND(Setup!BE17,"AAAAAGW/2+k=")</f>
        <v>#VALUE!</v>
      </c>
      <c r="IA4" t="e">
        <f>AND(Setup!BF17,"AAAAAGW/2+o=")</f>
        <v>#VALUE!</v>
      </c>
      <c r="IB4">
        <f>IF(Setup!18:18,"AAAAAGW/2+s=",0)</f>
        <v>0</v>
      </c>
      <c r="IC4" t="e">
        <f>AND(Setup!A18,"AAAAAGW/2+w=")</f>
        <v>#VALUE!</v>
      </c>
      <c r="ID4" t="e">
        <f>AND(Setup!B18,"AAAAAGW/2+0=")</f>
        <v>#VALUE!</v>
      </c>
      <c r="IE4" t="b">
        <f>AND(Setup!C18,"AAAAAGW/2+4=")</f>
        <v>1</v>
      </c>
      <c r="IF4" t="b">
        <f>AND(Setup!D18,"AAAAAGW/2+8=")</f>
        <v>1</v>
      </c>
      <c r="IG4" t="e">
        <f ca="1">AND(Setup!E18,"AAAAAGW/2/A=")</f>
        <v>#N/A</v>
      </c>
      <c r="IH4" t="b">
        <f>AND(Setup!F18,"AAAAAGW/2/E=")</f>
        <v>1</v>
      </c>
      <c r="II4" t="b">
        <f>AND(Setup!G18,"AAAAAGW/2/I=")</f>
        <v>1</v>
      </c>
      <c r="IJ4" t="e">
        <f ca="1">AND(Setup!H18,"AAAAAGW/2/M=")</f>
        <v>#N/A</v>
      </c>
      <c r="IK4" t="e">
        <f>AND(Setup!I18,"AAAAAGW/2/Q=")</f>
        <v>#VALUE!</v>
      </c>
      <c r="IL4" t="b">
        <f>AND(Setup!J18,"AAAAAGW/2/U=")</f>
        <v>1</v>
      </c>
      <c r="IM4" t="e">
        <f>AND(Setup!K18,"AAAAAGW/2/Y=")</f>
        <v>#VALUE!</v>
      </c>
      <c r="IN4" t="b">
        <f>AND(Setup!L18,"AAAAAGW/2/c=")</f>
        <v>1</v>
      </c>
      <c r="IO4" t="e">
        <f>AND(Setup!M18,"AAAAAGW/2/g=")</f>
        <v>#VALUE!</v>
      </c>
      <c r="IP4" t="e">
        <f>AND(Setup!N18,"AAAAAGW/2/k=")</f>
        <v>#VALUE!</v>
      </c>
      <c r="IQ4" t="e">
        <f>AND(Setup!O18,"AAAAAGW/2/o=")</f>
        <v>#VALUE!</v>
      </c>
      <c r="IR4" t="e">
        <f>AND(Setup!P18,"AAAAAGW/2/s=")</f>
        <v>#VALUE!</v>
      </c>
      <c r="IS4" t="e">
        <f>AND(Setup!Q18,"AAAAAGW/2/w=")</f>
        <v>#VALUE!</v>
      </c>
      <c r="IT4" t="e">
        <f>AND(Setup!R18,"AAAAAGW/2/0=")</f>
        <v>#VALUE!</v>
      </c>
      <c r="IU4" t="e">
        <f>AND(Setup!S18,"AAAAAGW/2/4=")</f>
        <v>#VALUE!</v>
      </c>
      <c r="IV4" t="e">
        <f>AND(Setup!T18,"AAAAAGW/2/8=")</f>
        <v>#VALUE!</v>
      </c>
    </row>
    <row r="5" spans="1:256">
      <c r="A5" t="e">
        <f>AND(Setup!U18,"AAAAAEe7yQA=")</f>
        <v>#VALUE!</v>
      </c>
      <c r="B5" t="e">
        <f>AND(Setup!V18,"AAAAAEe7yQE=")</f>
        <v>#VALUE!</v>
      </c>
      <c r="C5" t="e">
        <f>AND(Setup!W18,"AAAAAEe7yQI=")</f>
        <v>#VALUE!</v>
      </c>
      <c r="D5" t="e">
        <f>AND(Setup!X18,"AAAAAEe7yQM=")</f>
        <v>#VALUE!</v>
      </c>
      <c r="E5" t="e">
        <f>AND(Setup!Y18,"AAAAAEe7yQQ=")</f>
        <v>#VALUE!</v>
      </c>
      <c r="F5" t="e">
        <f>AND(Setup!Z18,"AAAAAEe7yQU=")</f>
        <v>#VALUE!</v>
      </c>
      <c r="G5" t="e">
        <f>AND(Setup!AA18,"AAAAAEe7yQY=")</f>
        <v>#VALUE!</v>
      </c>
      <c r="H5" t="e">
        <f>AND(Setup!AB18,"AAAAAEe7yQc=")</f>
        <v>#VALUE!</v>
      </c>
      <c r="I5" t="e">
        <f>AND(Setup!AC18,"AAAAAEe7yQg=")</f>
        <v>#VALUE!</v>
      </c>
      <c r="J5" t="e">
        <f>AND(Setup!AD18,"AAAAAEe7yQk=")</f>
        <v>#VALUE!</v>
      </c>
      <c r="K5" t="e">
        <f>AND(Setup!AE18,"AAAAAEe7yQo=")</f>
        <v>#VALUE!</v>
      </c>
      <c r="L5" t="e">
        <f>AND(Setup!AF18,"AAAAAEe7yQs=")</f>
        <v>#VALUE!</v>
      </c>
      <c r="M5" t="e">
        <f>AND(Setup!AG18,"AAAAAEe7yQw=")</f>
        <v>#VALUE!</v>
      </c>
      <c r="N5" t="e">
        <f>AND(Setup!AH18,"AAAAAEe7yQ0=")</f>
        <v>#VALUE!</v>
      </c>
      <c r="O5" t="e">
        <f>AND(Setup!AI18,"AAAAAEe7yQ4=")</f>
        <v>#VALUE!</v>
      </c>
      <c r="P5" t="e">
        <f>AND(Setup!AJ18,"AAAAAEe7yQ8=")</f>
        <v>#VALUE!</v>
      </c>
      <c r="Q5" t="e">
        <f>AND(Setup!AK18,"AAAAAEe7yRA=")</f>
        <v>#VALUE!</v>
      </c>
      <c r="R5" t="e">
        <f>AND(Setup!AL18,"AAAAAEe7yRE=")</f>
        <v>#VALUE!</v>
      </c>
      <c r="S5" t="e">
        <f>AND(Setup!AM18,"AAAAAEe7yRI=")</f>
        <v>#VALUE!</v>
      </c>
      <c r="T5" t="e">
        <f>AND(Setup!AN18,"AAAAAEe7yRM=")</f>
        <v>#VALUE!</v>
      </c>
      <c r="U5" t="e">
        <f>AND(Setup!AO18,"AAAAAEe7yRQ=")</f>
        <v>#VALUE!</v>
      </c>
      <c r="V5" t="e">
        <f>AND(Setup!AP18,"AAAAAEe7yRU=")</f>
        <v>#VALUE!</v>
      </c>
      <c r="W5" t="e">
        <f>AND(Setup!AQ18,"AAAAAEe7yRY=")</f>
        <v>#VALUE!</v>
      </c>
      <c r="X5" t="e">
        <f>AND(Setup!AR18,"AAAAAEe7yRc=")</f>
        <v>#VALUE!</v>
      </c>
      <c r="Y5" t="e">
        <f>AND(Setup!AS18,"AAAAAEe7yRg=")</f>
        <v>#VALUE!</v>
      </c>
      <c r="Z5" t="e">
        <f>AND(Setup!AT18,"AAAAAEe7yRk=")</f>
        <v>#VALUE!</v>
      </c>
      <c r="AA5" t="e">
        <f>AND(Setup!AU18,"AAAAAEe7yRo=")</f>
        <v>#VALUE!</v>
      </c>
      <c r="AB5" t="e">
        <f>AND(Setup!AV18,"AAAAAEe7yRs=")</f>
        <v>#VALUE!</v>
      </c>
      <c r="AC5" t="e">
        <f>AND(Setup!AW18,"AAAAAEe7yRw=")</f>
        <v>#VALUE!</v>
      </c>
      <c r="AD5" t="e">
        <f>AND(Setup!AX18,"AAAAAEe7yR0=")</f>
        <v>#VALUE!</v>
      </c>
      <c r="AE5" t="e">
        <f>AND(Setup!AY18,"AAAAAEe7yR4=")</f>
        <v>#VALUE!</v>
      </c>
      <c r="AF5" t="e">
        <f>AND(Setup!AZ18,"AAAAAEe7yR8=")</f>
        <v>#VALUE!</v>
      </c>
      <c r="AG5" t="e">
        <f>AND(Setup!BA18,"AAAAAEe7ySA=")</f>
        <v>#VALUE!</v>
      </c>
      <c r="AH5" t="e">
        <f>AND(Setup!BB18,"AAAAAEe7ySE=")</f>
        <v>#VALUE!</v>
      </c>
      <c r="AI5" t="e">
        <f>AND(Setup!BC18,"AAAAAEe7ySI=")</f>
        <v>#VALUE!</v>
      </c>
      <c r="AJ5" t="e">
        <f>AND(Setup!BD18,"AAAAAEe7ySM=")</f>
        <v>#VALUE!</v>
      </c>
      <c r="AK5" t="e">
        <f>AND(Setup!BE18,"AAAAAEe7ySQ=")</f>
        <v>#VALUE!</v>
      </c>
      <c r="AL5" t="e">
        <f>AND(Setup!BF18,"AAAAAEe7ySU=")</f>
        <v>#VALUE!</v>
      </c>
      <c r="AM5">
        <f>IF(Setup!19:19,"AAAAAEe7ySY=",0)</f>
        <v>0</v>
      </c>
      <c r="AN5" t="e">
        <f>AND(Setup!A19,"AAAAAEe7ySc=")</f>
        <v>#VALUE!</v>
      </c>
      <c r="AO5" t="e">
        <f>AND(Setup!B19,"AAAAAEe7ySg=")</f>
        <v>#VALUE!</v>
      </c>
      <c r="AP5" t="b">
        <f>AND(Setup!C19,"AAAAAEe7ySk=")</f>
        <v>0</v>
      </c>
      <c r="AQ5" t="b">
        <f>AND(Setup!D19,"AAAAAEe7ySo=")</f>
        <v>1</v>
      </c>
      <c r="AR5" t="e">
        <f ca="1">AND(Setup!E19,"AAAAAEe7ySs=")</f>
        <v>#N/A</v>
      </c>
      <c r="AS5" t="b">
        <f>AND(Setup!F19,"AAAAAEe7ySw=")</f>
        <v>1</v>
      </c>
      <c r="AT5" t="b">
        <f>AND(Setup!G19,"AAAAAEe7yS0=")</f>
        <v>1</v>
      </c>
      <c r="AU5" t="e">
        <f ca="1">AND(Setup!H19,"AAAAAEe7yS4=")</f>
        <v>#N/A</v>
      </c>
      <c r="AV5" t="e">
        <f>AND(Setup!I19,"AAAAAEe7yS8=")</f>
        <v>#VALUE!</v>
      </c>
      <c r="AW5" t="b">
        <f>AND(Setup!J19,"AAAAAEe7yTA=")</f>
        <v>1</v>
      </c>
      <c r="AX5" t="e">
        <f>AND(Setup!K19,"AAAAAEe7yTE=")</f>
        <v>#VALUE!</v>
      </c>
      <c r="AY5" t="b">
        <f>AND(Setup!L19,"AAAAAEe7yTI=")</f>
        <v>1</v>
      </c>
      <c r="AZ5" t="e">
        <f>AND(Setup!M19,"AAAAAEe7yTM=")</f>
        <v>#VALUE!</v>
      </c>
      <c r="BA5" t="e">
        <f>AND(Setup!N19,"AAAAAEe7yTQ=")</f>
        <v>#VALUE!</v>
      </c>
      <c r="BB5" t="e">
        <f>AND(Setup!O19,"AAAAAEe7yTU=")</f>
        <v>#VALUE!</v>
      </c>
      <c r="BC5" t="e">
        <f>AND(Setup!P19,"AAAAAEe7yTY=")</f>
        <v>#VALUE!</v>
      </c>
      <c r="BD5" t="e">
        <f>AND(Setup!Q19,"AAAAAEe7yTc=")</f>
        <v>#VALUE!</v>
      </c>
      <c r="BE5" t="e">
        <f>AND(Setup!R19,"AAAAAEe7yTg=")</f>
        <v>#VALUE!</v>
      </c>
      <c r="BF5" t="e">
        <f>AND(Setup!S19,"AAAAAEe7yTk=")</f>
        <v>#VALUE!</v>
      </c>
      <c r="BG5" t="e">
        <f>AND(Setup!T19,"AAAAAEe7yTo=")</f>
        <v>#VALUE!</v>
      </c>
      <c r="BH5" t="e">
        <f>AND(Setup!U19,"AAAAAEe7yTs=")</f>
        <v>#VALUE!</v>
      </c>
      <c r="BI5" t="e">
        <f>AND(Setup!V19,"AAAAAEe7yTw=")</f>
        <v>#VALUE!</v>
      </c>
      <c r="BJ5" t="e">
        <f>AND(Setup!W19,"AAAAAEe7yT0=")</f>
        <v>#VALUE!</v>
      </c>
      <c r="BK5" t="e">
        <f>AND(Setup!X19,"AAAAAEe7yT4=")</f>
        <v>#VALUE!</v>
      </c>
      <c r="BL5" t="e">
        <f>AND(Setup!Y19,"AAAAAEe7yT8=")</f>
        <v>#VALUE!</v>
      </c>
      <c r="BM5" t="e">
        <f>AND(Setup!Z19,"AAAAAEe7yUA=")</f>
        <v>#VALUE!</v>
      </c>
      <c r="BN5" t="e">
        <f>AND(Setup!AA19,"AAAAAEe7yUE=")</f>
        <v>#VALUE!</v>
      </c>
      <c r="BO5" t="e">
        <f>AND(Setup!AB19,"AAAAAEe7yUI=")</f>
        <v>#VALUE!</v>
      </c>
      <c r="BP5" t="e">
        <f>AND(Setup!AC19,"AAAAAEe7yUM=")</f>
        <v>#VALUE!</v>
      </c>
      <c r="BQ5" t="e">
        <f>AND(Setup!AD19,"AAAAAEe7yUQ=")</f>
        <v>#VALUE!</v>
      </c>
      <c r="BR5" t="e">
        <f>AND(Setup!AE19,"AAAAAEe7yUU=")</f>
        <v>#VALUE!</v>
      </c>
      <c r="BS5" t="e">
        <f>AND(Setup!AF19,"AAAAAEe7yUY=")</f>
        <v>#VALUE!</v>
      </c>
      <c r="BT5" t="e">
        <f>AND(Setup!AG19,"AAAAAEe7yUc=")</f>
        <v>#VALUE!</v>
      </c>
      <c r="BU5" t="e">
        <f>AND(Setup!AH19,"AAAAAEe7yUg=")</f>
        <v>#VALUE!</v>
      </c>
      <c r="BV5" t="e">
        <f>AND(Setup!AI19,"AAAAAEe7yUk=")</f>
        <v>#VALUE!</v>
      </c>
      <c r="BW5" t="e">
        <f>AND(Setup!AJ19,"AAAAAEe7yUo=")</f>
        <v>#VALUE!</v>
      </c>
      <c r="BX5" t="e">
        <f>AND(Setup!AK19,"AAAAAEe7yUs=")</f>
        <v>#VALUE!</v>
      </c>
      <c r="BY5" t="e">
        <f>AND(Setup!AL19,"AAAAAEe7yUw=")</f>
        <v>#VALUE!</v>
      </c>
      <c r="BZ5" t="e">
        <f>AND(Setup!AM19,"AAAAAEe7yU0=")</f>
        <v>#VALUE!</v>
      </c>
      <c r="CA5" t="e">
        <f>AND(Setup!AN19,"AAAAAEe7yU4=")</f>
        <v>#VALUE!</v>
      </c>
      <c r="CB5" t="e">
        <f>AND(Setup!AO19,"AAAAAEe7yU8=")</f>
        <v>#VALUE!</v>
      </c>
      <c r="CC5" t="e">
        <f>AND(Setup!AP19,"AAAAAEe7yVA=")</f>
        <v>#VALUE!</v>
      </c>
      <c r="CD5" t="e">
        <f>AND(Setup!AQ19,"AAAAAEe7yVE=")</f>
        <v>#VALUE!</v>
      </c>
      <c r="CE5" t="e">
        <f>AND(Setup!AR19,"AAAAAEe7yVI=")</f>
        <v>#VALUE!</v>
      </c>
      <c r="CF5" t="e">
        <f>AND(Setup!AS19,"AAAAAEe7yVM=")</f>
        <v>#VALUE!</v>
      </c>
      <c r="CG5" t="e">
        <f>AND(Setup!AT19,"AAAAAEe7yVQ=")</f>
        <v>#VALUE!</v>
      </c>
      <c r="CH5" t="e">
        <f>AND(Setup!AU19,"AAAAAEe7yVU=")</f>
        <v>#VALUE!</v>
      </c>
      <c r="CI5" t="e">
        <f>AND(Setup!AV19,"AAAAAEe7yVY=")</f>
        <v>#VALUE!</v>
      </c>
      <c r="CJ5" t="e">
        <f>AND(Setup!AW19,"AAAAAEe7yVc=")</f>
        <v>#VALUE!</v>
      </c>
      <c r="CK5" t="e">
        <f>AND(Setup!AX19,"AAAAAEe7yVg=")</f>
        <v>#VALUE!</v>
      </c>
      <c r="CL5" t="e">
        <f>AND(Setup!AY19,"AAAAAEe7yVk=")</f>
        <v>#VALUE!</v>
      </c>
      <c r="CM5" t="e">
        <f>AND(Setup!AZ19,"AAAAAEe7yVo=")</f>
        <v>#VALUE!</v>
      </c>
      <c r="CN5" t="e">
        <f>AND(Setup!BA19,"AAAAAEe7yVs=")</f>
        <v>#VALUE!</v>
      </c>
      <c r="CO5" t="e">
        <f>AND(Setup!BB19,"AAAAAEe7yVw=")</f>
        <v>#VALUE!</v>
      </c>
      <c r="CP5" t="e">
        <f>AND(Setup!BC19,"AAAAAEe7yV0=")</f>
        <v>#VALUE!</v>
      </c>
      <c r="CQ5" t="e">
        <f>AND(Setup!BD19,"AAAAAEe7yV4=")</f>
        <v>#VALUE!</v>
      </c>
      <c r="CR5" t="e">
        <f>AND(Setup!BE19,"AAAAAEe7yV8=")</f>
        <v>#VALUE!</v>
      </c>
      <c r="CS5" t="e">
        <f>AND(Setup!BF19,"AAAAAEe7yWA=")</f>
        <v>#VALUE!</v>
      </c>
      <c r="CT5">
        <f>IF(Setup!20:20,"AAAAAEe7yWE=",0)</f>
        <v>0</v>
      </c>
      <c r="CU5" t="e">
        <f>AND(Setup!A20,"AAAAAEe7yWI=")</f>
        <v>#VALUE!</v>
      </c>
      <c r="CV5" t="e">
        <f>AND(Setup!B20,"AAAAAEe7yWM=")</f>
        <v>#VALUE!</v>
      </c>
      <c r="CW5" t="b">
        <f>AND(Setup!C20,"AAAAAEe7yWQ=")</f>
        <v>0</v>
      </c>
      <c r="CX5" t="b">
        <f>AND(Setup!D20,"AAAAAEe7yWU=")</f>
        <v>1</v>
      </c>
      <c r="CY5" t="e">
        <f ca="1">AND(Setup!E20,"AAAAAEe7yWY=")</f>
        <v>#N/A</v>
      </c>
      <c r="CZ5" t="b">
        <f>AND(Setup!F20,"AAAAAEe7yWc=")</f>
        <v>1</v>
      </c>
      <c r="DA5" t="b">
        <f>AND(Setup!G20,"AAAAAEe7yWg=")</f>
        <v>1</v>
      </c>
      <c r="DB5" t="e">
        <f ca="1">AND(Setup!H20,"AAAAAEe7yWk=")</f>
        <v>#N/A</v>
      </c>
      <c r="DC5" t="e">
        <f>AND(Setup!I20,"AAAAAEe7yWo=")</f>
        <v>#VALUE!</v>
      </c>
      <c r="DD5" t="b">
        <f>AND(Setup!J20,"AAAAAEe7yWs=")</f>
        <v>1</v>
      </c>
      <c r="DE5" t="e">
        <f>AND(Setup!K20,"AAAAAEe7yWw=")</f>
        <v>#VALUE!</v>
      </c>
      <c r="DF5" t="b">
        <f>AND(Setup!L20,"AAAAAEe7yW0=")</f>
        <v>1</v>
      </c>
      <c r="DG5" t="e">
        <f>AND(Setup!M20,"AAAAAEe7yW4=")</f>
        <v>#VALUE!</v>
      </c>
      <c r="DH5" t="e">
        <f>AND(Setup!N20,"AAAAAEe7yW8=")</f>
        <v>#VALUE!</v>
      </c>
      <c r="DI5" t="e">
        <f>AND(Setup!O20,"AAAAAEe7yXA=")</f>
        <v>#VALUE!</v>
      </c>
      <c r="DJ5" t="e">
        <f>AND(Setup!P20,"AAAAAEe7yXE=")</f>
        <v>#VALUE!</v>
      </c>
      <c r="DK5" t="e">
        <f>AND(Setup!Q20,"AAAAAEe7yXI=")</f>
        <v>#VALUE!</v>
      </c>
      <c r="DL5" t="e">
        <f>AND(Setup!R20,"AAAAAEe7yXM=")</f>
        <v>#VALUE!</v>
      </c>
      <c r="DM5" t="e">
        <f>AND(Setup!S20,"AAAAAEe7yXQ=")</f>
        <v>#VALUE!</v>
      </c>
      <c r="DN5" t="e">
        <f>AND(Setup!T20,"AAAAAEe7yXU=")</f>
        <v>#VALUE!</v>
      </c>
      <c r="DO5" t="e">
        <f>AND(Setup!U20,"AAAAAEe7yXY=")</f>
        <v>#VALUE!</v>
      </c>
      <c r="DP5" t="e">
        <f>AND(Setup!V20,"AAAAAEe7yXc=")</f>
        <v>#VALUE!</v>
      </c>
      <c r="DQ5" t="e">
        <f>AND(Setup!W20,"AAAAAEe7yXg=")</f>
        <v>#VALUE!</v>
      </c>
      <c r="DR5" t="e">
        <f>AND(Setup!X20,"AAAAAEe7yXk=")</f>
        <v>#VALUE!</v>
      </c>
      <c r="DS5" t="e">
        <f>AND(Setup!Y20,"AAAAAEe7yXo=")</f>
        <v>#VALUE!</v>
      </c>
      <c r="DT5" t="e">
        <f>AND(Setup!Z20,"AAAAAEe7yXs=")</f>
        <v>#VALUE!</v>
      </c>
      <c r="DU5" t="e">
        <f>AND(Setup!AA20,"AAAAAEe7yXw=")</f>
        <v>#VALUE!</v>
      </c>
      <c r="DV5" t="e">
        <f>AND(Setup!AB20,"AAAAAEe7yX0=")</f>
        <v>#VALUE!</v>
      </c>
      <c r="DW5" t="e">
        <f>AND(Setup!AC20,"AAAAAEe7yX4=")</f>
        <v>#VALUE!</v>
      </c>
      <c r="DX5" t="e">
        <f>AND(Setup!AD20,"AAAAAEe7yX8=")</f>
        <v>#VALUE!</v>
      </c>
      <c r="DY5" t="e">
        <f>AND(Setup!AE20,"AAAAAEe7yYA=")</f>
        <v>#VALUE!</v>
      </c>
      <c r="DZ5" t="e">
        <f>AND(Setup!AF20,"AAAAAEe7yYE=")</f>
        <v>#VALUE!</v>
      </c>
      <c r="EA5" t="e">
        <f>AND(Setup!AG20,"AAAAAEe7yYI=")</f>
        <v>#VALUE!</v>
      </c>
      <c r="EB5" t="e">
        <f>AND(Setup!AH20,"AAAAAEe7yYM=")</f>
        <v>#VALUE!</v>
      </c>
      <c r="EC5" t="e">
        <f>AND(Setup!AI20,"AAAAAEe7yYQ=")</f>
        <v>#VALUE!</v>
      </c>
      <c r="ED5" t="e">
        <f>AND(Setup!AJ20,"AAAAAEe7yYU=")</f>
        <v>#VALUE!</v>
      </c>
      <c r="EE5" t="e">
        <f>AND(Setup!AK20,"AAAAAEe7yYY=")</f>
        <v>#VALUE!</v>
      </c>
      <c r="EF5" t="e">
        <f>AND(Setup!AL20,"AAAAAEe7yYc=")</f>
        <v>#VALUE!</v>
      </c>
      <c r="EG5" t="e">
        <f>AND(Setup!AM20,"AAAAAEe7yYg=")</f>
        <v>#VALUE!</v>
      </c>
      <c r="EH5" t="e">
        <f>AND(Setup!AN20,"AAAAAEe7yYk=")</f>
        <v>#VALUE!</v>
      </c>
      <c r="EI5" t="e">
        <f>AND(Setup!AO20,"AAAAAEe7yYo=")</f>
        <v>#VALUE!</v>
      </c>
      <c r="EJ5" t="e">
        <f>AND(Setup!AP20,"AAAAAEe7yYs=")</f>
        <v>#VALUE!</v>
      </c>
      <c r="EK5" t="e">
        <f>AND(Setup!AQ20,"AAAAAEe7yYw=")</f>
        <v>#VALUE!</v>
      </c>
      <c r="EL5" t="e">
        <f>AND(Setup!AR20,"AAAAAEe7yY0=")</f>
        <v>#VALUE!</v>
      </c>
      <c r="EM5" t="e">
        <f>AND(Setup!AS20,"AAAAAEe7yY4=")</f>
        <v>#VALUE!</v>
      </c>
      <c r="EN5" t="e">
        <f>AND(Setup!AT20,"AAAAAEe7yY8=")</f>
        <v>#VALUE!</v>
      </c>
      <c r="EO5" t="e">
        <f>AND(Setup!AU20,"AAAAAEe7yZA=")</f>
        <v>#VALUE!</v>
      </c>
      <c r="EP5" t="e">
        <f>AND(Setup!AV20,"AAAAAEe7yZE=")</f>
        <v>#VALUE!</v>
      </c>
      <c r="EQ5" t="e">
        <f>AND(Setup!AW20,"AAAAAEe7yZI=")</f>
        <v>#VALUE!</v>
      </c>
      <c r="ER5" t="e">
        <f>AND(Setup!AX20,"AAAAAEe7yZM=")</f>
        <v>#VALUE!</v>
      </c>
      <c r="ES5" t="e">
        <f>AND(Setup!AY20,"AAAAAEe7yZQ=")</f>
        <v>#VALUE!</v>
      </c>
      <c r="ET5" t="e">
        <f>AND(Setup!AZ20,"AAAAAEe7yZU=")</f>
        <v>#VALUE!</v>
      </c>
      <c r="EU5" t="e">
        <f>AND(Setup!BA20,"AAAAAEe7yZY=")</f>
        <v>#VALUE!</v>
      </c>
      <c r="EV5" t="e">
        <f>AND(Setup!BB20,"AAAAAEe7yZc=")</f>
        <v>#VALUE!</v>
      </c>
      <c r="EW5" t="e">
        <f>AND(Setup!BC20,"AAAAAEe7yZg=")</f>
        <v>#VALUE!</v>
      </c>
      <c r="EX5" t="e">
        <f>AND(Setup!BD20,"AAAAAEe7yZk=")</f>
        <v>#VALUE!</v>
      </c>
      <c r="EY5" t="e">
        <f>AND(Setup!BE20,"AAAAAEe7yZo=")</f>
        <v>#VALUE!</v>
      </c>
      <c r="EZ5" t="e">
        <f>AND(Setup!BF20,"AAAAAEe7yZs=")</f>
        <v>#VALUE!</v>
      </c>
      <c r="FA5">
        <f>IF(Setup!21:21,"AAAAAEe7yZw=",0)</f>
        <v>0</v>
      </c>
      <c r="FB5" t="e">
        <f>AND(Setup!A21,"AAAAAEe7yZ0=")</f>
        <v>#VALUE!</v>
      </c>
      <c r="FC5" t="e">
        <f>AND(Setup!B21,"AAAAAEe7yZ4=")</f>
        <v>#VALUE!</v>
      </c>
      <c r="FD5" t="e">
        <f>AND(Setup!C21,"AAAAAEe7yZ8=")</f>
        <v>#VALUE!</v>
      </c>
      <c r="FE5" t="e">
        <f>AND(Setup!D21,"AAAAAEe7yaA=")</f>
        <v>#VALUE!</v>
      </c>
      <c r="FF5" t="e">
        <f>AND(Setup!E21,"AAAAAEe7yaE=")</f>
        <v>#VALUE!</v>
      </c>
      <c r="FG5" t="b">
        <f>AND(Setup!F21,"AAAAAEe7yaI=")</f>
        <v>1</v>
      </c>
      <c r="FH5" t="b">
        <f>AND(Setup!G21,"AAAAAEe7yaM=")</f>
        <v>1</v>
      </c>
      <c r="FI5" t="e">
        <f ca="1">AND(Setup!H21,"AAAAAEe7yaQ=")</f>
        <v>#N/A</v>
      </c>
      <c r="FJ5" t="e">
        <f>AND(Setup!I21,"AAAAAEe7yaU=")</f>
        <v>#VALUE!</v>
      </c>
      <c r="FK5" t="b">
        <f>AND(Setup!J21,"AAAAAEe7yaY=")</f>
        <v>1</v>
      </c>
      <c r="FL5" t="e">
        <f>AND(Setup!K21,"AAAAAEe7yac=")</f>
        <v>#VALUE!</v>
      </c>
      <c r="FM5" t="e">
        <f>AND(Setup!L21,"AAAAAEe7yag=")</f>
        <v>#VALUE!</v>
      </c>
      <c r="FN5" t="e">
        <f>AND(Setup!M21,"AAAAAEe7yak=")</f>
        <v>#VALUE!</v>
      </c>
      <c r="FO5" t="e">
        <f>AND(Setup!N21,"AAAAAEe7yao=")</f>
        <v>#VALUE!</v>
      </c>
      <c r="FP5" t="e">
        <f>AND(Setup!O21,"AAAAAEe7yas=")</f>
        <v>#VALUE!</v>
      </c>
      <c r="FQ5" t="e">
        <f>AND(Setup!P21,"AAAAAEe7yaw=")</f>
        <v>#VALUE!</v>
      </c>
      <c r="FR5" t="e">
        <f>AND(Setup!Q21,"AAAAAEe7ya0=")</f>
        <v>#VALUE!</v>
      </c>
      <c r="FS5" t="e">
        <f>AND(Setup!R21,"AAAAAEe7ya4=")</f>
        <v>#VALUE!</v>
      </c>
      <c r="FT5" t="e">
        <f>AND(Setup!S21,"AAAAAEe7ya8=")</f>
        <v>#VALUE!</v>
      </c>
      <c r="FU5" t="e">
        <f>AND(Setup!T21,"AAAAAEe7ybA=")</f>
        <v>#VALUE!</v>
      </c>
      <c r="FV5" t="e">
        <f>AND(Setup!U21,"AAAAAEe7ybE=")</f>
        <v>#VALUE!</v>
      </c>
      <c r="FW5" t="e">
        <f>AND(Setup!V21,"AAAAAEe7ybI=")</f>
        <v>#VALUE!</v>
      </c>
      <c r="FX5" t="e">
        <f>AND(Setup!W21,"AAAAAEe7ybM=")</f>
        <v>#VALUE!</v>
      </c>
      <c r="FY5" t="e">
        <f>AND(Setup!X21,"AAAAAEe7ybQ=")</f>
        <v>#VALUE!</v>
      </c>
      <c r="FZ5" t="e">
        <f>AND(Setup!Y21,"AAAAAEe7ybU=")</f>
        <v>#VALUE!</v>
      </c>
      <c r="GA5" t="e">
        <f>AND(Setup!Z21,"AAAAAEe7ybY=")</f>
        <v>#VALUE!</v>
      </c>
      <c r="GB5" t="e">
        <f>AND(Setup!AA21,"AAAAAEe7ybc=")</f>
        <v>#VALUE!</v>
      </c>
      <c r="GC5" t="e">
        <f>AND(Setup!AB21,"AAAAAEe7ybg=")</f>
        <v>#VALUE!</v>
      </c>
      <c r="GD5" t="e">
        <f>AND(Setup!AC21,"AAAAAEe7ybk=")</f>
        <v>#VALUE!</v>
      </c>
      <c r="GE5" t="e">
        <f>AND(Setup!AD21,"AAAAAEe7ybo=")</f>
        <v>#VALUE!</v>
      </c>
      <c r="GF5" t="e">
        <f>AND(Setup!AE21,"AAAAAEe7ybs=")</f>
        <v>#VALUE!</v>
      </c>
      <c r="GG5" t="e">
        <f>AND(Setup!AF21,"AAAAAEe7ybw=")</f>
        <v>#VALUE!</v>
      </c>
      <c r="GH5" t="e">
        <f>AND(Setup!AG21,"AAAAAEe7yb0=")</f>
        <v>#VALUE!</v>
      </c>
      <c r="GI5" t="e">
        <f>AND(Setup!AH21,"AAAAAEe7yb4=")</f>
        <v>#VALUE!</v>
      </c>
      <c r="GJ5" t="e">
        <f>AND(Setup!AI21,"AAAAAEe7yb8=")</f>
        <v>#VALUE!</v>
      </c>
      <c r="GK5" t="e">
        <f>AND(Setup!AJ21,"AAAAAEe7ycA=")</f>
        <v>#VALUE!</v>
      </c>
      <c r="GL5" t="e">
        <f>AND(Setup!AK21,"AAAAAEe7ycE=")</f>
        <v>#VALUE!</v>
      </c>
      <c r="GM5" t="e">
        <f>AND(Setup!AL21,"AAAAAEe7ycI=")</f>
        <v>#VALUE!</v>
      </c>
      <c r="GN5" t="e">
        <f>AND(Setup!AM21,"AAAAAEe7ycM=")</f>
        <v>#VALUE!</v>
      </c>
      <c r="GO5" t="e">
        <f>AND(Setup!AN21,"AAAAAEe7ycQ=")</f>
        <v>#VALUE!</v>
      </c>
      <c r="GP5" t="e">
        <f>AND(Setup!AO21,"AAAAAEe7ycU=")</f>
        <v>#VALUE!</v>
      </c>
      <c r="GQ5" t="e">
        <f>AND(Setup!AP21,"AAAAAEe7ycY=")</f>
        <v>#VALUE!</v>
      </c>
      <c r="GR5" t="e">
        <f>AND(Setup!AQ21,"AAAAAEe7ycc=")</f>
        <v>#VALUE!</v>
      </c>
      <c r="GS5" t="e">
        <f>AND(Setup!AR21,"AAAAAEe7ycg=")</f>
        <v>#VALUE!</v>
      </c>
      <c r="GT5" t="e">
        <f>AND(Setup!AS21,"AAAAAEe7yck=")</f>
        <v>#VALUE!</v>
      </c>
      <c r="GU5" t="e">
        <f>AND(Setup!AT21,"AAAAAEe7yco=")</f>
        <v>#VALUE!</v>
      </c>
      <c r="GV5" t="e">
        <f>AND(Setup!AU21,"AAAAAEe7ycs=")</f>
        <v>#VALUE!</v>
      </c>
      <c r="GW5" t="e">
        <f>AND(Setup!AV21,"AAAAAEe7ycw=")</f>
        <v>#VALUE!</v>
      </c>
      <c r="GX5" t="e">
        <f>AND(Setup!AW21,"AAAAAEe7yc0=")</f>
        <v>#VALUE!</v>
      </c>
      <c r="GY5" t="e">
        <f>AND(Setup!AX21,"AAAAAEe7yc4=")</f>
        <v>#VALUE!</v>
      </c>
      <c r="GZ5" t="e">
        <f>AND(Setup!AY21,"AAAAAEe7yc8=")</f>
        <v>#VALUE!</v>
      </c>
      <c r="HA5" t="e">
        <f>AND(Setup!AZ21,"AAAAAEe7ydA=")</f>
        <v>#VALUE!</v>
      </c>
      <c r="HB5" t="e">
        <f>AND(Setup!BA21,"AAAAAEe7ydE=")</f>
        <v>#VALUE!</v>
      </c>
      <c r="HC5" t="e">
        <f>AND(Setup!BB21,"AAAAAEe7ydI=")</f>
        <v>#VALUE!</v>
      </c>
      <c r="HD5" t="e">
        <f>AND(Setup!BC21,"AAAAAEe7ydM=")</f>
        <v>#VALUE!</v>
      </c>
      <c r="HE5" t="e">
        <f>AND(Setup!BD21,"AAAAAEe7ydQ=")</f>
        <v>#VALUE!</v>
      </c>
      <c r="HF5" t="e">
        <f>AND(Setup!BE21,"AAAAAEe7ydU=")</f>
        <v>#VALUE!</v>
      </c>
      <c r="HG5" t="e">
        <f>AND(Setup!BF21,"AAAAAEe7ydY=")</f>
        <v>#VALUE!</v>
      </c>
      <c r="HH5">
        <f>IF(Setup!22:22,"AAAAAEe7ydc=",0)</f>
        <v>0</v>
      </c>
      <c r="HI5" t="e">
        <f>AND(Setup!A22,"AAAAAEe7ydg=")</f>
        <v>#VALUE!</v>
      </c>
      <c r="HJ5" t="e">
        <f>AND(Setup!B22,"AAAAAEe7ydk=")</f>
        <v>#VALUE!</v>
      </c>
      <c r="HK5" t="e">
        <f>AND(Setup!C22,"AAAAAEe7ydo=")</f>
        <v>#VALUE!</v>
      </c>
      <c r="HL5" t="e">
        <f>AND(Setup!D22,"AAAAAEe7yds=")</f>
        <v>#VALUE!</v>
      </c>
      <c r="HM5" t="b">
        <f>AND(Setup!E22,"AAAAAEe7ydw=")</f>
        <v>1</v>
      </c>
      <c r="HN5" t="e">
        <f>AND(Setup!F22,"AAAAAEe7yd0=")</f>
        <v>#VALUE!</v>
      </c>
      <c r="HO5" t="e">
        <f>AND(Setup!G22,"AAAAAEe7yd4=")</f>
        <v>#VALUE!</v>
      </c>
      <c r="HP5" t="b">
        <f>AND(Setup!H22,"AAAAAEe7yd8=")</f>
        <v>1</v>
      </c>
      <c r="HQ5" t="e">
        <f>AND(Setup!I22,"AAAAAEe7yeA=")</f>
        <v>#VALUE!</v>
      </c>
      <c r="HR5" t="b">
        <f>AND(Setup!J22,"AAAAAEe7yeE=")</f>
        <v>1</v>
      </c>
      <c r="HS5" t="e">
        <f>AND(Setup!K22,"AAAAAEe7yeI=")</f>
        <v>#VALUE!</v>
      </c>
      <c r="HT5" t="b">
        <f>AND(Setup!L22,"AAAAAEe7yeM=")</f>
        <v>1</v>
      </c>
      <c r="HU5" t="e">
        <f>AND(Setup!M22,"AAAAAEe7yeQ=")</f>
        <v>#VALUE!</v>
      </c>
      <c r="HV5" t="e">
        <f>AND(Setup!N22,"AAAAAEe7yeU=")</f>
        <v>#VALUE!</v>
      </c>
      <c r="HW5" t="e">
        <f>AND(Setup!O22,"AAAAAEe7yeY=")</f>
        <v>#VALUE!</v>
      </c>
      <c r="HX5" t="e">
        <f>AND(Setup!P22,"AAAAAEe7yec=")</f>
        <v>#VALUE!</v>
      </c>
      <c r="HY5" t="e">
        <f>AND(Setup!Q22,"AAAAAEe7yeg=")</f>
        <v>#VALUE!</v>
      </c>
      <c r="HZ5" t="e">
        <f>AND(Setup!R22,"AAAAAEe7yek=")</f>
        <v>#VALUE!</v>
      </c>
      <c r="IA5" t="e">
        <f>AND(Setup!S22,"AAAAAEe7yeo=")</f>
        <v>#VALUE!</v>
      </c>
      <c r="IB5" t="e">
        <f>AND(Setup!T22,"AAAAAEe7yes=")</f>
        <v>#VALUE!</v>
      </c>
      <c r="IC5" t="e">
        <f>AND(Setup!U22,"AAAAAEe7yew=")</f>
        <v>#VALUE!</v>
      </c>
      <c r="ID5" t="e">
        <f>AND(Setup!V22,"AAAAAEe7ye0=")</f>
        <v>#VALUE!</v>
      </c>
      <c r="IE5" t="e">
        <f>AND(Setup!W22,"AAAAAEe7ye4=")</f>
        <v>#VALUE!</v>
      </c>
      <c r="IF5" t="e">
        <f>AND(Setup!X22,"AAAAAEe7ye8=")</f>
        <v>#VALUE!</v>
      </c>
      <c r="IG5" t="e">
        <f>AND(Setup!Y22,"AAAAAEe7yfA=")</f>
        <v>#VALUE!</v>
      </c>
      <c r="IH5" t="e">
        <f>AND(Setup!Z22,"AAAAAEe7yfE=")</f>
        <v>#VALUE!</v>
      </c>
      <c r="II5" t="e">
        <f>AND(Setup!AA22,"AAAAAEe7yfI=")</f>
        <v>#VALUE!</v>
      </c>
      <c r="IJ5" t="e">
        <f>AND(Setup!AB22,"AAAAAEe7yfM=")</f>
        <v>#VALUE!</v>
      </c>
      <c r="IK5" t="e">
        <f>AND(Setup!AC22,"AAAAAEe7yfQ=")</f>
        <v>#VALUE!</v>
      </c>
      <c r="IL5" t="e">
        <f>AND(Setup!AD22,"AAAAAEe7yfU=")</f>
        <v>#VALUE!</v>
      </c>
      <c r="IM5" t="e">
        <f>AND(Setup!AE22,"AAAAAEe7yfY=")</f>
        <v>#VALUE!</v>
      </c>
      <c r="IN5" t="e">
        <f>AND(Setup!AF22,"AAAAAEe7yfc=")</f>
        <v>#VALUE!</v>
      </c>
      <c r="IO5" t="e">
        <f>AND(Setup!AG22,"AAAAAEe7yfg=")</f>
        <v>#VALUE!</v>
      </c>
      <c r="IP5" t="e">
        <f>AND(Setup!AH22,"AAAAAEe7yfk=")</f>
        <v>#VALUE!</v>
      </c>
      <c r="IQ5" t="e">
        <f>AND(Setup!AI22,"AAAAAEe7yfo=")</f>
        <v>#VALUE!</v>
      </c>
      <c r="IR5" t="e">
        <f>AND(Setup!AJ22,"AAAAAEe7yfs=")</f>
        <v>#VALUE!</v>
      </c>
      <c r="IS5" t="e">
        <f>AND(Setup!AK22,"AAAAAEe7yfw=")</f>
        <v>#VALUE!</v>
      </c>
      <c r="IT5" t="e">
        <f>AND(Setup!AL22,"AAAAAEe7yf0=")</f>
        <v>#VALUE!</v>
      </c>
      <c r="IU5" t="e">
        <f>AND(Setup!AM22,"AAAAAEe7yf4=")</f>
        <v>#VALUE!</v>
      </c>
      <c r="IV5" t="e">
        <f>AND(Setup!AN22,"AAAAAEe7yf8=")</f>
        <v>#VALUE!</v>
      </c>
    </row>
    <row r="6" spans="1:256">
      <c r="A6" t="e">
        <f>AND(Setup!AO22,"AAAAAH/pOgA=")</f>
        <v>#VALUE!</v>
      </c>
      <c r="B6" t="e">
        <f>AND(Setup!AP22,"AAAAAH/pOgE=")</f>
        <v>#VALUE!</v>
      </c>
      <c r="C6" t="e">
        <f>AND(Setup!AQ22,"AAAAAH/pOgI=")</f>
        <v>#VALUE!</v>
      </c>
      <c r="D6" t="e">
        <f>AND(Setup!AR22,"AAAAAH/pOgM=")</f>
        <v>#VALUE!</v>
      </c>
      <c r="E6" t="e">
        <f>AND(Setup!AS22,"AAAAAH/pOgQ=")</f>
        <v>#VALUE!</v>
      </c>
      <c r="F6" t="e">
        <f>AND(Setup!AT22,"AAAAAH/pOgU=")</f>
        <v>#VALUE!</v>
      </c>
      <c r="G6" t="e">
        <f>AND(Setup!AU22,"AAAAAH/pOgY=")</f>
        <v>#VALUE!</v>
      </c>
      <c r="H6" t="e">
        <f>AND(Setup!AV22,"AAAAAH/pOgc=")</f>
        <v>#VALUE!</v>
      </c>
      <c r="I6" t="e">
        <f>AND(Setup!AW22,"AAAAAH/pOgg=")</f>
        <v>#VALUE!</v>
      </c>
      <c r="J6" t="e">
        <f>AND(Setup!AX22,"AAAAAH/pOgk=")</f>
        <v>#VALUE!</v>
      </c>
      <c r="K6" t="e">
        <f>AND(Setup!AY22,"AAAAAH/pOgo=")</f>
        <v>#VALUE!</v>
      </c>
      <c r="L6" t="e">
        <f>AND(Setup!AZ22,"AAAAAH/pOgs=")</f>
        <v>#VALUE!</v>
      </c>
      <c r="M6" t="e">
        <f>AND(Setup!BA22,"AAAAAH/pOgw=")</f>
        <v>#VALUE!</v>
      </c>
      <c r="N6" t="e">
        <f>AND(Setup!BB22,"AAAAAH/pOg0=")</f>
        <v>#VALUE!</v>
      </c>
      <c r="O6" t="e">
        <f>AND(Setup!BC22,"AAAAAH/pOg4=")</f>
        <v>#VALUE!</v>
      </c>
      <c r="P6" t="e">
        <f>AND(Setup!BD22,"AAAAAH/pOg8=")</f>
        <v>#VALUE!</v>
      </c>
      <c r="Q6" t="e">
        <f>AND(Setup!BE22,"AAAAAH/pOhA=")</f>
        <v>#VALUE!</v>
      </c>
      <c r="R6" t="e">
        <f>AND(Setup!BF22,"AAAAAH/pOhE=")</f>
        <v>#VALUE!</v>
      </c>
      <c r="S6">
        <f>IF(Setup!23:23,"AAAAAH/pOhI=",0)</f>
        <v>0</v>
      </c>
      <c r="T6" t="e">
        <f>AND(Setup!A23,"AAAAAH/pOhM=")</f>
        <v>#VALUE!</v>
      </c>
      <c r="U6" t="e">
        <f>AND(Setup!B23,"AAAAAH/pOhQ=")</f>
        <v>#VALUE!</v>
      </c>
      <c r="V6" t="e">
        <f>AND(Setup!C23,"AAAAAH/pOhU=")</f>
        <v>#VALUE!</v>
      </c>
      <c r="W6" t="b">
        <f>AND(Setup!D23,"AAAAAH/pOhY=")</f>
        <v>1</v>
      </c>
      <c r="X6" t="e">
        <f>AND(Setup!E23,"AAAAAH/pOhc=")</f>
        <v>#VALUE!</v>
      </c>
      <c r="Y6" t="e">
        <f>AND(Setup!F23,"AAAAAH/pOhg=")</f>
        <v>#VALUE!</v>
      </c>
      <c r="Z6" t="b">
        <f>AND(Setup!G23,"AAAAAH/pOhk=")</f>
        <v>1</v>
      </c>
      <c r="AA6" t="e">
        <f>AND(Setup!H23,"AAAAAH/pOho=")</f>
        <v>#VALUE!</v>
      </c>
      <c r="AB6" t="e">
        <f>AND(Setup!I23,"AAAAAH/pOhs=")</f>
        <v>#VALUE!</v>
      </c>
      <c r="AC6" t="b">
        <f>AND(Setup!J23,"AAAAAH/pOhw=")</f>
        <v>1</v>
      </c>
      <c r="AD6" t="e">
        <f>AND(Setup!K23,"AAAAAH/pOh0=")</f>
        <v>#VALUE!</v>
      </c>
      <c r="AE6" t="b">
        <f>AND(Setup!L23,"AAAAAH/pOh4=")</f>
        <v>1</v>
      </c>
      <c r="AF6" t="e">
        <f>AND(Setup!M23,"AAAAAH/pOh8=")</f>
        <v>#VALUE!</v>
      </c>
      <c r="AG6" t="e">
        <f>AND(Setup!N23,"AAAAAH/pOiA=")</f>
        <v>#VALUE!</v>
      </c>
      <c r="AH6" t="e">
        <f>AND(Setup!O23,"AAAAAH/pOiE=")</f>
        <v>#VALUE!</v>
      </c>
      <c r="AI6" t="e">
        <f>AND(Setup!P23,"AAAAAH/pOiI=")</f>
        <v>#VALUE!</v>
      </c>
      <c r="AJ6" t="e">
        <f>AND(Setup!Q23,"AAAAAH/pOiM=")</f>
        <v>#VALUE!</v>
      </c>
      <c r="AK6" t="e">
        <f>AND(Setup!R23,"AAAAAH/pOiQ=")</f>
        <v>#VALUE!</v>
      </c>
      <c r="AL6" t="e">
        <f>AND(Setup!S23,"AAAAAH/pOiU=")</f>
        <v>#VALUE!</v>
      </c>
      <c r="AM6" t="e">
        <f>AND(Setup!T23,"AAAAAH/pOiY=")</f>
        <v>#VALUE!</v>
      </c>
      <c r="AN6" t="e">
        <f>AND(Setup!U23,"AAAAAH/pOic=")</f>
        <v>#VALUE!</v>
      </c>
      <c r="AO6" t="e">
        <f>AND(Setup!V23,"AAAAAH/pOig=")</f>
        <v>#VALUE!</v>
      </c>
      <c r="AP6" t="e">
        <f>AND(Setup!W23,"AAAAAH/pOik=")</f>
        <v>#VALUE!</v>
      </c>
      <c r="AQ6" t="e">
        <f>AND(Setup!X23,"AAAAAH/pOio=")</f>
        <v>#VALUE!</v>
      </c>
      <c r="AR6" t="e">
        <f>AND(Setup!Y23,"AAAAAH/pOis=")</f>
        <v>#VALUE!</v>
      </c>
      <c r="AS6" t="e">
        <f>AND(Setup!Z23,"AAAAAH/pOiw=")</f>
        <v>#VALUE!</v>
      </c>
      <c r="AT6" t="e">
        <f>AND(Setup!AA23,"AAAAAH/pOi0=")</f>
        <v>#VALUE!</v>
      </c>
      <c r="AU6" t="e">
        <f>AND(Setup!AB23,"AAAAAH/pOi4=")</f>
        <v>#VALUE!</v>
      </c>
      <c r="AV6" t="e">
        <f>AND(Setup!AC23,"AAAAAH/pOi8=")</f>
        <v>#VALUE!</v>
      </c>
      <c r="AW6" t="e">
        <f>AND(Setup!AD23,"AAAAAH/pOjA=")</f>
        <v>#VALUE!</v>
      </c>
      <c r="AX6" t="e">
        <f>AND(Setup!AE23,"AAAAAH/pOjE=")</f>
        <v>#VALUE!</v>
      </c>
      <c r="AY6" t="e">
        <f>AND(Setup!AF23,"AAAAAH/pOjI=")</f>
        <v>#VALUE!</v>
      </c>
      <c r="AZ6" t="e">
        <f>AND(Setup!AG23,"AAAAAH/pOjM=")</f>
        <v>#VALUE!</v>
      </c>
      <c r="BA6" t="e">
        <f>AND(Setup!AH23,"AAAAAH/pOjQ=")</f>
        <v>#VALUE!</v>
      </c>
      <c r="BB6" t="e">
        <f>AND(Setup!AI23,"AAAAAH/pOjU=")</f>
        <v>#VALUE!</v>
      </c>
      <c r="BC6" t="e">
        <f>AND(Setup!AJ23,"AAAAAH/pOjY=")</f>
        <v>#VALUE!</v>
      </c>
      <c r="BD6" t="e">
        <f>AND(Setup!AK23,"AAAAAH/pOjc=")</f>
        <v>#VALUE!</v>
      </c>
      <c r="BE6" t="e">
        <f>AND(Setup!AL23,"AAAAAH/pOjg=")</f>
        <v>#VALUE!</v>
      </c>
      <c r="BF6" t="e">
        <f>AND(Setup!AM23,"AAAAAH/pOjk=")</f>
        <v>#VALUE!</v>
      </c>
      <c r="BG6" t="e">
        <f>AND(Setup!AN23,"AAAAAH/pOjo=")</f>
        <v>#VALUE!</v>
      </c>
      <c r="BH6" t="e">
        <f>AND(Setup!AO23,"AAAAAH/pOjs=")</f>
        <v>#VALUE!</v>
      </c>
      <c r="BI6" t="e">
        <f>AND(Setup!AP23,"AAAAAH/pOjw=")</f>
        <v>#VALUE!</v>
      </c>
      <c r="BJ6" t="e">
        <f>AND(Setup!AQ23,"AAAAAH/pOj0=")</f>
        <v>#VALUE!</v>
      </c>
      <c r="BK6" t="e">
        <f>AND(Setup!AR23,"AAAAAH/pOj4=")</f>
        <v>#VALUE!</v>
      </c>
      <c r="BL6" t="e">
        <f>AND(Setup!AS23,"AAAAAH/pOj8=")</f>
        <v>#VALUE!</v>
      </c>
      <c r="BM6" t="e">
        <f>AND(Setup!AT23,"AAAAAH/pOkA=")</f>
        <v>#VALUE!</v>
      </c>
      <c r="BN6" t="e">
        <f>AND(Setup!AU23,"AAAAAH/pOkE=")</f>
        <v>#VALUE!</v>
      </c>
      <c r="BO6" t="e">
        <f>AND(Setup!AV23,"AAAAAH/pOkI=")</f>
        <v>#VALUE!</v>
      </c>
      <c r="BP6" t="e">
        <f>AND(Setup!AW23,"AAAAAH/pOkM=")</f>
        <v>#VALUE!</v>
      </c>
      <c r="BQ6" t="e">
        <f>AND(Setup!AX23,"AAAAAH/pOkQ=")</f>
        <v>#VALUE!</v>
      </c>
      <c r="BR6" t="e">
        <f>AND(Setup!AY23,"AAAAAH/pOkU=")</f>
        <v>#VALUE!</v>
      </c>
      <c r="BS6" t="e">
        <f>AND(Setup!AZ23,"AAAAAH/pOkY=")</f>
        <v>#VALUE!</v>
      </c>
      <c r="BT6" t="e">
        <f>AND(Setup!BA23,"AAAAAH/pOkc=")</f>
        <v>#VALUE!</v>
      </c>
      <c r="BU6" t="e">
        <f>AND(Setup!BB23,"AAAAAH/pOkg=")</f>
        <v>#VALUE!</v>
      </c>
      <c r="BV6" t="e">
        <f>AND(Setup!BC23,"AAAAAH/pOkk=")</f>
        <v>#VALUE!</v>
      </c>
      <c r="BW6" t="e">
        <f>AND(Setup!BD23,"AAAAAH/pOko=")</f>
        <v>#VALUE!</v>
      </c>
      <c r="BX6" t="e">
        <f>AND(Setup!BE23,"AAAAAH/pOks=")</f>
        <v>#VALUE!</v>
      </c>
      <c r="BY6" t="e">
        <f>AND(Setup!BF23,"AAAAAH/pOkw=")</f>
        <v>#VALUE!</v>
      </c>
      <c r="BZ6">
        <f>IF(Setup!24:24,"AAAAAH/pOk0=",0)</f>
        <v>0</v>
      </c>
      <c r="CA6" t="e">
        <f>AND(Setup!A24,"AAAAAH/pOk4=")</f>
        <v>#VALUE!</v>
      </c>
      <c r="CB6" t="e">
        <f>AND(Setup!B24,"AAAAAH/pOk8=")</f>
        <v>#VALUE!</v>
      </c>
      <c r="CC6" t="e">
        <f>AND(Setup!C24,"AAAAAH/pOlA=")</f>
        <v>#VALUE!</v>
      </c>
      <c r="CD6" t="b">
        <f>AND(Setup!D24,"AAAAAH/pOlE=")</f>
        <v>1</v>
      </c>
      <c r="CE6" t="e">
        <f>AND(Setup!E24,"AAAAAH/pOlI=")</f>
        <v>#VALUE!</v>
      </c>
      <c r="CF6" t="e">
        <f>AND(Setup!F24,"AAAAAH/pOlM=")</f>
        <v>#VALUE!</v>
      </c>
      <c r="CG6" t="b">
        <f>AND(Setup!G24,"AAAAAH/pOlQ=")</f>
        <v>1</v>
      </c>
      <c r="CH6" t="e">
        <f>AND(Setup!H24,"AAAAAH/pOlU=")</f>
        <v>#VALUE!</v>
      </c>
      <c r="CI6" t="e">
        <f>AND(Setup!I24,"AAAAAH/pOlY=")</f>
        <v>#VALUE!</v>
      </c>
      <c r="CJ6" t="e">
        <f>AND(Setup!J24,"AAAAAH/pOlc=")</f>
        <v>#VALUE!</v>
      </c>
      <c r="CK6" t="e">
        <f>AND(Setup!K24,"AAAAAH/pOlg=")</f>
        <v>#VALUE!</v>
      </c>
      <c r="CL6" t="e">
        <f>AND(Setup!L24,"AAAAAH/pOlk=")</f>
        <v>#VALUE!</v>
      </c>
      <c r="CM6" t="e">
        <f>AND(Setup!M24,"AAAAAH/pOlo=")</f>
        <v>#VALUE!</v>
      </c>
      <c r="CN6" t="e">
        <f>AND(Setup!N24,"AAAAAH/pOls=")</f>
        <v>#VALUE!</v>
      </c>
      <c r="CO6" t="e">
        <f>AND(Setup!O24,"AAAAAH/pOlw=")</f>
        <v>#VALUE!</v>
      </c>
      <c r="CP6" t="e">
        <f>AND(Setup!P24,"AAAAAH/pOl0=")</f>
        <v>#VALUE!</v>
      </c>
      <c r="CQ6" t="e">
        <f>AND(Setup!Q24,"AAAAAH/pOl4=")</f>
        <v>#VALUE!</v>
      </c>
      <c r="CR6" t="e">
        <f>AND(Setup!R24,"AAAAAH/pOl8=")</f>
        <v>#VALUE!</v>
      </c>
      <c r="CS6" t="e">
        <f>AND(Setup!S24,"AAAAAH/pOmA=")</f>
        <v>#VALUE!</v>
      </c>
      <c r="CT6" t="e">
        <f>AND(Setup!T24,"AAAAAH/pOmE=")</f>
        <v>#VALUE!</v>
      </c>
      <c r="CU6" t="e">
        <f>AND(Setup!U24,"AAAAAH/pOmI=")</f>
        <v>#VALUE!</v>
      </c>
      <c r="CV6" t="e">
        <f>AND(Setup!V24,"AAAAAH/pOmM=")</f>
        <v>#VALUE!</v>
      </c>
      <c r="CW6" t="e">
        <f>AND(Setup!W24,"AAAAAH/pOmQ=")</f>
        <v>#VALUE!</v>
      </c>
      <c r="CX6" t="e">
        <f>AND(Setup!X24,"AAAAAH/pOmU=")</f>
        <v>#VALUE!</v>
      </c>
      <c r="CY6" t="e">
        <f>AND(Setup!Y24,"AAAAAH/pOmY=")</f>
        <v>#VALUE!</v>
      </c>
      <c r="CZ6" t="e">
        <f>AND(Setup!Z24,"AAAAAH/pOmc=")</f>
        <v>#VALUE!</v>
      </c>
      <c r="DA6" t="e">
        <f>AND(Setup!AA24,"AAAAAH/pOmg=")</f>
        <v>#VALUE!</v>
      </c>
      <c r="DB6" t="e">
        <f>AND(Setup!AB24,"AAAAAH/pOmk=")</f>
        <v>#VALUE!</v>
      </c>
      <c r="DC6" t="e">
        <f>AND(Setup!AC24,"AAAAAH/pOmo=")</f>
        <v>#VALUE!</v>
      </c>
      <c r="DD6" t="e">
        <f>AND(Setup!AD24,"AAAAAH/pOms=")</f>
        <v>#VALUE!</v>
      </c>
      <c r="DE6" t="e">
        <f>AND(Setup!AE24,"AAAAAH/pOmw=")</f>
        <v>#VALUE!</v>
      </c>
      <c r="DF6" t="e">
        <f>AND(Setup!AF24,"AAAAAH/pOm0=")</f>
        <v>#VALUE!</v>
      </c>
      <c r="DG6" t="e">
        <f>AND(Setup!AG24,"AAAAAH/pOm4=")</f>
        <v>#VALUE!</v>
      </c>
      <c r="DH6" t="e">
        <f>AND(Setup!AH24,"AAAAAH/pOm8=")</f>
        <v>#VALUE!</v>
      </c>
      <c r="DI6" t="e">
        <f>AND(Setup!AI24,"AAAAAH/pOnA=")</f>
        <v>#VALUE!</v>
      </c>
      <c r="DJ6" t="e">
        <f>AND(Setup!AJ24,"AAAAAH/pOnE=")</f>
        <v>#VALUE!</v>
      </c>
      <c r="DK6" t="e">
        <f>AND(Setup!AK24,"AAAAAH/pOnI=")</f>
        <v>#VALUE!</v>
      </c>
      <c r="DL6" t="e">
        <f>AND(Setup!AL24,"AAAAAH/pOnM=")</f>
        <v>#VALUE!</v>
      </c>
      <c r="DM6" t="e">
        <f>AND(Setup!AM24,"AAAAAH/pOnQ=")</f>
        <v>#VALUE!</v>
      </c>
      <c r="DN6" t="e">
        <f>AND(Setup!AN24,"AAAAAH/pOnU=")</f>
        <v>#VALUE!</v>
      </c>
      <c r="DO6" t="e">
        <f>AND(Setup!AO24,"AAAAAH/pOnY=")</f>
        <v>#VALUE!</v>
      </c>
      <c r="DP6" t="e">
        <f>AND(Setup!AP24,"AAAAAH/pOnc=")</f>
        <v>#VALUE!</v>
      </c>
      <c r="DQ6" t="e">
        <f>AND(Setup!AQ24,"AAAAAH/pOng=")</f>
        <v>#VALUE!</v>
      </c>
      <c r="DR6" t="e">
        <f>AND(Setup!AR24,"AAAAAH/pOnk=")</f>
        <v>#VALUE!</v>
      </c>
      <c r="DS6" t="e">
        <f>AND(Setup!AS24,"AAAAAH/pOno=")</f>
        <v>#VALUE!</v>
      </c>
      <c r="DT6" t="e">
        <f>AND(Setup!AT24,"AAAAAH/pOns=")</f>
        <v>#VALUE!</v>
      </c>
      <c r="DU6" t="e">
        <f>AND(Setup!AU24,"AAAAAH/pOnw=")</f>
        <v>#VALUE!</v>
      </c>
      <c r="DV6" t="e">
        <f>AND(Setup!AV24,"AAAAAH/pOn0=")</f>
        <v>#VALUE!</v>
      </c>
      <c r="DW6" t="e">
        <f>AND(Setup!AW24,"AAAAAH/pOn4=")</f>
        <v>#VALUE!</v>
      </c>
      <c r="DX6" t="e">
        <f>AND(Setup!AX24,"AAAAAH/pOn8=")</f>
        <v>#VALUE!</v>
      </c>
      <c r="DY6" t="e">
        <f>AND(Setup!AY24,"AAAAAH/pOoA=")</f>
        <v>#VALUE!</v>
      </c>
      <c r="DZ6" t="e">
        <f>AND(Setup!AZ24,"AAAAAH/pOoE=")</f>
        <v>#VALUE!</v>
      </c>
      <c r="EA6" t="e">
        <f>AND(Setup!BA24,"AAAAAH/pOoI=")</f>
        <v>#VALUE!</v>
      </c>
      <c r="EB6" t="e">
        <f>AND(Setup!BB24,"AAAAAH/pOoM=")</f>
        <v>#VALUE!</v>
      </c>
      <c r="EC6" t="e">
        <f>AND(Setup!BC24,"AAAAAH/pOoQ=")</f>
        <v>#VALUE!</v>
      </c>
      <c r="ED6" t="e">
        <f>AND(Setup!BD24,"AAAAAH/pOoU=")</f>
        <v>#VALUE!</v>
      </c>
      <c r="EE6" t="e">
        <f>AND(Setup!BE24,"AAAAAH/pOoY=")</f>
        <v>#VALUE!</v>
      </c>
      <c r="EF6" t="e">
        <f>AND(Setup!BF24,"AAAAAH/pOoc=")</f>
        <v>#VALUE!</v>
      </c>
      <c r="EG6">
        <f>IF(Setup!25:25,"AAAAAH/pOog=",0)</f>
        <v>0</v>
      </c>
      <c r="EH6" t="e">
        <f>AND(Setup!A25,"AAAAAH/pOok=")</f>
        <v>#VALUE!</v>
      </c>
      <c r="EI6" t="e">
        <f>AND(Setup!B25,"AAAAAH/pOoo=")</f>
        <v>#VALUE!</v>
      </c>
      <c r="EJ6" t="e">
        <f>AND(Setup!C25,"AAAAAH/pOos=")</f>
        <v>#VALUE!</v>
      </c>
      <c r="EK6" t="e">
        <f>AND(Setup!D25,"AAAAAH/pOow=")</f>
        <v>#VALUE!</v>
      </c>
      <c r="EL6" t="e">
        <f>AND(Setup!E25,"AAAAAH/pOo0=")</f>
        <v>#VALUE!</v>
      </c>
      <c r="EM6" t="e">
        <f>AND(Setup!F25,"AAAAAH/pOo4=")</f>
        <v>#VALUE!</v>
      </c>
      <c r="EN6" t="e">
        <f>AND(Setup!G25,"AAAAAH/pOo8=")</f>
        <v>#VALUE!</v>
      </c>
      <c r="EO6" t="e">
        <f>AND(Setup!H25,"AAAAAH/pOpA=")</f>
        <v>#VALUE!</v>
      </c>
      <c r="EP6" t="e">
        <f>AND(Setup!I25,"AAAAAH/pOpE=")</f>
        <v>#VALUE!</v>
      </c>
      <c r="EQ6" t="e">
        <f>AND(Setup!J25,"AAAAAH/pOpI=")</f>
        <v>#VALUE!</v>
      </c>
      <c r="ER6" t="e">
        <f>AND(Setup!K25,"AAAAAH/pOpM=")</f>
        <v>#VALUE!</v>
      </c>
      <c r="ES6" t="e">
        <f>AND(Setup!L25,"AAAAAH/pOpQ=")</f>
        <v>#VALUE!</v>
      </c>
      <c r="ET6" t="e">
        <f>AND(Setup!M25,"AAAAAH/pOpU=")</f>
        <v>#VALUE!</v>
      </c>
      <c r="EU6" t="e">
        <f>AND(Setup!N25,"AAAAAH/pOpY=")</f>
        <v>#VALUE!</v>
      </c>
      <c r="EV6" t="e">
        <f>AND(Setup!O25,"AAAAAH/pOpc=")</f>
        <v>#VALUE!</v>
      </c>
      <c r="EW6" t="e">
        <f>AND(Setup!P25,"AAAAAH/pOpg=")</f>
        <v>#VALUE!</v>
      </c>
      <c r="EX6" t="e">
        <f>AND(Setup!Q25,"AAAAAH/pOpk=")</f>
        <v>#VALUE!</v>
      </c>
      <c r="EY6" t="e">
        <f>AND(Setup!R25,"AAAAAH/pOpo=")</f>
        <v>#VALUE!</v>
      </c>
      <c r="EZ6" t="e">
        <f>AND(Setup!S25,"AAAAAH/pOps=")</f>
        <v>#VALUE!</v>
      </c>
      <c r="FA6" t="e">
        <f>AND(Setup!T25,"AAAAAH/pOpw=")</f>
        <v>#VALUE!</v>
      </c>
      <c r="FB6" t="e">
        <f>AND(Setup!U25,"AAAAAH/pOp0=")</f>
        <v>#VALUE!</v>
      </c>
      <c r="FC6" t="e">
        <f>AND(Setup!V25,"AAAAAH/pOp4=")</f>
        <v>#VALUE!</v>
      </c>
      <c r="FD6" t="e">
        <f>AND(Setup!W25,"AAAAAH/pOp8=")</f>
        <v>#VALUE!</v>
      </c>
      <c r="FE6" t="e">
        <f>AND(Setup!X25,"AAAAAH/pOqA=")</f>
        <v>#VALUE!</v>
      </c>
      <c r="FF6" t="e">
        <f>AND(Setup!Y25,"AAAAAH/pOqE=")</f>
        <v>#VALUE!</v>
      </c>
      <c r="FG6" t="e">
        <f>AND(Setup!Z25,"AAAAAH/pOqI=")</f>
        <v>#VALUE!</v>
      </c>
      <c r="FH6" t="e">
        <f>AND(Setup!AA25,"AAAAAH/pOqM=")</f>
        <v>#VALUE!</v>
      </c>
      <c r="FI6" t="e">
        <f>AND(Setup!AB25,"AAAAAH/pOqQ=")</f>
        <v>#VALUE!</v>
      </c>
      <c r="FJ6" t="e">
        <f>AND(Setup!AC25,"AAAAAH/pOqU=")</f>
        <v>#VALUE!</v>
      </c>
      <c r="FK6" t="e">
        <f>AND(Setup!AD25,"AAAAAH/pOqY=")</f>
        <v>#VALUE!</v>
      </c>
      <c r="FL6" t="e">
        <f>AND(Setup!AE25,"AAAAAH/pOqc=")</f>
        <v>#VALUE!</v>
      </c>
      <c r="FM6" t="e">
        <f>AND(Setup!AF25,"AAAAAH/pOqg=")</f>
        <v>#VALUE!</v>
      </c>
      <c r="FN6" t="e">
        <f>AND(Setup!AG25,"AAAAAH/pOqk=")</f>
        <v>#VALUE!</v>
      </c>
      <c r="FO6" t="e">
        <f>AND(Setup!AH25,"AAAAAH/pOqo=")</f>
        <v>#VALUE!</v>
      </c>
      <c r="FP6" t="e">
        <f>AND(Setup!AI25,"AAAAAH/pOqs=")</f>
        <v>#VALUE!</v>
      </c>
      <c r="FQ6" t="e">
        <f>AND(Setup!AJ25,"AAAAAH/pOqw=")</f>
        <v>#VALUE!</v>
      </c>
      <c r="FR6" t="e">
        <f>AND(Setup!AK25,"AAAAAH/pOq0=")</f>
        <v>#VALUE!</v>
      </c>
      <c r="FS6" t="e">
        <f>AND(Setup!AL25,"AAAAAH/pOq4=")</f>
        <v>#VALUE!</v>
      </c>
      <c r="FT6" t="e">
        <f>AND(Setup!AM25,"AAAAAH/pOq8=")</f>
        <v>#VALUE!</v>
      </c>
      <c r="FU6" t="e">
        <f>AND(Setup!AN25,"AAAAAH/pOrA=")</f>
        <v>#VALUE!</v>
      </c>
      <c r="FV6" t="e">
        <f>AND(Setup!AO25,"AAAAAH/pOrE=")</f>
        <v>#VALUE!</v>
      </c>
      <c r="FW6" t="e">
        <f>AND(Setup!AP25,"AAAAAH/pOrI=")</f>
        <v>#VALUE!</v>
      </c>
      <c r="FX6" t="e">
        <f>AND(Setup!AQ25,"AAAAAH/pOrM=")</f>
        <v>#VALUE!</v>
      </c>
      <c r="FY6" t="e">
        <f>AND(Setup!AR25,"AAAAAH/pOrQ=")</f>
        <v>#VALUE!</v>
      </c>
      <c r="FZ6" t="e">
        <f>AND(Setup!AS25,"AAAAAH/pOrU=")</f>
        <v>#VALUE!</v>
      </c>
      <c r="GA6" t="e">
        <f>AND(Setup!AT25,"AAAAAH/pOrY=")</f>
        <v>#VALUE!</v>
      </c>
      <c r="GB6" t="e">
        <f>AND(Setup!AU25,"AAAAAH/pOrc=")</f>
        <v>#VALUE!</v>
      </c>
      <c r="GC6" t="e">
        <f>AND(Setup!AV25,"AAAAAH/pOrg=")</f>
        <v>#VALUE!</v>
      </c>
      <c r="GD6" t="e">
        <f>AND(Setup!AW25,"AAAAAH/pOrk=")</f>
        <v>#VALUE!</v>
      </c>
      <c r="GE6" t="e">
        <f>AND(Setup!AX25,"AAAAAH/pOro=")</f>
        <v>#VALUE!</v>
      </c>
      <c r="GF6" t="e">
        <f>AND(Setup!AY25,"AAAAAH/pOrs=")</f>
        <v>#VALUE!</v>
      </c>
      <c r="GG6" t="e">
        <f>AND(Setup!AZ25,"AAAAAH/pOrw=")</f>
        <v>#VALUE!</v>
      </c>
      <c r="GH6" t="e">
        <f>AND(Setup!BA25,"AAAAAH/pOr0=")</f>
        <v>#VALUE!</v>
      </c>
      <c r="GI6" t="e">
        <f>AND(Setup!BB25,"AAAAAH/pOr4=")</f>
        <v>#VALUE!</v>
      </c>
      <c r="GJ6" t="e">
        <f>AND(Setup!BC25,"AAAAAH/pOr8=")</f>
        <v>#VALUE!</v>
      </c>
      <c r="GK6" t="e">
        <f>AND(Setup!BD25,"AAAAAH/pOsA=")</f>
        <v>#VALUE!</v>
      </c>
      <c r="GL6" t="e">
        <f>AND(Setup!BE25,"AAAAAH/pOsE=")</f>
        <v>#VALUE!</v>
      </c>
      <c r="GM6" t="e">
        <f>AND(Setup!BF25,"AAAAAH/pOsI=")</f>
        <v>#VALUE!</v>
      </c>
      <c r="GN6">
        <f>IF(Setup!26:26,"AAAAAH/pOsM=",0)</f>
        <v>0</v>
      </c>
      <c r="GO6" t="e">
        <f>AND(Setup!A26,"AAAAAH/pOsQ=")</f>
        <v>#VALUE!</v>
      </c>
      <c r="GP6" t="e">
        <f>AND(Setup!B26,"AAAAAH/pOsU=")</f>
        <v>#VALUE!</v>
      </c>
      <c r="GQ6" t="e">
        <f>AND(Setup!C26,"AAAAAH/pOsY=")</f>
        <v>#VALUE!</v>
      </c>
      <c r="GR6" t="e">
        <f>AND(Setup!D26,"AAAAAH/pOsc=")</f>
        <v>#VALUE!</v>
      </c>
      <c r="GS6" t="e">
        <f>AND(Setup!E26,"AAAAAH/pOsg=")</f>
        <v>#VALUE!</v>
      </c>
      <c r="GT6" t="e">
        <f>AND(Setup!F26,"AAAAAH/pOsk=")</f>
        <v>#VALUE!</v>
      </c>
      <c r="GU6" t="e">
        <f>AND(Setup!G26,"AAAAAH/pOso=")</f>
        <v>#VALUE!</v>
      </c>
      <c r="GV6" t="e">
        <f>AND(Setup!H26,"AAAAAH/pOss=")</f>
        <v>#VALUE!</v>
      </c>
      <c r="GW6" t="e">
        <f>AND(Setup!I26,"AAAAAH/pOsw=")</f>
        <v>#VALUE!</v>
      </c>
      <c r="GX6" t="e">
        <f>AND(Setup!J26,"AAAAAH/pOs0=")</f>
        <v>#VALUE!</v>
      </c>
      <c r="GY6" t="e">
        <f>AND(Setup!K26,"AAAAAH/pOs4=")</f>
        <v>#VALUE!</v>
      </c>
      <c r="GZ6" t="e">
        <f>AND(Setup!L26,"AAAAAH/pOs8=")</f>
        <v>#VALUE!</v>
      </c>
      <c r="HA6" t="e">
        <f>AND(Setup!M26,"AAAAAH/pOtA=")</f>
        <v>#VALUE!</v>
      </c>
      <c r="HB6" t="e">
        <f>AND(Setup!N26,"AAAAAH/pOtE=")</f>
        <v>#VALUE!</v>
      </c>
      <c r="HC6" t="e">
        <f>AND(Setup!O26,"AAAAAH/pOtI=")</f>
        <v>#VALUE!</v>
      </c>
      <c r="HD6" t="e">
        <f>AND(Setup!P26,"AAAAAH/pOtM=")</f>
        <v>#VALUE!</v>
      </c>
      <c r="HE6" t="e">
        <f>AND(Setup!Q26,"AAAAAH/pOtQ=")</f>
        <v>#VALUE!</v>
      </c>
      <c r="HF6" t="e">
        <f>AND(Setup!R26,"AAAAAH/pOtU=")</f>
        <v>#VALUE!</v>
      </c>
      <c r="HG6" t="e">
        <f>AND(Setup!S26,"AAAAAH/pOtY=")</f>
        <v>#VALUE!</v>
      </c>
      <c r="HH6" t="e">
        <f>AND(Setup!T26,"AAAAAH/pOtc=")</f>
        <v>#VALUE!</v>
      </c>
      <c r="HI6" t="e">
        <f>AND(Setup!U26,"AAAAAH/pOtg=")</f>
        <v>#VALUE!</v>
      </c>
      <c r="HJ6" t="e">
        <f>AND(Setup!V26,"AAAAAH/pOtk=")</f>
        <v>#VALUE!</v>
      </c>
      <c r="HK6" t="e">
        <f>AND(Setup!W26,"AAAAAH/pOto=")</f>
        <v>#VALUE!</v>
      </c>
      <c r="HL6" t="e">
        <f>AND(Setup!X26,"AAAAAH/pOts=")</f>
        <v>#VALUE!</v>
      </c>
      <c r="HM6" t="e">
        <f>AND(Setup!Y26,"AAAAAH/pOtw=")</f>
        <v>#VALUE!</v>
      </c>
      <c r="HN6" t="e">
        <f>AND(Setup!Z26,"AAAAAH/pOt0=")</f>
        <v>#VALUE!</v>
      </c>
      <c r="HO6" t="e">
        <f>AND(Setup!AA26,"AAAAAH/pOt4=")</f>
        <v>#VALUE!</v>
      </c>
      <c r="HP6" t="e">
        <f>AND(Setup!AB26,"AAAAAH/pOt8=")</f>
        <v>#VALUE!</v>
      </c>
      <c r="HQ6" t="e">
        <f>AND(Setup!AC26,"AAAAAH/pOuA=")</f>
        <v>#VALUE!</v>
      </c>
      <c r="HR6" t="e">
        <f>AND(Setup!AD26,"AAAAAH/pOuE=")</f>
        <v>#VALUE!</v>
      </c>
      <c r="HS6" t="e">
        <f>AND(Setup!AE26,"AAAAAH/pOuI=")</f>
        <v>#VALUE!</v>
      </c>
      <c r="HT6" t="e">
        <f>AND(Setup!AF26,"AAAAAH/pOuM=")</f>
        <v>#VALUE!</v>
      </c>
      <c r="HU6" t="e">
        <f>AND(Setup!AG26,"AAAAAH/pOuQ=")</f>
        <v>#VALUE!</v>
      </c>
      <c r="HV6" t="e">
        <f>AND(Setup!AH26,"AAAAAH/pOuU=")</f>
        <v>#VALUE!</v>
      </c>
      <c r="HW6" t="e">
        <f>AND(Setup!AI26,"AAAAAH/pOuY=")</f>
        <v>#VALUE!</v>
      </c>
      <c r="HX6" t="e">
        <f>AND(Setup!AJ26,"AAAAAH/pOuc=")</f>
        <v>#VALUE!</v>
      </c>
      <c r="HY6" t="e">
        <f>AND(Setup!AK26,"AAAAAH/pOug=")</f>
        <v>#VALUE!</v>
      </c>
      <c r="HZ6" t="e">
        <f>AND(Setup!AL26,"AAAAAH/pOuk=")</f>
        <v>#VALUE!</v>
      </c>
      <c r="IA6" t="e">
        <f>AND(Setup!AM26,"AAAAAH/pOuo=")</f>
        <v>#VALUE!</v>
      </c>
      <c r="IB6" t="e">
        <f>AND(Setup!AN26,"AAAAAH/pOus=")</f>
        <v>#VALUE!</v>
      </c>
      <c r="IC6" t="e">
        <f>AND(Setup!AO26,"AAAAAH/pOuw=")</f>
        <v>#VALUE!</v>
      </c>
      <c r="ID6" t="e">
        <f>AND(Setup!AP26,"AAAAAH/pOu0=")</f>
        <v>#VALUE!</v>
      </c>
      <c r="IE6" t="e">
        <f>AND(Setup!AQ26,"AAAAAH/pOu4=")</f>
        <v>#VALUE!</v>
      </c>
      <c r="IF6" t="e">
        <f>AND(Setup!AR26,"AAAAAH/pOu8=")</f>
        <v>#VALUE!</v>
      </c>
      <c r="IG6" t="e">
        <f>AND(Setup!AS26,"AAAAAH/pOvA=")</f>
        <v>#VALUE!</v>
      </c>
      <c r="IH6" t="e">
        <f>AND(Setup!AT26,"AAAAAH/pOvE=")</f>
        <v>#VALUE!</v>
      </c>
      <c r="II6" t="e">
        <f>AND(Setup!AU26,"AAAAAH/pOvI=")</f>
        <v>#VALUE!</v>
      </c>
      <c r="IJ6" t="e">
        <f>AND(Setup!AV26,"AAAAAH/pOvM=")</f>
        <v>#VALUE!</v>
      </c>
      <c r="IK6" t="e">
        <f>AND(Setup!AW26,"AAAAAH/pOvQ=")</f>
        <v>#VALUE!</v>
      </c>
      <c r="IL6" t="e">
        <f>AND(Setup!AX26,"AAAAAH/pOvU=")</f>
        <v>#VALUE!</v>
      </c>
      <c r="IM6" t="e">
        <f>AND(Setup!AY26,"AAAAAH/pOvY=")</f>
        <v>#VALUE!</v>
      </c>
      <c r="IN6" t="e">
        <f>AND(Setup!AZ26,"AAAAAH/pOvc=")</f>
        <v>#VALUE!</v>
      </c>
      <c r="IO6" t="e">
        <f>AND(Setup!BA26,"AAAAAH/pOvg=")</f>
        <v>#VALUE!</v>
      </c>
      <c r="IP6" t="e">
        <f>AND(Setup!BB26,"AAAAAH/pOvk=")</f>
        <v>#VALUE!</v>
      </c>
      <c r="IQ6" t="e">
        <f>AND(Setup!BC26,"AAAAAH/pOvo=")</f>
        <v>#VALUE!</v>
      </c>
      <c r="IR6" t="e">
        <f>AND(Setup!BD26,"AAAAAH/pOvs=")</f>
        <v>#VALUE!</v>
      </c>
      <c r="IS6" t="e">
        <f>AND(Setup!BE26,"AAAAAH/pOvw=")</f>
        <v>#VALUE!</v>
      </c>
      <c r="IT6" t="e">
        <f>AND(Setup!BF26,"AAAAAH/pOv0=")</f>
        <v>#VALUE!</v>
      </c>
      <c r="IU6">
        <f>IF(Setup!27:27,"AAAAAH/pOv4=",0)</f>
        <v>0</v>
      </c>
      <c r="IV6" t="e">
        <f>AND(Setup!A27,"AAAAAH/pOv8=")</f>
        <v>#VALUE!</v>
      </c>
    </row>
    <row r="7" spans="1:256">
      <c r="A7" t="e">
        <f>AND(Setup!B27,"AAAAAH6v+wA=")</f>
        <v>#VALUE!</v>
      </c>
      <c r="B7" t="e">
        <f>AND(Setup!C27,"AAAAAH6v+wE=")</f>
        <v>#VALUE!</v>
      </c>
      <c r="C7" t="e">
        <f>AND(Setup!D27,"AAAAAH6v+wI=")</f>
        <v>#VALUE!</v>
      </c>
      <c r="D7" t="e">
        <f>AND(Setup!E27,"AAAAAH6v+wM=")</f>
        <v>#VALUE!</v>
      </c>
      <c r="E7" t="e">
        <f>AND(Setup!F27,"AAAAAH6v+wQ=")</f>
        <v>#VALUE!</v>
      </c>
      <c r="F7" t="e">
        <f>AND(Setup!G27,"AAAAAH6v+wU=")</f>
        <v>#VALUE!</v>
      </c>
      <c r="G7" t="e">
        <f>AND(Setup!H27,"AAAAAH6v+wY=")</f>
        <v>#VALUE!</v>
      </c>
      <c r="H7" t="e">
        <f>AND(Setup!I27,"AAAAAH6v+wc=")</f>
        <v>#VALUE!</v>
      </c>
      <c r="I7" t="e">
        <f>AND(Setup!J27,"AAAAAH6v+wg=")</f>
        <v>#VALUE!</v>
      </c>
      <c r="J7" t="e">
        <f>AND(Setup!K27,"AAAAAH6v+wk=")</f>
        <v>#VALUE!</v>
      </c>
      <c r="K7" t="e">
        <f>AND(Setup!L27,"AAAAAH6v+wo=")</f>
        <v>#VALUE!</v>
      </c>
      <c r="L7" t="e">
        <f>AND(Setup!M27,"AAAAAH6v+ws=")</f>
        <v>#VALUE!</v>
      </c>
      <c r="M7" t="e">
        <f>AND(Setup!N27,"AAAAAH6v+ww=")</f>
        <v>#VALUE!</v>
      </c>
      <c r="N7" t="e">
        <f>AND(Setup!O27,"AAAAAH6v+w0=")</f>
        <v>#VALUE!</v>
      </c>
      <c r="O7" t="e">
        <f>AND(Setup!P27,"AAAAAH6v+w4=")</f>
        <v>#VALUE!</v>
      </c>
      <c r="P7" t="e">
        <f>AND(Setup!Q27,"AAAAAH6v+w8=")</f>
        <v>#VALUE!</v>
      </c>
      <c r="Q7" t="e">
        <f>AND(Setup!R27,"AAAAAH6v+xA=")</f>
        <v>#VALUE!</v>
      </c>
      <c r="R7" t="e">
        <f>AND(Setup!S27,"AAAAAH6v+xE=")</f>
        <v>#VALUE!</v>
      </c>
      <c r="S7" t="e">
        <f>AND(Setup!T27,"AAAAAH6v+xI=")</f>
        <v>#VALUE!</v>
      </c>
      <c r="T7" t="e">
        <f>AND(Setup!U27,"AAAAAH6v+xM=")</f>
        <v>#VALUE!</v>
      </c>
      <c r="U7" t="e">
        <f>AND(Setup!V27,"AAAAAH6v+xQ=")</f>
        <v>#VALUE!</v>
      </c>
      <c r="V7" t="e">
        <f>AND(Setup!W27,"AAAAAH6v+xU=")</f>
        <v>#VALUE!</v>
      </c>
      <c r="W7" t="e">
        <f>AND(Setup!X27,"AAAAAH6v+xY=")</f>
        <v>#VALUE!</v>
      </c>
      <c r="X7" t="e">
        <f>AND(Setup!Y27,"AAAAAH6v+xc=")</f>
        <v>#VALUE!</v>
      </c>
      <c r="Y7" t="e">
        <f>AND(Setup!Z27,"AAAAAH6v+xg=")</f>
        <v>#VALUE!</v>
      </c>
      <c r="Z7" t="e">
        <f>AND(Setup!AA27,"AAAAAH6v+xk=")</f>
        <v>#VALUE!</v>
      </c>
      <c r="AA7" t="e">
        <f>AND(Setup!AB27,"AAAAAH6v+xo=")</f>
        <v>#VALUE!</v>
      </c>
      <c r="AB7" t="e">
        <f>AND(Setup!AC27,"AAAAAH6v+xs=")</f>
        <v>#VALUE!</v>
      </c>
      <c r="AC7" t="e">
        <f>AND(Setup!AD27,"AAAAAH6v+xw=")</f>
        <v>#VALUE!</v>
      </c>
      <c r="AD7" t="e">
        <f>AND(Setup!AE27,"AAAAAH6v+x0=")</f>
        <v>#VALUE!</v>
      </c>
      <c r="AE7" t="e">
        <f>AND(Setup!AF27,"AAAAAH6v+x4=")</f>
        <v>#VALUE!</v>
      </c>
      <c r="AF7" t="e">
        <f>AND(Setup!AG27,"AAAAAH6v+x8=")</f>
        <v>#VALUE!</v>
      </c>
      <c r="AG7" t="e">
        <f>AND(Setup!AH27,"AAAAAH6v+yA=")</f>
        <v>#VALUE!</v>
      </c>
      <c r="AH7" t="e">
        <f>AND(Setup!AI27,"AAAAAH6v+yE=")</f>
        <v>#VALUE!</v>
      </c>
      <c r="AI7" t="e">
        <f>AND(Setup!AJ27,"AAAAAH6v+yI=")</f>
        <v>#VALUE!</v>
      </c>
      <c r="AJ7" t="e">
        <f>AND(Setup!AK27,"AAAAAH6v+yM=")</f>
        <v>#VALUE!</v>
      </c>
      <c r="AK7" t="e">
        <f>AND(Setup!AL27,"AAAAAH6v+yQ=")</f>
        <v>#VALUE!</v>
      </c>
      <c r="AL7" t="e">
        <f>AND(Setup!AM27,"AAAAAH6v+yU=")</f>
        <v>#VALUE!</v>
      </c>
      <c r="AM7" t="e">
        <f>AND(Setup!AN27,"AAAAAH6v+yY=")</f>
        <v>#VALUE!</v>
      </c>
      <c r="AN7" t="e">
        <f>AND(Setup!AO27,"AAAAAH6v+yc=")</f>
        <v>#VALUE!</v>
      </c>
      <c r="AO7" t="e">
        <f>AND(Setup!AP27,"AAAAAH6v+yg=")</f>
        <v>#VALUE!</v>
      </c>
      <c r="AP7" t="e">
        <f>AND(Setup!AQ27,"AAAAAH6v+yk=")</f>
        <v>#VALUE!</v>
      </c>
      <c r="AQ7" t="e">
        <f>AND(Setup!AR27,"AAAAAH6v+yo=")</f>
        <v>#VALUE!</v>
      </c>
      <c r="AR7" t="e">
        <f>AND(Setup!AS27,"AAAAAH6v+ys=")</f>
        <v>#VALUE!</v>
      </c>
      <c r="AS7" t="e">
        <f>AND(Setup!AT27,"AAAAAH6v+yw=")</f>
        <v>#VALUE!</v>
      </c>
      <c r="AT7" t="e">
        <f>AND(Setup!AU27,"AAAAAH6v+y0=")</f>
        <v>#VALUE!</v>
      </c>
      <c r="AU7" t="e">
        <f>AND(Setup!AV27,"AAAAAH6v+y4=")</f>
        <v>#VALUE!</v>
      </c>
      <c r="AV7" t="e">
        <f>AND(Setup!AW27,"AAAAAH6v+y8=")</f>
        <v>#VALUE!</v>
      </c>
      <c r="AW7" t="e">
        <f>AND(Setup!AX27,"AAAAAH6v+zA=")</f>
        <v>#VALUE!</v>
      </c>
      <c r="AX7" t="e">
        <f>AND(Setup!AY27,"AAAAAH6v+zE=")</f>
        <v>#VALUE!</v>
      </c>
      <c r="AY7" t="e">
        <f>AND(Setup!AZ27,"AAAAAH6v+zI=")</f>
        <v>#VALUE!</v>
      </c>
      <c r="AZ7" t="e">
        <f>AND(Setup!BA27,"AAAAAH6v+zM=")</f>
        <v>#VALUE!</v>
      </c>
      <c r="BA7" t="e">
        <f>AND(Setup!BB27,"AAAAAH6v+zQ=")</f>
        <v>#VALUE!</v>
      </c>
      <c r="BB7" t="e">
        <f>AND(Setup!BC27,"AAAAAH6v+zU=")</f>
        <v>#VALUE!</v>
      </c>
      <c r="BC7" t="e">
        <f>AND(Setup!BD27,"AAAAAH6v+zY=")</f>
        <v>#VALUE!</v>
      </c>
      <c r="BD7" t="e">
        <f>AND(Setup!BE27,"AAAAAH6v+zc=")</f>
        <v>#VALUE!</v>
      </c>
      <c r="BE7" t="e">
        <f>AND(Setup!BF27,"AAAAAH6v+zg=")</f>
        <v>#VALUE!</v>
      </c>
      <c r="BF7">
        <f>IF(Setup!28:28,"AAAAAH6v+zk=",0)</f>
        <v>0</v>
      </c>
      <c r="BG7" t="e">
        <f>AND(Setup!A28,"AAAAAH6v+zo=")</f>
        <v>#VALUE!</v>
      </c>
      <c r="BH7" t="e">
        <f>AND(Setup!B28,"AAAAAH6v+zs=")</f>
        <v>#VALUE!</v>
      </c>
      <c r="BI7" t="e">
        <f>AND(Setup!C28,"AAAAAH6v+zw=")</f>
        <v>#VALUE!</v>
      </c>
      <c r="BJ7" t="e">
        <f>AND(Setup!D28,"AAAAAH6v+z0=")</f>
        <v>#VALUE!</v>
      </c>
      <c r="BK7" t="e">
        <f>AND(Setup!E28,"AAAAAH6v+z4=")</f>
        <v>#VALUE!</v>
      </c>
      <c r="BL7" t="e">
        <f>AND(Setup!F28,"AAAAAH6v+z8=")</f>
        <v>#VALUE!</v>
      </c>
      <c r="BM7" t="e">
        <f>AND(Setup!G28,"AAAAAH6v+0A=")</f>
        <v>#VALUE!</v>
      </c>
      <c r="BN7" t="e">
        <f>AND(Setup!H28,"AAAAAH6v+0E=")</f>
        <v>#VALUE!</v>
      </c>
      <c r="BO7" t="e">
        <f>AND(Setup!I28,"AAAAAH6v+0I=")</f>
        <v>#VALUE!</v>
      </c>
      <c r="BP7" t="e">
        <f>AND(Setup!J28,"AAAAAH6v+0M=")</f>
        <v>#VALUE!</v>
      </c>
      <c r="BQ7" t="e">
        <f>AND(Setup!K28,"AAAAAH6v+0Q=")</f>
        <v>#VALUE!</v>
      </c>
      <c r="BR7" t="e">
        <f>AND(Setup!L28,"AAAAAH6v+0U=")</f>
        <v>#VALUE!</v>
      </c>
      <c r="BS7" t="e">
        <f>AND(Setup!M28,"AAAAAH6v+0Y=")</f>
        <v>#VALUE!</v>
      </c>
      <c r="BT7" t="e">
        <f>AND(Setup!N28,"AAAAAH6v+0c=")</f>
        <v>#VALUE!</v>
      </c>
      <c r="BU7" t="e">
        <f>AND(Setup!O28,"AAAAAH6v+0g=")</f>
        <v>#VALUE!</v>
      </c>
      <c r="BV7" t="e">
        <f>AND(Setup!P28,"AAAAAH6v+0k=")</f>
        <v>#VALUE!</v>
      </c>
      <c r="BW7" t="e">
        <f>AND(Setup!Q28,"AAAAAH6v+0o=")</f>
        <v>#VALUE!</v>
      </c>
      <c r="BX7" t="e">
        <f>AND(Setup!R28,"AAAAAH6v+0s=")</f>
        <v>#VALUE!</v>
      </c>
      <c r="BY7" t="e">
        <f>AND(Setup!S28,"AAAAAH6v+0w=")</f>
        <v>#VALUE!</v>
      </c>
      <c r="BZ7" t="e">
        <f>AND(Setup!T28,"AAAAAH6v+00=")</f>
        <v>#VALUE!</v>
      </c>
      <c r="CA7" t="e">
        <f>AND(Setup!U28,"AAAAAH6v+04=")</f>
        <v>#VALUE!</v>
      </c>
      <c r="CB7" t="e">
        <f>AND(Setup!V28,"AAAAAH6v+08=")</f>
        <v>#VALUE!</v>
      </c>
      <c r="CC7" t="e">
        <f>AND(Setup!W28,"AAAAAH6v+1A=")</f>
        <v>#VALUE!</v>
      </c>
      <c r="CD7" t="e">
        <f>AND(Setup!X28,"AAAAAH6v+1E=")</f>
        <v>#VALUE!</v>
      </c>
      <c r="CE7" t="e">
        <f>AND(Setup!Y28,"AAAAAH6v+1I=")</f>
        <v>#VALUE!</v>
      </c>
      <c r="CF7" t="e">
        <f>AND(Setup!Z28,"AAAAAH6v+1M=")</f>
        <v>#VALUE!</v>
      </c>
      <c r="CG7" t="e">
        <f>AND(Setup!AA28,"AAAAAH6v+1Q=")</f>
        <v>#VALUE!</v>
      </c>
      <c r="CH7" t="e">
        <f>AND(Setup!AB28,"AAAAAH6v+1U=")</f>
        <v>#VALUE!</v>
      </c>
      <c r="CI7" t="e">
        <f>AND(Setup!AC28,"AAAAAH6v+1Y=")</f>
        <v>#VALUE!</v>
      </c>
      <c r="CJ7" t="e">
        <f>AND(Setup!AD28,"AAAAAH6v+1c=")</f>
        <v>#VALUE!</v>
      </c>
      <c r="CK7" t="e">
        <f>AND(Setup!AE28,"AAAAAH6v+1g=")</f>
        <v>#VALUE!</v>
      </c>
      <c r="CL7" t="e">
        <f>AND(Setup!AF28,"AAAAAH6v+1k=")</f>
        <v>#VALUE!</v>
      </c>
      <c r="CM7" t="e">
        <f>AND(Setup!AG28,"AAAAAH6v+1o=")</f>
        <v>#VALUE!</v>
      </c>
      <c r="CN7" t="e">
        <f>AND(Setup!AH28,"AAAAAH6v+1s=")</f>
        <v>#VALUE!</v>
      </c>
      <c r="CO7" t="e">
        <f>AND(Setup!AI28,"AAAAAH6v+1w=")</f>
        <v>#VALUE!</v>
      </c>
      <c r="CP7" t="e">
        <f>AND(Setup!AJ28,"AAAAAH6v+10=")</f>
        <v>#VALUE!</v>
      </c>
      <c r="CQ7" t="e">
        <f>AND(Setup!AK28,"AAAAAH6v+14=")</f>
        <v>#VALUE!</v>
      </c>
      <c r="CR7" t="e">
        <f>AND(Setup!AL28,"AAAAAH6v+18=")</f>
        <v>#VALUE!</v>
      </c>
      <c r="CS7" t="e">
        <f>AND(Setup!AM28,"AAAAAH6v+2A=")</f>
        <v>#VALUE!</v>
      </c>
      <c r="CT7" t="e">
        <f>AND(Setup!AN28,"AAAAAH6v+2E=")</f>
        <v>#VALUE!</v>
      </c>
      <c r="CU7" t="e">
        <f>AND(Setup!AO28,"AAAAAH6v+2I=")</f>
        <v>#VALUE!</v>
      </c>
      <c r="CV7" t="e">
        <f>AND(Setup!AP28,"AAAAAH6v+2M=")</f>
        <v>#VALUE!</v>
      </c>
      <c r="CW7" t="e">
        <f>AND(Setup!AQ28,"AAAAAH6v+2Q=")</f>
        <v>#VALUE!</v>
      </c>
      <c r="CX7" t="e">
        <f>AND(Setup!AR28,"AAAAAH6v+2U=")</f>
        <v>#VALUE!</v>
      </c>
      <c r="CY7" t="e">
        <f>AND(Setup!AS28,"AAAAAH6v+2Y=")</f>
        <v>#VALUE!</v>
      </c>
      <c r="CZ7" t="e">
        <f>AND(Setup!AT28,"AAAAAH6v+2c=")</f>
        <v>#VALUE!</v>
      </c>
      <c r="DA7" t="e">
        <f>AND(Setup!AU28,"AAAAAH6v+2g=")</f>
        <v>#VALUE!</v>
      </c>
      <c r="DB7" t="e">
        <f>AND(Setup!AV28,"AAAAAH6v+2k=")</f>
        <v>#VALUE!</v>
      </c>
      <c r="DC7" t="e">
        <f>AND(Setup!AW28,"AAAAAH6v+2o=")</f>
        <v>#VALUE!</v>
      </c>
      <c r="DD7" t="e">
        <f>AND(Setup!AX28,"AAAAAH6v+2s=")</f>
        <v>#VALUE!</v>
      </c>
      <c r="DE7" t="e">
        <f>AND(Setup!AY28,"AAAAAH6v+2w=")</f>
        <v>#VALUE!</v>
      </c>
      <c r="DF7" t="e">
        <f>AND(Setup!AZ28,"AAAAAH6v+20=")</f>
        <v>#VALUE!</v>
      </c>
      <c r="DG7" t="e">
        <f>AND(Setup!BA28,"AAAAAH6v+24=")</f>
        <v>#VALUE!</v>
      </c>
      <c r="DH7" t="e">
        <f>AND(Setup!BB28,"AAAAAH6v+28=")</f>
        <v>#VALUE!</v>
      </c>
      <c r="DI7" t="e">
        <f>AND(Setup!BC28,"AAAAAH6v+3A=")</f>
        <v>#VALUE!</v>
      </c>
      <c r="DJ7" t="e">
        <f>AND(Setup!BD28,"AAAAAH6v+3E=")</f>
        <v>#VALUE!</v>
      </c>
      <c r="DK7" t="e">
        <f>AND(Setup!BE28,"AAAAAH6v+3I=")</f>
        <v>#VALUE!</v>
      </c>
      <c r="DL7" t="e">
        <f>AND(Setup!BF28,"AAAAAH6v+3M=")</f>
        <v>#VALUE!</v>
      </c>
      <c r="DM7">
        <f>IF(Setup!29:29,"AAAAAH6v+3Q=",0)</f>
        <v>0</v>
      </c>
      <c r="DN7" t="e">
        <f>AND(Setup!A29,"AAAAAH6v+3U=")</f>
        <v>#VALUE!</v>
      </c>
      <c r="DO7" t="e">
        <f>AND(Setup!B29,"AAAAAH6v+3Y=")</f>
        <v>#VALUE!</v>
      </c>
      <c r="DP7" t="e">
        <f>AND(Setup!C29,"AAAAAH6v+3c=")</f>
        <v>#VALUE!</v>
      </c>
      <c r="DQ7" t="e">
        <f>AND(Setup!D29,"AAAAAH6v+3g=")</f>
        <v>#VALUE!</v>
      </c>
      <c r="DR7" t="e">
        <f>AND(Setup!E29,"AAAAAH6v+3k=")</f>
        <v>#VALUE!</v>
      </c>
      <c r="DS7" t="e">
        <f>AND(Setup!F29,"AAAAAH6v+3o=")</f>
        <v>#VALUE!</v>
      </c>
      <c r="DT7" t="e">
        <f>AND(Setup!G29,"AAAAAH6v+3s=")</f>
        <v>#VALUE!</v>
      </c>
      <c r="DU7" t="e">
        <f>AND(Setup!H29,"AAAAAH6v+3w=")</f>
        <v>#VALUE!</v>
      </c>
      <c r="DV7" t="e">
        <f>AND(Setup!I29,"AAAAAH6v+30=")</f>
        <v>#VALUE!</v>
      </c>
      <c r="DW7" t="e">
        <f>AND(Setup!J29,"AAAAAH6v+34=")</f>
        <v>#VALUE!</v>
      </c>
      <c r="DX7" t="e">
        <f>AND(Setup!K29,"AAAAAH6v+38=")</f>
        <v>#VALUE!</v>
      </c>
      <c r="DY7" t="e">
        <f>AND(Setup!L29,"AAAAAH6v+4A=")</f>
        <v>#VALUE!</v>
      </c>
      <c r="DZ7" t="e">
        <f>AND(Setup!M29,"AAAAAH6v+4E=")</f>
        <v>#VALUE!</v>
      </c>
      <c r="EA7" t="e">
        <f>AND(Setup!N29,"AAAAAH6v+4I=")</f>
        <v>#VALUE!</v>
      </c>
      <c r="EB7" t="e">
        <f>AND(Setup!O29,"AAAAAH6v+4M=")</f>
        <v>#VALUE!</v>
      </c>
      <c r="EC7" t="e">
        <f>AND(Setup!P29,"AAAAAH6v+4Q=")</f>
        <v>#VALUE!</v>
      </c>
      <c r="ED7" t="e">
        <f>AND(Setup!Q29,"AAAAAH6v+4U=")</f>
        <v>#VALUE!</v>
      </c>
      <c r="EE7" t="e">
        <f>AND(Setup!R29,"AAAAAH6v+4Y=")</f>
        <v>#VALUE!</v>
      </c>
      <c r="EF7" t="e">
        <f>AND(Setup!S29,"AAAAAH6v+4c=")</f>
        <v>#VALUE!</v>
      </c>
      <c r="EG7" t="e">
        <f>AND(Setup!T29,"AAAAAH6v+4g=")</f>
        <v>#VALUE!</v>
      </c>
      <c r="EH7" t="e">
        <f>AND(Setup!U29,"AAAAAH6v+4k=")</f>
        <v>#VALUE!</v>
      </c>
      <c r="EI7" t="e">
        <f>AND(Setup!V29,"AAAAAH6v+4o=")</f>
        <v>#VALUE!</v>
      </c>
      <c r="EJ7" t="e">
        <f>AND(Setup!W29,"AAAAAH6v+4s=")</f>
        <v>#VALUE!</v>
      </c>
      <c r="EK7" t="e">
        <f>AND(Setup!X29,"AAAAAH6v+4w=")</f>
        <v>#VALUE!</v>
      </c>
      <c r="EL7" t="e">
        <f>AND(Setup!Y29,"AAAAAH6v+40=")</f>
        <v>#VALUE!</v>
      </c>
      <c r="EM7" t="e">
        <f>AND(Setup!Z29,"AAAAAH6v+44=")</f>
        <v>#VALUE!</v>
      </c>
      <c r="EN7" t="e">
        <f>AND(Setup!AA29,"AAAAAH6v+48=")</f>
        <v>#VALUE!</v>
      </c>
      <c r="EO7" t="e">
        <f>AND(Setup!AB29,"AAAAAH6v+5A=")</f>
        <v>#VALUE!</v>
      </c>
      <c r="EP7" t="e">
        <f>AND(Setup!AC29,"AAAAAH6v+5E=")</f>
        <v>#VALUE!</v>
      </c>
      <c r="EQ7" t="e">
        <f>AND(Setup!AD29,"AAAAAH6v+5I=")</f>
        <v>#VALUE!</v>
      </c>
      <c r="ER7" t="e">
        <f>AND(Setup!AE29,"AAAAAH6v+5M=")</f>
        <v>#VALUE!</v>
      </c>
      <c r="ES7" t="e">
        <f>AND(Setup!AF29,"AAAAAH6v+5Q=")</f>
        <v>#VALUE!</v>
      </c>
      <c r="ET7" t="e">
        <f>AND(Setup!AG29,"AAAAAH6v+5U=")</f>
        <v>#VALUE!</v>
      </c>
      <c r="EU7" t="e">
        <f>AND(Setup!AH29,"AAAAAH6v+5Y=")</f>
        <v>#VALUE!</v>
      </c>
      <c r="EV7" t="e">
        <f>AND(Setup!AI29,"AAAAAH6v+5c=")</f>
        <v>#VALUE!</v>
      </c>
      <c r="EW7" t="e">
        <f>AND(Setup!AJ29,"AAAAAH6v+5g=")</f>
        <v>#VALUE!</v>
      </c>
      <c r="EX7" t="e">
        <f>AND(Setup!AK29,"AAAAAH6v+5k=")</f>
        <v>#VALUE!</v>
      </c>
      <c r="EY7" t="e">
        <f>AND(Setup!AL29,"AAAAAH6v+5o=")</f>
        <v>#VALUE!</v>
      </c>
      <c r="EZ7" t="e">
        <f>AND(Setup!AM29,"AAAAAH6v+5s=")</f>
        <v>#VALUE!</v>
      </c>
      <c r="FA7" t="e">
        <f>AND(Setup!AN29,"AAAAAH6v+5w=")</f>
        <v>#VALUE!</v>
      </c>
      <c r="FB7" t="e">
        <f>AND(Setup!AO29,"AAAAAH6v+50=")</f>
        <v>#VALUE!</v>
      </c>
      <c r="FC7" t="e">
        <f>AND(Setup!AP29,"AAAAAH6v+54=")</f>
        <v>#VALUE!</v>
      </c>
      <c r="FD7" t="e">
        <f>AND(Setup!AQ29,"AAAAAH6v+58=")</f>
        <v>#VALUE!</v>
      </c>
      <c r="FE7" t="e">
        <f>AND(Setup!AR29,"AAAAAH6v+6A=")</f>
        <v>#VALUE!</v>
      </c>
      <c r="FF7" t="e">
        <f>AND(Setup!AS29,"AAAAAH6v+6E=")</f>
        <v>#VALUE!</v>
      </c>
      <c r="FG7" t="e">
        <f>AND(Setup!AT29,"AAAAAH6v+6I=")</f>
        <v>#VALUE!</v>
      </c>
      <c r="FH7" t="e">
        <f>AND(Setup!AU29,"AAAAAH6v+6M=")</f>
        <v>#VALUE!</v>
      </c>
      <c r="FI7" t="e">
        <f>AND(Setup!AV29,"AAAAAH6v+6Q=")</f>
        <v>#VALUE!</v>
      </c>
      <c r="FJ7" t="e">
        <f>AND(Setup!AW29,"AAAAAH6v+6U=")</f>
        <v>#VALUE!</v>
      </c>
      <c r="FK7" t="e">
        <f>AND(Setup!AX29,"AAAAAH6v+6Y=")</f>
        <v>#VALUE!</v>
      </c>
      <c r="FL7" t="e">
        <f>AND(Setup!AY29,"AAAAAH6v+6c=")</f>
        <v>#VALUE!</v>
      </c>
      <c r="FM7" t="e">
        <f>AND(Setup!AZ29,"AAAAAH6v+6g=")</f>
        <v>#VALUE!</v>
      </c>
      <c r="FN7" t="e">
        <f>AND(Setup!BA29,"AAAAAH6v+6k=")</f>
        <v>#VALUE!</v>
      </c>
      <c r="FO7" t="e">
        <f>AND(Setup!BB29,"AAAAAH6v+6o=")</f>
        <v>#VALUE!</v>
      </c>
      <c r="FP7" t="e">
        <f>AND(Setup!BC29,"AAAAAH6v+6s=")</f>
        <v>#VALUE!</v>
      </c>
      <c r="FQ7" t="e">
        <f>AND(Setup!BD29,"AAAAAH6v+6w=")</f>
        <v>#VALUE!</v>
      </c>
      <c r="FR7" t="e">
        <f>AND(Setup!BE29,"AAAAAH6v+60=")</f>
        <v>#VALUE!</v>
      </c>
      <c r="FS7" t="e">
        <f>AND(Setup!BF29,"AAAAAH6v+64=")</f>
        <v>#VALUE!</v>
      </c>
      <c r="FT7">
        <f>IF(Setup!30:30,"AAAAAH6v+68=",0)</f>
        <v>0</v>
      </c>
      <c r="FU7" t="e">
        <f>AND(Setup!A30,"AAAAAH6v+7A=")</f>
        <v>#VALUE!</v>
      </c>
      <c r="FV7" t="e">
        <f>AND(Setup!B30,"AAAAAH6v+7E=")</f>
        <v>#VALUE!</v>
      </c>
      <c r="FW7" t="e">
        <f>AND(Setup!C30,"AAAAAH6v+7I=")</f>
        <v>#VALUE!</v>
      </c>
      <c r="FX7" t="e">
        <f>AND(Setup!D30,"AAAAAH6v+7M=")</f>
        <v>#VALUE!</v>
      </c>
      <c r="FY7" t="e">
        <f>AND(Setup!E30,"AAAAAH6v+7Q=")</f>
        <v>#VALUE!</v>
      </c>
      <c r="FZ7" t="e">
        <f>AND(Setup!F30,"AAAAAH6v+7U=")</f>
        <v>#VALUE!</v>
      </c>
      <c r="GA7" t="e">
        <f>AND(Setup!G30,"AAAAAH6v+7Y=")</f>
        <v>#VALUE!</v>
      </c>
      <c r="GB7" t="e">
        <f>AND(Setup!H30,"AAAAAH6v+7c=")</f>
        <v>#VALUE!</v>
      </c>
      <c r="GC7" t="e">
        <f>AND(Setup!I30,"AAAAAH6v+7g=")</f>
        <v>#VALUE!</v>
      </c>
      <c r="GD7" t="e">
        <f>AND(Setup!J30,"AAAAAH6v+7k=")</f>
        <v>#VALUE!</v>
      </c>
      <c r="GE7" t="e">
        <f>AND(Setup!K30,"AAAAAH6v+7o=")</f>
        <v>#VALUE!</v>
      </c>
      <c r="GF7" t="e">
        <f>AND(Setup!L30,"AAAAAH6v+7s=")</f>
        <v>#VALUE!</v>
      </c>
      <c r="GG7" t="e">
        <f>AND(Setup!M30,"AAAAAH6v+7w=")</f>
        <v>#VALUE!</v>
      </c>
      <c r="GH7" t="e">
        <f>AND(Setup!N30,"AAAAAH6v+70=")</f>
        <v>#VALUE!</v>
      </c>
      <c r="GI7" t="e">
        <f>AND(Setup!O30,"AAAAAH6v+74=")</f>
        <v>#VALUE!</v>
      </c>
      <c r="GJ7" t="e">
        <f>AND(Setup!P30,"AAAAAH6v+78=")</f>
        <v>#VALUE!</v>
      </c>
      <c r="GK7" t="e">
        <f>AND(Setup!Q30,"AAAAAH6v+8A=")</f>
        <v>#VALUE!</v>
      </c>
      <c r="GL7" t="e">
        <f>AND(Setup!R30,"AAAAAH6v+8E=")</f>
        <v>#VALUE!</v>
      </c>
      <c r="GM7" t="e">
        <f>AND(Setup!S30,"AAAAAH6v+8I=")</f>
        <v>#VALUE!</v>
      </c>
      <c r="GN7" t="e">
        <f>AND(Setup!T30,"AAAAAH6v+8M=")</f>
        <v>#VALUE!</v>
      </c>
      <c r="GO7" t="e">
        <f>AND(Setup!U30,"AAAAAH6v+8Q=")</f>
        <v>#VALUE!</v>
      </c>
      <c r="GP7" t="e">
        <f>AND(Setup!V30,"AAAAAH6v+8U=")</f>
        <v>#VALUE!</v>
      </c>
      <c r="GQ7" t="e">
        <f>AND(Setup!W30,"AAAAAH6v+8Y=")</f>
        <v>#VALUE!</v>
      </c>
      <c r="GR7" t="e">
        <f>AND(Setup!X30,"AAAAAH6v+8c=")</f>
        <v>#VALUE!</v>
      </c>
      <c r="GS7" t="e">
        <f>AND(Setup!Y30,"AAAAAH6v+8g=")</f>
        <v>#VALUE!</v>
      </c>
      <c r="GT7" t="e">
        <f>AND(Setup!Z30,"AAAAAH6v+8k=")</f>
        <v>#VALUE!</v>
      </c>
      <c r="GU7" t="e">
        <f>AND(Setup!AA30,"AAAAAH6v+8o=")</f>
        <v>#VALUE!</v>
      </c>
      <c r="GV7" t="e">
        <f>AND(Setup!AB30,"AAAAAH6v+8s=")</f>
        <v>#VALUE!</v>
      </c>
      <c r="GW7" t="e">
        <f>AND(Setup!AC30,"AAAAAH6v+8w=")</f>
        <v>#VALUE!</v>
      </c>
      <c r="GX7" t="e">
        <f>AND(Setup!AD30,"AAAAAH6v+80=")</f>
        <v>#VALUE!</v>
      </c>
      <c r="GY7" t="e">
        <f>AND(Setup!AE30,"AAAAAH6v+84=")</f>
        <v>#VALUE!</v>
      </c>
      <c r="GZ7" t="e">
        <f>AND(Setup!AF30,"AAAAAH6v+88=")</f>
        <v>#VALUE!</v>
      </c>
      <c r="HA7" t="e">
        <f>AND(Setup!AG30,"AAAAAH6v+9A=")</f>
        <v>#VALUE!</v>
      </c>
      <c r="HB7" t="e">
        <f>AND(Setup!AH30,"AAAAAH6v+9E=")</f>
        <v>#VALUE!</v>
      </c>
      <c r="HC7" t="e">
        <f>AND(Setup!AI30,"AAAAAH6v+9I=")</f>
        <v>#VALUE!</v>
      </c>
      <c r="HD7" t="e">
        <f>AND(Setup!AJ30,"AAAAAH6v+9M=")</f>
        <v>#VALUE!</v>
      </c>
      <c r="HE7" t="e">
        <f>AND(Setup!AK30,"AAAAAH6v+9Q=")</f>
        <v>#VALUE!</v>
      </c>
      <c r="HF7" t="e">
        <f>AND(Setup!AL30,"AAAAAH6v+9U=")</f>
        <v>#VALUE!</v>
      </c>
      <c r="HG7" t="e">
        <f>AND(Setup!AM30,"AAAAAH6v+9Y=")</f>
        <v>#VALUE!</v>
      </c>
      <c r="HH7" t="e">
        <f>AND(Setup!AN30,"AAAAAH6v+9c=")</f>
        <v>#VALUE!</v>
      </c>
      <c r="HI7" t="e">
        <f>AND(Setup!AO30,"AAAAAH6v+9g=")</f>
        <v>#VALUE!</v>
      </c>
      <c r="HJ7" t="e">
        <f>AND(Setup!AP30,"AAAAAH6v+9k=")</f>
        <v>#VALUE!</v>
      </c>
      <c r="HK7" t="e">
        <f>AND(Setup!AQ30,"AAAAAH6v+9o=")</f>
        <v>#VALUE!</v>
      </c>
      <c r="HL7" t="e">
        <f>AND(Setup!AR30,"AAAAAH6v+9s=")</f>
        <v>#VALUE!</v>
      </c>
      <c r="HM7" t="e">
        <f>AND(Setup!AS30,"AAAAAH6v+9w=")</f>
        <v>#VALUE!</v>
      </c>
      <c r="HN7" t="e">
        <f>AND(Setup!AT30,"AAAAAH6v+90=")</f>
        <v>#VALUE!</v>
      </c>
      <c r="HO7" t="e">
        <f>AND(Setup!AU30,"AAAAAH6v+94=")</f>
        <v>#VALUE!</v>
      </c>
      <c r="HP7" t="e">
        <f>AND(Setup!AV30,"AAAAAH6v+98=")</f>
        <v>#VALUE!</v>
      </c>
      <c r="HQ7" t="e">
        <f>AND(Setup!AW30,"AAAAAH6v++A=")</f>
        <v>#VALUE!</v>
      </c>
      <c r="HR7" t="e">
        <f>AND(Setup!AX30,"AAAAAH6v++E=")</f>
        <v>#VALUE!</v>
      </c>
      <c r="HS7" t="e">
        <f>AND(Setup!AY30,"AAAAAH6v++I=")</f>
        <v>#VALUE!</v>
      </c>
      <c r="HT7" t="e">
        <f>AND(Setup!AZ30,"AAAAAH6v++M=")</f>
        <v>#VALUE!</v>
      </c>
      <c r="HU7" t="e">
        <f>AND(Setup!BA30,"AAAAAH6v++Q=")</f>
        <v>#VALUE!</v>
      </c>
      <c r="HV7" t="e">
        <f>AND(Setup!BB30,"AAAAAH6v++U=")</f>
        <v>#VALUE!</v>
      </c>
      <c r="HW7" t="e">
        <f>AND(Setup!BC30,"AAAAAH6v++Y=")</f>
        <v>#VALUE!</v>
      </c>
      <c r="HX7" t="e">
        <f>AND(Setup!BD30,"AAAAAH6v++c=")</f>
        <v>#VALUE!</v>
      </c>
      <c r="HY7" t="e">
        <f>AND(Setup!BE30,"AAAAAH6v++g=")</f>
        <v>#VALUE!</v>
      </c>
      <c r="HZ7" t="e">
        <f>AND(Setup!BF30,"AAAAAH6v++k=")</f>
        <v>#VALUE!</v>
      </c>
      <c r="IA7">
        <f>IF(Setup!31:31,"AAAAAH6v++o=",0)</f>
        <v>0</v>
      </c>
      <c r="IB7" t="e">
        <f>AND(Setup!A31,"AAAAAH6v++s=")</f>
        <v>#VALUE!</v>
      </c>
      <c r="IC7" t="e">
        <f>AND(Setup!B31,"AAAAAH6v++w=")</f>
        <v>#VALUE!</v>
      </c>
      <c r="ID7" t="e">
        <f>AND(Setup!C31,"AAAAAH6v++0=")</f>
        <v>#VALUE!</v>
      </c>
      <c r="IE7" t="e">
        <f>AND(Setup!D31,"AAAAAH6v++4=")</f>
        <v>#VALUE!</v>
      </c>
      <c r="IF7" t="e">
        <f>AND(Setup!E31,"AAAAAH6v++8=")</f>
        <v>#VALUE!</v>
      </c>
      <c r="IG7" t="e">
        <f>AND(Setup!F31,"AAAAAH6v+/A=")</f>
        <v>#VALUE!</v>
      </c>
      <c r="IH7" t="e">
        <f>AND(Setup!G31,"AAAAAH6v+/E=")</f>
        <v>#VALUE!</v>
      </c>
      <c r="II7" t="e">
        <f>AND(Setup!H31,"AAAAAH6v+/I=")</f>
        <v>#VALUE!</v>
      </c>
      <c r="IJ7" t="e">
        <f>AND(Setup!I31,"AAAAAH6v+/M=")</f>
        <v>#VALUE!</v>
      </c>
      <c r="IK7" t="e">
        <f>AND(Setup!J31,"AAAAAH6v+/Q=")</f>
        <v>#VALUE!</v>
      </c>
      <c r="IL7" t="e">
        <f>AND(Setup!K31,"AAAAAH6v+/U=")</f>
        <v>#VALUE!</v>
      </c>
      <c r="IM7" t="e">
        <f>AND(Setup!L31,"AAAAAH6v+/Y=")</f>
        <v>#VALUE!</v>
      </c>
      <c r="IN7" t="e">
        <f>AND(Setup!M31,"AAAAAH6v+/c=")</f>
        <v>#VALUE!</v>
      </c>
      <c r="IO7" t="e">
        <f>AND(Setup!N31,"AAAAAH6v+/g=")</f>
        <v>#VALUE!</v>
      </c>
      <c r="IP7" t="e">
        <f>AND(Setup!O31,"AAAAAH6v+/k=")</f>
        <v>#VALUE!</v>
      </c>
      <c r="IQ7" t="e">
        <f>AND(Setup!P31,"AAAAAH6v+/o=")</f>
        <v>#VALUE!</v>
      </c>
      <c r="IR7" t="e">
        <f>AND(Setup!Q31,"AAAAAH6v+/s=")</f>
        <v>#VALUE!</v>
      </c>
      <c r="IS7" t="e">
        <f>AND(Setup!R31,"AAAAAH6v+/w=")</f>
        <v>#VALUE!</v>
      </c>
      <c r="IT7" t="e">
        <f>AND(Setup!S31,"AAAAAH6v+/0=")</f>
        <v>#VALUE!</v>
      </c>
      <c r="IU7" t="e">
        <f>AND(Setup!T31,"AAAAAH6v+/4=")</f>
        <v>#VALUE!</v>
      </c>
      <c r="IV7" t="e">
        <f>AND(Setup!U31,"AAAAAH6v+/8=")</f>
        <v>#VALUE!</v>
      </c>
    </row>
    <row r="8" spans="1:256">
      <c r="A8" t="e">
        <f>AND(Setup!V31,"AAAAAHvb/wA=")</f>
        <v>#VALUE!</v>
      </c>
      <c r="B8" t="e">
        <f>AND(Setup!W31,"AAAAAHvb/wE=")</f>
        <v>#VALUE!</v>
      </c>
      <c r="C8" t="e">
        <f>AND(Setup!X31,"AAAAAHvb/wI=")</f>
        <v>#VALUE!</v>
      </c>
      <c r="D8" t="e">
        <f>AND(Setup!Y31,"AAAAAHvb/wM=")</f>
        <v>#VALUE!</v>
      </c>
      <c r="E8" t="e">
        <f>AND(Setup!Z31,"AAAAAHvb/wQ=")</f>
        <v>#VALUE!</v>
      </c>
      <c r="F8" t="e">
        <f>AND(Setup!AA31,"AAAAAHvb/wU=")</f>
        <v>#VALUE!</v>
      </c>
      <c r="G8" t="e">
        <f>AND(Setup!AB31,"AAAAAHvb/wY=")</f>
        <v>#VALUE!</v>
      </c>
      <c r="H8" t="e">
        <f>AND(Setup!AC31,"AAAAAHvb/wc=")</f>
        <v>#VALUE!</v>
      </c>
      <c r="I8" t="e">
        <f>AND(Setup!AD31,"AAAAAHvb/wg=")</f>
        <v>#VALUE!</v>
      </c>
      <c r="J8" t="e">
        <f>AND(Setup!AE31,"AAAAAHvb/wk=")</f>
        <v>#VALUE!</v>
      </c>
      <c r="K8" t="e">
        <f>AND(Setup!AF31,"AAAAAHvb/wo=")</f>
        <v>#VALUE!</v>
      </c>
      <c r="L8" t="e">
        <f>AND(Setup!AG31,"AAAAAHvb/ws=")</f>
        <v>#VALUE!</v>
      </c>
      <c r="M8" t="e">
        <f>AND(Setup!AH31,"AAAAAHvb/ww=")</f>
        <v>#VALUE!</v>
      </c>
      <c r="N8" t="e">
        <f>AND(Setup!AI31,"AAAAAHvb/w0=")</f>
        <v>#VALUE!</v>
      </c>
      <c r="O8" t="e">
        <f>AND(Setup!AJ31,"AAAAAHvb/w4=")</f>
        <v>#VALUE!</v>
      </c>
      <c r="P8" t="e">
        <f>AND(Setup!AK31,"AAAAAHvb/w8=")</f>
        <v>#VALUE!</v>
      </c>
      <c r="Q8" t="e">
        <f>AND(Setup!AL31,"AAAAAHvb/xA=")</f>
        <v>#VALUE!</v>
      </c>
      <c r="R8" t="e">
        <f>AND(Setup!AM31,"AAAAAHvb/xE=")</f>
        <v>#VALUE!</v>
      </c>
      <c r="S8" t="e">
        <f>AND(Setup!AN31,"AAAAAHvb/xI=")</f>
        <v>#VALUE!</v>
      </c>
      <c r="T8" t="e">
        <f>AND(Setup!AO31,"AAAAAHvb/xM=")</f>
        <v>#VALUE!</v>
      </c>
      <c r="U8" t="e">
        <f>AND(Setup!AP31,"AAAAAHvb/xQ=")</f>
        <v>#VALUE!</v>
      </c>
      <c r="V8" t="e">
        <f>AND(Setup!AQ31,"AAAAAHvb/xU=")</f>
        <v>#VALUE!</v>
      </c>
      <c r="W8" t="e">
        <f>AND(Setup!AR31,"AAAAAHvb/xY=")</f>
        <v>#VALUE!</v>
      </c>
      <c r="X8" t="e">
        <f>AND(Setup!AS31,"AAAAAHvb/xc=")</f>
        <v>#VALUE!</v>
      </c>
      <c r="Y8" t="e">
        <f>AND(Setup!AT31,"AAAAAHvb/xg=")</f>
        <v>#VALUE!</v>
      </c>
      <c r="Z8" t="e">
        <f>AND(Setup!AU31,"AAAAAHvb/xk=")</f>
        <v>#VALUE!</v>
      </c>
      <c r="AA8" t="e">
        <f>AND(Setup!AV31,"AAAAAHvb/xo=")</f>
        <v>#VALUE!</v>
      </c>
      <c r="AB8" t="e">
        <f>AND(Setup!AW31,"AAAAAHvb/xs=")</f>
        <v>#VALUE!</v>
      </c>
      <c r="AC8" t="e">
        <f>AND(Setup!AX31,"AAAAAHvb/xw=")</f>
        <v>#VALUE!</v>
      </c>
      <c r="AD8" t="e">
        <f>AND(Setup!AY31,"AAAAAHvb/x0=")</f>
        <v>#VALUE!</v>
      </c>
      <c r="AE8" t="e">
        <f>AND(Setup!AZ31,"AAAAAHvb/x4=")</f>
        <v>#VALUE!</v>
      </c>
      <c r="AF8" t="e">
        <f>AND(Setup!BA31,"AAAAAHvb/x8=")</f>
        <v>#VALUE!</v>
      </c>
      <c r="AG8" t="e">
        <f>AND(Setup!BB31,"AAAAAHvb/yA=")</f>
        <v>#VALUE!</v>
      </c>
      <c r="AH8" t="e">
        <f>AND(Setup!BC31,"AAAAAHvb/yE=")</f>
        <v>#VALUE!</v>
      </c>
      <c r="AI8" t="e">
        <f>AND(Setup!BD31,"AAAAAHvb/yI=")</f>
        <v>#VALUE!</v>
      </c>
      <c r="AJ8" t="e">
        <f>AND(Setup!BE31,"AAAAAHvb/yM=")</f>
        <v>#VALUE!</v>
      </c>
      <c r="AK8" t="e">
        <f>AND(Setup!BF31,"AAAAAHvb/yQ=")</f>
        <v>#VALUE!</v>
      </c>
      <c r="AL8">
        <f>IF(Setup!32:32,"AAAAAHvb/yU=",0)</f>
        <v>0</v>
      </c>
      <c r="AM8" t="e">
        <f>AND(Setup!A32,"AAAAAHvb/yY=")</f>
        <v>#VALUE!</v>
      </c>
      <c r="AN8" t="e">
        <f>AND(Setup!B32,"AAAAAHvb/yc=")</f>
        <v>#VALUE!</v>
      </c>
      <c r="AO8" t="e">
        <f>AND(Setup!C32,"AAAAAHvb/yg=")</f>
        <v>#VALUE!</v>
      </c>
      <c r="AP8" t="e">
        <f>AND(Setup!D32,"AAAAAHvb/yk=")</f>
        <v>#VALUE!</v>
      </c>
      <c r="AQ8" t="e">
        <f>AND(Setup!E32,"AAAAAHvb/yo=")</f>
        <v>#VALUE!</v>
      </c>
      <c r="AR8" t="e">
        <f>AND(Setup!F32,"AAAAAHvb/ys=")</f>
        <v>#VALUE!</v>
      </c>
      <c r="AS8" t="e">
        <f>AND(Setup!G32,"AAAAAHvb/yw=")</f>
        <v>#VALUE!</v>
      </c>
      <c r="AT8" t="e">
        <f>AND(Setup!H32,"AAAAAHvb/y0=")</f>
        <v>#VALUE!</v>
      </c>
      <c r="AU8" t="e">
        <f>AND(Setup!I32,"AAAAAHvb/y4=")</f>
        <v>#VALUE!</v>
      </c>
      <c r="AV8" t="e">
        <f>AND(Setup!J32,"AAAAAHvb/y8=")</f>
        <v>#VALUE!</v>
      </c>
      <c r="AW8" t="e">
        <f>AND(Setup!K32,"AAAAAHvb/zA=")</f>
        <v>#VALUE!</v>
      </c>
      <c r="AX8" t="e">
        <f>AND(Setup!L32,"AAAAAHvb/zE=")</f>
        <v>#VALUE!</v>
      </c>
      <c r="AY8" t="e">
        <f>AND(Setup!M32,"AAAAAHvb/zI=")</f>
        <v>#VALUE!</v>
      </c>
      <c r="AZ8" t="e">
        <f>AND(Setup!N32,"AAAAAHvb/zM=")</f>
        <v>#VALUE!</v>
      </c>
      <c r="BA8" t="e">
        <f>AND(Setup!O32,"AAAAAHvb/zQ=")</f>
        <v>#VALUE!</v>
      </c>
      <c r="BB8" t="e">
        <f>AND(Setup!P32,"AAAAAHvb/zU=")</f>
        <v>#VALUE!</v>
      </c>
      <c r="BC8" t="e">
        <f>AND(Setup!Q32,"AAAAAHvb/zY=")</f>
        <v>#VALUE!</v>
      </c>
      <c r="BD8" t="e">
        <f>AND(Setup!R32,"AAAAAHvb/zc=")</f>
        <v>#VALUE!</v>
      </c>
      <c r="BE8" t="e">
        <f>AND(Setup!S32,"AAAAAHvb/zg=")</f>
        <v>#VALUE!</v>
      </c>
      <c r="BF8" t="e">
        <f>AND(Setup!T32,"AAAAAHvb/zk=")</f>
        <v>#VALUE!</v>
      </c>
      <c r="BG8" t="e">
        <f>AND(Setup!U32,"AAAAAHvb/zo=")</f>
        <v>#VALUE!</v>
      </c>
      <c r="BH8" t="e">
        <f>AND(Setup!V32,"AAAAAHvb/zs=")</f>
        <v>#VALUE!</v>
      </c>
      <c r="BI8" t="e">
        <f>AND(Setup!W32,"AAAAAHvb/zw=")</f>
        <v>#VALUE!</v>
      </c>
      <c r="BJ8" t="e">
        <f>AND(Setup!X32,"AAAAAHvb/z0=")</f>
        <v>#VALUE!</v>
      </c>
      <c r="BK8" t="e">
        <f>AND(Setup!Y32,"AAAAAHvb/z4=")</f>
        <v>#VALUE!</v>
      </c>
      <c r="BL8" t="e">
        <f>AND(Setup!Z32,"AAAAAHvb/z8=")</f>
        <v>#VALUE!</v>
      </c>
      <c r="BM8" t="e">
        <f>AND(Setup!AA32,"AAAAAHvb/0A=")</f>
        <v>#VALUE!</v>
      </c>
      <c r="BN8" t="e">
        <f>AND(Setup!AB32,"AAAAAHvb/0E=")</f>
        <v>#VALUE!</v>
      </c>
      <c r="BO8" t="e">
        <f>AND(Setup!AC32,"AAAAAHvb/0I=")</f>
        <v>#VALUE!</v>
      </c>
      <c r="BP8" t="e">
        <f>AND(Setup!AD32,"AAAAAHvb/0M=")</f>
        <v>#VALUE!</v>
      </c>
      <c r="BQ8" t="e">
        <f>AND(Setup!AE32,"AAAAAHvb/0Q=")</f>
        <v>#VALUE!</v>
      </c>
      <c r="BR8" t="e">
        <f>AND(Setup!AF32,"AAAAAHvb/0U=")</f>
        <v>#VALUE!</v>
      </c>
      <c r="BS8" t="e">
        <f>AND(Setup!AG32,"AAAAAHvb/0Y=")</f>
        <v>#VALUE!</v>
      </c>
      <c r="BT8" t="e">
        <f>AND(Setup!AH32,"AAAAAHvb/0c=")</f>
        <v>#VALUE!</v>
      </c>
      <c r="BU8" t="e">
        <f>AND(Setup!AI32,"AAAAAHvb/0g=")</f>
        <v>#VALUE!</v>
      </c>
      <c r="BV8" t="e">
        <f>AND(Setup!AJ32,"AAAAAHvb/0k=")</f>
        <v>#VALUE!</v>
      </c>
      <c r="BW8" t="e">
        <f>AND(Setup!AK32,"AAAAAHvb/0o=")</f>
        <v>#VALUE!</v>
      </c>
      <c r="BX8" t="e">
        <f>AND(Setup!AL32,"AAAAAHvb/0s=")</f>
        <v>#VALUE!</v>
      </c>
      <c r="BY8" t="e">
        <f>AND(Setup!AM32,"AAAAAHvb/0w=")</f>
        <v>#VALUE!</v>
      </c>
      <c r="BZ8" t="e">
        <f>AND(Setup!AN32,"AAAAAHvb/00=")</f>
        <v>#VALUE!</v>
      </c>
      <c r="CA8" t="e">
        <f>AND(Setup!AO32,"AAAAAHvb/04=")</f>
        <v>#VALUE!</v>
      </c>
      <c r="CB8" t="e">
        <f>AND(Setup!AP32,"AAAAAHvb/08=")</f>
        <v>#VALUE!</v>
      </c>
      <c r="CC8" t="e">
        <f>AND(Setup!AQ32,"AAAAAHvb/1A=")</f>
        <v>#VALUE!</v>
      </c>
      <c r="CD8" t="e">
        <f>AND(Setup!AR32,"AAAAAHvb/1E=")</f>
        <v>#VALUE!</v>
      </c>
      <c r="CE8" t="e">
        <f>AND(Setup!AS32,"AAAAAHvb/1I=")</f>
        <v>#VALUE!</v>
      </c>
      <c r="CF8" t="e">
        <f>AND(Setup!AT32,"AAAAAHvb/1M=")</f>
        <v>#VALUE!</v>
      </c>
      <c r="CG8" t="e">
        <f>AND(Setup!AU32,"AAAAAHvb/1Q=")</f>
        <v>#VALUE!</v>
      </c>
      <c r="CH8" t="e">
        <f>AND(Setup!AV32,"AAAAAHvb/1U=")</f>
        <v>#VALUE!</v>
      </c>
      <c r="CI8" t="e">
        <f>AND(Setup!AW32,"AAAAAHvb/1Y=")</f>
        <v>#VALUE!</v>
      </c>
      <c r="CJ8" t="e">
        <f>AND(Setup!AX32,"AAAAAHvb/1c=")</f>
        <v>#VALUE!</v>
      </c>
      <c r="CK8" t="e">
        <f>AND(Setup!AY32,"AAAAAHvb/1g=")</f>
        <v>#VALUE!</v>
      </c>
      <c r="CL8" t="e">
        <f>AND(Setup!AZ32,"AAAAAHvb/1k=")</f>
        <v>#VALUE!</v>
      </c>
      <c r="CM8" t="e">
        <f>AND(Setup!BA32,"AAAAAHvb/1o=")</f>
        <v>#VALUE!</v>
      </c>
      <c r="CN8" t="e">
        <f>AND(Setup!BB32,"AAAAAHvb/1s=")</f>
        <v>#VALUE!</v>
      </c>
      <c r="CO8" t="e">
        <f>AND(Setup!BC32,"AAAAAHvb/1w=")</f>
        <v>#VALUE!</v>
      </c>
      <c r="CP8" t="e">
        <f>AND(Setup!BD32,"AAAAAHvb/10=")</f>
        <v>#VALUE!</v>
      </c>
      <c r="CQ8" t="e">
        <f>AND(Setup!BE32,"AAAAAHvb/14=")</f>
        <v>#VALUE!</v>
      </c>
      <c r="CR8" t="e">
        <f>AND(Setup!BF32,"AAAAAHvb/18=")</f>
        <v>#VALUE!</v>
      </c>
      <c r="CS8">
        <f>IF(Setup!33:33,"AAAAAHvb/2A=",0)</f>
        <v>0</v>
      </c>
      <c r="CT8" t="e">
        <f>AND(Setup!A33,"AAAAAHvb/2E=")</f>
        <v>#VALUE!</v>
      </c>
      <c r="CU8" t="e">
        <f>AND(Setup!B33,"AAAAAHvb/2I=")</f>
        <v>#VALUE!</v>
      </c>
      <c r="CV8" t="e">
        <f>AND(Setup!C33,"AAAAAHvb/2M=")</f>
        <v>#VALUE!</v>
      </c>
      <c r="CW8" t="e">
        <f>AND(Setup!D33,"AAAAAHvb/2Q=")</f>
        <v>#VALUE!</v>
      </c>
      <c r="CX8" t="e">
        <f>AND(Setup!E33,"AAAAAHvb/2U=")</f>
        <v>#VALUE!</v>
      </c>
      <c r="CY8" t="e">
        <f>AND(Setup!F33,"AAAAAHvb/2Y=")</f>
        <v>#VALUE!</v>
      </c>
      <c r="CZ8" t="e">
        <f>AND(Setup!G33,"AAAAAHvb/2c=")</f>
        <v>#VALUE!</v>
      </c>
      <c r="DA8" t="e">
        <f>AND(Setup!H33,"AAAAAHvb/2g=")</f>
        <v>#VALUE!</v>
      </c>
      <c r="DB8" t="e">
        <f>AND(Setup!I33,"AAAAAHvb/2k=")</f>
        <v>#VALUE!</v>
      </c>
      <c r="DC8" t="e">
        <f>AND(Setup!J33,"AAAAAHvb/2o=")</f>
        <v>#VALUE!</v>
      </c>
      <c r="DD8" t="e">
        <f>AND(Setup!K33,"AAAAAHvb/2s=")</f>
        <v>#VALUE!</v>
      </c>
      <c r="DE8" t="e">
        <f>AND(Setup!L33,"AAAAAHvb/2w=")</f>
        <v>#VALUE!</v>
      </c>
      <c r="DF8" t="e">
        <f>AND(Setup!M33,"AAAAAHvb/20=")</f>
        <v>#VALUE!</v>
      </c>
      <c r="DG8" t="e">
        <f>AND(Setup!N33,"AAAAAHvb/24=")</f>
        <v>#VALUE!</v>
      </c>
      <c r="DH8" t="e">
        <f>AND(Setup!O33,"AAAAAHvb/28=")</f>
        <v>#VALUE!</v>
      </c>
      <c r="DI8" t="e">
        <f>AND(Setup!P33,"AAAAAHvb/3A=")</f>
        <v>#VALUE!</v>
      </c>
      <c r="DJ8" t="e">
        <f>AND(Setup!Q33,"AAAAAHvb/3E=")</f>
        <v>#VALUE!</v>
      </c>
      <c r="DK8" t="e">
        <f>AND(Setup!R33,"AAAAAHvb/3I=")</f>
        <v>#VALUE!</v>
      </c>
      <c r="DL8" t="e">
        <f>AND(Setup!S33,"AAAAAHvb/3M=")</f>
        <v>#VALUE!</v>
      </c>
      <c r="DM8" t="e">
        <f>AND(Setup!T33,"AAAAAHvb/3Q=")</f>
        <v>#VALUE!</v>
      </c>
      <c r="DN8" t="e">
        <f>AND(Setup!U33,"AAAAAHvb/3U=")</f>
        <v>#VALUE!</v>
      </c>
      <c r="DO8" t="e">
        <f>AND(Setup!V33,"AAAAAHvb/3Y=")</f>
        <v>#VALUE!</v>
      </c>
      <c r="DP8" t="e">
        <f>AND(Setup!W33,"AAAAAHvb/3c=")</f>
        <v>#VALUE!</v>
      </c>
      <c r="DQ8" t="e">
        <f>AND(Setup!X33,"AAAAAHvb/3g=")</f>
        <v>#VALUE!</v>
      </c>
      <c r="DR8" t="e">
        <f>AND(Setup!Y33,"AAAAAHvb/3k=")</f>
        <v>#VALUE!</v>
      </c>
      <c r="DS8" t="e">
        <f>AND(Setup!Z33,"AAAAAHvb/3o=")</f>
        <v>#VALUE!</v>
      </c>
      <c r="DT8" t="e">
        <f>AND(Setup!AA33,"AAAAAHvb/3s=")</f>
        <v>#VALUE!</v>
      </c>
      <c r="DU8" t="e">
        <f>AND(Setup!AB33,"AAAAAHvb/3w=")</f>
        <v>#VALUE!</v>
      </c>
      <c r="DV8" t="e">
        <f>AND(Setup!AC33,"AAAAAHvb/30=")</f>
        <v>#VALUE!</v>
      </c>
      <c r="DW8" t="e">
        <f>AND(Setup!AD33,"AAAAAHvb/34=")</f>
        <v>#VALUE!</v>
      </c>
      <c r="DX8" t="e">
        <f>AND(Setup!AE33,"AAAAAHvb/38=")</f>
        <v>#VALUE!</v>
      </c>
      <c r="DY8" t="e">
        <f>AND(Setup!AF33,"AAAAAHvb/4A=")</f>
        <v>#VALUE!</v>
      </c>
      <c r="DZ8" t="e">
        <f>AND(Setup!AG33,"AAAAAHvb/4E=")</f>
        <v>#VALUE!</v>
      </c>
      <c r="EA8" t="e">
        <f>AND(Setup!AH33,"AAAAAHvb/4I=")</f>
        <v>#VALUE!</v>
      </c>
      <c r="EB8" t="e">
        <f>AND(Setup!AI33,"AAAAAHvb/4M=")</f>
        <v>#VALUE!</v>
      </c>
      <c r="EC8" t="e">
        <f>AND(Setup!AJ33,"AAAAAHvb/4Q=")</f>
        <v>#VALUE!</v>
      </c>
      <c r="ED8" t="e">
        <f>AND(Setup!AK33,"AAAAAHvb/4U=")</f>
        <v>#VALUE!</v>
      </c>
      <c r="EE8" t="e">
        <f>AND(Setup!AL33,"AAAAAHvb/4Y=")</f>
        <v>#VALUE!</v>
      </c>
      <c r="EF8" t="e">
        <f>AND(Setup!AM33,"AAAAAHvb/4c=")</f>
        <v>#VALUE!</v>
      </c>
      <c r="EG8" t="e">
        <f>AND(Setup!AN33,"AAAAAHvb/4g=")</f>
        <v>#VALUE!</v>
      </c>
      <c r="EH8" t="e">
        <f>AND(Setup!AO33,"AAAAAHvb/4k=")</f>
        <v>#VALUE!</v>
      </c>
      <c r="EI8" t="e">
        <f>AND(Setup!AP33,"AAAAAHvb/4o=")</f>
        <v>#VALUE!</v>
      </c>
      <c r="EJ8" t="e">
        <f>AND(Setup!AQ33,"AAAAAHvb/4s=")</f>
        <v>#VALUE!</v>
      </c>
      <c r="EK8" t="e">
        <f>AND(Setup!AR33,"AAAAAHvb/4w=")</f>
        <v>#VALUE!</v>
      </c>
      <c r="EL8" t="e">
        <f>AND(Setup!AS33,"AAAAAHvb/40=")</f>
        <v>#VALUE!</v>
      </c>
      <c r="EM8" t="e">
        <f>AND(Setup!AT33,"AAAAAHvb/44=")</f>
        <v>#VALUE!</v>
      </c>
      <c r="EN8" t="e">
        <f>AND(Setup!AU33,"AAAAAHvb/48=")</f>
        <v>#VALUE!</v>
      </c>
      <c r="EO8" t="e">
        <f>AND(Setup!AV33,"AAAAAHvb/5A=")</f>
        <v>#VALUE!</v>
      </c>
      <c r="EP8" t="e">
        <f>AND(Setup!AW33,"AAAAAHvb/5E=")</f>
        <v>#VALUE!</v>
      </c>
      <c r="EQ8" t="e">
        <f>AND(Setup!AX33,"AAAAAHvb/5I=")</f>
        <v>#VALUE!</v>
      </c>
      <c r="ER8" t="e">
        <f>AND(Setup!AY33,"AAAAAHvb/5M=")</f>
        <v>#VALUE!</v>
      </c>
      <c r="ES8" t="e">
        <f>AND(Setup!AZ33,"AAAAAHvb/5Q=")</f>
        <v>#VALUE!</v>
      </c>
      <c r="ET8" t="e">
        <f>AND(Setup!BA33,"AAAAAHvb/5U=")</f>
        <v>#VALUE!</v>
      </c>
      <c r="EU8" t="e">
        <f>AND(Setup!BB33,"AAAAAHvb/5Y=")</f>
        <v>#VALUE!</v>
      </c>
      <c r="EV8" t="e">
        <f>AND(Setup!BC33,"AAAAAHvb/5c=")</f>
        <v>#VALUE!</v>
      </c>
      <c r="EW8" t="e">
        <f>AND(Setup!BD33,"AAAAAHvb/5g=")</f>
        <v>#VALUE!</v>
      </c>
      <c r="EX8" t="e">
        <f>AND(Setup!BE33,"AAAAAHvb/5k=")</f>
        <v>#VALUE!</v>
      </c>
      <c r="EY8" t="e">
        <f>AND(Setup!BF33,"AAAAAHvb/5o=")</f>
        <v>#VALUE!</v>
      </c>
      <c r="EZ8">
        <f>IF(Setup!34:34,"AAAAAHvb/5s=",0)</f>
        <v>0</v>
      </c>
      <c r="FA8" t="e">
        <f>AND(Setup!A34,"AAAAAHvb/5w=")</f>
        <v>#VALUE!</v>
      </c>
      <c r="FB8" t="e">
        <f>AND(Setup!B34,"AAAAAHvb/50=")</f>
        <v>#VALUE!</v>
      </c>
      <c r="FC8" t="e">
        <f>AND(Setup!C34,"AAAAAHvb/54=")</f>
        <v>#VALUE!</v>
      </c>
      <c r="FD8" t="e">
        <f>AND(Setup!D34,"AAAAAHvb/58=")</f>
        <v>#VALUE!</v>
      </c>
      <c r="FE8" t="e">
        <f>AND(Setup!E34,"AAAAAHvb/6A=")</f>
        <v>#VALUE!</v>
      </c>
      <c r="FF8" t="e">
        <f>AND(Setup!F34,"AAAAAHvb/6E=")</f>
        <v>#VALUE!</v>
      </c>
      <c r="FG8" t="e">
        <f>AND(Setup!G34,"AAAAAHvb/6I=")</f>
        <v>#VALUE!</v>
      </c>
      <c r="FH8" t="e">
        <f>AND(Setup!H34,"AAAAAHvb/6M=")</f>
        <v>#VALUE!</v>
      </c>
      <c r="FI8" t="e">
        <f>AND(Setup!I34,"AAAAAHvb/6Q=")</f>
        <v>#VALUE!</v>
      </c>
      <c r="FJ8" t="e">
        <f>AND(Setup!J34,"AAAAAHvb/6U=")</f>
        <v>#VALUE!</v>
      </c>
      <c r="FK8" t="e">
        <f>AND(Setup!K34,"AAAAAHvb/6Y=")</f>
        <v>#VALUE!</v>
      </c>
      <c r="FL8" t="e">
        <f>AND(Setup!L34,"AAAAAHvb/6c=")</f>
        <v>#VALUE!</v>
      </c>
      <c r="FM8" t="e">
        <f>AND(Setup!M34,"AAAAAHvb/6g=")</f>
        <v>#VALUE!</v>
      </c>
      <c r="FN8" t="e">
        <f>AND(Setup!N34,"AAAAAHvb/6k=")</f>
        <v>#VALUE!</v>
      </c>
      <c r="FO8" t="e">
        <f>AND(Setup!O34,"AAAAAHvb/6o=")</f>
        <v>#VALUE!</v>
      </c>
      <c r="FP8" t="e">
        <f>AND(Setup!P34,"AAAAAHvb/6s=")</f>
        <v>#VALUE!</v>
      </c>
      <c r="FQ8" t="e">
        <f>AND(Setup!Q34,"AAAAAHvb/6w=")</f>
        <v>#VALUE!</v>
      </c>
      <c r="FR8" t="e">
        <f>AND(Setup!R34,"AAAAAHvb/60=")</f>
        <v>#VALUE!</v>
      </c>
      <c r="FS8" t="e">
        <f>AND(Setup!S34,"AAAAAHvb/64=")</f>
        <v>#VALUE!</v>
      </c>
      <c r="FT8" t="e">
        <f>AND(Setup!T34,"AAAAAHvb/68=")</f>
        <v>#VALUE!</v>
      </c>
      <c r="FU8" t="e">
        <f>AND(Setup!U34,"AAAAAHvb/7A=")</f>
        <v>#VALUE!</v>
      </c>
      <c r="FV8" t="e">
        <f>AND(Setup!V34,"AAAAAHvb/7E=")</f>
        <v>#VALUE!</v>
      </c>
      <c r="FW8" t="e">
        <f>AND(Setup!W34,"AAAAAHvb/7I=")</f>
        <v>#VALUE!</v>
      </c>
      <c r="FX8" t="e">
        <f>AND(Setup!X34,"AAAAAHvb/7M=")</f>
        <v>#VALUE!</v>
      </c>
      <c r="FY8" t="e">
        <f>AND(Setup!Y34,"AAAAAHvb/7Q=")</f>
        <v>#VALUE!</v>
      </c>
      <c r="FZ8" t="e">
        <f>AND(Setup!Z34,"AAAAAHvb/7U=")</f>
        <v>#VALUE!</v>
      </c>
      <c r="GA8" t="e">
        <f>AND(Setup!AA34,"AAAAAHvb/7Y=")</f>
        <v>#VALUE!</v>
      </c>
      <c r="GB8" t="e">
        <f>AND(Setup!AB34,"AAAAAHvb/7c=")</f>
        <v>#VALUE!</v>
      </c>
      <c r="GC8" t="e">
        <f>AND(Setup!AC34,"AAAAAHvb/7g=")</f>
        <v>#VALUE!</v>
      </c>
      <c r="GD8" t="e">
        <f>AND(Setup!AD34,"AAAAAHvb/7k=")</f>
        <v>#VALUE!</v>
      </c>
      <c r="GE8" t="e">
        <f>AND(Setup!AE34,"AAAAAHvb/7o=")</f>
        <v>#VALUE!</v>
      </c>
      <c r="GF8" t="e">
        <f>AND(Setup!AF34,"AAAAAHvb/7s=")</f>
        <v>#VALUE!</v>
      </c>
      <c r="GG8" t="e">
        <f>AND(Setup!AG34,"AAAAAHvb/7w=")</f>
        <v>#VALUE!</v>
      </c>
      <c r="GH8" t="e">
        <f>AND(Setup!AH34,"AAAAAHvb/70=")</f>
        <v>#VALUE!</v>
      </c>
      <c r="GI8" t="e">
        <f>AND(Setup!AI34,"AAAAAHvb/74=")</f>
        <v>#VALUE!</v>
      </c>
      <c r="GJ8" t="e">
        <f>AND(Setup!AJ34,"AAAAAHvb/78=")</f>
        <v>#VALUE!</v>
      </c>
      <c r="GK8" t="e">
        <f>AND(Setup!AK34,"AAAAAHvb/8A=")</f>
        <v>#VALUE!</v>
      </c>
      <c r="GL8" t="e">
        <f>AND(Setup!AL34,"AAAAAHvb/8E=")</f>
        <v>#VALUE!</v>
      </c>
      <c r="GM8" t="e">
        <f>AND(Setup!AM34,"AAAAAHvb/8I=")</f>
        <v>#VALUE!</v>
      </c>
      <c r="GN8" t="e">
        <f>AND(Setup!AN34,"AAAAAHvb/8M=")</f>
        <v>#VALUE!</v>
      </c>
      <c r="GO8" t="e">
        <f>AND(Setup!AO34,"AAAAAHvb/8Q=")</f>
        <v>#VALUE!</v>
      </c>
      <c r="GP8" t="e">
        <f>AND(Setup!AP34,"AAAAAHvb/8U=")</f>
        <v>#VALUE!</v>
      </c>
      <c r="GQ8" t="e">
        <f>AND(Setup!AQ34,"AAAAAHvb/8Y=")</f>
        <v>#VALUE!</v>
      </c>
      <c r="GR8" t="e">
        <f>AND(Setup!AR34,"AAAAAHvb/8c=")</f>
        <v>#VALUE!</v>
      </c>
      <c r="GS8" t="e">
        <f>AND(Setup!AS34,"AAAAAHvb/8g=")</f>
        <v>#VALUE!</v>
      </c>
      <c r="GT8" t="e">
        <f>AND(Setup!AT34,"AAAAAHvb/8k=")</f>
        <v>#VALUE!</v>
      </c>
      <c r="GU8" t="e">
        <f>AND(Setup!AU34,"AAAAAHvb/8o=")</f>
        <v>#VALUE!</v>
      </c>
      <c r="GV8" t="e">
        <f>AND(Setup!AV34,"AAAAAHvb/8s=")</f>
        <v>#VALUE!</v>
      </c>
      <c r="GW8" t="e">
        <f>AND(Setup!AW34,"AAAAAHvb/8w=")</f>
        <v>#VALUE!</v>
      </c>
      <c r="GX8" t="e">
        <f>AND(Setup!AX34,"AAAAAHvb/80=")</f>
        <v>#VALUE!</v>
      </c>
      <c r="GY8" t="e">
        <f>AND(Setup!AY34,"AAAAAHvb/84=")</f>
        <v>#VALUE!</v>
      </c>
      <c r="GZ8" t="e">
        <f>AND(Setup!AZ34,"AAAAAHvb/88=")</f>
        <v>#VALUE!</v>
      </c>
      <c r="HA8" t="e">
        <f>AND(Setup!BA34,"AAAAAHvb/9A=")</f>
        <v>#VALUE!</v>
      </c>
      <c r="HB8" t="e">
        <f>AND(Setup!BB34,"AAAAAHvb/9E=")</f>
        <v>#VALUE!</v>
      </c>
      <c r="HC8" t="e">
        <f>AND(Setup!BC34,"AAAAAHvb/9I=")</f>
        <v>#VALUE!</v>
      </c>
      <c r="HD8" t="e">
        <f>AND(Setup!BD34,"AAAAAHvb/9M=")</f>
        <v>#VALUE!</v>
      </c>
      <c r="HE8" t="e">
        <f>AND(Setup!BE34,"AAAAAHvb/9Q=")</f>
        <v>#VALUE!</v>
      </c>
      <c r="HF8" t="e">
        <f>AND(Setup!BF34,"AAAAAHvb/9U=")</f>
        <v>#VALUE!</v>
      </c>
      <c r="HG8">
        <f>IF(Setup!35:35,"AAAAAHvb/9Y=",0)</f>
        <v>0</v>
      </c>
      <c r="HH8" t="e">
        <f>AND(Setup!A35,"AAAAAHvb/9c=")</f>
        <v>#VALUE!</v>
      </c>
      <c r="HI8" t="e">
        <f>AND(Setup!B35,"AAAAAHvb/9g=")</f>
        <v>#VALUE!</v>
      </c>
      <c r="HJ8" t="e">
        <f>AND(Setup!C35,"AAAAAHvb/9k=")</f>
        <v>#VALUE!</v>
      </c>
      <c r="HK8" t="e">
        <f>AND(Setup!D35,"AAAAAHvb/9o=")</f>
        <v>#VALUE!</v>
      </c>
      <c r="HL8" t="e">
        <f>AND(Setup!E35,"AAAAAHvb/9s=")</f>
        <v>#VALUE!</v>
      </c>
      <c r="HM8" t="e">
        <f>AND(Setup!F35,"AAAAAHvb/9w=")</f>
        <v>#VALUE!</v>
      </c>
      <c r="HN8" t="e">
        <f>AND(Setup!G35,"AAAAAHvb/90=")</f>
        <v>#VALUE!</v>
      </c>
      <c r="HO8" t="e">
        <f>AND(Setup!H35,"AAAAAHvb/94=")</f>
        <v>#VALUE!</v>
      </c>
      <c r="HP8" t="e">
        <f>AND(Setup!I35,"AAAAAHvb/98=")</f>
        <v>#VALUE!</v>
      </c>
      <c r="HQ8" t="e">
        <f>AND(Setup!J35,"AAAAAHvb/+A=")</f>
        <v>#VALUE!</v>
      </c>
      <c r="HR8" t="e">
        <f>AND(Setup!K35,"AAAAAHvb/+E=")</f>
        <v>#VALUE!</v>
      </c>
      <c r="HS8" t="e">
        <f>AND(Setup!L35,"AAAAAHvb/+I=")</f>
        <v>#VALUE!</v>
      </c>
      <c r="HT8" t="e">
        <f>AND(Setup!M35,"AAAAAHvb/+M=")</f>
        <v>#VALUE!</v>
      </c>
      <c r="HU8" t="e">
        <f>AND(Setup!N35,"AAAAAHvb/+Q=")</f>
        <v>#VALUE!</v>
      </c>
      <c r="HV8" t="e">
        <f>AND(Setup!O35,"AAAAAHvb/+U=")</f>
        <v>#VALUE!</v>
      </c>
      <c r="HW8" t="e">
        <f>AND(Setup!P35,"AAAAAHvb/+Y=")</f>
        <v>#VALUE!</v>
      </c>
      <c r="HX8" t="e">
        <f>AND(Setup!Q35,"AAAAAHvb/+c=")</f>
        <v>#VALUE!</v>
      </c>
      <c r="HY8" t="e">
        <f>AND(Setup!R35,"AAAAAHvb/+g=")</f>
        <v>#VALUE!</v>
      </c>
      <c r="HZ8" t="e">
        <f>AND(Setup!S35,"AAAAAHvb/+k=")</f>
        <v>#VALUE!</v>
      </c>
      <c r="IA8" t="e">
        <f>AND(Setup!T35,"AAAAAHvb/+o=")</f>
        <v>#VALUE!</v>
      </c>
      <c r="IB8" t="e">
        <f>AND(Setup!U35,"AAAAAHvb/+s=")</f>
        <v>#VALUE!</v>
      </c>
      <c r="IC8" t="e">
        <f>AND(Setup!V35,"AAAAAHvb/+w=")</f>
        <v>#VALUE!</v>
      </c>
      <c r="ID8" t="e">
        <f>AND(Setup!W35,"AAAAAHvb/+0=")</f>
        <v>#VALUE!</v>
      </c>
      <c r="IE8" t="e">
        <f>AND(Setup!X35,"AAAAAHvb/+4=")</f>
        <v>#VALUE!</v>
      </c>
      <c r="IF8" t="e">
        <f>AND(Setup!Y35,"AAAAAHvb/+8=")</f>
        <v>#VALUE!</v>
      </c>
      <c r="IG8" t="e">
        <f>AND(Setup!Z35,"AAAAAHvb//A=")</f>
        <v>#VALUE!</v>
      </c>
      <c r="IH8" t="e">
        <f>AND(Setup!AA35,"AAAAAHvb//E=")</f>
        <v>#VALUE!</v>
      </c>
      <c r="II8" t="e">
        <f>AND(Setup!AB35,"AAAAAHvb//I=")</f>
        <v>#VALUE!</v>
      </c>
      <c r="IJ8" t="e">
        <f>AND(Setup!AC35,"AAAAAHvb//M=")</f>
        <v>#VALUE!</v>
      </c>
      <c r="IK8" t="e">
        <f>AND(Setup!AD35,"AAAAAHvb//Q=")</f>
        <v>#VALUE!</v>
      </c>
      <c r="IL8" t="e">
        <f>AND(Setup!AE35,"AAAAAHvb//U=")</f>
        <v>#VALUE!</v>
      </c>
      <c r="IM8" t="e">
        <f>AND(Setup!AF35,"AAAAAHvb//Y=")</f>
        <v>#VALUE!</v>
      </c>
      <c r="IN8" t="e">
        <f>AND(Setup!AG35,"AAAAAHvb//c=")</f>
        <v>#VALUE!</v>
      </c>
      <c r="IO8" t="e">
        <f>AND(Setup!AH35,"AAAAAHvb//g=")</f>
        <v>#VALUE!</v>
      </c>
      <c r="IP8" t="e">
        <f>AND(Setup!AI35,"AAAAAHvb//k=")</f>
        <v>#VALUE!</v>
      </c>
      <c r="IQ8" t="e">
        <f>AND(Setup!AJ35,"AAAAAHvb//o=")</f>
        <v>#VALUE!</v>
      </c>
      <c r="IR8" t="e">
        <f>AND(Setup!AK35,"AAAAAHvb//s=")</f>
        <v>#VALUE!</v>
      </c>
      <c r="IS8" t="e">
        <f>AND(Setup!AL35,"AAAAAHvb//w=")</f>
        <v>#VALUE!</v>
      </c>
      <c r="IT8" t="e">
        <f>AND(Setup!AM35,"AAAAAHvb//0=")</f>
        <v>#VALUE!</v>
      </c>
      <c r="IU8" t="e">
        <f>AND(Setup!AN35,"AAAAAHvb//4=")</f>
        <v>#VALUE!</v>
      </c>
      <c r="IV8" t="e">
        <f>AND(Setup!AO35,"AAAAAHvb//8=")</f>
        <v>#VALUE!</v>
      </c>
    </row>
    <row r="9" spans="1:256">
      <c r="A9" t="e">
        <f>AND(Setup!AP35,"AAAAAF98vQA=")</f>
        <v>#VALUE!</v>
      </c>
      <c r="B9" t="e">
        <f>AND(Setup!AQ35,"AAAAAF98vQE=")</f>
        <v>#VALUE!</v>
      </c>
      <c r="C9" t="e">
        <f>AND(Setup!AR35,"AAAAAF98vQI=")</f>
        <v>#VALUE!</v>
      </c>
      <c r="D9" t="e">
        <f>AND(Setup!AS35,"AAAAAF98vQM=")</f>
        <v>#VALUE!</v>
      </c>
      <c r="E9" t="e">
        <f>AND(Setup!AT35,"AAAAAF98vQQ=")</f>
        <v>#VALUE!</v>
      </c>
      <c r="F9" t="e">
        <f>AND(Setup!AU35,"AAAAAF98vQU=")</f>
        <v>#VALUE!</v>
      </c>
      <c r="G9" t="e">
        <f>AND(Setup!AV35,"AAAAAF98vQY=")</f>
        <v>#VALUE!</v>
      </c>
      <c r="H9" t="e">
        <f>AND(Setup!AW35,"AAAAAF98vQc=")</f>
        <v>#VALUE!</v>
      </c>
      <c r="I9" t="e">
        <f>AND(Setup!AX35,"AAAAAF98vQg=")</f>
        <v>#VALUE!</v>
      </c>
      <c r="J9" t="e">
        <f>AND(Setup!AY35,"AAAAAF98vQk=")</f>
        <v>#VALUE!</v>
      </c>
      <c r="K9" t="e">
        <f>AND(Setup!AZ35,"AAAAAF98vQo=")</f>
        <v>#VALUE!</v>
      </c>
      <c r="L9" t="e">
        <f>AND(Setup!BA35,"AAAAAF98vQs=")</f>
        <v>#VALUE!</v>
      </c>
      <c r="M9" t="e">
        <f>AND(Setup!BB35,"AAAAAF98vQw=")</f>
        <v>#VALUE!</v>
      </c>
      <c r="N9" t="e">
        <f>AND(Setup!BC35,"AAAAAF98vQ0=")</f>
        <v>#VALUE!</v>
      </c>
      <c r="O9" t="e">
        <f>AND(Setup!BD35,"AAAAAF98vQ4=")</f>
        <v>#VALUE!</v>
      </c>
      <c r="P9" t="e">
        <f>AND(Setup!BE35,"AAAAAF98vQ8=")</f>
        <v>#VALUE!</v>
      </c>
      <c r="Q9" t="e">
        <f>AND(Setup!BF35,"AAAAAF98vRA=")</f>
        <v>#VALUE!</v>
      </c>
      <c r="R9">
        <f>IF(Setup!36:36,"AAAAAF98vRE=",0)</f>
        <v>0</v>
      </c>
      <c r="S9" t="e">
        <f>AND(Setup!A36,"AAAAAF98vRI=")</f>
        <v>#VALUE!</v>
      </c>
      <c r="T9" t="e">
        <f>AND(Setup!B36,"AAAAAF98vRM=")</f>
        <v>#VALUE!</v>
      </c>
      <c r="U9" t="e">
        <f>AND(Setup!C36,"AAAAAF98vRQ=")</f>
        <v>#VALUE!</v>
      </c>
      <c r="V9" t="e">
        <f>AND(Setup!D36,"AAAAAF98vRU=")</f>
        <v>#VALUE!</v>
      </c>
      <c r="W9" t="e">
        <f>AND(Setup!E36,"AAAAAF98vRY=")</f>
        <v>#VALUE!</v>
      </c>
      <c r="X9" t="e">
        <f>AND(Setup!F36,"AAAAAF98vRc=")</f>
        <v>#VALUE!</v>
      </c>
      <c r="Y9" t="e">
        <f>AND(Setup!G36,"AAAAAF98vRg=")</f>
        <v>#VALUE!</v>
      </c>
      <c r="Z9" t="e">
        <f>AND(Setup!H36,"AAAAAF98vRk=")</f>
        <v>#VALUE!</v>
      </c>
      <c r="AA9" t="e">
        <f>AND(Setup!I36,"AAAAAF98vRo=")</f>
        <v>#VALUE!</v>
      </c>
      <c r="AB9" t="e">
        <f>AND(Setup!J36,"AAAAAF98vRs=")</f>
        <v>#VALUE!</v>
      </c>
      <c r="AC9" t="e">
        <f>AND(Setup!K36,"AAAAAF98vRw=")</f>
        <v>#VALUE!</v>
      </c>
      <c r="AD9" t="e">
        <f>AND(Setup!L36,"AAAAAF98vR0=")</f>
        <v>#VALUE!</v>
      </c>
      <c r="AE9" t="e">
        <f>AND(Setup!M36,"AAAAAF98vR4=")</f>
        <v>#VALUE!</v>
      </c>
      <c r="AF9" t="e">
        <f>AND(Setup!N36,"AAAAAF98vR8=")</f>
        <v>#VALUE!</v>
      </c>
      <c r="AG9" t="e">
        <f>AND(Setup!O36,"AAAAAF98vSA=")</f>
        <v>#VALUE!</v>
      </c>
      <c r="AH9" t="e">
        <f>AND(Setup!P36,"AAAAAF98vSE=")</f>
        <v>#VALUE!</v>
      </c>
      <c r="AI9" t="e">
        <f>AND(Setup!Q36,"AAAAAF98vSI=")</f>
        <v>#VALUE!</v>
      </c>
      <c r="AJ9" t="e">
        <f>AND(Setup!R36,"AAAAAF98vSM=")</f>
        <v>#VALUE!</v>
      </c>
      <c r="AK9" t="e">
        <f>AND(Setup!S36,"AAAAAF98vSQ=")</f>
        <v>#VALUE!</v>
      </c>
      <c r="AL9" t="e">
        <f>AND(Setup!T36,"AAAAAF98vSU=")</f>
        <v>#VALUE!</v>
      </c>
      <c r="AM9" t="e">
        <f>AND(Setup!U36,"AAAAAF98vSY=")</f>
        <v>#VALUE!</v>
      </c>
      <c r="AN9" t="e">
        <f>AND(Setup!V36,"AAAAAF98vSc=")</f>
        <v>#VALUE!</v>
      </c>
      <c r="AO9" t="e">
        <f>AND(Setup!W36,"AAAAAF98vSg=")</f>
        <v>#VALUE!</v>
      </c>
      <c r="AP9" t="e">
        <f>AND(Setup!X36,"AAAAAF98vSk=")</f>
        <v>#VALUE!</v>
      </c>
      <c r="AQ9" t="e">
        <f>AND(Setup!Y36,"AAAAAF98vSo=")</f>
        <v>#VALUE!</v>
      </c>
      <c r="AR9" t="e">
        <f>AND(Setup!Z36,"AAAAAF98vSs=")</f>
        <v>#VALUE!</v>
      </c>
      <c r="AS9" t="e">
        <f>AND(Setup!AA36,"AAAAAF98vSw=")</f>
        <v>#VALUE!</v>
      </c>
      <c r="AT9" t="e">
        <f>AND(Setup!AB36,"AAAAAF98vS0=")</f>
        <v>#VALUE!</v>
      </c>
      <c r="AU9" t="e">
        <f>AND(Setup!AC36,"AAAAAF98vS4=")</f>
        <v>#VALUE!</v>
      </c>
      <c r="AV9" t="e">
        <f>AND(Setup!AD36,"AAAAAF98vS8=")</f>
        <v>#VALUE!</v>
      </c>
      <c r="AW9" t="e">
        <f>AND(Setup!AE36,"AAAAAF98vTA=")</f>
        <v>#VALUE!</v>
      </c>
      <c r="AX9" t="e">
        <f>AND(Setup!AF36,"AAAAAF98vTE=")</f>
        <v>#VALUE!</v>
      </c>
      <c r="AY9" t="e">
        <f>AND(Setup!AG36,"AAAAAF98vTI=")</f>
        <v>#VALUE!</v>
      </c>
      <c r="AZ9" t="e">
        <f>AND(Setup!AH36,"AAAAAF98vTM=")</f>
        <v>#VALUE!</v>
      </c>
      <c r="BA9" t="e">
        <f>AND(Setup!AI36,"AAAAAF98vTQ=")</f>
        <v>#VALUE!</v>
      </c>
      <c r="BB9" t="e">
        <f>AND(Setup!AJ36,"AAAAAF98vTU=")</f>
        <v>#VALUE!</v>
      </c>
      <c r="BC9" t="e">
        <f>AND(Setup!AK36,"AAAAAF98vTY=")</f>
        <v>#VALUE!</v>
      </c>
      <c r="BD9" t="e">
        <f>AND(Setup!AL36,"AAAAAF98vTc=")</f>
        <v>#VALUE!</v>
      </c>
      <c r="BE9" t="e">
        <f>AND(Setup!AM36,"AAAAAF98vTg=")</f>
        <v>#VALUE!</v>
      </c>
      <c r="BF9" t="e">
        <f>AND(Setup!AN36,"AAAAAF98vTk=")</f>
        <v>#VALUE!</v>
      </c>
      <c r="BG9" t="e">
        <f>AND(Setup!AO36,"AAAAAF98vTo=")</f>
        <v>#VALUE!</v>
      </c>
      <c r="BH9" t="e">
        <f>AND(Setup!AP36,"AAAAAF98vTs=")</f>
        <v>#VALUE!</v>
      </c>
      <c r="BI9" t="e">
        <f>AND(Setup!AQ36,"AAAAAF98vTw=")</f>
        <v>#VALUE!</v>
      </c>
      <c r="BJ9" t="e">
        <f>AND(Setup!AR36,"AAAAAF98vT0=")</f>
        <v>#VALUE!</v>
      </c>
      <c r="BK9" t="e">
        <f>AND(Setup!AS36,"AAAAAF98vT4=")</f>
        <v>#VALUE!</v>
      </c>
      <c r="BL9" t="e">
        <f>AND(Setup!AT36,"AAAAAF98vT8=")</f>
        <v>#VALUE!</v>
      </c>
      <c r="BM9" t="e">
        <f>AND(Setup!AU36,"AAAAAF98vUA=")</f>
        <v>#VALUE!</v>
      </c>
      <c r="BN9" t="e">
        <f>AND(Setup!AV36,"AAAAAF98vUE=")</f>
        <v>#VALUE!</v>
      </c>
      <c r="BO9" t="e">
        <f>AND(Setup!AW36,"AAAAAF98vUI=")</f>
        <v>#VALUE!</v>
      </c>
      <c r="BP9" t="e">
        <f>AND(Setup!AX36,"AAAAAF98vUM=")</f>
        <v>#VALUE!</v>
      </c>
      <c r="BQ9" t="e">
        <f>AND(Setup!AY36,"AAAAAF98vUQ=")</f>
        <v>#VALUE!</v>
      </c>
      <c r="BR9" t="e">
        <f>AND(Setup!AZ36,"AAAAAF98vUU=")</f>
        <v>#VALUE!</v>
      </c>
      <c r="BS9" t="e">
        <f>AND(Setup!BA36,"AAAAAF98vUY=")</f>
        <v>#VALUE!</v>
      </c>
      <c r="BT9" t="e">
        <f>AND(Setup!BB36,"AAAAAF98vUc=")</f>
        <v>#VALUE!</v>
      </c>
      <c r="BU9" t="e">
        <f>AND(Setup!BC36,"AAAAAF98vUg=")</f>
        <v>#VALUE!</v>
      </c>
      <c r="BV9" t="e">
        <f>AND(Setup!BD36,"AAAAAF98vUk=")</f>
        <v>#VALUE!</v>
      </c>
      <c r="BW9" t="e">
        <f>AND(Setup!BE36,"AAAAAF98vUo=")</f>
        <v>#VALUE!</v>
      </c>
      <c r="BX9" t="e">
        <f>AND(Setup!BF36,"AAAAAF98vUs=")</f>
        <v>#VALUE!</v>
      </c>
      <c r="BY9">
        <f>IF(Setup!37:37,"AAAAAF98vUw=",0)</f>
        <v>0</v>
      </c>
      <c r="BZ9" t="e">
        <f>AND(Setup!A37,"AAAAAF98vU0=")</f>
        <v>#VALUE!</v>
      </c>
      <c r="CA9" t="e">
        <f>AND(Setup!B37,"AAAAAF98vU4=")</f>
        <v>#VALUE!</v>
      </c>
      <c r="CB9" t="e">
        <f>AND(Setup!C37,"AAAAAF98vU8=")</f>
        <v>#VALUE!</v>
      </c>
      <c r="CC9" t="e">
        <f>AND(Setup!D37,"AAAAAF98vVA=")</f>
        <v>#VALUE!</v>
      </c>
      <c r="CD9" t="e">
        <f>AND(Setup!E37,"AAAAAF98vVE=")</f>
        <v>#VALUE!</v>
      </c>
      <c r="CE9" t="e">
        <f>AND(Setup!F37,"AAAAAF98vVI=")</f>
        <v>#VALUE!</v>
      </c>
      <c r="CF9" t="e">
        <f>AND(Setup!G37,"AAAAAF98vVM=")</f>
        <v>#VALUE!</v>
      </c>
      <c r="CG9" t="e">
        <f>AND(Setup!H37,"AAAAAF98vVQ=")</f>
        <v>#VALUE!</v>
      </c>
      <c r="CH9" t="e">
        <f>AND(Setup!I37,"AAAAAF98vVU=")</f>
        <v>#VALUE!</v>
      </c>
      <c r="CI9" t="e">
        <f>AND(Setup!J37,"AAAAAF98vVY=")</f>
        <v>#VALUE!</v>
      </c>
      <c r="CJ9" t="e">
        <f>AND(Setup!K37,"AAAAAF98vVc=")</f>
        <v>#VALUE!</v>
      </c>
      <c r="CK9" t="e">
        <f>AND(Setup!L37,"AAAAAF98vVg=")</f>
        <v>#VALUE!</v>
      </c>
      <c r="CL9" t="e">
        <f>AND(Setup!M37,"AAAAAF98vVk=")</f>
        <v>#VALUE!</v>
      </c>
      <c r="CM9" t="e">
        <f>AND(Setup!N37,"AAAAAF98vVo=")</f>
        <v>#VALUE!</v>
      </c>
      <c r="CN9" t="e">
        <f>AND(Setup!O37,"AAAAAF98vVs=")</f>
        <v>#VALUE!</v>
      </c>
      <c r="CO9" t="e">
        <f>AND(Setup!P37,"AAAAAF98vVw=")</f>
        <v>#VALUE!</v>
      </c>
      <c r="CP9" t="e">
        <f>AND(Setup!Q37,"AAAAAF98vV0=")</f>
        <v>#VALUE!</v>
      </c>
      <c r="CQ9" t="e">
        <f>AND(Setup!R37,"AAAAAF98vV4=")</f>
        <v>#VALUE!</v>
      </c>
      <c r="CR9" t="e">
        <f>AND(Setup!S37,"AAAAAF98vV8=")</f>
        <v>#VALUE!</v>
      </c>
      <c r="CS9" t="e">
        <f>AND(Setup!T37,"AAAAAF98vWA=")</f>
        <v>#VALUE!</v>
      </c>
      <c r="CT9" t="e">
        <f>AND(Setup!U37,"AAAAAF98vWE=")</f>
        <v>#VALUE!</v>
      </c>
      <c r="CU9" t="e">
        <f>AND(Setup!V37,"AAAAAF98vWI=")</f>
        <v>#VALUE!</v>
      </c>
      <c r="CV9" t="e">
        <f>AND(Setup!W37,"AAAAAF98vWM=")</f>
        <v>#VALUE!</v>
      </c>
      <c r="CW9" t="e">
        <f>AND(Setup!X37,"AAAAAF98vWQ=")</f>
        <v>#VALUE!</v>
      </c>
      <c r="CX9" t="e">
        <f>AND(Setup!Y37,"AAAAAF98vWU=")</f>
        <v>#VALUE!</v>
      </c>
      <c r="CY9" t="e">
        <f>AND(Setup!Z37,"AAAAAF98vWY=")</f>
        <v>#VALUE!</v>
      </c>
      <c r="CZ9" t="e">
        <f>AND(Setup!AA37,"AAAAAF98vWc=")</f>
        <v>#VALUE!</v>
      </c>
      <c r="DA9" t="e">
        <f>AND(Setup!AB37,"AAAAAF98vWg=")</f>
        <v>#VALUE!</v>
      </c>
      <c r="DB9" t="e">
        <f>AND(Setup!AC37,"AAAAAF98vWk=")</f>
        <v>#VALUE!</v>
      </c>
      <c r="DC9" t="e">
        <f>AND(Setup!AD37,"AAAAAF98vWo=")</f>
        <v>#VALUE!</v>
      </c>
      <c r="DD9" t="e">
        <f>AND(Setup!AE37,"AAAAAF98vWs=")</f>
        <v>#VALUE!</v>
      </c>
      <c r="DE9" t="e">
        <f>AND(Setup!AF37,"AAAAAF98vWw=")</f>
        <v>#VALUE!</v>
      </c>
      <c r="DF9" t="e">
        <f>AND(Setup!AG37,"AAAAAF98vW0=")</f>
        <v>#VALUE!</v>
      </c>
      <c r="DG9" t="e">
        <f>AND(Setup!AH37,"AAAAAF98vW4=")</f>
        <v>#VALUE!</v>
      </c>
      <c r="DH9" t="e">
        <f>AND(Setup!AI37,"AAAAAF98vW8=")</f>
        <v>#VALUE!</v>
      </c>
      <c r="DI9" t="e">
        <f>AND(Setup!AJ37,"AAAAAF98vXA=")</f>
        <v>#VALUE!</v>
      </c>
      <c r="DJ9" t="e">
        <f>AND(Setup!AK37,"AAAAAF98vXE=")</f>
        <v>#VALUE!</v>
      </c>
      <c r="DK9" t="e">
        <f>AND(Setup!AL37,"AAAAAF98vXI=")</f>
        <v>#VALUE!</v>
      </c>
      <c r="DL9" t="e">
        <f>AND(Setup!AM37,"AAAAAF98vXM=")</f>
        <v>#VALUE!</v>
      </c>
      <c r="DM9" t="e">
        <f>AND(Setup!AN37,"AAAAAF98vXQ=")</f>
        <v>#VALUE!</v>
      </c>
      <c r="DN9" t="e">
        <f>AND(Setup!AO37,"AAAAAF98vXU=")</f>
        <v>#VALUE!</v>
      </c>
      <c r="DO9" t="e">
        <f>AND(Setup!AP37,"AAAAAF98vXY=")</f>
        <v>#VALUE!</v>
      </c>
      <c r="DP9" t="e">
        <f>AND(Setup!AQ37,"AAAAAF98vXc=")</f>
        <v>#VALUE!</v>
      </c>
      <c r="DQ9" t="e">
        <f>AND(Setup!AR37,"AAAAAF98vXg=")</f>
        <v>#VALUE!</v>
      </c>
      <c r="DR9" t="e">
        <f>AND(Setup!AS37,"AAAAAF98vXk=")</f>
        <v>#VALUE!</v>
      </c>
      <c r="DS9" t="e">
        <f>AND(Setup!AT37,"AAAAAF98vXo=")</f>
        <v>#VALUE!</v>
      </c>
      <c r="DT9" t="e">
        <f>AND(Setup!AU37,"AAAAAF98vXs=")</f>
        <v>#VALUE!</v>
      </c>
      <c r="DU9" t="e">
        <f>AND(Setup!AV37,"AAAAAF98vXw=")</f>
        <v>#VALUE!</v>
      </c>
      <c r="DV9" t="e">
        <f>AND(Setup!AW37,"AAAAAF98vX0=")</f>
        <v>#VALUE!</v>
      </c>
      <c r="DW9" t="e">
        <f>AND(Setup!AX37,"AAAAAF98vX4=")</f>
        <v>#VALUE!</v>
      </c>
      <c r="DX9" t="e">
        <f>AND(Setup!AY37,"AAAAAF98vX8=")</f>
        <v>#VALUE!</v>
      </c>
      <c r="DY9" t="e">
        <f>AND(Setup!AZ37,"AAAAAF98vYA=")</f>
        <v>#VALUE!</v>
      </c>
      <c r="DZ9" t="e">
        <f>AND(Setup!BA37,"AAAAAF98vYE=")</f>
        <v>#VALUE!</v>
      </c>
      <c r="EA9" t="e">
        <f>AND(Setup!BB37,"AAAAAF98vYI=")</f>
        <v>#VALUE!</v>
      </c>
      <c r="EB9" t="e">
        <f>AND(Setup!BC37,"AAAAAF98vYM=")</f>
        <v>#VALUE!</v>
      </c>
      <c r="EC9" t="e">
        <f>AND(Setup!BD37,"AAAAAF98vYQ=")</f>
        <v>#VALUE!</v>
      </c>
      <c r="ED9" t="e">
        <f>AND(Setup!BE37,"AAAAAF98vYU=")</f>
        <v>#VALUE!</v>
      </c>
      <c r="EE9" t="e">
        <f>AND(Setup!BF37,"AAAAAF98vYY=")</f>
        <v>#VALUE!</v>
      </c>
      <c r="EF9">
        <f>IF(Setup!38:38,"AAAAAF98vYc=",0)</f>
        <v>0</v>
      </c>
      <c r="EG9" t="e">
        <f>AND(Setup!A38,"AAAAAF98vYg=")</f>
        <v>#VALUE!</v>
      </c>
      <c r="EH9" t="e">
        <f>AND(Setup!B38,"AAAAAF98vYk=")</f>
        <v>#VALUE!</v>
      </c>
      <c r="EI9" t="e">
        <f>AND(Setup!C38,"AAAAAF98vYo=")</f>
        <v>#VALUE!</v>
      </c>
      <c r="EJ9" t="e">
        <f>AND(Setup!D38,"AAAAAF98vYs=")</f>
        <v>#VALUE!</v>
      </c>
      <c r="EK9" t="e">
        <f>AND(Setup!E38,"AAAAAF98vYw=")</f>
        <v>#VALUE!</v>
      </c>
      <c r="EL9" t="e">
        <f>AND(Setup!F38,"AAAAAF98vY0=")</f>
        <v>#VALUE!</v>
      </c>
      <c r="EM9" t="e">
        <f>AND(Setup!G38,"AAAAAF98vY4=")</f>
        <v>#VALUE!</v>
      </c>
      <c r="EN9" t="e">
        <f>AND(Setup!H38,"AAAAAF98vY8=")</f>
        <v>#VALUE!</v>
      </c>
      <c r="EO9" t="e">
        <f>AND(Setup!I38,"AAAAAF98vZA=")</f>
        <v>#VALUE!</v>
      </c>
      <c r="EP9" t="e">
        <f>AND(Setup!J38,"AAAAAF98vZE=")</f>
        <v>#VALUE!</v>
      </c>
      <c r="EQ9" t="e">
        <f>AND(Setup!K38,"AAAAAF98vZI=")</f>
        <v>#VALUE!</v>
      </c>
      <c r="ER9" t="e">
        <f>AND(Setup!L38,"AAAAAF98vZM=")</f>
        <v>#VALUE!</v>
      </c>
      <c r="ES9" t="e">
        <f>AND(Setup!M38,"AAAAAF98vZQ=")</f>
        <v>#VALUE!</v>
      </c>
      <c r="ET9" t="e">
        <f>AND(Setup!N38,"AAAAAF98vZU=")</f>
        <v>#VALUE!</v>
      </c>
      <c r="EU9" t="e">
        <f>AND(Setup!O38,"AAAAAF98vZY=")</f>
        <v>#VALUE!</v>
      </c>
      <c r="EV9" t="e">
        <f>AND(Setup!P38,"AAAAAF98vZc=")</f>
        <v>#VALUE!</v>
      </c>
      <c r="EW9" t="e">
        <f>AND(Setup!Q38,"AAAAAF98vZg=")</f>
        <v>#VALUE!</v>
      </c>
      <c r="EX9" t="e">
        <f>AND(Setup!R38,"AAAAAF98vZk=")</f>
        <v>#VALUE!</v>
      </c>
      <c r="EY9" t="e">
        <f>AND(Setup!S38,"AAAAAF98vZo=")</f>
        <v>#VALUE!</v>
      </c>
      <c r="EZ9" t="e">
        <f>AND(Setup!T38,"AAAAAF98vZs=")</f>
        <v>#VALUE!</v>
      </c>
      <c r="FA9" t="e">
        <f>AND(Setup!U38,"AAAAAF98vZw=")</f>
        <v>#VALUE!</v>
      </c>
      <c r="FB9" t="e">
        <f>AND(Setup!V38,"AAAAAF98vZ0=")</f>
        <v>#VALUE!</v>
      </c>
      <c r="FC9" t="e">
        <f>AND(Setup!W38,"AAAAAF98vZ4=")</f>
        <v>#VALUE!</v>
      </c>
      <c r="FD9" t="e">
        <f>AND(Setup!X38,"AAAAAF98vZ8=")</f>
        <v>#VALUE!</v>
      </c>
      <c r="FE9" t="e">
        <f>AND(Setup!Y38,"AAAAAF98vaA=")</f>
        <v>#VALUE!</v>
      </c>
      <c r="FF9" t="e">
        <f>AND(Setup!Z38,"AAAAAF98vaE=")</f>
        <v>#VALUE!</v>
      </c>
      <c r="FG9" t="e">
        <f>AND(Setup!AA38,"AAAAAF98vaI=")</f>
        <v>#VALUE!</v>
      </c>
      <c r="FH9" t="e">
        <f>AND(Setup!AB38,"AAAAAF98vaM=")</f>
        <v>#VALUE!</v>
      </c>
      <c r="FI9" t="e">
        <f>AND(Setup!AC38,"AAAAAF98vaQ=")</f>
        <v>#VALUE!</v>
      </c>
      <c r="FJ9" t="e">
        <f>AND(Setup!AD38,"AAAAAF98vaU=")</f>
        <v>#VALUE!</v>
      </c>
      <c r="FK9" t="e">
        <f>AND(Setup!AE38,"AAAAAF98vaY=")</f>
        <v>#VALUE!</v>
      </c>
      <c r="FL9" t="e">
        <f>AND(Setup!AF38,"AAAAAF98vac=")</f>
        <v>#VALUE!</v>
      </c>
      <c r="FM9" t="e">
        <f>AND(Setup!AG38,"AAAAAF98vag=")</f>
        <v>#VALUE!</v>
      </c>
      <c r="FN9" t="e">
        <f>AND(Setup!AH38,"AAAAAF98vak=")</f>
        <v>#VALUE!</v>
      </c>
      <c r="FO9" t="e">
        <f>AND(Setup!AI38,"AAAAAF98vao=")</f>
        <v>#VALUE!</v>
      </c>
      <c r="FP9" t="e">
        <f>AND(Setup!AJ38,"AAAAAF98vas=")</f>
        <v>#VALUE!</v>
      </c>
      <c r="FQ9" t="e">
        <f>AND(Setup!AK38,"AAAAAF98vaw=")</f>
        <v>#VALUE!</v>
      </c>
      <c r="FR9" t="e">
        <f>AND(Setup!AL38,"AAAAAF98va0=")</f>
        <v>#VALUE!</v>
      </c>
      <c r="FS9" t="e">
        <f>AND(Setup!AM38,"AAAAAF98va4=")</f>
        <v>#VALUE!</v>
      </c>
      <c r="FT9" t="e">
        <f>AND(Setup!AN38,"AAAAAF98va8=")</f>
        <v>#VALUE!</v>
      </c>
      <c r="FU9" t="e">
        <f>AND(Setup!AO38,"AAAAAF98vbA=")</f>
        <v>#VALUE!</v>
      </c>
      <c r="FV9" t="e">
        <f>AND(Setup!AP38,"AAAAAF98vbE=")</f>
        <v>#VALUE!</v>
      </c>
      <c r="FW9" t="e">
        <f>AND(Setup!AQ38,"AAAAAF98vbI=")</f>
        <v>#VALUE!</v>
      </c>
      <c r="FX9" t="e">
        <f>AND(Setup!AR38,"AAAAAF98vbM=")</f>
        <v>#VALUE!</v>
      </c>
      <c r="FY9" t="e">
        <f>AND(Setup!AS38,"AAAAAF98vbQ=")</f>
        <v>#VALUE!</v>
      </c>
      <c r="FZ9" t="e">
        <f>AND(Setup!AT38,"AAAAAF98vbU=")</f>
        <v>#VALUE!</v>
      </c>
      <c r="GA9" t="e">
        <f>AND(Setup!AU38,"AAAAAF98vbY=")</f>
        <v>#VALUE!</v>
      </c>
      <c r="GB9" t="e">
        <f>AND(Setup!AV38,"AAAAAF98vbc=")</f>
        <v>#VALUE!</v>
      </c>
      <c r="GC9" t="e">
        <f>AND(Setup!AW38,"AAAAAF98vbg=")</f>
        <v>#VALUE!</v>
      </c>
      <c r="GD9" t="e">
        <f>AND(Setup!AX38,"AAAAAF98vbk=")</f>
        <v>#VALUE!</v>
      </c>
      <c r="GE9" t="e">
        <f>AND(Setup!AY38,"AAAAAF98vbo=")</f>
        <v>#VALUE!</v>
      </c>
      <c r="GF9" t="e">
        <f>AND(Setup!AZ38,"AAAAAF98vbs=")</f>
        <v>#VALUE!</v>
      </c>
      <c r="GG9" t="e">
        <f>AND(Setup!BA38,"AAAAAF98vbw=")</f>
        <v>#VALUE!</v>
      </c>
      <c r="GH9" t="e">
        <f>AND(Setup!BB38,"AAAAAF98vb0=")</f>
        <v>#VALUE!</v>
      </c>
      <c r="GI9" t="e">
        <f>AND(Setup!BC38,"AAAAAF98vb4=")</f>
        <v>#VALUE!</v>
      </c>
      <c r="GJ9" t="e">
        <f>AND(Setup!BD38,"AAAAAF98vb8=")</f>
        <v>#VALUE!</v>
      </c>
      <c r="GK9" t="e">
        <f>AND(Setup!BE38,"AAAAAF98vcA=")</f>
        <v>#VALUE!</v>
      </c>
      <c r="GL9" t="e">
        <f>AND(Setup!BF38,"AAAAAF98vcE=")</f>
        <v>#VALUE!</v>
      </c>
      <c r="GM9">
        <f>IF(Setup!39:39,"AAAAAF98vcI=",0)</f>
        <v>0</v>
      </c>
      <c r="GN9" t="e">
        <f>AND(Setup!A39,"AAAAAF98vcM=")</f>
        <v>#VALUE!</v>
      </c>
      <c r="GO9" t="e">
        <f>AND(Setup!B39,"AAAAAF98vcQ=")</f>
        <v>#VALUE!</v>
      </c>
      <c r="GP9" t="e">
        <f>AND(Setup!C39,"AAAAAF98vcU=")</f>
        <v>#VALUE!</v>
      </c>
      <c r="GQ9" t="e">
        <f>AND(Setup!D39,"AAAAAF98vcY=")</f>
        <v>#VALUE!</v>
      </c>
      <c r="GR9" t="e">
        <f>AND(Setup!E39,"AAAAAF98vcc=")</f>
        <v>#VALUE!</v>
      </c>
      <c r="GS9" t="e">
        <f>AND(Setup!F39,"AAAAAF98vcg=")</f>
        <v>#VALUE!</v>
      </c>
      <c r="GT9" t="e">
        <f>AND(Setup!G39,"AAAAAF98vck=")</f>
        <v>#VALUE!</v>
      </c>
      <c r="GU9" t="e">
        <f>AND(Setup!H39,"AAAAAF98vco=")</f>
        <v>#VALUE!</v>
      </c>
      <c r="GV9" t="e">
        <f>AND(Setup!I39,"AAAAAF98vcs=")</f>
        <v>#VALUE!</v>
      </c>
      <c r="GW9" t="e">
        <f>AND(Setup!J39,"AAAAAF98vcw=")</f>
        <v>#VALUE!</v>
      </c>
      <c r="GX9" t="e">
        <f>AND(Setup!K39,"AAAAAF98vc0=")</f>
        <v>#VALUE!</v>
      </c>
      <c r="GY9" t="e">
        <f>AND(Setup!L39,"AAAAAF98vc4=")</f>
        <v>#VALUE!</v>
      </c>
      <c r="GZ9" t="e">
        <f>AND(Setup!M39,"AAAAAF98vc8=")</f>
        <v>#VALUE!</v>
      </c>
      <c r="HA9" t="e">
        <f>AND(Setup!N39,"AAAAAF98vdA=")</f>
        <v>#VALUE!</v>
      </c>
      <c r="HB9" t="e">
        <f>AND(Setup!O39,"AAAAAF98vdE=")</f>
        <v>#VALUE!</v>
      </c>
      <c r="HC9" t="e">
        <f>AND(Setup!P39,"AAAAAF98vdI=")</f>
        <v>#VALUE!</v>
      </c>
      <c r="HD9" t="e">
        <f>AND(Setup!Q39,"AAAAAF98vdM=")</f>
        <v>#VALUE!</v>
      </c>
      <c r="HE9" t="e">
        <f>AND(Setup!R39,"AAAAAF98vdQ=")</f>
        <v>#VALUE!</v>
      </c>
      <c r="HF9" t="e">
        <f>AND(Setup!S39,"AAAAAF98vdU=")</f>
        <v>#VALUE!</v>
      </c>
      <c r="HG9" t="e">
        <f>AND(Setup!T39,"AAAAAF98vdY=")</f>
        <v>#VALUE!</v>
      </c>
      <c r="HH9" t="e">
        <f>AND(Setup!U39,"AAAAAF98vdc=")</f>
        <v>#VALUE!</v>
      </c>
      <c r="HI9" t="e">
        <f>AND(Setup!V39,"AAAAAF98vdg=")</f>
        <v>#VALUE!</v>
      </c>
      <c r="HJ9" t="e">
        <f>AND(Setup!W39,"AAAAAF98vdk=")</f>
        <v>#VALUE!</v>
      </c>
      <c r="HK9" t="e">
        <f>AND(Setup!X39,"AAAAAF98vdo=")</f>
        <v>#VALUE!</v>
      </c>
      <c r="HL9" t="e">
        <f>AND(Setup!Y39,"AAAAAF98vds=")</f>
        <v>#VALUE!</v>
      </c>
      <c r="HM9" t="e">
        <f>AND(Setup!Z39,"AAAAAF98vdw=")</f>
        <v>#VALUE!</v>
      </c>
      <c r="HN9" t="e">
        <f>AND(Setup!AA39,"AAAAAF98vd0=")</f>
        <v>#VALUE!</v>
      </c>
      <c r="HO9" t="e">
        <f>AND(Setup!AB39,"AAAAAF98vd4=")</f>
        <v>#VALUE!</v>
      </c>
      <c r="HP9" t="e">
        <f>AND(Setup!AC39,"AAAAAF98vd8=")</f>
        <v>#VALUE!</v>
      </c>
      <c r="HQ9" t="e">
        <f>AND(Setup!AD39,"AAAAAF98veA=")</f>
        <v>#VALUE!</v>
      </c>
      <c r="HR9" t="e">
        <f>AND(Setup!AE39,"AAAAAF98veE=")</f>
        <v>#VALUE!</v>
      </c>
      <c r="HS9" t="e">
        <f>AND(Setup!AF39,"AAAAAF98veI=")</f>
        <v>#VALUE!</v>
      </c>
      <c r="HT9" t="e">
        <f>AND(Setup!AG39,"AAAAAF98veM=")</f>
        <v>#VALUE!</v>
      </c>
      <c r="HU9" t="e">
        <f>AND(Setup!AH39,"AAAAAF98veQ=")</f>
        <v>#VALUE!</v>
      </c>
      <c r="HV9" t="e">
        <f>AND(Setup!AI39,"AAAAAF98veU=")</f>
        <v>#VALUE!</v>
      </c>
      <c r="HW9" t="e">
        <f>AND(Setup!AJ39,"AAAAAF98veY=")</f>
        <v>#VALUE!</v>
      </c>
      <c r="HX9" t="e">
        <f>AND(Setup!AK39,"AAAAAF98vec=")</f>
        <v>#VALUE!</v>
      </c>
      <c r="HY9" t="e">
        <f>AND(Setup!AL39,"AAAAAF98veg=")</f>
        <v>#VALUE!</v>
      </c>
      <c r="HZ9" t="e">
        <f>AND(Setup!AM39,"AAAAAF98vek=")</f>
        <v>#VALUE!</v>
      </c>
      <c r="IA9" t="e">
        <f>AND(Setup!AN39,"AAAAAF98veo=")</f>
        <v>#VALUE!</v>
      </c>
      <c r="IB9" t="e">
        <f>AND(Setup!AO39,"AAAAAF98ves=")</f>
        <v>#VALUE!</v>
      </c>
      <c r="IC9" t="e">
        <f>AND(Setup!AP39,"AAAAAF98vew=")</f>
        <v>#VALUE!</v>
      </c>
      <c r="ID9" t="e">
        <f>AND(Setup!AQ39,"AAAAAF98ve0=")</f>
        <v>#VALUE!</v>
      </c>
      <c r="IE9" t="e">
        <f>AND(Setup!AR39,"AAAAAF98ve4=")</f>
        <v>#VALUE!</v>
      </c>
      <c r="IF9" t="e">
        <f>AND(Setup!AS39,"AAAAAF98ve8=")</f>
        <v>#VALUE!</v>
      </c>
      <c r="IG9" t="e">
        <f>AND(Setup!AT39,"AAAAAF98vfA=")</f>
        <v>#VALUE!</v>
      </c>
      <c r="IH9" t="e">
        <f>AND(Setup!AU39,"AAAAAF98vfE=")</f>
        <v>#VALUE!</v>
      </c>
      <c r="II9" t="e">
        <f>AND(Setup!AV39,"AAAAAF98vfI=")</f>
        <v>#VALUE!</v>
      </c>
      <c r="IJ9" t="e">
        <f>AND(Setup!AW39,"AAAAAF98vfM=")</f>
        <v>#VALUE!</v>
      </c>
      <c r="IK9" t="e">
        <f>AND(Setup!AX39,"AAAAAF98vfQ=")</f>
        <v>#VALUE!</v>
      </c>
      <c r="IL9" t="e">
        <f>AND(Setup!AY39,"AAAAAF98vfU=")</f>
        <v>#VALUE!</v>
      </c>
      <c r="IM9" t="e">
        <f>AND(Setup!AZ39,"AAAAAF98vfY=")</f>
        <v>#VALUE!</v>
      </c>
      <c r="IN9" t="e">
        <f>AND(Setup!BA39,"AAAAAF98vfc=")</f>
        <v>#VALUE!</v>
      </c>
      <c r="IO9" t="e">
        <f>AND(Setup!BB39,"AAAAAF98vfg=")</f>
        <v>#VALUE!</v>
      </c>
      <c r="IP9" t="e">
        <f>AND(Setup!BC39,"AAAAAF98vfk=")</f>
        <v>#VALUE!</v>
      </c>
      <c r="IQ9" t="e">
        <f>AND(Setup!BD39,"AAAAAF98vfo=")</f>
        <v>#VALUE!</v>
      </c>
      <c r="IR9" t="e">
        <f>AND(Setup!BE39,"AAAAAF98vfs=")</f>
        <v>#VALUE!</v>
      </c>
      <c r="IS9" t="e">
        <f>AND(Setup!BF39,"AAAAAF98vfw=")</f>
        <v>#VALUE!</v>
      </c>
      <c r="IT9">
        <f>IF(Setup!40:40,"AAAAAF98vf0=",0)</f>
        <v>0</v>
      </c>
      <c r="IU9" t="e">
        <f>AND(Setup!A40,"AAAAAF98vf4=")</f>
        <v>#VALUE!</v>
      </c>
      <c r="IV9" t="e">
        <f>AND(Setup!B40,"AAAAAF98vf8=")</f>
        <v>#VALUE!</v>
      </c>
    </row>
    <row r="10" spans="1:256">
      <c r="A10" t="e">
        <f>AND(Setup!C40,"AAAAAGM/xwA=")</f>
        <v>#VALUE!</v>
      </c>
      <c r="B10" t="e">
        <f>AND(Setup!D40,"AAAAAGM/xwE=")</f>
        <v>#VALUE!</v>
      </c>
      <c r="C10" t="e">
        <f>AND(Setup!E40,"AAAAAGM/xwI=")</f>
        <v>#VALUE!</v>
      </c>
      <c r="D10" t="e">
        <f>AND(Setup!F40,"AAAAAGM/xwM=")</f>
        <v>#VALUE!</v>
      </c>
      <c r="E10" t="e">
        <f>AND(Setup!G40,"AAAAAGM/xwQ=")</f>
        <v>#VALUE!</v>
      </c>
      <c r="F10" t="e">
        <f>AND(Setup!H40,"AAAAAGM/xwU=")</f>
        <v>#VALUE!</v>
      </c>
      <c r="G10" t="e">
        <f>AND(Setup!I40,"AAAAAGM/xwY=")</f>
        <v>#VALUE!</v>
      </c>
      <c r="H10" t="e">
        <f>AND(Setup!J40,"AAAAAGM/xwc=")</f>
        <v>#VALUE!</v>
      </c>
      <c r="I10" t="e">
        <f>AND(Setup!K40,"AAAAAGM/xwg=")</f>
        <v>#VALUE!</v>
      </c>
      <c r="J10" t="e">
        <f>AND(Setup!L40,"AAAAAGM/xwk=")</f>
        <v>#VALUE!</v>
      </c>
      <c r="K10" t="e">
        <f>AND(Setup!M40,"AAAAAGM/xwo=")</f>
        <v>#VALUE!</v>
      </c>
      <c r="L10" t="e">
        <f>AND(Setup!N40,"AAAAAGM/xws=")</f>
        <v>#VALUE!</v>
      </c>
      <c r="M10" t="e">
        <f>AND(Setup!O40,"AAAAAGM/xww=")</f>
        <v>#VALUE!</v>
      </c>
      <c r="N10" t="e">
        <f>AND(Setup!P40,"AAAAAGM/xw0=")</f>
        <v>#VALUE!</v>
      </c>
      <c r="O10" t="e">
        <f>AND(Setup!Q40,"AAAAAGM/xw4=")</f>
        <v>#VALUE!</v>
      </c>
      <c r="P10" t="e">
        <f>AND(Setup!R40,"AAAAAGM/xw8=")</f>
        <v>#VALUE!</v>
      </c>
      <c r="Q10" t="e">
        <f>AND(Setup!S40,"AAAAAGM/xxA=")</f>
        <v>#VALUE!</v>
      </c>
      <c r="R10" t="e">
        <f>AND(Setup!T40,"AAAAAGM/xxE=")</f>
        <v>#VALUE!</v>
      </c>
      <c r="S10" t="e">
        <f>AND(Setup!U40,"AAAAAGM/xxI=")</f>
        <v>#VALUE!</v>
      </c>
      <c r="T10" t="e">
        <f>AND(Setup!V40,"AAAAAGM/xxM=")</f>
        <v>#VALUE!</v>
      </c>
      <c r="U10" t="e">
        <f>AND(Setup!W40,"AAAAAGM/xxQ=")</f>
        <v>#VALUE!</v>
      </c>
      <c r="V10" t="e">
        <f>AND(Setup!X40,"AAAAAGM/xxU=")</f>
        <v>#VALUE!</v>
      </c>
      <c r="W10" t="e">
        <f>AND(Setup!Y40,"AAAAAGM/xxY=")</f>
        <v>#VALUE!</v>
      </c>
      <c r="X10" t="e">
        <f>AND(Setup!Z40,"AAAAAGM/xxc=")</f>
        <v>#VALUE!</v>
      </c>
      <c r="Y10" t="e">
        <f>AND(Setup!AA40,"AAAAAGM/xxg=")</f>
        <v>#VALUE!</v>
      </c>
      <c r="Z10" t="e">
        <f>AND(Setup!AB40,"AAAAAGM/xxk=")</f>
        <v>#VALUE!</v>
      </c>
      <c r="AA10" t="e">
        <f>AND(Setup!AC40,"AAAAAGM/xxo=")</f>
        <v>#VALUE!</v>
      </c>
      <c r="AB10" t="e">
        <f>AND(Setup!AD40,"AAAAAGM/xxs=")</f>
        <v>#VALUE!</v>
      </c>
      <c r="AC10" t="e">
        <f>AND(Setup!AE40,"AAAAAGM/xxw=")</f>
        <v>#VALUE!</v>
      </c>
      <c r="AD10" t="e">
        <f>AND(Setup!AF40,"AAAAAGM/xx0=")</f>
        <v>#VALUE!</v>
      </c>
      <c r="AE10" t="e">
        <f>AND(Setup!AG40,"AAAAAGM/xx4=")</f>
        <v>#VALUE!</v>
      </c>
      <c r="AF10" t="e">
        <f>AND(Setup!AH40,"AAAAAGM/xx8=")</f>
        <v>#VALUE!</v>
      </c>
      <c r="AG10" t="e">
        <f>AND(Setup!AI40,"AAAAAGM/xyA=")</f>
        <v>#VALUE!</v>
      </c>
      <c r="AH10" t="e">
        <f>AND(Setup!AJ40,"AAAAAGM/xyE=")</f>
        <v>#VALUE!</v>
      </c>
      <c r="AI10" t="e">
        <f>AND(Setup!AK40,"AAAAAGM/xyI=")</f>
        <v>#VALUE!</v>
      </c>
      <c r="AJ10" t="e">
        <f>AND(Setup!AL40,"AAAAAGM/xyM=")</f>
        <v>#VALUE!</v>
      </c>
      <c r="AK10" t="e">
        <f>AND(Setup!AM40,"AAAAAGM/xyQ=")</f>
        <v>#VALUE!</v>
      </c>
      <c r="AL10" t="e">
        <f>AND(Setup!AN40,"AAAAAGM/xyU=")</f>
        <v>#VALUE!</v>
      </c>
      <c r="AM10" t="e">
        <f>AND(Setup!AO40,"AAAAAGM/xyY=")</f>
        <v>#VALUE!</v>
      </c>
      <c r="AN10" t="e">
        <f>AND(Setup!AP40,"AAAAAGM/xyc=")</f>
        <v>#VALUE!</v>
      </c>
      <c r="AO10" t="e">
        <f>AND(Setup!AQ40,"AAAAAGM/xyg=")</f>
        <v>#VALUE!</v>
      </c>
      <c r="AP10" t="e">
        <f>AND(Setup!AR40,"AAAAAGM/xyk=")</f>
        <v>#VALUE!</v>
      </c>
      <c r="AQ10" t="e">
        <f>AND(Setup!AS40,"AAAAAGM/xyo=")</f>
        <v>#VALUE!</v>
      </c>
      <c r="AR10" t="e">
        <f>AND(Setup!AT40,"AAAAAGM/xys=")</f>
        <v>#VALUE!</v>
      </c>
      <c r="AS10" t="e">
        <f>AND(Setup!AU40,"AAAAAGM/xyw=")</f>
        <v>#VALUE!</v>
      </c>
      <c r="AT10" t="e">
        <f>AND(Setup!AV40,"AAAAAGM/xy0=")</f>
        <v>#VALUE!</v>
      </c>
      <c r="AU10" t="e">
        <f>AND(Setup!AW40,"AAAAAGM/xy4=")</f>
        <v>#VALUE!</v>
      </c>
      <c r="AV10" t="e">
        <f>AND(Setup!AX40,"AAAAAGM/xy8=")</f>
        <v>#VALUE!</v>
      </c>
      <c r="AW10" t="e">
        <f>AND(Setup!AY40,"AAAAAGM/xzA=")</f>
        <v>#VALUE!</v>
      </c>
      <c r="AX10" t="e">
        <f>AND(Setup!AZ40,"AAAAAGM/xzE=")</f>
        <v>#VALUE!</v>
      </c>
      <c r="AY10" t="e">
        <f>AND(Setup!BA40,"AAAAAGM/xzI=")</f>
        <v>#VALUE!</v>
      </c>
      <c r="AZ10" t="e">
        <f>AND(Setup!BB40,"AAAAAGM/xzM=")</f>
        <v>#VALUE!</v>
      </c>
      <c r="BA10" t="e">
        <f>AND(Setup!BC40,"AAAAAGM/xzQ=")</f>
        <v>#VALUE!</v>
      </c>
      <c r="BB10" t="e">
        <f>AND(Setup!BD40,"AAAAAGM/xzU=")</f>
        <v>#VALUE!</v>
      </c>
      <c r="BC10" t="e">
        <f>AND(Setup!BE40,"AAAAAGM/xzY=")</f>
        <v>#VALUE!</v>
      </c>
      <c r="BD10" t="e">
        <f>AND(Setup!BF40,"AAAAAGM/xzc=")</f>
        <v>#VALUE!</v>
      </c>
      <c r="BE10">
        <f>IF(Setup!41:41,"AAAAAGM/xzg=",0)</f>
        <v>0</v>
      </c>
      <c r="BF10" t="e">
        <f>AND(Setup!A41,"AAAAAGM/xzk=")</f>
        <v>#VALUE!</v>
      </c>
      <c r="BG10" t="e">
        <f>AND(Setup!B41,"AAAAAGM/xzo=")</f>
        <v>#VALUE!</v>
      </c>
      <c r="BH10" t="e">
        <f>AND(Setup!C41,"AAAAAGM/xzs=")</f>
        <v>#VALUE!</v>
      </c>
      <c r="BI10" t="e">
        <f>AND(Setup!D41,"AAAAAGM/xzw=")</f>
        <v>#VALUE!</v>
      </c>
      <c r="BJ10" t="e">
        <f>AND(Setup!E41,"AAAAAGM/xz0=")</f>
        <v>#VALUE!</v>
      </c>
      <c r="BK10" t="e">
        <f>AND(Setup!F41,"AAAAAGM/xz4=")</f>
        <v>#VALUE!</v>
      </c>
      <c r="BL10" t="e">
        <f>AND(Setup!G41,"AAAAAGM/xz8=")</f>
        <v>#VALUE!</v>
      </c>
      <c r="BM10" t="e">
        <f>AND(Setup!H41,"AAAAAGM/x0A=")</f>
        <v>#VALUE!</v>
      </c>
      <c r="BN10" t="e">
        <f>AND(Setup!I41,"AAAAAGM/x0E=")</f>
        <v>#VALUE!</v>
      </c>
      <c r="BO10" t="e">
        <f>AND(Setup!J41,"AAAAAGM/x0I=")</f>
        <v>#VALUE!</v>
      </c>
      <c r="BP10" t="e">
        <f>AND(Setup!K41,"AAAAAGM/x0M=")</f>
        <v>#VALUE!</v>
      </c>
      <c r="BQ10" t="e">
        <f>AND(Setup!L41,"AAAAAGM/x0Q=")</f>
        <v>#VALUE!</v>
      </c>
      <c r="BR10" t="e">
        <f>AND(Setup!M41,"AAAAAGM/x0U=")</f>
        <v>#VALUE!</v>
      </c>
      <c r="BS10" t="e">
        <f>AND(Setup!N41,"AAAAAGM/x0Y=")</f>
        <v>#VALUE!</v>
      </c>
      <c r="BT10" t="e">
        <f>AND(Setup!O41,"AAAAAGM/x0c=")</f>
        <v>#VALUE!</v>
      </c>
      <c r="BU10" t="e">
        <f>AND(Setup!P41,"AAAAAGM/x0g=")</f>
        <v>#VALUE!</v>
      </c>
      <c r="BV10" t="e">
        <f>AND(Setup!Q41,"AAAAAGM/x0k=")</f>
        <v>#VALUE!</v>
      </c>
      <c r="BW10" t="e">
        <f>AND(Setup!R41,"AAAAAGM/x0o=")</f>
        <v>#VALUE!</v>
      </c>
      <c r="BX10" t="e">
        <f>AND(Setup!S41,"AAAAAGM/x0s=")</f>
        <v>#VALUE!</v>
      </c>
      <c r="BY10" t="e">
        <f>AND(Setup!T41,"AAAAAGM/x0w=")</f>
        <v>#VALUE!</v>
      </c>
      <c r="BZ10" t="e">
        <f>AND(Setup!U41,"AAAAAGM/x00=")</f>
        <v>#VALUE!</v>
      </c>
      <c r="CA10" t="e">
        <f>AND(Setup!V41,"AAAAAGM/x04=")</f>
        <v>#VALUE!</v>
      </c>
      <c r="CB10" t="e">
        <f>AND(Setup!W41,"AAAAAGM/x08=")</f>
        <v>#VALUE!</v>
      </c>
      <c r="CC10" t="e">
        <f>AND(Setup!X41,"AAAAAGM/x1A=")</f>
        <v>#VALUE!</v>
      </c>
      <c r="CD10" t="e">
        <f>AND(Setup!Y41,"AAAAAGM/x1E=")</f>
        <v>#VALUE!</v>
      </c>
      <c r="CE10" t="e">
        <f>AND(Setup!Z41,"AAAAAGM/x1I=")</f>
        <v>#VALUE!</v>
      </c>
      <c r="CF10" t="e">
        <f>AND(Setup!AA41,"AAAAAGM/x1M=")</f>
        <v>#VALUE!</v>
      </c>
      <c r="CG10" t="e">
        <f>AND(Setup!AB41,"AAAAAGM/x1Q=")</f>
        <v>#VALUE!</v>
      </c>
      <c r="CH10" t="e">
        <f>AND(Setup!AC41,"AAAAAGM/x1U=")</f>
        <v>#VALUE!</v>
      </c>
      <c r="CI10" t="e">
        <f>AND(Setup!AD41,"AAAAAGM/x1Y=")</f>
        <v>#VALUE!</v>
      </c>
      <c r="CJ10" t="e">
        <f>AND(Setup!AE41,"AAAAAGM/x1c=")</f>
        <v>#VALUE!</v>
      </c>
      <c r="CK10" t="e">
        <f>AND(Setup!AF41,"AAAAAGM/x1g=")</f>
        <v>#VALUE!</v>
      </c>
      <c r="CL10" t="e">
        <f>AND(Setup!AG41,"AAAAAGM/x1k=")</f>
        <v>#VALUE!</v>
      </c>
      <c r="CM10" t="e">
        <f>AND(Setup!AH41,"AAAAAGM/x1o=")</f>
        <v>#VALUE!</v>
      </c>
      <c r="CN10" t="e">
        <f>AND(Setup!AI41,"AAAAAGM/x1s=")</f>
        <v>#VALUE!</v>
      </c>
      <c r="CO10" t="e">
        <f>AND(Setup!AJ41,"AAAAAGM/x1w=")</f>
        <v>#VALUE!</v>
      </c>
      <c r="CP10" t="e">
        <f>AND(Setup!AK41,"AAAAAGM/x10=")</f>
        <v>#VALUE!</v>
      </c>
      <c r="CQ10" t="e">
        <f>AND(Setup!AL41,"AAAAAGM/x14=")</f>
        <v>#VALUE!</v>
      </c>
      <c r="CR10" t="e">
        <f>AND(Setup!AM41,"AAAAAGM/x18=")</f>
        <v>#VALUE!</v>
      </c>
      <c r="CS10" t="e">
        <f>AND(Setup!AN41,"AAAAAGM/x2A=")</f>
        <v>#VALUE!</v>
      </c>
      <c r="CT10" t="e">
        <f>AND(Setup!AO41,"AAAAAGM/x2E=")</f>
        <v>#VALUE!</v>
      </c>
      <c r="CU10" t="e">
        <f>AND(Setup!AP41,"AAAAAGM/x2I=")</f>
        <v>#VALUE!</v>
      </c>
      <c r="CV10" t="e">
        <f>AND(Setup!AQ41,"AAAAAGM/x2M=")</f>
        <v>#VALUE!</v>
      </c>
      <c r="CW10" t="e">
        <f>AND(Setup!AR41,"AAAAAGM/x2Q=")</f>
        <v>#VALUE!</v>
      </c>
      <c r="CX10" t="e">
        <f>AND(Setup!AS41,"AAAAAGM/x2U=")</f>
        <v>#VALUE!</v>
      </c>
      <c r="CY10" t="e">
        <f>AND(Setup!AT41,"AAAAAGM/x2Y=")</f>
        <v>#VALUE!</v>
      </c>
      <c r="CZ10" t="e">
        <f>AND(Setup!AU41,"AAAAAGM/x2c=")</f>
        <v>#VALUE!</v>
      </c>
      <c r="DA10" t="e">
        <f>AND(Setup!AV41,"AAAAAGM/x2g=")</f>
        <v>#VALUE!</v>
      </c>
      <c r="DB10" t="e">
        <f>AND(Setup!AW41,"AAAAAGM/x2k=")</f>
        <v>#VALUE!</v>
      </c>
      <c r="DC10" t="e">
        <f>AND(Setup!AX41,"AAAAAGM/x2o=")</f>
        <v>#VALUE!</v>
      </c>
      <c r="DD10" t="e">
        <f>AND(Setup!AY41,"AAAAAGM/x2s=")</f>
        <v>#VALUE!</v>
      </c>
      <c r="DE10" t="e">
        <f>AND(Setup!AZ41,"AAAAAGM/x2w=")</f>
        <v>#VALUE!</v>
      </c>
      <c r="DF10" t="e">
        <f>AND(Setup!BA41,"AAAAAGM/x20=")</f>
        <v>#VALUE!</v>
      </c>
      <c r="DG10" t="e">
        <f>AND(Setup!BB41,"AAAAAGM/x24=")</f>
        <v>#VALUE!</v>
      </c>
      <c r="DH10" t="e">
        <f>AND(Setup!BC41,"AAAAAGM/x28=")</f>
        <v>#VALUE!</v>
      </c>
      <c r="DI10" t="e">
        <f>AND(Setup!BD41,"AAAAAGM/x3A=")</f>
        <v>#VALUE!</v>
      </c>
      <c r="DJ10" t="e">
        <f>AND(Setup!BE41,"AAAAAGM/x3E=")</f>
        <v>#VALUE!</v>
      </c>
      <c r="DK10" t="e">
        <f>AND(Setup!BF41,"AAAAAGM/x3I=")</f>
        <v>#VALUE!</v>
      </c>
      <c r="DL10">
        <f>IF(Setup!42:42,"AAAAAGM/x3M=",0)</f>
        <v>0</v>
      </c>
      <c r="DM10" t="e">
        <f>AND(Setup!A42,"AAAAAGM/x3Q=")</f>
        <v>#VALUE!</v>
      </c>
      <c r="DN10" t="e">
        <f>AND(Setup!B42,"AAAAAGM/x3U=")</f>
        <v>#VALUE!</v>
      </c>
      <c r="DO10" t="e">
        <f>AND(Setup!C42,"AAAAAGM/x3Y=")</f>
        <v>#VALUE!</v>
      </c>
      <c r="DP10" t="e">
        <f>AND(Setup!D42,"AAAAAGM/x3c=")</f>
        <v>#VALUE!</v>
      </c>
      <c r="DQ10" t="e">
        <f>AND(Setup!E42,"AAAAAGM/x3g=")</f>
        <v>#VALUE!</v>
      </c>
      <c r="DR10" t="e">
        <f>AND(Setup!F42,"AAAAAGM/x3k=")</f>
        <v>#VALUE!</v>
      </c>
      <c r="DS10" t="e">
        <f>AND(Setup!G42,"AAAAAGM/x3o=")</f>
        <v>#VALUE!</v>
      </c>
      <c r="DT10" t="e">
        <f>AND(Setup!H42,"AAAAAGM/x3s=")</f>
        <v>#VALUE!</v>
      </c>
      <c r="DU10" t="e">
        <f>AND(Setup!I42,"AAAAAGM/x3w=")</f>
        <v>#VALUE!</v>
      </c>
      <c r="DV10" t="e">
        <f>AND(Setup!J42,"AAAAAGM/x30=")</f>
        <v>#VALUE!</v>
      </c>
      <c r="DW10" t="e">
        <f>AND(Setup!K42,"AAAAAGM/x34=")</f>
        <v>#VALUE!</v>
      </c>
      <c r="DX10" t="e">
        <f>AND(Setup!L42,"AAAAAGM/x38=")</f>
        <v>#VALUE!</v>
      </c>
      <c r="DY10" t="e">
        <f>AND(Setup!M42,"AAAAAGM/x4A=")</f>
        <v>#VALUE!</v>
      </c>
      <c r="DZ10" t="e">
        <f>AND(Setup!N42,"AAAAAGM/x4E=")</f>
        <v>#VALUE!</v>
      </c>
      <c r="EA10" t="e">
        <f>AND(Setup!O42,"AAAAAGM/x4I=")</f>
        <v>#VALUE!</v>
      </c>
      <c r="EB10" t="e">
        <f>AND(Setup!P42,"AAAAAGM/x4M=")</f>
        <v>#VALUE!</v>
      </c>
      <c r="EC10" t="e">
        <f>AND(Setup!Q42,"AAAAAGM/x4Q=")</f>
        <v>#VALUE!</v>
      </c>
      <c r="ED10" t="e">
        <f>AND(Setup!R42,"AAAAAGM/x4U=")</f>
        <v>#VALUE!</v>
      </c>
      <c r="EE10" t="e">
        <f>AND(Setup!S42,"AAAAAGM/x4Y=")</f>
        <v>#VALUE!</v>
      </c>
      <c r="EF10" t="e">
        <f>AND(Setup!T42,"AAAAAGM/x4c=")</f>
        <v>#VALUE!</v>
      </c>
      <c r="EG10" t="e">
        <f>AND(Setup!U42,"AAAAAGM/x4g=")</f>
        <v>#VALUE!</v>
      </c>
      <c r="EH10" t="e">
        <f>AND(Setup!V42,"AAAAAGM/x4k=")</f>
        <v>#VALUE!</v>
      </c>
      <c r="EI10" t="e">
        <f>AND(Setup!W42,"AAAAAGM/x4o=")</f>
        <v>#VALUE!</v>
      </c>
      <c r="EJ10" t="e">
        <f>AND(Setup!X42,"AAAAAGM/x4s=")</f>
        <v>#VALUE!</v>
      </c>
      <c r="EK10" t="e">
        <f>AND(Setup!Y42,"AAAAAGM/x4w=")</f>
        <v>#VALUE!</v>
      </c>
      <c r="EL10" t="e">
        <f>AND(Setup!Z42,"AAAAAGM/x40=")</f>
        <v>#VALUE!</v>
      </c>
      <c r="EM10" t="e">
        <f>AND(Setup!AA42,"AAAAAGM/x44=")</f>
        <v>#VALUE!</v>
      </c>
      <c r="EN10" t="e">
        <f>AND(Setup!AB42,"AAAAAGM/x48=")</f>
        <v>#VALUE!</v>
      </c>
      <c r="EO10" t="e">
        <f>AND(Setup!AC42,"AAAAAGM/x5A=")</f>
        <v>#VALUE!</v>
      </c>
      <c r="EP10" t="e">
        <f>AND(Setup!AD42,"AAAAAGM/x5E=")</f>
        <v>#VALUE!</v>
      </c>
      <c r="EQ10" t="e">
        <f>AND(Setup!AE42,"AAAAAGM/x5I=")</f>
        <v>#VALUE!</v>
      </c>
      <c r="ER10" t="e">
        <f>AND(Setup!AF42,"AAAAAGM/x5M=")</f>
        <v>#VALUE!</v>
      </c>
      <c r="ES10" t="e">
        <f>AND(Setup!AG42,"AAAAAGM/x5Q=")</f>
        <v>#VALUE!</v>
      </c>
      <c r="ET10" t="e">
        <f>AND(Setup!AH42,"AAAAAGM/x5U=")</f>
        <v>#VALUE!</v>
      </c>
      <c r="EU10" t="e">
        <f>AND(Setup!AI42,"AAAAAGM/x5Y=")</f>
        <v>#VALUE!</v>
      </c>
      <c r="EV10" t="e">
        <f>AND(Setup!AJ42,"AAAAAGM/x5c=")</f>
        <v>#VALUE!</v>
      </c>
      <c r="EW10" t="e">
        <f>AND(Setup!AK42,"AAAAAGM/x5g=")</f>
        <v>#VALUE!</v>
      </c>
      <c r="EX10" t="e">
        <f>AND(Setup!AL42,"AAAAAGM/x5k=")</f>
        <v>#VALUE!</v>
      </c>
      <c r="EY10" t="e">
        <f>AND(Setup!AM42,"AAAAAGM/x5o=")</f>
        <v>#VALUE!</v>
      </c>
      <c r="EZ10" t="e">
        <f>AND(Setup!AN42,"AAAAAGM/x5s=")</f>
        <v>#VALUE!</v>
      </c>
      <c r="FA10" t="e">
        <f>AND(Setup!AO42,"AAAAAGM/x5w=")</f>
        <v>#VALUE!</v>
      </c>
      <c r="FB10" t="e">
        <f>AND(Setup!AP42,"AAAAAGM/x50=")</f>
        <v>#VALUE!</v>
      </c>
      <c r="FC10" t="e">
        <f>AND(Setup!AQ42,"AAAAAGM/x54=")</f>
        <v>#VALUE!</v>
      </c>
      <c r="FD10" t="e">
        <f>AND(Setup!AR42,"AAAAAGM/x58=")</f>
        <v>#VALUE!</v>
      </c>
      <c r="FE10" t="e">
        <f>AND(Setup!AS42,"AAAAAGM/x6A=")</f>
        <v>#VALUE!</v>
      </c>
      <c r="FF10" t="e">
        <f>AND(Setup!AT42,"AAAAAGM/x6E=")</f>
        <v>#VALUE!</v>
      </c>
      <c r="FG10" t="e">
        <f>AND(Setup!AU42,"AAAAAGM/x6I=")</f>
        <v>#VALUE!</v>
      </c>
      <c r="FH10" t="e">
        <f>AND(Setup!AV42,"AAAAAGM/x6M=")</f>
        <v>#VALUE!</v>
      </c>
      <c r="FI10" t="e">
        <f>AND(Setup!AW42,"AAAAAGM/x6Q=")</f>
        <v>#VALUE!</v>
      </c>
      <c r="FJ10" t="e">
        <f>AND(Setup!AX42,"AAAAAGM/x6U=")</f>
        <v>#VALUE!</v>
      </c>
      <c r="FK10" t="e">
        <f>AND(Setup!AY42,"AAAAAGM/x6Y=")</f>
        <v>#VALUE!</v>
      </c>
      <c r="FL10" t="e">
        <f>AND(Setup!AZ42,"AAAAAGM/x6c=")</f>
        <v>#VALUE!</v>
      </c>
      <c r="FM10" t="e">
        <f>AND(Setup!BA42,"AAAAAGM/x6g=")</f>
        <v>#VALUE!</v>
      </c>
      <c r="FN10" t="e">
        <f>AND(Setup!BB42,"AAAAAGM/x6k=")</f>
        <v>#VALUE!</v>
      </c>
      <c r="FO10" t="e">
        <f>AND(Setup!BC42,"AAAAAGM/x6o=")</f>
        <v>#VALUE!</v>
      </c>
      <c r="FP10" t="e">
        <f>AND(Setup!BD42,"AAAAAGM/x6s=")</f>
        <v>#VALUE!</v>
      </c>
      <c r="FQ10" t="e">
        <f>AND(Setup!BE42,"AAAAAGM/x6w=")</f>
        <v>#VALUE!</v>
      </c>
      <c r="FR10" t="e">
        <f>AND(Setup!BF42,"AAAAAGM/x60=")</f>
        <v>#VALUE!</v>
      </c>
      <c r="FS10">
        <f>IF(Setup!43:43,"AAAAAGM/x64=",0)</f>
        <v>0</v>
      </c>
      <c r="FT10" t="e">
        <f>AND(Setup!A43,"AAAAAGM/x68=")</f>
        <v>#VALUE!</v>
      </c>
      <c r="FU10" t="e">
        <f>AND(Setup!B43,"AAAAAGM/x7A=")</f>
        <v>#VALUE!</v>
      </c>
      <c r="FV10" t="e">
        <f>AND(Setup!C43,"AAAAAGM/x7E=")</f>
        <v>#VALUE!</v>
      </c>
      <c r="FW10" t="e">
        <f>AND(Setup!D43,"AAAAAGM/x7I=")</f>
        <v>#VALUE!</v>
      </c>
      <c r="FX10" t="e">
        <f>AND(Setup!E43,"AAAAAGM/x7M=")</f>
        <v>#VALUE!</v>
      </c>
      <c r="FY10" t="e">
        <f>AND(Setup!F43,"AAAAAGM/x7Q=")</f>
        <v>#VALUE!</v>
      </c>
      <c r="FZ10" t="e">
        <f>AND(Setup!G43,"AAAAAGM/x7U=")</f>
        <v>#VALUE!</v>
      </c>
      <c r="GA10" t="e">
        <f>AND(Setup!H43,"AAAAAGM/x7Y=")</f>
        <v>#VALUE!</v>
      </c>
      <c r="GB10" t="e">
        <f>AND(Setup!I43,"AAAAAGM/x7c=")</f>
        <v>#VALUE!</v>
      </c>
      <c r="GC10" t="e">
        <f>AND(Setup!J43,"AAAAAGM/x7g=")</f>
        <v>#VALUE!</v>
      </c>
      <c r="GD10" t="e">
        <f>AND(Setup!K43,"AAAAAGM/x7k=")</f>
        <v>#VALUE!</v>
      </c>
      <c r="GE10" t="e">
        <f>AND(Setup!L43,"AAAAAGM/x7o=")</f>
        <v>#VALUE!</v>
      </c>
      <c r="GF10" t="e">
        <f>AND(Setup!M43,"AAAAAGM/x7s=")</f>
        <v>#VALUE!</v>
      </c>
      <c r="GG10" t="e">
        <f>AND(Setup!N43,"AAAAAGM/x7w=")</f>
        <v>#VALUE!</v>
      </c>
      <c r="GH10" t="e">
        <f>AND(Setup!O43,"AAAAAGM/x70=")</f>
        <v>#VALUE!</v>
      </c>
      <c r="GI10" t="e">
        <f>AND(Setup!P43,"AAAAAGM/x74=")</f>
        <v>#VALUE!</v>
      </c>
      <c r="GJ10" t="e">
        <f>AND(Setup!Q43,"AAAAAGM/x78=")</f>
        <v>#VALUE!</v>
      </c>
      <c r="GK10" t="e">
        <f>AND(Setup!R43,"AAAAAGM/x8A=")</f>
        <v>#VALUE!</v>
      </c>
      <c r="GL10" t="e">
        <f>AND(Setup!S43,"AAAAAGM/x8E=")</f>
        <v>#VALUE!</v>
      </c>
      <c r="GM10" t="e">
        <f>AND(Setup!T43,"AAAAAGM/x8I=")</f>
        <v>#VALUE!</v>
      </c>
      <c r="GN10" t="e">
        <f>AND(Setup!U43,"AAAAAGM/x8M=")</f>
        <v>#VALUE!</v>
      </c>
      <c r="GO10" t="e">
        <f>AND(Setup!V43,"AAAAAGM/x8Q=")</f>
        <v>#VALUE!</v>
      </c>
      <c r="GP10" t="e">
        <f>AND(Setup!W43,"AAAAAGM/x8U=")</f>
        <v>#VALUE!</v>
      </c>
      <c r="GQ10" t="e">
        <f>AND(Setup!X43,"AAAAAGM/x8Y=")</f>
        <v>#VALUE!</v>
      </c>
      <c r="GR10" t="e">
        <f>AND(Setup!Y43,"AAAAAGM/x8c=")</f>
        <v>#VALUE!</v>
      </c>
      <c r="GS10" t="e">
        <f>AND(Setup!Z43,"AAAAAGM/x8g=")</f>
        <v>#VALUE!</v>
      </c>
      <c r="GT10" t="e">
        <f>AND(Setup!AA43,"AAAAAGM/x8k=")</f>
        <v>#VALUE!</v>
      </c>
      <c r="GU10" t="e">
        <f>AND(Setup!AB43,"AAAAAGM/x8o=")</f>
        <v>#VALUE!</v>
      </c>
      <c r="GV10" t="e">
        <f>AND(Setup!AC43,"AAAAAGM/x8s=")</f>
        <v>#VALUE!</v>
      </c>
      <c r="GW10" t="e">
        <f>AND(Setup!AD43,"AAAAAGM/x8w=")</f>
        <v>#VALUE!</v>
      </c>
      <c r="GX10" t="e">
        <f>AND(Setup!AE43,"AAAAAGM/x80=")</f>
        <v>#VALUE!</v>
      </c>
      <c r="GY10" t="e">
        <f>AND(Setup!AF43,"AAAAAGM/x84=")</f>
        <v>#VALUE!</v>
      </c>
      <c r="GZ10" t="e">
        <f>AND(Setup!AG43,"AAAAAGM/x88=")</f>
        <v>#VALUE!</v>
      </c>
      <c r="HA10" t="e">
        <f>AND(Setup!AH43,"AAAAAGM/x9A=")</f>
        <v>#VALUE!</v>
      </c>
      <c r="HB10" t="e">
        <f>AND(Setup!AI43,"AAAAAGM/x9E=")</f>
        <v>#VALUE!</v>
      </c>
      <c r="HC10" t="e">
        <f>AND(Setup!AJ43,"AAAAAGM/x9I=")</f>
        <v>#VALUE!</v>
      </c>
      <c r="HD10" t="e">
        <f>AND(Setup!AK43,"AAAAAGM/x9M=")</f>
        <v>#VALUE!</v>
      </c>
      <c r="HE10" t="e">
        <f>AND(Setup!AL43,"AAAAAGM/x9Q=")</f>
        <v>#VALUE!</v>
      </c>
      <c r="HF10" t="e">
        <f>AND(Setup!AM43,"AAAAAGM/x9U=")</f>
        <v>#VALUE!</v>
      </c>
      <c r="HG10" t="e">
        <f>AND(Setup!AN43,"AAAAAGM/x9Y=")</f>
        <v>#VALUE!</v>
      </c>
      <c r="HH10" t="e">
        <f>AND(Setup!AO43,"AAAAAGM/x9c=")</f>
        <v>#VALUE!</v>
      </c>
      <c r="HI10" t="e">
        <f>AND(Setup!AP43,"AAAAAGM/x9g=")</f>
        <v>#VALUE!</v>
      </c>
      <c r="HJ10" t="e">
        <f>AND(Setup!AQ43,"AAAAAGM/x9k=")</f>
        <v>#VALUE!</v>
      </c>
      <c r="HK10" t="e">
        <f>AND(Setup!AR43,"AAAAAGM/x9o=")</f>
        <v>#VALUE!</v>
      </c>
      <c r="HL10" t="e">
        <f>AND(Setup!AS43,"AAAAAGM/x9s=")</f>
        <v>#VALUE!</v>
      </c>
      <c r="HM10" t="e">
        <f>AND(Setup!AT43,"AAAAAGM/x9w=")</f>
        <v>#VALUE!</v>
      </c>
      <c r="HN10" t="e">
        <f>AND(Setup!AU43,"AAAAAGM/x90=")</f>
        <v>#VALUE!</v>
      </c>
      <c r="HO10" t="e">
        <f>AND(Setup!AV43,"AAAAAGM/x94=")</f>
        <v>#VALUE!</v>
      </c>
      <c r="HP10" t="e">
        <f>AND(Setup!AW43,"AAAAAGM/x98=")</f>
        <v>#VALUE!</v>
      </c>
      <c r="HQ10" t="e">
        <f>AND(Setup!AX43,"AAAAAGM/x+A=")</f>
        <v>#VALUE!</v>
      </c>
      <c r="HR10" t="e">
        <f>AND(Setup!AY43,"AAAAAGM/x+E=")</f>
        <v>#VALUE!</v>
      </c>
      <c r="HS10" t="e">
        <f>AND(Setup!AZ43,"AAAAAGM/x+I=")</f>
        <v>#VALUE!</v>
      </c>
      <c r="HT10" t="e">
        <f>AND(Setup!BA43,"AAAAAGM/x+M=")</f>
        <v>#VALUE!</v>
      </c>
      <c r="HU10" t="e">
        <f>AND(Setup!BB43,"AAAAAGM/x+Q=")</f>
        <v>#VALUE!</v>
      </c>
      <c r="HV10" t="e">
        <f>AND(Setup!BC43,"AAAAAGM/x+U=")</f>
        <v>#VALUE!</v>
      </c>
      <c r="HW10" t="e">
        <f>AND(Setup!BD43,"AAAAAGM/x+Y=")</f>
        <v>#VALUE!</v>
      </c>
      <c r="HX10" t="e">
        <f>AND(Setup!BE43,"AAAAAGM/x+c=")</f>
        <v>#VALUE!</v>
      </c>
      <c r="HY10" t="e">
        <f>AND(Setup!BF43,"AAAAAGM/x+g=")</f>
        <v>#VALUE!</v>
      </c>
      <c r="HZ10">
        <f>IF(Setup!44:44,"AAAAAGM/x+k=",0)</f>
        <v>0</v>
      </c>
      <c r="IA10" t="e">
        <f>AND(Setup!A44,"AAAAAGM/x+o=")</f>
        <v>#VALUE!</v>
      </c>
      <c r="IB10" t="e">
        <f>AND(Setup!B44,"AAAAAGM/x+s=")</f>
        <v>#VALUE!</v>
      </c>
      <c r="IC10" t="e">
        <f>AND(Setup!C44,"AAAAAGM/x+w=")</f>
        <v>#VALUE!</v>
      </c>
      <c r="ID10" t="e">
        <f>AND(Setup!D44,"AAAAAGM/x+0=")</f>
        <v>#VALUE!</v>
      </c>
      <c r="IE10" t="e">
        <f>AND(Setup!E44,"AAAAAGM/x+4=")</f>
        <v>#VALUE!</v>
      </c>
      <c r="IF10" t="e">
        <f>AND(Setup!F44,"AAAAAGM/x+8=")</f>
        <v>#VALUE!</v>
      </c>
      <c r="IG10" t="e">
        <f>AND(Setup!G44,"AAAAAGM/x/A=")</f>
        <v>#VALUE!</v>
      </c>
      <c r="IH10" t="e">
        <f>AND(Setup!H44,"AAAAAGM/x/E=")</f>
        <v>#VALUE!</v>
      </c>
      <c r="II10" t="e">
        <f>AND(Setup!I44,"AAAAAGM/x/I=")</f>
        <v>#VALUE!</v>
      </c>
      <c r="IJ10" t="e">
        <f>AND(Setup!J44,"AAAAAGM/x/M=")</f>
        <v>#VALUE!</v>
      </c>
      <c r="IK10" t="e">
        <f>AND(Setup!K44,"AAAAAGM/x/Q=")</f>
        <v>#VALUE!</v>
      </c>
      <c r="IL10" t="e">
        <f>AND(Setup!L44,"AAAAAGM/x/U=")</f>
        <v>#VALUE!</v>
      </c>
      <c r="IM10" t="e">
        <f>AND(Setup!M44,"AAAAAGM/x/Y=")</f>
        <v>#VALUE!</v>
      </c>
      <c r="IN10" t="e">
        <f>AND(Setup!N44,"AAAAAGM/x/c=")</f>
        <v>#VALUE!</v>
      </c>
      <c r="IO10" t="e">
        <f>AND(Setup!O44,"AAAAAGM/x/g=")</f>
        <v>#VALUE!</v>
      </c>
      <c r="IP10" t="e">
        <f>AND(Setup!P44,"AAAAAGM/x/k=")</f>
        <v>#VALUE!</v>
      </c>
      <c r="IQ10" t="e">
        <f>AND(Setup!Q44,"AAAAAGM/x/o=")</f>
        <v>#VALUE!</v>
      </c>
      <c r="IR10" t="e">
        <f>AND(Setup!R44,"AAAAAGM/x/s=")</f>
        <v>#VALUE!</v>
      </c>
      <c r="IS10" t="e">
        <f>AND(Setup!S44,"AAAAAGM/x/w=")</f>
        <v>#VALUE!</v>
      </c>
      <c r="IT10" t="e">
        <f>AND(Setup!T44,"AAAAAGM/x/0=")</f>
        <v>#VALUE!</v>
      </c>
      <c r="IU10" t="e">
        <f>AND(Setup!U44,"AAAAAGM/x/4=")</f>
        <v>#VALUE!</v>
      </c>
      <c r="IV10" t="e">
        <f>AND(Setup!V44,"AAAAAGM/x/8=")</f>
        <v>#VALUE!</v>
      </c>
    </row>
    <row r="11" spans="1:256">
      <c r="A11" t="e">
        <f>AND(Setup!W44,"AAAAAGdz9wA=")</f>
        <v>#VALUE!</v>
      </c>
      <c r="B11" t="e">
        <f>AND(Setup!X44,"AAAAAGdz9wE=")</f>
        <v>#VALUE!</v>
      </c>
      <c r="C11" t="e">
        <f>AND(Setup!Y44,"AAAAAGdz9wI=")</f>
        <v>#VALUE!</v>
      </c>
      <c r="D11" t="e">
        <f>AND(Setup!Z44,"AAAAAGdz9wM=")</f>
        <v>#VALUE!</v>
      </c>
      <c r="E11" t="e">
        <f>AND(Setup!AA44,"AAAAAGdz9wQ=")</f>
        <v>#VALUE!</v>
      </c>
      <c r="F11" t="e">
        <f>AND(Setup!AB44,"AAAAAGdz9wU=")</f>
        <v>#VALUE!</v>
      </c>
      <c r="G11" t="e">
        <f>AND(Setup!AC44,"AAAAAGdz9wY=")</f>
        <v>#VALUE!</v>
      </c>
      <c r="H11" t="e">
        <f>AND(Setup!AD44,"AAAAAGdz9wc=")</f>
        <v>#VALUE!</v>
      </c>
      <c r="I11" t="e">
        <f>AND(Setup!AE44,"AAAAAGdz9wg=")</f>
        <v>#VALUE!</v>
      </c>
      <c r="J11" t="e">
        <f>AND(Setup!AF44,"AAAAAGdz9wk=")</f>
        <v>#VALUE!</v>
      </c>
      <c r="K11" t="e">
        <f>AND(Setup!AG44,"AAAAAGdz9wo=")</f>
        <v>#VALUE!</v>
      </c>
      <c r="L11" t="e">
        <f>AND(Setup!AH44,"AAAAAGdz9ws=")</f>
        <v>#VALUE!</v>
      </c>
      <c r="M11" t="e">
        <f>AND(Setup!AI44,"AAAAAGdz9ww=")</f>
        <v>#VALUE!</v>
      </c>
      <c r="N11" t="e">
        <f>AND(Setup!AJ44,"AAAAAGdz9w0=")</f>
        <v>#VALUE!</v>
      </c>
      <c r="O11" t="e">
        <f>AND(Setup!AK44,"AAAAAGdz9w4=")</f>
        <v>#VALUE!</v>
      </c>
      <c r="P11" t="e">
        <f>AND(Setup!AL44,"AAAAAGdz9w8=")</f>
        <v>#VALUE!</v>
      </c>
      <c r="Q11" t="e">
        <f>AND(Setup!AM44,"AAAAAGdz9xA=")</f>
        <v>#VALUE!</v>
      </c>
      <c r="R11" t="e">
        <f>AND(Setup!AN44,"AAAAAGdz9xE=")</f>
        <v>#VALUE!</v>
      </c>
      <c r="S11" t="e">
        <f>AND(Setup!AO44,"AAAAAGdz9xI=")</f>
        <v>#VALUE!</v>
      </c>
      <c r="T11" t="e">
        <f>AND(Setup!AP44,"AAAAAGdz9xM=")</f>
        <v>#VALUE!</v>
      </c>
      <c r="U11" t="e">
        <f>AND(Setup!AQ44,"AAAAAGdz9xQ=")</f>
        <v>#VALUE!</v>
      </c>
      <c r="V11" t="e">
        <f>AND(Setup!AR44,"AAAAAGdz9xU=")</f>
        <v>#VALUE!</v>
      </c>
      <c r="W11" t="e">
        <f>AND(Setup!AS44,"AAAAAGdz9xY=")</f>
        <v>#VALUE!</v>
      </c>
      <c r="X11" t="e">
        <f>AND(Setup!AT44,"AAAAAGdz9xc=")</f>
        <v>#VALUE!</v>
      </c>
      <c r="Y11" t="e">
        <f>AND(Setup!AU44,"AAAAAGdz9xg=")</f>
        <v>#VALUE!</v>
      </c>
      <c r="Z11" t="e">
        <f>AND(Setup!AV44,"AAAAAGdz9xk=")</f>
        <v>#VALUE!</v>
      </c>
      <c r="AA11" t="e">
        <f>AND(Setup!AW44,"AAAAAGdz9xo=")</f>
        <v>#VALUE!</v>
      </c>
      <c r="AB11" t="e">
        <f>AND(Setup!AX44,"AAAAAGdz9xs=")</f>
        <v>#VALUE!</v>
      </c>
      <c r="AC11" t="e">
        <f>AND(Setup!AY44,"AAAAAGdz9xw=")</f>
        <v>#VALUE!</v>
      </c>
      <c r="AD11" t="e">
        <f>AND(Setup!AZ44,"AAAAAGdz9x0=")</f>
        <v>#VALUE!</v>
      </c>
      <c r="AE11" t="e">
        <f>AND(Setup!BA44,"AAAAAGdz9x4=")</f>
        <v>#VALUE!</v>
      </c>
      <c r="AF11" t="e">
        <f>AND(Setup!BB44,"AAAAAGdz9x8=")</f>
        <v>#VALUE!</v>
      </c>
      <c r="AG11" t="e">
        <f>AND(Setup!BC44,"AAAAAGdz9yA=")</f>
        <v>#VALUE!</v>
      </c>
      <c r="AH11" t="e">
        <f>AND(Setup!BD44,"AAAAAGdz9yE=")</f>
        <v>#VALUE!</v>
      </c>
      <c r="AI11" t="e">
        <f>AND(Setup!BE44,"AAAAAGdz9yI=")</f>
        <v>#VALUE!</v>
      </c>
      <c r="AJ11" t="e">
        <f>AND(Setup!BF44,"AAAAAGdz9yM=")</f>
        <v>#VALUE!</v>
      </c>
      <c r="AK11">
        <f>IF(Setup!45:45,"AAAAAGdz9yQ=",0)</f>
        <v>0</v>
      </c>
      <c r="AL11" t="e">
        <f>AND(Setup!A45,"AAAAAGdz9yU=")</f>
        <v>#VALUE!</v>
      </c>
      <c r="AM11" t="e">
        <f>AND(Setup!B45,"AAAAAGdz9yY=")</f>
        <v>#VALUE!</v>
      </c>
      <c r="AN11" t="e">
        <f>AND(Setup!C45,"AAAAAGdz9yc=")</f>
        <v>#VALUE!</v>
      </c>
      <c r="AO11" t="e">
        <f>AND(Setup!D45,"AAAAAGdz9yg=")</f>
        <v>#VALUE!</v>
      </c>
      <c r="AP11" t="e">
        <f>AND(Setup!E45,"AAAAAGdz9yk=")</f>
        <v>#VALUE!</v>
      </c>
      <c r="AQ11" t="e">
        <f>AND(Setup!F45,"AAAAAGdz9yo=")</f>
        <v>#VALUE!</v>
      </c>
      <c r="AR11" t="e">
        <f>AND(Setup!G45,"AAAAAGdz9ys=")</f>
        <v>#VALUE!</v>
      </c>
      <c r="AS11" t="e">
        <f>AND(Setup!H45,"AAAAAGdz9yw=")</f>
        <v>#VALUE!</v>
      </c>
      <c r="AT11" t="e">
        <f>AND(Setup!I45,"AAAAAGdz9y0=")</f>
        <v>#VALUE!</v>
      </c>
      <c r="AU11" t="e">
        <f>AND(Setup!J45,"AAAAAGdz9y4=")</f>
        <v>#VALUE!</v>
      </c>
      <c r="AV11" t="e">
        <f>AND(Setup!K45,"AAAAAGdz9y8=")</f>
        <v>#VALUE!</v>
      </c>
      <c r="AW11" t="e">
        <f>AND(Setup!L45,"AAAAAGdz9zA=")</f>
        <v>#VALUE!</v>
      </c>
      <c r="AX11" t="e">
        <f>AND(Setup!M45,"AAAAAGdz9zE=")</f>
        <v>#VALUE!</v>
      </c>
      <c r="AY11" t="e">
        <f>AND(Setup!N45,"AAAAAGdz9zI=")</f>
        <v>#VALUE!</v>
      </c>
      <c r="AZ11" t="e">
        <f>AND(Setup!O45,"AAAAAGdz9zM=")</f>
        <v>#VALUE!</v>
      </c>
      <c r="BA11" t="e">
        <f>AND(Setup!P45,"AAAAAGdz9zQ=")</f>
        <v>#VALUE!</v>
      </c>
      <c r="BB11" t="e">
        <f>AND(Setup!Q45,"AAAAAGdz9zU=")</f>
        <v>#VALUE!</v>
      </c>
      <c r="BC11" t="e">
        <f>AND(Setup!R45,"AAAAAGdz9zY=")</f>
        <v>#VALUE!</v>
      </c>
      <c r="BD11" t="e">
        <f>AND(Setup!S45,"AAAAAGdz9zc=")</f>
        <v>#VALUE!</v>
      </c>
      <c r="BE11" t="e">
        <f>AND(Setup!T45,"AAAAAGdz9zg=")</f>
        <v>#VALUE!</v>
      </c>
      <c r="BF11" t="e">
        <f>AND(Setup!U45,"AAAAAGdz9zk=")</f>
        <v>#VALUE!</v>
      </c>
      <c r="BG11" t="e">
        <f>AND(Setup!V45,"AAAAAGdz9zo=")</f>
        <v>#VALUE!</v>
      </c>
      <c r="BH11" t="e">
        <f>AND(Setup!W45,"AAAAAGdz9zs=")</f>
        <v>#VALUE!</v>
      </c>
      <c r="BI11" t="e">
        <f>AND(Setup!X45,"AAAAAGdz9zw=")</f>
        <v>#VALUE!</v>
      </c>
      <c r="BJ11" t="e">
        <f>AND(Setup!Y45,"AAAAAGdz9z0=")</f>
        <v>#VALUE!</v>
      </c>
      <c r="BK11" t="e">
        <f>AND(Setup!Z45,"AAAAAGdz9z4=")</f>
        <v>#VALUE!</v>
      </c>
      <c r="BL11" t="e">
        <f>AND(Setup!AA45,"AAAAAGdz9z8=")</f>
        <v>#VALUE!</v>
      </c>
      <c r="BM11" t="e">
        <f>AND(Setup!AB45,"AAAAAGdz90A=")</f>
        <v>#VALUE!</v>
      </c>
      <c r="BN11" t="e">
        <f>AND(Setup!AC45,"AAAAAGdz90E=")</f>
        <v>#VALUE!</v>
      </c>
      <c r="BO11" t="e">
        <f>AND(Setup!AD45,"AAAAAGdz90I=")</f>
        <v>#VALUE!</v>
      </c>
      <c r="BP11" t="e">
        <f>AND(Setup!AE45,"AAAAAGdz90M=")</f>
        <v>#VALUE!</v>
      </c>
      <c r="BQ11" t="e">
        <f>AND(Setup!AF45,"AAAAAGdz90Q=")</f>
        <v>#VALUE!</v>
      </c>
      <c r="BR11" t="e">
        <f>AND(Setup!AG45,"AAAAAGdz90U=")</f>
        <v>#VALUE!</v>
      </c>
      <c r="BS11" t="e">
        <f>AND(Setup!AH45,"AAAAAGdz90Y=")</f>
        <v>#VALUE!</v>
      </c>
      <c r="BT11" t="e">
        <f>AND(Setup!AI45,"AAAAAGdz90c=")</f>
        <v>#VALUE!</v>
      </c>
      <c r="BU11" t="e">
        <f>AND(Setup!AJ45,"AAAAAGdz90g=")</f>
        <v>#VALUE!</v>
      </c>
      <c r="BV11" t="e">
        <f>AND(Setup!AK45,"AAAAAGdz90k=")</f>
        <v>#VALUE!</v>
      </c>
      <c r="BW11" t="e">
        <f>AND(Setup!AL45,"AAAAAGdz90o=")</f>
        <v>#VALUE!</v>
      </c>
      <c r="BX11" t="e">
        <f>AND(Setup!AM45,"AAAAAGdz90s=")</f>
        <v>#VALUE!</v>
      </c>
      <c r="BY11" t="e">
        <f>AND(Setup!AN45,"AAAAAGdz90w=")</f>
        <v>#VALUE!</v>
      </c>
      <c r="BZ11" t="e">
        <f>AND(Setup!AO45,"AAAAAGdz900=")</f>
        <v>#VALUE!</v>
      </c>
      <c r="CA11" t="e">
        <f>AND(Setup!AP45,"AAAAAGdz904=")</f>
        <v>#VALUE!</v>
      </c>
      <c r="CB11" t="e">
        <f>AND(Setup!AQ45,"AAAAAGdz908=")</f>
        <v>#VALUE!</v>
      </c>
      <c r="CC11" t="e">
        <f>AND(Setup!AR45,"AAAAAGdz91A=")</f>
        <v>#VALUE!</v>
      </c>
      <c r="CD11" t="e">
        <f>AND(Setup!AS45,"AAAAAGdz91E=")</f>
        <v>#VALUE!</v>
      </c>
      <c r="CE11" t="e">
        <f>AND(Setup!AT45,"AAAAAGdz91I=")</f>
        <v>#VALUE!</v>
      </c>
      <c r="CF11" t="e">
        <f>AND(Setup!AU45,"AAAAAGdz91M=")</f>
        <v>#VALUE!</v>
      </c>
      <c r="CG11" t="e">
        <f>AND(Setup!AV45,"AAAAAGdz91Q=")</f>
        <v>#VALUE!</v>
      </c>
      <c r="CH11" t="e">
        <f>AND(Setup!AW45,"AAAAAGdz91U=")</f>
        <v>#VALUE!</v>
      </c>
      <c r="CI11" t="e">
        <f>AND(Setup!AX45,"AAAAAGdz91Y=")</f>
        <v>#VALUE!</v>
      </c>
      <c r="CJ11" t="e">
        <f>AND(Setup!AY45,"AAAAAGdz91c=")</f>
        <v>#VALUE!</v>
      </c>
      <c r="CK11" t="e">
        <f>AND(Setup!AZ45,"AAAAAGdz91g=")</f>
        <v>#VALUE!</v>
      </c>
      <c r="CL11" t="e">
        <f>AND(Setup!BA45,"AAAAAGdz91k=")</f>
        <v>#VALUE!</v>
      </c>
      <c r="CM11" t="e">
        <f>AND(Setup!BB45,"AAAAAGdz91o=")</f>
        <v>#VALUE!</v>
      </c>
      <c r="CN11" t="e">
        <f>AND(Setup!BC45,"AAAAAGdz91s=")</f>
        <v>#VALUE!</v>
      </c>
      <c r="CO11" t="e">
        <f>AND(Setup!BD45,"AAAAAGdz91w=")</f>
        <v>#VALUE!</v>
      </c>
      <c r="CP11" t="e">
        <f>AND(Setup!BE45,"AAAAAGdz910=")</f>
        <v>#VALUE!</v>
      </c>
      <c r="CQ11" t="e">
        <f>AND(Setup!BF45,"AAAAAGdz914=")</f>
        <v>#VALUE!</v>
      </c>
      <c r="CR11">
        <f>IF(Setup!46:46,"AAAAAGdz918=",0)</f>
        <v>0</v>
      </c>
      <c r="CS11" t="e">
        <f>AND(Setup!A46,"AAAAAGdz92A=")</f>
        <v>#VALUE!</v>
      </c>
      <c r="CT11" t="e">
        <f>AND(Setup!B46,"AAAAAGdz92E=")</f>
        <v>#VALUE!</v>
      </c>
      <c r="CU11" t="e">
        <f>AND(Setup!C46,"AAAAAGdz92I=")</f>
        <v>#VALUE!</v>
      </c>
      <c r="CV11" t="e">
        <f>AND(Setup!D46,"AAAAAGdz92M=")</f>
        <v>#VALUE!</v>
      </c>
      <c r="CW11" t="e">
        <f>AND(Setup!E46,"AAAAAGdz92Q=")</f>
        <v>#VALUE!</v>
      </c>
      <c r="CX11" t="e">
        <f>AND(Setup!F46,"AAAAAGdz92U=")</f>
        <v>#VALUE!</v>
      </c>
      <c r="CY11" t="e">
        <f>AND(Setup!G46,"AAAAAGdz92Y=")</f>
        <v>#VALUE!</v>
      </c>
      <c r="CZ11" t="e">
        <f>AND(Setup!H46,"AAAAAGdz92c=")</f>
        <v>#VALUE!</v>
      </c>
      <c r="DA11" t="e">
        <f>AND(Setup!I46,"AAAAAGdz92g=")</f>
        <v>#VALUE!</v>
      </c>
      <c r="DB11" t="e">
        <f>AND(Setup!J46,"AAAAAGdz92k=")</f>
        <v>#VALUE!</v>
      </c>
      <c r="DC11" t="e">
        <f>AND(Setup!K46,"AAAAAGdz92o=")</f>
        <v>#VALUE!</v>
      </c>
      <c r="DD11" t="e">
        <f>AND(Setup!L46,"AAAAAGdz92s=")</f>
        <v>#VALUE!</v>
      </c>
      <c r="DE11" t="e">
        <f>AND(Setup!M46,"AAAAAGdz92w=")</f>
        <v>#VALUE!</v>
      </c>
      <c r="DF11" t="e">
        <f>AND(Setup!N46,"AAAAAGdz920=")</f>
        <v>#VALUE!</v>
      </c>
      <c r="DG11" t="e">
        <f>AND(Setup!O46,"AAAAAGdz924=")</f>
        <v>#VALUE!</v>
      </c>
      <c r="DH11" t="e">
        <f>AND(Setup!P46,"AAAAAGdz928=")</f>
        <v>#VALUE!</v>
      </c>
      <c r="DI11" t="e">
        <f>AND(Setup!Q46,"AAAAAGdz93A=")</f>
        <v>#VALUE!</v>
      </c>
      <c r="DJ11" t="e">
        <f>AND(Setup!R46,"AAAAAGdz93E=")</f>
        <v>#VALUE!</v>
      </c>
      <c r="DK11" t="e">
        <f>AND(Setup!S46,"AAAAAGdz93I=")</f>
        <v>#VALUE!</v>
      </c>
      <c r="DL11" t="e">
        <f>AND(Setup!T46,"AAAAAGdz93M=")</f>
        <v>#VALUE!</v>
      </c>
      <c r="DM11" t="e">
        <f>AND(Setup!U46,"AAAAAGdz93Q=")</f>
        <v>#VALUE!</v>
      </c>
      <c r="DN11" t="e">
        <f>AND(Setup!V46,"AAAAAGdz93U=")</f>
        <v>#VALUE!</v>
      </c>
      <c r="DO11" t="e">
        <f>AND(Setup!W46,"AAAAAGdz93Y=")</f>
        <v>#VALUE!</v>
      </c>
      <c r="DP11" t="e">
        <f>AND(Setup!X46,"AAAAAGdz93c=")</f>
        <v>#VALUE!</v>
      </c>
      <c r="DQ11" t="e">
        <f>AND(Setup!Y46,"AAAAAGdz93g=")</f>
        <v>#VALUE!</v>
      </c>
      <c r="DR11" t="e">
        <f>AND(Setup!Z46,"AAAAAGdz93k=")</f>
        <v>#VALUE!</v>
      </c>
      <c r="DS11" t="e">
        <f>AND(Setup!AA46,"AAAAAGdz93o=")</f>
        <v>#VALUE!</v>
      </c>
      <c r="DT11" t="e">
        <f>AND(Setup!AB46,"AAAAAGdz93s=")</f>
        <v>#VALUE!</v>
      </c>
      <c r="DU11" t="e">
        <f>AND(Setup!AC46,"AAAAAGdz93w=")</f>
        <v>#VALUE!</v>
      </c>
      <c r="DV11" t="e">
        <f>AND(Setup!AD46,"AAAAAGdz930=")</f>
        <v>#VALUE!</v>
      </c>
      <c r="DW11" t="e">
        <f>AND(Setup!AE46,"AAAAAGdz934=")</f>
        <v>#VALUE!</v>
      </c>
      <c r="DX11" t="e">
        <f>AND(Setup!AF46,"AAAAAGdz938=")</f>
        <v>#VALUE!</v>
      </c>
      <c r="DY11" t="e">
        <f>AND(Setup!AG46,"AAAAAGdz94A=")</f>
        <v>#VALUE!</v>
      </c>
      <c r="DZ11" t="e">
        <f>AND(Setup!AH46,"AAAAAGdz94E=")</f>
        <v>#VALUE!</v>
      </c>
      <c r="EA11" t="e">
        <f>AND(Setup!AI46,"AAAAAGdz94I=")</f>
        <v>#VALUE!</v>
      </c>
      <c r="EB11" t="e">
        <f>AND(Setup!AJ46,"AAAAAGdz94M=")</f>
        <v>#VALUE!</v>
      </c>
      <c r="EC11" t="e">
        <f>AND(Setup!AK46,"AAAAAGdz94Q=")</f>
        <v>#VALUE!</v>
      </c>
      <c r="ED11" t="e">
        <f>AND(Setup!AL46,"AAAAAGdz94U=")</f>
        <v>#VALUE!</v>
      </c>
      <c r="EE11" t="e">
        <f>AND(Setup!AM46,"AAAAAGdz94Y=")</f>
        <v>#VALUE!</v>
      </c>
      <c r="EF11" t="e">
        <f>AND(Setup!AN46,"AAAAAGdz94c=")</f>
        <v>#VALUE!</v>
      </c>
      <c r="EG11" t="e">
        <f>AND(Setup!AO46,"AAAAAGdz94g=")</f>
        <v>#VALUE!</v>
      </c>
      <c r="EH11" t="e">
        <f>AND(Setup!AP46,"AAAAAGdz94k=")</f>
        <v>#VALUE!</v>
      </c>
      <c r="EI11" t="e">
        <f>AND(Setup!AQ46,"AAAAAGdz94o=")</f>
        <v>#VALUE!</v>
      </c>
      <c r="EJ11" t="e">
        <f>AND(Setup!AR46,"AAAAAGdz94s=")</f>
        <v>#VALUE!</v>
      </c>
      <c r="EK11" t="e">
        <f>AND(Setup!AS46,"AAAAAGdz94w=")</f>
        <v>#VALUE!</v>
      </c>
      <c r="EL11" t="e">
        <f>AND(Setup!AT46,"AAAAAGdz940=")</f>
        <v>#VALUE!</v>
      </c>
      <c r="EM11" t="e">
        <f>AND(Setup!AU46,"AAAAAGdz944=")</f>
        <v>#VALUE!</v>
      </c>
      <c r="EN11" t="e">
        <f>AND(Setup!AV46,"AAAAAGdz948=")</f>
        <v>#VALUE!</v>
      </c>
      <c r="EO11" t="e">
        <f>AND(Setup!AW46,"AAAAAGdz95A=")</f>
        <v>#VALUE!</v>
      </c>
      <c r="EP11" t="e">
        <f>AND(Setup!AX46,"AAAAAGdz95E=")</f>
        <v>#VALUE!</v>
      </c>
      <c r="EQ11" t="e">
        <f>AND(Setup!AY46,"AAAAAGdz95I=")</f>
        <v>#VALUE!</v>
      </c>
      <c r="ER11" t="e">
        <f>AND(Setup!AZ46,"AAAAAGdz95M=")</f>
        <v>#VALUE!</v>
      </c>
      <c r="ES11" t="e">
        <f>AND(Setup!BA46,"AAAAAGdz95Q=")</f>
        <v>#VALUE!</v>
      </c>
      <c r="ET11" t="e">
        <f>AND(Setup!BB46,"AAAAAGdz95U=")</f>
        <v>#VALUE!</v>
      </c>
      <c r="EU11" t="e">
        <f>AND(Setup!BC46,"AAAAAGdz95Y=")</f>
        <v>#VALUE!</v>
      </c>
      <c r="EV11" t="e">
        <f>AND(Setup!BD46,"AAAAAGdz95c=")</f>
        <v>#VALUE!</v>
      </c>
      <c r="EW11" t="e">
        <f>AND(Setup!BE46,"AAAAAGdz95g=")</f>
        <v>#VALUE!</v>
      </c>
      <c r="EX11" t="e">
        <f>AND(Setup!BF46,"AAAAAGdz95k=")</f>
        <v>#VALUE!</v>
      </c>
      <c r="EY11">
        <f>IF(Setup!47:47,"AAAAAGdz95o=",0)</f>
        <v>0</v>
      </c>
      <c r="EZ11" t="e">
        <f>AND(Setup!A47,"AAAAAGdz95s=")</f>
        <v>#VALUE!</v>
      </c>
      <c r="FA11" t="e">
        <f>AND(Setup!B47,"AAAAAGdz95w=")</f>
        <v>#VALUE!</v>
      </c>
      <c r="FB11" t="e">
        <f>AND(Setup!C47,"AAAAAGdz950=")</f>
        <v>#VALUE!</v>
      </c>
      <c r="FC11" t="e">
        <f>AND(Setup!D47,"AAAAAGdz954=")</f>
        <v>#VALUE!</v>
      </c>
      <c r="FD11" t="e">
        <f>AND(Setup!E47,"AAAAAGdz958=")</f>
        <v>#VALUE!</v>
      </c>
      <c r="FE11" t="e">
        <f>AND(Setup!F47,"AAAAAGdz96A=")</f>
        <v>#VALUE!</v>
      </c>
      <c r="FF11" t="e">
        <f>AND(Setup!G47,"AAAAAGdz96E=")</f>
        <v>#VALUE!</v>
      </c>
      <c r="FG11" t="e">
        <f>AND(Setup!H47,"AAAAAGdz96I=")</f>
        <v>#VALUE!</v>
      </c>
      <c r="FH11" t="e">
        <f>AND(Setup!I47,"AAAAAGdz96M=")</f>
        <v>#VALUE!</v>
      </c>
      <c r="FI11" t="e">
        <f>AND(Setup!J47,"AAAAAGdz96Q=")</f>
        <v>#VALUE!</v>
      </c>
      <c r="FJ11" t="e">
        <f>AND(Setup!K47,"AAAAAGdz96U=")</f>
        <v>#VALUE!</v>
      </c>
      <c r="FK11" t="e">
        <f>AND(Setup!L47,"AAAAAGdz96Y=")</f>
        <v>#VALUE!</v>
      </c>
      <c r="FL11" t="e">
        <f>AND(Setup!M47,"AAAAAGdz96c=")</f>
        <v>#VALUE!</v>
      </c>
      <c r="FM11" t="e">
        <f>AND(Setup!N47,"AAAAAGdz96g=")</f>
        <v>#VALUE!</v>
      </c>
      <c r="FN11" t="e">
        <f>AND(Setup!O47,"AAAAAGdz96k=")</f>
        <v>#VALUE!</v>
      </c>
      <c r="FO11" t="e">
        <f>AND(Setup!P47,"AAAAAGdz96o=")</f>
        <v>#VALUE!</v>
      </c>
      <c r="FP11" t="e">
        <f>AND(Setup!Q47,"AAAAAGdz96s=")</f>
        <v>#VALUE!</v>
      </c>
      <c r="FQ11" t="e">
        <f>AND(Setup!R47,"AAAAAGdz96w=")</f>
        <v>#VALUE!</v>
      </c>
      <c r="FR11" t="e">
        <f>AND(Setup!S47,"AAAAAGdz960=")</f>
        <v>#VALUE!</v>
      </c>
      <c r="FS11" t="e">
        <f>AND(Setup!T47,"AAAAAGdz964=")</f>
        <v>#VALUE!</v>
      </c>
      <c r="FT11" t="e">
        <f>AND(Setup!U47,"AAAAAGdz968=")</f>
        <v>#VALUE!</v>
      </c>
      <c r="FU11" t="e">
        <f>AND(Setup!V47,"AAAAAGdz97A=")</f>
        <v>#VALUE!</v>
      </c>
      <c r="FV11" t="e">
        <f>AND(Setup!W47,"AAAAAGdz97E=")</f>
        <v>#VALUE!</v>
      </c>
      <c r="FW11" t="e">
        <f>AND(Setup!X47,"AAAAAGdz97I=")</f>
        <v>#VALUE!</v>
      </c>
      <c r="FX11" t="e">
        <f>AND(Setup!Y47,"AAAAAGdz97M=")</f>
        <v>#VALUE!</v>
      </c>
      <c r="FY11" t="e">
        <f>AND(Setup!Z47,"AAAAAGdz97Q=")</f>
        <v>#VALUE!</v>
      </c>
      <c r="FZ11" t="e">
        <f>AND(Setup!AA47,"AAAAAGdz97U=")</f>
        <v>#VALUE!</v>
      </c>
      <c r="GA11" t="e">
        <f>AND(Setup!AB47,"AAAAAGdz97Y=")</f>
        <v>#VALUE!</v>
      </c>
      <c r="GB11" t="e">
        <f>AND(Setup!AC47,"AAAAAGdz97c=")</f>
        <v>#VALUE!</v>
      </c>
      <c r="GC11" t="e">
        <f>AND(Setup!AD47,"AAAAAGdz97g=")</f>
        <v>#VALUE!</v>
      </c>
      <c r="GD11" t="e">
        <f>AND(Setup!AE47,"AAAAAGdz97k=")</f>
        <v>#VALUE!</v>
      </c>
      <c r="GE11" t="e">
        <f>AND(Setup!AF47,"AAAAAGdz97o=")</f>
        <v>#VALUE!</v>
      </c>
      <c r="GF11" t="e">
        <f>AND(Setup!AG47,"AAAAAGdz97s=")</f>
        <v>#VALUE!</v>
      </c>
      <c r="GG11" t="e">
        <f>AND(Setup!AH47,"AAAAAGdz97w=")</f>
        <v>#VALUE!</v>
      </c>
      <c r="GH11" t="e">
        <f>AND(Setup!AI47,"AAAAAGdz970=")</f>
        <v>#VALUE!</v>
      </c>
      <c r="GI11" t="e">
        <f>AND(Setup!AJ47,"AAAAAGdz974=")</f>
        <v>#VALUE!</v>
      </c>
      <c r="GJ11" t="e">
        <f>AND(Setup!AK47,"AAAAAGdz978=")</f>
        <v>#VALUE!</v>
      </c>
      <c r="GK11" t="e">
        <f>AND(Setup!AL47,"AAAAAGdz98A=")</f>
        <v>#VALUE!</v>
      </c>
      <c r="GL11" t="e">
        <f>AND(Setup!AM47,"AAAAAGdz98E=")</f>
        <v>#VALUE!</v>
      </c>
      <c r="GM11" t="e">
        <f>AND(Setup!AN47,"AAAAAGdz98I=")</f>
        <v>#VALUE!</v>
      </c>
      <c r="GN11" t="e">
        <f>AND(Setup!AO47,"AAAAAGdz98M=")</f>
        <v>#VALUE!</v>
      </c>
      <c r="GO11" t="e">
        <f>AND(Setup!AP47,"AAAAAGdz98Q=")</f>
        <v>#VALUE!</v>
      </c>
      <c r="GP11" t="e">
        <f>AND(Setup!AQ47,"AAAAAGdz98U=")</f>
        <v>#VALUE!</v>
      </c>
      <c r="GQ11" t="e">
        <f>AND(Setup!AR47,"AAAAAGdz98Y=")</f>
        <v>#VALUE!</v>
      </c>
      <c r="GR11" t="e">
        <f>AND(Setup!AS47,"AAAAAGdz98c=")</f>
        <v>#VALUE!</v>
      </c>
      <c r="GS11" t="e">
        <f>AND(Setup!AT47,"AAAAAGdz98g=")</f>
        <v>#VALUE!</v>
      </c>
      <c r="GT11" t="e">
        <f>AND(Setup!AU47,"AAAAAGdz98k=")</f>
        <v>#VALUE!</v>
      </c>
      <c r="GU11" t="e">
        <f>AND(Setup!AV47,"AAAAAGdz98o=")</f>
        <v>#VALUE!</v>
      </c>
      <c r="GV11" t="e">
        <f>AND(Setup!AW47,"AAAAAGdz98s=")</f>
        <v>#VALUE!</v>
      </c>
      <c r="GW11" t="e">
        <f>AND(Setup!AX47,"AAAAAGdz98w=")</f>
        <v>#VALUE!</v>
      </c>
      <c r="GX11" t="e">
        <f>AND(Setup!AY47,"AAAAAGdz980=")</f>
        <v>#VALUE!</v>
      </c>
      <c r="GY11" t="e">
        <f>AND(Setup!AZ47,"AAAAAGdz984=")</f>
        <v>#VALUE!</v>
      </c>
      <c r="GZ11" t="e">
        <f>AND(Setup!BA47,"AAAAAGdz988=")</f>
        <v>#VALUE!</v>
      </c>
      <c r="HA11" t="e">
        <f>AND(Setup!BB47,"AAAAAGdz99A=")</f>
        <v>#VALUE!</v>
      </c>
      <c r="HB11" t="e">
        <f>AND(Setup!BC47,"AAAAAGdz99E=")</f>
        <v>#VALUE!</v>
      </c>
      <c r="HC11" t="e">
        <f>AND(Setup!BD47,"AAAAAGdz99I=")</f>
        <v>#VALUE!</v>
      </c>
      <c r="HD11" t="e">
        <f>AND(Setup!BE47,"AAAAAGdz99M=")</f>
        <v>#VALUE!</v>
      </c>
      <c r="HE11" t="e">
        <f>AND(Setup!BF47,"AAAAAGdz99Q=")</f>
        <v>#VALUE!</v>
      </c>
      <c r="HF11">
        <f>IF(Setup!48:48,"AAAAAGdz99U=",0)</f>
        <v>0</v>
      </c>
      <c r="HG11" t="e">
        <f>AND(Setup!A48,"AAAAAGdz99Y=")</f>
        <v>#VALUE!</v>
      </c>
      <c r="HH11" t="e">
        <f>AND(Setup!B48,"AAAAAGdz99c=")</f>
        <v>#VALUE!</v>
      </c>
      <c r="HI11" t="e">
        <f>AND(Setup!C48,"AAAAAGdz99g=")</f>
        <v>#VALUE!</v>
      </c>
      <c r="HJ11" t="e">
        <f>AND(Setup!D48,"AAAAAGdz99k=")</f>
        <v>#VALUE!</v>
      </c>
      <c r="HK11" t="e">
        <f>AND(Setup!E48,"AAAAAGdz99o=")</f>
        <v>#VALUE!</v>
      </c>
      <c r="HL11" t="e">
        <f>AND(Setup!F48,"AAAAAGdz99s=")</f>
        <v>#VALUE!</v>
      </c>
      <c r="HM11" t="e">
        <f>AND(Setup!G48,"AAAAAGdz99w=")</f>
        <v>#VALUE!</v>
      </c>
      <c r="HN11" t="e">
        <f>AND(Setup!H48,"AAAAAGdz990=")</f>
        <v>#VALUE!</v>
      </c>
      <c r="HO11" t="e">
        <f>AND(Setup!I48,"AAAAAGdz994=")</f>
        <v>#VALUE!</v>
      </c>
      <c r="HP11" t="e">
        <f>AND(Setup!J48,"AAAAAGdz998=")</f>
        <v>#VALUE!</v>
      </c>
      <c r="HQ11" t="e">
        <f>AND(Setup!K48,"AAAAAGdz9+A=")</f>
        <v>#VALUE!</v>
      </c>
      <c r="HR11" t="e">
        <f>AND(Setup!L48,"AAAAAGdz9+E=")</f>
        <v>#VALUE!</v>
      </c>
      <c r="HS11" t="e">
        <f>AND(Setup!M48,"AAAAAGdz9+I=")</f>
        <v>#VALUE!</v>
      </c>
      <c r="HT11" t="e">
        <f>AND(Setup!N48,"AAAAAGdz9+M=")</f>
        <v>#VALUE!</v>
      </c>
      <c r="HU11" t="e">
        <f>AND(Setup!O48,"AAAAAGdz9+Q=")</f>
        <v>#VALUE!</v>
      </c>
      <c r="HV11" t="e">
        <f>AND(Setup!P48,"AAAAAGdz9+U=")</f>
        <v>#VALUE!</v>
      </c>
      <c r="HW11" t="e">
        <f>AND(Setup!Q48,"AAAAAGdz9+Y=")</f>
        <v>#VALUE!</v>
      </c>
      <c r="HX11" t="e">
        <f>AND(Setup!R48,"AAAAAGdz9+c=")</f>
        <v>#VALUE!</v>
      </c>
      <c r="HY11" t="e">
        <f>AND(Setup!S48,"AAAAAGdz9+g=")</f>
        <v>#VALUE!</v>
      </c>
      <c r="HZ11" t="e">
        <f>AND(Setup!T48,"AAAAAGdz9+k=")</f>
        <v>#VALUE!</v>
      </c>
      <c r="IA11" t="e">
        <f>AND(Setup!U48,"AAAAAGdz9+o=")</f>
        <v>#VALUE!</v>
      </c>
      <c r="IB11" t="e">
        <f>AND(Setup!V48,"AAAAAGdz9+s=")</f>
        <v>#VALUE!</v>
      </c>
      <c r="IC11" t="e">
        <f>AND(Setup!W48,"AAAAAGdz9+w=")</f>
        <v>#VALUE!</v>
      </c>
      <c r="ID11" t="e">
        <f>AND(Setup!X48,"AAAAAGdz9+0=")</f>
        <v>#VALUE!</v>
      </c>
      <c r="IE11" t="e">
        <f>AND(Setup!Y48,"AAAAAGdz9+4=")</f>
        <v>#VALUE!</v>
      </c>
      <c r="IF11" t="e">
        <f>AND(Setup!Z48,"AAAAAGdz9+8=")</f>
        <v>#VALUE!</v>
      </c>
      <c r="IG11" t="e">
        <f>AND(Setup!AA48,"AAAAAGdz9/A=")</f>
        <v>#VALUE!</v>
      </c>
      <c r="IH11" t="e">
        <f>AND(Setup!AB48,"AAAAAGdz9/E=")</f>
        <v>#VALUE!</v>
      </c>
      <c r="II11" t="e">
        <f>AND(Setup!AC48,"AAAAAGdz9/I=")</f>
        <v>#VALUE!</v>
      </c>
      <c r="IJ11" t="e">
        <f>AND(Setup!AD48,"AAAAAGdz9/M=")</f>
        <v>#VALUE!</v>
      </c>
      <c r="IK11" t="e">
        <f>AND(Setup!AE48,"AAAAAGdz9/Q=")</f>
        <v>#VALUE!</v>
      </c>
      <c r="IL11" t="e">
        <f>AND(Setup!AF48,"AAAAAGdz9/U=")</f>
        <v>#VALUE!</v>
      </c>
      <c r="IM11" t="e">
        <f>AND(Setup!AG48,"AAAAAGdz9/Y=")</f>
        <v>#VALUE!</v>
      </c>
      <c r="IN11" t="e">
        <f>AND(Setup!AH48,"AAAAAGdz9/c=")</f>
        <v>#VALUE!</v>
      </c>
      <c r="IO11" t="e">
        <f>AND(Setup!AI48,"AAAAAGdz9/g=")</f>
        <v>#VALUE!</v>
      </c>
      <c r="IP11" t="e">
        <f>AND(Setup!AJ48,"AAAAAGdz9/k=")</f>
        <v>#VALUE!</v>
      </c>
      <c r="IQ11" t="e">
        <f>AND(Setup!AK48,"AAAAAGdz9/o=")</f>
        <v>#VALUE!</v>
      </c>
      <c r="IR11" t="e">
        <f>AND(Setup!AL48,"AAAAAGdz9/s=")</f>
        <v>#VALUE!</v>
      </c>
      <c r="IS11" t="e">
        <f>AND(Setup!AM48,"AAAAAGdz9/w=")</f>
        <v>#VALUE!</v>
      </c>
      <c r="IT11" t="e">
        <f>AND(Setup!AN48,"AAAAAGdz9/0=")</f>
        <v>#VALUE!</v>
      </c>
      <c r="IU11" t="e">
        <f>AND(Setup!AO48,"AAAAAGdz9/4=")</f>
        <v>#VALUE!</v>
      </c>
      <c r="IV11" t="e">
        <f>AND(Setup!AP48,"AAAAAGdz9/8=")</f>
        <v>#VALUE!</v>
      </c>
    </row>
    <row r="12" spans="1:256">
      <c r="A12" t="e">
        <f>AND(Setup!AQ48,"AAAAAH7r7wA=")</f>
        <v>#VALUE!</v>
      </c>
      <c r="B12" t="e">
        <f>AND(Setup!AR48,"AAAAAH7r7wE=")</f>
        <v>#VALUE!</v>
      </c>
      <c r="C12" t="e">
        <f>AND(Setup!AS48,"AAAAAH7r7wI=")</f>
        <v>#VALUE!</v>
      </c>
      <c r="D12" t="e">
        <f>AND(Setup!AT48,"AAAAAH7r7wM=")</f>
        <v>#VALUE!</v>
      </c>
      <c r="E12" t="e">
        <f>AND(Setup!AU48,"AAAAAH7r7wQ=")</f>
        <v>#VALUE!</v>
      </c>
      <c r="F12" t="e">
        <f>AND(Setup!AV48,"AAAAAH7r7wU=")</f>
        <v>#VALUE!</v>
      </c>
      <c r="G12" t="e">
        <f>AND(Setup!AW48,"AAAAAH7r7wY=")</f>
        <v>#VALUE!</v>
      </c>
      <c r="H12" t="e">
        <f>AND(Setup!AX48,"AAAAAH7r7wc=")</f>
        <v>#VALUE!</v>
      </c>
      <c r="I12" t="e">
        <f>AND(Setup!AY48,"AAAAAH7r7wg=")</f>
        <v>#VALUE!</v>
      </c>
      <c r="J12" t="e">
        <f>AND(Setup!AZ48,"AAAAAH7r7wk=")</f>
        <v>#VALUE!</v>
      </c>
      <c r="K12" t="e">
        <f>AND(Setup!BA48,"AAAAAH7r7wo=")</f>
        <v>#VALUE!</v>
      </c>
      <c r="L12" t="e">
        <f>AND(Setup!BB48,"AAAAAH7r7ws=")</f>
        <v>#VALUE!</v>
      </c>
      <c r="M12" t="e">
        <f>AND(Setup!BC48,"AAAAAH7r7ww=")</f>
        <v>#VALUE!</v>
      </c>
      <c r="N12" t="e">
        <f>AND(Setup!BD48,"AAAAAH7r7w0=")</f>
        <v>#VALUE!</v>
      </c>
      <c r="O12" t="e">
        <f>AND(Setup!BE48,"AAAAAH7r7w4=")</f>
        <v>#VALUE!</v>
      </c>
      <c r="P12" t="e">
        <f>AND(Setup!BF48,"AAAAAH7r7w8=")</f>
        <v>#VALUE!</v>
      </c>
      <c r="Q12">
        <f>IF(Setup!49:49,"AAAAAH7r7xA=",0)</f>
        <v>0</v>
      </c>
      <c r="R12" t="e">
        <f>AND(Setup!A49,"AAAAAH7r7xE=")</f>
        <v>#VALUE!</v>
      </c>
      <c r="S12" t="e">
        <f>AND(Setup!B49,"AAAAAH7r7xI=")</f>
        <v>#VALUE!</v>
      </c>
      <c r="T12" t="e">
        <f>AND(Setup!C49,"AAAAAH7r7xM=")</f>
        <v>#VALUE!</v>
      </c>
      <c r="U12" t="e">
        <f>AND(Setup!D49,"AAAAAH7r7xQ=")</f>
        <v>#VALUE!</v>
      </c>
      <c r="V12" t="e">
        <f>AND(Setup!E49,"AAAAAH7r7xU=")</f>
        <v>#VALUE!</v>
      </c>
      <c r="W12" t="e">
        <f>AND(Setup!F49,"AAAAAH7r7xY=")</f>
        <v>#VALUE!</v>
      </c>
      <c r="X12" t="e">
        <f>AND(Setup!G49,"AAAAAH7r7xc=")</f>
        <v>#VALUE!</v>
      </c>
      <c r="Y12" t="e">
        <f>AND(Setup!H49,"AAAAAH7r7xg=")</f>
        <v>#VALUE!</v>
      </c>
      <c r="Z12" t="e">
        <f>AND(Setup!I49,"AAAAAH7r7xk=")</f>
        <v>#VALUE!</v>
      </c>
      <c r="AA12" t="e">
        <f>AND(Setup!J49,"AAAAAH7r7xo=")</f>
        <v>#VALUE!</v>
      </c>
      <c r="AB12" t="e">
        <f>AND(Setup!K49,"AAAAAH7r7xs=")</f>
        <v>#VALUE!</v>
      </c>
      <c r="AC12" t="e">
        <f>AND(Setup!L49,"AAAAAH7r7xw=")</f>
        <v>#VALUE!</v>
      </c>
      <c r="AD12" t="e">
        <f>AND(Setup!M49,"AAAAAH7r7x0=")</f>
        <v>#VALUE!</v>
      </c>
      <c r="AE12" t="e">
        <f>AND(Setup!N49,"AAAAAH7r7x4=")</f>
        <v>#VALUE!</v>
      </c>
      <c r="AF12" t="e">
        <f>AND(Setup!O49,"AAAAAH7r7x8=")</f>
        <v>#VALUE!</v>
      </c>
      <c r="AG12" t="e">
        <f>AND(Setup!P49,"AAAAAH7r7yA=")</f>
        <v>#VALUE!</v>
      </c>
      <c r="AH12" t="e">
        <f>AND(Setup!Q49,"AAAAAH7r7yE=")</f>
        <v>#VALUE!</v>
      </c>
      <c r="AI12" t="e">
        <f>AND(Setup!R49,"AAAAAH7r7yI=")</f>
        <v>#VALUE!</v>
      </c>
      <c r="AJ12" t="e">
        <f>AND(Setup!S49,"AAAAAH7r7yM=")</f>
        <v>#VALUE!</v>
      </c>
      <c r="AK12" t="e">
        <f>AND(Setup!T49,"AAAAAH7r7yQ=")</f>
        <v>#VALUE!</v>
      </c>
      <c r="AL12" t="e">
        <f>AND(Setup!U49,"AAAAAH7r7yU=")</f>
        <v>#VALUE!</v>
      </c>
      <c r="AM12" t="e">
        <f>AND(Setup!V49,"AAAAAH7r7yY=")</f>
        <v>#VALUE!</v>
      </c>
      <c r="AN12" t="e">
        <f>AND(Setup!W49,"AAAAAH7r7yc=")</f>
        <v>#VALUE!</v>
      </c>
      <c r="AO12" t="e">
        <f>AND(Setup!X49,"AAAAAH7r7yg=")</f>
        <v>#VALUE!</v>
      </c>
      <c r="AP12" t="e">
        <f>AND(Setup!Y49,"AAAAAH7r7yk=")</f>
        <v>#VALUE!</v>
      </c>
      <c r="AQ12" t="e">
        <f>AND(Setup!Z49,"AAAAAH7r7yo=")</f>
        <v>#VALUE!</v>
      </c>
      <c r="AR12" t="e">
        <f>AND(Setup!AA49,"AAAAAH7r7ys=")</f>
        <v>#VALUE!</v>
      </c>
      <c r="AS12" t="e">
        <f>AND(Setup!AB49,"AAAAAH7r7yw=")</f>
        <v>#VALUE!</v>
      </c>
      <c r="AT12" t="e">
        <f>AND(Setup!AC49,"AAAAAH7r7y0=")</f>
        <v>#VALUE!</v>
      </c>
      <c r="AU12" t="e">
        <f>AND(Setup!AD49,"AAAAAH7r7y4=")</f>
        <v>#VALUE!</v>
      </c>
      <c r="AV12" t="e">
        <f>AND(Setup!AE49,"AAAAAH7r7y8=")</f>
        <v>#VALUE!</v>
      </c>
      <c r="AW12" t="e">
        <f>AND(Setup!AF49,"AAAAAH7r7zA=")</f>
        <v>#VALUE!</v>
      </c>
      <c r="AX12" t="e">
        <f>AND(Setup!AG49,"AAAAAH7r7zE=")</f>
        <v>#VALUE!</v>
      </c>
      <c r="AY12" t="e">
        <f>AND(Setup!AH49,"AAAAAH7r7zI=")</f>
        <v>#VALUE!</v>
      </c>
      <c r="AZ12" t="e">
        <f>AND(Setup!AI49,"AAAAAH7r7zM=")</f>
        <v>#VALUE!</v>
      </c>
      <c r="BA12" t="e">
        <f>AND(Setup!AJ49,"AAAAAH7r7zQ=")</f>
        <v>#VALUE!</v>
      </c>
      <c r="BB12" t="e">
        <f>AND(Setup!AK49,"AAAAAH7r7zU=")</f>
        <v>#VALUE!</v>
      </c>
      <c r="BC12" t="e">
        <f>AND(Setup!AL49,"AAAAAH7r7zY=")</f>
        <v>#VALUE!</v>
      </c>
      <c r="BD12" t="e">
        <f>AND(Setup!AM49,"AAAAAH7r7zc=")</f>
        <v>#VALUE!</v>
      </c>
      <c r="BE12" t="e">
        <f>AND(Setup!AN49,"AAAAAH7r7zg=")</f>
        <v>#VALUE!</v>
      </c>
      <c r="BF12" t="e">
        <f>AND(Setup!AO49,"AAAAAH7r7zk=")</f>
        <v>#VALUE!</v>
      </c>
      <c r="BG12" t="e">
        <f>AND(Setup!AP49,"AAAAAH7r7zo=")</f>
        <v>#VALUE!</v>
      </c>
      <c r="BH12" t="e">
        <f>AND(Setup!AQ49,"AAAAAH7r7zs=")</f>
        <v>#VALUE!</v>
      </c>
      <c r="BI12" t="e">
        <f>AND(Setup!AR49,"AAAAAH7r7zw=")</f>
        <v>#VALUE!</v>
      </c>
      <c r="BJ12" t="e">
        <f>AND(Setup!AS49,"AAAAAH7r7z0=")</f>
        <v>#VALUE!</v>
      </c>
      <c r="BK12" t="e">
        <f>AND(Setup!AT49,"AAAAAH7r7z4=")</f>
        <v>#VALUE!</v>
      </c>
      <c r="BL12" t="e">
        <f>AND(Setup!AU49,"AAAAAH7r7z8=")</f>
        <v>#VALUE!</v>
      </c>
      <c r="BM12" t="e">
        <f>AND(Setup!AV49,"AAAAAH7r70A=")</f>
        <v>#VALUE!</v>
      </c>
      <c r="BN12" t="e">
        <f>AND(Setup!AW49,"AAAAAH7r70E=")</f>
        <v>#VALUE!</v>
      </c>
      <c r="BO12" t="e">
        <f>AND(Setup!AX49,"AAAAAH7r70I=")</f>
        <v>#VALUE!</v>
      </c>
      <c r="BP12" t="e">
        <f>AND(Setup!AY49,"AAAAAH7r70M=")</f>
        <v>#VALUE!</v>
      </c>
      <c r="BQ12" t="e">
        <f>AND(Setup!AZ49,"AAAAAH7r70Q=")</f>
        <v>#VALUE!</v>
      </c>
      <c r="BR12" t="e">
        <f>AND(Setup!BA49,"AAAAAH7r70U=")</f>
        <v>#VALUE!</v>
      </c>
      <c r="BS12" t="e">
        <f>AND(Setup!BB49,"AAAAAH7r70Y=")</f>
        <v>#VALUE!</v>
      </c>
      <c r="BT12" t="e">
        <f>AND(Setup!BC49,"AAAAAH7r70c=")</f>
        <v>#VALUE!</v>
      </c>
      <c r="BU12" t="e">
        <f>AND(Setup!BD49,"AAAAAH7r70g=")</f>
        <v>#VALUE!</v>
      </c>
      <c r="BV12" t="e">
        <f>AND(Setup!BE49,"AAAAAH7r70k=")</f>
        <v>#VALUE!</v>
      </c>
      <c r="BW12" t="e">
        <f>AND(Setup!BF49,"AAAAAH7r70o=")</f>
        <v>#VALUE!</v>
      </c>
      <c r="BX12">
        <f>IF(Setup!50:50,"AAAAAH7r70s=",0)</f>
        <v>0</v>
      </c>
      <c r="BY12" t="e">
        <f>AND(Setup!A50,"AAAAAH7r70w=")</f>
        <v>#VALUE!</v>
      </c>
      <c r="BZ12" t="e">
        <f>AND(Setup!B50,"AAAAAH7r700=")</f>
        <v>#VALUE!</v>
      </c>
      <c r="CA12" t="e">
        <f>AND(Setup!C50,"AAAAAH7r704=")</f>
        <v>#VALUE!</v>
      </c>
      <c r="CB12" t="e">
        <f>AND(Setup!D50,"AAAAAH7r708=")</f>
        <v>#VALUE!</v>
      </c>
      <c r="CC12" t="e">
        <f>AND(Setup!E50,"AAAAAH7r71A=")</f>
        <v>#VALUE!</v>
      </c>
      <c r="CD12" t="e">
        <f>AND(Setup!F50,"AAAAAH7r71E=")</f>
        <v>#VALUE!</v>
      </c>
      <c r="CE12" t="e">
        <f>AND(Setup!G50,"AAAAAH7r71I=")</f>
        <v>#VALUE!</v>
      </c>
      <c r="CF12" t="e">
        <f>AND(Setup!H50,"AAAAAH7r71M=")</f>
        <v>#VALUE!</v>
      </c>
      <c r="CG12" t="e">
        <f>AND(Setup!I50,"AAAAAH7r71Q=")</f>
        <v>#VALUE!</v>
      </c>
      <c r="CH12" t="e">
        <f>AND(Setup!J50,"AAAAAH7r71U=")</f>
        <v>#VALUE!</v>
      </c>
      <c r="CI12" t="e">
        <f>AND(Setup!K50,"AAAAAH7r71Y=")</f>
        <v>#VALUE!</v>
      </c>
      <c r="CJ12" t="e">
        <f>AND(Setup!L50,"AAAAAH7r71c=")</f>
        <v>#VALUE!</v>
      </c>
      <c r="CK12" t="e">
        <f>AND(Setup!M50,"AAAAAH7r71g=")</f>
        <v>#VALUE!</v>
      </c>
      <c r="CL12" t="e">
        <f>AND(Setup!N50,"AAAAAH7r71k=")</f>
        <v>#VALUE!</v>
      </c>
      <c r="CM12" t="e">
        <f>AND(Setup!O50,"AAAAAH7r71o=")</f>
        <v>#VALUE!</v>
      </c>
      <c r="CN12" t="e">
        <f>AND(Setup!P50,"AAAAAH7r71s=")</f>
        <v>#VALUE!</v>
      </c>
      <c r="CO12" t="e">
        <f>AND(Setup!Q50,"AAAAAH7r71w=")</f>
        <v>#VALUE!</v>
      </c>
      <c r="CP12" t="e">
        <f>AND(Setup!R50,"AAAAAH7r710=")</f>
        <v>#VALUE!</v>
      </c>
      <c r="CQ12" t="e">
        <f>AND(Setup!S50,"AAAAAH7r714=")</f>
        <v>#VALUE!</v>
      </c>
      <c r="CR12" t="e">
        <f>AND(Setup!T50,"AAAAAH7r718=")</f>
        <v>#VALUE!</v>
      </c>
      <c r="CS12" t="e">
        <f>AND(Setup!U50,"AAAAAH7r72A=")</f>
        <v>#VALUE!</v>
      </c>
      <c r="CT12" t="e">
        <f>AND(Setup!V50,"AAAAAH7r72E=")</f>
        <v>#VALUE!</v>
      </c>
      <c r="CU12" t="e">
        <f>AND(Setup!W50,"AAAAAH7r72I=")</f>
        <v>#VALUE!</v>
      </c>
      <c r="CV12" t="e">
        <f>AND(Setup!X50,"AAAAAH7r72M=")</f>
        <v>#VALUE!</v>
      </c>
      <c r="CW12" t="e">
        <f>AND(Setup!Y50,"AAAAAH7r72Q=")</f>
        <v>#VALUE!</v>
      </c>
      <c r="CX12" t="e">
        <f>AND(Setup!Z50,"AAAAAH7r72U=")</f>
        <v>#VALUE!</v>
      </c>
      <c r="CY12" t="e">
        <f>AND(Setup!AA50,"AAAAAH7r72Y=")</f>
        <v>#VALUE!</v>
      </c>
      <c r="CZ12" t="e">
        <f>AND(Setup!AB50,"AAAAAH7r72c=")</f>
        <v>#VALUE!</v>
      </c>
      <c r="DA12" t="e">
        <f>AND(Setup!AC50,"AAAAAH7r72g=")</f>
        <v>#VALUE!</v>
      </c>
      <c r="DB12" t="e">
        <f>AND(Setup!AD50,"AAAAAH7r72k=")</f>
        <v>#VALUE!</v>
      </c>
      <c r="DC12" t="e">
        <f>AND(Setup!AE50,"AAAAAH7r72o=")</f>
        <v>#VALUE!</v>
      </c>
      <c r="DD12" t="e">
        <f>AND(Setup!AF50,"AAAAAH7r72s=")</f>
        <v>#VALUE!</v>
      </c>
      <c r="DE12" t="e">
        <f>AND(Setup!AG50,"AAAAAH7r72w=")</f>
        <v>#VALUE!</v>
      </c>
      <c r="DF12" t="e">
        <f>AND(Setup!AH50,"AAAAAH7r720=")</f>
        <v>#VALUE!</v>
      </c>
      <c r="DG12" t="e">
        <f>AND(Setup!AI50,"AAAAAH7r724=")</f>
        <v>#VALUE!</v>
      </c>
      <c r="DH12" t="e">
        <f>AND(Setup!AJ50,"AAAAAH7r728=")</f>
        <v>#VALUE!</v>
      </c>
      <c r="DI12" t="e">
        <f>AND(Setup!AK50,"AAAAAH7r73A=")</f>
        <v>#VALUE!</v>
      </c>
      <c r="DJ12" t="e">
        <f>AND(Setup!AL50,"AAAAAH7r73E=")</f>
        <v>#VALUE!</v>
      </c>
      <c r="DK12" t="e">
        <f>AND(Setup!AM50,"AAAAAH7r73I=")</f>
        <v>#VALUE!</v>
      </c>
      <c r="DL12" t="e">
        <f>AND(Setup!AN50,"AAAAAH7r73M=")</f>
        <v>#VALUE!</v>
      </c>
      <c r="DM12" t="e">
        <f>AND(Setup!AO50,"AAAAAH7r73Q=")</f>
        <v>#VALUE!</v>
      </c>
      <c r="DN12" t="e">
        <f>AND(Setup!AP50,"AAAAAH7r73U=")</f>
        <v>#VALUE!</v>
      </c>
      <c r="DO12" t="e">
        <f>AND(Setup!AQ50,"AAAAAH7r73Y=")</f>
        <v>#VALUE!</v>
      </c>
      <c r="DP12" t="e">
        <f>AND(Setup!AR50,"AAAAAH7r73c=")</f>
        <v>#VALUE!</v>
      </c>
      <c r="DQ12" t="e">
        <f>AND(Setup!AS50,"AAAAAH7r73g=")</f>
        <v>#VALUE!</v>
      </c>
      <c r="DR12" t="e">
        <f>AND(Setup!AT50,"AAAAAH7r73k=")</f>
        <v>#VALUE!</v>
      </c>
      <c r="DS12" t="e">
        <f>AND(Setup!AU50,"AAAAAH7r73o=")</f>
        <v>#VALUE!</v>
      </c>
      <c r="DT12" t="e">
        <f>AND(Setup!AV50,"AAAAAH7r73s=")</f>
        <v>#VALUE!</v>
      </c>
      <c r="DU12" t="e">
        <f>AND(Setup!AW50,"AAAAAH7r73w=")</f>
        <v>#VALUE!</v>
      </c>
      <c r="DV12" t="e">
        <f>AND(Setup!AX50,"AAAAAH7r730=")</f>
        <v>#VALUE!</v>
      </c>
      <c r="DW12" t="e">
        <f>AND(Setup!AY50,"AAAAAH7r734=")</f>
        <v>#VALUE!</v>
      </c>
      <c r="DX12" t="e">
        <f>AND(Setup!AZ50,"AAAAAH7r738=")</f>
        <v>#VALUE!</v>
      </c>
      <c r="DY12" t="e">
        <f>AND(Setup!BA50,"AAAAAH7r74A=")</f>
        <v>#VALUE!</v>
      </c>
      <c r="DZ12" t="e">
        <f>AND(Setup!BB50,"AAAAAH7r74E=")</f>
        <v>#VALUE!</v>
      </c>
      <c r="EA12" t="e">
        <f>AND(Setup!BC50,"AAAAAH7r74I=")</f>
        <v>#VALUE!</v>
      </c>
      <c r="EB12" t="e">
        <f>AND(Setup!BD50,"AAAAAH7r74M=")</f>
        <v>#VALUE!</v>
      </c>
      <c r="EC12" t="e">
        <f>AND(Setup!BE50,"AAAAAH7r74Q=")</f>
        <v>#VALUE!</v>
      </c>
      <c r="ED12" t="e">
        <f>AND(Setup!BF50,"AAAAAH7r74U=")</f>
        <v>#VALUE!</v>
      </c>
      <c r="EE12">
        <f>IF(Setup!51:51,"AAAAAH7r74Y=",0)</f>
        <v>0</v>
      </c>
      <c r="EF12" t="e">
        <f>AND(Setup!A51,"AAAAAH7r74c=")</f>
        <v>#VALUE!</v>
      </c>
      <c r="EG12" t="e">
        <f>AND(Setup!B51,"AAAAAH7r74g=")</f>
        <v>#VALUE!</v>
      </c>
      <c r="EH12" t="e">
        <f>AND(Setup!C51,"AAAAAH7r74k=")</f>
        <v>#VALUE!</v>
      </c>
      <c r="EI12" t="e">
        <f>AND(Setup!D51,"AAAAAH7r74o=")</f>
        <v>#VALUE!</v>
      </c>
      <c r="EJ12" t="e">
        <f>AND(Setup!E51,"AAAAAH7r74s=")</f>
        <v>#VALUE!</v>
      </c>
      <c r="EK12" t="e">
        <f>AND(Setup!F51,"AAAAAH7r74w=")</f>
        <v>#VALUE!</v>
      </c>
      <c r="EL12" t="e">
        <f>AND(Setup!G51,"AAAAAH7r740=")</f>
        <v>#VALUE!</v>
      </c>
      <c r="EM12" t="e">
        <f>AND(Setup!H51,"AAAAAH7r744=")</f>
        <v>#VALUE!</v>
      </c>
      <c r="EN12" t="e">
        <f>AND(Setup!I51,"AAAAAH7r748=")</f>
        <v>#VALUE!</v>
      </c>
      <c r="EO12" t="e">
        <f>AND(Setup!J51,"AAAAAH7r75A=")</f>
        <v>#VALUE!</v>
      </c>
      <c r="EP12" t="e">
        <f>AND(Setup!K51,"AAAAAH7r75E=")</f>
        <v>#VALUE!</v>
      </c>
      <c r="EQ12" t="e">
        <f>AND(Setup!L51,"AAAAAH7r75I=")</f>
        <v>#VALUE!</v>
      </c>
      <c r="ER12" t="e">
        <f>AND(Setup!M51,"AAAAAH7r75M=")</f>
        <v>#VALUE!</v>
      </c>
      <c r="ES12" t="e">
        <f>AND(Setup!N51,"AAAAAH7r75Q=")</f>
        <v>#VALUE!</v>
      </c>
      <c r="ET12" t="e">
        <f>AND(Setup!O51,"AAAAAH7r75U=")</f>
        <v>#VALUE!</v>
      </c>
      <c r="EU12" t="e">
        <f>AND(Setup!P51,"AAAAAH7r75Y=")</f>
        <v>#VALUE!</v>
      </c>
      <c r="EV12" t="e">
        <f>AND(Setup!Q51,"AAAAAH7r75c=")</f>
        <v>#VALUE!</v>
      </c>
      <c r="EW12" t="e">
        <f>AND(Setup!R51,"AAAAAH7r75g=")</f>
        <v>#VALUE!</v>
      </c>
      <c r="EX12" t="e">
        <f>AND(Setup!S51,"AAAAAH7r75k=")</f>
        <v>#VALUE!</v>
      </c>
      <c r="EY12" t="e">
        <f>AND(Setup!T51,"AAAAAH7r75o=")</f>
        <v>#VALUE!</v>
      </c>
      <c r="EZ12" t="e">
        <f>AND(Setup!U51,"AAAAAH7r75s=")</f>
        <v>#VALUE!</v>
      </c>
      <c r="FA12" t="e">
        <f>AND(Setup!V51,"AAAAAH7r75w=")</f>
        <v>#VALUE!</v>
      </c>
      <c r="FB12" t="e">
        <f>AND(Setup!W51,"AAAAAH7r750=")</f>
        <v>#VALUE!</v>
      </c>
      <c r="FC12" t="e">
        <f>AND(Setup!X51,"AAAAAH7r754=")</f>
        <v>#VALUE!</v>
      </c>
      <c r="FD12" t="e">
        <f>AND(Setup!Y51,"AAAAAH7r758=")</f>
        <v>#VALUE!</v>
      </c>
      <c r="FE12" t="e">
        <f>AND(Setup!Z51,"AAAAAH7r76A=")</f>
        <v>#VALUE!</v>
      </c>
      <c r="FF12" t="e">
        <f>AND(Setup!AA51,"AAAAAH7r76E=")</f>
        <v>#VALUE!</v>
      </c>
      <c r="FG12" t="e">
        <f>AND(Setup!AB51,"AAAAAH7r76I=")</f>
        <v>#VALUE!</v>
      </c>
      <c r="FH12" t="e">
        <f>AND(Setup!AC51,"AAAAAH7r76M=")</f>
        <v>#VALUE!</v>
      </c>
      <c r="FI12" t="e">
        <f>AND(Setup!AD51,"AAAAAH7r76Q=")</f>
        <v>#VALUE!</v>
      </c>
      <c r="FJ12" t="e">
        <f>AND(Setup!AE51,"AAAAAH7r76U=")</f>
        <v>#VALUE!</v>
      </c>
      <c r="FK12" t="e">
        <f>AND(Setup!AF51,"AAAAAH7r76Y=")</f>
        <v>#VALUE!</v>
      </c>
      <c r="FL12" t="e">
        <f>AND(Setup!AG51,"AAAAAH7r76c=")</f>
        <v>#VALUE!</v>
      </c>
      <c r="FM12" t="e">
        <f>AND(Setup!AH51,"AAAAAH7r76g=")</f>
        <v>#VALUE!</v>
      </c>
      <c r="FN12" t="e">
        <f>AND(Setup!AI51,"AAAAAH7r76k=")</f>
        <v>#VALUE!</v>
      </c>
      <c r="FO12" t="e">
        <f>AND(Setup!AJ51,"AAAAAH7r76o=")</f>
        <v>#VALUE!</v>
      </c>
      <c r="FP12" t="e">
        <f>AND(Setup!AK51,"AAAAAH7r76s=")</f>
        <v>#VALUE!</v>
      </c>
      <c r="FQ12" t="e">
        <f>AND(Setup!AL51,"AAAAAH7r76w=")</f>
        <v>#VALUE!</v>
      </c>
      <c r="FR12" t="e">
        <f>AND(Setup!AM51,"AAAAAH7r760=")</f>
        <v>#VALUE!</v>
      </c>
      <c r="FS12" t="e">
        <f>AND(Setup!AN51,"AAAAAH7r764=")</f>
        <v>#VALUE!</v>
      </c>
      <c r="FT12" t="e">
        <f>AND(Setup!AO51,"AAAAAH7r768=")</f>
        <v>#VALUE!</v>
      </c>
      <c r="FU12" t="e">
        <f>AND(Setup!AP51,"AAAAAH7r77A=")</f>
        <v>#VALUE!</v>
      </c>
      <c r="FV12" t="e">
        <f>AND(Setup!AQ51,"AAAAAH7r77E=")</f>
        <v>#VALUE!</v>
      </c>
      <c r="FW12" t="e">
        <f>AND(Setup!AR51,"AAAAAH7r77I=")</f>
        <v>#VALUE!</v>
      </c>
      <c r="FX12" t="e">
        <f>AND(Setup!AS51,"AAAAAH7r77M=")</f>
        <v>#VALUE!</v>
      </c>
      <c r="FY12" t="e">
        <f>AND(Setup!AT51,"AAAAAH7r77Q=")</f>
        <v>#VALUE!</v>
      </c>
      <c r="FZ12" t="e">
        <f>AND(Setup!AU51,"AAAAAH7r77U=")</f>
        <v>#VALUE!</v>
      </c>
      <c r="GA12" t="e">
        <f>AND(Setup!AV51,"AAAAAH7r77Y=")</f>
        <v>#VALUE!</v>
      </c>
      <c r="GB12" t="e">
        <f>AND(Setup!AW51,"AAAAAH7r77c=")</f>
        <v>#VALUE!</v>
      </c>
      <c r="GC12" t="e">
        <f>AND(Setup!AX51,"AAAAAH7r77g=")</f>
        <v>#VALUE!</v>
      </c>
      <c r="GD12" t="e">
        <f>AND(Setup!AY51,"AAAAAH7r77k=")</f>
        <v>#VALUE!</v>
      </c>
      <c r="GE12" t="e">
        <f>AND(Setup!AZ51,"AAAAAH7r77o=")</f>
        <v>#VALUE!</v>
      </c>
      <c r="GF12" t="e">
        <f>AND(Setup!BA51,"AAAAAH7r77s=")</f>
        <v>#VALUE!</v>
      </c>
      <c r="GG12" t="e">
        <f>AND(Setup!BB51,"AAAAAH7r77w=")</f>
        <v>#VALUE!</v>
      </c>
      <c r="GH12" t="e">
        <f>AND(Setup!BC51,"AAAAAH7r770=")</f>
        <v>#VALUE!</v>
      </c>
      <c r="GI12" t="e">
        <f>AND(Setup!BD51,"AAAAAH7r774=")</f>
        <v>#VALUE!</v>
      </c>
      <c r="GJ12" t="e">
        <f>AND(Setup!BE51,"AAAAAH7r778=")</f>
        <v>#VALUE!</v>
      </c>
      <c r="GK12" t="e">
        <f>AND(Setup!BF51,"AAAAAH7r78A=")</f>
        <v>#VALUE!</v>
      </c>
      <c r="GL12">
        <f>IF(Setup!52:52,"AAAAAH7r78E=",0)</f>
        <v>0</v>
      </c>
      <c r="GM12" t="e">
        <f>AND(Setup!A52,"AAAAAH7r78I=")</f>
        <v>#VALUE!</v>
      </c>
      <c r="GN12" t="e">
        <f>AND(Setup!B52,"AAAAAH7r78M=")</f>
        <v>#VALUE!</v>
      </c>
      <c r="GO12" t="e">
        <f>AND(Setup!C52,"AAAAAH7r78Q=")</f>
        <v>#VALUE!</v>
      </c>
      <c r="GP12" t="e">
        <f>AND(Setup!D52,"AAAAAH7r78U=")</f>
        <v>#VALUE!</v>
      </c>
      <c r="GQ12" t="e">
        <f>AND(Setup!E52,"AAAAAH7r78Y=")</f>
        <v>#VALUE!</v>
      </c>
      <c r="GR12" t="e">
        <f>AND(Setup!F52,"AAAAAH7r78c=")</f>
        <v>#VALUE!</v>
      </c>
      <c r="GS12" t="e">
        <f>AND(Setup!G52,"AAAAAH7r78g=")</f>
        <v>#VALUE!</v>
      </c>
      <c r="GT12" t="e">
        <f>AND(Setup!H52,"AAAAAH7r78k=")</f>
        <v>#VALUE!</v>
      </c>
      <c r="GU12" t="e">
        <f>AND(Setup!I52,"AAAAAH7r78o=")</f>
        <v>#VALUE!</v>
      </c>
      <c r="GV12" t="e">
        <f>AND(Setup!J52,"AAAAAH7r78s=")</f>
        <v>#VALUE!</v>
      </c>
      <c r="GW12" t="e">
        <f>AND(Setup!K52,"AAAAAH7r78w=")</f>
        <v>#VALUE!</v>
      </c>
      <c r="GX12" t="e">
        <f>AND(Setup!L52,"AAAAAH7r780=")</f>
        <v>#VALUE!</v>
      </c>
      <c r="GY12" t="e">
        <f>AND(Setup!M52,"AAAAAH7r784=")</f>
        <v>#VALUE!</v>
      </c>
      <c r="GZ12" t="e">
        <f>AND(Setup!N52,"AAAAAH7r788=")</f>
        <v>#VALUE!</v>
      </c>
      <c r="HA12" t="e">
        <f>AND(Setup!O52,"AAAAAH7r79A=")</f>
        <v>#VALUE!</v>
      </c>
      <c r="HB12" t="e">
        <f>AND(Setup!P52,"AAAAAH7r79E=")</f>
        <v>#VALUE!</v>
      </c>
      <c r="HC12" t="e">
        <f>AND(Setup!Q52,"AAAAAH7r79I=")</f>
        <v>#VALUE!</v>
      </c>
      <c r="HD12" t="e">
        <f>AND(Setup!R52,"AAAAAH7r79M=")</f>
        <v>#VALUE!</v>
      </c>
      <c r="HE12" t="e">
        <f>AND(Setup!S52,"AAAAAH7r79Q=")</f>
        <v>#VALUE!</v>
      </c>
      <c r="HF12" t="e">
        <f>AND(Setup!T52,"AAAAAH7r79U=")</f>
        <v>#VALUE!</v>
      </c>
      <c r="HG12" t="e">
        <f>AND(Setup!U52,"AAAAAH7r79Y=")</f>
        <v>#VALUE!</v>
      </c>
      <c r="HH12" t="e">
        <f>AND(Setup!V52,"AAAAAH7r79c=")</f>
        <v>#VALUE!</v>
      </c>
      <c r="HI12" t="e">
        <f>AND(Setup!W52,"AAAAAH7r79g=")</f>
        <v>#VALUE!</v>
      </c>
      <c r="HJ12" t="e">
        <f>AND(Setup!X52,"AAAAAH7r79k=")</f>
        <v>#VALUE!</v>
      </c>
      <c r="HK12" t="e">
        <f>AND(Setup!Y52,"AAAAAH7r79o=")</f>
        <v>#VALUE!</v>
      </c>
      <c r="HL12" t="e">
        <f>AND(Setup!Z52,"AAAAAH7r79s=")</f>
        <v>#VALUE!</v>
      </c>
      <c r="HM12" t="e">
        <f>AND(Setup!AA52,"AAAAAH7r79w=")</f>
        <v>#VALUE!</v>
      </c>
      <c r="HN12" t="e">
        <f>AND(Setup!AB52,"AAAAAH7r790=")</f>
        <v>#VALUE!</v>
      </c>
      <c r="HO12" t="e">
        <f>AND(Setup!AC52,"AAAAAH7r794=")</f>
        <v>#VALUE!</v>
      </c>
      <c r="HP12" t="e">
        <f>AND(Setup!AD52,"AAAAAH7r798=")</f>
        <v>#VALUE!</v>
      </c>
      <c r="HQ12" t="e">
        <f>AND(Setup!AE52,"AAAAAH7r7+A=")</f>
        <v>#VALUE!</v>
      </c>
      <c r="HR12" t="e">
        <f>AND(Setup!AF52,"AAAAAH7r7+E=")</f>
        <v>#VALUE!</v>
      </c>
      <c r="HS12" t="e">
        <f>AND(Setup!AG52,"AAAAAH7r7+I=")</f>
        <v>#VALUE!</v>
      </c>
      <c r="HT12" t="e">
        <f>AND(Setup!AH52,"AAAAAH7r7+M=")</f>
        <v>#VALUE!</v>
      </c>
      <c r="HU12" t="e">
        <f>AND(Setup!AI52,"AAAAAH7r7+Q=")</f>
        <v>#VALUE!</v>
      </c>
      <c r="HV12" t="e">
        <f>AND(Setup!AJ52,"AAAAAH7r7+U=")</f>
        <v>#VALUE!</v>
      </c>
      <c r="HW12" t="e">
        <f>AND(Setup!AK52,"AAAAAH7r7+Y=")</f>
        <v>#VALUE!</v>
      </c>
      <c r="HX12" t="e">
        <f>AND(Setup!AL52,"AAAAAH7r7+c=")</f>
        <v>#VALUE!</v>
      </c>
      <c r="HY12" t="e">
        <f>AND(Setup!AM52,"AAAAAH7r7+g=")</f>
        <v>#VALUE!</v>
      </c>
      <c r="HZ12" t="e">
        <f>AND(Setup!AN52,"AAAAAH7r7+k=")</f>
        <v>#VALUE!</v>
      </c>
      <c r="IA12" t="e">
        <f>AND(Setup!AO52,"AAAAAH7r7+o=")</f>
        <v>#VALUE!</v>
      </c>
      <c r="IB12" t="e">
        <f>AND(Setup!AP52,"AAAAAH7r7+s=")</f>
        <v>#VALUE!</v>
      </c>
      <c r="IC12" t="e">
        <f>AND(Setup!AQ52,"AAAAAH7r7+w=")</f>
        <v>#VALUE!</v>
      </c>
      <c r="ID12" t="e">
        <f>AND(Setup!AR52,"AAAAAH7r7+0=")</f>
        <v>#VALUE!</v>
      </c>
      <c r="IE12" t="e">
        <f>AND(Setup!AS52,"AAAAAH7r7+4=")</f>
        <v>#VALUE!</v>
      </c>
      <c r="IF12" t="e">
        <f>AND(Setup!AT52,"AAAAAH7r7+8=")</f>
        <v>#VALUE!</v>
      </c>
      <c r="IG12" t="e">
        <f>AND(Setup!AU52,"AAAAAH7r7/A=")</f>
        <v>#VALUE!</v>
      </c>
      <c r="IH12" t="e">
        <f>AND(Setup!AV52,"AAAAAH7r7/E=")</f>
        <v>#VALUE!</v>
      </c>
      <c r="II12" t="e">
        <f>AND(Setup!AW52,"AAAAAH7r7/I=")</f>
        <v>#VALUE!</v>
      </c>
      <c r="IJ12" t="e">
        <f>AND(Setup!AX52,"AAAAAH7r7/M=")</f>
        <v>#VALUE!</v>
      </c>
      <c r="IK12" t="e">
        <f>AND(Setup!AY52,"AAAAAH7r7/Q=")</f>
        <v>#VALUE!</v>
      </c>
      <c r="IL12" t="e">
        <f>AND(Setup!AZ52,"AAAAAH7r7/U=")</f>
        <v>#VALUE!</v>
      </c>
      <c r="IM12" t="e">
        <f>AND(Setup!BA52,"AAAAAH7r7/Y=")</f>
        <v>#VALUE!</v>
      </c>
      <c r="IN12" t="e">
        <f>AND(Setup!BB52,"AAAAAH7r7/c=")</f>
        <v>#VALUE!</v>
      </c>
      <c r="IO12" t="e">
        <f>AND(Setup!BC52,"AAAAAH7r7/g=")</f>
        <v>#VALUE!</v>
      </c>
      <c r="IP12" t="e">
        <f>AND(Setup!BD52,"AAAAAH7r7/k=")</f>
        <v>#VALUE!</v>
      </c>
      <c r="IQ12" t="e">
        <f>AND(Setup!BE52,"AAAAAH7r7/o=")</f>
        <v>#VALUE!</v>
      </c>
      <c r="IR12" t="e">
        <f>AND(Setup!BF52,"AAAAAH7r7/s=")</f>
        <v>#VALUE!</v>
      </c>
      <c r="IS12">
        <f>IF(Setup!53:53,"AAAAAH7r7/w=",0)</f>
        <v>0</v>
      </c>
      <c r="IT12" t="e">
        <f>AND(Setup!A53,"AAAAAH7r7/0=")</f>
        <v>#VALUE!</v>
      </c>
      <c r="IU12" t="e">
        <f>AND(Setup!B53,"AAAAAH7r7/4=")</f>
        <v>#VALUE!</v>
      </c>
      <c r="IV12" t="e">
        <f>AND(Setup!C53,"AAAAAH7r7/8=")</f>
        <v>#VALUE!</v>
      </c>
    </row>
    <row r="13" spans="1:256">
      <c r="A13" t="e">
        <f>AND(Setup!D53,"AAAAADvfWQA=")</f>
        <v>#VALUE!</v>
      </c>
      <c r="B13" t="e">
        <f>AND(Setup!E53,"AAAAADvfWQE=")</f>
        <v>#VALUE!</v>
      </c>
      <c r="C13" t="e">
        <f>AND(Setup!F53,"AAAAADvfWQI=")</f>
        <v>#VALUE!</v>
      </c>
      <c r="D13" t="e">
        <f>AND(Setup!G53,"AAAAADvfWQM=")</f>
        <v>#VALUE!</v>
      </c>
      <c r="E13" t="e">
        <f>AND(Setup!H53,"AAAAADvfWQQ=")</f>
        <v>#VALUE!</v>
      </c>
      <c r="F13" t="e">
        <f>AND(Setup!I53,"AAAAADvfWQU=")</f>
        <v>#VALUE!</v>
      </c>
      <c r="G13" t="e">
        <f>AND(Setup!J53,"AAAAADvfWQY=")</f>
        <v>#VALUE!</v>
      </c>
      <c r="H13" t="e">
        <f>AND(Setup!K53,"AAAAADvfWQc=")</f>
        <v>#VALUE!</v>
      </c>
      <c r="I13" t="e">
        <f>AND(Setup!L53,"AAAAADvfWQg=")</f>
        <v>#VALUE!</v>
      </c>
      <c r="J13" t="e">
        <f>AND(Setup!M53,"AAAAADvfWQk=")</f>
        <v>#VALUE!</v>
      </c>
      <c r="K13" t="e">
        <f>AND(Setup!N53,"AAAAADvfWQo=")</f>
        <v>#VALUE!</v>
      </c>
      <c r="L13" t="e">
        <f>AND(Setup!O53,"AAAAADvfWQs=")</f>
        <v>#VALUE!</v>
      </c>
      <c r="M13" t="e">
        <f>AND(Setup!P53,"AAAAADvfWQw=")</f>
        <v>#VALUE!</v>
      </c>
      <c r="N13" t="e">
        <f>AND(Setup!Q53,"AAAAADvfWQ0=")</f>
        <v>#VALUE!</v>
      </c>
      <c r="O13" t="e">
        <f>AND(Setup!R53,"AAAAADvfWQ4=")</f>
        <v>#VALUE!</v>
      </c>
      <c r="P13" t="e">
        <f>AND(Setup!S53,"AAAAADvfWQ8=")</f>
        <v>#VALUE!</v>
      </c>
      <c r="Q13" t="e">
        <f>AND(Setup!T53,"AAAAADvfWRA=")</f>
        <v>#VALUE!</v>
      </c>
      <c r="R13" t="e">
        <f>AND(Setup!U53,"AAAAADvfWRE=")</f>
        <v>#VALUE!</v>
      </c>
      <c r="S13" t="e">
        <f>AND(Setup!V53,"AAAAADvfWRI=")</f>
        <v>#VALUE!</v>
      </c>
      <c r="T13" t="e">
        <f>AND(Setup!W53,"AAAAADvfWRM=")</f>
        <v>#VALUE!</v>
      </c>
      <c r="U13" t="e">
        <f>AND(Setup!X53,"AAAAADvfWRQ=")</f>
        <v>#VALUE!</v>
      </c>
      <c r="V13" t="e">
        <f>AND(Setup!Y53,"AAAAADvfWRU=")</f>
        <v>#VALUE!</v>
      </c>
      <c r="W13" t="e">
        <f>AND(Setup!Z53,"AAAAADvfWRY=")</f>
        <v>#VALUE!</v>
      </c>
      <c r="X13" t="e">
        <f>AND(Setup!AA53,"AAAAADvfWRc=")</f>
        <v>#VALUE!</v>
      </c>
      <c r="Y13" t="e">
        <f>AND(Setup!AB53,"AAAAADvfWRg=")</f>
        <v>#VALUE!</v>
      </c>
      <c r="Z13" t="e">
        <f>AND(Setup!AC53,"AAAAADvfWRk=")</f>
        <v>#VALUE!</v>
      </c>
      <c r="AA13" t="e">
        <f>AND(Setup!AD53,"AAAAADvfWRo=")</f>
        <v>#VALUE!</v>
      </c>
      <c r="AB13" t="e">
        <f>AND(Setup!AE53,"AAAAADvfWRs=")</f>
        <v>#VALUE!</v>
      </c>
      <c r="AC13" t="e">
        <f>AND(Setup!AF53,"AAAAADvfWRw=")</f>
        <v>#VALUE!</v>
      </c>
      <c r="AD13" t="e">
        <f>AND(Setup!AG53,"AAAAADvfWR0=")</f>
        <v>#VALUE!</v>
      </c>
      <c r="AE13" t="e">
        <f>AND(Setup!AH53,"AAAAADvfWR4=")</f>
        <v>#VALUE!</v>
      </c>
      <c r="AF13" t="e">
        <f>AND(Setup!AI53,"AAAAADvfWR8=")</f>
        <v>#VALUE!</v>
      </c>
      <c r="AG13" t="e">
        <f>AND(Setup!AJ53,"AAAAADvfWSA=")</f>
        <v>#VALUE!</v>
      </c>
      <c r="AH13" t="e">
        <f>AND(Setup!AK53,"AAAAADvfWSE=")</f>
        <v>#VALUE!</v>
      </c>
      <c r="AI13" t="e">
        <f>AND(Setup!AL53,"AAAAADvfWSI=")</f>
        <v>#VALUE!</v>
      </c>
      <c r="AJ13" t="e">
        <f>AND(Setup!AM53,"AAAAADvfWSM=")</f>
        <v>#VALUE!</v>
      </c>
      <c r="AK13" t="e">
        <f>AND(Setup!AN53,"AAAAADvfWSQ=")</f>
        <v>#VALUE!</v>
      </c>
      <c r="AL13" t="e">
        <f>AND(Setup!AO53,"AAAAADvfWSU=")</f>
        <v>#VALUE!</v>
      </c>
      <c r="AM13" t="e">
        <f>AND(Setup!AP53,"AAAAADvfWSY=")</f>
        <v>#VALUE!</v>
      </c>
      <c r="AN13" t="e">
        <f>AND(Setup!AQ53,"AAAAADvfWSc=")</f>
        <v>#VALUE!</v>
      </c>
      <c r="AO13" t="e">
        <f>AND(Setup!AR53,"AAAAADvfWSg=")</f>
        <v>#VALUE!</v>
      </c>
      <c r="AP13" t="e">
        <f>AND(Setup!AS53,"AAAAADvfWSk=")</f>
        <v>#VALUE!</v>
      </c>
      <c r="AQ13" t="e">
        <f>AND(Setup!AT53,"AAAAADvfWSo=")</f>
        <v>#VALUE!</v>
      </c>
      <c r="AR13" t="e">
        <f>AND(Setup!AU53,"AAAAADvfWSs=")</f>
        <v>#VALUE!</v>
      </c>
      <c r="AS13" t="e">
        <f>AND(Setup!AV53,"AAAAADvfWSw=")</f>
        <v>#VALUE!</v>
      </c>
      <c r="AT13" t="e">
        <f>AND(Setup!AW53,"AAAAADvfWS0=")</f>
        <v>#VALUE!</v>
      </c>
      <c r="AU13" t="e">
        <f>AND(Setup!AX53,"AAAAADvfWS4=")</f>
        <v>#VALUE!</v>
      </c>
      <c r="AV13" t="e">
        <f>AND(Setup!AY53,"AAAAADvfWS8=")</f>
        <v>#VALUE!</v>
      </c>
      <c r="AW13" t="e">
        <f>AND(Setup!AZ53,"AAAAADvfWTA=")</f>
        <v>#VALUE!</v>
      </c>
      <c r="AX13" t="e">
        <f>AND(Setup!BA53,"AAAAADvfWTE=")</f>
        <v>#VALUE!</v>
      </c>
      <c r="AY13" t="e">
        <f>AND(Setup!BB53,"AAAAADvfWTI=")</f>
        <v>#VALUE!</v>
      </c>
      <c r="AZ13" t="e">
        <f>AND(Setup!BC53,"AAAAADvfWTM=")</f>
        <v>#VALUE!</v>
      </c>
      <c r="BA13" t="e">
        <f>AND(Setup!BD53,"AAAAADvfWTQ=")</f>
        <v>#VALUE!</v>
      </c>
      <c r="BB13" t="e">
        <f>AND(Setup!BE53,"AAAAADvfWTU=")</f>
        <v>#VALUE!</v>
      </c>
      <c r="BC13" t="e">
        <f>AND(Setup!BF53,"AAAAADvfWTY=")</f>
        <v>#VALUE!</v>
      </c>
      <c r="BD13">
        <f>IF(Setup!54:54,"AAAAADvfWTc=",0)</f>
        <v>0</v>
      </c>
      <c r="BE13" t="e">
        <f>AND(Setup!A54,"AAAAADvfWTg=")</f>
        <v>#VALUE!</v>
      </c>
      <c r="BF13" t="e">
        <f>AND(Setup!B54,"AAAAADvfWTk=")</f>
        <v>#VALUE!</v>
      </c>
      <c r="BG13" t="e">
        <f>AND(Setup!C54,"AAAAADvfWTo=")</f>
        <v>#VALUE!</v>
      </c>
      <c r="BH13" t="e">
        <f>AND(Setup!D54,"AAAAADvfWTs=")</f>
        <v>#VALUE!</v>
      </c>
      <c r="BI13" t="e">
        <f>AND(Setup!E54,"AAAAADvfWTw=")</f>
        <v>#VALUE!</v>
      </c>
      <c r="BJ13" t="e">
        <f>AND(Setup!F54,"AAAAADvfWT0=")</f>
        <v>#VALUE!</v>
      </c>
      <c r="BK13" t="e">
        <f>AND(Setup!G54,"AAAAADvfWT4=")</f>
        <v>#VALUE!</v>
      </c>
      <c r="BL13" t="e">
        <f>AND(Setup!H54,"AAAAADvfWT8=")</f>
        <v>#VALUE!</v>
      </c>
      <c r="BM13" t="e">
        <f>AND(Setup!I54,"AAAAADvfWUA=")</f>
        <v>#VALUE!</v>
      </c>
      <c r="BN13" t="e">
        <f>AND(Setup!J54,"AAAAADvfWUE=")</f>
        <v>#VALUE!</v>
      </c>
      <c r="BO13" t="e">
        <f>AND(Setup!K54,"AAAAADvfWUI=")</f>
        <v>#VALUE!</v>
      </c>
      <c r="BP13" t="e">
        <f>AND(Setup!L54,"AAAAADvfWUM=")</f>
        <v>#VALUE!</v>
      </c>
      <c r="BQ13" t="e">
        <f>AND(Setup!M54,"AAAAADvfWUQ=")</f>
        <v>#VALUE!</v>
      </c>
      <c r="BR13" t="e">
        <f>AND(Setup!N54,"AAAAADvfWUU=")</f>
        <v>#VALUE!</v>
      </c>
      <c r="BS13" t="e">
        <f>AND(Setup!O54,"AAAAADvfWUY=")</f>
        <v>#VALUE!</v>
      </c>
      <c r="BT13" t="e">
        <f>AND(Setup!P54,"AAAAADvfWUc=")</f>
        <v>#VALUE!</v>
      </c>
      <c r="BU13" t="e">
        <f>AND(Setup!Q54,"AAAAADvfWUg=")</f>
        <v>#VALUE!</v>
      </c>
      <c r="BV13" t="e">
        <f>AND(Setup!R54,"AAAAADvfWUk=")</f>
        <v>#VALUE!</v>
      </c>
      <c r="BW13" t="e">
        <f>AND(Setup!S54,"AAAAADvfWUo=")</f>
        <v>#VALUE!</v>
      </c>
      <c r="BX13" t="e">
        <f>AND(Setup!T54,"AAAAADvfWUs=")</f>
        <v>#VALUE!</v>
      </c>
      <c r="BY13" t="e">
        <f>AND(Setup!U54,"AAAAADvfWUw=")</f>
        <v>#VALUE!</v>
      </c>
      <c r="BZ13" t="e">
        <f>AND(Setup!V54,"AAAAADvfWU0=")</f>
        <v>#VALUE!</v>
      </c>
      <c r="CA13" t="e">
        <f>AND(Setup!W54,"AAAAADvfWU4=")</f>
        <v>#VALUE!</v>
      </c>
      <c r="CB13" t="e">
        <f>AND(Setup!X54,"AAAAADvfWU8=")</f>
        <v>#VALUE!</v>
      </c>
      <c r="CC13" t="e">
        <f>AND(Setup!Y54,"AAAAADvfWVA=")</f>
        <v>#VALUE!</v>
      </c>
      <c r="CD13" t="e">
        <f>AND(Setup!Z54,"AAAAADvfWVE=")</f>
        <v>#VALUE!</v>
      </c>
      <c r="CE13" t="e">
        <f>AND(Setup!AA54,"AAAAADvfWVI=")</f>
        <v>#VALUE!</v>
      </c>
      <c r="CF13" t="e">
        <f>AND(Setup!AB54,"AAAAADvfWVM=")</f>
        <v>#VALUE!</v>
      </c>
      <c r="CG13" t="e">
        <f>AND(Setup!AC54,"AAAAADvfWVQ=")</f>
        <v>#VALUE!</v>
      </c>
      <c r="CH13" t="e">
        <f>AND(Setup!AD54,"AAAAADvfWVU=")</f>
        <v>#VALUE!</v>
      </c>
      <c r="CI13" t="e">
        <f>AND(Setup!AE54,"AAAAADvfWVY=")</f>
        <v>#VALUE!</v>
      </c>
      <c r="CJ13" t="e">
        <f>AND(Setup!AF54,"AAAAADvfWVc=")</f>
        <v>#VALUE!</v>
      </c>
      <c r="CK13" t="e">
        <f>AND(Setup!AG54,"AAAAADvfWVg=")</f>
        <v>#VALUE!</v>
      </c>
      <c r="CL13" t="e">
        <f>AND(Setup!AH54,"AAAAADvfWVk=")</f>
        <v>#VALUE!</v>
      </c>
      <c r="CM13" t="e">
        <f>AND(Setup!AI54,"AAAAADvfWVo=")</f>
        <v>#VALUE!</v>
      </c>
      <c r="CN13" t="e">
        <f>AND(Setup!AJ54,"AAAAADvfWVs=")</f>
        <v>#VALUE!</v>
      </c>
      <c r="CO13" t="e">
        <f>AND(Setup!AK54,"AAAAADvfWVw=")</f>
        <v>#VALUE!</v>
      </c>
      <c r="CP13" t="e">
        <f>AND(Setup!AL54,"AAAAADvfWV0=")</f>
        <v>#VALUE!</v>
      </c>
      <c r="CQ13" t="e">
        <f>AND(Setup!AM54,"AAAAADvfWV4=")</f>
        <v>#VALUE!</v>
      </c>
      <c r="CR13" t="e">
        <f>AND(Setup!AN54,"AAAAADvfWV8=")</f>
        <v>#VALUE!</v>
      </c>
      <c r="CS13" t="e">
        <f>AND(Setup!AO54,"AAAAADvfWWA=")</f>
        <v>#VALUE!</v>
      </c>
      <c r="CT13" t="e">
        <f>AND(Setup!AP54,"AAAAADvfWWE=")</f>
        <v>#VALUE!</v>
      </c>
      <c r="CU13" t="e">
        <f>AND(Setup!AQ54,"AAAAADvfWWI=")</f>
        <v>#VALUE!</v>
      </c>
      <c r="CV13" t="e">
        <f>AND(Setup!AR54,"AAAAADvfWWM=")</f>
        <v>#VALUE!</v>
      </c>
      <c r="CW13" t="e">
        <f>AND(Setup!AS54,"AAAAADvfWWQ=")</f>
        <v>#VALUE!</v>
      </c>
      <c r="CX13" t="e">
        <f>AND(Setup!AT54,"AAAAADvfWWU=")</f>
        <v>#VALUE!</v>
      </c>
      <c r="CY13" t="e">
        <f>AND(Setup!AU54,"AAAAADvfWWY=")</f>
        <v>#VALUE!</v>
      </c>
      <c r="CZ13" t="e">
        <f>AND(Setup!AV54,"AAAAADvfWWc=")</f>
        <v>#VALUE!</v>
      </c>
      <c r="DA13" t="e">
        <f>AND(Setup!AW54,"AAAAADvfWWg=")</f>
        <v>#VALUE!</v>
      </c>
      <c r="DB13" t="e">
        <f>AND(Setup!AX54,"AAAAADvfWWk=")</f>
        <v>#VALUE!</v>
      </c>
      <c r="DC13" t="e">
        <f>AND(Setup!AY54,"AAAAADvfWWo=")</f>
        <v>#VALUE!</v>
      </c>
      <c r="DD13" t="e">
        <f>AND(Setup!AZ54,"AAAAADvfWWs=")</f>
        <v>#VALUE!</v>
      </c>
      <c r="DE13" t="e">
        <f>AND(Setup!BA54,"AAAAADvfWWw=")</f>
        <v>#VALUE!</v>
      </c>
      <c r="DF13" t="e">
        <f>AND(Setup!BB54,"AAAAADvfWW0=")</f>
        <v>#VALUE!</v>
      </c>
      <c r="DG13" t="e">
        <f>AND(Setup!BC54,"AAAAADvfWW4=")</f>
        <v>#VALUE!</v>
      </c>
      <c r="DH13" t="e">
        <f>AND(Setup!BD54,"AAAAADvfWW8=")</f>
        <v>#VALUE!</v>
      </c>
      <c r="DI13" t="e">
        <f>AND(Setup!BE54,"AAAAADvfWXA=")</f>
        <v>#VALUE!</v>
      </c>
      <c r="DJ13" t="e">
        <f>AND(Setup!BF54,"AAAAADvfWXE=")</f>
        <v>#VALUE!</v>
      </c>
      <c r="DK13">
        <f>IF(Setup!55:55,"AAAAADvfWXI=",0)</f>
        <v>0</v>
      </c>
      <c r="DL13" t="e">
        <f>AND(Setup!A55,"AAAAADvfWXM=")</f>
        <v>#VALUE!</v>
      </c>
      <c r="DM13" t="e">
        <f>AND(Setup!B55,"AAAAADvfWXQ=")</f>
        <v>#VALUE!</v>
      </c>
      <c r="DN13" t="e">
        <f>AND(Setup!C55,"AAAAADvfWXU=")</f>
        <v>#VALUE!</v>
      </c>
      <c r="DO13" t="e">
        <f>AND(Setup!D55,"AAAAADvfWXY=")</f>
        <v>#VALUE!</v>
      </c>
      <c r="DP13" t="e">
        <f>AND(Setup!E55,"AAAAADvfWXc=")</f>
        <v>#VALUE!</v>
      </c>
      <c r="DQ13" t="e">
        <f>AND(Setup!F55,"AAAAADvfWXg=")</f>
        <v>#VALUE!</v>
      </c>
      <c r="DR13" t="e">
        <f>AND(Setup!G55,"AAAAADvfWXk=")</f>
        <v>#VALUE!</v>
      </c>
      <c r="DS13" t="e">
        <f>AND(Setup!H55,"AAAAADvfWXo=")</f>
        <v>#VALUE!</v>
      </c>
      <c r="DT13" t="e">
        <f>AND(Setup!I55,"AAAAADvfWXs=")</f>
        <v>#VALUE!</v>
      </c>
      <c r="DU13" t="e">
        <f>AND(Setup!J55,"AAAAADvfWXw=")</f>
        <v>#VALUE!</v>
      </c>
      <c r="DV13" t="e">
        <f>AND(Setup!K55,"AAAAADvfWX0=")</f>
        <v>#VALUE!</v>
      </c>
      <c r="DW13" t="e">
        <f>AND(Setup!L55,"AAAAADvfWX4=")</f>
        <v>#VALUE!</v>
      </c>
      <c r="DX13" t="e">
        <f>AND(Setup!M55,"AAAAADvfWX8=")</f>
        <v>#VALUE!</v>
      </c>
      <c r="DY13" t="e">
        <f>AND(Setup!N55,"AAAAADvfWYA=")</f>
        <v>#VALUE!</v>
      </c>
      <c r="DZ13" t="e">
        <f>AND(Setup!O55,"AAAAADvfWYE=")</f>
        <v>#VALUE!</v>
      </c>
      <c r="EA13" t="e">
        <f>AND(Setup!P55,"AAAAADvfWYI=")</f>
        <v>#VALUE!</v>
      </c>
      <c r="EB13" t="e">
        <f>AND(Setup!Q55,"AAAAADvfWYM=")</f>
        <v>#VALUE!</v>
      </c>
      <c r="EC13" t="e">
        <f>AND(Setup!R55,"AAAAADvfWYQ=")</f>
        <v>#VALUE!</v>
      </c>
      <c r="ED13" t="e">
        <f>AND(Setup!S55,"AAAAADvfWYU=")</f>
        <v>#VALUE!</v>
      </c>
      <c r="EE13" t="e">
        <f>AND(Setup!T55,"AAAAADvfWYY=")</f>
        <v>#VALUE!</v>
      </c>
      <c r="EF13" t="e">
        <f>AND(Setup!U55,"AAAAADvfWYc=")</f>
        <v>#VALUE!</v>
      </c>
      <c r="EG13" t="e">
        <f>AND(Setup!V55,"AAAAADvfWYg=")</f>
        <v>#VALUE!</v>
      </c>
      <c r="EH13" t="e">
        <f>AND(Setup!W55,"AAAAADvfWYk=")</f>
        <v>#VALUE!</v>
      </c>
      <c r="EI13" t="e">
        <f>AND(Setup!X55,"AAAAADvfWYo=")</f>
        <v>#VALUE!</v>
      </c>
      <c r="EJ13" t="e">
        <f>AND(Setup!Y55,"AAAAADvfWYs=")</f>
        <v>#VALUE!</v>
      </c>
      <c r="EK13" t="e">
        <f>AND(Setup!Z55,"AAAAADvfWYw=")</f>
        <v>#VALUE!</v>
      </c>
      <c r="EL13" t="e">
        <f>AND(Setup!AA55,"AAAAADvfWY0=")</f>
        <v>#VALUE!</v>
      </c>
      <c r="EM13" t="e">
        <f>AND(Setup!AB55,"AAAAADvfWY4=")</f>
        <v>#VALUE!</v>
      </c>
      <c r="EN13" t="e">
        <f>AND(Setup!AC55,"AAAAADvfWY8=")</f>
        <v>#VALUE!</v>
      </c>
      <c r="EO13" t="e">
        <f>AND(Setup!AD55,"AAAAADvfWZA=")</f>
        <v>#VALUE!</v>
      </c>
      <c r="EP13" t="e">
        <f>AND(Setup!AE55,"AAAAADvfWZE=")</f>
        <v>#VALUE!</v>
      </c>
      <c r="EQ13" t="e">
        <f>AND(Setup!AF55,"AAAAADvfWZI=")</f>
        <v>#VALUE!</v>
      </c>
      <c r="ER13" t="e">
        <f>AND(Setup!AG55,"AAAAADvfWZM=")</f>
        <v>#VALUE!</v>
      </c>
      <c r="ES13" t="e">
        <f>AND(Setup!AH55,"AAAAADvfWZQ=")</f>
        <v>#VALUE!</v>
      </c>
      <c r="ET13" t="e">
        <f>AND(Setup!AI55,"AAAAADvfWZU=")</f>
        <v>#VALUE!</v>
      </c>
      <c r="EU13" t="e">
        <f>AND(Setup!AJ55,"AAAAADvfWZY=")</f>
        <v>#VALUE!</v>
      </c>
      <c r="EV13" t="e">
        <f>AND(Setup!AK55,"AAAAADvfWZc=")</f>
        <v>#VALUE!</v>
      </c>
      <c r="EW13" t="e">
        <f>AND(Setup!AL55,"AAAAADvfWZg=")</f>
        <v>#VALUE!</v>
      </c>
      <c r="EX13" t="e">
        <f>AND(Setup!AM55,"AAAAADvfWZk=")</f>
        <v>#VALUE!</v>
      </c>
      <c r="EY13" t="e">
        <f>AND(Setup!AN55,"AAAAADvfWZo=")</f>
        <v>#VALUE!</v>
      </c>
      <c r="EZ13" t="e">
        <f>AND(Setup!AO55,"AAAAADvfWZs=")</f>
        <v>#VALUE!</v>
      </c>
      <c r="FA13" t="e">
        <f>AND(Setup!AP55,"AAAAADvfWZw=")</f>
        <v>#VALUE!</v>
      </c>
      <c r="FB13" t="e">
        <f>AND(Setup!AQ55,"AAAAADvfWZ0=")</f>
        <v>#VALUE!</v>
      </c>
      <c r="FC13" t="e">
        <f>AND(Setup!AR55,"AAAAADvfWZ4=")</f>
        <v>#VALUE!</v>
      </c>
      <c r="FD13" t="e">
        <f>AND(Setup!AS55,"AAAAADvfWZ8=")</f>
        <v>#VALUE!</v>
      </c>
      <c r="FE13" t="e">
        <f>AND(Setup!AT55,"AAAAADvfWaA=")</f>
        <v>#VALUE!</v>
      </c>
      <c r="FF13" t="e">
        <f>AND(Setup!AU55,"AAAAADvfWaE=")</f>
        <v>#VALUE!</v>
      </c>
      <c r="FG13" t="e">
        <f>AND(Setup!AV55,"AAAAADvfWaI=")</f>
        <v>#VALUE!</v>
      </c>
      <c r="FH13" t="e">
        <f>AND(Setup!AW55,"AAAAADvfWaM=")</f>
        <v>#VALUE!</v>
      </c>
      <c r="FI13" t="e">
        <f>AND(Setup!AX55,"AAAAADvfWaQ=")</f>
        <v>#VALUE!</v>
      </c>
      <c r="FJ13" t="e">
        <f>AND(Setup!AY55,"AAAAADvfWaU=")</f>
        <v>#VALUE!</v>
      </c>
      <c r="FK13" t="e">
        <f>AND(Setup!AZ55,"AAAAADvfWaY=")</f>
        <v>#VALUE!</v>
      </c>
      <c r="FL13" t="e">
        <f>AND(Setup!BA55,"AAAAADvfWac=")</f>
        <v>#VALUE!</v>
      </c>
      <c r="FM13" t="e">
        <f>AND(Setup!BB55,"AAAAADvfWag=")</f>
        <v>#VALUE!</v>
      </c>
      <c r="FN13" t="e">
        <f>AND(Setup!BC55,"AAAAADvfWak=")</f>
        <v>#VALUE!</v>
      </c>
      <c r="FO13" t="e">
        <f>AND(Setup!BD55,"AAAAADvfWao=")</f>
        <v>#VALUE!</v>
      </c>
      <c r="FP13" t="e">
        <f>AND(Setup!BE55,"AAAAADvfWas=")</f>
        <v>#VALUE!</v>
      </c>
      <c r="FQ13" t="e">
        <f>AND(Setup!BF55,"AAAAADvfWaw=")</f>
        <v>#VALUE!</v>
      </c>
      <c r="FR13">
        <f>IF(Setup!A:A,"AAAAADvfWa0=",0)</f>
        <v>0</v>
      </c>
      <c r="FS13">
        <f>IF(Setup!B:B,"AAAAADvfWa4=",0)</f>
        <v>0</v>
      </c>
      <c r="FT13" t="str">
        <f>IF(Setup!C:C,"AAAAADvfWa8=",0)</f>
        <v>AAAAADvfWa8=</v>
      </c>
      <c r="FU13" t="str">
        <f>IF(Setup!D:D,"AAAAADvfWbA=",0)</f>
        <v>AAAAADvfWbA=</v>
      </c>
      <c r="FV13" t="e">
        <f ca="1">IF(Setup!E:E,"AAAAADvfWbE=",0)</f>
        <v>#N/A</v>
      </c>
      <c r="FW13" t="str">
        <f>IF(Setup!F:F,"AAAAADvfWbI=",0)</f>
        <v>AAAAADvfWbI=</v>
      </c>
      <c r="FX13" t="str">
        <f>IF(Setup!G:G,"AAAAADvfWbM=",0)</f>
        <v>AAAAADvfWbM=</v>
      </c>
      <c r="FY13" t="e">
        <f ca="1">IF(Setup!H:H,"AAAAADvfWbQ=",0)</f>
        <v>#N/A</v>
      </c>
      <c r="FZ13">
        <f>IF(Setup!I:I,"AAAAADvfWbU=",0)</f>
        <v>0</v>
      </c>
      <c r="GA13" t="str">
        <f>IF(Setup!J:J,"AAAAADvfWbY=",0)</f>
        <v>AAAAADvfWbY=</v>
      </c>
      <c r="GB13" t="str">
        <f>IF(Setup!K:K,"AAAAADvfWbc=",0)</f>
        <v>AAAAADvfWbc=</v>
      </c>
      <c r="GC13" t="str">
        <f>IF(Setup!L:L,"AAAAADvfWbg=",0)</f>
        <v>AAAAADvfWbg=</v>
      </c>
      <c r="GD13" t="str">
        <f>IF(Setup!M:M,"AAAAADvfWbk=",0)</f>
        <v>AAAAADvfWbk=</v>
      </c>
      <c r="GE13">
        <f>IF(Setup!N:N,"AAAAADvfWbo=",0)</f>
        <v>0</v>
      </c>
      <c r="GF13">
        <f>IF(Setup!O:O,"AAAAADvfWbs=",0)</f>
        <v>0</v>
      </c>
      <c r="GG13">
        <f>IF(Setup!P:P,"AAAAADvfWbw=",0)</f>
        <v>0</v>
      </c>
      <c r="GH13">
        <f>IF(Setup!Q:Q,"AAAAADvfWb0=",0)</f>
        <v>0</v>
      </c>
      <c r="GI13">
        <f>IF(Setup!R:R,"AAAAADvfWb4=",0)</f>
        <v>0</v>
      </c>
      <c r="GJ13" t="str">
        <f>IF(Setup!S:S,"AAAAADvfWb8=",0)</f>
        <v>AAAAADvfWb8=</v>
      </c>
      <c r="GK13" t="str">
        <f>IF(Setup!T:T,"AAAAADvfWcA=",0)</f>
        <v>AAAAADvfWcA=</v>
      </c>
      <c r="GL13">
        <f>IF(Setup!U:U,"AAAAADvfWcE=",0)</f>
        <v>0</v>
      </c>
      <c r="GM13">
        <f>IF(Setup!V:V,"AAAAADvfWcI=",0)</f>
        <v>0</v>
      </c>
      <c r="GN13">
        <f>IF(Setup!W:W,"AAAAADvfWcM=",0)</f>
        <v>0</v>
      </c>
      <c r="GO13">
        <f>IF(Setup!X:X,"AAAAADvfWcQ=",0)</f>
        <v>0</v>
      </c>
      <c r="GP13">
        <f>IF(Setup!Y:Y,"AAAAADvfWcU=",0)</f>
        <v>0</v>
      </c>
      <c r="GQ13">
        <f>IF(Setup!Z:Z,"AAAAADvfWcY=",0)</f>
        <v>0</v>
      </c>
      <c r="GR13">
        <f>IF(Setup!AA:AA,"AAAAADvfWcc=",0)</f>
        <v>0</v>
      </c>
      <c r="GS13">
        <f>IF(Setup!AB:AB,"AAAAADvfWcg=",0)</f>
        <v>0</v>
      </c>
      <c r="GT13">
        <f>IF(Setup!AC:AC,"AAAAADvfWck=",0)</f>
        <v>0</v>
      </c>
      <c r="GU13">
        <f>IF(Setup!AD:AD,"AAAAADvfWco=",0)</f>
        <v>0</v>
      </c>
      <c r="GV13">
        <f>IF(Setup!AE:AE,"AAAAADvfWcs=",0)</f>
        <v>0</v>
      </c>
      <c r="GW13">
        <f>IF(Setup!AF:AF,"AAAAADvfWcw=",0)</f>
        <v>0</v>
      </c>
      <c r="GX13">
        <f>IF(Setup!AG:AG,"AAAAADvfWc0=",0)</f>
        <v>0</v>
      </c>
      <c r="GY13">
        <f>IF(Setup!AH:AH,"AAAAADvfWc4=",0)</f>
        <v>0</v>
      </c>
      <c r="GZ13">
        <f>IF(Setup!AI:AI,"AAAAADvfWc8=",0)</f>
        <v>0</v>
      </c>
      <c r="HA13">
        <f>IF(Setup!AJ:AJ,"AAAAADvfWdA=",0)</f>
        <v>0</v>
      </c>
      <c r="HB13">
        <f>IF(Setup!AK:AK,"AAAAADvfWdE=",0)</f>
        <v>0</v>
      </c>
      <c r="HC13">
        <f>IF(Setup!AL:AL,"AAAAADvfWdI=",0)</f>
        <v>0</v>
      </c>
      <c r="HD13">
        <f>IF(Setup!AM:AM,"AAAAADvfWdM=",0)</f>
        <v>0</v>
      </c>
      <c r="HE13">
        <f>IF(Setup!AN:AN,"AAAAADvfWdQ=",0)</f>
        <v>0</v>
      </c>
      <c r="HF13">
        <f>IF(Setup!AO:AO,"AAAAADvfWdU=",0)</f>
        <v>0</v>
      </c>
      <c r="HG13">
        <f>IF(Setup!AP:AP,"AAAAADvfWdY=",0)</f>
        <v>0</v>
      </c>
      <c r="HH13">
        <f>IF(Setup!AQ:AQ,"AAAAADvfWdc=",0)</f>
        <v>0</v>
      </c>
      <c r="HI13">
        <f>IF(Setup!AR:AR,"AAAAADvfWdg=",0)</f>
        <v>0</v>
      </c>
      <c r="HJ13">
        <f>IF(Setup!AS:AS,"AAAAADvfWdk=",0)</f>
        <v>0</v>
      </c>
      <c r="HK13">
        <f>IF(Setup!AT:AT,"AAAAADvfWdo=",0)</f>
        <v>0</v>
      </c>
      <c r="HL13">
        <f>IF(Setup!AU:AU,"AAAAADvfWds=",0)</f>
        <v>0</v>
      </c>
      <c r="HM13">
        <f>IF(Setup!AV:AV,"AAAAADvfWdw=",0)</f>
        <v>0</v>
      </c>
      <c r="HN13">
        <f>IF(Setup!AW:AW,"AAAAADvfWd0=",0)</f>
        <v>0</v>
      </c>
      <c r="HO13">
        <f>IF(Setup!AX:AX,"AAAAADvfWd4=",0)</f>
        <v>0</v>
      </c>
      <c r="HP13">
        <f>IF(Setup!AY:AY,"AAAAADvfWd8=",0)</f>
        <v>0</v>
      </c>
      <c r="HQ13">
        <f>IF(Setup!AZ:AZ,"AAAAADvfWeA=",0)</f>
        <v>0</v>
      </c>
      <c r="HR13">
        <f>IF(Setup!BA:BA,"AAAAADvfWeE=",0)</f>
        <v>0</v>
      </c>
      <c r="HS13">
        <f>IF(Setup!BB:BB,"AAAAADvfWeI=",0)</f>
        <v>0</v>
      </c>
      <c r="HT13">
        <f>IF(Setup!BC:BC,"AAAAADvfWeM=",0)</f>
        <v>0</v>
      </c>
      <c r="HU13">
        <f>IF(Setup!BD:BD,"AAAAADvfWeQ=",0)</f>
        <v>0</v>
      </c>
      <c r="HV13">
        <f>IF(Setup!BE:BE,"AAAAADvfWeU=",0)</f>
        <v>0</v>
      </c>
      <c r="HW13">
        <f>IF(Setup!BF:BF,"AAAAADvfWeY=",0)</f>
        <v>0</v>
      </c>
      <c r="HX13">
        <f>IF('Weigh-in'!1:1,"AAAAADvfWec=",0)</f>
        <v>0</v>
      </c>
      <c r="HY13" t="e">
        <f>AND('Weigh-in'!A1,"AAAAADvfWeg=")</f>
        <v>#VALUE!</v>
      </c>
      <c r="HZ13" t="e">
        <f>AND('Weigh-in'!B1,"AAAAADvfWek=")</f>
        <v>#VALUE!</v>
      </c>
      <c r="IA13" t="e">
        <f>AND('Weigh-in'!C1,"AAAAADvfWeo=")</f>
        <v>#VALUE!</v>
      </c>
      <c r="IB13" t="e">
        <f>AND('Weigh-in'!D1,"AAAAADvfWes=")</f>
        <v>#VALUE!</v>
      </c>
      <c r="IC13" t="e">
        <f>AND('Weigh-in'!E1,"AAAAADvfWew=")</f>
        <v>#VALUE!</v>
      </c>
      <c r="ID13" t="e">
        <f>AND('Weigh-in'!F1,"AAAAADvfWe0=")</f>
        <v>#VALUE!</v>
      </c>
      <c r="IE13" t="e">
        <f>AND('Weigh-in'!G1,"AAAAADvfWe4=")</f>
        <v>#VALUE!</v>
      </c>
      <c r="IF13" t="e">
        <f>AND('Weigh-in'!H1,"AAAAADvfWe8=")</f>
        <v>#VALUE!</v>
      </c>
      <c r="IG13" t="e">
        <f>AND('Weigh-in'!I1,"AAAAADvfWfA=")</f>
        <v>#VALUE!</v>
      </c>
      <c r="IH13" t="e">
        <f>AND('Weigh-in'!J1,"AAAAADvfWfE=")</f>
        <v>#VALUE!</v>
      </c>
      <c r="II13" t="e">
        <f>AND('Weigh-in'!K1,"AAAAADvfWfI=")</f>
        <v>#VALUE!</v>
      </c>
      <c r="IJ13" t="e">
        <f>AND('Weigh-in'!L1,"AAAAADvfWfM=")</f>
        <v>#VALUE!</v>
      </c>
      <c r="IK13" t="e">
        <f>AND('Weigh-in'!M1,"AAAAADvfWfQ=")</f>
        <v>#VALUE!</v>
      </c>
      <c r="IL13" t="e">
        <f>AND('Weigh-in'!N1,"AAAAADvfWfU=")</f>
        <v>#VALUE!</v>
      </c>
      <c r="IM13" t="e">
        <f>AND('Weigh-in'!O1,"AAAAADvfWfY=")</f>
        <v>#VALUE!</v>
      </c>
      <c r="IN13" t="e">
        <f>AND('Weigh-in'!P1,"AAAAADvfWfc=")</f>
        <v>#VALUE!</v>
      </c>
      <c r="IO13" t="e">
        <f>AND('Weigh-in'!Q1,"AAAAADvfWfg=")</f>
        <v>#VALUE!</v>
      </c>
      <c r="IP13" t="e">
        <f>AND('Weigh-in'!R1,"AAAAADvfWfk=")</f>
        <v>#VALUE!</v>
      </c>
      <c r="IQ13" t="e">
        <f>AND('Weigh-in'!S1,"AAAAADvfWfo=")</f>
        <v>#VALUE!</v>
      </c>
      <c r="IR13" t="e">
        <f>AND('Weigh-in'!T1,"AAAAADvfWfs=")</f>
        <v>#VALUE!</v>
      </c>
      <c r="IS13" t="e">
        <f>AND('Weigh-in'!U1,"AAAAADvfWfw=")</f>
        <v>#VALUE!</v>
      </c>
      <c r="IT13" t="e">
        <f>AND('Weigh-in'!V1,"AAAAADvfWf0=")</f>
        <v>#VALUE!</v>
      </c>
      <c r="IU13" t="e">
        <f>AND('Weigh-in'!W1,"AAAAADvfWf4=")</f>
        <v>#VALUE!</v>
      </c>
      <c r="IV13" t="e">
        <f>AND('Weigh-in'!X1,"AAAAADvfWf8=")</f>
        <v>#VALUE!</v>
      </c>
    </row>
    <row r="14" spans="1:256">
      <c r="A14" t="e">
        <f>AND('Weigh-in'!Y1,"AAAAAH6+4wA=")</f>
        <v>#VALUE!</v>
      </c>
      <c r="B14" t="e">
        <f>AND('Weigh-in'!Z1,"AAAAAH6+4wE=")</f>
        <v>#VALUE!</v>
      </c>
      <c r="C14" t="e">
        <f>AND('Weigh-in'!AA1,"AAAAAH6+4wI=")</f>
        <v>#VALUE!</v>
      </c>
      <c r="D14" t="e">
        <f>AND('Weigh-in'!AB1,"AAAAAH6+4wM=")</f>
        <v>#VALUE!</v>
      </c>
      <c r="E14" t="e">
        <f>AND('Weigh-in'!AC1,"AAAAAH6+4wQ=")</f>
        <v>#VALUE!</v>
      </c>
      <c r="F14" t="e">
        <f>AND('Weigh-in'!AD1,"AAAAAH6+4wU=")</f>
        <v>#VALUE!</v>
      </c>
      <c r="G14" t="e">
        <f>AND('Weigh-in'!AE1,"AAAAAH6+4wY=")</f>
        <v>#VALUE!</v>
      </c>
      <c r="H14" t="e">
        <f>AND('Weigh-in'!AF1,"AAAAAH6+4wc=")</f>
        <v>#VALUE!</v>
      </c>
      <c r="I14" t="e">
        <f>AND('Weigh-in'!AG1,"AAAAAH6+4wg=")</f>
        <v>#VALUE!</v>
      </c>
      <c r="J14" t="e">
        <f>AND('Weigh-in'!AH1,"AAAAAH6+4wk=")</f>
        <v>#VALUE!</v>
      </c>
      <c r="K14" t="e">
        <f>AND('Weigh-in'!AI1,"AAAAAH6+4wo=")</f>
        <v>#VALUE!</v>
      </c>
      <c r="L14" t="e">
        <f>AND('Weigh-in'!AJ1,"AAAAAH6+4ws=")</f>
        <v>#VALUE!</v>
      </c>
      <c r="M14" t="e">
        <f>AND('Weigh-in'!AK1,"AAAAAH6+4ww=")</f>
        <v>#VALUE!</v>
      </c>
      <c r="N14" t="e">
        <f>AND('Weigh-in'!AL1,"AAAAAH6+4w0=")</f>
        <v>#VALUE!</v>
      </c>
      <c r="O14" t="e">
        <f>AND('Weigh-in'!AM1,"AAAAAH6+4w4=")</f>
        <v>#VALUE!</v>
      </c>
      <c r="P14" t="e">
        <f>AND('Weigh-in'!AN1,"AAAAAH6+4w8=")</f>
        <v>#VALUE!</v>
      </c>
      <c r="Q14" t="e">
        <f>AND('Weigh-in'!AO1,"AAAAAH6+4xA=")</f>
        <v>#VALUE!</v>
      </c>
      <c r="R14" t="e">
        <f>AND('Weigh-in'!AP1,"AAAAAH6+4xE=")</f>
        <v>#VALUE!</v>
      </c>
      <c r="S14" t="e">
        <f>AND('Weigh-in'!AQ1,"AAAAAH6+4xI=")</f>
        <v>#VALUE!</v>
      </c>
      <c r="T14" t="e">
        <f>AND('Weigh-in'!AR1,"AAAAAH6+4xM=")</f>
        <v>#VALUE!</v>
      </c>
      <c r="U14" t="e">
        <f>AND('Weigh-in'!AS1,"AAAAAH6+4xQ=")</f>
        <v>#VALUE!</v>
      </c>
      <c r="V14" t="e">
        <f>AND('Weigh-in'!AT1,"AAAAAH6+4xU=")</f>
        <v>#VALUE!</v>
      </c>
      <c r="W14" t="e">
        <f>AND('Weigh-in'!AU1,"AAAAAH6+4xY=")</f>
        <v>#VALUE!</v>
      </c>
      <c r="X14" t="e">
        <f>AND('Weigh-in'!AV1,"AAAAAH6+4xc=")</f>
        <v>#VALUE!</v>
      </c>
      <c r="Y14" t="e">
        <f>AND('Weigh-in'!AW1,"AAAAAH6+4xg=")</f>
        <v>#VALUE!</v>
      </c>
      <c r="Z14" t="e">
        <f>AND('Weigh-in'!AX1,"AAAAAH6+4xk=")</f>
        <v>#VALUE!</v>
      </c>
      <c r="AA14" t="e">
        <f>AND('Weigh-in'!AY1,"AAAAAH6+4xo=")</f>
        <v>#VALUE!</v>
      </c>
      <c r="AB14" t="e">
        <f>AND('Weigh-in'!AZ1,"AAAAAH6+4xs=")</f>
        <v>#VALUE!</v>
      </c>
      <c r="AC14" t="e">
        <f>AND('Weigh-in'!BA1,"AAAAAH6+4xw=")</f>
        <v>#VALUE!</v>
      </c>
      <c r="AD14" t="e">
        <f>AND('Weigh-in'!BB1,"AAAAAH6+4x0=")</f>
        <v>#VALUE!</v>
      </c>
      <c r="AE14" t="e">
        <f>AND('Weigh-in'!BC1,"AAAAAH6+4x4=")</f>
        <v>#VALUE!</v>
      </c>
      <c r="AF14" t="e">
        <f>AND('Weigh-in'!BD1,"AAAAAH6+4x8=")</f>
        <v>#VALUE!</v>
      </c>
      <c r="AG14" t="e">
        <f>AND('Weigh-in'!BE1,"AAAAAH6+4yA=")</f>
        <v>#VALUE!</v>
      </c>
      <c r="AH14" t="e">
        <f>AND('Weigh-in'!BF1,"AAAAAH6+4yE=")</f>
        <v>#VALUE!</v>
      </c>
      <c r="AI14" t="e">
        <f>AND('Weigh-in'!BG1,"AAAAAH6+4yI=")</f>
        <v>#VALUE!</v>
      </c>
      <c r="AJ14" t="e">
        <f>AND('Weigh-in'!BH1,"AAAAAH6+4yM=")</f>
        <v>#VALUE!</v>
      </c>
      <c r="AK14" t="e">
        <f>AND('Weigh-in'!BI1,"AAAAAH6+4yQ=")</f>
        <v>#VALUE!</v>
      </c>
      <c r="AL14" t="e">
        <f>AND('Weigh-in'!BJ1,"AAAAAH6+4yU=")</f>
        <v>#VALUE!</v>
      </c>
      <c r="AM14" t="e">
        <f>AND('Weigh-in'!BK1,"AAAAAH6+4yY=")</f>
        <v>#VALUE!</v>
      </c>
      <c r="AN14" t="e">
        <f>AND('Weigh-in'!BL1,"AAAAAH6+4yc=")</f>
        <v>#VALUE!</v>
      </c>
      <c r="AO14" t="e">
        <f>AND('Weigh-in'!BM1,"AAAAAH6+4yg=")</f>
        <v>#VALUE!</v>
      </c>
      <c r="AP14" t="e">
        <f>AND('Weigh-in'!BN1,"AAAAAH6+4yk=")</f>
        <v>#VALUE!</v>
      </c>
      <c r="AQ14" t="e">
        <f>AND('Weigh-in'!BO1,"AAAAAH6+4yo=")</f>
        <v>#VALUE!</v>
      </c>
      <c r="AR14" t="e">
        <f>AND('Weigh-in'!BP1,"AAAAAH6+4ys=")</f>
        <v>#VALUE!</v>
      </c>
      <c r="AS14" t="e">
        <f>AND('Weigh-in'!BQ1,"AAAAAH6+4yw=")</f>
        <v>#VALUE!</v>
      </c>
      <c r="AT14" t="e">
        <f>AND('Weigh-in'!BR1,"AAAAAH6+4y0=")</f>
        <v>#VALUE!</v>
      </c>
      <c r="AU14" t="e">
        <f>AND('Weigh-in'!BS1,"AAAAAH6+4y4=")</f>
        <v>#VALUE!</v>
      </c>
      <c r="AV14" t="e">
        <f>AND('Weigh-in'!BT1,"AAAAAH6+4y8=")</f>
        <v>#VALUE!</v>
      </c>
      <c r="AW14" t="e">
        <f>AND('Weigh-in'!BU1,"AAAAAH6+4zA=")</f>
        <v>#VALUE!</v>
      </c>
      <c r="AX14" t="e">
        <f>AND('Weigh-in'!BV1,"AAAAAH6+4zE=")</f>
        <v>#VALUE!</v>
      </c>
      <c r="AY14" t="e">
        <f>AND('Weigh-in'!BW1,"AAAAAH6+4zI=")</f>
        <v>#VALUE!</v>
      </c>
      <c r="AZ14" t="e">
        <f>AND('Weigh-in'!BX1,"AAAAAH6+4zM=")</f>
        <v>#VALUE!</v>
      </c>
      <c r="BA14" t="e">
        <f>AND('Weigh-in'!BY1,"AAAAAH6+4zQ=")</f>
        <v>#VALUE!</v>
      </c>
      <c r="BB14" t="e">
        <f>AND('Weigh-in'!BZ1,"AAAAAH6+4zU=")</f>
        <v>#VALUE!</v>
      </c>
      <c r="BC14" t="e">
        <f>AND('Weigh-in'!CA1,"AAAAAH6+4zY=")</f>
        <v>#VALUE!</v>
      </c>
      <c r="BD14" t="e">
        <f>AND('Weigh-in'!CB1,"AAAAAH6+4zc=")</f>
        <v>#VALUE!</v>
      </c>
      <c r="BE14" t="e">
        <f>AND('Weigh-in'!CC1,"AAAAAH6+4zg=")</f>
        <v>#VALUE!</v>
      </c>
      <c r="BF14" t="e">
        <f>AND('Weigh-in'!CD1,"AAAAAH6+4zk=")</f>
        <v>#VALUE!</v>
      </c>
      <c r="BG14" t="e">
        <f>AND('Weigh-in'!CE1,"AAAAAH6+4zo=")</f>
        <v>#VALUE!</v>
      </c>
      <c r="BH14" t="e">
        <f>AND('Weigh-in'!CF1,"AAAAAH6+4zs=")</f>
        <v>#VALUE!</v>
      </c>
      <c r="BI14" t="e">
        <f>AND('Weigh-in'!CG1,"AAAAAH6+4zw=")</f>
        <v>#VALUE!</v>
      </c>
      <c r="BJ14" t="e">
        <f>AND('Weigh-in'!CH1,"AAAAAH6+4z0=")</f>
        <v>#VALUE!</v>
      </c>
      <c r="BK14" t="e">
        <f>AND('Weigh-in'!CI1,"AAAAAH6+4z4=")</f>
        <v>#VALUE!</v>
      </c>
      <c r="BL14" t="e">
        <f>AND('Weigh-in'!CJ1,"AAAAAH6+4z8=")</f>
        <v>#VALUE!</v>
      </c>
      <c r="BM14" t="e">
        <f>AND('Weigh-in'!CK1,"AAAAAH6+40A=")</f>
        <v>#VALUE!</v>
      </c>
      <c r="BN14" t="e">
        <f>AND('Weigh-in'!CL1,"AAAAAH6+40E=")</f>
        <v>#VALUE!</v>
      </c>
      <c r="BO14" t="e">
        <f>AND('Weigh-in'!CM1,"AAAAAH6+40I=")</f>
        <v>#VALUE!</v>
      </c>
      <c r="BP14" t="e">
        <f>AND('Weigh-in'!CN1,"AAAAAH6+40M=")</f>
        <v>#VALUE!</v>
      </c>
      <c r="BQ14" t="e">
        <f>AND('Weigh-in'!CO1,"AAAAAH6+40Q=")</f>
        <v>#VALUE!</v>
      </c>
      <c r="BR14" t="e">
        <f>AND('Weigh-in'!CP1,"AAAAAH6+40U=")</f>
        <v>#VALUE!</v>
      </c>
      <c r="BS14" t="e">
        <f>AND('Weigh-in'!CQ1,"AAAAAH6+40Y=")</f>
        <v>#VALUE!</v>
      </c>
      <c r="BT14" t="e">
        <f>AND('Weigh-in'!CR1,"AAAAAH6+40c=")</f>
        <v>#VALUE!</v>
      </c>
      <c r="BU14" t="e">
        <f>AND('Weigh-in'!CS1,"AAAAAH6+40g=")</f>
        <v>#VALUE!</v>
      </c>
      <c r="BV14" t="e">
        <f>AND('Weigh-in'!CT1,"AAAAAH6+40k=")</f>
        <v>#VALUE!</v>
      </c>
      <c r="BW14" t="e">
        <f>AND('Weigh-in'!CU1,"AAAAAH6+40o=")</f>
        <v>#VALUE!</v>
      </c>
      <c r="BX14" t="e">
        <f>AND('Weigh-in'!CV1,"AAAAAH6+40s=")</f>
        <v>#VALUE!</v>
      </c>
      <c r="BY14" t="e">
        <f>AND('Weigh-in'!CW1,"AAAAAH6+40w=")</f>
        <v>#VALUE!</v>
      </c>
      <c r="BZ14" t="e">
        <f>AND('Weigh-in'!CX1,"AAAAAH6+400=")</f>
        <v>#VALUE!</v>
      </c>
      <c r="CA14" t="e">
        <f>AND('Weigh-in'!CY1,"AAAAAH6+404=")</f>
        <v>#VALUE!</v>
      </c>
      <c r="CB14">
        <f>IF('Weigh-in'!2:2,"AAAAAH6+408=",0)</f>
        <v>0</v>
      </c>
      <c r="CC14" t="e">
        <f>AND('Weigh-in'!A2,"AAAAAH6+41A=")</f>
        <v>#VALUE!</v>
      </c>
      <c r="CD14" t="e">
        <f>AND('Weigh-in'!B2,"AAAAAH6+41E=")</f>
        <v>#VALUE!</v>
      </c>
      <c r="CE14" t="e">
        <f>AND('Weigh-in'!C2,"AAAAAH6+41I=")</f>
        <v>#VALUE!</v>
      </c>
      <c r="CF14" t="e">
        <f>AND('Weigh-in'!D2,"AAAAAH6+41M=")</f>
        <v>#VALUE!</v>
      </c>
      <c r="CG14" t="e">
        <f>AND('Weigh-in'!E2,"AAAAAH6+41Q=")</f>
        <v>#VALUE!</v>
      </c>
      <c r="CH14" t="e">
        <f>AND('Weigh-in'!F2,"AAAAAH6+41U=")</f>
        <v>#VALUE!</v>
      </c>
      <c r="CI14" t="e">
        <f>AND('Weigh-in'!G2,"AAAAAH6+41Y=")</f>
        <v>#VALUE!</v>
      </c>
      <c r="CJ14" t="e">
        <f>AND('Weigh-in'!H2,"AAAAAH6+41c=")</f>
        <v>#VALUE!</v>
      </c>
      <c r="CK14" t="e">
        <f>AND('Weigh-in'!I2,"AAAAAH6+41g=")</f>
        <v>#VALUE!</v>
      </c>
      <c r="CL14" t="e">
        <f>AND('Weigh-in'!J2,"AAAAAH6+41k=")</f>
        <v>#VALUE!</v>
      </c>
      <c r="CM14" t="e">
        <f>AND('Weigh-in'!K2,"AAAAAH6+41o=")</f>
        <v>#VALUE!</v>
      </c>
      <c r="CN14" t="e">
        <f>AND('Weigh-in'!L2,"AAAAAH6+41s=")</f>
        <v>#VALUE!</v>
      </c>
      <c r="CO14" t="e">
        <f>AND('Weigh-in'!M2,"AAAAAH6+41w=")</f>
        <v>#VALUE!</v>
      </c>
      <c r="CP14" t="e">
        <f>AND('Weigh-in'!N2,"AAAAAH6+410=")</f>
        <v>#VALUE!</v>
      </c>
      <c r="CQ14" t="e">
        <f>AND('Weigh-in'!O2,"AAAAAH6+414=")</f>
        <v>#VALUE!</v>
      </c>
      <c r="CR14" t="e">
        <f>AND('Weigh-in'!P2,"AAAAAH6+418=")</f>
        <v>#VALUE!</v>
      </c>
      <c r="CS14" t="e">
        <f>AND('Weigh-in'!Q2,"AAAAAH6+42A=")</f>
        <v>#VALUE!</v>
      </c>
      <c r="CT14" t="e">
        <f>AND('Weigh-in'!R2,"AAAAAH6+42E=")</f>
        <v>#VALUE!</v>
      </c>
      <c r="CU14" t="e">
        <f>AND('Weigh-in'!S2,"AAAAAH6+42I=")</f>
        <v>#VALUE!</v>
      </c>
      <c r="CV14" t="e">
        <f>AND('Weigh-in'!T2,"AAAAAH6+42M=")</f>
        <v>#VALUE!</v>
      </c>
      <c r="CW14" t="e">
        <f>AND('Weigh-in'!U2,"AAAAAH6+42Q=")</f>
        <v>#VALUE!</v>
      </c>
      <c r="CX14" t="e">
        <f>AND('Weigh-in'!V2,"AAAAAH6+42U=")</f>
        <v>#VALUE!</v>
      </c>
      <c r="CY14" t="e">
        <f>AND('Weigh-in'!W2,"AAAAAH6+42Y=")</f>
        <v>#VALUE!</v>
      </c>
      <c r="CZ14" t="e">
        <f>AND('Weigh-in'!X2,"AAAAAH6+42c=")</f>
        <v>#VALUE!</v>
      </c>
      <c r="DA14" t="e">
        <f>AND('Weigh-in'!Y2,"AAAAAH6+42g=")</f>
        <v>#VALUE!</v>
      </c>
      <c r="DB14" t="e">
        <f>AND('Weigh-in'!Z2,"AAAAAH6+42k=")</f>
        <v>#VALUE!</v>
      </c>
      <c r="DC14" t="e">
        <f>AND('Weigh-in'!AA2,"AAAAAH6+42o=")</f>
        <v>#VALUE!</v>
      </c>
      <c r="DD14" t="e">
        <f>AND('Weigh-in'!AB2,"AAAAAH6+42s=")</f>
        <v>#VALUE!</v>
      </c>
      <c r="DE14" t="e">
        <f>AND('Weigh-in'!AC2,"AAAAAH6+42w=")</f>
        <v>#VALUE!</v>
      </c>
      <c r="DF14" t="e">
        <f>AND('Weigh-in'!AD2,"AAAAAH6+420=")</f>
        <v>#VALUE!</v>
      </c>
      <c r="DG14" t="e">
        <f>AND('Weigh-in'!AE2,"AAAAAH6+424=")</f>
        <v>#VALUE!</v>
      </c>
      <c r="DH14" t="e">
        <f>AND('Weigh-in'!AF2,"AAAAAH6+428=")</f>
        <v>#VALUE!</v>
      </c>
      <c r="DI14" t="e">
        <f>AND('Weigh-in'!AG2,"AAAAAH6+43A=")</f>
        <v>#VALUE!</v>
      </c>
      <c r="DJ14" t="e">
        <f>AND('Weigh-in'!AH2,"AAAAAH6+43E=")</f>
        <v>#VALUE!</v>
      </c>
      <c r="DK14" t="e">
        <f>AND('Weigh-in'!AI2,"AAAAAH6+43I=")</f>
        <v>#VALUE!</v>
      </c>
      <c r="DL14" t="e">
        <f>AND('Weigh-in'!AJ2,"AAAAAH6+43M=")</f>
        <v>#VALUE!</v>
      </c>
      <c r="DM14" t="e">
        <f>AND('Weigh-in'!AK2,"AAAAAH6+43Q=")</f>
        <v>#VALUE!</v>
      </c>
      <c r="DN14" t="e">
        <f>AND('Weigh-in'!AL2,"AAAAAH6+43U=")</f>
        <v>#VALUE!</v>
      </c>
      <c r="DO14" t="e">
        <f>AND('Weigh-in'!AM2,"AAAAAH6+43Y=")</f>
        <v>#VALUE!</v>
      </c>
      <c r="DP14" t="e">
        <f>AND('Weigh-in'!AN2,"AAAAAH6+43c=")</f>
        <v>#VALUE!</v>
      </c>
      <c r="DQ14" t="e">
        <f>AND('Weigh-in'!AO2,"AAAAAH6+43g=")</f>
        <v>#VALUE!</v>
      </c>
      <c r="DR14" t="e">
        <f>AND('Weigh-in'!AP2,"AAAAAH6+43k=")</f>
        <v>#VALUE!</v>
      </c>
      <c r="DS14" t="e">
        <f>AND('Weigh-in'!AQ2,"AAAAAH6+43o=")</f>
        <v>#VALUE!</v>
      </c>
      <c r="DT14" t="b">
        <f>AND('Weigh-in'!AR2,"AAAAAH6+43s=")</f>
        <v>1</v>
      </c>
      <c r="DU14" t="e">
        <f>AND('Weigh-in'!AS2,"AAAAAH6+43w=")</f>
        <v>#VALUE!</v>
      </c>
      <c r="DV14" t="e">
        <f>AND('Weigh-in'!AT2,"AAAAAH6+430=")</f>
        <v>#VALUE!</v>
      </c>
      <c r="DW14" t="e">
        <f>AND('Weigh-in'!AU2,"AAAAAH6+434=")</f>
        <v>#VALUE!</v>
      </c>
      <c r="DX14" t="e">
        <f>AND('Weigh-in'!AV2,"AAAAAH6+438=")</f>
        <v>#VALUE!</v>
      </c>
      <c r="DY14" t="e">
        <f>AND('Weigh-in'!AW2,"AAAAAH6+44A=")</f>
        <v>#VALUE!</v>
      </c>
      <c r="DZ14" t="e">
        <f>AND('Weigh-in'!AX2,"AAAAAH6+44E=")</f>
        <v>#VALUE!</v>
      </c>
      <c r="EA14" t="e">
        <f>AND('Weigh-in'!AY2,"AAAAAH6+44I=")</f>
        <v>#VALUE!</v>
      </c>
      <c r="EB14" t="e">
        <f>AND('Weigh-in'!AZ2,"AAAAAH6+44M=")</f>
        <v>#VALUE!</v>
      </c>
      <c r="EC14" t="e">
        <f>AND('Weigh-in'!BA2,"AAAAAH6+44Q=")</f>
        <v>#VALUE!</v>
      </c>
      <c r="ED14" t="e">
        <f>AND('Weigh-in'!BB2,"AAAAAH6+44U=")</f>
        <v>#VALUE!</v>
      </c>
      <c r="EE14" t="e">
        <f>AND('Weigh-in'!BC2,"AAAAAH6+44Y=")</f>
        <v>#VALUE!</v>
      </c>
      <c r="EF14" t="e">
        <f>AND('Weigh-in'!BD2,"AAAAAH6+44c=")</f>
        <v>#VALUE!</v>
      </c>
      <c r="EG14" t="e">
        <f>AND('Weigh-in'!BE2,"AAAAAH6+44g=")</f>
        <v>#VALUE!</v>
      </c>
      <c r="EH14" t="e">
        <f>AND('Weigh-in'!BF2,"AAAAAH6+44k=")</f>
        <v>#VALUE!</v>
      </c>
      <c r="EI14" t="e">
        <f>AND('Weigh-in'!BG2,"AAAAAH6+44o=")</f>
        <v>#VALUE!</v>
      </c>
      <c r="EJ14" t="e">
        <f>AND('Weigh-in'!BH2,"AAAAAH6+44s=")</f>
        <v>#VALUE!</v>
      </c>
      <c r="EK14" t="e">
        <f>AND('Weigh-in'!BI2,"AAAAAH6+44w=")</f>
        <v>#VALUE!</v>
      </c>
      <c r="EL14" t="e">
        <f>AND('Weigh-in'!BJ2,"AAAAAH6+440=")</f>
        <v>#VALUE!</v>
      </c>
      <c r="EM14" t="e">
        <f>AND('Weigh-in'!BK2,"AAAAAH6+444=")</f>
        <v>#VALUE!</v>
      </c>
      <c r="EN14" t="e">
        <f>AND('Weigh-in'!BL2,"AAAAAH6+448=")</f>
        <v>#VALUE!</v>
      </c>
      <c r="EO14" t="e">
        <f>AND('Weigh-in'!BM2,"AAAAAH6+45A=")</f>
        <v>#VALUE!</v>
      </c>
      <c r="EP14" t="e">
        <f>AND('Weigh-in'!BN2,"AAAAAH6+45E=")</f>
        <v>#VALUE!</v>
      </c>
      <c r="EQ14" t="e">
        <f>AND('Weigh-in'!BO2,"AAAAAH6+45I=")</f>
        <v>#VALUE!</v>
      </c>
      <c r="ER14" t="e">
        <f>AND('Weigh-in'!BP2,"AAAAAH6+45M=")</f>
        <v>#VALUE!</v>
      </c>
      <c r="ES14" t="e">
        <f>AND('Weigh-in'!BQ2,"AAAAAH6+45Q=")</f>
        <v>#VALUE!</v>
      </c>
      <c r="ET14" t="e">
        <f>AND('Weigh-in'!BR2,"AAAAAH6+45U=")</f>
        <v>#VALUE!</v>
      </c>
      <c r="EU14" t="e">
        <f>AND('Weigh-in'!BS2,"AAAAAH6+45Y=")</f>
        <v>#VALUE!</v>
      </c>
      <c r="EV14" t="e">
        <f>AND('Weigh-in'!BT2,"AAAAAH6+45c=")</f>
        <v>#VALUE!</v>
      </c>
      <c r="EW14" t="e">
        <f>AND('Weigh-in'!BU2,"AAAAAH6+45g=")</f>
        <v>#VALUE!</v>
      </c>
      <c r="EX14" t="e">
        <f>AND('Weigh-in'!BV2,"AAAAAH6+45k=")</f>
        <v>#VALUE!</v>
      </c>
      <c r="EY14" t="e">
        <f>AND('Weigh-in'!BW2,"AAAAAH6+45o=")</f>
        <v>#VALUE!</v>
      </c>
      <c r="EZ14" t="e">
        <f>AND('Weigh-in'!BX2,"AAAAAH6+45s=")</f>
        <v>#VALUE!</v>
      </c>
      <c r="FA14" t="e">
        <f>AND('Weigh-in'!BY2,"AAAAAH6+45w=")</f>
        <v>#VALUE!</v>
      </c>
      <c r="FB14" t="e">
        <f>AND('Weigh-in'!BZ2,"AAAAAH6+450=")</f>
        <v>#VALUE!</v>
      </c>
      <c r="FC14" t="e">
        <f>AND('Weigh-in'!CA2,"AAAAAH6+454=")</f>
        <v>#VALUE!</v>
      </c>
      <c r="FD14" t="e">
        <f>AND('Weigh-in'!CB2,"AAAAAH6+458=")</f>
        <v>#VALUE!</v>
      </c>
      <c r="FE14" t="e">
        <f>AND('Weigh-in'!CC2,"AAAAAH6+46A=")</f>
        <v>#VALUE!</v>
      </c>
      <c r="FF14" t="e">
        <f>AND('Weigh-in'!CD2,"AAAAAH6+46E=")</f>
        <v>#VALUE!</v>
      </c>
      <c r="FG14" t="e">
        <f>AND('Weigh-in'!CE2,"AAAAAH6+46I=")</f>
        <v>#VALUE!</v>
      </c>
      <c r="FH14" t="e">
        <f>AND('Weigh-in'!CF2,"AAAAAH6+46M=")</f>
        <v>#VALUE!</v>
      </c>
      <c r="FI14" t="e">
        <f>AND('Weigh-in'!CG2,"AAAAAH6+46Q=")</f>
        <v>#VALUE!</v>
      </c>
      <c r="FJ14" t="e">
        <f>AND('Weigh-in'!CH2,"AAAAAH6+46U=")</f>
        <v>#VALUE!</v>
      </c>
      <c r="FK14" t="e">
        <f>AND('Weigh-in'!CI2,"AAAAAH6+46Y=")</f>
        <v>#VALUE!</v>
      </c>
      <c r="FL14" t="e">
        <f>AND('Weigh-in'!CJ2,"AAAAAH6+46c=")</f>
        <v>#VALUE!</v>
      </c>
      <c r="FM14" t="e">
        <f>AND('Weigh-in'!CK2,"AAAAAH6+46g=")</f>
        <v>#VALUE!</v>
      </c>
      <c r="FN14" t="e">
        <f>AND('Weigh-in'!CL2,"AAAAAH6+46k=")</f>
        <v>#VALUE!</v>
      </c>
      <c r="FO14" t="e">
        <f>AND('Weigh-in'!CM2,"AAAAAH6+46o=")</f>
        <v>#VALUE!</v>
      </c>
      <c r="FP14" t="e">
        <f>AND('Weigh-in'!CN2,"AAAAAH6+46s=")</f>
        <v>#VALUE!</v>
      </c>
      <c r="FQ14" t="e">
        <f>AND('Weigh-in'!CO2,"AAAAAH6+46w=")</f>
        <v>#VALUE!</v>
      </c>
      <c r="FR14" t="e">
        <f>AND('Weigh-in'!CP2,"AAAAAH6+460=")</f>
        <v>#VALUE!</v>
      </c>
      <c r="FS14" t="e">
        <f>AND('Weigh-in'!CQ2,"AAAAAH6+464=")</f>
        <v>#VALUE!</v>
      </c>
      <c r="FT14" t="e">
        <f>AND('Weigh-in'!CR2,"AAAAAH6+468=")</f>
        <v>#VALUE!</v>
      </c>
      <c r="FU14" t="e">
        <f>AND('Weigh-in'!CS2,"AAAAAH6+47A=")</f>
        <v>#VALUE!</v>
      </c>
      <c r="FV14" t="e">
        <f>AND('Weigh-in'!CT2,"AAAAAH6+47E=")</f>
        <v>#VALUE!</v>
      </c>
      <c r="FW14" t="e">
        <f>AND('Weigh-in'!CU2,"AAAAAH6+47I=")</f>
        <v>#VALUE!</v>
      </c>
      <c r="FX14" t="e">
        <f>AND('Weigh-in'!CV2,"AAAAAH6+47M=")</f>
        <v>#VALUE!</v>
      </c>
      <c r="FY14" t="e">
        <f>AND('Weigh-in'!CW2,"AAAAAH6+47Q=")</f>
        <v>#VALUE!</v>
      </c>
      <c r="FZ14" t="e">
        <f>AND('Weigh-in'!CX2,"AAAAAH6+47U=")</f>
        <v>#VALUE!</v>
      </c>
      <c r="GA14" t="e">
        <f>AND('Weigh-in'!CY2,"AAAAAH6+47Y=")</f>
        <v>#VALUE!</v>
      </c>
      <c r="GB14">
        <f>IF('Weigh-in'!3:3,"AAAAAH6+47c=",0)</f>
        <v>0</v>
      </c>
      <c r="GC14" t="e">
        <f>AND('Weigh-in'!A3,"AAAAAH6+47g=")</f>
        <v>#VALUE!</v>
      </c>
      <c r="GD14" t="e">
        <f>AND('Weigh-in'!B3,"AAAAAH6+47k=")</f>
        <v>#VALUE!</v>
      </c>
      <c r="GE14" t="e">
        <f>AND('Weigh-in'!C3,"AAAAAH6+47o=")</f>
        <v>#VALUE!</v>
      </c>
      <c r="GF14" t="b">
        <f>AND('Weigh-in'!D3,"AAAAAH6+47s=")</f>
        <v>1</v>
      </c>
      <c r="GG14" t="e">
        <f>AND('Weigh-in'!#REF!,"AAAAAH6+47w=")</f>
        <v>#REF!</v>
      </c>
      <c r="GH14" t="e">
        <f>AND('Weigh-in'!F3,"AAAAAH6+470=")</f>
        <v>#VALUE!</v>
      </c>
      <c r="GI14" t="e">
        <f>AND('Weigh-in'!G3,"AAAAAH6+474=")</f>
        <v>#VALUE!</v>
      </c>
      <c r="GJ14" t="e">
        <f>AND('Weigh-in'!H3,"AAAAAH6+478=")</f>
        <v>#VALUE!</v>
      </c>
      <c r="GK14" t="e">
        <f>AND('Weigh-in'!I3,"AAAAAH6+48A=")</f>
        <v>#VALUE!</v>
      </c>
      <c r="GL14" t="e">
        <f>AND('Weigh-in'!E3,"AAAAAH6+48E=")</f>
        <v>#VALUE!</v>
      </c>
      <c r="GM14" t="e">
        <f>AND('Weigh-in'!K3,"AAAAAH6+48I=")</f>
        <v>#VALUE!</v>
      </c>
      <c r="GN14" t="e">
        <f>AND('Weigh-in'!L3,"AAAAAH6+48M=")</f>
        <v>#VALUE!</v>
      </c>
      <c r="GO14" t="b">
        <f>AND('Weigh-in'!M3,"AAAAAH6+48Q=")</f>
        <v>0</v>
      </c>
      <c r="GP14" t="b">
        <f>AND('Weigh-in'!N3,"AAAAAH6+48U=")</f>
        <v>0</v>
      </c>
      <c r="GQ14" t="e">
        <f>AND('Weigh-in'!O3,"AAAAAH6+48Y=")</f>
        <v>#VALUE!</v>
      </c>
      <c r="GR14" t="e">
        <f>AND('Weigh-in'!P3,"AAAAAH6+48c=")</f>
        <v>#VALUE!</v>
      </c>
      <c r="GS14" t="e">
        <f>AND('Weigh-in'!Q3,"AAAAAH6+48g=")</f>
        <v>#VALUE!</v>
      </c>
      <c r="GT14" t="e">
        <f>AND('Weigh-in'!R3,"AAAAAH6+48k=")</f>
        <v>#VALUE!</v>
      </c>
      <c r="GU14" t="e">
        <f>AND('Weigh-in'!S3,"AAAAAH6+48o=")</f>
        <v>#VALUE!</v>
      </c>
      <c r="GV14" t="e">
        <f>AND('Weigh-in'!T3,"AAAAAH6+48s=")</f>
        <v>#VALUE!</v>
      </c>
      <c r="GW14" t="e">
        <f>AND('Weigh-in'!U3,"AAAAAH6+48w=")</f>
        <v>#VALUE!</v>
      </c>
      <c r="GX14" t="e">
        <f>AND('Weigh-in'!V3,"AAAAAH6+480=")</f>
        <v>#VALUE!</v>
      </c>
      <c r="GY14" t="e">
        <f>AND('Weigh-in'!W3,"AAAAAH6+484=")</f>
        <v>#VALUE!</v>
      </c>
      <c r="GZ14" t="e">
        <f>AND('Weigh-in'!X3,"AAAAAH6+488=")</f>
        <v>#VALUE!</v>
      </c>
      <c r="HA14" t="e">
        <f>AND('Weigh-in'!Y3,"AAAAAH6+49A=")</f>
        <v>#VALUE!</v>
      </c>
      <c r="HB14" t="e">
        <f>AND('Weigh-in'!Z3,"AAAAAH6+49E=")</f>
        <v>#VALUE!</v>
      </c>
      <c r="HC14" t="e">
        <f>AND('Weigh-in'!AA3,"AAAAAH6+49I=")</f>
        <v>#VALUE!</v>
      </c>
      <c r="HD14" t="e">
        <f>AND('Weigh-in'!AB3,"AAAAAH6+49M=")</f>
        <v>#VALUE!</v>
      </c>
      <c r="HE14" t="e">
        <f>AND('Weigh-in'!AC3,"AAAAAH6+49Q=")</f>
        <v>#VALUE!</v>
      </c>
      <c r="HF14" t="e">
        <f>AND('Weigh-in'!AD3,"AAAAAH6+49U=")</f>
        <v>#VALUE!</v>
      </c>
      <c r="HG14" t="e">
        <f>AND('Weigh-in'!AE3,"AAAAAH6+49Y=")</f>
        <v>#VALUE!</v>
      </c>
      <c r="HH14" t="e">
        <f>AND('Weigh-in'!AF3,"AAAAAH6+49c=")</f>
        <v>#VALUE!</v>
      </c>
      <c r="HI14" t="e">
        <f>AND('Weigh-in'!AG3,"AAAAAH6+49g=")</f>
        <v>#VALUE!</v>
      </c>
      <c r="HJ14" t="b">
        <f>AND('Weigh-in'!AH3,"AAAAAH6+49k=")</f>
        <v>1</v>
      </c>
      <c r="HK14" t="e">
        <f>AND('Weigh-in'!AI3,"AAAAAH6+49o=")</f>
        <v>#VALUE!</v>
      </c>
      <c r="HL14" t="e">
        <f>AND('Weigh-in'!AJ3,"AAAAAH6+49s=")</f>
        <v>#VALUE!</v>
      </c>
      <c r="HM14" t="e">
        <f>AND('Weigh-in'!AK3,"AAAAAH6+49w=")</f>
        <v>#VALUE!</v>
      </c>
      <c r="HN14" t="e">
        <f>AND('Weigh-in'!AL3,"AAAAAH6+490=")</f>
        <v>#VALUE!</v>
      </c>
      <c r="HO14" t="e">
        <f>AND('Weigh-in'!AM3,"AAAAAH6+494=")</f>
        <v>#VALUE!</v>
      </c>
      <c r="HP14" t="e">
        <f>AND('Weigh-in'!AN3,"AAAAAH6+498=")</f>
        <v>#VALUE!</v>
      </c>
      <c r="HQ14" t="e">
        <f>AND('Weigh-in'!AO3,"AAAAAH6+4+A=")</f>
        <v>#VALUE!</v>
      </c>
      <c r="HR14" t="e">
        <f>AND('Weigh-in'!AP3,"AAAAAH6+4+E=")</f>
        <v>#VALUE!</v>
      </c>
      <c r="HS14" t="e">
        <f>AND('Weigh-in'!AQ3,"AAAAAH6+4+I=")</f>
        <v>#VALUE!</v>
      </c>
      <c r="HT14" t="e">
        <f>AND('Weigh-in'!AR3,"AAAAAH6+4+M=")</f>
        <v>#VALUE!</v>
      </c>
      <c r="HU14" t="e">
        <f>AND('Weigh-in'!AS3,"AAAAAH6+4+Q=")</f>
        <v>#VALUE!</v>
      </c>
      <c r="HV14" t="e">
        <f>AND('Weigh-in'!AT3,"AAAAAH6+4+U=")</f>
        <v>#VALUE!</v>
      </c>
      <c r="HW14" t="e">
        <f>AND('Weigh-in'!AU3,"AAAAAH6+4+Y=")</f>
        <v>#VALUE!</v>
      </c>
      <c r="HX14" t="e">
        <f>AND('Weigh-in'!AV3,"AAAAAH6+4+c=")</f>
        <v>#VALUE!</v>
      </c>
      <c r="HY14" t="e">
        <f>AND('Weigh-in'!AW3,"AAAAAH6+4+g=")</f>
        <v>#VALUE!</v>
      </c>
      <c r="HZ14" t="e">
        <f>AND('Weigh-in'!AX3,"AAAAAH6+4+k=")</f>
        <v>#VALUE!</v>
      </c>
      <c r="IA14" t="e">
        <f>AND('Weigh-in'!AY3,"AAAAAH6+4+o=")</f>
        <v>#VALUE!</v>
      </c>
      <c r="IB14" t="e">
        <f>AND('Weigh-in'!AZ3,"AAAAAH6+4+s=")</f>
        <v>#VALUE!</v>
      </c>
      <c r="IC14" t="e">
        <f>AND('Weigh-in'!BA3,"AAAAAH6+4+w=")</f>
        <v>#VALUE!</v>
      </c>
      <c r="ID14" t="e">
        <f>AND('Weigh-in'!BB3,"AAAAAH6+4+0=")</f>
        <v>#VALUE!</v>
      </c>
      <c r="IE14" t="e">
        <f>AND('Weigh-in'!BC3,"AAAAAH6+4+4=")</f>
        <v>#VALUE!</v>
      </c>
      <c r="IF14" t="e">
        <f>AND('Weigh-in'!BD3,"AAAAAH6+4+8=")</f>
        <v>#VALUE!</v>
      </c>
      <c r="IG14" t="e">
        <f>AND('Weigh-in'!BE3,"AAAAAH6+4/A=")</f>
        <v>#VALUE!</v>
      </c>
      <c r="IH14" t="e">
        <f>AND('Weigh-in'!BF3,"AAAAAH6+4/E=")</f>
        <v>#VALUE!</v>
      </c>
      <c r="II14" t="e">
        <f>AND('Weigh-in'!BG3,"AAAAAH6+4/I=")</f>
        <v>#VALUE!</v>
      </c>
      <c r="IJ14" t="e">
        <f>AND('Weigh-in'!BH3,"AAAAAH6+4/M=")</f>
        <v>#VALUE!</v>
      </c>
      <c r="IK14" t="e">
        <f>AND('Weigh-in'!BI3,"AAAAAH6+4/Q=")</f>
        <v>#VALUE!</v>
      </c>
      <c r="IL14" t="e">
        <f>AND('Weigh-in'!BJ3,"AAAAAH6+4/U=")</f>
        <v>#VALUE!</v>
      </c>
      <c r="IM14" t="e">
        <f>AND('Weigh-in'!BK3,"AAAAAH6+4/Y=")</f>
        <v>#VALUE!</v>
      </c>
      <c r="IN14" t="e">
        <f>AND('Weigh-in'!BL3,"AAAAAH6+4/c=")</f>
        <v>#VALUE!</v>
      </c>
      <c r="IO14" t="e">
        <f>AND('Weigh-in'!BM3,"AAAAAH6+4/g=")</f>
        <v>#VALUE!</v>
      </c>
      <c r="IP14" t="e">
        <f>AND('Weigh-in'!BN3,"AAAAAH6+4/k=")</f>
        <v>#VALUE!</v>
      </c>
      <c r="IQ14" t="e">
        <f>AND('Weigh-in'!BO3,"AAAAAH6+4/o=")</f>
        <v>#VALUE!</v>
      </c>
      <c r="IR14" t="e">
        <f>AND('Weigh-in'!BP3,"AAAAAH6+4/s=")</f>
        <v>#VALUE!</v>
      </c>
      <c r="IS14" t="e">
        <f>AND('Weigh-in'!BQ3,"AAAAAH6+4/w=")</f>
        <v>#VALUE!</v>
      </c>
      <c r="IT14" t="e">
        <f>AND('Weigh-in'!BR3,"AAAAAH6+4/0=")</f>
        <v>#VALUE!</v>
      </c>
      <c r="IU14" t="e">
        <f>AND('Weigh-in'!BS3,"AAAAAH6+4/4=")</f>
        <v>#VALUE!</v>
      </c>
      <c r="IV14" t="e">
        <f>AND('Weigh-in'!BT3,"AAAAAH6+4/8=")</f>
        <v>#VALUE!</v>
      </c>
    </row>
    <row r="15" spans="1:256">
      <c r="A15" t="e">
        <f>AND('Weigh-in'!BU3,"AAAAAH9e/wA=")</f>
        <v>#VALUE!</v>
      </c>
      <c r="B15" t="e">
        <f>AND('Weigh-in'!BV3,"AAAAAH9e/wE=")</f>
        <v>#VALUE!</v>
      </c>
      <c r="C15" t="e">
        <f>AND('Weigh-in'!BW3,"AAAAAH9e/wI=")</f>
        <v>#VALUE!</v>
      </c>
      <c r="D15" t="e">
        <f>AND('Weigh-in'!BX3,"AAAAAH9e/wM=")</f>
        <v>#VALUE!</v>
      </c>
      <c r="E15" t="e">
        <f>AND('Weigh-in'!BY3,"AAAAAH9e/wQ=")</f>
        <v>#VALUE!</v>
      </c>
      <c r="F15" t="e">
        <f>AND('Weigh-in'!BZ3,"AAAAAH9e/wU=")</f>
        <v>#VALUE!</v>
      </c>
      <c r="G15" t="e">
        <f>AND('Weigh-in'!CA3,"AAAAAH9e/wY=")</f>
        <v>#VALUE!</v>
      </c>
      <c r="H15" t="e">
        <f>AND('Weigh-in'!CB3,"AAAAAH9e/wc=")</f>
        <v>#VALUE!</v>
      </c>
      <c r="I15" t="e">
        <f>AND('Weigh-in'!CC3,"AAAAAH9e/wg=")</f>
        <v>#VALUE!</v>
      </c>
      <c r="J15" t="e">
        <f>AND('Weigh-in'!CD3,"AAAAAH9e/wk=")</f>
        <v>#VALUE!</v>
      </c>
      <c r="K15" t="e">
        <f>AND('Weigh-in'!CE3,"AAAAAH9e/wo=")</f>
        <v>#VALUE!</v>
      </c>
      <c r="L15" t="e">
        <f>AND('Weigh-in'!CF3,"AAAAAH9e/ws=")</f>
        <v>#VALUE!</v>
      </c>
      <c r="M15" t="e">
        <f>AND('Weigh-in'!CG3,"AAAAAH9e/ww=")</f>
        <v>#VALUE!</v>
      </c>
      <c r="N15" t="e">
        <f>AND('Weigh-in'!CH3,"AAAAAH9e/w0=")</f>
        <v>#VALUE!</v>
      </c>
      <c r="O15" t="e">
        <f>AND('Weigh-in'!CI3,"AAAAAH9e/w4=")</f>
        <v>#VALUE!</v>
      </c>
      <c r="P15" t="e">
        <f>AND('Weigh-in'!CJ3,"AAAAAH9e/w8=")</f>
        <v>#VALUE!</v>
      </c>
      <c r="Q15" t="e">
        <f>AND('Weigh-in'!CK3,"AAAAAH9e/xA=")</f>
        <v>#VALUE!</v>
      </c>
      <c r="R15" t="e">
        <f>AND('Weigh-in'!CL3,"AAAAAH9e/xE=")</f>
        <v>#VALUE!</v>
      </c>
      <c r="S15" t="e">
        <f>AND('Weigh-in'!CM3,"AAAAAH9e/xI=")</f>
        <v>#VALUE!</v>
      </c>
      <c r="T15" t="e">
        <f>AND('Weigh-in'!CN3,"AAAAAH9e/xM=")</f>
        <v>#VALUE!</v>
      </c>
      <c r="U15" t="e">
        <f>AND('Weigh-in'!CO3,"AAAAAH9e/xQ=")</f>
        <v>#VALUE!</v>
      </c>
      <c r="V15" t="e">
        <f>AND('Weigh-in'!CP3,"AAAAAH9e/xU=")</f>
        <v>#VALUE!</v>
      </c>
      <c r="W15" t="e">
        <f>AND('Weigh-in'!CQ3,"AAAAAH9e/xY=")</f>
        <v>#VALUE!</v>
      </c>
      <c r="X15" t="e">
        <f>AND('Weigh-in'!CR3,"AAAAAH9e/xc=")</f>
        <v>#VALUE!</v>
      </c>
      <c r="Y15" t="e">
        <f>AND('Weigh-in'!CS3,"AAAAAH9e/xg=")</f>
        <v>#VALUE!</v>
      </c>
      <c r="Z15" t="e">
        <f>AND('Weigh-in'!CT3,"AAAAAH9e/xk=")</f>
        <v>#VALUE!</v>
      </c>
      <c r="AA15" t="e">
        <f>AND('Weigh-in'!CU3,"AAAAAH9e/xo=")</f>
        <v>#VALUE!</v>
      </c>
      <c r="AB15" t="e">
        <f>AND('Weigh-in'!CV3,"AAAAAH9e/xs=")</f>
        <v>#VALUE!</v>
      </c>
      <c r="AC15" t="e">
        <f>AND('Weigh-in'!CW3,"AAAAAH9e/xw=")</f>
        <v>#VALUE!</v>
      </c>
      <c r="AD15" t="e">
        <f>AND('Weigh-in'!CX3,"AAAAAH9e/x0=")</f>
        <v>#VALUE!</v>
      </c>
      <c r="AE15" t="e">
        <f>AND('Weigh-in'!CY3,"AAAAAH9e/x4=")</f>
        <v>#VALUE!</v>
      </c>
      <c r="AF15">
        <f>IF('Weigh-in'!4:4,"AAAAAH9e/x8=",0)</f>
        <v>0</v>
      </c>
      <c r="AG15" t="e">
        <f>AND('Weigh-in'!A4,"AAAAAH9e/yA=")</f>
        <v>#VALUE!</v>
      </c>
      <c r="AH15" t="e">
        <f>AND('Weigh-in'!B4,"AAAAAH9e/yE=")</f>
        <v>#VALUE!</v>
      </c>
      <c r="AI15" t="e">
        <f>AND('Weigh-in'!C4,"AAAAAH9e/yI=")</f>
        <v>#VALUE!</v>
      </c>
      <c r="AJ15" t="e">
        <f>AND('Weigh-in'!D4,"AAAAAH9e/yM=")</f>
        <v>#VALUE!</v>
      </c>
      <c r="AK15" t="e">
        <f>AND('Weigh-in'!#REF!,"AAAAAH9e/yQ=")</f>
        <v>#REF!</v>
      </c>
      <c r="AL15" t="e">
        <f>AND('Weigh-in'!F4,"AAAAAH9e/yU=")</f>
        <v>#VALUE!</v>
      </c>
      <c r="AM15" t="e">
        <f>AND('Weigh-in'!G4,"AAAAAH9e/yY=")</f>
        <v>#VALUE!</v>
      </c>
      <c r="AN15" t="e">
        <f>AND('Weigh-in'!H4,"AAAAAH9e/yc=")</f>
        <v>#VALUE!</v>
      </c>
      <c r="AO15" t="e">
        <f>AND('Weigh-in'!I4,"AAAAAH9e/yg=")</f>
        <v>#VALUE!</v>
      </c>
      <c r="AP15" t="e">
        <f>AND('Weigh-in'!E4,"AAAAAH9e/yk=")</f>
        <v>#VALUE!</v>
      </c>
      <c r="AQ15" t="e">
        <f>AND('Weigh-in'!K4,"AAAAAH9e/yo=")</f>
        <v>#VALUE!</v>
      </c>
      <c r="AR15" t="e">
        <f>AND('Weigh-in'!L4,"AAAAAH9e/ys=")</f>
        <v>#VALUE!</v>
      </c>
      <c r="AS15" t="e">
        <f>AND('Weigh-in'!M4,"AAAAAH9e/yw=")</f>
        <v>#VALUE!</v>
      </c>
      <c r="AT15" t="e">
        <f>AND('Weigh-in'!N4,"AAAAAH9e/y0=")</f>
        <v>#VALUE!</v>
      </c>
      <c r="AU15" t="e">
        <f>AND('Weigh-in'!O4,"AAAAAH9e/y4=")</f>
        <v>#VALUE!</v>
      </c>
      <c r="AV15" t="e">
        <f>AND('Weigh-in'!P4,"AAAAAH9e/y8=")</f>
        <v>#VALUE!</v>
      </c>
      <c r="AW15" t="e">
        <f>AND('Weigh-in'!Q4,"AAAAAH9e/zA=")</f>
        <v>#VALUE!</v>
      </c>
      <c r="AX15" t="e">
        <f>AND('Weigh-in'!R4,"AAAAAH9e/zE=")</f>
        <v>#VALUE!</v>
      </c>
      <c r="AY15" t="e">
        <f>AND('Weigh-in'!S4,"AAAAAH9e/zI=")</f>
        <v>#VALUE!</v>
      </c>
      <c r="AZ15" t="e">
        <f>AND('Weigh-in'!T4,"AAAAAH9e/zM=")</f>
        <v>#VALUE!</v>
      </c>
      <c r="BA15" t="e">
        <f>AND('Weigh-in'!U4,"AAAAAH9e/zQ=")</f>
        <v>#VALUE!</v>
      </c>
      <c r="BB15" t="e">
        <f>AND('Weigh-in'!V4,"AAAAAH9e/zU=")</f>
        <v>#VALUE!</v>
      </c>
      <c r="BC15" t="e">
        <f>AND('Weigh-in'!W4,"AAAAAH9e/zY=")</f>
        <v>#VALUE!</v>
      </c>
      <c r="BD15" t="e">
        <f>AND('Weigh-in'!X4,"AAAAAH9e/zc=")</f>
        <v>#VALUE!</v>
      </c>
      <c r="BE15" t="e">
        <f>AND('Weigh-in'!Y4,"AAAAAH9e/zg=")</f>
        <v>#VALUE!</v>
      </c>
      <c r="BF15" t="e">
        <f>AND('Weigh-in'!Z4,"AAAAAH9e/zk=")</f>
        <v>#VALUE!</v>
      </c>
      <c r="BG15" t="e">
        <f>AND('Weigh-in'!AA4,"AAAAAH9e/zo=")</f>
        <v>#VALUE!</v>
      </c>
      <c r="BH15" t="e">
        <f>AND('Weigh-in'!AB4,"AAAAAH9e/zs=")</f>
        <v>#VALUE!</v>
      </c>
      <c r="BI15" t="e">
        <f>AND('Weigh-in'!AC4,"AAAAAH9e/zw=")</f>
        <v>#VALUE!</v>
      </c>
      <c r="BJ15" t="e">
        <f>AND('Weigh-in'!AD4,"AAAAAH9e/z0=")</f>
        <v>#VALUE!</v>
      </c>
      <c r="BK15" t="e">
        <f>AND('Weigh-in'!AE4,"AAAAAH9e/z4=")</f>
        <v>#VALUE!</v>
      </c>
      <c r="BL15" t="e">
        <f>AND('Weigh-in'!AF4,"AAAAAH9e/z8=")</f>
        <v>#VALUE!</v>
      </c>
      <c r="BM15" t="e">
        <f>AND('Weigh-in'!AG4,"AAAAAH9e/0A=")</f>
        <v>#VALUE!</v>
      </c>
      <c r="BN15" t="e">
        <f>AND('Weigh-in'!AH4,"AAAAAH9e/0E=")</f>
        <v>#VALUE!</v>
      </c>
      <c r="BO15" t="e">
        <f>AND('Weigh-in'!AI4,"AAAAAH9e/0I=")</f>
        <v>#VALUE!</v>
      </c>
      <c r="BP15" t="e">
        <f>AND('Weigh-in'!AJ4,"AAAAAH9e/0M=")</f>
        <v>#VALUE!</v>
      </c>
      <c r="BQ15" t="e">
        <f>AND('Weigh-in'!AK4,"AAAAAH9e/0Q=")</f>
        <v>#VALUE!</v>
      </c>
      <c r="BR15" t="e">
        <f>AND('Weigh-in'!AL4,"AAAAAH9e/0U=")</f>
        <v>#VALUE!</v>
      </c>
      <c r="BS15" t="e">
        <f>AND('Weigh-in'!AM4,"AAAAAH9e/0Y=")</f>
        <v>#VALUE!</v>
      </c>
      <c r="BT15" t="e">
        <f>AND('Weigh-in'!AN4,"AAAAAH9e/0c=")</f>
        <v>#VALUE!</v>
      </c>
      <c r="BU15" t="e">
        <f>AND('Weigh-in'!AO4,"AAAAAH9e/0g=")</f>
        <v>#VALUE!</v>
      </c>
      <c r="BV15" t="e">
        <f>AND('Weigh-in'!AP4,"AAAAAH9e/0k=")</f>
        <v>#VALUE!</v>
      </c>
      <c r="BW15" t="e">
        <f>AND('Weigh-in'!AQ4,"AAAAAH9e/0o=")</f>
        <v>#VALUE!</v>
      </c>
      <c r="BX15" t="e">
        <f>AND('Weigh-in'!AR4,"AAAAAH9e/0s=")</f>
        <v>#VALUE!</v>
      </c>
      <c r="BY15" t="e">
        <f>AND('Weigh-in'!AS4,"AAAAAH9e/0w=")</f>
        <v>#VALUE!</v>
      </c>
      <c r="BZ15" t="e">
        <f>AND('Weigh-in'!AT4,"AAAAAH9e/00=")</f>
        <v>#VALUE!</v>
      </c>
      <c r="CA15" t="e">
        <f>AND('Weigh-in'!AU4,"AAAAAH9e/04=")</f>
        <v>#VALUE!</v>
      </c>
      <c r="CB15" t="e">
        <f>AND('Weigh-in'!AV4,"AAAAAH9e/08=")</f>
        <v>#VALUE!</v>
      </c>
      <c r="CC15" t="e">
        <f>AND('Weigh-in'!AW4,"AAAAAH9e/1A=")</f>
        <v>#VALUE!</v>
      </c>
      <c r="CD15" t="e">
        <f>AND('Weigh-in'!AX4,"AAAAAH9e/1E=")</f>
        <v>#VALUE!</v>
      </c>
      <c r="CE15" t="e">
        <f>AND('Weigh-in'!AY4,"AAAAAH9e/1I=")</f>
        <v>#VALUE!</v>
      </c>
      <c r="CF15" t="e">
        <f>AND('Weigh-in'!AZ4,"AAAAAH9e/1M=")</f>
        <v>#VALUE!</v>
      </c>
      <c r="CG15" t="e">
        <f>AND('Weigh-in'!BA4,"AAAAAH9e/1Q=")</f>
        <v>#VALUE!</v>
      </c>
      <c r="CH15" t="e">
        <f>AND('Weigh-in'!BB4,"AAAAAH9e/1U=")</f>
        <v>#VALUE!</v>
      </c>
      <c r="CI15" t="e">
        <f>AND('Weigh-in'!BC4,"AAAAAH9e/1Y=")</f>
        <v>#VALUE!</v>
      </c>
      <c r="CJ15" t="e">
        <f>AND('Weigh-in'!BD4,"AAAAAH9e/1c=")</f>
        <v>#VALUE!</v>
      </c>
      <c r="CK15" t="e">
        <f>AND('Weigh-in'!BE4,"AAAAAH9e/1g=")</f>
        <v>#VALUE!</v>
      </c>
      <c r="CL15" t="e">
        <f>AND('Weigh-in'!BF4,"AAAAAH9e/1k=")</f>
        <v>#VALUE!</v>
      </c>
      <c r="CM15" t="e">
        <f>AND('Weigh-in'!BG4,"AAAAAH9e/1o=")</f>
        <v>#VALUE!</v>
      </c>
      <c r="CN15" t="e">
        <f>AND('Weigh-in'!BH4,"AAAAAH9e/1s=")</f>
        <v>#VALUE!</v>
      </c>
      <c r="CO15" t="e">
        <f>AND('Weigh-in'!BI4,"AAAAAH9e/1w=")</f>
        <v>#VALUE!</v>
      </c>
      <c r="CP15" t="e">
        <f>AND('Weigh-in'!BJ4,"AAAAAH9e/10=")</f>
        <v>#VALUE!</v>
      </c>
      <c r="CQ15" t="e">
        <f>AND('Weigh-in'!BK4,"AAAAAH9e/14=")</f>
        <v>#VALUE!</v>
      </c>
      <c r="CR15" t="e">
        <f>AND('Weigh-in'!BL4,"AAAAAH9e/18=")</f>
        <v>#VALUE!</v>
      </c>
      <c r="CS15" t="e">
        <f>AND('Weigh-in'!BM4,"AAAAAH9e/2A=")</f>
        <v>#VALUE!</v>
      </c>
      <c r="CT15" t="e">
        <f>AND('Weigh-in'!BN4,"AAAAAH9e/2E=")</f>
        <v>#VALUE!</v>
      </c>
      <c r="CU15" t="e">
        <f>AND('Weigh-in'!BO4,"AAAAAH9e/2I=")</f>
        <v>#VALUE!</v>
      </c>
      <c r="CV15" t="e">
        <f>AND('Weigh-in'!BP4,"AAAAAH9e/2M=")</f>
        <v>#VALUE!</v>
      </c>
      <c r="CW15" t="e">
        <f>AND('Weigh-in'!BQ4,"AAAAAH9e/2Q=")</f>
        <v>#VALUE!</v>
      </c>
      <c r="CX15" t="e">
        <f>AND('Weigh-in'!BR4,"AAAAAH9e/2U=")</f>
        <v>#VALUE!</v>
      </c>
      <c r="CY15" t="e">
        <f>AND('Weigh-in'!BS4,"AAAAAH9e/2Y=")</f>
        <v>#VALUE!</v>
      </c>
      <c r="CZ15" t="e">
        <f>AND('Weigh-in'!BT4,"AAAAAH9e/2c=")</f>
        <v>#VALUE!</v>
      </c>
      <c r="DA15" t="e">
        <f>AND('Weigh-in'!BU4,"AAAAAH9e/2g=")</f>
        <v>#VALUE!</v>
      </c>
      <c r="DB15" t="e">
        <f>AND('Weigh-in'!BV4,"AAAAAH9e/2k=")</f>
        <v>#VALUE!</v>
      </c>
      <c r="DC15" t="e">
        <f>AND('Weigh-in'!BW4,"AAAAAH9e/2o=")</f>
        <v>#VALUE!</v>
      </c>
      <c r="DD15" t="e">
        <f>AND('Weigh-in'!BX4,"AAAAAH9e/2s=")</f>
        <v>#VALUE!</v>
      </c>
      <c r="DE15" t="e">
        <f>AND('Weigh-in'!BY4,"AAAAAH9e/2w=")</f>
        <v>#VALUE!</v>
      </c>
      <c r="DF15" t="e">
        <f>AND('Weigh-in'!BZ4,"AAAAAH9e/20=")</f>
        <v>#VALUE!</v>
      </c>
      <c r="DG15" t="e">
        <f>AND('Weigh-in'!CA4,"AAAAAH9e/24=")</f>
        <v>#VALUE!</v>
      </c>
      <c r="DH15" t="e">
        <f>AND('Weigh-in'!CB4,"AAAAAH9e/28=")</f>
        <v>#VALUE!</v>
      </c>
      <c r="DI15" t="e">
        <f>AND('Weigh-in'!CC4,"AAAAAH9e/3A=")</f>
        <v>#VALUE!</v>
      </c>
      <c r="DJ15" t="e">
        <f>AND('Weigh-in'!CD4,"AAAAAH9e/3E=")</f>
        <v>#VALUE!</v>
      </c>
      <c r="DK15" t="e">
        <f>AND('Weigh-in'!CE4,"AAAAAH9e/3I=")</f>
        <v>#VALUE!</v>
      </c>
      <c r="DL15" t="e">
        <f>AND('Weigh-in'!CF4,"AAAAAH9e/3M=")</f>
        <v>#VALUE!</v>
      </c>
      <c r="DM15" t="e">
        <f>AND('Weigh-in'!CG4,"AAAAAH9e/3Q=")</f>
        <v>#VALUE!</v>
      </c>
      <c r="DN15" t="e">
        <f>AND('Weigh-in'!CH4,"AAAAAH9e/3U=")</f>
        <v>#VALUE!</v>
      </c>
      <c r="DO15" t="e">
        <f>AND('Weigh-in'!CI4,"AAAAAH9e/3Y=")</f>
        <v>#VALUE!</v>
      </c>
      <c r="DP15" t="e">
        <f>AND('Weigh-in'!CJ4,"AAAAAH9e/3c=")</f>
        <v>#VALUE!</v>
      </c>
      <c r="DQ15" t="e">
        <f>AND('Weigh-in'!CK4,"AAAAAH9e/3g=")</f>
        <v>#VALUE!</v>
      </c>
      <c r="DR15" t="e">
        <f>AND('Weigh-in'!CL4,"AAAAAH9e/3k=")</f>
        <v>#VALUE!</v>
      </c>
      <c r="DS15" t="e">
        <f>AND('Weigh-in'!CM4,"AAAAAH9e/3o=")</f>
        <v>#VALUE!</v>
      </c>
      <c r="DT15" t="e">
        <f>AND('Weigh-in'!CN4,"AAAAAH9e/3s=")</f>
        <v>#VALUE!</v>
      </c>
      <c r="DU15" t="e">
        <f>AND('Weigh-in'!CO4,"AAAAAH9e/3w=")</f>
        <v>#VALUE!</v>
      </c>
      <c r="DV15" t="e">
        <f>AND('Weigh-in'!CP4,"AAAAAH9e/30=")</f>
        <v>#VALUE!</v>
      </c>
      <c r="DW15" t="e">
        <f>AND('Weigh-in'!CQ4,"AAAAAH9e/34=")</f>
        <v>#VALUE!</v>
      </c>
      <c r="DX15" t="e">
        <f>AND('Weigh-in'!CR4,"AAAAAH9e/38=")</f>
        <v>#VALUE!</v>
      </c>
      <c r="DY15" t="e">
        <f>AND('Weigh-in'!CS4,"AAAAAH9e/4A=")</f>
        <v>#VALUE!</v>
      </c>
      <c r="DZ15" t="e">
        <f>AND('Weigh-in'!CT4,"AAAAAH9e/4E=")</f>
        <v>#VALUE!</v>
      </c>
      <c r="EA15" t="e">
        <f>AND('Weigh-in'!CU4,"AAAAAH9e/4I=")</f>
        <v>#VALUE!</v>
      </c>
      <c r="EB15" t="e">
        <f>AND('Weigh-in'!CV4,"AAAAAH9e/4M=")</f>
        <v>#VALUE!</v>
      </c>
      <c r="EC15" t="e">
        <f>AND('Weigh-in'!CW4,"AAAAAH9e/4Q=")</f>
        <v>#VALUE!</v>
      </c>
      <c r="ED15" t="e">
        <f>AND('Weigh-in'!CX4,"AAAAAH9e/4U=")</f>
        <v>#VALUE!</v>
      </c>
      <c r="EE15" t="e">
        <f>AND('Weigh-in'!CY4,"AAAAAH9e/4Y=")</f>
        <v>#VALUE!</v>
      </c>
      <c r="EF15">
        <f>IF('Weigh-in'!5:5,"AAAAAH9e/4c=",0)</f>
        <v>0</v>
      </c>
      <c r="EG15" t="e">
        <f>AND('Weigh-in'!A5,"AAAAAH9e/4g=")</f>
        <v>#VALUE!</v>
      </c>
      <c r="EH15" t="e">
        <f>AND('Weigh-in'!B5,"AAAAAH9e/4k=")</f>
        <v>#VALUE!</v>
      </c>
      <c r="EI15" t="e">
        <f>AND('Weigh-in'!C5,"AAAAAH9e/4o=")</f>
        <v>#VALUE!</v>
      </c>
      <c r="EJ15" t="e">
        <f>AND('Weigh-in'!D5,"AAAAAH9e/4s=")</f>
        <v>#VALUE!</v>
      </c>
      <c r="EK15" t="e">
        <f>AND('Weigh-in'!#REF!,"AAAAAH9e/4w=")</f>
        <v>#REF!</v>
      </c>
      <c r="EL15" t="e">
        <f>AND('Weigh-in'!F5,"AAAAAH9e/40=")</f>
        <v>#VALUE!</v>
      </c>
      <c r="EM15" t="e">
        <f>AND('Weigh-in'!G5,"AAAAAH9e/44=")</f>
        <v>#VALUE!</v>
      </c>
      <c r="EN15" t="e">
        <f>AND('Weigh-in'!H5,"AAAAAH9e/48=")</f>
        <v>#VALUE!</v>
      </c>
      <c r="EO15" t="e">
        <f>AND('Weigh-in'!I5,"AAAAAH9e/5A=")</f>
        <v>#VALUE!</v>
      </c>
      <c r="EP15" t="e">
        <f>AND('Weigh-in'!E5,"AAAAAH9e/5E=")</f>
        <v>#VALUE!</v>
      </c>
      <c r="EQ15" t="e">
        <f>AND('Weigh-in'!K5,"AAAAAH9e/5I=")</f>
        <v>#VALUE!</v>
      </c>
      <c r="ER15" t="e">
        <f>AND('Weigh-in'!L5,"AAAAAH9e/5M=")</f>
        <v>#VALUE!</v>
      </c>
      <c r="ES15" t="e">
        <f>AND('Weigh-in'!M5,"AAAAAH9e/5Q=")</f>
        <v>#VALUE!</v>
      </c>
      <c r="ET15" t="e">
        <f>AND('Weigh-in'!N5,"AAAAAH9e/5U=")</f>
        <v>#VALUE!</v>
      </c>
      <c r="EU15" t="e">
        <f>AND('Weigh-in'!O5,"AAAAAH9e/5Y=")</f>
        <v>#VALUE!</v>
      </c>
      <c r="EV15" t="e">
        <f>AND('Weigh-in'!P5,"AAAAAH9e/5c=")</f>
        <v>#VALUE!</v>
      </c>
      <c r="EW15" t="e">
        <f>AND('Weigh-in'!Q5,"AAAAAH9e/5g=")</f>
        <v>#VALUE!</v>
      </c>
      <c r="EX15" t="e">
        <f>AND('Weigh-in'!R5,"AAAAAH9e/5k=")</f>
        <v>#VALUE!</v>
      </c>
      <c r="EY15" t="e">
        <f>AND('Weigh-in'!S5,"AAAAAH9e/5o=")</f>
        <v>#VALUE!</v>
      </c>
      <c r="EZ15" t="e">
        <f>AND('Weigh-in'!T5,"AAAAAH9e/5s=")</f>
        <v>#VALUE!</v>
      </c>
      <c r="FA15" t="e">
        <f>AND('Weigh-in'!U5,"AAAAAH9e/5w=")</f>
        <v>#VALUE!</v>
      </c>
      <c r="FB15" t="e">
        <f>AND('Weigh-in'!V5,"AAAAAH9e/50=")</f>
        <v>#VALUE!</v>
      </c>
      <c r="FC15" t="e">
        <f>AND('Weigh-in'!W5,"AAAAAH9e/54=")</f>
        <v>#VALUE!</v>
      </c>
      <c r="FD15" t="e">
        <f>AND('Weigh-in'!X5,"AAAAAH9e/58=")</f>
        <v>#VALUE!</v>
      </c>
      <c r="FE15" t="e">
        <f>AND('Weigh-in'!Y5,"AAAAAH9e/6A=")</f>
        <v>#VALUE!</v>
      </c>
      <c r="FF15" t="e">
        <f>AND('Weigh-in'!Z5,"AAAAAH9e/6E=")</f>
        <v>#VALUE!</v>
      </c>
      <c r="FG15" t="e">
        <f>AND('Weigh-in'!AA5,"AAAAAH9e/6I=")</f>
        <v>#VALUE!</v>
      </c>
      <c r="FH15" t="e">
        <f>AND('Weigh-in'!AB5,"AAAAAH9e/6M=")</f>
        <v>#VALUE!</v>
      </c>
      <c r="FI15" t="e">
        <f>AND('Weigh-in'!AC5,"AAAAAH9e/6Q=")</f>
        <v>#VALUE!</v>
      </c>
      <c r="FJ15" t="e">
        <f>AND('Weigh-in'!AD5,"AAAAAH9e/6U=")</f>
        <v>#VALUE!</v>
      </c>
      <c r="FK15" t="e">
        <f>AND('Weigh-in'!AE5,"AAAAAH9e/6Y=")</f>
        <v>#VALUE!</v>
      </c>
      <c r="FL15" t="e">
        <f>AND('Weigh-in'!AF5,"AAAAAH9e/6c=")</f>
        <v>#VALUE!</v>
      </c>
      <c r="FM15" t="e">
        <f>AND('Weigh-in'!AG5,"AAAAAH9e/6g=")</f>
        <v>#VALUE!</v>
      </c>
      <c r="FN15" t="e">
        <f>AND('Weigh-in'!AH5,"AAAAAH9e/6k=")</f>
        <v>#VALUE!</v>
      </c>
      <c r="FO15" t="e">
        <f>AND('Weigh-in'!AI5,"AAAAAH9e/6o=")</f>
        <v>#VALUE!</v>
      </c>
      <c r="FP15" t="e">
        <f>AND('Weigh-in'!AJ5,"AAAAAH9e/6s=")</f>
        <v>#VALUE!</v>
      </c>
      <c r="FQ15" t="e">
        <f>AND('Weigh-in'!AK5,"AAAAAH9e/6w=")</f>
        <v>#VALUE!</v>
      </c>
      <c r="FR15" t="e">
        <f>AND('Weigh-in'!AL5,"AAAAAH9e/60=")</f>
        <v>#VALUE!</v>
      </c>
      <c r="FS15" t="e">
        <f>AND('Weigh-in'!AM5,"AAAAAH9e/64=")</f>
        <v>#VALUE!</v>
      </c>
      <c r="FT15" t="e">
        <f>AND('Weigh-in'!AN5,"AAAAAH9e/68=")</f>
        <v>#VALUE!</v>
      </c>
      <c r="FU15" t="e">
        <f>AND('Weigh-in'!AO5,"AAAAAH9e/7A=")</f>
        <v>#VALUE!</v>
      </c>
      <c r="FV15" t="e">
        <f>AND('Weigh-in'!AP5,"AAAAAH9e/7E=")</f>
        <v>#VALUE!</v>
      </c>
      <c r="FW15" t="e">
        <f>AND('Weigh-in'!AQ5,"AAAAAH9e/7I=")</f>
        <v>#VALUE!</v>
      </c>
      <c r="FX15" t="e">
        <f>AND('Weigh-in'!AR5,"AAAAAH9e/7M=")</f>
        <v>#VALUE!</v>
      </c>
      <c r="FY15" t="e">
        <f>AND('Weigh-in'!AS5,"AAAAAH9e/7Q=")</f>
        <v>#VALUE!</v>
      </c>
      <c r="FZ15" t="e">
        <f>AND('Weigh-in'!AT5,"AAAAAH9e/7U=")</f>
        <v>#VALUE!</v>
      </c>
      <c r="GA15" t="e">
        <f>AND('Weigh-in'!AU5,"AAAAAH9e/7Y=")</f>
        <v>#VALUE!</v>
      </c>
      <c r="GB15" t="e">
        <f>AND('Weigh-in'!AV5,"AAAAAH9e/7c=")</f>
        <v>#VALUE!</v>
      </c>
      <c r="GC15" t="e">
        <f>AND('Weigh-in'!AW5,"AAAAAH9e/7g=")</f>
        <v>#VALUE!</v>
      </c>
      <c r="GD15" t="e">
        <f>AND('Weigh-in'!AX5,"AAAAAH9e/7k=")</f>
        <v>#VALUE!</v>
      </c>
      <c r="GE15" t="e">
        <f>AND('Weigh-in'!AY5,"AAAAAH9e/7o=")</f>
        <v>#VALUE!</v>
      </c>
      <c r="GF15" t="e">
        <f>AND('Weigh-in'!AZ5,"AAAAAH9e/7s=")</f>
        <v>#VALUE!</v>
      </c>
      <c r="GG15" t="e">
        <f>AND('Weigh-in'!BA5,"AAAAAH9e/7w=")</f>
        <v>#VALUE!</v>
      </c>
      <c r="GH15" t="e">
        <f>AND('Weigh-in'!BB5,"AAAAAH9e/70=")</f>
        <v>#VALUE!</v>
      </c>
      <c r="GI15" t="e">
        <f>AND('Weigh-in'!BC5,"AAAAAH9e/74=")</f>
        <v>#VALUE!</v>
      </c>
      <c r="GJ15" t="e">
        <f>AND('Weigh-in'!BD5,"AAAAAH9e/78=")</f>
        <v>#VALUE!</v>
      </c>
      <c r="GK15" t="e">
        <f>AND('Weigh-in'!BE5,"AAAAAH9e/8A=")</f>
        <v>#VALUE!</v>
      </c>
      <c r="GL15" t="e">
        <f>AND('Weigh-in'!BF5,"AAAAAH9e/8E=")</f>
        <v>#VALUE!</v>
      </c>
      <c r="GM15" t="e">
        <f>AND('Weigh-in'!BG5,"AAAAAH9e/8I=")</f>
        <v>#VALUE!</v>
      </c>
      <c r="GN15" t="e">
        <f>AND('Weigh-in'!BH5,"AAAAAH9e/8M=")</f>
        <v>#VALUE!</v>
      </c>
      <c r="GO15" t="e">
        <f>AND('Weigh-in'!BI5,"AAAAAH9e/8Q=")</f>
        <v>#VALUE!</v>
      </c>
      <c r="GP15" t="e">
        <f>AND('Weigh-in'!BJ5,"AAAAAH9e/8U=")</f>
        <v>#VALUE!</v>
      </c>
      <c r="GQ15" t="e">
        <f>AND('Weigh-in'!BK5,"AAAAAH9e/8Y=")</f>
        <v>#VALUE!</v>
      </c>
      <c r="GR15" t="e">
        <f>AND('Weigh-in'!BL5,"AAAAAH9e/8c=")</f>
        <v>#VALUE!</v>
      </c>
      <c r="GS15" t="e">
        <f>AND('Weigh-in'!BM5,"AAAAAH9e/8g=")</f>
        <v>#VALUE!</v>
      </c>
      <c r="GT15" t="e">
        <f>AND('Weigh-in'!BN5,"AAAAAH9e/8k=")</f>
        <v>#VALUE!</v>
      </c>
      <c r="GU15" t="e">
        <f>AND('Weigh-in'!BO5,"AAAAAH9e/8o=")</f>
        <v>#VALUE!</v>
      </c>
      <c r="GV15" t="e">
        <f>AND('Weigh-in'!BP5,"AAAAAH9e/8s=")</f>
        <v>#VALUE!</v>
      </c>
      <c r="GW15" t="e">
        <f>AND('Weigh-in'!BQ5,"AAAAAH9e/8w=")</f>
        <v>#VALUE!</v>
      </c>
      <c r="GX15" t="e">
        <f>AND('Weigh-in'!BR5,"AAAAAH9e/80=")</f>
        <v>#VALUE!</v>
      </c>
      <c r="GY15" t="e">
        <f>AND('Weigh-in'!BS5,"AAAAAH9e/84=")</f>
        <v>#VALUE!</v>
      </c>
      <c r="GZ15" t="e">
        <f>AND('Weigh-in'!BT5,"AAAAAH9e/88=")</f>
        <v>#VALUE!</v>
      </c>
      <c r="HA15" t="e">
        <f>AND('Weigh-in'!BU5,"AAAAAH9e/9A=")</f>
        <v>#VALUE!</v>
      </c>
      <c r="HB15" t="e">
        <f>AND('Weigh-in'!BV5,"AAAAAH9e/9E=")</f>
        <v>#VALUE!</v>
      </c>
      <c r="HC15" t="e">
        <f>AND('Weigh-in'!BW5,"AAAAAH9e/9I=")</f>
        <v>#VALUE!</v>
      </c>
      <c r="HD15" t="e">
        <f>AND('Weigh-in'!BX5,"AAAAAH9e/9M=")</f>
        <v>#VALUE!</v>
      </c>
      <c r="HE15" t="e">
        <f>AND('Weigh-in'!BY5,"AAAAAH9e/9Q=")</f>
        <v>#VALUE!</v>
      </c>
      <c r="HF15" t="e">
        <f>AND('Weigh-in'!BZ5,"AAAAAH9e/9U=")</f>
        <v>#VALUE!</v>
      </c>
      <c r="HG15" t="e">
        <f>AND('Weigh-in'!CA5,"AAAAAH9e/9Y=")</f>
        <v>#VALUE!</v>
      </c>
      <c r="HH15" t="e">
        <f>AND('Weigh-in'!CB5,"AAAAAH9e/9c=")</f>
        <v>#VALUE!</v>
      </c>
      <c r="HI15" t="e">
        <f>AND('Weigh-in'!CC5,"AAAAAH9e/9g=")</f>
        <v>#VALUE!</v>
      </c>
      <c r="HJ15" t="e">
        <f>AND('Weigh-in'!CD5,"AAAAAH9e/9k=")</f>
        <v>#VALUE!</v>
      </c>
      <c r="HK15" t="e">
        <f>AND('Weigh-in'!CE5,"AAAAAH9e/9o=")</f>
        <v>#VALUE!</v>
      </c>
      <c r="HL15" t="e">
        <f>AND('Weigh-in'!CF5,"AAAAAH9e/9s=")</f>
        <v>#VALUE!</v>
      </c>
      <c r="HM15" t="e">
        <f>AND('Weigh-in'!CG5,"AAAAAH9e/9w=")</f>
        <v>#VALUE!</v>
      </c>
      <c r="HN15" t="e">
        <f>AND('Weigh-in'!CH5,"AAAAAH9e/90=")</f>
        <v>#VALUE!</v>
      </c>
      <c r="HO15" t="e">
        <f>AND('Weigh-in'!CI5,"AAAAAH9e/94=")</f>
        <v>#VALUE!</v>
      </c>
      <c r="HP15" t="e">
        <f>AND('Weigh-in'!CJ5,"AAAAAH9e/98=")</f>
        <v>#VALUE!</v>
      </c>
      <c r="HQ15" t="e">
        <f>AND('Weigh-in'!CK5,"AAAAAH9e/+A=")</f>
        <v>#VALUE!</v>
      </c>
      <c r="HR15" t="e">
        <f>AND('Weigh-in'!CL5,"AAAAAH9e/+E=")</f>
        <v>#VALUE!</v>
      </c>
      <c r="HS15" t="e">
        <f>AND('Weigh-in'!CM5,"AAAAAH9e/+I=")</f>
        <v>#VALUE!</v>
      </c>
      <c r="HT15" t="e">
        <f>AND('Weigh-in'!CN5,"AAAAAH9e/+M=")</f>
        <v>#VALUE!</v>
      </c>
      <c r="HU15" t="e">
        <f>AND('Weigh-in'!CO5,"AAAAAH9e/+Q=")</f>
        <v>#VALUE!</v>
      </c>
      <c r="HV15" t="e">
        <f>AND('Weigh-in'!CP5,"AAAAAH9e/+U=")</f>
        <v>#VALUE!</v>
      </c>
      <c r="HW15" t="e">
        <f>AND('Weigh-in'!CQ5,"AAAAAH9e/+Y=")</f>
        <v>#VALUE!</v>
      </c>
      <c r="HX15" t="e">
        <f>AND('Weigh-in'!CR5,"AAAAAH9e/+c=")</f>
        <v>#VALUE!</v>
      </c>
      <c r="HY15" t="e">
        <f>AND('Weigh-in'!CS5,"AAAAAH9e/+g=")</f>
        <v>#VALUE!</v>
      </c>
      <c r="HZ15" t="e">
        <f>AND('Weigh-in'!CT5,"AAAAAH9e/+k=")</f>
        <v>#VALUE!</v>
      </c>
      <c r="IA15" t="e">
        <f>AND('Weigh-in'!CU5,"AAAAAH9e/+o=")</f>
        <v>#VALUE!</v>
      </c>
      <c r="IB15" t="e">
        <f>AND('Weigh-in'!CV5,"AAAAAH9e/+s=")</f>
        <v>#VALUE!</v>
      </c>
      <c r="IC15" t="e">
        <f>AND('Weigh-in'!CW5,"AAAAAH9e/+w=")</f>
        <v>#VALUE!</v>
      </c>
      <c r="ID15" t="e">
        <f>AND('Weigh-in'!CX5,"AAAAAH9e/+0=")</f>
        <v>#VALUE!</v>
      </c>
      <c r="IE15" t="e">
        <f>AND('Weigh-in'!CY5,"AAAAAH9e/+4=")</f>
        <v>#VALUE!</v>
      </c>
      <c r="IF15">
        <f>IF('Weigh-in'!6:6,"AAAAAH9e/+8=",0)</f>
        <v>0</v>
      </c>
      <c r="IG15" t="e">
        <f>AND('Weigh-in'!A6,"AAAAAH9e//A=")</f>
        <v>#VALUE!</v>
      </c>
      <c r="IH15" t="e">
        <f>AND('Weigh-in'!B6,"AAAAAH9e//E=")</f>
        <v>#VALUE!</v>
      </c>
      <c r="II15" t="e">
        <f>AND('Weigh-in'!C6,"AAAAAH9e//I=")</f>
        <v>#VALUE!</v>
      </c>
      <c r="IJ15" t="e">
        <f>AND('Weigh-in'!D6,"AAAAAH9e//M=")</f>
        <v>#VALUE!</v>
      </c>
      <c r="IK15" t="e">
        <f>AND('Weigh-in'!#REF!,"AAAAAH9e//Q=")</f>
        <v>#REF!</v>
      </c>
      <c r="IL15" t="e">
        <f>AND('Weigh-in'!F6,"AAAAAH9e//U=")</f>
        <v>#VALUE!</v>
      </c>
      <c r="IM15" t="e">
        <f>AND('Weigh-in'!G6,"AAAAAH9e//Y=")</f>
        <v>#VALUE!</v>
      </c>
      <c r="IN15" t="e">
        <f>AND('Weigh-in'!H6,"AAAAAH9e//c=")</f>
        <v>#VALUE!</v>
      </c>
      <c r="IO15" t="e">
        <f>AND('Weigh-in'!I6,"AAAAAH9e//g=")</f>
        <v>#VALUE!</v>
      </c>
      <c r="IP15" t="e">
        <f>AND('Weigh-in'!E6,"AAAAAH9e//k=")</f>
        <v>#VALUE!</v>
      </c>
      <c r="IQ15" t="e">
        <f>AND('Weigh-in'!K6,"AAAAAH9e//o=")</f>
        <v>#VALUE!</v>
      </c>
      <c r="IR15" t="e">
        <f>AND('Weigh-in'!L6,"AAAAAH9e//s=")</f>
        <v>#VALUE!</v>
      </c>
      <c r="IS15" t="e">
        <f>AND('Weigh-in'!M6,"AAAAAH9e//w=")</f>
        <v>#VALUE!</v>
      </c>
      <c r="IT15" t="e">
        <f>AND('Weigh-in'!N6,"AAAAAH9e//0=")</f>
        <v>#VALUE!</v>
      </c>
      <c r="IU15" t="e">
        <f>AND('Weigh-in'!O6,"AAAAAH9e//4=")</f>
        <v>#VALUE!</v>
      </c>
      <c r="IV15" t="e">
        <f>AND('Weigh-in'!P6,"AAAAAH9e//8=")</f>
        <v>#VALUE!</v>
      </c>
    </row>
    <row r="16" spans="1:256">
      <c r="A16" t="e">
        <f>AND('Weigh-in'!Q6,"AAAAAH/f7wA=")</f>
        <v>#VALUE!</v>
      </c>
      <c r="B16" t="e">
        <f>AND('Weigh-in'!R6,"AAAAAH/f7wE=")</f>
        <v>#VALUE!</v>
      </c>
      <c r="C16" t="e">
        <f>AND('Weigh-in'!S6,"AAAAAH/f7wI=")</f>
        <v>#VALUE!</v>
      </c>
      <c r="D16" t="e">
        <f>AND('Weigh-in'!T6,"AAAAAH/f7wM=")</f>
        <v>#VALUE!</v>
      </c>
      <c r="E16" t="e">
        <f>AND('Weigh-in'!U6,"AAAAAH/f7wQ=")</f>
        <v>#VALUE!</v>
      </c>
      <c r="F16" t="e">
        <f>AND('Weigh-in'!V6,"AAAAAH/f7wU=")</f>
        <v>#VALUE!</v>
      </c>
      <c r="G16" t="e">
        <f>AND('Weigh-in'!W6,"AAAAAH/f7wY=")</f>
        <v>#VALUE!</v>
      </c>
      <c r="H16" t="e">
        <f>AND('Weigh-in'!X6,"AAAAAH/f7wc=")</f>
        <v>#VALUE!</v>
      </c>
      <c r="I16" t="e">
        <f>AND('Weigh-in'!Y6,"AAAAAH/f7wg=")</f>
        <v>#VALUE!</v>
      </c>
      <c r="J16" t="e">
        <f>AND('Weigh-in'!Z6,"AAAAAH/f7wk=")</f>
        <v>#VALUE!</v>
      </c>
      <c r="K16" t="e">
        <f>AND('Weigh-in'!AA6,"AAAAAH/f7wo=")</f>
        <v>#VALUE!</v>
      </c>
      <c r="L16" t="e">
        <f>AND('Weigh-in'!AB6,"AAAAAH/f7ws=")</f>
        <v>#VALUE!</v>
      </c>
      <c r="M16" t="e">
        <f>AND('Weigh-in'!AC6,"AAAAAH/f7ww=")</f>
        <v>#VALUE!</v>
      </c>
      <c r="N16" t="e">
        <f>AND('Weigh-in'!AD6,"AAAAAH/f7w0=")</f>
        <v>#VALUE!</v>
      </c>
      <c r="O16" t="e">
        <f>AND('Weigh-in'!AE6,"AAAAAH/f7w4=")</f>
        <v>#VALUE!</v>
      </c>
      <c r="P16" t="e">
        <f>AND('Weigh-in'!AF6,"AAAAAH/f7w8=")</f>
        <v>#VALUE!</v>
      </c>
      <c r="Q16" t="e">
        <f>AND('Weigh-in'!AG6,"AAAAAH/f7xA=")</f>
        <v>#VALUE!</v>
      </c>
      <c r="R16" t="e">
        <f>AND('Weigh-in'!AH6,"AAAAAH/f7xE=")</f>
        <v>#VALUE!</v>
      </c>
      <c r="S16" t="e">
        <f>AND('Weigh-in'!AI6,"AAAAAH/f7xI=")</f>
        <v>#VALUE!</v>
      </c>
      <c r="T16" t="e">
        <f>AND('Weigh-in'!AJ6,"AAAAAH/f7xM=")</f>
        <v>#VALUE!</v>
      </c>
      <c r="U16" t="e">
        <f>AND('Weigh-in'!AK6,"AAAAAH/f7xQ=")</f>
        <v>#VALUE!</v>
      </c>
      <c r="V16" t="e">
        <f>AND('Weigh-in'!AL6,"AAAAAH/f7xU=")</f>
        <v>#VALUE!</v>
      </c>
      <c r="W16" t="e">
        <f>AND('Weigh-in'!AM6,"AAAAAH/f7xY=")</f>
        <v>#VALUE!</v>
      </c>
      <c r="X16" t="e">
        <f>AND('Weigh-in'!AN6,"AAAAAH/f7xc=")</f>
        <v>#VALUE!</v>
      </c>
      <c r="Y16" t="e">
        <f>AND('Weigh-in'!AO6,"AAAAAH/f7xg=")</f>
        <v>#VALUE!</v>
      </c>
      <c r="Z16" t="e">
        <f>AND('Weigh-in'!AP6,"AAAAAH/f7xk=")</f>
        <v>#VALUE!</v>
      </c>
      <c r="AA16" t="e">
        <f>AND('Weigh-in'!AQ6,"AAAAAH/f7xo=")</f>
        <v>#VALUE!</v>
      </c>
      <c r="AB16" t="e">
        <f>AND('Weigh-in'!AR6,"AAAAAH/f7xs=")</f>
        <v>#VALUE!</v>
      </c>
      <c r="AC16" t="e">
        <f>AND('Weigh-in'!AS6,"AAAAAH/f7xw=")</f>
        <v>#VALUE!</v>
      </c>
      <c r="AD16" t="e">
        <f>AND('Weigh-in'!AT6,"AAAAAH/f7x0=")</f>
        <v>#VALUE!</v>
      </c>
      <c r="AE16" t="e">
        <f>AND('Weigh-in'!AU6,"AAAAAH/f7x4=")</f>
        <v>#VALUE!</v>
      </c>
      <c r="AF16" t="e">
        <f>AND('Weigh-in'!AV6,"AAAAAH/f7x8=")</f>
        <v>#VALUE!</v>
      </c>
      <c r="AG16" t="e">
        <f>AND('Weigh-in'!AW6,"AAAAAH/f7yA=")</f>
        <v>#VALUE!</v>
      </c>
      <c r="AH16" t="e">
        <f>AND('Weigh-in'!AX6,"AAAAAH/f7yE=")</f>
        <v>#VALUE!</v>
      </c>
      <c r="AI16" t="e">
        <f>AND('Weigh-in'!AY6,"AAAAAH/f7yI=")</f>
        <v>#VALUE!</v>
      </c>
      <c r="AJ16" t="e">
        <f>AND('Weigh-in'!AZ6,"AAAAAH/f7yM=")</f>
        <v>#VALUE!</v>
      </c>
      <c r="AK16" t="e">
        <f>AND('Weigh-in'!BA6,"AAAAAH/f7yQ=")</f>
        <v>#VALUE!</v>
      </c>
      <c r="AL16" t="e">
        <f>AND('Weigh-in'!BB6,"AAAAAH/f7yU=")</f>
        <v>#VALUE!</v>
      </c>
      <c r="AM16" t="e">
        <f>AND('Weigh-in'!BC6,"AAAAAH/f7yY=")</f>
        <v>#VALUE!</v>
      </c>
      <c r="AN16" t="e">
        <f>AND('Weigh-in'!BD6,"AAAAAH/f7yc=")</f>
        <v>#VALUE!</v>
      </c>
      <c r="AO16" t="e">
        <f>AND('Weigh-in'!BE6,"AAAAAH/f7yg=")</f>
        <v>#VALUE!</v>
      </c>
      <c r="AP16" t="e">
        <f>AND('Weigh-in'!BF6,"AAAAAH/f7yk=")</f>
        <v>#VALUE!</v>
      </c>
      <c r="AQ16" t="e">
        <f>AND('Weigh-in'!BG6,"AAAAAH/f7yo=")</f>
        <v>#VALUE!</v>
      </c>
      <c r="AR16" t="e">
        <f>AND('Weigh-in'!BH6,"AAAAAH/f7ys=")</f>
        <v>#VALUE!</v>
      </c>
      <c r="AS16" t="e">
        <f>AND('Weigh-in'!BI6,"AAAAAH/f7yw=")</f>
        <v>#VALUE!</v>
      </c>
      <c r="AT16" t="e">
        <f>AND('Weigh-in'!BJ6,"AAAAAH/f7y0=")</f>
        <v>#VALUE!</v>
      </c>
      <c r="AU16" t="e">
        <f>AND('Weigh-in'!BK6,"AAAAAH/f7y4=")</f>
        <v>#VALUE!</v>
      </c>
      <c r="AV16" t="e">
        <f>AND('Weigh-in'!BL6,"AAAAAH/f7y8=")</f>
        <v>#VALUE!</v>
      </c>
      <c r="AW16" t="e">
        <f>AND('Weigh-in'!BM6,"AAAAAH/f7zA=")</f>
        <v>#VALUE!</v>
      </c>
      <c r="AX16" t="e">
        <f>AND('Weigh-in'!BN6,"AAAAAH/f7zE=")</f>
        <v>#VALUE!</v>
      </c>
      <c r="AY16" t="e">
        <f>AND('Weigh-in'!BO6,"AAAAAH/f7zI=")</f>
        <v>#VALUE!</v>
      </c>
      <c r="AZ16" t="e">
        <f>AND('Weigh-in'!BP6,"AAAAAH/f7zM=")</f>
        <v>#VALUE!</v>
      </c>
      <c r="BA16" t="e">
        <f>AND('Weigh-in'!BQ6,"AAAAAH/f7zQ=")</f>
        <v>#VALUE!</v>
      </c>
      <c r="BB16" t="e">
        <f>AND('Weigh-in'!BR6,"AAAAAH/f7zU=")</f>
        <v>#VALUE!</v>
      </c>
      <c r="BC16" t="e">
        <f>AND('Weigh-in'!BS6,"AAAAAH/f7zY=")</f>
        <v>#VALUE!</v>
      </c>
      <c r="BD16" t="e">
        <f>AND('Weigh-in'!BT6,"AAAAAH/f7zc=")</f>
        <v>#VALUE!</v>
      </c>
      <c r="BE16" t="e">
        <f>AND('Weigh-in'!BU6,"AAAAAH/f7zg=")</f>
        <v>#VALUE!</v>
      </c>
      <c r="BF16" t="e">
        <f>AND('Weigh-in'!BV6,"AAAAAH/f7zk=")</f>
        <v>#VALUE!</v>
      </c>
      <c r="BG16" t="e">
        <f>AND('Weigh-in'!BW6,"AAAAAH/f7zo=")</f>
        <v>#VALUE!</v>
      </c>
      <c r="BH16" t="e">
        <f>AND('Weigh-in'!BX6,"AAAAAH/f7zs=")</f>
        <v>#VALUE!</v>
      </c>
      <c r="BI16" t="e">
        <f>AND('Weigh-in'!BY6,"AAAAAH/f7zw=")</f>
        <v>#VALUE!</v>
      </c>
      <c r="BJ16" t="e">
        <f>AND('Weigh-in'!BZ6,"AAAAAH/f7z0=")</f>
        <v>#VALUE!</v>
      </c>
      <c r="BK16" t="e">
        <f>AND('Weigh-in'!CA6,"AAAAAH/f7z4=")</f>
        <v>#VALUE!</v>
      </c>
      <c r="BL16" t="e">
        <f>AND('Weigh-in'!CB6,"AAAAAH/f7z8=")</f>
        <v>#VALUE!</v>
      </c>
      <c r="BM16" t="e">
        <f>AND('Weigh-in'!CC6,"AAAAAH/f70A=")</f>
        <v>#VALUE!</v>
      </c>
      <c r="BN16" t="e">
        <f>AND('Weigh-in'!CD6,"AAAAAH/f70E=")</f>
        <v>#VALUE!</v>
      </c>
      <c r="BO16" t="e">
        <f>AND('Weigh-in'!CE6,"AAAAAH/f70I=")</f>
        <v>#VALUE!</v>
      </c>
      <c r="BP16" t="e">
        <f>AND('Weigh-in'!CF6,"AAAAAH/f70M=")</f>
        <v>#VALUE!</v>
      </c>
      <c r="BQ16" t="e">
        <f>AND('Weigh-in'!CG6,"AAAAAH/f70Q=")</f>
        <v>#VALUE!</v>
      </c>
      <c r="BR16" t="e">
        <f>AND('Weigh-in'!CH6,"AAAAAH/f70U=")</f>
        <v>#VALUE!</v>
      </c>
      <c r="BS16" t="e">
        <f>AND('Weigh-in'!CI6,"AAAAAH/f70Y=")</f>
        <v>#VALUE!</v>
      </c>
      <c r="BT16" t="e">
        <f>AND('Weigh-in'!CJ6,"AAAAAH/f70c=")</f>
        <v>#VALUE!</v>
      </c>
      <c r="BU16" t="e">
        <f>AND('Weigh-in'!CK6,"AAAAAH/f70g=")</f>
        <v>#VALUE!</v>
      </c>
      <c r="BV16" t="e">
        <f>AND('Weigh-in'!CL6,"AAAAAH/f70k=")</f>
        <v>#VALUE!</v>
      </c>
      <c r="BW16" t="e">
        <f>AND('Weigh-in'!CM6,"AAAAAH/f70o=")</f>
        <v>#VALUE!</v>
      </c>
      <c r="BX16" t="e">
        <f>AND('Weigh-in'!CN6,"AAAAAH/f70s=")</f>
        <v>#VALUE!</v>
      </c>
      <c r="BY16" t="e">
        <f>AND('Weigh-in'!CO6,"AAAAAH/f70w=")</f>
        <v>#VALUE!</v>
      </c>
      <c r="BZ16" t="e">
        <f>AND('Weigh-in'!CP6,"AAAAAH/f700=")</f>
        <v>#VALUE!</v>
      </c>
      <c r="CA16" t="e">
        <f>AND('Weigh-in'!CQ6,"AAAAAH/f704=")</f>
        <v>#VALUE!</v>
      </c>
      <c r="CB16" t="e">
        <f>AND('Weigh-in'!CR6,"AAAAAH/f708=")</f>
        <v>#VALUE!</v>
      </c>
      <c r="CC16" t="e">
        <f>AND('Weigh-in'!CS6,"AAAAAH/f71A=")</f>
        <v>#VALUE!</v>
      </c>
      <c r="CD16" t="e">
        <f>AND('Weigh-in'!CT6,"AAAAAH/f71E=")</f>
        <v>#VALUE!</v>
      </c>
      <c r="CE16" t="e">
        <f>AND('Weigh-in'!CU6,"AAAAAH/f71I=")</f>
        <v>#VALUE!</v>
      </c>
      <c r="CF16" t="e">
        <f>AND('Weigh-in'!CV6,"AAAAAH/f71M=")</f>
        <v>#VALUE!</v>
      </c>
      <c r="CG16" t="e">
        <f>AND('Weigh-in'!CW6,"AAAAAH/f71Q=")</f>
        <v>#VALUE!</v>
      </c>
      <c r="CH16" t="e">
        <f>AND('Weigh-in'!CX6,"AAAAAH/f71U=")</f>
        <v>#VALUE!</v>
      </c>
      <c r="CI16" t="e">
        <f>AND('Weigh-in'!CY6,"AAAAAH/f71Y=")</f>
        <v>#VALUE!</v>
      </c>
      <c r="CJ16">
        <f>IF('Weigh-in'!7:7,"AAAAAH/f71c=",0)</f>
        <v>0</v>
      </c>
      <c r="CK16" t="e">
        <f>AND('Weigh-in'!A7,"AAAAAH/f71g=")</f>
        <v>#VALUE!</v>
      </c>
      <c r="CL16" t="e">
        <f>AND('Weigh-in'!B7,"AAAAAH/f71k=")</f>
        <v>#VALUE!</v>
      </c>
      <c r="CM16" t="e">
        <f>AND('Weigh-in'!C7,"AAAAAH/f71o=")</f>
        <v>#VALUE!</v>
      </c>
      <c r="CN16" t="e">
        <f>AND('Weigh-in'!D7,"AAAAAH/f71s=")</f>
        <v>#VALUE!</v>
      </c>
      <c r="CO16" t="e">
        <f>AND('Weigh-in'!#REF!,"AAAAAH/f71w=")</f>
        <v>#REF!</v>
      </c>
      <c r="CP16" t="e">
        <f>AND('Weigh-in'!F7,"AAAAAH/f710=")</f>
        <v>#VALUE!</v>
      </c>
      <c r="CQ16" t="e">
        <f>AND('Weigh-in'!G7,"AAAAAH/f714=")</f>
        <v>#VALUE!</v>
      </c>
      <c r="CR16" t="e">
        <f>AND('Weigh-in'!H7,"AAAAAH/f718=")</f>
        <v>#VALUE!</v>
      </c>
      <c r="CS16" t="e">
        <f>AND('Weigh-in'!I7,"AAAAAH/f72A=")</f>
        <v>#VALUE!</v>
      </c>
      <c r="CT16" t="e">
        <f>AND('Weigh-in'!E7,"AAAAAH/f72E=")</f>
        <v>#VALUE!</v>
      </c>
      <c r="CU16" t="e">
        <f>AND('Weigh-in'!K7,"AAAAAH/f72I=")</f>
        <v>#VALUE!</v>
      </c>
      <c r="CV16" t="e">
        <f>AND('Weigh-in'!L7,"AAAAAH/f72M=")</f>
        <v>#VALUE!</v>
      </c>
      <c r="CW16" t="e">
        <f>AND('Weigh-in'!M7,"AAAAAH/f72Q=")</f>
        <v>#VALUE!</v>
      </c>
      <c r="CX16" t="e">
        <f>AND('Weigh-in'!N7,"AAAAAH/f72U=")</f>
        <v>#VALUE!</v>
      </c>
      <c r="CY16" t="e">
        <f>AND('Weigh-in'!O7,"AAAAAH/f72Y=")</f>
        <v>#VALUE!</v>
      </c>
      <c r="CZ16" t="e">
        <f>AND('Weigh-in'!P7,"AAAAAH/f72c=")</f>
        <v>#VALUE!</v>
      </c>
      <c r="DA16" t="e">
        <f>AND('Weigh-in'!Q7,"AAAAAH/f72g=")</f>
        <v>#VALUE!</v>
      </c>
      <c r="DB16" t="e">
        <f>AND('Weigh-in'!R7,"AAAAAH/f72k=")</f>
        <v>#VALUE!</v>
      </c>
      <c r="DC16" t="e">
        <f>AND('Weigh-in'!S7,"AAAAAH/f72o=")</f>
        <v>#VALUE!</v>
      </c>
      <c r="DD16" t="e">
        <f>AND('Weigh-in'!T7,"AAAAAH/f72s=")</f>
        <v>#VALUE!</v>
      </c>
      <c r="DE16" t="e">
        <f>AND('Weigh-in'!U7,"AAAAAH/f72w=")</f>
        <v>#VALUE!</v>
      </c>
      <c r="DF16" t="e">
        <f>AND('Weigh-in'!V7,"AAAAAH/f720=")</f>
        <v>#VALUE!</v>
      </c>
      <c r="DG16" t="e">
        <f>AND('Weigh-in'!W7,"AAAAAH/f724=")</f>
        <v>#VALUE!</v>
      </c>
      <c r="DH16" t="e">
        <f>AND('Weigh-in'!X7,"AAAAAH/f728=")</f>
        <v>#VALUE!</v>
      </c>
      <c r="DI16" t="e">
        <f>AND('Weigh-in'!Y7,"AAAAAH/f73A=")</f>
        <v>#VALUE!</v>
      </c>
      <c r="DJ16" t="e">
        <f>AND('Weigh-in'!Z7,"AAAAAH/f73E=")</f>
        <v>#VALUE!</v>
      </c>
      <c r="DK16" t="e">
        <f>AND('Weigh-in'!AA7,"AAAAAH/f73I=")</f>
        <v>#VALUE!</v>
      </c>
      <c r="DL16" t="e">
        <f>AND('Weigh-in'!AB7,"AAAAAH/f73M=")</f>
        <v>#VALUE!</v>
      </c>
      <c r="DM16" t="e">
        <f>AND('Weigh-in'!AC7,"AAAAAH/f73Q=")</f>
        <v>#VALUE!</v>
      </c>
      <c r="DN16" t="e">
        <f>AND('Weigh-in'!AD7,"AAAAAH/f73U=")</f>
        <v>#VALUE!</v>
      </c>
      <c r="DO16" t="e">
        <f>AND('Weigh-in'!AE7,"AAAAAH/f73Y=")</f>
        <v>#VALUE!</v>
      </c>
      <c r="DP16" t="e">
        <f>AND('Weigh-in'!AF7,"AAAAAH/f73c=")</f>
        <v>#VALUE!</v>
      </c>
      <c r="DQ16" t="e">
        <f>AND('Weigh-in'!AG7,"AAAAAH/f73g=")</f>
        <v>#VALUE!</v>
      </c>
      <c r="DR16" t="e">
        <f>AND('Weigh-in'!AH7,"AAAAAH/f73k=")</f>
        <v>#VALUE!</v>
      </c>
      <c r="DS16" t="e">
        <f>AND('Weigh-in'!AI7,"AAAAAH/f73o=")</f>
        <v>#VALUE!</v>
      </c>
      <c r="DT16" t="e">
        <f>AND('Weigh-in'!AJ7,"AAAAAH/f73s=")</f>
        <v>#VALUE!</v>
      </c>
      <c r="DU16" t="e">
        <f>AND('Weigh-in'!AK7,"AAAAAH/f73w=")</f>
        <v>#VALUE!</v>
      </c>
      <c r="DV16" t="e">
        <f>AND('Weigh-in'!AL7,"AAAAAH/f730=")</f>
        <v>#VALUE!</v>
      </c>
      <c r="DW16" t="e">
        <f>AND('Weigh-in'!AM7,"AAAAAH/f734=")</f>
        <v>#VALUE!</v>
      </c>
      <c r="DX16" t="e">
        <f>AND('Weigh-in'!AN7,"AAAAAH/f738=")</f>
        <v>#VALUE!</v>
      </c>
      <c r="DY16" t="e">
        <f>AND('Weigh-in'!AO7,"AAAAAH/f74A=")</f>
        <v>#VALUE!</v>
      </c>
      <c r="DZ16" t="e">
        <f>AND('Weigh-in'!AP7,"AAAAAH/f74E=")</f>
        <v>#VALUE!</v>
      </c>
      <c r="EA16" t="e">
        <f>AND('Weigh-in'!AQ7,"AAAAAH/f74I=")</f>
        <v>#VALUE!</v>
      </c>
      <c r="EB16" t="e">
        <f>AND('Weigh-in'!AR7,"AAAAAH/f74M=")</f>
        <v>#VALUE!</v>
      </c>
      <c r="EC16" t="e">
        <f>AND('Weigh-in'!AS7,"AAAAAH/f74Q=")</f>
        <v>#VALUE!</v>
      </c>
      <c r="ED16" t="e">
        <f>AND('Weigh-in'!AT7,"AAAAAH/f74U=")</f>
        <v>#VALUE!</v>
      </c>
      <c r="EE16" t="e">
        <f>AND('Weigh-in'!AU7,"AAAAAH/f74Y=")</f>
        <v>#VALUE!</v>
      </c>
      <c r="EF16" t="e">
        <f>AND('Weigh-in'!AV7,"AAAAAH/f74c=")</f>
        <v>#VALUE!</v>
      </c>
      <c r="EG16" t="e">
        <f>AND('Weigh-in'!AW7,"AAAAAH/f74g=")</f>
        <v>#VALUE!</v>
      </c>
      <c r="EH16" t="e">
        <f>AND('Weigh-in'!AX7,"AAAAAH/f74k=")</f>
        <v>#VALUE!</v>
      </c>
      <c r="EI16" t="e">
        <f>AND('Weigh-in'!AY7,"AAAAAH/f74o=")</f>
        <v>#VALUE!</v>
      </c>
      <c r="EJ16" t="e">
        <f>AND('Weigh-in'!AZ7,"AAAAAH/f74s=")</f>
        <v>#VALUE!</v>
      </c>
      <c r="EK16" t="e">
        <f>AND('Weigh-in'!BA7,"AAAAAH/f74w=")</f>
        <v>#VALUE!</v>
      </c>
      <c r="EL16" t="e">
        <f>AND('Weigh-in'!BB7,"AAAAAH/f740=")</f>
        <v>#VALUE!</v>
      </c>
      <c r="EM16" t="e">
        <f>AND('Weigh-in'!BC7,"AAAAAH/f744=")</f>
        <v>#VALUE!</v>
      </c>
      <c r="EN16" t="e">
        <f>AND('Weigh-in'!BD7,"AAAAAH/f748=")</f>
        <v>#VALUE!</v>
      </c>
      <c r="EO16" t="e">
        <f>AND('Weigh-in'!BE7,"AAAAAH/f75A=")</f>
        <v>#VALUE!</v>
      </c>
      <c r="EP16" t="e">
        <f>AND('Weigh-in'!BF7,"AAAAAH/f75E=")</f>
        <v>#VALUE!</v>
      </c>
      <c r="EQ16" t="e">
        <f>AND('Weigh-in'!BG7,"AAAAAH/f75I=")</f>
        <v>#VALUE!</v>
      </c>
      <c r="ER16" t="e">
        <f>AND('Weigh-in'!BH7,"AAAAAH/f75M=")</f>
        <v>#VALUE!</v>
      </c>
      <c r="ES16" t="e">
        <f>AND('Weigh-in'!BI7,"AAAAAH/f75Q=")</f>
        <v>#VALUE!</v>
      </c>
      <c r="ET16" t="e">
        <f>AND('Weigh-in'!BJ7,"AAAAAH/f75U=")</f>
        <v>#VALUE!</v>
      </c>
      <c r="EU16" t="e">
        <f>AND('Weigh-in'!BK7,"AAAAAH/f75Y=")</f>
        <v>#VALUE!</v>
      </c>
      <c r="EV16" t="e">
        <f>AND('Weigh-in'!BL7,"AAAAAH/f75c=")</f>
        <v>#VALUE!</v>
      </c>
      <c r="EW16" t="e">
        <f>AND('Weigh-in'!BM7,"AAAAAH/f75g=")</f>
        <v>#VALUE!</v>
      </c>
      <c r="EX16" t="e">
        <f>AND('Weigh-in'!BN7,"AAAAAH/f75k=")</f>
        <v>#VALUE!</v>
      </c>
      <c r="EY16" t="e">
        <f>AND('Weigh-in'!BO7,"AAAAAH/f75o=")</f>
        <v>#VALUE!</v>
      </c>
      <c r="EZ16" t="e">
        <f>AND('Weigh-in'!BP7,"AAAAAH/f75s=")</f>
        <v>#VALUE!</v>
      </c>
      <c r="FA16" t="e">
        <f>AND('Weigh-in'!BQ7,"AAAAAH/f75w=")</f>
        <v>#VALUE!</v>
      </c>
      <c r="FB16" t="e">
        <f>AND('Weigh-in'!BR7,"AAAAAH/f750=")</f>
        <v>#VALUE!</v>
      </c>
      <c r="FC16" t="e">
        <f>AND('Weigh-in'!BS7,"AAAAAH/f754=")</f>
        <v>#VALUE!</v>
      </c>
      <c r="FD16" t="e">
        <f>AND('Weigh-in'!BT7,"AAAAAH/f758=")</f>
        <v>#VALUE!</v>
      </c>
      <c r="FE16" t="e">
        <f>AND('Weigh-in'!BU7,"AAAAAH/f76A=")</f>
        <v>#VALUE!</v>
      </c>
      <c r="FF16" t="e">
        <f>AND('Weigh-in'!BV7,"AAAAAH/f76E=")</f>
        <v>#VALUE!</v>
      </c>
      <c r="FG16" t="e">
        <f>AND('Weigh-in'!BW7,"AAAAAH/f76I=")</f>
        <v>#VALUE!</v>
      </c>
      <c r="FH16" t="e">
        <f>AND('Weigh-in'!BX7,"AAAAAH/f76M=")</f>
        <v>#VALUE!</v>
      </c>
      <c r="FI16" t="e">
        <f>AND('Weigh-in'!BY7,"AAAAAH/f76Q=")</f>
        <v>#VALUE!</v>
      </c>
      <c r="FJ16" t="e">
        <f>AND('Weigh-in'!BZ7,"AAAAAH/f76U=")</f>
        <v>#VALUE!</v>
      </c>
      <c r="FK16" t="e">
        <f>AND('Weigh-in'!CA7,"AAAAAH/f76Y=")</f>
        <v>#VALUE!</v>
      </c>
      <c r="FL16" t="e">
        <f>AND('Weigh-in'!CB7,"AAAAAH/f76c=")</f>
        <v>#VALUE!</v>
      </c>
      <c r="FM16" t="e">
        <f>AND('Weigh-in'!CC7,"AAAAAH/f76g=")</f>
        <v>#VALUE!</v>
      </c>
      <c r="FN16" t="e">
        <f>AND('Weigh-in'!CD7,"AAAAAH/f76k=")</f>
        <v>#VALUE!</v>
      </c>
      <c r="FO16" t="e">
        <f>AND('Weigh-in'!CE7,"AAAAAH/f76o=")</f>
        <v>#VALUE!</v>
      </c>
      <c r="FP16" t="e">
        <f>AND('Weigh-in'!CF7,"AAAAAH/f76s=")</f>
        <v>#VALUE!</v>
      </c>
      <c r="FQ16" t="e">
        <f>AND('Weigh-in'!CG7,"AAAAAH/f76w=")</f>
        <v>#VALUE!</v>
      </c>
      <c r="FR16" t="e">
        <f>AND('Weigh-in'!CH7,"AAAAAH/f760=")</f>
        <v>#VALUE!</v>
      </c>
      <c r="FS16" t="e">
        <f>AND('Weigh-in'!CI7,"AAAAAH/f764=")</f>
        <v>#VALUE!</v>
      </c>
      <c r="FT16" t="e">
        <f>AND('Weigh-in'!CJ7,"AAAAAH/f768=")</f>
        <v>#VALUE!</v>
      </c>
      <c r="FU16" t="e">
        <f>AND('Weigh-in'!CK7,"AAAAAH/f77A=")</f>
        <v>#VALUE!</v>
      </c>
      <c r="FV16" t="e">
        <f>AND('Weigh-in'!CL7,"AAAAAH/f77E=")</f>
        <v>#VALUE!</v>
      </c>
      <c r="FW16" t="e">
        <f>AND('Weigh-in'!CM7,"AAAAAH/f77I=")</f>
        <v>#VALUE!</v>
      </c>
      <c r="FX16" t="e">
        <f>AND('Weigh-in'!CN7,"AAAAAH/f77M=")</f>
        <v>#VALUE!</v>
      </c>
      <c r="FY16" t="e">
        <f>AND('Weigh-in'!CO7,"AAAAAH/f77Q=")</f>
        <v>#VALUE!</v>
      </c>
      <c r="FZ16" t="e">
        <f>AND('Weigh-in'!CP7,"AAAAAH/f77U=")</f>
        <v>#VALUE!</v>
      </c>
      <c r="GA16" t="e">
        <f>AND('Weigh-in'!CQ7,"AAAAAH/f77Y=")</f>
        <v>#VALUE!</v>
      </c>
      <c r="GB16" t="e">
        <f>AND('Weigh-in'!CR7,"AAAAAH/f77c=")</f>
        <v>#VALUE!</v>
      </c>
      <c r="GC16" t="e">
        <f>AND('Weigh-in'!CS7,"AAAAAH/f77g=")</f>
        <v>#VALUE!</v>
      </c>
      <c r="GD16" t="e">
        <f>AND('Weigh-in'!CT7,"AAAAAH/f77k=")</f>
        <v>#VALUE!</v>
      </c>
      <c r="GE16" t="e">
        <f>AND('Weigh-in'!CU7,"AAAAAH/f77o=")</f>
        <v>#VALUE!</v>
      </c>
      <c r="GF16" t="e">
        <f>AND('Weigh-in'!CV7,"AAAAAH/f77s=")</f>
        <v>#VALUE!</v>
      </c>
      <c r="GG16" t="e">
        <f>AND('Weigh-in'!CW7,"AAAAAH/f77w=")</f>
        <v>#VALUE!</v>
      </c>
      <c r="GH16" t="e">
        <f>AND('Weigh-in'!CX7,"AAAAAH/f770=")</f>
        <v>#VALUE!</v>
      </c>
      <c r="GI16" t="e">
        <f>AND('Weigh-in'!CY7,"AAAAAH/f774=")</f>
        <v>#VALUE!</v>
      </c>
      <c r="GJ16">
        <f>IF('Weigh-in'!8:8,"AAAAAH/f778=",0)</f>
        <v>0</v>
      </c>
      <c r="GK16" t="e">
        <f>AND('Weigh-in'!A8,"AAAAAH/f78A=")</f>
        <v>#VALUE!</v>
      </c>
      <c r="GL16" t="e">
        <f>AND('Weigh-in'!B8,"AAAAAH/f78E=")</f>
        <v>#VALUE!</v>
      </c>
      <c r="GM16" t="e">
        <f>AND('Weigh-in'!C8,"AAAAAH/f78I=")</f>
        <v>#VALUE!</v>
      </c>
      <c r="GN16" t="e">
        <f>AND('Weigh-in'!D8,"AAAAAH/f78M=")</f>
        <v>#VALUE!</v>
      </c>
      <c r="GO16" t="e">
        <f>AND('Weigh-in'!#REF!,"AAAAAH/f78Q=")</f>
        <v>#REF!</v>
      </c>
      <c r="GP16" t="e">
        <f>AND('Weigh-in'!F8,"AAAAAH/f78U=")</f>
        <v>#VALUE!</v>
      </c>
      <c r="GQ16" t="e">
        <f>AND('Weigh-in'!G8,"AAAAAH/f78Y=")</f>
        <v>#VALUE!</v>
      </c>
      <c r="GR16" t="e">
        <f>AND('Weigh-in'!H8,"AAAAAH/f78c=")</f>
        <v>#VALUE!</v>
      </c>
      <c r="GS16" t="e">
        <f>AND('Weigh-in'!I8,"AAAAAH/f78g=")</f>
        <v>#VALUE!</v>
      </c>
      <c r="GT16" t="e">
        <f>AND('Weigh-in'!E8,"AAAAAH/f78k=")</f>
        <v>#VALUE!</v>
      </c>
      <c r="GU16" t="e">
        <f>AND('Weigh-in'!K8,"AAAAAH/f78o=")</f>
        <v>#VALUE!</v>
      </c>
      <c r="GV16" t="e">
        <f>AND('Weigh-in'!L8,"AAAAAH/f78s=")</f>
        <v>#VALUE!</v>
      </c>
      <c r="GW16" t="e">
        <f>AND('Weigh-in'!M8,"AAAAAH/f78w=")</f>
        <v>#VALUE!</v>
      </c>
      <c r="GX16" t="e">
        <f>AND('Weigh-in'!N8,"AAAAAH/f780=")</f>
        <v>#VALUE!</v>
      </c>
      <c r="GY16" t="e">
        <f>AND('Weigh-in'!O8,"AAAAAH/f784=")</f>
        <v>#VALUE!</v>
      </c>
      <c r="GZ16" t="e">
        <f>AND('Weigh-in'!P8,"AAAAAH/f788=")</f>
        <v>#VALUE!</v>
      </c>
      <c r="HA16" t="e">
        <f>AND('Weigh-in'!Q8,"AAAAAH/f79A=")</f>
        <v>#VALUE!</v>
      </c>
      <c r="HB16" t="e">
        <f>AND('Weigh-in'!R8,"AAAAAH/f79E=")</f>
        <v>#VALUE!</v>
      </c>
      <c r="HC16" t="e">
        <f>AND('Weigh-in'!S8,"AAAAAH/f79I=")</f>
        <v>#VALUE!</v>
      </c>
      <c r="HD16" t="e">
        <f>AND('Weigh-in'!T8,"AAAAAH/f79M=")</f>
        <v>#VALUE!</v>
      </c>
      <c r="HE16" t="e">
        <f>AND('Weigh-in'!U8,"AAAAAH/f79Q=")</f>
        <v>#VALUE!</v>
      </c>
      <c r="HF16" t="e">
        <f>AND('Weigh-in'!V8,"AAAAAH/f79U=")</f>
        <v>#VALUE!</v>
      </c>
      <c r="HG16" t="e">
        <f>AND('Weigh-in'!W8,"AAAAAH/f79Y=")</f>
        <v>#VALUE!</v>
      </c>
      <c r="HH16" t="e">
        <f>AND('Weigh-in'!X8,"AAAAAH/f79c=")</f>
        <v>#VALUE!</v>
      </c>
      <c r="HI16" t="e">
        <f>AND('Weigh-in'!Y8,"AAAAAH/f79g=")</f>
        <v>#VALUE!</v>
      </c>
      <c r="HJ16" t="e">
        <f>AND('Weigh-in'!Z8,"AAAAAH/f79k=")</f>
        <v>#VALUE!</v>
      </c>
      <c r="HK16" t="e">
        <f>AND('Weigh-in'!AA8,"AAAAAH/f79o=")</f>
        <v>#VALUE!</v>
      </c>
      <c r="HL16" t="e">
        <f>AND('Weigh-in'!AB8,"AAAAAH/f79s=")</f>
        <v>#VALUE!</v>
      </c>
      <c r="HM16" t="e">
        <f>AND('Weigh-in'!AC8,"AAAAAH/f79w=")</f>
        <v>#VALUE!</v>
      </c>
      <c r="HN16" t="e">
        <f>AND('Weigh-in'!AD8,"AAAAAH/f790=")</f>
        <v>#VALUE!</v>
      </c>
      <c r="HO16" t="e">
        <f>AND('Weigh-in'!AE8,"AAAAAH/f794=")</f>
        <v>#VALUE!</v>
      </c>
      <c r="HP16" t="e">
        <f>AND('Weigh-in'!AF8,"AAAAAH/f798=")</f>
        <v>#VALUE!</v>
      </c>
      <c r="HQ16" t="e">
        <f>AND('Weigh-in'!AG8,"AAAAAH/f7+A=")</f>
        <v>#VALUE!</v>
      </c>
      <c r="HR16" t="e">
        <f>AND('Weigh-in'!AH8,"AAAAAH/f7+E=")</f>
        <v>#VALUE!</v>
      </c>
      <c r="HS16" t="e">
        <f>AND('Weigh-in'!AI8,"AAAAAH/f7+I=")</f>
        <v>#VALUE!</v>
      </c>
      <c r="HT16" t="e">
        <f>AND('Weigh-in'!AJ8,"AAAAAH/f7+M=")</f>
        <v>#VALUE!</v>
      </c>
      <c r="HU16" t="e">
        <f>AND('Weigh-in'!AK8,"AAAAAH/f7+Q=")</f>
        <v>#VALUE!</v>
      </c>
      <c r="HV16" t="e">
        <f>AND('Weigh-in'!AL8,"AAAAAH/f7+U=")</f>
        <v>#VALUE!</v>
      </c>
      <c r="HW16" t="e">
        <f>AND('Weigh-in'!AM8,"AAAAAH/f7+Y=")</f>
        <v>#VALUE!</v>
      </c>
      <c r="HX16" t="e">
        <f>AND('Weigh-in'!AN8,"AAAAAH/f7+c=")</f>
        <v>#VALUE!</v>
      </c>
      <c r="HY16" t="e">
        <f>AND('Weigh-in'!AO8,"AAAAAH/f7+g=")</f>
        <v>#VALUE!</v>
      </c>
      <c r="HZ16" t="e">
        <f>AND('Weigh-in'!AP8,"AAAAAH/f7+k=")</f>
        <v>#VALUE!</v>
      </c>
      <c r="IA16" t="e">
        <f>AND('Weigh-in'!AQ8,"AAAAAH/f7+o=")</f>
        <v>#VALUE!</v>
      </c>
      <c r="IB16" t="e">
        <f>AND('Weigh-in'!AR8,"AAAAAH/f7+s=")</f>
        <v>#VALUE!</v>
      </c>
      <c r="IC16" t="e">
        <f>AND('Weigh-in'!AS8,"AAAAAH/f7+w=")</f>
        <v>#VALUE!</v>
      </c>
      <c r="ID16" t="e">
        <f>AND('Weigh-in'!AT8,"AAAAAH/f7+0=")</f>
        <v>#VALUE!</v>
      </c>
      <c r="IE16" t="e">
        <f>AND('Weigh-in'!AU8,"AAAAAH/f7+4=")</f>
        <v>#VALUE!</v>
      </c>
      <c r="IF16" t="e">
        <f>AND('Weigh-in'!AV8,"AAAAAH/f7+8=")</f>
        <v>#VALUE!</v>
      </c>
      <c r="IG16" t="e">
        <f>AND('Weigh-in'!AW8,"AAAAAH/f7/A=")</f>
        <v>#VALUE!</v>
      </c>
      <c r="IH16" t="e">
        <f>AND('Weigh-in'!AX8,"AAAAAH/f7/E=")</f>
        <v>#VALUE!</v>
      </c>
      <c r="II16" t="e">
        <f>AND('Weigh-in'!AY8,"AAAAAH/f7/I=")</f>
        <v>#VALUE!</v>
      </c>
      <c r="IJ16" t="e">
        <f>AND('Weigh-in'!AZ8,"AAAAAH/f7/M=")</f>
        <v>#VALUE!</v>
      </c>
      <c r="IK16" t="e">
        <f>AND('Weigh-in'!BA8,"AAAAAH/f7/Q=")</f>
        <v>#VALUE!</v>
      </c>
      <c r="IL16" t="e">
        <f>AND('Weigh-in'!BB8,"AAAAAH/f7/U=")</f>
        <v>#VALUE!</v>
      </c>
      <c r="IM16" t="e">
        <f>AND('Weigh-in'!BC8,"AAAAAH/f7/Y=")</f>
        <v>#VALUE!</v>
      </c>
      <c r="IN16" t="e">
        <f>AND('Weigh-in'!BD8,"AAAAAH/f7/c=")</f>
        <v>#VALUE!</v>
      </c>
      <c r="IO16" t="e">
        <f>AND('Weigh-in'!BE8,"AAAAAH/f7/g=")</f>
        <v>#VALUE!</v>
      </c>
      <c r="IP16" t="e">
        <f>AND('Weigh-in'!BF8,"AAAAAH/f7/k=")</f>
        <v>#VALUE!</v>
      </c>
      <c r="IQ16" t="e">
        <f>AND('Weigh-in'!BG8,"AAAAAH/f7/o=")</f>
        <v>#VALUE!</v>
      </c>
      <c r="IR16" t="e">
        <f>AND('Weigh-in'!BH8,"AAAAAH/f7/s=")</f>
        <v>#VALUE!</v>
      </c>
      <c r="IS16" t="e">
        <f>AND('Weigh-in'!BI8,"AAAAAH/f7/w=")</f>
        <v>#VALUE!</v>
      </c>
      <c r="IT16" t="e">
        <f>AND('Weigh-in'!BJ8,"AAAAAH/f7/0=")</f>
        <v>#VALUE!</v>
      </c>
      <c r="IU16" t="e">
        <f>AND('Weigh-in'!BK8,"AAAAAH/f7/4=")</f>
        <v>#VALUE!</v>
      </c>
      <c r="IV16" t="e">
        <f>AND('Weigh-in'!BL8,"AAAAAH/f7/8=")</f>
        <v>#VALUE!</v>
      </c>
    </row>
    <row r="17" spans="1:256">
      <c r="A17" t="e">
        <f>AND('Weigh-in'!BM8,"AAAAAHsu/wA=")</f>
        <v>#VALUE!</v>
      </c>
      <c r="B17" t="e">
        <f>AND('Weigh-in'!BN8,"AAAAAHsu/wE=")</f>
        <v>#VALUE!</v>
      </c>
      <c r="C17" t="e">
        <f>AND('Weigh-in'!BO8,"AAAAAHsu/wI=")</f>
        <v>#VALUE!</v>
      </c>
      <c r="D17" t="e">
        <f>AND('Weigh-in'!BP8,"AAAAAHsu/wM=")</f>
        <v>#VALUE!</v>
      </c>
      <c r="E17" t="e">
        <f>AND('Weigh-in'!BQ8,"AAAAAHsu/wQ=")</f>
        <v>#VALUE!</v>
      </c>
      <c r="F17" t="e">
        <f>AND('Weigh-in'!BR8,"AAAAAHsu/wU=")</f>
        <v>#VALUE!</v>
      </c>
      <c r="G17" t="e">
        <f>AND('Weigh-in'!BS8,"AAAAAHsu/wY=")</f>
        <v>#VALUE!</v>
      </c>
      <c r="H17" t="e">
        <f>AND('Weigh-in'!BT8,"AAAAAHsu/wc=")</f>
        <v>#VALUE!</v>
      </c>
      <c r="I17" t="e">
        <f>AND('Weigh-in'!BU8,"AAAAAHsu/wg=")</f>
        <v>#VALUE!</v>
      </c>
      <c r="J17" t="e">
        <f>AND('Weigh-in'!BV8,"AAAAAHsu/wk=")</f>
        <v>#VALUE!</v>
      </c>
      <c r="K17" t="e">
        <f>AND('Weigh-in'!BW8,"AAAAAHsu/wo=")</f>
        <v>#VALUE!</v>
      </c>
      <c r="L17" t="e">
        <f>AND('Weigh-in'!BX8,"AAAAAHsu/ws=")</f>
        <v>#VALUE!</v>
      </c>
      <c r="M17" t="e">
        <f>AND('Weigh-in'!BY8,"AAAAAHsu/ww=")</f>
        <v>#VALUE!</v>
      </c>
      <c r="N17" t="e">
        <f>AND('Weigh-in'!BZ8,"AAAAAHsu/w0=")</f>
        <v>#VALUE!</v>
      </c>
      <c r="O17" t="e">
        <f>AND('Weigh-in'!CA8,"AAAAAHsu/w4=")</f>
        <v>#VALUE!</v>
      </c>
      <c r="P17" t="e">
        <f>AND('Weigh-in'!CB8,"AAAAAHsu/w8=")</f>
        <v>#VALUE!</v>
      </c>
      <c r="Q17" t="e">
        <f>AND('Weigh-in'!CC8,"AAAAAHsu/xA=")</f>
        <v>#VALUE!</v>
      </c>
      <c r="R17" t="e">
        <f>AND('Weigh-in'!CD8,"AAAAAHsu/xE=")</f>
        <v>#VALUE!</v>
      </c>
      <c r="S17" t="e">
        <f>AND('Weigh-in'!CE8,"AAAAAHsu/xI=")</f>
        <v>#VALUE!</v>
      </c>
      <c r="T17" t="e">
        <f>AND('Weigh-in'!CF8,"AAAAAHsu/xM=")</f>
        <v>#VALUE!</v>
      </c>
      <c r="U17" t="e">
        <f>AND('Weigh-in'!CG8,"AAAAAHsu/xQ=")</f>
        <v>#VALUE!</v>
      </c>
      <c r="V17" t="e">
        <f>AND('Weigh-in'!CH8,"AAAAAHsu/xU=")</f>
        <v>#VALUE!</v>
      </c>
      <c r="W17" t="e">
        <f>AND('Weigh-in'!CI8,"AAAAAHsu/xY=")</f>
        <v>#VALUE!</v>
      </c>
      <c r="X17" t="e">
        <f>AND('Weigh-in'!CJ8,"AAAAAHsu/xc=")</f>
        <v>#VALUE!</v>
      </c>
      <c r="Y17" t="e">
        <f>AND('Weigh-in'!CK8,"AAAAAHsu/xg=")</f>
        <v>#VALUE!</v>
      </c>
      <c r="Z17" t="e">
        <f>AND('Weigh-in'!CL8,"AAAAAHsu/xk=")</f>
        <v>#VALUE!</v>
      </c>
      <c r="AA17" t="e">
        <f>AND('Weigh-in'!CM8,"AAAAAHsu/xo=")</f>
        <v>#VALUE!</v>
      </c>
      <c r="AB17" t="e">
        <f>AND('Weigh-in'!CN8,"AAAAAHsu/xs=")</f>
        <v>#VALUE!</v>
      </c>
      <c r="AC17" t="e">
        <f>AND('Weigh-in'!CO8,"AAAAAHsu/xw=")</f>
        <v>#VALUE!</v>
      </c>
      <c r="AD17" t="e">
        <f>AND('Weigh-in'!CP8,"AAAAAHsu/x0=")</f>
        <v>#VALUE!</v>
      </c>
      <c r="AE17" t="e">
        <f>AND('Weigh-in'!CQ8,"AAAAAHsu/x4=")</f>
        <v>#VALUE!</v>
      </c>
      <c r="AF17" t="e">
        <f>AND('Weigh-in'!CR8,"AAAAAHsu/x8=")</f>
        <v>#VALUE!</v>
      </c>
      <c r="AG17" t="e">
        <f>AND('Weigh-in'!CS8,"AAAAAHsu/yA=")</f>
        <v>#VALUE!</v>
      </c>
      <c r="AH17" t="e">
        <f>AND('Weigh-in'!CT8,"AAAAAHsu/yE=")</f>
        <v>#VALUE!</v>
      </c>
      <c r="AI17" t="e">
        <f>AND('Weigh-in'!CU8,"AAAAAHsu/yI=")</f>
        <v>#VALUE!</v>
      </c>
      <c r="AJ17" t="e">
        <f>AND('Weigh-in'!CV8,"AAAAAHsu/yM=")</f>
        <v>#VALUE!</v>
      </c>
      <c r="AK17" t="e">
        <f>AND('Weigh-in'!CW8,"AAAAAHsu/yQ=")</f>
        <v>#VALUE!</v>
      </c>
      <c r="AL17" t="e">
        <f>AND('Weigh-in'!CX8,"AAAAAHsu/yU=")</f>
        <v>#VALUE!</v>
      </c>
      <c r="AM17" t="e">
        <f>AND('Weigh-in'!CY8,"AAAAAHsu/yY=")</f>
        <v>#VALUE!</v>
      </c>
      <c r="AN17">
        <f>IF('Weigh-in'!9:9,"AAAAAHsu/yc=",0)</f>
        <v>0</v>
      </c>
      <c r="AO17" t="e">
        <f>AND('Weigh-in'!A9,"AAAAAHsu/yg=")</f>
        <v>#VALUE!</v>
      </c>
      <c r="AP17" t="e">
        <f>AND('Weigh-in'!B9,"AAAAAHsu/yk=")</f>
        <v>#VALUE!</v>
      </c>
      <c r="AQ17" t="e">
        <f>AND('Weigh-in'!C9,"AAAAAHsu/yo=")</f>
        <v>#VALUE!</v>
      </c>
      <c r="AR17" t="e">
        <f>AND('Weigh-in'!D9,"AAAAAHsu/ys=")</f>
        <v>#VALUE!</v>
      </c>
      <c r="AS17" t="e">
        <f>AND('Weigh-in'!#REF!,"AAAAAHsu/yw=")</f>
        <v>#REF!</v>
      </c>
      <c r="AT17" t="e">
        <f>AND('Weigh-in'!F9,"AAAAAHsu/y0=")</f>
        <v>#VALUE!</v>
      </c>
      <c r="AU17" t="e">
        <f>AND('Weigh-in'!G9,"AAAAAHsu/y4=")</f>
        <v>#VALUE!</v>
      </c>
      <c r="AV17" t="e">
        <f>AND('Weigh-in'!H9,"AAAAAHsu/y8=")</f>
        <v>#VALUE!</v>
      </c>
      <c r="AW17" t="e">
        <f>AND('Weigh-in'!I9,"AAAAAHsu/zA=")</f>
        <v>#VALUE!</v>
      </c>
      <c r="AX17" t="e">
        <f>AND('Weigh-in'!E9,"AAAAAHsu/zE=")</f>
        <v>#VALUE!</v>
      </c>
      <c r="AY17" t="e">
        <f>AND('Weigh-in'!K9,"AAAAAHsu/zI=")</f>
        <v>#VALUE!</v>
      </c>
      <c r="AZ17" t="e">
        <f>AND('Weigh-in'!L9,"AAAAAHsu/zM=")</f>
        <v>#VALUE!</v>
      </c>
      <c r="BA17" t="e">
        <f>AND('Weigh-in'!M9,"AAAAAHsu/zQ=")</f>
        <v>#VALUE!</v>
      </c>
      <c r="BB17" t="e">
        <f>AND('Weigh-in'!N9,"AAAAAHsu/zU=")</f>
        <v>#VALUE!</v>
      </c>
      <c r="BC17" t="e">
        <f>AND('Weigh-in'!O9,"AAAAAHsu/zY=")</f>
        <v>#VALUE!</v>
      </c>
      <c r="BD17" t="e">
        <f>AND('Weigh-in'!P9,"AAAAAHsu/zc=")</f>
        <v>#VALUE!</v>
      </c>
      <c r="BE17" t="e">
        <f>AND('Weigh-in'!Q9,"AAAAAHsu/zg=")</f>
        <v>#VALUE!</v>
      </c>
      <c r="BF17" t="e">
        <f>AND('Weigh-in'!R9,"AAAAAHsu/zk=")</f>
        <v>#VALUE!</v>
      </c>
      <c r="BG17" t="e">
        <f>AND('Weigh-in'!S9,"AAAAAHsu/zo=")</f>
        <v>#VALUE!</v>
      </c>
      <c r="BH17" t="e">
        <f>AND('Weigh-in'!T9,"AAAAAHsu/zs=")</f>
        <v>#VALUE!</v>
      </c>
      <c r="BI17" t="e">
        <f>AND('Weigh-in'!U9,"AAAAAHsu/zw=")</f>
        <v>#VALUE!</v>
      </c>
      <c r="BJ17" t="e">
        <f>AND('Weigh-in'!V9,"AAAAAHsu/z0=")</f>
        <v>#VALUE!</v>
      </c>
      <c r="BK17" t="e">
        <f>AND('Weigh-in'!W9,"AAAAAHsu/z4=")</f>
        <v>#VALUE!</v>
      </c>
      <c r="BL17" t="e">
        <f>AND('Weigh-in'!X9,"AAAAAHsu/z8=")</f>
        <v>#VALUE!</v>
      </c>
      <c r="BM17" t="e">
        <f>AND('Weigh-in'!Y9,"AAAAAHsu/0A=")</f>
        <v>#VALUE!</v>
      </c>
      <c r="BN17" t="e">
        <f>AND('Weigh-in'!Z9,"AAAAAHsu/0E=")</f>
        <v>#VALUE!</v>
      </c>
      <c r="BO17" t="e">
        <f>AND('Weigh-in'!AA9,"AAAAAHsu/0I=")</f>
        <v>#VALUE!</v>
      </c>
      <c r="BP17" t="e">
        <f>AND('Weigh-in'!AB9,"AAAAAHsu/0M=")</f>
        <v>#VALUE!</v>
      </c>
      <c r="BQ17" t="e">
        <f>AND('Weigh-in'!AC9,"AAAAAHsu/0Q=")</f>
        <v>#VALUE!</v>
      </c>
      <c r="BR17" t="e">
        <f>AND('Weigh-in'!AD9,"AAAAAHsu/0U=")</f>
        <v>#VALUE!</v>
      </c>
      <c r="BS17" t="e">
        <f>AND('Weigh-in'!AE9,"AAAAAHsu/0Y=")</f>
        <v>#VALUE!</v>
      </c>
      <c r="BT17" t="e">
        <f>AND('Weigh-in'!AF9,"AAAAAHsu/0c=")</f>
        <v>#VALUE!</v>
      </c>
      <c r="BU17" t="e">
        <f>AND('Weigh-in'!AG9,"AAAAAHsu/0g=")</f>
        <v>#VALUE!</v>
      </c>
      <c r="BV17" t="e">
        <f>AND('Weigh-in'!AH9,"AAAAAHsu/0k=")</f>
        <v>#VALUE!</v>
      </c>
      <c r="BW17" t="e">
        <f>AND('Weigh-in'!AI9,"AAAAAHsu/0o=")</f>
        <v>#VALUE!</v>
      </c>
      <c r="BX17" t="e">
        <f>AND('Weigh-in'!AJ9,"AAAAAHsu/0s=")</f>
        <v>#VALUE!</v>
      </c>
      <c r="BY17" t="e">
        <f>AND('Weigh-in'!AK9,"AAAAAHsu/0w=")</f>
        <v>#VALUE!</v>
      </c>
      <c r="BZ17" t="e">
        <f>AND('Weigh-in'!AL9,"AAAAAHsu/00=")</f>
        <v>#VALUE!</v>
      </c>
      <c r="CA17" t="e">
        <f>AND('Weigh-in'!AM9,"AAAAAHsu/04=")</f>
        <v>#VALUE!</v>
      </c>
      <c r="CB17" t="e">
        <f>AND('Weigh-in'!AN9,"AAAAAHsu/08=")</f>
        <v>#VALUE!</v>
      </c>
      <c r="CC17" t="e">
        <f>AND('Weigh-in'!AO9,"AAAAAHsu/1A=")</f>
        <v>#VALUE!</v>
      </c>
      <c r="CD17" t="e">
        <f>AND('Weigh-in'!AP9,"AAAAAHsu/1E=")</f>
        <v>#VALUE!</v>
      </c>
      <c r="CE17" t="e">
        <f>AND('Weigh-in'!AQ9,"AAAAAHsu/1I=")</f>
        <v>#VALUE!</v>
      </c>
      <c r="CF17" t="e">
        <f>AND('Weigh-in'!AR9,"AAAAAHsu/1M=")</f>
        <v>#VALUE!</v>
      </c>
      <c r="CG17" t="e">
        <f>AND('Weigh-in'!AS9,"AAAAAHsu/1Q=")</f>
        <v>#VALUE!</v>
      </c>
      <c r="CH17" t="e">
        <f>AND('Weigh-in'!AT9,"AAAAAHsu/1U=")</f>
        <v>#VALUE!</v>
      </c>
      <c r="CI17" t="e">
        <f>AND('Weigh-in'!AU9,"AAAAAHsu/1Y=")</f>
        <v>#VALUE!</v>
      </c>
      <c r="CJ17" t="e">
        <f>AND('Weigh-in'!AV9,"AAAAAHsu/1c=")</f>
        <v>#VALUE!</v>
      </c>
      <c r="CK17" t="e">
        <f>AND('Weigh-in'!AW9,"AAAAAHsu/1g=")</f>
        <v>#VALUE!</v>
      </c>
      <c r="CL17" t="e">
        <f>AND('Weigh-in'!AX9,"AAAAAHsu/1k=")</f>
        <v>#VALUE!</v>
      </c>
      <c r="CM17" t="e">
        <f>AND('Weigh-in'!AY9,"AAAAAHsu/1o=")</f>
        <v>#VALUE!</v>
      </c>
      <c r="CN17" t="e">
        <f>AND('Weigh-in'!AZ9,"AAAAAHsu/1s=")</f>
        <v>#VALUE!</v>
      </c>
      <c r="CO17" t="e">
        <f>AND('Weigh-in'!BA9,"AAAAAHsu/1w=")</f>
        <v>#VALUE!</v>
      </c>
      <c r="CP17" t="e">
        <f>AND('Weigh-in'!BB9,"AAAAAHsu/10=")</f>
        <v>#VALUE!</v>
      </c>
      <c r="CQ17" t="e">
        <f>AND('Weigh-in'!BC9,"AAAAAHsu/14=")</f>
        <v>#VALUE!</v>
      </c>
      <c r="CR17" t="e">
        <f>AND('Weigh-in'!BD9,"AAAAAHsu/18=")</f>
        <v>#VALUE!</v>
      </c>
      <c r="CS17" t="e">
        <f>AND('Weigh-in'!BE9,"AAAAAHsu/2A=")</f>
        <v>#VALUE!</v>
      </c>
      <c r="CT17" t="e">
        <f>AND('Weigh-in'!BF9,"AAAAAHsu/2E=")</f>
        <v>#VALUE!</v>
      </c>
      <c r="CU17" t="e">
        <f>AND('Weigh-in'!BG9,"AAAAAHsu/2I=")</f>
        <v>#VALUE!</v>
      </c>
      <c r="CV17" t="e">
        <f>AND('Weigh-in'!BH9,"AAAAAHsu/2M=")</f>
        <v>#VALUE!</v>
      </c>
      <c r="CW17" t="e">
        <f>AND('Weigh-in'!BI9,"AAAAAHsu/2Q=")</f>
        <v>#VALUE!</v>
      </c>
      <c r="CX17" t="e">
        <f>AND('Weigh-in'!BJ9,"AAAAAHsu/2U=")</f>
        <v>#VALUE!</v>
      </c>
      <c r="CY17" t="e">
        <f>AND('Weigh-in'!BK9,"AAAAAHsu/2Y=")</f>
        <v>#VALUE!</v>
      </c>
      <c r="CZ17" t="e">
        <f>AND('Weigh-in'!BL9,"AAAAAHsu/2c=")</f>
        <v>#VALUE!</v>
      </c>
      <c r="DA17" t="e">
        <f>AND('Weigh-in'!BM9,"AAAAAHsu/2g=")</f>
        <v>#VALUE!</v>
      </c>
      <c r="DB17" t="e">
        <f>AND('Weigh-in'!BN9,"AAAAAHsu/2k=")</f>
        <v>#VALUE!</v>
      </c>
      <c r="DC17" t="e">
        <f>AND('Weigh-in'!BO9,"AAAAAHsu/2o=")</f>
        <v>#VALUE!</v>
      </c>
      <c r="DD17" t="e">
        <f>AND('Weigh-in'!BP9,"AAAAAHsu/2s=")</f>
        <v>#VALUE!</v>
      </c>
      <c r="DE17" t="e">
        <f>AND('Weigh-in'!BQ9,"AAAAAHsu/2w=")</f>
        <v>#VALUE!</v>
      </c>
      <c r="DF17" t="e">
        <f>AND('Weigh-in'!BR9,"AAAAAHsu/20=")</f>
        <v>#VALUE!</v>
      </c>
      <c r="DG17" t="e">
        <f>AND('Weigh-in'!BS9,"AAAAAHsu/24=")</f>
        <v>#VALUE!</v>
      </c>
      <c r="DH17" t="e">
        <f>AND('Weigh-in'!BT9,"AAAAAHsu/28=")</f>
        <v>#VALUE!</v>
      </c>
      <c r="DI17" t="e">
        <f>AND('Weigh-in'!BU9,"AAAAAHsu/3A=")</f>
        <v>#VALUE!</v>
      </c>
      <c r="DJ17" t="e">
        <f>AND('Weigh-in'!BV9,"AAAAAHsu/3E=")</f>
        <v>#VALUE!</v>
      </c>
      <c r="DK17" t="e">
        <f>AND('Weigh-in'!BW9,"AAAAAHsu/3I=")</f>
        <v>#VALUE!</v>
      </c>
      <c r="DL17" t="e">
        <f>AND('Weigh-in'!BX9,"AAAAAHsu/3M=")</f>
        <v>#VALUE!</v>
      </c>
      <c r="DM17" t="e">
        <f>AND('Weigh-in'!BY9,"AAAAAHsu/3Q=")</f>
        <v>#VALUE!</v>
      </c>
      <c r="DN17" t="e">
        <f>AND('Weigh-in'!BZ9,"AAAAAHsu/3U=")</f>
        <v>#VALUE!</v>
      </c>
      <c r="DO17" t="e">
        <f>AND('Weigh-in'!CA9,"AAAAAHsu/3Y=")</f>
        <v>#VALUE!</v>
      </c>
      <c r="DP17" t="e">
        <f>AND('Weigh-in'!CB9,"AAAAAHsu/3c=")</f>
        <v>#VALUE!</v>
      </c>
      <c r="DQ17" t="e">
        <f>AND('Weigh-in'!CC9,"AAAAAHsu/3g=")</f>
        <v>#VALUE!</v>
      </c>
      <c r="DR17" t="e">
        <f>AND('Weigh-in'!CD9,"AAAAAHsu/3k=")</f>
        <v>#VALUE!</v>
      </c>
      <c r="DS17" t="e">
        <f>AND('Weigh-in'!CE9,"AAAAAHsu/3o=")</f>
        <v>#VALUE!</v>
      </c>
      <c r="DT17" t="e">
        <f>AND('Weigh-in'!CF9,"AAAAAHsu/3s=")</f>
        <v>#VALUE!</v>
      </c>
      <c r="DU17" t="e">
        <f>AND('Weigh-in'!CG9,"AAAAAHsu/3w=")</f>
        <v>#VALUE!</v>
      </c>
      <c r="DV17" t="e">
        <f>AND('Weigh-in'!CH9,"AAAAAHsu/30=")</f>
        <v>#VALUE!</v>
      </c>
      <c r="DW17" t="e">
        <f>AND('Weigh-in'!CI9,"AAAAAHsu/34=")</f>
        <v>#VALUE!</v>
      </c>
      <c r="DX17" t="e">
        <f>AND('Weigh-in'!CJ9,"AAAAAHsu/38=")</f>
        <v>#VALUE!</v>
      </c>
      <c r="DY17" t="e">
        <f>AND('Weigh-in'!CK9,"AAAAAHsu/4A=")</f>
        <v>#VALUE!</v>
      </c>
      <c r="DZ17" t="e">
        <f>AND('Weigh-in'!CL9,"AAAAAHsu/4E=")</f>
        <v>#VALUE!</v>
      </c>
      <c r="EA17" t="e">
        <f>AND('Weigh-in'!CM9,"AAAAAHsu/4I=")</f>
        <v>#VALUE!</v>
      </c>
      <c r="EB17" t="e">
        <f>AND('Weigh-in'!CN9,"AAAAAHsu/4M=")</f>
        <v>#VALUE!</v>
      </c>
      <c r="EC17" t="e">
        <f>AND('Weigh-in'!CO9,"AAAAAHsu/4Q=")</f>
        <v>#VALUE!</v>
      </c>
      <c r="ED17" t="e">
        <f>AND('Weigh-in'!CP9,"AAAAAHsu/4U=")</f>
        <v>#VALUE!</v>
      </c>
      <c r="EE17" t="e">
        <f>AND('Weigh-in'!CQ9,"AAAAAHsu/4Y=")</f>
        <v>#VALUE!</v>
      </c>
      <c r="EF17" t="e">
        <f>AND('Weigh-in'!CR9,"AAAAAHsu/4c=")</f>
        <v>#VALUE!</v>
      </c>
      <c r="EG17" t="e">
        <f>AND('Weigh-in'!CS9,"AAAAAHsu/4g=")</f>
        <v>#VALUE!</v>
      </c>
      <c r="EH17" t="e">
        <f>AND('Weigh-in'!CT9,"AAAAAHsu/4k=")</f>
        <v>#VALUE!</v>
      </c>
      <c r="EI17" t="e">
        <f>AND('Weigh-in'!CU9,"AAAAAHsu/4o=")</f>
        <v>#VALUE!</v>
      </c>
      <c r="EJ17" t="e">
        <f>AND('Weigh-in'!CV9,"AAAAAHsu/4s=")</f>
        <v>#VALUE!</v>
      </c>
      <c r="EK17" t="e">
        <f>AND('Weigh-in'!CW9,"AAAAAHsu/4w=")</f>
        <v>#VALUE!</v>
      </c>
      <c r="EL17" t="e">
        <f>AND('Weigh-in'!CX9,"AAAAAHsu/40=")</f>
        <v>#VALUE!</v>
      </c>
      <c r="EM17" t="e">
        <f>AND('Weigh-in'!CY9,"AAAAAHsu/44=")</f>
        <v>#VALUE!</v>
      </c>
      <c r="EN17">
        <f>IF('Weigh-in'!10:10,"AAAAAHsu/48=",0)</f>
        <v>0</v>
      </c>
      <c r="EO17" t="e">
        <f>AND('Weigh-in'!A10,"AAAAAHsu/5A=")</f>
        <v>#VALUE!</v>
      </c>
      <c r="EP17" t="e">
        <f>AND('Weigh-in'!B10,"AAAAAHsu/5E=")</f>
        <v>#VALUE!</v>
      </c>
      <c r="EQ17" t="e">
        <f>AND('Weigh-in'!C10,"AAAAAHsu/5I=")</f>
        <v>#VALUE!</v>
      </c>
      <c r="ER17" t="e">
        <f>AND('Weigh-in'!D10,"AAAAAHsu/5M=")</f>
        <v>#VALUE!</v>
      </c>
      <c r="ES17" t="e">
        <f>AND('Weigh-in'!#REF!,"AAAAAHsu/5Q=")</f>
        <v>#REF!</v>
      </c>
      <c r="ET17" t="e">
        <f>AND('Weigh-in'!F10,"AAAAAHsu/5U=")</f>
        <v>#VALUE!</v>
      </c>
      <c r="EU17" t="e">
        <f>AND('Weigh-in'!G10,"AAAAAHsu/5Y=")</f>
        <v>#VALUE!</v>
      </c>
      <c r="EV17" t="e">
        <f>AND('Weigh-in'!H10,"AAAAAHsu/5c=")</f>
        <v>#VALUE!</v>
      </c>
      <c r="EW17" t="e">
        <f>AND('Weigh-in'!I10,"AAAAAHsu/5g=")</f>
        <v>#VALUE!</v>
      </c>
      <c r="EX17" t="e">
        <f>AND('Weigh-in'!E10,"AAAAAHsu/5k=")</f>
        <v>#VALUE!</v>
      </c>
      <c r="EY17" t="e">
        <f>AND('Weigh-in'!K10,"AAAAAHsu/5o=")</f>
        <v>#VALUE!</v>
      </c>
      <c r="EZ17" t="e">
        <f>AND('Weigh-in'!L10,"AAAAAHsu/5s=")</f>
        <v>#VALUE!</v>
      </c>
      <c r="FA17" t="e">
        <f>AND('Weigh-in'!M10,"AAAAAHsu/5w=")</f>
        <v>#VALUE!</v>
      </c>
      <c r="FB17" t="e">
        <f>AND('Weigh-in'!N10,"AAAAAHsu/50=")</f>
        <v>#VALUE!</v>
      </c>
      <c r="FC17" t="e">
        <f>AND('Weigh-in'!O10,"AAAAAHsu/54=")</f>
        <v>#VALUE!</v>
      </c>
      <c r="FD17" t="e">
        <f>AND('Weigh-in'!P10,"AAAAAHsu/58=")</f>
        <v>#VALUE!</v>
      </c>
      <c r="FE17" t="e">
        <f>AND('Weigh-in'!Q10,"AAAAAHsu/6A=")</f>
        <v>#VALUE!</v>
      </c>
      <c r="FF17" t="e">
        <f>AND('Weigh-in'!R10,"AAAAAHsu/6E=")</f>
        <v>#VALUE!</v>
      </c>
      <c r="FG17" t="e">
        <f>AND('Weigh-in'!S10,"AAAAAHsu/6I=")</f>
        <v>#VALUE!</v>
      </c>
      <c r="FH17" t="e">
        <f>AND('Weigh-in'!T10,"AAAAAHsu/6M=")</f>
        <v>#VALUE!</v>
      </c>
      <c r="FI17" t="e">
        <f>AND('Weigh-in'!U10,"AAAAAHsu/6Q=")</f>
        <v>#VALUE!</v>
      </c>
      <c r="FJ17" t="e">
        <f>AND('Weigh-in'!V10,"AAAAAHsu/6U=")</f>
        <v>#VALUE!</v>
      </c>
      <c r="FK17" t="e">
        <f>AND('Weigh-in'!W10,"AAAAAHsu/6Y=")</f>
        <v>#VALUE!</v>
      </c>
      <c r="FL17" t="e">
        <f>AND('Weigh-in'!X10,"AAAAAHsu/6c=")</f>
        <v>#VALUE!</v>
      </c>
      <c r="FM17" t="e">
        <f>AND('Weigh-in'!Y10,"AAAAAHsu/6g=")</f>
        <v>#VALUE!</v>
      </c>
      <c r="FN17" t="e">
        <f>AND('Weigh-in'!Z10,"AAAAAHsu/6k=")</f>
        <v>#VALUE!</v>
      </c>
      <c r="FO17" t="e">
        <f>AND('Weigh-in'!AA10,"AAAAAHsu/6o=")</f>
        <v>#VALUE!</v>
      </c>
      <c r="FP17" t="e">
        <f>AND('Weigh-in'!AB10,"AAAAAHsu/6s=")</f>
        <v>#VALUE!</v>
      </c>
      <c r="FQ17" t="e">
        <f>AND('Weigh-in'!AC10,"AAAAAHsu/6w=")</f>
        <v>#VALUE!</v>
      </c>
      <c r="FR17" t="e">
        <f>AND('Weigh-in'!AD10,"AAAAAHsu/60=")</f>
        <v>#VALUE!</v>
      </c>
      <c r="FS17" t="e">
        <f>AND('Weigh-in'!AE10,"AAAAAHsu/64=")</f>
        <v>#VALUE!</v>
      </c>
      <c r="FT17" t="e">
        <f>AND('Weigh-in'!AF10,"AAAAAHsu/68=")</f>
        <v>#VALUE!</v>
      </c>
      <c r="FU17" t="e">
        <f>AND('Weigh-in'!AG10,"AAAAAHsu/7A=")</f>
        <v>#VALUE!</v>
      </c>
      <c r="FV17" t="e">
        <f>AND('Weigh-in'!AH10,"AAAAAHsu/7E=")</f>
        <v>#VALUE!</v>
      </c>
      <c r="FW17" t="e">
        <f>AND('Weigh-in'!AI10,"AAAAAHsu/7I=")</f>
        <v>#VALUE!</v>
      </c>
      <c r="FX17" t="e">
        <f>AND('Weigh-in'!AJ10,"AAAAAHsu/7M=")</f>
        <v>#VALUE!</v>
      </c>
      <c r="FY17" t="e">
        <f>AND('Weigh-in'!AK10,"AAAAAHsu/7Q=")</f>
        <v>#VALUE!</v>
      </c>
      <c r="FZ17" t="e">
        <f>AND('Weigh-in'!AL10,"AAAAAHsu/7U=")</f>
        <v>#VALUE!</v>
      </c>
      <c r="GA17" t="e">
        <f>AND('Weigh-in'!AM10,"AAAAAHsu/7Y=")</f>
        <v>#VALUE!</v>
      </c>
      <c r="GB17" t="e">
        <f>AND('Weigh-in'!AN10,"AAAAAHsu/7c=")</f>
        <v>#VALUE!</v>
      </c>
      <c r="GC17" t="e">
        <f>AND('Weigh-in'!AO10,"AAAAAHsu/7g=")</f>
        <v>#VALUE!</v>
      </c>
      <c r="GD17" t="e">
        <f>AND('Weigh-in'!AP10,"AAAAAHsu/7k=")</f>
        <v>#VALUE!</v>
      </c>
      <c r="GE17" t="e">
        <f>AND('Weigh-in'!AQ10,"AAAAAHsu/7o=")</f>
        <v>#VALUE!</v>
      </c>
      <c r="GF17" t="e">
        <f>AND('Weigh-in'!AR10,"AAAAAHsu/7s=")</f>
        <v>#VALUE!</v>
      </c>
      <c r="GG17" t="e">
        <f>AND('Weigh-in'!AS10,"AAAAAHsu/7w=")</f>
        <v>#VALUE!</v>
      </c>
      <c r="GH17" t="e">
        <f>AND('Weigh-in'!AT10,"AAAAAHsu/70=")</f>
        <v>#VALUE!</v>
      </c>
      <c r="GI17" t="e">
        <f>AND('Weigh-in'!AU10,"AAAAAHsu/74=")</f>
        <v>#VALUE!</v>
      </c>
      <c r="GJ17" t="e">
        <f>AND('Weigh-in'!AV10,"AAAAAHsu/78=")</f>
        <v>#VALUE!</v>
      </c>
      <c r="GK17" t="e">
        <f>AND('Weigh-in'!AW10,"AAAAAHsu/8A=")</f>
        <v>#VALUE!</v>
      </c>
      <c r="GL17" t="e">
        <f>AND('Weigh-in'!AX10,"AAAAAHsu/8E=")</f>
        <v>#VALUE!</v>
      </c>
      <c r="GM17" t="e">
        <f>AND('Weigh-in'!AY10,"AAAAAHsu/8I=")</f>
        <v>#VALUE!</v>
      </c>
      <c r="GN17" t="e">
        <f>AND('Weigh-in'!AZ10,"AAAAAHsu/8M=")</f>
        <v>#VALUE!</v>
      </c>
      <c r="GO17" t="e">
        <f>AND('Weigh-in'!BA10,"AAAAAHsu/8Q=")</f>
        <v>#VALUE!</v>
      </c>
      <c r="GP17" t="e">
        <f>AND('Weigh-in'!BB10,"AAAAAHsu/8U=")</f>
        <v>#VALUE!</v>
      </c>
      <c r="GQ17" t="e">
        <f>AND('Weigh-in'!BC10,"AAAAAHsu/8Y=")</f>
        <v>#VALUE!</v>
      </c>
      <c r="GR17" t="e">
        <f>AND('Weigh-in'!BD10,"AAAAAHsu/8c=")</f>
        <v>#VALUE!</v>
      </c>
      <c r="GS17" t="e">
        <f>AND('Weigh-in'!BE10,"AAAAAHsu/8g=")</f>
        <v>#VALUE!</v>
      </c>
      <c r="GT17" t="e">
        <f>AND('Weigh-in'!BF10,"AAAAAHsu/8k=")</f>
        <v>#VALUE!</v>
      </c>
      <c r="GU17" t="e">
        <f>AND('Weigh-in'!BG10,"AAAAAHsu/8o=")</f>
        <v>#VALUE!</v>
      </c>
      <c r="GV17" t="e">
        <f>AND('Weigh-in'!BH10,"AAAAAHsu/8s=")</f>
        <v>#VALUE!</v>
      </c>
      <c r="GW17" t="e">
        <f>AND('Weigh-in'!BI10,"AAAAAHsu/8w=")</f>
        <v>#VALUE!</v>
      </c>
      <c r="GX17" t="e">
        <f>AND('Weigh-in'!BJ10,"AAAAAHsu/80=")</f>
        <v>#VALUE!</v>
      </c>
      <c r="GY17" t="e">
        <f>AND('Weigh-in'!BK10,"AAAAAHsu/84=")</f>
        <v>#VALUE!</v>
      </c>
      <c r="GZ17" t="e">
        <f>AND('Weigh-in'!BL10,"AAAAAHsu/88=")</f>
        <v>#VALUE!</v>
      </c>
      <c r="HA17" t="e">
        <f>AND('Weigh-in'!BM10,"AAAAAHsu/9A=")</f>
        <v>#VALUE!</v>
      </c>
      <c r="HB17" t="e">
        <f>AND('Weigh-in'!BN10,"AAAAAHsu/9E=")</f>
        <v>#VALUE!</v>
      </c>
      <c r="HC17" t="e">
        <f>AND('Weigh-in'!BO10,"AAAAAHsu/9I=")</f>
        <v>#VALUE!</v>
      </c>
      <c r="HD17" t="e">
        <f>AND('Weigh-in'!BP10,"AAAAAHsu/9M=")</f>
        <v>#VALUE!</v>
      </c>
      <c r="HE17" t="e">
        <f>AND('Weigh-in'!BQ10,"AAAAAHsu/9Q=")</f>
        <v>#VALUE!</v>
      </c>
      <c r="HF17" t="e">
        <f>AND('Weigh-in'!BR10,"AAAAAHsu/9U=")</f>
        <v>#VALUE!</v>
      </c>
      <c r="HG17" t="e">
        <f>AND('Weigh-in'!BS10,"AAAAAHsu/9Y=")</f>
        <v>#VALUE!</v>
      </c>
      <c r="HH17" t="e">
        <f>AND('Weigh-in'!BT10,"AAAAAHsu/9c=")</f>
        <v>#VALUE!</v>
      </c>
      <c r="HI17" t="e">
        <f>AND('Weigh-in'!BU10,"AAAAAHsu/9g=")</f>
        <v>#VALUE!</v>
      </c>
      <c r="HJ17" t="e">
        <f>AND('Weigh-in'!BV10,"AAAAAHsu/9k=")</f>
        <v>#VALUE!</v>
      </c>
      <c r="HK17" t="e">
        <f>AND('Weigh-in'!BW10,"AAAAAHsu/9o=")</f>
        <v>#VALUE!</v>
      </c>
      <c r="HL17" t="e">
        <f>AND('Weigh-in'!BX10,"AAAAAHsu/9s=")</f>
        <v>#VALUE!</v>
      </c>
      <c r="HM17" t="e">
        <f>AND('Weigh-in'!BY10,"AAAAAHsu/9w=")</f>
        <v>#VALUE!</v>
      </c>
      <c r="HN17" t="e">
        <f>AND('Weigh-in'!BZ10,"AAAAAHsu/90=")</f>
        <v>#VALUE!</v>
      </c>
      <c r="HO17" t="e">
        <f>AND('Weigh-in'!CA10,"AAAAAHsu/94=")</f>
        <v>#VALUE!</v>
      </c>
      <c r="HP17" t="e">
        <f>AND('Weigh-in'!CB10,"AAAAAHsu/98=")</f>
        <v>#VALUE!</v>
      </c>
      <c r="HQ17" t="e">
        <f>AND('Weigh-in'!CC10,"AAAAAHsu/+A=")</f>
        <v>#VALUE!</v>
      </c>
      <c r="HR17" t="e">
        <f>AND('Weigh-in'!CD10,"AAAAAHsu/+E=")</f>
        <v>#VALUE!</v>
      </c>
      <c r="HS17" t="e">
        <f>AND('Weigh-in'!CE10,"AAAAAHsu/+I=")</f>
        <v>#VALUE!</v>
      </c>
      <c r="HT17" t="e">
        <f>AND('Weigh-in'!CF10,"AAAAAHsu/+M=")</f>
        <v>#VALUE!</v>
      </c>
      <c r="HU17" t="e">
        <f>AND('Weigh-in'!CG10,"AAAAAHsu/+Q=")</f>
        <v>#VALUE!</v>
      </c>
      <c r="HV17" t="e">
        <f>AND('Weigh-in'!CH10,"AAAAAHsu/+U=")</f>
        <v>#VALUE!</v>
      </c>
      <c r="HW17" t="e">
        <f>AND('Weigh-in'!CI10,"AAAAAHsu/+Y=")</f>
        <v>#VALUE!</v>
      </c>
      <c r="HX17" t="e">
        <f>AND('Weigh-in'!CJ10,"AAAAAHsu/+c=")</f>
        <v>#VALUE!</v>
      </c>
      <c r="HY17" t="e">
        <f>AND('Weigh-in'!CK10,"AAAAAHsu/+g=")</f>
        <v>#VALUE!</v>
      </c>
      <c r="HZ17" t="e">
        <f>AND('Weigh-in'!CL10,"AAAAAHsu/+k=")</f>
        <v>#VALUE!</v>
      </c>
      <c r="IA17" t="e">
        <f>AND('Weigh-in'!CM10,"AAAAAHsu/+o=")</f>
        <v>#VALUE!</v>
      </c>
      <c r="IB17" t="e">
        <f>AND('Weigh-in'!CN10,"AAAAAHsu/+s=")</f>
        <v>#VALUE!</v>
      </c>
      <c r="IC17" t="e">
        <f>AND('Weigh-in'!CO10,"AAAAAHsu/+w=")</f>
        <v>#VALUE!</v>
      </c>
      <c r="ID17" t="e">
        <f>AND('Weigh-in'!CP10,"AAAAAHsu/+0=")</f>
        <v>#VALUE!</v>
      </c>
      <c r="IE17" t="e">
        <f>AND('Weigh-in'!CQ10,"AAAAAHsu/+4=")</f>
        <v>#VALUE!</v>
      </c>
      <c r="IF17" t="e">
        <f>AND('Weigh-in'!CR10,"AAAAAHsu/+8=")</f>
        <v>#VALUE!</v>
      </c>
      <c r="IG17" t="e">
        <f>AND('Weigh-in'!CS10,"AAAAAHsu//A=")</f>
        <v>#VALUE!</v>
      </c>
      <c r="IH17" t="e">
        <f>AND('Weigh-in'!CT10,"AAAAAHsu//E=")</f>
        <v>#VALUE!</v>
      </c>
      <c r="II17" t="e">
        <f>AND('Weigh-in'!CU10,"AAAAAHsu//I=")</f>
        <v>#VALUE!</v>
      </c>
      <c r="IJ17" t="e">
        <f>AND('Weigh-in'!CV10,"AAAAAHsu//M=")</f>
        <v>#VALUE!</v>
      </c>
      <c r="IK17" t="e">
        <f>AND('Weigh-in'!CW10,"AAAAAHsu//Q=")</f>
        <v>#VALUE!</v>
      </c>
      <c r="IL17" t="e">
        <f>AND('Weigh-in'!CX10,"AAAAAHsu//U=")</f>
        <v>#VALUE!</v>
      </c>
      <c r="IM17" t="e">
        <f>AND('Weigh-in'!CY10,"AAAAAHsu//Y=")</f>
        <v>#VALUE!</v>
      </c>
      <c r="IN17">
        <f>IF('Weigh-in'!11:11,"AAAAAHsu//c=",0)</f>
        <v>0</v>
      </c>
      <c r="IO17" t="e">
        <f>AND('Weigh-in'!A11,"AAAAAHsu//g=")</f>
        <v>#VALUE!</v>
      </c>
      <c r="IP17" t="e">
        <f>AND('Weigh-in'!B11,"AAAAAHsu//k=")</f>
        <v>#VALUE!</v>
      </c>
      <c r="IQ17" t="e">
        <f>AND('Weigh-in'!C11,"AAAAAHsu//o=")</f>
        <v>#VALUE!</v>
      </c>
      <c r="IR17" t="e">
        <f>AND('Weigh-in'!D11,"AAAAAHsu//s=")</f>
        <v>#VALUE!</v>
      </c>
      <c r="IS17" t="e">
        <f>AND('Weigh-in'!#REF!,"AAAAAHsu//w=")</f>
        <v>#REF!</v>
      </c>
      <c r="IT17" t="e">
        <f>AND('Weigh-in'!F11,"AAAAAHsu//0=")</f>
        <v>#VALUE!</v>
      </c>
      <c r="IU17" t="e">
        <f>AND('Weigh-in'!G11,"AAAAAHsu//4=")</f>
        <v>#VALUE!</v>
      </c>
      <c r="IV17" t="e">
        <f>AND('Weigh-in'!H11,"AAAAAHsu//8=")</f>
        <v>#VALUE!</v>
      </c>
    </row>
    <row r="18" spans="1:256">
      <c r="A18" t="e">
        <f>AND('Weigh-in'!I11,"AAAAAB/t9wA=")</f>
        <v>#VALUE!</v>
      </c>
      <c r="B18" t="e">
        <f>AND('Weigh-in'!E11,"AAAAAB/t9wE=")</f>
        <v>#VALUE!</v>
      </c>
      <c r="C18" t="e">
        <f>AND('Weigh-in'!K11,"AAAAAB/t9wI=")</f>
        <v>#VALUE!</v>
      </c>
      <c r="D18" t="e">
        <f>AND('Weigh-in'!L11,"AAAAAB/t9wM=")</f>
        <v>#VALUE!</v>
      </c>
      <c r="E18" t="e">
        <f>AND('Weigh-in'!M11,"AAAAAB/t9wQ=")</f>
        <v>#VALUE!</v>
      </c>
      <c r="F18" t="e">
        <f>AND('Weigh-in'!N11,"AAAAAB/t9wU=")</f>
        <v>#VALUE!</v>
      </c>
      <c r="G18" t="e">
        <f>AND('Weigh-in'!O11,"AAAAAB/t9wY=")</f>
        <v>#VALUE!</v>
      </c>
      <c r="H18" t="e">
        <f>AND('Weigh-in'!P11,"AAAAAB/t9wc=")</f>
        <v>#VALUE!</v>
      </c>
      <c r="I18" t="e">
        <f>AND('Weigh-in'!Q11,"AAAAAB/t9wg=")</f>
        <v>#VALUE!</v>
      </c>
      <c r="J18" t="e">
        <f>AND('Weigh-in'!R11,"AAAAAB/t9wk=")</f>
        <v>#VALUE!</v>
      </c>
      <c r="K18" t="e">
        <f>AND('Weigh-in'!S11,"AAAAAB/t9wo=")</f>
        <v>#VALUE!</v>
      </c>
      <c r="L18" t="e">
        <f>AND('Weigh-in'!T11,"AAAAAB/t9ws=")</f>
        <v>#VALUE!</v>
      </c>
      <c r="M18" t="e">
        <f>AND('Weigh-in'!U11,"AAAAAB/t9ww=")</f>
        <v>#VALUE!</v>
      </c>
      <c r="N18" t="e">
        <f>AND('Weigh-in'!V11,"AAAAAB/t9w0=")</f>
        <v>#VALUE!</v>
      </c>
      <c r="O18" t="e">
        <f>AND('Weigh-in'!W11,"AAAAAB/t9w4=")</f>
        <v>#VALUE!</v>
      </c>
      <c r="P18" t="e">
        <f>AND('Weigh-in'!X11,"AAAAAB/t9w8=")</f>
        <v>#VALUE!</v>
      </c>
      <c r="Q18" t="e">
        <f>AND('Weigh-in'!Y11,"AAAAAB/t9xA=")</f>
        <v>#VALUE!</v>
      </c>
      <c r="R18" t="e">
        <f>AND('Weigh-in'!Z11,"AAAAAB/t9xE=")</f>
        <v>#VALUE!</v>
      </c>
      <c r="S18" t="e">
        <f>AND('Weigh-in'!AA11,"AAAAAB/t9xI=")</f>
        <v>#VALUE!</v>
      </c>
      <c r="T18" t="e">
        <f>AND('Weigh-in'!AB11,"AAAAAB/t9xM=")</f>
        <v>#VALUE!</v>
      </c>
      <c r="U18" t="e">
        <f>AND('Weigh-in'!AC11,"AAAAAB/t9xQ=")</f>
        <v>#VALUE!</v>
      </c>
      <c r="V18" t="e">
        <f>AND('Weigh-in'!AD11,"AAAAAB/t9xU=")</f>
        <v>#VALUE!</v>
      </c>
      <c r="W18" t="e">
        <f>AND('Weigh-in'!AE11,"AAAAAB/t9xY=")</f>
        <v>#VALUE!</v>
      </c>
      <c r="X18" t="e">
        <f>AND('Weigh-in'!AF11,"AAAAAB/t9xc=")</f>
        <v>#VALUE!</v>
      </c>
      <c r="Y18" t="e">
        <f>AND('Weigh-in'!AG11,"AAAAAB/t9xg=")</f>
        <v>#VALUE!</v>
      </c>
      <c r="Z18" t="e">
        <f>AND('Weigh-in'!AH11,"AAAAAB/t9xk=")</f>
        <v>#VALUE!</v>
      </c>
      <c r="AA18" t="e">
        <f>AND('Weigh-in'!AI11,"AAAAAB/t9xo=")</f>
        <v>#VALUE!</v>
      </c>
      <c r="AB18" t="e">
        <f>AND('Weigh-in'!AJ11,"AAAAAB/t9xs=")</f>
        <v>#VALUE!</v>
      </c>
      <c r="AC18" t="e">
        <f>AND('Weigh-in'!AK11,"AAAAAB/t9xw=")</f>
        <v>#VALUE!</v>
      </c>
      <c r="AD18" t="e">
        <f>AND('Weigh-in'!AL11,"AAAAAB/t9x0=")</f>
        <v>#VALUE!</v>
      </c>
      <c r="AE18" t="e">
        <f>AND('Weigh-in'!AM11,"AAAAAB/t9x4=")</f>
        <v>#VALUE!</v>
      </c>
      <c r="AF18" t="e">
        <f>AND('Weigh-in'!AN11,"AAAAAB/t9x8=")</f>
        <v>#VALUE!</v>
      </c>
      <c r="AG18" t="e">
        <f>AND('Weigh-in'!AO11,"AAAAAB/t9yA=")</f>
        <v>#VALUE!</v>
      </c>
      <c r="AH18" t="e">
        <f>AND('Weigh-in'!AP11,"AAAAAB/t9yE=")</f>
        <v>#VALUE!</v>
      </c>
      <c r="AI18" t="e">
        <f>AND('Weigh-in'!AQ11,"AAAAAB/t9yI=")</f>
        <v>#VALUE!</v>
      </c>
      <c r="AJ18" t="e">
        <f>AND('Weigh-in'!AR11,"AAAAAB/t9yM=")</f>
        <v>#VALUE!</v>
      </c>
      <c r="AK18" t="e">
        <f>AND('Weigh-in'!AS11,"AAAAAB/t9yQ=")</f>
        <v>#VALUE!</v>
      </c>
      <c r="AL18" t="e">
        <f>AND('Weigh-in'!AT11,"AAAAAB/t9yU=")</f>
        <v>#VALUE!</v>
      </c>
      <c r="AM18" t="e">
        <f>AND('Weigh-in'!AU11,"AAAAAB/t9yY=")</f>
        <v>#VALUE!</v>
      </c>
      <c r="AN18" t="e">
        <f>AND('Weigh-in'!AV11,"AAAAAB/t9yc=")</f>
        <v>#VALUE!</v>
      </c>
      <c r="AO18" t="e">
        <f>AND('Weigh-in'!AW11,"AAAAAB/t9yg=")</f>
        <v>#VALUE!</v>
      </c>
      <c r="AP18" t="e">
        <f>AND('Weigh-in'!AX11,"AAAAAB/t9yk=")</f>
        <v>#VALUE!</v>
      </c>
      <c r="AQ18" t="e">
        <f>AND('Weigh-in'!AY11,"AAAAAB/t9yo=")</f>
        <v>#VALUE!</v>
      </c>
      <c r="AR18" t="e">
        <f>AND('Weigh-in'!AZ11,"AAAAAB/t9ys=")</f>
        <v>#VALUE!</v>
      </c>
      <c r="AS18" t="e">
        <f>AND('Weigh-in'!BA11,"AAAAAB/t9yw=")</f>
        <v>#VALUE!</v>
      </c>
      <c r="AT18" t="e">
        <f>AND('Weigh-in'!BB11,"AAAAAB/t9y0=")</f>
        <v>#VALUE!</v>
      </c>
      <c r="AU18" t="e">
        <f>AND('Weigh-in'!BC11,"AAAAAB/t9y4=")</f>
        <v>#VALUE!</v>
      </c>
      <c r="AV18" t="e">
        <f>AND('Weigh-in'!BD11,"AAAAAB/t9y8=")</f>
        <v>#VALUE!</v>
      </c>
      <c r="AW18" t="e">
        <f>AND('Weigh-in'!BE11,"AAAAAB/t9zA=")</f>
        <v>#VALUE!</v>
      </c>
      <c r="AX18" t="e">
        <f>AND('Weigh-in'!BF11,"AAAAAB/t9zE=")</f>
        <v>#VALUE!</v>
      </c>
      <c r="AY18" t="e">
        <f>AND('Weigh-in'!BG11,"AAAAAB/t9zI=")</f>
        <v>#VALUE!</v>
      </c>
      <c r="AZ18" t="e">
        <f>AND('Weigh-in'!BH11,"AAAAAB/t9zM=")</f>
        <v>#VALUE!</v>
      </c>
      <c r="BA18" t="e">
        <f>AND('Weigh-in'!BI11,"AAAAAB/t9zQ=")</f>
        <v>#VALUE!</v>
      </c>
      <c r="BB18" t="e">
        <f>AND('Weigh-in'!BJ11,"AAAAAB/t9zU=")</f>
        <v>#VALUE!</v>
      </c>
      <c r="BC18" t="e">
        <f>AND('Weigh-in'!BK11,"AAAAAB/t9zY=")</f>
        <v>#VALUE!</v>
      </c>
      <c r="BD18" t="e">
        <f>AND('Weigh-in'!BL11,"AAAAAB/t9zc=")</f>
        <v>#VALUE!</v>
      </c>
      <c r="BE18" t="e">
        <f>AND('Weigh-in'!BM11,"AAAAAB/t9zg=")</f>
        <v>#VALUE!</v>
      </c>
      <c r="BF18" t="e">
        <f>AND('Weigh-in'!BN11,"AAAAAB/t9zk=")</f>
        <v>#VALUE!</v>
      </c>
      <c r="BG18" t="e">
        <f>AND('Weigh-in'!BO11,"AAAAAB/t9zo=")</f>
        <v>#VALUE!</v>
      </c>
      <c r="BH18" t="e">
        <f>AND('Weigh-in'!BP11,"AAAAAB/t9zs=")</f>
        <v>#VALUE!</v>
      </c>
      <c r="BI18" t="e">
        <f>AND('Weigh-in'!BQ11,"AAAAAB/t9zw=")</f>
        <v>#VALUE!</v>
      </c>
      <c r="BJ18" t="e">
        <f>AND('Weigh-in'!BR11,"AAAAAB/t9z0=")</f>
        <v>#VALUE!</v>
      </c>
      <c r="BK18" t="e">
        <f>AND('Weigh-in'!BS11,"AAAAAB/t9z4=")</f>
        <v>#VALUE!</v>
      </c>
      <c r="BL18" t="e">
        <f>AND('Weigh-in'!BT11,"AAAAAB/t9z8=")</f>
        <v>#VALUE!</v>
      </c>
      <c r="BM18" t="e">
        <f>AND('Weigh-in'!BU11,"AAAAAB/t90A=")</f>
        <v>#VALUE!</v>
      </c>
      <c r="BN18" t="e">
        <f>AND('Weigh-in'!BV11,"AAAAAB/t90E=")</f>
        <v>#VALUE!</v>
      </c>
      <c r="BO18" t="e">
        <f>AND('Weigh-in'!BW11,"AAAAAB/t90I=")</f>
        <v>#VALUE!</v>
      </c>
      <c r="BP18" t="e">
        <f>AND('Weigh-in'!BX11,"AAAAAB/t90M=")</f>
        <v>#VALUE!</v>
      </c>
      <c r="BQ18" t="e">
        <f>AND('Weigh-in'!BY11,"AAAAAB/t90Q=")</f>
        <v>#VALUE!</v>
      </c>
      <c r="BR18" t="e">
        <f>AND('Weigh-in'!BZ11,"AAAAAB/t90U=")</f>
        <v>#VALUE!</v>
      </c>
      <c r="BS18" t="e">
        <f>AND('Weigh-in'!CA11,"AAAAAB/t90Y=")</f>
        <v>#VALUE!</v>
      </c>
      <c r="BT18" t="e">
        <f>AND('Weigh-in'!CB11,"AAAAAB/t90c=")</f>
        <v>#VALUE!</v>
      </c>
      <c r="BU18" t="e">
        <f>AND('Weigh-in'!CC11,"AAAAAB/t90g=")</f>
        <v>#VALUE!</v>
      </c>
      <c r="BV18" t="e">
        <f>AND('Weigh-in'!CD11,"AAAAAB/t90k=")</f>
        <v>#VALUE!</v>
      </c>
      <c r="BW18" t="e">
        <f>AND('Weigh-in'!CE11,"AAAAAB/t90o=")</f>
        <v>#VALUE!</v>
      </c>
      <c r="BX18" t="e">
        <f>AND('Weigh-in'!CF11,"AAAAAB/t90s=")</f>
        <v>#VALUE!</v>
      </c>
      <c r="BY18" t="e">
        <f>AND('Weigh-in'!CG11,"AAAAAB/t90w=")</f>
        <v>#VALUE!</v>
      </c>
      <c r="BZ18" t="e">
        <f>AND('Weigh-in'!CH11,"AAAAAB/t900=")</f>
        <v>#VALUE!</v>
      </c>
      <c r="CA18" t="e">
        <f>AND('Weigh-in'!CI11,"AAAAAB/t904=")</f>
        <v>#VALUE!</v>
      </c>
      <c r="CB18" t="e">
        <f>AND('Weigh-in'!CJ11,"AAAAAB/t908=")</f>
        <v>#VALUE!</v>
      </c>
      <c r="CC18" t="e">
        <f>AND('Weigh-in'!CK11,"AAAAAB/t91A=")</f>
        <v>#VALUE!</v>
      </c>
      <c r="CD18" t="e">
        <f>AND('Weigh-in'!CL11,"AAAAAB/t91E=")</f>
        <v>#VALUE!</v>
      </c>
      <c r="CE18" t="e">
        <f>AND('Weigh-in'!CM11,"AAAAAB/t91I=")</f>
        <v>#VALUE!</v>
      </c>
      <c r="CF18" t="e">
        <f>AND('Weigh-in'!CN11,"AAAAAB/t91M=")</f>
        <v>#VALUE!</v>
      </c>
      <c r="CG18" t="e">
        <f>AND('Weigh-in'!CO11,"AAAAAB/t91Q=")</f>
        <v>#VALUE!</v>
      </c>
      <c r="CH18" t="e">
        <f>AND('Weigh-in'!CP11,"AAAAAB/t91U=")</f>
        <v>#VALUE!</v>
      </c>
      <c r="CI18" t="e">
        <f>AND('Weigh-in'!CQ11,"AAAAAB/t91Y=")</f>
        <v>#VALUE!</v>
      </c>
      <c r="CJ18" t="e">
        <f>AND('Weigh-in'!CR11,"AAAAAB/t91c=")</f>
        <v>#VALUE!</v>
      </c>
      <c r="CK18" t="e">
        <f>AND('Weigh-in'!CS11,"AAAAAB/t91g=")</f>
        <v>#VALUE!</v>
      </c>
      <c r="CL18" t="e">
        <f>AND('Weigh-in'!CT11,"AAAAAB/t91k=")</f>
        <v>#VALUE!</v>
      </c>
      <c r="CM18" t="e">
        <f>AND('Weigh-in'!CU11,"AAAAAB/t91o=")</f>
        <v>#VALUE!</v>
      </c>
      <c r="CN18" t="e">
        <f>AND('Weigh-in'!CV11,"AAAAAB/t91s=")</f>
        <v>#VALUE!</v>
      </c>
      <c r="CO18" t="e">
        <f>AND('Weigh-in'!CW11,"AAAAAB/t91w=")</f>
        <v>#VALUE!</v>
      </c>
      <c r="CP18" t="e">
        <f>AND('Weigh-in'!CX11,"AAAAAB/t910=")</f>
        <v>#VALUE!</v>
      </c>
      <c r="CQ18" t="e">
        <f>AND('Weigh-in'!CY11,"AAAAAB/t914=")</f>
        <v>#VALUE!</v>
      </c>
      <c r="CR18">
        <f>IF('Weigh-in'!12:12,"AAAAAB/t918=",0)</f>
        <v>0</v>
      </c>
      <c r="CS18" t="e">
        <f>AND('Weigh-in'!A12,"AAAAAB/t92A=")</f>
        <v>#VALUE!</v>
      </c>
      <c r="CT18" t="e">
        <f>AND('Weigh-in'!B12,"AAAAAB/t92E=")</f>
        <v>#VALUE!</v>
      </c>
      <c r="CU18" t="e">
        <f>AND('Weigh-in'!C12,"AAAAAB/t92I=")</f>
        <v>#VALUE!</v>
      </c>
      <c r="CV18" t="e">
        <f>AND('Weigh-in'!D12,"AAAAAB/t92M=")</f>
        <v>#VALUE!</v>
      </c>
      <c r="CW18" t="e">
        <f>AND('Weigh-in'!#REF!,"AAAAAB/t92Q=")</f>
        <v>#REF!</v>
      </c>
      <c r="CX18" t="e">
        <f>AND('Weigh-in'!F12,"AAAAAB/t92U=")</f>
        <v>#VALUE!</v>
      </c>
      <c r="CY18" t="e">
        <f>AND('Weigh-in'!G12,"AAAAAB/t92Y=")</f>
        <v>#VALUE!</v>
      </c>
      <c r="CZ18" t="e">
        <f>AND('Weigh-in'!H12,"AAAAAB/t92c=")</f>
        <v>#VALUE!</v>
      </c>
      <c r="DA18" t="e">
        <f>AND('Weigh-in'!I12,"AAAAAB/t92g=")</f>
        <v>#VALUE!</v>
      </c>
      <c r="DB18" t="e">
        <f>AND('Weigh-in'!E12,"AAAAAB/t92k=")</f>
        <v>#VALUE!</v>
      </c>
      <c r="DC18" t="e">
        <f>AND('Weigh-in'!K12,"AAAAAB/t92o=")</f>
        <v>#VALUE!</v>
      </c>
      <c r="DD18" t="e">
        <f>AND('Weigh-in'!L12,"AAAAAB/t92s=")</f>
        <v>#VALUE!</v>
      </c>
      <c r="DE18" t="e">
        <f>AND('Weigh-in'!M12,"AAAAAB/t92w=")</f>
        <v>#VALUE!</v>
      </c>
      <c r="DF18" t="e">
        <f>AND('Weigh-in'!N12,"AAAAAB/t920=")</f>
        <v>#VALUE!</v>
      </c>
      <c r="DG18" t="e">
        <f>AND('Weigh-in'!O12,"AAAAAB/t924=")</f>
        <v>#VALUE!</v>
      </c>
      <c r="DH18" t="e">
        <f>AND('Weigh-in'!P12,"AAAAAB/t928=")</f>
        <v>#VALUE!</v>
      </c>
      <c r="DI18" t="e">
        <f>AND('Weigh-in'!Q12,"AAAAAB/t93A=")</f>
        <v>#VALUE!</v>
      </c>
      <c r="DJ18" t="e">
        <f>AND('Weigh-in'!R12,"AAAAAB/t93E=")</f>
        <v>#VALUE!</v>
      </c>
      <c r="DK18" t="e">
        <f>AND('Weigh-in'!S12,"AAAAAB/t93I=")</f>
        <v>#VALUE!</v>
      </c>
      <c r="DL18" t="e">
        <f>AND('Weigh-in'!T12,"AAAAAB/t93M=")</f>
        <v>#VALUE!</v>
      </c>
      <c r="DM18" t="e">
        <f>AND('Weigh-in'!U12,"AAAAAB/t93Q=")</f>
        <v>#VALUE!</v>
      </c>
      <c r="DN18" t="e">
        <f>AND('Weigh-in'!V12,"AAAAAB/t93U=")</f>
        <v>#VALUE!</v>
      </c>
      <c r="DO18" t="e">
        <f>AND('Weigh-in'!W12,"AAAAAB/t93Y=")</f>
        <v>#VALUE!</v>
      </c>
      <c r="DP18" t="e">
        <f>AND('Weigh-in'!X12,"AAAAAB/t93c=")</f>
        <v>#VALUE!</v>
      </c>
      <c r="DQ18" t="e">
        <f>AND('Weigh-in'!Y12,"AAAAAB/t93g=")</f>
        <v>#VALUE!</v>
      </c>
      <c r="DR18" t="e">
        <f>AND('Weigh-in'!Z12,"AAAAAB/t93k=")</f>
        <v>#VALUE!</v>
      </c>
      <c r="DS18" t="e">
        <f>AND('Weigh-in'!AA12,"AAAAAB/t93o=")</f>
        <v>#VALUE!</v>
      </c>
      <c r="DT18" t="e">
        <f>AND('Weigh-in'!AB12,"AAAAAB/t93s=")</f>
        <v>#VALUE!</v>
      </c>
      <c r="DU18" t="e">
        <f>AND('Weigh-in'!AC12,"AAAAAB/t93w=")</f>
        <v>#VALUE!</v>
      </c>
      <c r="DV18" t="e">
        <f>AND('Weigh-in'!AD12,"AAAAAB/t930=")</f>
        <v>#VALUE!</v>
      </c>
      <c r="DW18" t="e">
        <f>AND('Weigh-in'!AE12,"AAAAAB/t934=")</f>
        <v>#VALUE!</v>
      </c>
      <c r="DX18" t="e">
        <f>AND('Weigh-in'!AF12,"AAAAAB/t938=")</f>
        <v>#VALUE!</v>
      </c>
      <c r="DY18" t="e">
        <f>AND('Weigh-in'!AG12,"AAAAAB/t94A=")</f>
        <v>#VALUE!</v>
      </c>
      <c r="DZ18" t="e">
        <f>AND('Weigh-in'!AH12,"AAAAAB/t94E=")</f>
        <v>#VALUE!</v>
      </c>
      <c r="EA18" t="e">
        <f>AND('Weigh-in'!AI12,"AAAAAB/t94I=")</f>
        <v>#VALUE!</v>
      </c>
      <c r="EB18" t="e">
        <f>AND('Weigh-in'!AJ12,"AAAAAB/t94M=")</f>
        <v>#VALUE!</v>
      </c>
      <c r="EC18" t="e">
        <f>AND('Weigh-in'!AK12,"AAAAAB/t94Q=")</f>
        <v>#VALUE!</v>
      </c>
      <c r="ED18" t="e">
        <f>AND('Weigh-in'!AL12,"AAAAAB/t94U=")</f>
        <v>#VALUE!</v>
      </c>
      <c r="EE18" t="e">
        <f>AND('Weigh-in'!AM12,"AAAAAB/t94Y=")</f>
        <v>#VALUE!</v>
      </c>
      <c r="EF18" t="e">
        <f>AND('Weigh-in'!AN12,"AAAAAB/t94c=")</f>
        <v>#VALUE!</v>
      </c>
      <c r="EG18" t="e">
        <f>AND('Weigh-in'!AO12,"AAAAAB/t94g=")</f>
        <v>#VALUE!</v>
      </c>
      <c r="EH18" t="e">
        <f>AND('Weigh-in'!AP12,"AAAAAB/t94k=")</f>
        <v>#VALUE!</v>
      </c>
      <c r="EI18" t="e">
        <f>AND('Weigh-in'!AQ12,"AAAAAB/t94o=")</f>
        <v>#VALUE!</v>
      </c>
      <c r="EJ18" t="e">
        <f>AND('Weigh-in'!AR12,"AAAAAB/t94s=")</f>
        <v>#VALUE!</v>
      </c>
      <c r="EK18" t="e">
        <f>AND('Weigh-in'!AS12,"AAAAAB/t94w=")</f>
        <v>#VALUE!</v>
      </c>
      <c r="EL18" t="e">
        <f>AND('Weigh-in'!AT12,"AAAAAB/t940=")</f>
        <v>#VALUE!</v>
      </c>
      <c r="EM18" t="e">
        <f>AND('Weigh-in'!AU12,"AAAAAB/t944=")</f>
        <v>#VALUE!</v>
      </c>
      <c r="EN18" t="e">
        <f>AND('Weigh-in'!AV12,"AAAAAB/t948=")</f>
        <v>#VALUE!</v>
      </c>
      <c r="EO18" t="e">
        <f>AND('Weigh-in'!AW12,"AAAAAB/t95A=")</f>
        <v>#VALUE!</v>
      </c>
      <c r="EP18" t="e">
        <f>AND('Weigh-in'!AX12,"AAAAAB/t95E=")</f>
        <v>#VALUE!</v>
      </c>
      <c r="EQ18" t="e">
        <f>AND('Weigh-in'!AY12,"AAAAAB/t95I=")</f>
        <v>#VALUE!</v>
      </c>
      <c r="ER18" t="e">
        <f>AND('Weigh-in'!AZ12,"AAAAAB/t95M=")</f>
        <v>#VALUE!</v>
      </c>
      <c r="ES18" t="e">
        <f>AND('Weigh-in'!BA12,"AAAAAB/t95Q=")</f>
        <v>#VALUE!</v>
      </c>
      <c r="ET18" t="e">
        <f>AND('Weigh-in'!BB12,"AAAAAB/t95U=")</f>
        <v>#VALUE!</v>
      </c>
      <c r="EU18" t="e">
        <f>AND('Weigh-in'!BC12,"AAAAAB/t95Y=")</f>
        <v>#VALUE!</v>
      </c>
      <c r="EV18" t="e">
        <f>AND('Weigh-in'!BD12,"AAAAAB/t95c=")</f>
        <v>#VALUE!</v>
      </c>
      <c r="EW18" t="e">
        <f>AND('Weigh-in'!BE12,"AAAAAB/t95g=")</f>
        <v>#VALUE!</v>
      </c>
      <c r="EX18" t="e">
        <f>AND('Weigh-in'!BF12,"AAAAAB/t95k=")</f>
        <v>#VALUE!</v>
      </c>
      <c r="EY18" t="e">
        <f>AND('Weigh-in'!BG12,"AAAAAB/t95o=")</f>
        <v>#VALUE!</v>
      </c>
      <c r="EZ18" t="e">
        <f>AND('Weigh-in'!BH12,"AAAAAB/t95s=")</f>
        <v>#VALUE!</v>
      </c>
      <c r="FA18" t="e">
        <f>AND('Weigh-in'!BI12,"AAAAAB/t95w=")</f>
        <v>#VALUE!</v>
      </c>
      <c r="FB18" t="e">
        <f>AND('Weigh-in'!BJ12,"AAAAAB/t950=")</f>
        <v>#VALUE!</v>
      </c>
      <c r="FC18" t="e">
        <f>AND('Weigh-in'!BK12,"AAAAAB/t954=")</f>
        <v>#VALUE!</v>
      </c>
      <c r="FD18" t="e">
        <f>AND('Weigh-in'!BL12,"AAAAAB/t958=")</f>
        <v>#VALUE!</v>
      </c>
      <c r="FE18" t="e">
        <f>AND('Weigh-in'!BM12,"AAAAAB/t96A=")</f>
        <v>#VALUE!</v>
      </c>
      <c r="FF18" t="e">
        <f>AND('Weigh-in'!BN12,"AAAAAB/t96E=")</f>
        <v>#VALUE!</v>
      </c>
      <c r="FG18" t="e">
        <f>AND('Weigh-in'!BO12,"AAAAAB/t96I=")</f>
        <v>#VALUE!</v>
      </c>
      <c r="FH18" t="e">
        <f>AND('Weigh-in'!BP12,"AAAAAB/t96M=")</f>
        <v>#VALUE!</v>
      </c>
      <c r="FI18" t="e">
        <f>AND('Weigh-in'!BQ12,"AAAAAB/t96Q=")</f>
        <v>#VALUE!</v>
      </c>
      <c r="FJ18" t="e">
        <f>AND('Weigh-in'!BR12,"AAAAAB/t96U=")</f>
        <v>#VALUE!</v>
      </c>
      <c r="FK18" t="e">
        <f>AND('Weigh-in'!BS12,"AAAAAB/t96Y=")</f>
        <v>#VALUE!</v>
      </c>
      <c r="FL18" t="e">
        <f>AND('Weigh-in'!BT12,"AAAAAB/t96c=")</f>
        <v>#VALUE!</v>
      </c>
      <c r="FM18" t="e">
        <f>AND('Weigh-in'!BU12,"AAAAAB/t96g=")</f>
        <v>#VALUE!</v>
      </c>
      <c r="FN18" t="e">
        <f>AND('Weigh-in'!BV12,"AAAAAB/t96k=")</f>
        <v>#VALUE!</v>
      </c>
      <c r="FO18" t="e">
        <f>AND('Weigh-in'!BW12,"AAAAAB/t96o=")</f>
        <v>#VALUE!</v>
      </c>
      <c r="FP18" t="e">
        <f>AND('Weigh-in'!BX12,"AAAAAB/t96s=")</f>
        <v>#VALUE!</v>
      </c>
      <c r="FQ18" t="e">
        <f>AND('Weigh-in'!BY12,"AAAAAB/t96w=")</f>
        <v>#VALUE!</v>
      </c>
      <c r="FR18" t="e">
        <f>AND('Weigh-in'!BZ12,"AAAAAB/t960=")</f>
        <v>#VALUE!</v>
      </c>
      <c r="FS18" t="e">
        <f>AND('Weigh-in'!CA12,"AAAAAB/t964=")</f>
        <v>#VALUE!</v>
      </c>
      <c r="FT18" t="e">
        <f>AND('Weigh-in'!CB12,"AAAAAB/t968=")</f>
        <v>#VALUE!</v>
      </c>
      <c r="FU18" t="e">
        <f>AND('Weigh-in'!CC12,"AAAAAB/t97A=")</f>
        <v>#VALUE!</v>
      </c>
      <c r="FV18" t="e">
        <f>AND('Weigh-in'!CD12,"AAAAAB/t97E=")</f>
        <v>#VALUE!</v>
      </c>
      <c r="FW18" t="e">
        <f>AND('Weigh-in'!CE12,"AAAAAB/t97I=")</f>
        <v>#VALUE!</v>
      </c>
      <c r="FX18" t="e">
        <f>AND('Weigh-in'!CF12,"AAAAAB/t97M=")</f>
        <v>#VALUE!</v>
      </c>
      <c r="FY18" t="e">
        <f>AND('Weigh-in'!CG12,"AAAAAB/t97Q=")</f>
        <v>#VALUE!</v>
      </c>
      <c r="FZ18" t="e">
        <f>AND('Weigh-in'!CH12,"AAAAAB/t97U=")</f>
        <v>#VALUE!</v>
      </c>
      <c r="GA18" t="e">
        <f>AND('Weigh-in'!CI12,"AAAAAB/t97Y=")</f>
        <v>#VALUE!</v>
      </c>
      <c r="GB18" t="e">
        <f>AND('Weigh-in'!CJ12,"AAAAAB/t97c=")</f>
        <v>#VALUE!</v>
      </c>
      <c r="GC18" t="e">
        <f>AND('Weigh-in'!CK12,"AAAAAB/t97g=")</f>
        <v>#VALUE!</v>
      </c>
      <c r="GD18" t="e">
        <f>AND('Weigh-in'!CL12,"AAAAAB/t97k=")</f>
        <v>#VALUE!</v>
      </c>
      <c r="GE18" t="e">
        <f>AND('Weigh-in'!CM12,"AAAAAB/t97o=")</f>
        <v>#VALUE!</v>
      </c>
      <c r="GF18" t="e">
        <f>AND('Weigh-in'!CN12,"AAAAAB/t97s=")</f>
        <v>#VALUE!</v>
      </c>
      <c r="GG18" t="e">
        <f>AND('Weigh-in'!CO12,"AAAAAB/t97w=")</f>
        <v>#VALUE!</v>
      </c>
      <c r="GH18" t="e">
        <f>AND('Weigh-in'!CP12,"AAAAAB/t970=")</f>
        <v>#VALUE!</v>
      </c>
      <c r="GI18" t="e">
        <f>AND('Weigh-in'!CQ12,"AAAAAB/t974=")</f>
        <v>#VALUE!</v>
      </c>
      <c r="GJ18" t="e">
        <f>AND('Weigh-in'!CR12,"AAAAAB/t978=")</f>
        <v>#VALUE!</v>
      </c>
      <c r="GK18" t="e">
        <f>AND('Weigh-in'!CS12,"AAAAAB/t98A=")</f>
        <v>#VALUE!</v>
      </c>
      <c r="GL18" t="e">
        <f>AND('Weigh-in'!CT12,"AAAAAB/t98E=")</f>
        <v>#VALUE!</v>
      </c>
      <c r="GM18" t="e">
        <f>AND('Weigh-in'!CU12,"AAAAAB/t98I=")</f>
        <v>#VALUE!</v>
      </c>
      <c r="GN18" t="e">
        <f>AND('Weigh-in'!CV12,"AAAAAB/t98M=")</f>
        <v>#VALUE!</v>
      </c>
      <c r="GO18" t="e">
        <f>AND('Weigh-in'!CW12,"AAAAAB/t98Q=")</f>
        <v>#VALUE!</v>
      </c>
      <c r="GP18" t="e">
        <f>AND('Weigh-in'!CX12,"AAAAAB/t98U=")</f>
        <v>#VALUE!</v>
      </c>
      <c r="GQ18" t="e">
        <f>AND('Weigh-in'!CY12,"AAAAAB/t98Y=")</f>
        <v>#VALUE!</v>
      </c>
      <c r="GR18">
        <f>IF('Weigh-in'!13:13,"AAAAAB/t98c=",0)</f>
        <v>0</v>
      </c>
      <c r="GS18" t="e">
        <f>AND('Weigh-in'!A13,"AAAAAB/t98g=")</f>
        <v>#VALUE!</v>
      </c>
      <c r="GT18" t="e">
        <f>AND('Weigh-in'!B13,"AAAAAB/t98k=")</f>
        <v>#VALUE!</v>
      </c>
      <c r="GU18" t="e">
        <f>AND('Weigh-in'!C13,"AAAAAB/t98o=")</f>
        <v>#VALUE!</v>
      </c>
      <c r="GV18" t="e">
        <f>AND('Weigh-in'!D13,"AAAAAB/t98s=")</f>
        <v>#VALUE!</v>
      </c>
      <c r="GW18" t="e">
        <f>AND('Weigh-in'!#REF!,"AAAAAB/t98w=")</f>
        <v>#REF!</v>
      </c>
      <c r="GX18" t="e">
        <f>AND('Weigh-in'!F13,"AAAAAB/t980=")</f>
        <v>#VALUE!</v>
      </c>
      <c r="GY18" t="e">
        <f>AND('Weigh-in'!G13,"AAAAAB/t984=")</f>
        <v>#VALUE!</v>
      </c>
      <c r="GZ18" t="e">
        <f>AND('Weigh-in'!H13,"AAAAAB/t988=")</f>
        <v>#VALUE!</v>
      </c>
      <c r="HA18" t="e">
        <f>AND('Weigh-in'!I13,"AAAAAB/t99A=")</f>
        <v>#VALUE!</v>
      </c>
      <c r="HB18" t="e">
        <f>AND('Weigh-in'!E13,"AAAAAB/t99E=")</f>
        <v>#VALUE!</v>
      </c>
      <c r="HC18" t="e">
        <f>AND('Weigh-in'!K13,"AAAAAB/t99I=")</f>
        <v>#VALUE!</v>
      </c>
      <c r="HD18" t="e">
        <f>AND('Weigh-in'!L13,"AAAAAB/t99M=")</f>
        <v>#VALUE!</v>
      </c>
      <c r="HE18" t="e">
        <f>AND('Weigh-in'!M13,"AAAAAB/t99Q=")</f>
        <v>#VALUE!</v>
      </c>
      <c r="HF18" t="e">
        <f>AND('Weigh-in'!N13,"AAAAAB/t99U=")</f>
        <v>#VALUE!</v>
      </c>
      <c r="HG18" t="e">
        <f>AND('Weigh-in'!O13,"AAAAAB/t99Y=")</f>
        <v>#VALUE!</v>
      </c>
      <c r="HH18" t="e">
        <f>AND('Weigh-in'!P13,"AAAAAB/t99c=")</f>
        <v>#VALUE!</v>
      </c>
      <c r="HI18" t="e">
        <f>AND('Weigh-in'!Q13,"AAAAAB/t99g=")</f>
        <v>#VALUE!</v>
      </c>
      <c r="HJ18" t="e">
        <f>AND('Weigh-in'!R13,"AAAAAB/t99k=")</f>
        <v>#VALUE!</v>
      </c>
      <c r="HK18" t="e">
        <f>AND('Weigh-in'!S13,"AAAAAB/t99o=")</f>
        <v>#VALUE!</v>
      </c>
      <c r="HL18" t="e">
        <f>AND('Weigh-in'!T13,"AAAAAB/t99s=")</f>
        <v>#VALUE!</v>
      </c>
      <c r="HM18" t="e">
        <f>AND('Weigh-in'!U13,"AAAAAB/t99w=")</f>
        <v>#VALUE!</v>
      </c>
      <c r="HN18" t="e">
        <f>AND('Weigh-in'!V13,"AAAAAB/t990=")</f>
        <v>#VALUE!</v>
      </c>
      <c r="HO18" t="e">
        <f>AND('Weigh-in'!W13,"AAAAAB/t994=")</f>
        <v>#VALUE!</v>
      </c>
      <c r="HP18" t="e">
        <f>AND('Weigh-in'!X13,"AAAAAB/t998=")</f>
        <v>#VALUE!</v>
      </c>
      <c r="HQ18" t="e">
        <f>AND('Weigh-in'!Y13,"AAAAAB/t9+A=")</f>
        <v>#VALUE!</v>
      </c>
      <c r="HR18" t="e">
        <f>AND('Weigh-in'!Z13,"AAAAAB/t9+E=")</f>
        <v>#VALUE!</v>
      </c>
      <c r="HS18" t="e">
        <f>AND('Weigh-in'!AA13,"AAAAAB/t9+I=")</f>
        <v>#VALUE!</v>
      </c>
      <c r="HT18" t="e">
        <f>AND('Weigh-in'!AB13,"AAAAAB/t9+M=")</f>
        <v>#VALUE!</v>
      </c>
      <c r="HU18" t="e">
        <f>AND('Weigh-in'!AC13,"AAAAAB/t9+Q=")</f>
        <v>#VALUE!</v>
      </c>
      <c r="HV18" t="e">
        <f>AND('Weigh-in'!AD13,"AAAAAB/t9+U=")</f>
        <v>#VALUE!</v>
      </c>
      <c r="HW18" t="e">
        <f>AND('Weigh-in'!AE13,"AAAAAB/t9+Y=")</f>
        <v>#VALUE!</v>
      </c>
      <c r="HX18" t="e">
        <f>AND('Weigh-in'!AF13,"AAAAAB/t9+c=")</f>
        <v>#VALUE!</v>
      </c>
      <c r="HY18" t="e">
        <f>AND('Weigh-in'!AG13,"AAAAAB/t9+g=")</f>
        <v>#VALUE!</v>
      </c>
      <c r="HZ18" t="e">
        <f>AND('Weigh-in'!AH13,"AAAAAB/t9+k=")</f>
        <v>#VALUE!</v>
      </c>
      <c r="IA18" t="e">
        <f>AND('Weigh-in'!AI13,"AAAAAB/t9+o=")</f>
        <v>#VALUE!</v>
      </c>
      <c r="IB18" t="e">
        <f>AND('Weigh-in'!AJ13,"AAAAAB/t9+s=")</f>
        <v>#VALUE!</v>
      </c>
      <c r="IC18" t="e">
        <f>AND('Weigh-in'!AK13,"AAAAAB/t9+w=")</f>
        <v>#VALUE!</v>
      </c>
      <c r="ID18" t="e">
        <f>AND('Weigh-in'!AL13,"AAAAAB/t9+0=")</f>
        <v>#VALUE!</v>
      </c>
      <c r="IE18" t="e">
        <f>AND('Weigh-in'!AM13,"AAAAAB/t9+4=")</f>
        <v>#VALUE!</v>
      </c>
      <c r="IF18" t="e">
        <f>AND('Weigh-in'!AN13,"AAAAAB/t9+8=")</f>
        <v>#VALUE!</v>
      </c>
      <c r="IG18" t="e">
        <f>AND('Weigh-in'!AO13,"AAAAAB/t9/A=")</f>
        <v>#VALUE!</v>
      </c>
      <c r="IH18" t="e">
        <f>AND('Weigh-in'!AP13,"AAAAAB/t9/E=")</f>
        <v>#VALUE!</v>
      </c>
      <c r="II18" t="e">
        <f>AND('Weigh-in'!AQ13,"AAAAAB/t9/I=")</f>
        <v>#VALUE!</v>
      </c>
      <c r="IJ18" t="e">
        <f>AND('Weigh-in'!AR13,"AAAAAB/t9/M=")</f>
        <v>#VALUE!</v>
      </c>
      <c r="IK18" t="e">
        <f>AND('Weigh-in'!AS13,"AAAAAB/t9/Q=")</f>
        <v>#VALUE!</v>
      </c>
      <c r="IL18" t="e">
        <f>AND('Weigh-in'!AT13,"AAAAAB/t9/U=")</f>
        <v>#VALUE!</v>
      </c>
      <c r="IM18" t="e">
        <f>AND('Weigh-in'!AU13,"AAAAAB/t9/Y=")</f>
        <v>#VALUE!</v>
      </c>
      <c r="IN18" t="e">
        <f>AND('Weigh-in'!AV13,"AAAAAB/t9/c=")</f>
        <v>#VALUE!</v>
      </c>
      <c r="IO18" t="e">
        <f>AND('Weigh-in'!AW13,"AAAAAB/t9/g=")</f>
        <v>#VALUE!</v>
      </c>
      <c r="IP18" t="e">
        <f>AND('Weigh-in'!AX13,"AAAAAB/t9/k=")</f>
        <v>#VALUE!</v>
      </c>
      <c r="IQ18" t="e">
        <f>AND('Weigh-in'!AY13,"AAAAAB/t9/o=")</f>
        <v>#VALUE!</v>
      </c>
      <c r="IR18" t="e">
        <f>AND('Weigh-in'!AZ13,"AAAAAB/t9/s=")</f>
        <v>#VALUE!</v>
      </c>
      <c r="IS18" t="e">
        <f>AND('Weigh-in'!BA13,"AAAAAB/t9/w=")</f>
        <v>#VALUE!</v>
      </c>
      <c r="IT18" t="e">
        <f>AND('Weigh-in'!BB13,"AAAAAB/t9/0=")</f>
        <v>#VALUE!</v>
      </c>
      <c r="IU18" t="e">
        <f>AND('Weigh-in'!BC13,"AAAAAB/t9/4=")</f>
        <v>#VALUE!</v>
      </c>
      <c r="IV18" t="e">
        <f>AND('Weigh-in'!BD13,"AAAAAB/t9/8=")</f>
        <v>#VALUE!</v>
      </c>
    </row>
    <row r="19" spans="1:256">
      <c r="A19" t="e">
        <f>AND('Weigh-in'!BE13,"AAAAAH3e8gA=")</f>
        <v>#VALUE!</v>
      </c>
      <c r="B19" t="e">
        <f>AND('Weigh-in'!BF13,"AAAAAH3e8gE=")</f>
        <v>#VALUE!</v>
      </c>
      <c r="C19" t="e">
        <f>AND('Weigh-in'!BG13,"AAAAAH3e8gI=")</f>
        <v>#VALUE!</v>
      </c>
      <c r="D19" t="e">
        <f>AND('Weigh-in'!BH13,"AAAAAH3e8gM=")</f>
        <v>#VALUE!</v>
      </c>
      <c r="E19" t="e">
        <f>AND('Weigh-in'!BI13,"AAAAAH3e8gQ=")</f>
        <v>#VALUE!</v>
      </c>
      <c r="F19" t="e">
        <f>AND('Weigh-in'!BJ13,"AAAAAH3e8gU=")</f>
        <v>#VALUE!</v>
      </c>
      <c r="G19" t="e">
        <f>AND('Weigh-in'!BK13,"AAAAAH3e8gY=")</f>
        <v>#VALUE!</v>
      </c>
      <c r="H19" t="e">
        <f>AND('Weigh-in'!BL13,"AAAAAH3e8gc=")</f>
        <v>#VALUE!</v>
      </c>
      <c r="I19" t="e">
        <f>AND('Weigh-in'!BM13,"AAAAAH3e8gg=")</f>
        <v>#VALUE!</v>
      </c>
      <c r="J19" t="e">
        <f>AND('Weigh-in'!BN13,"AAAAAH3e8gk=")</f>
        <v>#VALUE!</v>
      </c>
      <c r="K19" t="e">
        <f>AND('Weigh-in'!BO13,"AAAAAH3e8go=")</f>
        <v>#VALUE!</v>
      </c>
      <c r="L19" t="e">
        <f>AND('Weigh-in'!BP13,"AAAAAH3e8gs=")</f>
        <v>#VALUE!</v>
      </c>
      <c r="M19" t="e">
        <f>AND('Weigh-in'!BQ13,"AAAAAH3e8gw=")</f>
        <v>#VALUE!</v>
      </c>
      <c r="N19" t="e">
        <f>AND('Weigh-in'!BR13,"AAAAAH3e8g0=")</f>
        <v>#VALUE!</v>
      </c>
      <c r="O19" t="e">
        <f>AND('Weigh-in'!BS13,"AAAAAH3e8g4=")</f>
        <v>#VALUE!</v>
      </c>
      <c r="P19" t="e">
        <f>AND('Weigh-in'!BT13,"AAAAAH3e8g8=")</f>
        <v>#VALUE!</v>
      </c>
      <c r="Q19" t="e">
        <f>AND('Weigh-in'!BU13,"AAAAAH3e8hA=")</f>
        <v>#VALUE!</v>
      </c>
      <c r="R19" t="e">
        <f>AND('Weigh-in'!BV13,"AAAAAH3e8hE=")</f>
        <v>#VALUE!</v>
      </c>
      <c r="S19" t="e">
        <f>AND('Weigh-in'!BW13,"AAAAAH3e8hI=")</f>
        <v>#VALUE!</v>
      </c>
      <c r="T19" t="e">
        <f>AND('Weigh-in'!BX13,"AAAAAH3e8hM=")</f>
        <v>#VALUE!</v>
      </c>
      <c r="U19" t="e">
        <f>AND('Weigh-in'!BY13,"AAAAAH3e8hQ=")</f>
        <v>#VALUE!</v>
      </c>
      <c r="V19" t="e">
        <f>AND('Weigh-in'!BZ13,"AAAAAH3e8hU=")</f>
        <v>#VALUE!</v>
      </c>
      <c r="W19" t="e">
        <f>AND('Weigh-in'!CA13,"AAAAAH3e8hY=")</f>
        <v>#VALUE!</v>
      </c>
      <c r="X19" t="e">
        <f>AND('Weigh-in'!CB13,"AAAAAH3e8hc=")</f>
        <v>#VALUE!</v>
      </c>
      <c r="Y19" t="e">
        <f>AND('Weigh-in'!CC13,"AAAAAH3e8hg=")</f>
        <v>#VALUE!</v>
      </c>
      <c r="Z19" t="e">
        <f>AND('Weigh-in'!CD13,"AAAAAH3e8hk=")</f>
        <v>#VALUE!</v>
      </c>
      <c r="AA19" t="e">
        <f>AND('Weigh-in'!CE13,"AAAAAH3e8ho=")</f>
        <v>#VALUE!</v>
      </c>
      <c r="AB19" t="e">
        <f>AND('Weigh-in'!CF13,"AAAAAH3e8hs=")</f>
        <v>#VALUE!</v>
      </c>
      <c r="AC19" t="e">
        <f>AND('Weigh-in'!CG13,"AAAAAH3e8hw=")</f>
        <v>#VALUE!</v>
      </c>
      <c r="AD19" t="e">
        <f>AND('Weigh-in'!CH13,"AAAAAH3e8h0=")</f>
        <v>#VALUE!</v>
      </c>
      <c r="AE19" t="e">
        <f>AND('Weigh-in'!CI13,"AAAAAH3e8h4=")</f>
        <v>#VALUE!</v>
      </c>
      <c r="AF19" t="e">
        <f>AND('Weigh-in'!CJ13,"AAAAAH3e8h8=")</f>
        <v>#VALUE!</v>
      </c>
      <c r="AG19" t="e">
        <f>AND('Weigh-in'!CK13,"AAAAAH3e8iA=")</f>
        <v>#VALUE!</v>
      </c>
      <c r="AH19" t="e">
        <f>AND('Weigh-in'!CL13,"AAAAAH3e8iE=")</f>
        <v>#VALUE!</v>
      </c>
      <c r="AI19" t="e">
        <f>AND('Weigh-in'!CM13,"AAAAAH3e8iI=")</f>
        <v>#VALUE!</v>
      </c>
      <c r="AJ19" t="e">
        <f>AND('Weigh-in'!CN13,"AAAAAH3e8iM=")</f>
        <v>#VALUE!</v>
      </c>
      <c r="AK19" t="e">
        <f>AND('Weigh-in'!CO13,"AAAAAH3e8iQ=")</f>
        <v>#VALUE!</v>
      </c>
      <c r="AL19" t="e">
        <f>AND('Weigh-in'!CP13,"AAAAAH3e8iU=")</f>
        <v>#VALUE!</v>
      </c>
      <c r="AM19" t="e">
        <f>AND('Weigh-in'!CQ13,"AAAAAH3e8iY=")</f>
        <v>#VALUE!</v>
      </c>
      <c r="AN19" t="e">
        <f>AND('Weigh-in'!CR13,"AAAAAH3e8ic=")</f>
        <v>#VALUE!</v>
      </c>
      <c r="AO19" t="e">
        <f>AND('Weigh-in'!CS13,"AAAAAH3e8ig=")</f>
        <v>#VALUE!</v>
      </c>
      <c r="AP19" t="e">
        <f>AND('Weigh-in'!CT13,"AAAAAH3e8ik=")</f>
        <v>#VALUE!</v>
      </c>
      <c r="AQ19" t="e">
        <f>AND('Weigh-in'!CU13,"AAAAAH3e8io=")</f>
        <v>#VALUE!</v>
      </c>
      <c r="AR19" t="e">
        <f>AND('Weigh-in'!CV13,"AAAAAH3e8is=")</f>
        <v>#VALUE!</v>
      </c>
      <c r="AS19" t="e">
        <f>AND('Weigh-in'!CW13,"AAAAAH3e8iw=")</f>
        <v>#VALUE!</v>
      </c>
      <c r="AT19" t="e">
        <f>AND('Weigh-in'!CX13,"AAAAAH3e8i0=")</f>
        <v>#VALUE!</v>
      </c>
      <c r="AU19" t="e">
        <f>AND('Weigh-in'!CY13,"AAAAAH3e8i4=")</f>
        <v>#VALUE!</v>
      </c>
      <c r="AV19">
        <f>IF('Weigh-in'!14:14,"AAAAAH3e8i8=",0)</f>
        <v>0</v>
      </c>
      <c r="AW19" t="e">
        <f>AND('Weigh-in'!A14,"AAAAAH3e8jA=")</f>
        <v>#VALUE!</v>
      </c>
      <c r="AX19" t="e">
        <f>AND('Weigh-in'!B14,"AAAAAH3e8jE=")</f>
        <v>#VALUE!</v>
      </c>
      <c r="AY19" t="e">
        <f>AND('Weigh-in'!C14,"AAAAAH3e8jI=")</f>
        <v>#VALUE!</v>
      </c>
      <c r="AZ19" t="e">
        <f>AND('Weigh-in'!D14,"AAAAAH3e8jM=")</f>
        <v>#VALUE!</v>
      </c>
      <c r="BA19" t="e">
        <f>AND('Weigh-in'!#REF!,"AAAAAH3e8jQ=")</f>
        <v>#REF!</v>
      </c>
      <c r="BB19" t="e">
        <f>AND('Weigh-in'!F14,"AAAAAH3e8jU=")</f>
        <v>#VALUE!</v>
      </c>
      <c r="BC19" t="e">
        <f>AND('Weigh-in'!G14,"AAAAAH3e8jY=")</f>
        <v>#VALUE!</v>
      </c>
      <c r="BD19" t="e">
        <f>AND('Weigh-in'!H14,"AAAAAH3e8jc=")</f>
        <v>#VALUE!</v>
      </c>
      <c r="BE19" t="e">
        <f>AND('Weigh-in'!I14,"AAAAAH3e8jg=")</f>
        <v>#VALUE!</v>
      </c>
      <c r="BF19" t="e">
        <f>AND('Weigh-in'!E14,"AAAAAH3e8jk=")</f>
        <v>#VALUE!</v>
      </c>
      <c r="BG19" t="e">
        <f>AND('Weigh-in'!K14,"AAAAAH3e8jo=")</f>
        <v>#VALUE!</v>
      </c>
      <c r="BH19" t="e">
        <f>AND('Weigh-in'!L14,"AAAAAH3e8js=")</f>
        <v>#VALUE!</v>
      </c>
      <c r="BI19" t="e">
        <f>AND('Weigh-in'!M14,"AAAAAH3e8jw=")</f>
        <v>#VALUE!</v>
      </c>
      <c r="BJ19" t="e">
        <f>AND('Weigh-in'!N14,"AAAAAH3e8j0=")</f>
        <v>#VALUE!</v>
      </c>
      <c r="BK19" t="e">
        <f>AND('Weigh-in'!O14,"AAAAAH3e8j4=")</f>
        <v>#VALUE!</v>
      </c>
      <c r="BL19" t="e">
        <f>AND('Weigh-in'!P14,"AAAAAH3e8j8=")</f>
        <v>#VALUE!</v>
      </c>
      <c r="BM19" t="e">
        <f>AND('Weigh-in'!Q14,"AAAAAH3e8kA=")</f>
        <v>#VALUE!</v>
      </c>
      <c r="BN19" t="e">
        <f>AND('Weigh-in'!R14,"AAAAAH3e8kE=")</f>
        <v>#VALUE!</v>
      </c>
      <c r="BO19" t="e">
        <f>AND('Weigh-in'!S14,"AAAAAH3e8kI=")</f>
        <v>#VALUE!</v>
      </c>
      <c r="BP19" t="e">
        <f>AND('Weigh-in'!T14,"AAAAAH3e8kM=")</f>
        <v>#VALUE!</v>
      </c>
      <c r="BQ19" t="e">
        <f>AND('Weigh-in'!U14,"AAAAAH3e8kQ=")</f>
        <v>#VALUE!</v>
      </c>
      <c r="BR19" t="e">
        <f>AND('Weigh-in'!V14,"AAAAAH3e8kU=")</f>
        <v>#VALUE!</v>
      </c>
      <c r="BS19" t="e">
        <f>AND('Weigh-in'!W14,"AAAAAH3e8kY=")</f>
        <v>#VALUE!</v>
      </c>
      <c r="BT19" t="e">
        <f>AND('Weigh-in'!X14,"AAAAAH3e8kc=")</f>
        <v>#VALUE!</v>
      </c>
      <c r="BU19" t="e">
        <f>AND('Weigh-in'!Y14,"AAAAAH3e8kg=")</f>
        <v>#VALUE!</v>
      </c>
      <c r="BV19" t="e">
        <f>AND('Weigh-in'!Z14,"AAAAAH3e8kk=")</f>
        <v>#VALUE!</v>
      </c>
      <c r="BW19" t="e">
        <f>AND('Weigh-in'!AA14,"AAAAAH3e8ko=")</f>
        <v>#VALUE!</v>
      </c>
      <c r="BX19" t="e">
        <f>AND('Weigh-in'!AB14,"AAAAAH3e8ks=")</f>
        <v>#VALUE!</v>
      </c>
      <c r="BY19" t="e">
        <f>AND('Weigh-in'!AC14,"AAAAAH3e8kw=")</f>
        <v>#VALUE!</v>
      </c>
      <c r="BZ19" t="e">
        <f>AND('Weigh-in'!AD14,"AAAAAH3e8k0=")</f>
        <v>#VALUE!</v>
      </c>
      <c r="CA19" t="e">
        <f>AND('Weigh-in'!AE14,"AAAAAH3e8k4=")</f>
        <v>#VALUE!</v>
      </c>
      <c r="CB19" t="e">
        <f>AND('Weigh-in'!AF14,"AAAAAH3e8k8=")</f>
        <v>#VALUE!</v>
      </c>
      <c r="CC19" t="e">
        <f>AND('Weigh-in'!AG14,"AAAAAH3e8lA=")</f>
        <v>#VALUE!</v>
      </c>
      <c r="CD19" t="e">
        <f>AND('Weigh-in'!AH14,"AAAAAH3e8lE=")</f>
        <v>#VALUE!</v>
      </c>
      <c r="CE19" t="e">
        <f>AND('Weigh-in'!AI14,"AAAAAH3e8lI=")</f>
        <v>#VALUE!</v>
      </c>
      <c r="CF19" t="e">
        <f>AND('Weigh-in'!AJ14,"AAAAAH3e8lM=")</f>
        <v>#VALUE!</v>
      </c>
      <c r="CG19" t="e">
        <f>AND('Weigh-in'!AK14,"AAAAAH3e8lQ=")</f>
        <v>#VALUE!</v>
      </c>
      <c r="CH19" t="e">
        <f>AND('Weigh-in'!AL14,"AAAAAH3e8lU=")</f>
        <v>#VALUE!</v>
      </c>
      <c r="CI19" t="e">
        <f>AND('Weigh-in'!AM14,"AAAAAH3e8lY=")</f>
        <v>#VALUE!</v>
      </c>
      <c r="CJ19" t="e">
        <f>AND('Weigh-in'!AN14,"AAAAAH3e8lc=")</f>
        <v>#VALUE!</v>
      </c>
      <c r="CK19" t="e">
        <f>AND('Weigh-in'!AO14,"AAAAAH3e8lg=")</f>
        <v>#VALUE!</v>
      </c>
      <c r="CL19" t="e">
        <f>AND('Weigh-in'!AP14,"AAAAAH3e8lk=")</f>
        <v>#VALUE!</v>
      </c>
      <c r="CM19" t="e">
        <f>AND('Weigh-in'!AQ14,"AAAAAH3e8lo=")</f>
        <v>#VALUE!</v>
      </c>
      <c r="CN19" t="e">
        <f>AND('Weigh-in'!AR14,"AAAAAH3e8ls=")</f>
        <v>#VALUE!</v>
      </c>
      <c r="CO19" t="e">
        <f>AND('Weigh-in'!AS14,"AAAAAH3e8lw=")</f>
        <v>#VALUE!</v>
      </c>
      <c r="CP19" t="e">
        <f>AND('Weigh-in'!AT14,"AAAAAH3e8l0=")</f>
        <v>#VALUE!</v>
      </c>
      <c r="CQ19" t="e">
        <f>AND('Weigh-in'!AU14,"AAAAAH3e8l4=")</f>
        <v>#VALUE!</v>
      </c>
      <c r="CR19" t="e">
        <f>AND('Weigh-in'!AV14,"AAAAAH3e8l8=")</f>
        <v>#VALUE!</v>
      </c>
      <c r="CS19" t="e">
        <f>AND('Weigh-in'!AW14,"AAAAAH3e8mA=")</f>
        <v>#VALUE!</v>
      </c>
      <c r="CT19" t="e">
        <f>AND('Weigh-in'!AX14,"AAAAAH3e8mE=")</f>
        <v>#VALUE!</v>
      </c>
      <c r="CU19" t="e">
        <f>AND('Weigh-in'!AY14,"AAAAAH3e8mI=")</f>
        <v>#VALUE!</v>
      </c>
      <c r="CV19" t="e">
        <f>AND('Weigh-in'!AZ14,"AAAAAH3e8mM=")</f>
        <v>#VALUE!</v>
      </c>
      <c r="CW19" t="e">
        <f>AND('Weigh-in'!BA14,"AAAAAH3e8mQ=")</f>
        <v>#VALUE!</v>
      </c>
      <c r="CX19" t="e">
        <f>AND('Weigh-in'!BB14,"AAAAAH3e8mU=")</f>
        <v>#VALUE!</v>
      </c>
      <c r="CY19" t="e">
        <f>AND('Weigh-in'!BC14,"AAAAAH3e8mY=")</f>
        <v>#VALUE!</v>
      </c>
      <c r="CZ19" t="e">
        <f>AND('Weigh-in'!BD14,"AAAAAH3e8mc=")</f>
        <v>#VALUE!</v>
      </c>
      <c r="DA19" t="e">
        <f>AND('Weigh-in'!BE14,"AAAAAH3e8mg=")</f>
        <v>#VALUE!</v>
      </c>
      <c r="DB19" t="e">
        <f>AND('Weigh-in'!BF14,"AAAAAH3e8mk=")</f>
        <v>#VALUE!</v>
      </c>
      <c r="DC19" t="e">
        <f>AND('Weigh-in'!BG14,"AAAAAH3e8mo=")</f>
        <v>#VALUE!</v>
      </c>
      <c r="DD19" t="e">
        <f>AND('Weigh-in'!BH14,"AAAAAH3e8ms=")</f>
        <v>#VALUE!</v>
      </c>
      <c r="DE19" t="e">
        <f>AND('Weigh-in'!BI14,"AAAAAH3e8mw=")</f>
        <v>#VALUE!</v>
      </c>
      <c r="DF19" t="e">
        <f>AND('Weigh-in'!BJ14,"AAAAAH3e8m0=")</f>
        <v>#VALUE!</v>
      </c>
      <c r="DG19" t="e">
        <f>AND('Weigh-in'!BK14,"AAAAAH3e8m4=")</f>
        <v>#VALUE!</v>
      </c>
      <c r="DH19" t="e">
        <f>AND('Weigh-in'!BL14,"AAAAAH3e8m8=")</f>
        <v>#VALUE!</v>
      </c>
      <c r="DI19" t="e">
        <f>AND('Weigh-in'!BM14,"AAAAAH3e8nA=")</f>
        <v>#VALUE!</v>
      </c>
      <c r="DJ19" t="e">
        <f>AND('Weigh-in'!BN14,"AAAAAH3e8nE=")</f>
        <v>#VALUE!</v>
      </c>
      <c r="DK19" t="e">
        <f>AND('Weigh-in'!BO14,"AAAAAH3e8nI=")</f>
        <v>#VALUE!</v>
      </c>
      <c r="DL19" t="e">
        <f>AND('Weigh-in'!BP14,"AAAAAH3e8nM=")</f>
        <v>#VALUE!</v>
      </c>
      <c r="DM19" t="e">
        <f>AND('Weigh-in'!BQ14,"AAAAAH3e8nQ=")</f>
        <v>#VALUE!</v>
      </c>
      <c r="DN19" t="e">
        <f>AND('Weigh-in'!BR14,"AAAAAH3e8nU=")</f>
        <v>#VALUE!</v>
      </c>
      <c r="DO19" t="e">
        <f>AND('Weigh-in'!BS14,"AAAAAH3e8nY=")</f>
        <v>#VALUE!</v>
      </c>
      <c r="DP19" t="e">
        <f>AND('Weigh-in'!BT14,"AAAAAH3e8nc=")</f>
        <v>#VALUE!</v>
      </c>
      <c r="DQ19" t="e">
        <f>AND('Weigh-in'!BU14,"AAAAAH3e8ng=")</f>
        <v>#VALUE!</v>
      </c>
      <c r="DR19" t="e">
        <f>AND('Weigh-in'!BV14,"AAAAAH3e8nk=")</f>
        <v>#VALUE!</v>
      </c>
      <c r="DS19" t="e">
        <f>AND('Weigh-in'!BW14,"AAAAAH3e8no=")</f>
        <v>#VALUE!</v>
      </c>
      <c r="DT19" t="e">
        <f>AND('Weigh-in'!BX14,"AAAAAH3e8ns=")</f>
        <v>#VALUE!</v>
      </c>
      <c r="DU19" t="e">
        <f>AND('Weigh-in'!BY14,"AAAAAH3e8nw=")</f>
        <v>#VALUE!</v>
      </c>
      <c r="DV19" t="e">
        <f>AND('Weigh-in'!BZ14,"AAAAAH3e8n0=")</f>
        <v>#VALUE!</v>
      </c>
      <c r="DW19" t="e">
        <f>AND('Weigh-in'!CA14,"AAAAAH3e8n4=")</f>
        <v>#VALUE!</v>
      </c>
      <c r="DX19" t="e">
        <f>AND('Weigh-in'!CB14,"AAAAAH3e8n8=")</f>
        <v>#VALUE!</v>
      </c>
      <c r="DY19" t="e">
        <f>AND('Weigh-in'!CC14,"AAAAAH3e8oA=")</f>
        <v>#VALUE!</v>
      </c>
      <c r="DZ19" t="e">
        <f>AND('Weigh-in'!CD14,"AAAAAH3e8oE=")</f>
        <v>#VALUE!</v>
      </c>
      <c r="EA19" t="e">
        <f>AND('Weigh-in'!CE14,"AAAAAH3e8oI=")</f>
        <v>#VALUE!</v>
      </c>
      <c r="EB19" t="e">
        <f>AND('Weigh-in'!CF14,"AAAAAH3e8oM=")</f>
        <v>#VALUE!</v>
      </c>
      <c r="EC19" t="e">
        <f>AND('Weigh-in'!CG14,"AAAAAH3e8oQ=")</f>
        <v>#VALUE!</v>
      </c>
      <c r="ED19" t="e">
        <f>AND('Weigh-in'!CH14,"AAAAAH3e8oU=")</f>
        <v>#VALUE!</v>
      </c>
      <c r="EE19" t="e">
        <f>AND('Weigh-in'!CI14,"AAAAAH3e8oY=")</f>
        <v>#VALUE!</v>
      </c>
      <c r="EF19" t="e">
        <f>AND('Weigh-in'!CJ14,"AAAAAH3e8oc=")</f>
        <v>#VALUE!</v>
      </c>
      <c r="EG19" t="e">
        <f>AND('Weigh-in'!CK14,"AAAAAH3e8og=")</f>
        <v>#VALUE!</v>
      </c>
      <c r="EH19" t="e">
        <f>AND('Weigh-in'!CL14,"AAAAAH3e8ok=")</f>
        <v>#VALUE!</v>
      </c>
      <c r="EI19" t="e">
        <f>AND('Weigh-in'!CM14,"AAAAAH3e8oo=")</f>
        <v>#VALUE!</v>
      </c>
      <c r="EJ19" t="e">
        <f>AND('Weigh-in'!CN14,"AAAAAH3e8os=")</f>
        <v>#VALUE!</v>
      </c>
      <c r="EK19" t="e">
        <f>AND('Weigh-in'!CO14,"AAAAAH3e8ow=")</f>
        <v>#VALUE!</v>
      </c>
      <c r="EL19" t="e">
        <f>AND('Weigh-in'!CP14,"AAAAAH3e8o0=")</f>
        <v>#VALUE!</v>
      </c>
      <c r="EM19" t="e">
        <f>AND('Weigh-in'!CQ14,"AAAAAH3e8o4=")</f>
        <v>#VALUE!</v>
      </c>
      <c r="EN19" t="e">
        <f>AND('Weigh-in'!CR14,"AAAAAH3e8o8=")</f>
        <v>#VALUE!</v>
      </c>
      <c r="EO19" t="e">
        <f>AND('Weigh-in'!CS14,"AAAAAH3e8pA=")</f>
        <v>#VALUE!</v>
      </c>
      <c r="EP19" t="e">
        <f>AND('Weigh-in'!CT14,"AAAAAH3e8pE=")</f>
        <v>#VALUE!</v>
      </c>
      <c r="EQ19" t="e">
        <f>AND('Weigh-in'!CU14,"AAAAAH3e8pI=")</f>
        <v>#VALUE!</v>
      </c>
      <c r="ER19" t="e">
        <f>AND('Weigh-in'!CV14,"AAAAAH3e8pM=")</f>
        <v>#VALUE!</v>
      </c>
      <c r="ES19" t="e">
        <f>AND('Weigh-in'!CW14,"AAAAAH3e8pQ=")</f>
        <v>#VALUE!</v>
      </c>
      <c r="ET19" t="e">
        <f>AND('Weigh-in'!CX14,"AAAAAH3e8pU=")</f>
        <v>#VALUE!</v>
      </c>
      <c r="EU19" t="e">
        <f>AND('Weigh-in'!CY14,"AAAAAH3e8pY=")</f>
        <v>#VALUE!</v>
      </c>
      <c r="EV19">
        <f>IF('Weigh-in'!15:15,"AAAAAH3e8pc=",0)</f>
        <v>0</v>
      </c>
      <c r="EW19">
        <f>IF('Weigh-in'!16:16,"AAAAAH3e8pg=",0)</f>
        <v>0</v>
      </c>
      <c r="EX19">
        <f>IF('Weigh-in'!A:A,"AAAAAH3e8pk=",0)</f>
        <v>0</v>
      </c>
      <c r="EY19">
        <f>IF('Weigh-in'!B:B,"AAAAAH3e8po=",0)</f>
        <v>0</v>
      </c>
      <c r="EZ19">
        <f>IF('Weigh-in'!C:C,"AAAAAH3e8ps=",0)</f>
        <v>0</v>
      </c>
      <c r="FA19">
        <f>IF('Weigh-in'!D:D,"AAAAAH3e8pw=",0)</f>
        <v>0</v>
      </c>
      <c r="FB19">
        <f>IF('Weigh-in'!E:E,"AAAAAH3e8p0=",0)</f>
        <v>0</v>
      </c>
      <c r="FC19">
        <f>IF('Weigh-in'!F:F,"AAAAAH3e8p4=",0)</f>
        <v>0</v>
      </c>
      <c r="FD19">
        <f>IF('Weigh-in'!G:G,"AAAAAH3e8p8=",0)</f>
        <v>0</v>
      </c>
      <c r="FE19">
        <f>IF('Weigh-in'!H:H,"AAAAAH3e8qA=",0)</f>
        <v>0</v>
      </c>
      <c r="FF19">
        <f>IF('Weigh-in'!I:I,"AAAAAH3e8qE=",0)</f>
        <v>0</v>
      </c>
      <c r="FG19">
        <f>IF('Weigh-in'!J:J,"AAAAAH3e8qI=",0)</f>
        <v>0</v>
      </c>
      <c r="FH19">
        <f>IF('Weigh-in'!K:K,"AAAAAH3e8qM=",0)</f>
        <v>0</v>
      </c>
      <c r="FI19">
        <f>IF('Weigh-in'!L:L,"AAAAAH3e8qQ=",0)</f>
        <v>0</v>
      </c>
      <c r="FJ19">
        <f>IF('Weigh-in'!M:M,"AAAAAH3e8qU=",0)</f>
        <v>0</v>
      </c>
      <c r="FK19">
        <f>IF('Weigh-in'!N:N,"AAAAAH3e8qY=",0)</f>
        <v>0</v>
      </c>
      <c r="FL19">
        <f>IF('Weigh-in'!O:O,"AAAAAH3e8qc=",0)</f>
        <v>0</v>
      </c>
      <c r="FM19">
        <f>IF('Weigh-in'!P:P,"AAAAAH3e8qg=",0)</f>
        <v>0</v>
      </c>
      <c r="FN19">
        <f>IF('Weigh-in'!Q:Q,"AAAAAH3e8qk=",0)</f>
        <v>0</v>
      </c>
      <c r="FO19">
        <f>IF('Weigh-in'!R:R,"AAAAAH3e8qo=",0)</f>
        <v>0</v>
      </c>
      <c r="FP19">
        <f>IF('Weigh-in'!S:S,"AAAAAH3e8qs=",0)</f>
        <v>0</v>
      </c>
      <c r="FQ19">
        <f>IF('Weigh-in'!T:T,"AAAAAH3e8qw=",0)</f>
        <v>0</v>
      </c>
      <c r="FR19">
        <f>IF('Weigh-in'!U:U,"AAAAAH3e8q0=",0)</f>
        <v>0</v>
      </c>
      <c r="FS19">
        <f>IF('Weigh-in'!V:V,"AAAAAH3e8q4=",0)</f>
        <v>0</v>
      </c>
      <c r="FT19">
        <f>IF('Weigh-in'!W:W,"AAAAAH3e8q8=",0)</f>
        <v>0</v>
      </c>
      <c r="FU19">
        <f>IF('Weigh-in'!X:X,"AAAAAH3e8rA=",0)</f>
        <v>0</v>
      </c>
      <c r="FV19">
        <f>IF('Weigh-in'!Y:Y,"AAAAAH3e8rE=",0)</f>
        <v>0</v>
      </c>
      <c r="FW19">
        <f>IF('Weigh-in'!Z:Z,"AAAAAH3e8rI=",0)</f>
        <v>0</v>
      </c>
      <c r="FX19">
        <f>IF('Weigh-in'!AA:AA,"AAAAAH3e8rM=",0)</f>
        <v>0</v>
      </c>
      <c r="FY19">
        <f>IF('Weigh-in'!AB:AB,"AAAAAH3e8rQ=",0)</f>
        <v>0</v>
      </c>
      <c r="FZ19">
        <f>IF('Weigh-in'!AC:AC,"AAAAAH3e8rU=",0)</f>
        <v>0</v>
      </c>
      <c r="GA19">
        <f>IF('Weigh-in'!AD:AD,"AAAAAH3e8rY=",0)</f>
        <v>0</v>
      </c>
      <c r="GB19">
        <f>IF('Weigh-in'!AE:AE,"AAAAAH3e8rc=",0)</f>
        <v>0</v>
      </c>
      <c r="GC19">
        <f>IF('Weigh-in'!AF:AF,"AAAAAH3e8rg=",0)</f>
        <v>0</v>
      </c>
      <c r="GD19">
        <f>IF('Weigh-in'!AG:AG,"AAAAAH3e8rk=",0)</f>
        <v>0</v>
      </c>
      <c r="GE19">
        <f>IF('Weigh-in'!AH:AH,"AAAAAH3e8ro=",0)</f>
        <v>0</v>
      </c>
      <c r="GF19">
        <f>IF('Weigh-in'!AI:AI,"AAAAAH3e8rs=",0)</f>
        <v>0</v>
      </c>
      <c r="GG19">
        <f>IF('Weigh-in'!AJ:AJ,"AAAAAH3e8rw=",0)</f>
        <v>0</v>
      </c>
      <c r="GH19">
        <f>IF('Weigh-in'!AK:AK,"AAAAAH3e8r0=",0)</f>
        <v>0</v>
      </c>
      <c r="GI19">
        <f>IF('Weigh-in'!AL:AL,"AAAAAH3e8r4=",0)</f>
        <v>0</v>
      </c>
      <c r="GJ19">
        <f>IF('Weigh-in'!AM:AM,"AAAAAH3e8r8=",0)</f>
        <v>0</v>
      </c>
      <c r="GK19">
        <f>IF('Weigh-in'!AN:AN,"AAAAAH3e8sA=",0)</f>
        <v>0</v>
      </c>
      <c r="GL19">
        <f>IF('Weigh-in'!AO:AO,"AAAAAH3e8sE=",0)</f>
        <v>0</v>
      </c>
      <c r="GM19">
        <f>IF('Weigh-in'!AP:AP,"AAAAAH3e8sI=",0)</f>
        <v>0</v>
      </c>
      <c r="GN19">
        <f>IF('Weigh-in'!AQ:AQ,"AAAAAH3e8sM=",0)</f>
        <v>0</v>
      </c>
      <c r="GO19">
        <f>IF('Weigh-in'!AR:AR,"AAAAAH3e8sQ=",0)</f>
        <v>0</v>
      </c>
      <c r="GP19">
        <f>IF('Weigh-in'!AS:AS,"AAAAAH3e8sU=",0)</f>
        <v>0</v>
      </c>
      <c r="GQ19">
        <f>IF('Weigh-in'!AT:AT,"AAAAAH3e8sY=",0)</f>
        <v>0</v>
      </c>
      <c r="GR19">
        <f>IF('Weigh-in'!AU:AU,"AAAAAH3e8sc=",0)</f>
        <v>0</v>
      </c>
      <c r="GS19">
        <f>IF('Weigh-in'!AV:AV,"AAAAAH3e8sg=",0)</f>
        <v>0</v>
      </c>
      <c r="GT19">
        <f>IF('Weigh-in'!AW:AW,"AAAAAH3e8sk=",0)</f>
        <v>0</v>
      </c>
      <c r="GU19">
        <f>IF('Weigh-in'!AX:AX,"AAAAAH3e8so=",0)</f>
        <v>0</v>
      </c>
      <c r="GV19">
        <f>IF('Weigh-in'!AY:AY,"AAAAAH3e8ss=",0)</f>
        <v>0</v>
      </c>
      <c r="GW19">
        <f>IF('Weigh-in'!AZ:AZ,"AAAAAH3e8sw=",0)</f>
        <v>0</v>
      </c>
      <c r="GX19">
        <f>IF('Weigh-in'!BA:BA,"AAAAAH3e8s0=",0)</f>
        <v>0</v>
      </c>
      <c r="GY19">
        <f>IF('Weigh-in'!BB:BB,"AAAAAH3e8s4=",0)</f>
        <v>0</v>
      </c>
      <c r="GZ19">
        <f>IF('Weigh-in'!BC:BC,"AAAAAH3e8s8=",0)</f>
        <v>0</v>
      </c>
      <c r="HA19">
        <f>IF('Weigh-in'!BD:BD,"AAAAAH3e8tA=",0)</f>
        <v>0</v>
      </c>
      <c r="HB19">
        <f>IF('Weigh-in'!BE:BE,"AAAAAH3e8tE=",0)</f>
        <v>0</v>
      </c>
      <c r="HC19">
        <f>IF('Weigh-in'!BF:BF,"AAAAAH3e8tI=",0)</f>
        <v>0</v>
      </c>
      <c r="HD19">
        <f>IF('Weigh-in'!BG:BG,"AAAAAH3e8tM=",0)</f>
        <v>0</v>
      </c>
      <c r="HE19">
        <f>IF('Weigh-in'!BH:BH,"AAAAAH3e8tQ=",0)</f>
        <v>0</v>
      </c>
      <c r="HF19">
        <f>IF('Weigh-in'!BI:BI,"AAAAAH3e8tU=",0)</f>
        <v>0</v>
      </c>
      <c r="HG19">
        <f>IF('Weigh-in'!BJ:BJ,"AAAAAH3e8tY=",0)</f>
        <v>0</v>
      </c>
      <c r="HH19">
        <f>IF('Weigh-in'!BK:BK,"AAAAAH3e8tc=",0)</f>
        <v>0</v>
      </c>
      <c r="HI19">
        <f>IF('Weigh-in'!BL:BL,"AAAAAH3e8tg=",0)</f>
        <v>0</v>
      </c>
      <c r="HJ19">
        <f>IF('Weigh-in'!BM:BM,"AAAAAH3e8tk=",0)</f>
        <v>0</v>
      </c>
      <c r="HK19">
        <f>IF('Weigh-in'!BN:BN,"AAAAAH3e8to=",0)</f>
        <v>0</v>
      </c>
      <c r="HL19">
        <f>IF('Weigh-in'!BO:BO,"AAAAAH3e8ts=",0)</f>
        <v>0</v>
      </c>
      <c r="HM19">
        <f>IF('Weigh-in'!BP:BP,"AAAAAH3e8tw=",0)</f>
        <v>0</v>
      </c>
      <c r="HN19">
        <f>IF('Weigh-in'!BQ:BQ,"AAAAAH3e8t0=",0)</f>
        <v>0</v>
      </c>
      <c r="HO19">
        <f>IF('Weigh-in'!BR:BR,"AAAAAH3e8t4=",0)</f>
        <v>0</v>
      </c>
      <c r="HP19">
        <f>IF('Weigh-in'!BS:BS,"AAAAAH3e8t8=",0)</f>
        <v>0</v>
      </c>
      <c r="HQ19">
        <f>IF('Weigh-in'!BT:BT,"AAAAAH3e8uA=",0)</f>
        <v>0</v>
      </c>
      <c r="HR19">
        <f>IF('Weigh-in'!BU:BU,"AAAAAH3e8uE=",0)</f>
        <v>0</v>
      </c>
      <c r="HS19">
        <f>IF('Weigh-in'!BV:BV,"AAAAAH3e8uI=",0)</f>
        <v>0</v>
      </c>
      <c r="HT19">
        <f>IF('Weigh-in'!BW:BW,"AAAAAH3e8uM=",0)</f>
        <v>0</v>
      </c>
      <c r="HU19">
        <f>IF('Weigh-in'!BX:BX,"AAAAAH3e8uQ=",0)</f>
        <v>0</v>
      </c>
      <c r="HV19">
        <f>IF('Weigh-in'!BY:BY,"AAAAAH3e8uU=",0)</f>
        <v>0</v>
      </c>
      <c r="HW19">
        <f>IF('Weigh-in'!BZ:BZ,"AAAAAH3e8uY=",0)</f>
        <v>0</v>
      </c>
      <c r="HX19">
        <f>IF('Weigh-in'!CA:CA,"AAAAAH3e8uc=",0)</f>
        <v>0</v>
      </c>
      <c r="HY19">
        <f>IF('Weigh-in'!CB:CB,"AAAAAH3e8ug=",0)</f>
        <v>0</v>
      </c>
      <c r="HZ19">
        <f>IF('Weigh-in'!CC:CC,"AAAAAH3e8uk=",0)</f>
        <v>0</v>
      </c>
      <c r="IA19">
        <f>IF('Weigh-in'!CD:CD,"AAAAAH3e8uo=",0)</f>
        <v>0</v>
      </c>
      <c r="IB19">
        <f>IF('Weigh-in'!CE:CE,"AAAAAH3e8us=",0)</f>
        <v>0</v>
      </c>
      <c r="IC19">
        <f>IF('Weigh-in'!CF:CF,"AAAAAH3e8uw=",0)</f>
        <v>0</v>
      </c>
      <c r="ID19">
        <f>IF('Weigh-in'!CG:CG,"AAAAAH3e8u0=",0)</f>
        <v>0</v>
      </c>
      <c r="IE19">
        <f>IF('Weigh-in'!CH:CH,"AAAAAH3e8u4=",0)</f>
        <v>0</v>
      </c>
      <c r="IF19">
        <f>IF('Weigh-in'!CI:CI,"AAAAAH3e8u8=",0)</f>
        <v>0</v>
      </c>
      <c r="IG19">
        <f>IF('Weigh-in'!CJ:CJ,"AAAAAH3e8vA=",0)</f>
        <v>0</v>
      </c>
      <c r="IH19">
        <f>IF('Weigh-in'!CK:CK,"AAAAAH3e8vE=",0)</f>
        <v>0</v>
      </c>
      <c r="II19">
        <f>IF('Weigh-in'!CL:CL,"AAAAAH3e8vI=",0)</f>
        <v>0</v>
      </c>
      <c r="IJ19">
        <f>IF('Weigh-in'!CM:CM,"AAAAAH3e8vM=",0)</f>
        <v>0</v>
      </c>
      <c r="IK19">
        <f>IF('Weigh-in'!CN:CN,"AAAAAH3e8vQ=",0)</f>
        <v>0</v>
      </c>
      <c r="IL19">
        <f>IF('Weigh-in'!CO:CO,"AAAAAH3e8vU=",0)</f>
        <v>0</v>
      </c>
      <c r="IM19">
        <f>IF('Weigh-in'!CP:CP,"AAAAAH3e8vY=",0)</f>
        <v>0</v>
      </c>
      <c r="IN19">
        <f>IF('Weigh-in'!CQ:CQ,"AAAAAH3e8vc=",0)</f>
        <v>0</v>
      </c>
      <c r="IO19">
        <f>IF('Weigh-in'!CR:CR,"AAAAAH3e8vg=",0)</f>
        <v>0</v>
      </c>
      <c r="IP19">
        <f>IF('Weigh-in'!CS:CS,"AAAAAH3e8vk=",0)</f>
        <v>0</v>
      </c>
      <c r="IQ19">
        <f>IF('Weigh-in'!CT:CT,"AAAAAH3e8vo=",0)</f>
        <v>0</v>
      </c>
      <c r="IR19">
        <f>IF('Weigh-in'!CU:CU,"AAAAAH3e8vs=",0)</f>
        <v>0</v>
      </c>
      <c r="IS19">
        <f>IF('Weigh-in'!CV:CV,"AAAAAH3e8vw=",0)</f>
        <v>0</v>
      </c>
      <c r="IT19">
        <f>IF('Weigh-in'!CW:CW,"AAAAAH3e8v0=",0)</f>
        <v>0</v>
      </c>
      <c r="IU19">
        <f>IF('Weigh-in'!CX:CX,"AAAAAH3e8v4=",0)</f>
        <v>0</v>
      </c>
      <c r="IV19">
        <f>IF('Weigh-in'!CY:CY,"AAAAAH3e8v8=",0)</f>
        <v>0</v>
      </c>
    </row>
    <row r="20" spans="1:256">
      <c r="A20">
        <f ca="1">IF(Lifting!1:1,"AAAAAHvt5QA=",0)</f>
        <v>0</v>
      </c>
      <c r="B20" t="b">
        <f ca="1">AND(Lifting!A1,"AAAAAHvt5QE=")</f>
        <v>0</v>
      </c>
      <c r="C20" t="e">
        <f>AND(Lifting!B1,"AAAAAHvt5QI=")</f>
        <v>#VALUE!</v>
      </c>
      <c r="D20" t="e">
        <f>AND(Lifting!C1,"AAAAAHvt5QM=")</f>
        <v>#VALUE!</v>
      </c>
      <c r="E20" t="e">
        <f>AND(Lifting!D1,"AAAAAHvt5QQ=")</f>
        <v>#VALUE!</v>
      </c>
      <c r="F20" t="e">
        <f>AND(Lifting!E1,"AAAAAHvt5QU=")</f>
        <v>#VALUE!</v>
      </c>
      <c r="G20" t="e">
        <f>AND(Lifting!F1,"AAAAAHvt5QY=")</f>
        <v>#VALUE!</v>
      </c>
      <c r="H20" t="e">
        <f>AND(Lifting!G1,"AAAAAHvt5Qc=")</f>
        <v>#VALUE!</v>
      </c>
      <c r="I20" t="e">
        <f>AND(Lifting!H1,"AAAAAHvt5Qg=")</f>
        <v>#VALUE!</v>
      </c>
      <c r="J20" t="e">
        <f>AND(Lifting!I1,"AAAAAHvt5Qk=")</f>
        <v>#VALUE!</v>
      </c>
      <c r="K20" t="b">
        <f ca="1">AND(Lifting!J1,"AAAAAHvt5Qo=")</f>
        <v>1</v>
      </c>
      <c r="L20" t="e">
        <f>AND(Lifting!K1,"AAAAAHvt5Qs=")</f>
        <v>#VALUE!</v>
      </c>
      <c r="M20" t="e">
        <f>AND(Lifting!L1,"AAAAAHvt5Qw=")</f>
        <v>#VALUE!</v>
      </c>
      <c r="N20" t="e">
        <f>AND(Lifting!M1,"AAAAAHvt5Q0=")</f>
        <v>#VALUE!</v>
      </c>
      <c r="O20" t="e">
        <f>AND(Lifting!N1,"AAAAAHvt5Q4=")</f>
        <v>#VALUE!</v>
      </c>
      <c r="P20" t="e">
        <f>AND(Lifting!O1,"AAAAAHvt5Q8=")</f>
        <v>#VALUE!</v>
      </c>
      <c r="Q20" t="e">
        <f>AND(Lifting!P1,"AAAAAHvt5RA=")</f>
        <v>#VALUE!</v>
      </c>
      <c r="R20" t="e">
        <f>AND(Lifting!Q1,"AAAAAHvt5RE=")</f>
        <v>#VALUE!</v>
      </c>
      <c r="S20" t="e">
        <f>AND(Lifting!R1,"AAAAAHvt5RI=")</f>
        <v>#VALUE!</v>
      </c>
      <c r="T20" t="e">
        <f>AND(Lifting!S1,"AAAAAHvt5RM=")</f>
        <v>#VALUE!</v>
      </c>
      <c r="U20" t="e">
        <f>AND(Lifting!T1,"AAAAAHvt5RQ=")</f>
        <v>#VALUE!</v>
      </c>
      <c r="V20" t="e">
        <f>AND(Lifting!U1,"AAAAAHvt5RU=")</f>
        <v>#VALUE!</v>
      </c>
      <c r="W20" t="e">
        <f>AND(Lifting!V1,"AAAAAHvt5RY=")</f>
        <v>#VALUE!</v>
      </c>
      <c r="X20" t="e">
        <f>AND(Lifting!W1,"AAAAAHvt5Rc=")</f>
        <v>#VALUE!</v>
      </c>
      <c r="Y20" t="e">
        <f>AND(Lifting!X1,"AAAAAHvt5Rg=")</f>
        <v>#VALUE!</v>
      </c>
      <c r="Z20" t="e">
        <f>AND(Lifting!Y1,"AAAAAHvt5Rk=")</f>
        <v>#VALUE!</v>
      </c>
      <c r="AA20" t="e">
        <f>AND(Lifting!Z1,"AAAAAHvt5Ro=")</f>
        <v>#VALUE!</v>
      </c>
      <c r="AB20" t="e">
        <f>AND(Lifting!AA1,"AAAAAHvt5Rs=")</f>
        <v>#VALUE!</v>
      </c>
      <c r="AC20" t="e">
        <f>AND(Lifting!AB1,"AAAAAHvt5Rw=")</f>
        <v>#VALUE!</v>
      </c>
      <c r="AD20" t="e">
        <f>AND(Lifting!AC1,"AAAAAHvt5R0=")</f>
        <v>#VALUE!</v>
      </c>
      <c r="AE20" t="e">
        <f>AND(Lifting!AD1,"AAAAAHvt5R4=")</f>
        <v>#VALUE!</v>
      </c>
      <c r="AF20" t="e">
        <f>AND(Lifting!AE1,"AAAAAHvt5R8=")</f>
        <v>#VALUE!</v>
      </c>
      <c r="AG20" t="e">
        <f>AND(Lifting!AF1,"AAAAAHvt5SA=")</f>
        <v>#VALUE!</v>
      </c>
      <c r="AH20" t="e">
        <f>AND(Lifting!AG1,"AAAAAHvt5SE=")</f>
        <v>#VALUE!</v>
      </c>
      <c r="AI20" t="b">
        <f ca="1">AND(Lifting!AH1,"AAAAAHvt5SI=")</f>
        <v>1</v>
      </c>
      <c r="AJ20" t="e">
        <f>AND(Lifting!AI1,"AAAAAHvt5SM=")</f>
        <v>#VALUE!</v>
      </c>
      <c r="AK20" t="e">
        <f>AND(Lifting!AJ1,"AAAAAHvt5SQ=")</f>
        <v>#VALUE!</v>
      </c>
      <c r="AL20" t="e">
        <f>AND(Lifting!AK1,"AAAAAHvt5SU=")</f>
        <v>#VALUE!</v>
      </c>
      <c r="AM20" t="e">
        <f>AND(Lifting!AL1,"AAAAAHvt5SY=")</f>
        <v>#VALUE!</v>
      </c>
      <c r="AN20" t="e">
        <f>AND(Lifting!AM1,"AAAAAHvt5Sc=")</f>
        <v>#VALUE!</v>
      </c>
      <c r="AO20" t="e">
        <f>AND(Lifting!AN1,"AAAAAHvt5Sg=")</f>
        <v>#VALUE!</v>
      </c>
      <c r="AP20" t="e">
        <f>AND(Lifting!AO1,"AAAAAHvt5Sk=")</f>
        <v>#VALUE!</v>
      </c>
      <c r="AQ20" t="e">
        <f>AND(Lifting!AP1,"AAAAAHvt5So=")</f>
        <v>#VALUE!</v>
      </c>
      <c r="AR20" t="e">
        <f>AND(Lifting!AQ1,"AAAAAHvt5Ss=")</f>
        <v>#VALUE!</v>
      </c>
      <c r="AS20" t="e">
        <f>AND(Lifting!AR1,"AAAAAHvt5Sw=")</f>
        <v>#VALUE!</v>
      </c>
      <c r="AT20" t="e">
        <f>AND(Lifting!AS1,"AAAAAHvt5S0=")</f>
        <v>#VALUE!</v>
      </c>
      <c r="AU20" t="e">
        <f>AND(Lifting!AT1,"AAAAAHvt5S4=")</f>
        <v>#VALUE!</v>
      </c>
      <c r="AV20" t="e">
        <f>AND(Lifting!AU1,"AAAAAHvt5S8=")</f>
        <v>#VALUE!</v>
      </c>
      <c r="AW20" t="e">
        <f>AND(Lifting!AV1,"AAAAAHvt5TA=")</f>
        <v>#VALUE!</v>
      </c>
      <c r="AX20" t="e">
        <f>AND(Lifting!AW1,"AAAAAHvt5TE=")</f>
        <v>#VALUE!</v>
      </c>
      <c r="AY20" t="e">
        <f>AND(Lifting!AX1,"AAAAAHvt5TI=")</f>
        <v>#VALUE!</v>
      </c>
      <c r="AZ20" t="e">
        <f>AND(Lifting!AY1,"AAAAAHvt5TM=")</f>
        <v>#VALUE!</v>
      </c>
      <c r="BA20" t="e">
        <f>AND(Lifting!AZ1,"AAAAAHvt5TQ=")</f>
        <v>#VALUE!</v>
      </c>
      <c r="BB20" t="e">
        <f>AND(Lifting!BA1,"AAAAAHvt5TU=")</f>
        <v>#VALUE!</v>
      </c>
      <c r="BC20" t="e">
        <f>AND(Lifting!BB1,"AAAAAHvt5TY=")</f>
        <v>#VALUE!</v>
      </c>
      <c r="BD20" t="e">
        <f>AND(Lifting!BC1,"AAAAAHvt5Tc=")</f>
        <v>#VALUE!</v>
      </c>
      <c r="BE20" t="e">
        <f>AND(Lifting!BD1,"AAAAAHvt5Tg=")</f>
        <v>#VALUE!</v>
      </c>
      <c r="BF20" t="e">
        <f>AND(Lifting!BE1,"AAAAAHvt5Tk=")</f>
        <v>#VALUE!</v>
      </c>
      <c r="BG20" t="b">
        <f>AND(Lifting!BF1,"AAAAAHvt5To=")</f>
        <v>0</v>
      </c>
      <c r="BH20" t="b">
        <f>AND(Lifting!BG1,"AAAAAHvt5Ts=")</f>
        <v>0</v>
      </c>
      <c r="BI20" t="b">
        <f>AND(Lifting!BH1,"AAAAAHvt5Tw=")</f>
        <v>0</v>
      </c>
      <c r="BJ20" t="b">
        <f>AND(Lifting!BI1,"AAAAAHvt5T0=")</f>
        <v>0</v>
      </c>
      <c r="BK20" t="b">
        <f>AND(Lifting!BJ1,"AAAAAHvt5T4=")</f>
        <v>0</v>
      </c>
      <c r="BL20" t="b">
        <f>AND(Lifting!BK1,"AAAAAHvt5T8=")</f>
        <v>0</v>
      </c>
      <c r="BM20" t="b">
        <f>AND(Lifting!BL1,"AAAAAHvt5UA=")</f>
        <v>0</v>
      </c>
      <c r="BN20" t="b">
        <f>AND(Lifting!BM1,"AAAAAHvt5UE=")</f>
        <v>0</v>
      </c>
      <c r="BO20" t="e">
        <f>AND(Lifting!BN1,"AAAAAHvt5UI=")</f>
        <v>#VALUE!</v>
      </c>
      <c r="BP20" t="e">
        <f>AND(Lifting!BO1,"AAAAAHvt5UM=")</f>
        <v>#VALUE!</v>
      </c>
      <c r="BQ20" t="e">
        <f>AND(Lifting!BP1,"AAAAAHvt5UQ=")</f>
        <v>#VALUE!</v>
      </c>
      <c r="BR20" t="b">
        <f>AND(Lifting!BQ1,"AAAAAHvt5UU=")</f>
        <v>0</v>
      </c>
      <c r="BS20" t="e">
        <f>AND(Lifting!BR1,"AAAAAHvt5UY=")</f>
        <v>#VALUE!</v>
      </c>
      <c r="BT20" t="e">
        <f>AND(Lifting!BS1,"AAAAAHvt5Uc=")</f>
        <v>#VALUE!</v>
      </c>
      <c r="BU20" t="e">
        <f>AND(Lifting!BT1,"AAAAAHvt5Ug=")</f>
        <v>#VALUE!</v>
      </c>
      <c r="BV20" t="e">
        <f>AND(Lifting!BU1,"AAAAAHvt5Uk=")</f>
        <v>#VALUE!</v>
      </c>
      <c r="BW20" t="e">
        <f>AND(Lifting!BV1,"AAAAAHvt5Uo=")</f>
        <v>#VALUE!</v>
      </c>
      <c r="BX20" t="e">
        <f>AND(Lifting!BW1,"AAAAAHvt5Us=")</f>
        <v>#VALUE!</v>
      </c>
      <c r="BY20" t="e">
        <f>AND(Lifting!BX1,"AAAAAHvt5Uw=")</f>
        <v>#VALUE!</v>
      </c>
      <c r="BZ20" t="e">
        <f>AND(Lifting!BY1,"AAAAAHvt5U0=")</f>
        <v>#VALUE!</v>
      </c>
      <c r="CA20" t="e">
        <f>AND(Lifting!BZ1,"AAAAAHvt5U4=")</f>
        <v>#VALUE!</v>
      </c>
      <c r="CB20" t="e">
        <f>AND(Lifting!CA1,"AAAAAHvt5U8=")</f>
        <v>#VALUE!</v>
      </c>
      <c r="CC20" t="e">
        <f>AND(Lifting!CB1,"AAAAAHvt5VA=")</f>
        <v>#VALUE!</v>
      </c>
      <c r="CD20" t="e">
        <f>AND(Lifting!CC1,"AAAAAHvt5VE=")</f>
        <v>#VALUE!</v>
      </c>
      <c r="CE20" t="e">
        <f>AND(Lifting!CD1,"AAAAAHvt5VI=")</f>
        <v>#VALUE!</v>
      </c>
      <c r="CF20" t="e">
        <f>AND(Lifting!CE1,"AAAAAHvt5VM=")</f>
        <v>#VALUE!</v>
      </c>
      <c r="CG20" t="e">
        <f>AND(Lifting!CF1,"AAAAAHvt5VQ=")</f>
        <v>#VALUE!</v>
      </c>
      <c r="CH20" t="e">
        <f>AND(Lifting!CG1,"AAAAAHvt5VU=")</f>
        <v>#VALUE!</v>
      </c>
      <c r="CI20" t="e">
        <f>AND(Lifting!CH1,"AAAAAHvt5VY=")</f>
        <v>#VALUE!</v>
      </c>
      <c r="CJ20" t="e">
        <f>AND(Lifting!CI1,"AAAAAHvt5Vc=")</f>
        <v>#VALUE!</v>
      </c>
      <c r="CK20" t="e">
        <f>AND(Lifting!CJ1,"AAAAAHvt5Vg=")</f>
        <v>#VALUE!</v>
      </c>
      <c r="CL20" t="e">
        <f>AND(Lifting!CK1,"AAAAAHvt5Vk=")</f>
        <v>#VALUE!</v>
      </c>
      <c r="CM20" t="e">
        <f>AND(Lifting!CL1,"AAAAAHvt5Vo=")</f>
        <v>#VALUE!</v>
      </c>
      <c r="CN20" t="e">
        <f>AND(Lifting!CM1,"AAAAAHvt5Vs=")</f>
        <v>#VALUE!</v>
      </c>
      <c r="CO20" t="e">
        <f>AND(Lifting!CN1,"AAAAAHvt5Vw=")</f>
        <v>#VALUE!</v>
      </c>
      <c r="CP20" t="e">
        <f>AND(Lifting!CO1,"AAAAAHvt5V0=")</f>
        <v>#VALUE!</v>
      </c>
      <c r="CQ20" t="e">
        <f>AND(Lifting!CP1,"AAAAAHvt5V4=")</f>
        <v>#VALUE!</v>
      </c>
      <c r="CR20" t="e">
        <f>AND(Lifting!CQ1,"AAAAAHvt5V8=")</f>
        <v>#VALUE!</v>
      </c>
      <c r="CS20" t="e">
        <f>AND(Lifting!CR1,"AAAAAHvt5WA=")</f>
        <v>#VALUE!</v>
      </c>
      <c r="CT20" t="e">
        <f>AND(Lifting!CS1,"AAAAAHvt5WE=")</f>
        <v>#VALUE!</v>
      </c>
      <c r="CU20" t="e">
        <f>AND(Lifting!CT1,"AAAAAHvt5WI=")</f>
        <v>#VALUE!</v>
      </c>
      <c r="CV20" t="e">
        <f>AND(Lifting!CU1,"AAAAAHvt5WM=")</f>
        <v>#VALUE!</v>
      </c>
      <c r="CW20" t="e">
        <f>AND(Lifting!CV1,"AAAAAHvt5WQ=")</f>
        <v>#VALUE!</v>
      </c>
      <c r="CX20" t="e">
        <f>AND(Lifting!CW1,"AAAAAHvt5WU=")</f>
        <v>#VALUE!</v>
      </c>
      <c r="CY20" t="e">
        <f>AND(Lifting!CX1,"AAAAAHvt5WY=")</f>
        <v>#VALUE!</v>
      </c>
      <c r="CZ20" t="e">
        <f>AND(Lifting!CY1,"AAAAAHvt5Wc=")</f>
        <v>#VALUE!</v>
      </c>
      <c r="DA20" t="e">
        <f>AND(Lifting!CZ1,"AAAAAHvt5Wg=")</f>
        <v>#VALUE!</v>
      </c>
      <c r="DB20" t="e">
        <f>AND(Lifting!DA1,"AAAAAHvt5Wk=")</f>
        <v>#VALUE!</v>
      </c>
      <c r="DC20" t="e">
        <f>AND(Lifting!DB1,"AAAAAHvt5Wo=")</f>
        <v>#VALUE!</v>
      </c>
      <c r="DD20" t="e">
        <f>AND(Lifting!DC1,"AAAAAHvt5Ws=")</f>
        <v>#VALUE!</v>
      </c>
      <c r="DE20" t="e">
        <f>AND(Lifting!DD1,"AAAAAHvt5Ww=")</f>
        <v>#VALUE!</v>
      </c>
      <c r="DF20" t="e">
        <f>AND(Lifting!DE1,"AAAAAHvt5W0=")</f>
        <v>#VALUE!</v>
      </c>
      <c r="DG20" t="e">
        <f>AND(Lifting!DF1,"AAAAAHvt5W4=")</f>
        <v>#VALUE!</v>
      </c>
      <c r="DH20" t="e">
        <f>AND(Lifting!DG1,"AAAAAHvt5W8=")</f>
        <v>#VALUE!</v>
      </c>
      <c r="DI20" t="e">
        <f>AND(Lifting!DH1,"AAAAAHvt5XA=")</f>
        <v>#VALUE!</v>
      </c>
      <c r="DJ20" t="e">
        <f>AND(Lifting!DI1,"AAAAAHvt5XE=")</f>
        <v>#VALUE!</v>
      </c>
      <c r="DK20" t="e">
        <f>AND(Lifting!DJ1,"AAAAAHvt5XI=")</f>
        <v>#VALUE!</v>
      </c>
      <c r="DL20" t="e">
        <f>AND(Lifting!DK1,"AAAAAHvt5XM=")</f>
        <v>#VALUE!</v>
      </c>
      <c r="DM20" t="e">
        <f>AND(Lifting!DL1,"AAAAAHvt5XQ=")</f>
        <v>#VALUE!</v>
      </c>
      <c r="DN20" t="e">
        <f>AND(Lifting!DM1,"AAAAAHvt5XU=")</f>
        <v>#VALUE!</v>
      </c>
      <c r="DO20" t="e">
        <f>AND(Lifting!DN1,"AAAAAHvt5XY=")</f>
        <v>#VALUE!</v>
      </c>
      <c r="DP20" t="e">
        <f>AND(Lifting!DO1,"AAAAAHvt5Xc=")</f>
        <v>#VALUE!</v>
      </c>
      <c r="DQ20" t="e">
        <f>AND(Lifting!DP1,"AAAAAHvt5Xg=")</f>
        <v>#VALUE!</v>
      </c>
      <c r="DR20" t="e">
        <f>AND(Lifting!DQ1,"AAAAAHvt5Xk=")</f>
        <v>#VALUE!</v>
      </c>
      <c r="DS20" t="e">
        <f>AND(Lifting!DR1,"AAAAAHvt5Xo=")</f>
        <v>#VALUE!</v>
      </c>
      <c r="DT20" t="e">
        <f>AND(Lifting!DS1,"AAAAAHvt5Xs=")</f>
        <v>#VALUE!</v>
      </c>
      <c r="DU20" t="e">
        <f>AND(Lifting!DT1,"AAAAAHvt5Xw=")</f>
        <v>#VALUE!</v>
      </c>
      <c r="DV20" t="e">
        <f>AND(Lifting!DU1,"AAAAAHvt5X0=")</f>
        <v>#VALUE!</v>
      </c>
      <c r="DW20" t="e">
        <f>AND(Lifting!DV1,"AAAAAHvt5X4=")</f>
        <v>#VALUE!</v>
      </c>
      <c r="DX20" t="e">
        <f>AND(Lifting!DW1,"AAAAAHvt5X8=")</f>
        <v>#VALUE!</v>
      </c>
      <c r="DY20" t="e">
        <f>AND(Lifting!DX1,"AAAAAHvt5YA=")</f>
        <v>#VALUE!</v>
      </c>
      <c r="DZ20" t="e">
        <f>AND(Lifting!DY1,"AAAAAHvt5YE=")</f>
        <v>#VALUE!</v>
      </c>
      <c r="EA20" t="e">
        <f>AND(Lifting!DZ1,"AAAAAHvt5YI=")</f>
        <v>#VALUE!</v>
      </c>
      <c r="EB20" t="e">
        <f>AND(Lifting!EA1,"AAAAAHvt5YM=")</f>
        <v>#VALUE!</v>
      </c>
      <c r="EC20" t="e">
        <f>AND(Lifting!EB1,"AAAAAHvt5YQ=")</f>
        <v>#VALUE!</v>
      </c>
      <c r="ED20" t="e">
        <f>AND(Lifting!EC1,"AAAAAHvt5YU=")</f>
        <v>#VALUE!</v>
      </c>
      <c r="EE20" t="e">
        <f>AND(Lifting!ED1,"AAAAAHvt5YY=")</f>
        <v>#VALUE!</v>
      </c>
      <c r="EF20" t="e">
        <f>AND(Lifting!EE1,"AAAAAHvt5Yc=")</f>
        <v>#VALUE!</v>
      </c>
      <c r="EG20" t="e">
        <f>AND(Lifting!EF1,"AAAAAHvt5Yg=")</f>
        <v>#VALUE!</v>
      </c>
      <c r="EH20" t="e">
        <f>AND(Lifting!EG1,"AAAAAHvt5Yk=")</f>
        <v>#VALUE!</v>
      </c>
      <c r="EI20" t="e">
        <f>AND(Lifting!EH1,"AAAAAHvt5Yo=")</f>
        <v>#VALUE!</v>
      </c>
      <c r="EJ20" t="e">
        <f>AND(Lifting!EI1,"AAAAAHvt5Ys=")</f>
        <v>#VALUE!</v>
      </c>
      <c r="EK20" t="e">
        <f>AND(Lifting!EJ1,"AAAAAHvt5Yw=")</f>
        <v>#VALUE!</v>
      </c>
      <c r="EL20" t="e">
        <f>AND(Lifting!EK1,"AAAAAHvt5Y0=")</f>
        <v>#VALUE!</v>
      </c>
      <c r="EM20" t="e">
        <f>AND(Lifting!EL1,"AAAAAHvt5Y4=")</f>
        <v>#VALUE!</v>
      </c>
      <c r="EN20" t="e">
        <f>AND(Lifting!EM1,"AAAAAHvt5Y8=")</f>
        <v>#VALUE!</v>
      </c>
      <c r="EO20" t="e">
        <f>AND(Lifting!EN1,"AAAAAHvt5ZA=")</f>
        <v>#VALUE!</v>
      </c>
      <c r="EP20" t="e">
        <f>AND(Lifting!EO1,"AAAAAHvt5ZE=")</f>
        <v>#VALUE!</v>
      </c>
      <c r="EQ20" t="e">
        <f>AND(Lifting!EP1,"AAAAAHvt5ZI=")</f>
        <v>#VALUE!</v>
      </c>
      <c r="ER20" t="e">
        <f>AND(Lifting!EQ1,"AAAAAHvt5ZM=")</f>
        <v>#VALUE!</v>
      </c>
      <c r="ES20" t="e">
        <f>AND(Lifting!ER1,"AAAAAHvt5ZQ=")</f>
        <v>#VALUE!</v>
      </c>
      <c r="ET20" t="e">
        <f>AND(Lifting!ES1,"AAAAAHvt5ZU=")</f>
        <v>#VALUE!</v>
      </c>
      <c r="EU20" t="e">
        <f>AND(Lifting!ET1,"AAAAAHvt5ZY=")</f>
        <v>#VALUE!</v>
      </c>
      <c r="EV20" t="e">
        <f>AND(Lifting!EU1,"AAAAAHvt5Zc=")</f>
        <v>#VALUE!</v>
      </c>
      <c r="EW20" t="e">
        <f>AND(Lifting!EV1,"AAAAAHvt5Zg=")</f>
        <v>#VALUE!</v>
      </c>
      <c r="EX20" t="e">
        <f>AND(Lifting!EW1,"AAAAAHvt5Zk=")</f>
        <v>#VALUE!</v>
      </c>
      <c r="EY20" t="e">
        <f>AND(Lifting!EX1,"AAAAAHvt5Zo=")</f>
        <v>#VALUE!</v>
      </c>
      <c r="EZ20" t="e">
        <f>AND(Lifting!EY1,"AAAAAHvt5Zs=")</f>
        <v>#VALUE!</v>
      </c>
      <c r="FA20" t="e">
        <f>AND(Lifting!EZ1,"AAAAAHvt5Zw=")</f>
        <v>#VALUE!</v>
      </c>
      <c r="FB20" t="e">
        <f>AND(Lifting!FA1,"AAAAAHvt5Z0=")</f>
        <v>#VALUE!</v>
      </c>
      <c r="FC20" t="e">
        <f>AND(Lifting!FB1,"AAAAAHvt5Z4=")</f>
        <v>#VALUE!</v>
      </c>
      <c r="FD20" t="e">
        <f>AND(Lifting!FC1,"AAAAAHvt5Z8=")</f>
        <v>#VALUE!</v>
      </c>
      <c r="FE20" t="e">
        <f>AND(Lifting!FD1,"AAAAAHvt5aA=")</f>
        <v>#VALUE!</v>
      </c>
      <c r="FF20" t="e">
        <f>AND(Lifting!FE1,"AAAAAHvt5aE=")</f>
        <v>#VALUE!</v>
      </c>
      <c r="FG20" t="e">
        <f>AND(Lifting!FF1,"AAAAAHvt5aI=")</f>
        <v>#VALUE!</v>
      </c>
      <c r="FH20" t="e">
        <f>AND(Lifting!FG1,"AAAAAHvt5aM=")</f>
        <v>#VALUE!</v>
      </c>
      <c r="FI20" t="e">
        <f>AND(Lifting!FH1,"AAAAAHvt5aQ=")</f>
        <v>#VALUE!</v>
      </c>
      <c r="FJ20" t="e">
        <f>AND(Lifting!FI1,"AAAAAHvt5aU=")</f>
        <v>#VALUE!</v>
      </c>
      <c r="FK20" t="e">
        <f>AND(Lifting!FJ1,"AAAAAHvt5aY=")</f>
        <v>#VALUE!</v>
      </c>
      <c r="FL20" t="e">
        <f>AND(Lifting!FK1,"AAAAAHvt5ac=")</f>
        <v>#VALUE!</v>
      </c>
      <c r="FM20" t="e">
        <f>AND(Lifting!FL1,"AAAAAHvt5ag=")</f>
        <v>#VALUE!</v>
      </c>
      <c r="FN20" t="e">
        <f>AND(Lifting!FM1,"AAAAAHvt5ak=")</f>
        <v>#VALUE!</v>
      </c>
      <c r="FO20" t="e">
        <f>AND(Lifting!FN1,"AAAAAHvt5ao=")</f>
        <v>#VALUE!</v>
      </c>
      <c r="FP20" t="e">
        <f>AND(Lifting!FO1,"AAAAAHvt5as=")</f>
        <v>#VALUE!</v>
      </c>
      <c r="FQ20" t="e">
        <f>AND(Lifting!FP1,"AAAAAHvt5aw=")</f>
        <v>#VALUE!</v>
      </c>
      <c r="FR20" t="e">
        <f>AND(Lifting!FQ1,"AAAAAHvt5a0=")</f>
        <v>#VALUE!</v>
      </c>
      <c r="FS20" t="e">
        <f>AND(Lifting!FR1,"AAAAAHvt5a4=")</f>
        <v>#VALUE!</v>
      </c>
      <c r="FT20" t="e">
        <f>AND(Lifting!FS1,"AAAAAHvt5a8=")</f>
        <v>#VALUE!</v>
      </c>
      <c r="FU20" t="e">
        <f>AND(Lifting!FT1,"AAAAAHvt5bA=")</f>
        <v>#VALUE!</v>
      </c>
      <c r="FV20">
        <f>IF(Lifting!2:2,"AAAAAHvt5bE=",0)</f>
        <v>0</v>
      </c>
      <c r="FW20" t="e">
        <f ca="1">AND(Lifting!A2,"AAAAAHvt5bI=")</f>
        <v>#N/A</v>
      </c>
      <c r="FX20" t="e">
        <f>AND(Lifting!B2,"AAAAAHvt5bM=")</f>
        <v>#VALUE!</v>
      </c>
      <c r="FY20" t="e">
        <f>AND(Lifting!C2,"AAAAAHvt5bQ=")</f>
        <v>#VALUE!</v>
      </c>
      <c r="FZ20" t="e">
        <f>AND(Lifting!D2,"AAAAAHvt5bU=")</f>
        <v>#VALUE!</v>
      </c>
      <c r="GA20" t="e">
        <f>AND(Lifting!E2,"AAAAAHvt5bY=")</f>
        <v>#VALUE!</v>
      </c>
      <c r="GB20" t="e">
        <f ca="1">AND(Lifting!F2,"AAAAAHvt5bc=")</f>
        <v>#N/A</v>
      </c>
      <c r="GC20" t="e">
        <f>AND(Lifting!G2,"AAAAAHvt5bg=")</f>
        <v>#VALUE!</v>
      </c>
      <c r="GD20" t="e">
        <f ca="1">AND(Lifting!H2,"AAAAAHvt5bk=")</f>
        <v>#N/A</v>
      </c>
      <c r="GE20" t="e">
        <f ca="1">AND(Lifting!I2,"AAAAAHvt5bo=")</f>
        <v>#N/A</v>
      </c>
      <c r="GF20" t="e">
        <f>AND(Lifting!J2,"AAAAAHvt5bs=")</f>
        <v>#VALUE!</v>
      </c>
      <c r="GG20" t="e">
        <f>AND(Lifting!K2,"AAAAAHvt5bw=")</f>
        <v>#VALUE!</v>
      </c>
      <c r="GH20" t="e">
        <f>AND(Lifting!L2,"AAAAAHvt5b0=")</f>
        <v>#VALUE!</v>
      </c>
      <c r="GI20" t="e">
        <f>AND(Lifting!M2,"AAAAAHvt5b4=")</f>
        <v>#VALUE!</v>
      </c>
      <c r="GJ20" t="e">
        <f>AND(Lifting!N2,"AAAAAHvt5b8=")</f>
        <v>#VALUE!</v>
      </c>
      <c r="GK20" t="e">
        <f>AND(Lifting!O2,"AAAAAHvt5cA=")</f>
        <v>#VALUE!</v>
      </c>
      <c r="GL20" t="e">
        <f>AND(Lifting!P2,"AAAAAHvt5cE=")</f>
        <v>#VALUE!</v>
      </c>
      <c r="GM20" t="e">
        <f>AND(Lifting!Q2,"AAAAAHvt5cI=")</f>
        <v>#VALUE!</v>
      </c>
      <c r="GN20" t="e">
        <f>AND(Lifting!R2,"AAAAAHvt5cM=")</f>
        <v>#VALUE!</v>
      </c>
      <c r="GO20" t="e">
        <f>AND(Lifting!S2,"AAAAAHvt5cQ=")</f>
        <v>#VALUE!</v>
      </c>
      <c r="GP20" t="e">
        <f>AND(Lifting!T2,"AAAAAHvt5cU=")</f>
        <v>#VALUE!</v>
      </c>
      <c r="GQ20" t="e">
        <f>AND(Lifting!U2,"AAAAAHvt5cY=")</f>
        <v>#VALUE!</v>
      </c>
      <c r="GR20" t="e">
        <f>AND(Lifting!V2,"AAAAAHvt5cc=")</f>
        <v>#VALUE!</v>
      </c>
      <c r="GS20" t="e">
        <f>AND(Lifting!W2,"AAAAAHvt5cg=")</f>
        <v>#VALUE!</v>
      </c>
      <c r="GT20" t="e">
        <f>AND(Lifting!X2,"AAAAAHvt5ck=")</f>
        <v>#VALUE!</v>
      </c>
      <c r="GU20" t="e">
        <f>AND(Lifting!Y2,"AAAAAHvt5co=")</f>
        <v>#VALUE!</v>
      </c>
      <c r="GV20" t="e">
        <f>AND(Lifting!Z2,"AAAAAHvt5cs=")</f>
        <v>#VALUE!</v>
      </c>
      <c r="GW20" t="e">
        <f>AND(Lifting!AA2,"AAAAAHvt5cw=")</f>
        <v>#VALUE!</v>
      </c>
      <c r="GX20" t="e">
        <f>AND(Lifting!AB2,"AAAAAHvt5c0=")</f>
        <v>#VALUE!</v>
      </c>
      <c r="GY20" t="e">
        <f>AND(Lifting!AC2,"AAAAAHvt5c4=")</f>
        <v>#VALUE!</v>
      </c>
      <c r="GZ20" t="e">
        <f>AND(Lifting!AD2,"AAAAAHvt5c8=")</f>
        <v>#VALUE!</v>
      </c>
      <c r="HA20" t="e">
        <f>AND(Lifting!AE2,"AAAAAHvt5dA=")</f>
        <v>#VALUE!</v>
      </c>
      <c r="HB20" t="e">
        <f>AND(Lifting!AF2,"AAAAAHvt5dE=")</f>
        <v>#VALUE!</v>
      </c>
      <c r="HC20" t="e">
        <f>AND(Lifting!AG2,"AAAAAHvt5dI=")</f>
        <v>#VALUE!</v>
      </c>
      <c r="HD20" t="e">
        <f>AND(Lifting!AH2,"AAAAAHvt5dM=")</f>
        <v>#VALUE!</v>
      </c>
      <c r="HE20" t="e">
        <f>AND(Lifting!AI2,"AAAAAHvt5dQ=")</f>
        <v>#VALUE!</v>
      </c>
      <c r="HF20" t="e">
        <f>AND(Lifting!AJ2,"AAAAAHvt5dU=")</f>
        <v>#VALUE!</v>
      </c>
      <c r="HG20" t="e">
        <f>AND(Lifting!AK2,"AAAAAHvt5dY=")</f>
        <v>#VALUE!</v>
      </c>
      <c r="HH20" t="e">
        <f>AND(Lifting!AL2,"AAAAAHvt5dc=")</f>
        <v>#VALUE!</v>
      </c>
      <c r="HI20" t="e">
        <f>AND(Lifting!AM2,"AAAAAHvt5dg=")</f>
        <v>#VALUE!</v>
      </c>
      <c r="HJ20" t="e">
        <f>AND(Lifting!AN2,"AAAAAHvt5dk=")</f>
        <v>#VALUE!</v>
      </c>
      <c r="HK20" t="e">
        <f>AND(Lifting!AO2,"AAAAAHvt5do=")</f>
        <v>#VALUE!</v>
      </c>
      <c r="HL20" t="e">
        <f>AND(Lifting!AP2,"AAAAAHvt5ds=")</f>
        <v>#VALUE!</v>
      </c>
      <c r="HM20" t="e">
        <f>AND(Lifting!AQ2,"AAAAAHvt5dw=")</f>
        <v>#VALUE!</v>
      </c>
      <c r="HN20" t="e">
        <f>AND(Lifting!AR2,"AAAAAHvt5d0=")</f>
        <v>#VALUE!</v>
      </c>
      <c r="HO20" t="e">
        <f>AND(Lifting!AS2,"AAAAAHvt5d4=")</f>
        <v>#VALUE!</v>
      </c>
      <c r="HP20" t="e">
        <f>AND(Lifting!AT2,"AAAAAHvt5d8=")</f>
        <v>#VALUE!</v>
      </c>
      <c r="HQ20" t="e">
        <f>AND(Lifting!AU2,"AAAAAHvt5eA=")</f>
        <v>#VALUE!</v>
      </c>
      <c r="HR20" t="e">
        <f>AND(Lifting!AV2,"AAAAAHvt5eE=")</f>
        <v>#VALUE!</v>
      </c>
      <c r="HS20" t="e">
        <f>AND(Lifting!AW2,"AAAAAHvt5eI=")</f>
        <v>#VALUE!</v>
      </c>
      <c r="HT20" t="e">
        <f>AND(Lifting!AX2,"AAAAAHvt5eM=")</f>
        <v>#VALUE!</v>
      </c>
      <c r="HU20" t="e">
        <f>AND(Lifting!AY2,"AAAAAHvt5eQ=")</f>
        <v>#VALUE!</v>
      </c>
      <c r="HV20" t="e">
        <f>AND(Lifting!AZ2,"AAAAAHvt5eU=")</f>
        <v>#VALUE!</v>
      </c>
      <c r="HW20" t="e">
        <f>AND(Lifting!BA2,"AAAAAHvt5eY=")</f>
        <v>#VALUE!</v>
      </c>
      <c r="HX20" t="e">
        <f>AND(Lifting!BB2,"AAAAAHvt5ec=")</f>
        <v>#VALUE!</v>
      </c>
      <c r="HY20" t="e">
        <f>AND(Lifting!BC2,"AAAAAHvt5eg=")</f>
        <v>#VALUE!</v>
      </c>
      <c r="HZ20" t="e">
        <f>AND(Lifting!BD2,"AAAAAHvt5ek=")</f>
        <v>#VALUE!</v>
      </c>
      <c r="IA20" t="e">
        <f>AND(Lifting!BE2,"AAAAAHvt5eo=")</f>
        <v>#VALUE!</v>
      </c>
      <c r="IB20" t="e">
        <f>AND(Lifting!BF2,"AAAAAHvt5es=")</f>
        <v>#VALUE!</v>
      </c>
      <c r="IC20" t="e">
        <f>AND(Lifting!BG2,"AAAAAHvt5ew=")</f>
        <v>#VALUE!</v>
      </c>
      <c r="ID20" t="e">
        <f>AND(Lifting!BH2,"AAAAAHvt5e0=")</f>
        <v>#VALUE!</v>
      </c>
      <c r="IE20" t="e">
        <f>AND(Lifting!BI2,"AAAAAHvt5e4=")</f>
        <v>#VALUE!</v>
      </c>
      <c r="IF20" t="e">
        <f>AND(Lifting!BJ2,"AAAAAHvt5e8=")</f>
        <v>#VALUE!</v>
      </c>
      <c r="IG20" t="e">
        <f>AND(Lifting!BK2,"AAAAAHvt5fA=")</f>
        <v>#VALUE!</v>
      </c>
      <c r="IH20" t="e">
        <f>AND(Lifting!BL2,"AAAAAHvt5fE=")</f>
        <v>#VALUE!</v>
      </c>
      <c r="II20" t="e">
        <f>AND(Lifting!BM2,"AAAAAHvt5fI=")</f>
        <v>#VALUE!</v>
      </c>
      <c r="IJ20" t="e">
        <f>AND(Lifting!BN2,"AAAAAHvt5fM=")</f>
        <v>#VALUE!</v>
      </c>
      <c r="IK20" t="e">
        <f>AND(Lifting!BO2,"AAAAAHvt5fQ=")</f>
        <v>#VALUE!</v>
      </c>
      <c r="IL20" t="e">
        <f>AND(Lifting!BP2,"AAAAAHvt5fU=")</f>
        <v>#VALUE!</v>
      </c>
      <c r="IM20" t="b">
        <f>AND(Lifting!BQ2,"AAAAAHvt5fY=")</f>
        <v>1</v>
      </c>
      <c r="IN20" t="e">
        <f>AND(Lifting!BR2,"AAAAAHvt5fc=")</f>
        <v>#VALUE!</v>
      </c>
      <c r="IO20" t="e">
        <f>AND(Lifting!BS2,"AAAAAHvt5fg=")</f>
        <v>#VALUE!</v>
      </c>
      <c r="IP20" t="e">
        <f>AND(Lifting!BT2,"AAAAAHvt5fk=")</f>
        <v>#VALUE!</v>
      </c>
      <c r="IQ20" t="e">
        <f>AND(Lifting!BU2,"AAAAAHvt5fo=")</f>
        <v>#VALUE!</v>
      </c>
      <c r="IR20" t="e">
        <f>AND(Lifting!BV2,"AAAAAHvt5fs=")</f>
        <v>#VALUE!</v>
      </c>
      <c r="IS20" t="e">
        <f>AND(Lifting!BW2,"AAAAAHvt5fw=")</f>
        <v>#VALUE!</v>
      </c>
      <c r="IT20" t="e">
        <f>AND(Lifting!BX2,"AAAAAHvt5f0=")</f>
        <v>#VALUE!</v>
      </c>
      <c r="IU20" t="e">
        <f>AND(Lifting!BY2,"AAAAAHvt5f4=")</f>
        <v>#VALUE!</v>
      </c>
      <c r="IV20" t="e">
        <f>AND(Lifting!BZ2,"AAAAAHvt5f8=")</f>
        <v>#VALUE!</v>
      </c>
    </row>
    <row r="21" spans="1:256">
      <c r="A21" t="e">
        <f>AND(Lifting!CA2,"AAAAAD6/+QA=")</f>
        <v>#VALUE!</v>
      </c>
      <c r="B21" t="e">
        <f>AND(Lifting!CB2,"AAAAAD6/+QE=")</f>
        <v>#VALUE!</v>
      </c>
      <c r="C21" t="e">
        <f>AND(Lifting!CC2,"AAAAAD6/+QI=")</f>
        <v>#VALUE!</v>
      </c>
      <c r="D21" t="e">
        <f>AND(Lifting!CD2,"AAAAAD6/+QM=")</f>
        <v>#VALUE!</v>
      </c>
      <c r="E21" t="e">
        <f>AND(Lifting!CE2,"AAAAAD6/+QQ=")</f>
        <v>#VALUE!</v>
      </c>
      <c r="F21" t="e">
        <f>AND(Lifting!CF2,"AAAAAD6/+QU=")</f>
        <v>#VALUE!</v>
      </c>
      <c r="G21" t="e">
        <f>AND(Lifting!CG2,"AAAAAD6/+QY=")</f>
        <v>#VALUE!</v>
      </c>
      <c r="H21" t="e">
        <f>AND(Lifting!CH2,"AAAAAD6/+Qc=")</f>
        <v>#VALUE!</v>
      </c>
      <c r="I21" t="e">
        <f>AND(Lifting!CI2,"AAAAAD6/+Qg=")</f>
        <v>#VALUE!</v>
      </c>
      <c r="J21" t="e">
        <f>AND(Lifting!CJ2,"AAAAAD6/+Qk=")</f>
        <v>#VALUE!</v>
      </c>
      <c r="K21" t="e">
        <f>AND(Lifting!CK2,"AAAAAD6/+Qo=")</f>
        <v>#VALUE!</v>
      </c>
      <c r="L21" t="e">
        <f>AND(Lifting!CL2,"AAAAAD6/+Qs=")</f>
        <v>#VALUE!</v>
      </c>
      <c r="M21" t="e">
        <f>AND(Lifting!CM2,"AAAAAD6/+Qw=")</f>
        <v>#VALUE!</v>
      </c>
      <c r="N21" t="e">
        <f>AND(Lifting!CN2,"AAAAAD6/+Q0=")</f>
        <v>#VALUE!</v>
      </c>
      <c r="O21" t="e">
        <f>AND(Lifting!CO2,"AAAAAD6/+Q4=")</f>
        <v>#VALUE!</v>
      </c>
      <c r="P21" t="e">
        <f>AND(Lifting!CP2,"AAAAAD6/+Q8=")</f>
        <v>#VALUE!</v>
      </c>
      <c r="Q21" t="e">
        <f>AND(Lifting!CQ2,"AAAAAD6/+RA=")</f>
        <v>#VALUE!</v>
      </c>
      <c r="R21" t="e">
        <f>AND(Lifting!CR2,"AAAAAD6/+RE=")</f>
        <v>#VALUE!</v>
      </c>
      <c r="S21" t="e">
        <f>AND(Lifting!CS2,"AAAAAD6/+RI=")</f>
        <v>#VALUE!</v>
      </c>
      <c r="T21" t="e">
        <f>AND(Lifting!CT2,"AAAAAD6/+RM=")</f>
        <v>#VALUE!</v>
      </c>
      <c r="U21" t="e">
        <f>AND(Lifting!CU2,"AAAAAD6/+RQ=")</f>
        <v>#VALUE!</v>
      </c>
      <c r="V21" t="e">
        <f>AND(Lifting!CV2,"AAAAAD6/+RU=")</f>
        <v>#VALUE!</v>
      </c>
      <c r="W21" t="e">
        <f>AND(Lifting!CW2,"AAAAAD6/+RY=")</f>
        <v>#VALUE!</v>
      </c>
      <c r="X21" t="e">
        <f>AND(Lifting!CX2,"AAAAAD6/+Rc=")</f>
        <v>#VALUE!</v>
      </c>
      <c r="Y21" t="e">
        <f>AND(Lifting!CY2,"AAAAAD6/+Rg=")</f>
        <v>#VALUE!</v>
      </c>
      <c r="Z21" t="e">
        <f>AND(Lifting!CZ2,"AAAAAD6/+Rk=")</f>
        <v>#VALUE!</v>
      </c>
      <c r="AA21" t="e">
        <f>AND(Lifting!DA2,"AAAAAD6/+Ro=")</f>
        <v>#VALUE!</v>
      </c>
      <c r="AB21" t="e">
        <f>AND(Lifting!DB2,"AAAAAD6/+Rs=")</f>
        <v>#VALUE!</v>
      </c>
      <c r="AC21" t="e">
        <f>AND(Lifting!DC2,"AAAAAD6/+Rw=")</f>
        <v>#VALUE!</v>
      </c>
      <c r="AD21" t="e">
        <f>AND(Lifting!DD2,"AAAAAD6/+R0=")</f>
        <v>#VALUE!</v>
      </c>
      <c r="AE21" t="e">
        <f>AND(Lifting!DE2,"AAAAAD6/+R4=")</f>
        <v>#VALUE!</v>
      </c>
      <c r="AF21" t="e">
        <f>AND(Lifting!DF2,"AAAAAD6/+R8=")</f>
        <v>#VALUE!</v>
      </c>
      <c r="AG21" t="e">
        <f>AND(Lifting!DG2,"AAAAAD6/+SA=")</f>
        <v>#VALUE!</v>
      </c>
      <c r="AH21" t="e">
        <f>AND(Lifting!DH2,"AAAAAD6/+SE=")</f>
        <v>#VALUE!</v>
      </c>
      <c r="AI21" t="e">
        <f>AND(Lifting!DI2,"AAAAAD6/+SI=")</f>
        <v>#VALUE!</v>
      </c>
      <c r="AJ21" t="e">
        <f>AND(Lifting!DJ2,"AAAAAD6/+SM=")</f>
        <v>#VALUE!</v>
      </c>
      <c r="AK21" t="e">
        <f>AND(Lifting!DK2,"AAAAAD6/+SQ=")</f>
        <v>#VALUE!</v>
      </c>
      <c r="AL21" t="e">
        <f>AND(Lifting!DL2,"AAAAAD6/+SU=")</f>
        <v>#VALUE!</v>
      </c>
      <c r="AM21" t="e">
        <f>AND(Lifting!DM2,"AAAAAD6/+SY=")</f>
        <v>#VALUE!</v>
      </c>
      <c r="AN21" t="e">
        <f>AND(Lifting!DN2,"AAAAAD6/+Sc=")</f>
        <v>#VALUE!</v>
      </c>
      <c r="AO21" t="e">
        <f>AND(Lifting!DO2,"AAAAAD6/+Sg=")</f>
        <v>#VALUE!</v>
      </c>
      <c r="AP21" t="e">
        <f>AND(Lifting!DP2,"AAAAAD6/+Sk=")</f>
        <v>#VALUE!</v>
      </c>
      <c r="AQ21" t="e">
        <f>AND(Lifting!DQ2,"AAAAAD6/+So=")</f>
        <v>#VALUE!</v>
      </c>
      <c r="AR21" t="e">
        <f>AND(Lifting!DR2,"AAAAAD6/+Ss=")</f>
        <v>#VALUE!</v>
      </c>
      <c r="AS21" t="e">
        <f>AND(Lifting!DS2,"AAAAAD6/+Sw=")</f>
        <v>#VALUE!</v>
      </c>
      <c r="AT21" t="e">
        <f>AND(Lifting!DT2,"AAAAAD6/+S0=")</f>
        <v>#VALUE!</v>
      </c>
      <c r="AU21" t="e">
        <f>AND(Lifting!DU2,"AAAAAD6/+S4=")</f>
        <v>#VALUE!</v>
      </c>
      <c r="AV21" t="e">
        <f>AND(Lifting!DV2,"AAAAAD6/+S8=")</f>
        <v>#VALUE!</v>
      </c>
      <c r="AW21" t="e">
        <f>AND(Lifting!DW2,"AAAAAD6/+TA=")</f>
        <v>#VALUE!</v>
      </c>
      <c r="AX21" t="e">
        <f>AND(Lifting!DX2,"AAAAAD6/+TE=")</f>
        <v>#VALUE!</v>
      </c>
      <c r="AY21" t="e">
        <f>AND(Lifting!DY2,"AAAAAD6/+TI=")</f>
        <v>#VALUE!</v>
      </c>
      <c r="AZ21" t="e">
        <f>AND(Lifting!DZ2,"AAAAAD6/+TM=")</f>
        <v>#VALUE!</v>
      </c>
      <c r="BA21" t="e">
        <f>AND(Lifting!EA2,"AAAAAD6/+TQ=")</f>
        <v>#VALUE!</v>
      </c>
      <c r="BB21" t="e">
        <f>AND(Lifting!EB2,"AAAAAD6/+TU=")</f>
        <v>#VALUE!</v>
      </c>
      <c r="BC21" t="e">
        <f>AND(Lifting!EC2,"AAAAAD6/+TY=")</f>
        <v>#VALUE!</v>
      </c>
      <c r="BD21" t="e">
        <f>AND(Lifting!ED2,"AAAAAD6/+Tc=")</f>
        <v>#VALUE!</v>
      </c>
      <c r="BE21" t="e">
        <f>AND(Lifting!EE2,"AAAAAD6/+Tg=")</f>
        <v>#VALUE!</v>
      </c>
      <c r="BF21" t="e">
        <f>AND(Lifting!EF2,"AAAAAD6/+Tk=")</f>
        <v>#VALUE!</v>
      </c>
      <c r="BG21" t="e">
        <f>AND(Lifting!EG2,"AAAAAD6/+To=")</f>
        <v>#VALUE!</v>
      </c>
      <c r="BH21" t="e">
        <f>AND(Lifting!EH2,"AAAAAD6/+Ts=")</f>
        <v>#VALUE!</v>
      </c>
      <c r="BI21" t="e">
        <f>AND(Lifting!EI2,"AAAAAD6/+Tw=")</f>
        <v>#VALUE!</v>
      </c>
      <c r="BJ21" t="e">
        <f>AND(Lifting!EJ2,"AAAAAD6/+T0=")</f>
        <v>#VALUE!</v>
      </c>
      <c r="BK21" t="e">
        <f>AND(Lifting!EK2,"AAAAAD6/+T4=")</f>
        <v>#VALUE!</v>
      </c>
      <c r="BL21" t="e">
        <f>AND(Lifting!EL2,"AAAAAD6/+T8=")</f>
        <v>#VALUE!</v>
      </c>
      <c r="BM21" t="e">
        <f>AND(Lifting!EM2,"AAAAAD6/+UA=")</f>
        <v>#VALUE!</v>
      </c>
      <c r="BN21" t="e">
        <f>AND(Lifting!EN2,"AAAAAD6/+UE=")</f>
        <v>#VALUE!</v>
      </c>
      <c r="BO21" t="e">
        <f>AND(Lifting!EO2,"AAAAAD6/+UI=")</f>
        <v>#VALUE!</v>
      </c>
      <c r="BP21" t="e">
        <f>AND(Lifting!EP2,"AAAAAD6/+UM=")</f>
        <v>#VALUE!</v>
      </c>
      <c r="BQ21" t="e">
        <f>AND(Lifting!EQ2,"AAAAAD6/+UQ=")</f>
        <v>#VALUE!</v>
      </c>
      <c r="BR21" t="e">
        <f>AND(Lifting!ER2,"AAAAAD6/+UU=")</f>
        <v>#VALUE!</v>
      </c>
      <c r="BS21" t="e">
        <f>AND(Lifting!ES2,"AAAAAD6/+UY=")</f>
        <v>#VALUE!</v>
      </c>
      <c r="BT21" t="e">
        <f>AND(Lifting!ET2,"AAAAAD6/+Uc=")</f>
        <v>#VALUE!</v>
      </c>
      <c r="BU21" t="e">
        <f>AND(Lifting!EU2,"AAAAAD6/+Ug=")</f>
        <v>#VALUE!</v>
      </c>
      <c r="BV21" t="e">
        <f>AND(Lifting!EV2,"AAAAAD6/+Uk=")</f>
        <v>#VALUE!</v>
      </c>
      <c r="BW21" t="e">
        <f>AND(Lifting!EW2,"AAAAAD6/+Uo=")</f>
        <v>#VALUE!</v>
      </c>
      <c r="BX21" t="e">
        <f>AND(Lifting!EX2,"AAAAAD6/+Us=")</f>
        <v>#VALUE!</v>
      </c>
      <c r="BY21" t="e">
        <f>AND(Lifting!EY2,"AAAAAD6/+Uw=")</f>
        <v>#VALUE!</v>
      </c>
      <c r="BZ21" t="e">
        <f>AND(Lifting!EZ2,"AAAAAD6/+U0=")</f>
        <v>#VALUE!</v>
      </c>
      <c r="CA21" t="e">
        <f>AND(Lifting!FA2,"AAAAAD6/+U4=")</f>
        <v>#VALUE!</v>
      </c>
      <c r="CB21" t="e">
        <f>AND(Lifting!FB2,"AAAAAD6/+U8=")</f>
        <v>#VALUE!</v>
      </c>
      <c r="CC21" t="e">
        <f>AND(Lifting!FC2,"AAAAAD6/+VA=")</f>
        <v>#VALUE!</v>
      </c>
      <c r="CD21" t="e">
        <f>AND(Lifting!FD2,"AAAAAD6/+VE=")</f>
        <v>#VALUE!</v>
      </c>
      <c r="CE21" t="e">
        <f>AND(Lifting!FE2,"AAAAAD6/+VI=")</f>
        <v>#VALUE!</v>
      </c>
      <c r="CF21" t="e">
        <f>AND(Lifting!FF2,"AAAAAD6/+VM=")</f>
        <v>#VALUE!</v>
      </c>
      <c r="CG21" t="e">
        <f>AND(Lifting!FG2,"AAAAAD6/+VQ=")</f>
        <v>#VALUE!</v>
      </c>
      <c r="CH21" t="e">
        <f>AND(Lifting!FH2,"AAAAAD6/+VU=")</f>
        <v>#VALUE!</v>
      </c>
      <c r="CI21" t="e">
        <f>AND(Lifting!FI2,"AAAAAD6/+VY=")</f>
        <v>#VALUE!</v>
      </c>
      <c r="CJ21" t="e">
        <f>AND(Lifting!FJ2,"AAAAAD6/+Vc=")</f>
        <v>#VALUE!</v>
      </c>
      <c r="CK21" t="e">
        <f>AND(Lifting!FK2,"AAAAAD6/+Vg=")</f>
        <v>#VALUE!</v>
      </c>
      <c r="CL21" t="e">
        <f>AND(Lifting!FL2,"AAAAAD6/+Vk=")</f>
        <v>#VALUE!</v>
      </c>
      <c r="CM21" t="e">
        <f>AND(Lifting!FM2,"AAAAAD6/+Vo=")</f>
        <v>#VALUE!</v>
      </c>
      <c r="CN21" t="e">
        <f>AND(Lifting!FN2,"AAAAAD6/+Vs=")</f>
        <v>#VALUE!</v>
      </c>
      <c r="CO21" t="e">
        <f>AND(Lifting!FO2,"AAAAAD6/+Vw=")</f>
        <v>#VALUE!</v>
      </c>
      <c r="CP21" t="e">
        <f>AND(Lifting!FP2,"AAAAAD6/+V0=")</f>
        <v>#VALUE!</v>
      </c>
      <c r="CQ21" t="e">
        <f>AND(Lifting!FQ2,"AAAAAD6/+V4=")</f>
        <v>#VALUE!</v>
      </c>
      <c r="CR21" t="e">
        <f>AND(Lifting!FR2,"AAAAAD6/+V8=")</f>
        <v>#VALUE!</v>
      </c>
      <c r="CS21" t="e">
        <f>AND(Lifting!FS2,"AAAAAD6/+WA=")</f>
        <v>#VALUE!</v>
      </c>
      <c r="CT21" t="e">
        <f>AND(Lifting!FT2,"AAAAAD6/+WE=")</f>
        <v>#VALUE!</v>
      </c>
      <c r="CU21">
        <f>IF(Lifting!3:3,"AAAAAD6/+WI=",0)</f>
        <v>0</v>
      </c>
      <c r="CV21" t="b">
        <f>AND(Lifting!A3,"AAAAAD6/+WM=")</f>
        <v>1</v>
      </c>
      <c r="CW21" t="e">
        <f>AND(Lifting!B3,"AAAAAD6/+WQ=")</f>
        <v>#VALUE!</v>
      </c>
      <c r="CX21" t="e">
        <f>AND(Lifting!C3,"AAAAAD6/+WU=")</f>
        <v>#VALUE!</v>
      </c>
      <c r="CY21" t="e">
        <f ca="1">AND(Lifting!D3,"AAAAAD6/+WY=")</f>
        <v>#N/A</v>
      </c>
      <c r="CZ21" t="e">
        <f>AND(Lifting!E3,"AAAAAD6/+Wc=")</f>
        <v>#VALUE!</v>
      </c>
      <c r="DA21" t="e">
        <f>AND(Lifting!F3,"AAAAAD6/+Wg=")</f>
        <v>#VALUE!</v>
      </c>
      <c r="DB21" t="e">
        <f>AND(Lifting!G3,"AAAAAD6/+Wk=")</f>
        <v>#VALUE!</v>
      </c>
      <c r="DC21" t="e">
        <f ca="1">AND(Lifting!H3,"AAAAAD6/+Wo=")</f>
        <v>#N/A</v>
      </c>
      <c r="DD21" t="e">
        <f ca="1">AND(Lifting!I3,"AAAAAD6/+Ws=")</f>
        <v>#N/A</v>
      </c>
      <c r="DE21" t="e">
        <f>AND(Lifting!J3,"AAAAAD6/+Ww=")</f>
        <v>#VALUE!</v>
      </c>
      <c r="DF21" t="e">
        <f>AND(Lifting!K3,"AAAAAD6/+W0=")</f>
        <v>#VALUE!</v>
      </c>
      <c r="DG21" t="e">
        <f>AND(Lifting!L3,"AAAAAD6/+W4=")</f>
        <v>#VALUE!</v>
      </c>
      <c r="DH21" t="e">
        <f>AND(Lifting!M3,"AAAAAD6/+W8=")</f>
        <v>#VALUE!</v>
      </c>
      <c r="DI21" t="e">
        <f>AND(Lifting!N3,"AAAAAD6/+XA=")</f>
        <v>#VALUE!</v>
      </c>
      <c r="DJ21" t="e">
        <f>AND(Lifting!O3,"AAAAAD6/+XE=")</f>
        <v>#VALUE!</v>
      </c>
      <c r="DK21" t="e">
        <f>AND(Lifting!P3,"AAAAAD6/+XI=")</f>
        <v>#VALUE!</v>
      </c>
      <c r="DL21" t="e">
        <f>AND(Lifting!Q3,"AAAAAD6/+XM=")</f>
        <v>#VALUE!</v>
      </c>
      <c r="DM21" t="e">
        <f>AND(Lifting!R3,"AAAAAD6/+XQ=")</f>
        <v>#VALUE!</v>
      </c>
      <c r="DN21" t="e">
        <f>AND(Lifting!S3,"AAAAAD6/+XU=")</f>
        <v>#VALUE!</v>
      </c>
      <c r="DO21" t="e">
        <f>AND(Lifting!T3,"AAAAAD6/+XY=")</f>
        <v>#VALUE!</v>
      </c>
      <c r="DP21" t="e">
        <f>AND(Lifting!U3,"AAAAAD6/+Xc=")</f>
        <v>#VALUE!</v>
      </c>
      <c r="DQ21" t="e">
        <f>AND(Lifting!V3,"AAAAAD6/+Xg=")</f>
        <v>#VALUE!</v>
      </c>
      <c r="DR21" t="e">
        <f>AND(Lifting!W3,"AAAAAD6/+Xk=")</f>
        <v>#VALUE!</v>
      </c>
      <c r="DS21" t="e">
        <f>AND(Lifting!X3,"AAAAAD6/+Xo=")</f>
        <v>#VALUE!</v>
      </c>
      <c r="DT21" t="e">
        <f>AND(Lifting!Y3,"AAAAAD6/+Xs=")</f>
        <v>#VALUE!</v>
      </c>
      <c r="DU21" t="e">
        <f>AND(Lifting!Z3,"AAAAAD6/+Xw=")</f>
        <v>#VALUE!</v>
      </c>
      <c r="DV21" t="e">
        <f>AND(Lifting!AA3,"AAAAAD6/+X0=")</f>
        <v>#VALUE!</v>
      </c>
      <c r="DW21" t="e">
        <f>AND(Lifting!AB3,"AAAAAD6/+X4=")</f>
        <v>#VALUE!</v>
      </c>
      <c r="DX21" t="e">
        <f>AND(Lifting!AC3,"AAAAAD6/+X8=")</f>
        <v>#VALUE!</v>
      </c>
      <c r="DY21" t="e">
        <f>AND(Lifting!AD3,"AAAAAD6/+YA=")</f>
        <v>#VALUE!</v>
      </c>
      <c r="DZ21" t="e">
        <f>AND(Lifting!AE3,"AAAAAD6/+YE=")</f>
        <v>#VALUE!</v>
      </c>
      <c r="EA21" t="e">
        <f>AND(Lifting!AF3,"AAAAAD6/+YI=")</f>
        <v>#VALUE!</v>
      </c>
      <c r="EB21" t="e">
        <f>AND(Lifting!AG3,"AAAAAD6/+YM=")</f>
        <v>#VALUE!</v>
      </c>
      <c r="EC21" t="e">
        <f>AND(Lifting!AH3,"AAAAAD6/+YQ=")</f>
        <v>#VALUE!</v>
      </c>
      <c r="ED21" t="e">
        <f>AND(Lifting!AI3,"AAAAAD6/+YU=")</f>
        <v>#VALUE!</v>
      </c>
      <c r="EE21" t="e">
        <f>AND(Lifting!AJ3,"AAAAAD6/+YY=")</f>
        <v>#VALUE!</v>
      </c>
      <c r="EF21" t="e">
        <f>AND(Lifting!AK3,"AAAAAD6/+Yc=")</f>
        <v>#VALUE!</v>
      </c>
      <c r="EG21" t="e">
        <f>AND(Lifting!AL3,"AAAAAD6/+Yg=")</f>
        <v>#VALUE!</v>
      </c>
      <c r="EH21" t="e">
        <f>AND(Lifting!AM3,"AAAAAD6/+Yk=")</f>
        <v>#VALUE!</v>
      </c>
      <c r="EI21" t="e">
        <f>AND(Lifting!AN3,"AAAAAD6/+Yo=")</f>
        <v>#VALUE!</v>
      </c>
      <c r="EJ21" t="e">
        <f>AND(Lifting!AO3,"AAAAAD6/+Ys=")</f>
        <v>#VALUE!</v>
      </c>
      <c r="EK21" t="e">
        <f>AND(Lifting!AP3,"AAAAAD6/+Yw=")</f>
        <v>#VALUE!</v>
      </c>
      <c r="EL21" t="e">
        <f>AND(Lifting!AQ3,"AAAAAD6/+Y0=")</f>
        <v>#VALUE!</v>
      </c>
      <c r="EM21" t="e">
        <f>AND(Lifting!AR3,"AAAAAD6/+Y4=")</f>
        <v>#VALUE!</v>
      </c>
      <c r="EN21" t="e">
        <f>AND(Lifting!AS3,"AAAAAD6/+Y8=")</f>
        <v>#VALUE!</v>
      </c>
      <c r="EO21" t="e">
        <f>AND(Lifting!AT3,"AAAAAD6/+ZA=")</f>
        <v>#VALUE!</v>
      </c>
      <c r="EP21" t="e">
        <f>AND(Lifting!AU3,"AAAAAD6/+ZE=")</f>
        <v>#VALUE!</v>
      </c>
      <c r="EQ21" t="e">
        <f>AND(Lifting!AV3,"AAAAAD6/+ZI=")</f>
        <v>#VALUE!</v>
      </c>
      <c r="ER21" t="e">
        <f>AND(Lifting!AW3,"AAAAAD6/+ZM=")</f>
        <v>#VALUE!</v>
      </c>
      <c r="ES21" t="e">
        <f>AND(Lifting!AX3,"AAAAAD6/+ZQ=")</f>
        <v>#VALUE!</v>
      </c>
      <c r="ET21" t="e">
        <f>AND(Lifting!AY3,"AAAAAD6/+ZU=")</f>
        <v>#VALUE!</v>
      </c>
      <c r="EU21" t="e">
        <f>AND(Lifting!AZ3,"AAAAAD6/+ZY=")</f>
        <v>#VALUE!</v>
      </c>
      <c r="EV21" t="e">
        <f>AND(Lifting!BA3,"AAAAAD6/+Zc=")</f>
        <v>#VALUE!</v>
      </c>
      <c r="EW21" t="e">
        <f>AND(Lifting!BB3,"AAAAAD6/+Zg=")</f>
        <v>#VALUE!</v>
      </c>
      <c r="EX21" t="e">
        <f>AND(Lifting!BC3,"AAAAAD6/+Zk=")</f>
        <v>#VALUE!</v>
      </c>
      <c r="EY21" t="e">
        <f>AND(Lifting!BD3,"AAAAAD6/+Zo=")</f>
        <v>#VALUE!</v>
      </c>
      <c r="EZ21" t="e">
        <f>AND(Lifting!BE3,"AAAAAD6/+Zs=")</f>
        <v>#VALUE!</v>
      </c>
      <c r="FA21" t="e">
        <f>AND(Lifting!BF3,"AAAAAD6/+Zw=")</f>
        <v>#VALUE!</v>
      </c>
      <c r="FB21" t="e">
        <f>AND(Lifting!BG3,"AAAAAD6/+Z0=")</f>
        <v>#VALUE!</v>
      </c>
      <c r="FC21" t="e">
        <f>AND(Lifting!BH3,"AAAAAD6/+Z4=")</f>
        <v>#VALUE!</v>
      </c>
      <c r="FD21" t="e">
        <f>AND(Lifting!BI3,"AAAAAD6/+Z8=")</f>
        <v>#VALUE!</v>
      </c>
      <c r="FE21" t="e">
        <f>AND(Lifting!BJ3,"AAAAAD6/+aA=")</f>
        <v>#VALUE!</v>
      </c>
      <c r="FF21" t="e">
        <f>AND(Lifting!BK3,"AAAAAD6/+aE=")</f>
        <v>#VALUE!</v>
      </c>
      <c r="FG21" t="e">
        <f>AND(Lifting!BL3,"AAAAAD6/+aI=")</f>
        <v>#VALUE!</v>
      </c>
      <c r="FH21" t="e">
        <f>AND(Lifting!BM3,"AAAAAD6/+aM=")</f>
        <v>#VALUE!</v>
      </c>
      <c r="FI21" t="e">
        <f>AND(Lifting!BN3,"AAAAAD6/+aQ=")</f>
        <v>#VALUE!</v>
      </c>
      <c r="FJ21" t="e">
        <f>AND(Lifting!BO3,"AAAAAD6/+aU=")</f>
        <v>#VALUE!</v>
      </c>
      <c r="FK21" t="e">
        <f>AND(Lifting!BP3,"AAAAAD6/+aY=")</f>
        <v>#VALUE!</v>
      </c>
      <c r="FL21" t="b">
        <f>AND(Lifting!BQ3,"AAAAAD6/+ac=")</f>
        <v>1</v>
      </c>
      <c r="FM21" t="e">
        <f>AND(Lifting!BR3,"AAAAAD6/+ag=")</f>
        <v>#VALUE!</v>
      </c>
      <c r="FN21" t="e">
        <f>AND(Lifting!BS3,"AAAAAD6/+ak=")</f>
        <v>#VALUE!</v>
      </c>
      <c r="FO21" t="e">
        <f>AND(Lifting!BT3,"AAAAAD6/+ao=")</f>
        <v>#VALUE!</v>
      </c>
      <c r="FP21" t="e">
        <f>AND(Lifting!BU3,"AAAAAD6/+as=")</f>
        <v>#VALUE!</v>
      </c>
      <c r="FQ21" t="e">
        <f>AND(Lifting!BV3,"AAAAAD6/+aw=")</f>
        <v>#VALUE!</v>
      </c>
      <c r="FR21" t="e">
        <f>AND(Lifting!BW3,"AAAAAD6/+a0=")</f>
        <v>#VALUE!</v>
      </c>
      <c r="FS21" t="e">
        <f>AND(Lifting!BX3,"AAAAAD6/+a4=")</f>
        <v>#VALUE!</v>
      </c>
      <c r="FT21" t="e">
        <f>AND(Lifting!BY3,"AAAAAD6/+a8=")</f>
        <v>#VALUE!</v>
      </c>
      <c r="FU21" t="e">
        <f>AND(Lifting!BZ3,"AAAAAD6/+bA=")</f>
        <v>#VALUE!</v>
      </c>
      <c r="FV21" t="e">
        <f>AND(Lifting!CA3,"AAAAAD6/+bE=")</f>
        <v>#VALUE!</v>
      </c>
      <c r="FW21" t="e">
        <f>AND(Lifting!CB3,"AAAAAD6/+bI=")</f>
        <v>#VALUE!</v>
      </c>
      <c r="FX21" t="e">
        <f>AND(Lifting!CC3,"AAAAAD6/+bM=")</f>
        <v>#VALUE!</v>
      </c>
      <c r="FY21" t="e">
        <f>AND(Lifting!CD3,"AAAAAD6/+bQ=")</f>
        <v>#VALUE!</v>
      </c>
      <c r="FZ21" t="e">
        <f>AND(Lifting!CE3,"AAAAAD6/+bU=")</f>
        <v>#VALUE!</v>
      </c>
      <c r="GA21" t="e">
        <f>AND(Lifting!CF3,"AAAAAD6/+bY=")</f>
        <v>#VALUE!</v>
      </c>
      <c r="GB21" t="e">
        <f>AND(Lifting!CG3,"AAAAAD6/+bc=")</f>
        <v>#VALUE!</v>
      </c>
      <c r="GC21" t="e">
        <f>AND(Lifting!CH3,"AAAAAD6/+bg=")</f>
        <v>#VALUE!</v>
      </c>
      <c r="GD21" t="e">
        <f>AND(Lifting!CI3,"AAAAAD6/+bk=")</f>
        <v>#VALUE!</v>
      </c>
      <c r="GE21" t="e">
        <f>AND(Lifting!CJ3,"AAAAAD6/+bo=")</f>
        <v>#VALUE!</v>
      </c>
      <c r="GF21" t="e">
        <f>AND(Lifting!CK3,"AAAAAD6/+bs=")</f>
        <v>#VALUE!</v>
      </c>
      <c r="GG21" t="e">
        <f>AND(Lifting!CL3,"AAAAAD6/+bw=")</f>
        <v>#VALUE!</v>
      </c>
      <c r="GH21" t="e">
        <f>AND(Lifting!CM3,"AAAAAD6/+b0=")</f>
        <v>#VALUE!</v>
      </c>
      <c r="GI21" t="e">
        <f>AND(Lifting!CN3,"AAAAAD6/+b4=")</f>
        <v>#VALUE!</v>
      </c>
      <c r="GJ21" t="e">
        <f>AND(Lifting!CO3,"AAAAAD6/+b8=")</f>
        <v>#VALUE!</v>
      </c>
      <c r="GK21" t="e">
        <f>AND(Lifting!CP3,"AAAAAD6/+cA=")</f>
        <v>#VALUE!</v>
      </c>
      <c r="GL21" t="e">
        <f>AND(Lifting!CQ3,"AAAAAD6/+cE=")</f>
        <v>#VALUE!</v>
      </c>
      <c r="GM21" t="e">
        <f>AND(Lifting!CR3,"AAAAAD6/+cI=")</f>
        <v>#VALUE!</v>
      </c>
      <c r="GN21" t="e">
        <f>AND(Lifting!CS3,"AAAAAD6/+cM=")</f>
        <v>#VALUE!</v>
      </c>
      <c r="GO21" t="e">
        <f>AND(Lifting!CT3,"AAAAAD6/+cQ=")</f>
        <v>#VALUE!</v>
      </c>
      <c r="GP21" t="e">
        <f>AND(Lifting!CU3,"AAAAAD6/+cU=")</f>
        <v>#VALUE!</v>
      </c>
      <c r="GQ21" t="e">
        <f>AND(Lifting!CV3,"AAAAAD6/+cY=")</f>
        <v>#VALUE!</v>
      </c>
      <c r="GR21" t="e">
        <f>AND(Lifting!CW3,"AAAAAD6/+cc=")</f>
        <v>#VALUE!</v>
      </c>
      <c r="GS21" t="e">
        <f>AND(Lifting!CX3,"AAAAAD6/+cg=")</f>
        <v>#VALUE!</v>
      </c>
      <c r="GT21" t="e">
        <f>AND(Lifting!CY3,"AAAAAD6/+ck=")</f>
        <v>#VALUE!</v>
      </c>
      <c r="GU21" t="e">
        <f>AND(Lifting!CZ3,"AAAAAD6/+co=")</f>
        <v>#VALUE!</v>
      </c>
      <c r="GV21" t="e">
        <f>AND(Lifting!DA3,"AAAAAD6/+cs=")</f>
        <v>#VALUE!</v>
      </c>
      <c r="GW21" t="e">
        <f>AND(Lifting!DB3,"AAAAAD6/+cw=")</f>
        <v>#VALUE!</v>
      </c>
      <c r="GX21" t="e">
        <f>AND(Lifting!DC3,"AAAAAD6/+c0=")</f>
        <v>#VALUE!</v>
      </c>
      <c r="GY21" t="e">
        <f>AND(Lifting!DD3,"AAAAAD6/+c4=")</f>
        <v>#VALUE!</v>
      </c>
      <c r="GZ21" t="e">
        <f>AND(Lifting!DE3,"AAAAAD6/+c8=")</f>
        <v>#VALUE!</v>
      </c>
      <c r="HA21" t="e">
        <f>AND(Lifting!DF3,"AAAAAD6/+dA=")</f>
        <v>#VALUE!</v>
      </c>
      <c r="HB21" t="e">
        <f>AND(Lifting!DG3,"AAAAAD6/+dE=")</f>
        <v>#VALUE!</v>
      </c>
      <c r="HC21" t="e">
        <f>AND(Lifting!DH3,"AAAAAD6/+dI=")</f>
        <v>#VALUE!</v>
      </c>
      <c r="HD21" t="e">
        <f>AND(Lifting!DI3,"AAAAAD6/+dM=")</f>
        <v>#VALUE!</v>
      </c>
      <c r="HE21" t="e">
        <f>AND(Lifting!DJ3,"AAAAAD6/+dQ=")</f>
        <v>#VALUE!</v>
      </c>
      <c r="HF21" t="e">
        <f>AND(Lifting!DK3,"AAAAAD6/+dU=")</f>
        <v>#VALUE!</v>
      </c>
      <c r="HG21" t="e">
        <f>AND(Lifting!DL3,"AAAAAD6/+dY=")</f>
        <v>#VALUE!</v>
      </c>
      <c r="HH21" t="e">
        <f>AND(Lifting!DM3,"AAAAAD6/+dc=")</f>
        <v>#VALUE!</v>
      </c>
      <c r="HI21" t="e">
        <f>AND(Lifting!DN3,"AAAAAD6/+dg=")</f>
        <v>#VALUE!</v>
      </c>
      <c r="HJ21" t="e">
        <f>AND(Lifting!DO3,"AAAAAD6/+dk=")</f>
        <v>#VALUE!</v>
      </c>
      <c r="HK21" t="e">
        <f>AND(Lifting!DP3,"AAAAAD6/+do=")</f>
        <v>#VALUE!</v>
      </c>
      <c r="HL21" t="e">
        <f>AND(Lifting!DQ3,"AAAAAD6/+ds=")</f>
        <v>#VALUE!</v>
      </c>
      <c r="HM21" t="e">
        <f>AND(Lifting!DR3,"AAAAAD6/+dw=")</f>
        <v>#VALUE!</v>
      </c>
      <c r="HN21" t="e">
        <f>AND(Lifting!DS3,"AAAAAD6/+d0=")</f>
        <v>#VALUE!</v>
      </c>
      <c r="HO21" t="e">
        <f>AND(Lifting!DT3,"AAAAAD6/+d4=")</f>
        <v>#VALUE!</v>
      </c>
      <c r="HP21" t="e">
        <f>AND(Lifting!DU3,"AAAAAD6/+d8=")</f>
        <v>#VALUE!</v>
      </c>
      <c r="HQ21" t="e">
        <f>AND(Lifting!DV3,"AAAAAD6/+eA=")</f>
        <v>#VALUE!</v>
      </c>
      <c r="HR21" t="e">
        <f>AND(Lifting!DW3,"AAAAAD6/+eE=")</f>
        <v>#VALUE!</v>
      </c>
      <c r="HS21" t="e">
        <f>AND(Lifting!DX3,"AAAAAD6/+eI=")</f>
        <v>#VALUE!</v>
      </c>
      <c r="HT21" t="e">
        <f>AND(Lifting!DY3,"AAAAAD6/+eM=")</f>
        <v>#VALUE!</v>
      </c>
      <c r="HU21" t="e">
        <f>AND(Lifting!DZ3,"AAAAAD6/+eQ=")</f>
        <v>#VALUE!</v>
      </c>
      <c r="HV21" t="e">
        <f>AND(Lifting!EA3,"AAAAAD6/+eU=")</f>
        <v>#VALUE!</v>
      </c>
      <c r="HW21" t="e">
        <f>AND(Lifting!EB3,"AAAAAD6/+eY=")</f>
        <v>#VALUE!</v>
      </c>
      <c r="HX21" t="e">
        <f>AND(Lifting!EC3,"AAAAAD6/+ec=")</f>
        <v>#VALUE!</v>
      </c>
      <c r="HY21" t="e">
        <f>AND(Lifting!ED3,"AAAAAD6/+eg=")</f>
        <v>#VALUE!</v>
      </c>
      <c r="HZ21" t="e">
        <f>AND(Lifting!EE3,"AAAAAD6/+ek=")</f>
        <v>#VALUE!</v>
      </c>
      <c r="IA21" t="e">
        <f>AND(Lifting!EF3,"AAAAAD6/+eo=")</f>
        <v>#VALUE!</v>
      </c>
      <c r="IB21" t="e">
        <f>AND(Lifting!EG3,"AAAAAD6/+es=")</f>
        <v>#VALUE!</v>
      </c>
      <c r="IC21" t="e">
        <f>AND(Lifting!EH3,"AAAAAD6/+ew=")</f>
        <v>#VALUE!</v>
      </c>
      <c r="ID21" t="e">
        <f>AND(Lifting!EI3,"AAAAAD6/+e0=")</f>
        <v>#VALUE!</v>
      </c>
      <c r="IE21" t="e">
        <f>AND(Lifting!EJ3,"AAAAAD6/+e4=")</f>
        <v>#VALUE!</v>
      </c>
      <c r="IF21" t="e">
        <f>AND(Lifting!EK3,"AAAAAD6/+e8=")</f>
        <v>#VALUE!</v>
      </c>
      <c r="IG21" t="e">
        <f>AND(Lifting!EL3,"AAAAAD6/+fA=")</f>
        <v>#VALUE!</v>
      </c>
      <c r="IH21" t="e">
        <f>AND(Lifting!EM3,"AAAAAD6/+fE=")</f>
        <v>#VALUE!</v>
      </c>
      <c r="II21" t="e">
        <f>AND(Lifting!EN3,"AAAAAD6/+fI=")</f>
        <v>#VALUE!</v>
      </c>
      <c r="IJ21" t="e">
        <f>AND(Lifting!EO3,"AAAAAD6/+fM=")</f>
        <v>#VALUE!</v>
      </c>
      <c r="IK21" t="e">
        <f>AND(Lifting!EP3,"AAAAAD6/+fQ=")</f>
        <v>#VALUE!</v>
      </c>
      <c r="IL21" t="e">
        <f>AND(Lifting!EQ3,"AAAAAD6/+fU=")</f>
        <v>#VALUE!</v>
      </c>
      <c r="IM21" t="e">
        <f>AND(Lifting!ER3,"AAAAAD6/+fY=")</f>
        <v>#VALUE!</v>
      </c>
      <c r="IN21" t="e">
        <f>AND(Lifting!ES3,"AAAAAD6/+fc=")</f>
        <v>#VALUE!</v>
      </c>
      <c r="IO21" t="e">
        <f>AND(Lifting!ET3,"AAAAAD6/+fg=")</f>
        <v>#VALUE!</v>
      </c>
      <c r="IP21" t="e">
        <f>AND(Lifting!EU3,"AAAAAD6/+fk=")</f>
        <v>#VALUE!</v>
      </c>
      <c r="IQ21" t="e">
        <f>AND(Lifting!EV3,"AAAAAD6/+fo=")</f>
        <v>#VALUE!</v>
      </c>
      <c r="IR21" t="e">
        <f>AND(Lifting!EW3,"AAAAAD6/+fs=")</f>
        <v>#VALUE!</v>
      </c>
      <c r="IS21" t="e">
        <f>AND(Lifting!EX3,"AAAAAD6/+fw=")</f>
        <v>#VALUE!</v>
      </c>
      <c r="IT21" t="e">
        <f>AND(Lifting!EY3,"AAAAAD6/+f0=")</f>
        <v>#VALUE!</v>
      </c>
      <c r="IU21" t="e">
        <f>AND(Lifting!EZ3,"AAAAAD6/+f4=")</f>
        <v>#VALUE!</v>
      </c>
      <c r="IV21" t="e">
        <f>AND(Lifting!FA3,"AAAAAD6/+f8=")</f>
        <v>#VALUE!</v>
      </c>
    </row>
    <row r="22" spans="1:256">
      <c r="A22" t="e">
        <f>AND(Lifting!FB3,"AAAAAH9+NQA=")</f>
        <v>#VALUE!</v>
      </c>
      <c r="B22" t="e">
        <f>AND(Lifting!FC3,"AAAAAH9+NQE=")</f>
        <v>#VALUE!</v>
      </c>
      <c r="C22" t="e">
        <f>AND(Lifting!FD3,"AAAAAH9+NQI=")</f>
        <v>#VALUE!</v>
      </c>
      <c r="D22" t="e">
        <f>AND(Lifting!FE3,"AAAAAH9+NQM=")</f>
        <v>#VALUE!</v>
      </c>
      <c r="E22" t="e">
        <f>AND(Lifting!FF3,"AAAAAH9+NQQ=")</f>
        <v>#VALUE!</v>
      </c>
      <c r="F22" t="e">
        <f>AND(Lifting!FG3,"AAAAAH9+NQU=")</f>
        <v>#VALUE!</v>
      </c>
      <c r="G22" t="e">
        <f>AND(Lifting!FH3,"AAAAAH9+NQY=")</f>
        <v>#VALUE!</v>
      </c>
      <c r="H22" t="e">
        <f>AND(Lifting!FI3,"AAAAAH9+NQc=")</f>
        <v>#VALUE!</v>
      </c>
      <c r="I22" t="e">
        <f>AND(Lifting!FJ3,"AAAAAH9+NQg=")</f>
        <v>#VALUE!</v>
      </c>
      <c r="J22" t="e">
        <f>AND(Lifting!FK3,"AAAAAH9+NQk=")</f>
        <v>#VALUE!</v>
      </c>
      <c r="K22" t="e">
        <f>AND(Lifting!FL3,"AAAAAH9+NQo=")</f>
        <v>#VALUE!</v>
      </c>
      <c r="L22" t="e">
        <f>AND(Lifting!FM3,"AAAAAH9+NQs=")</f>
        <v>#VALUE!</v>
      </c>
      <c r="M22" t="e">
        <f>AND(Lifting!FN3,"AAAAAH9+NQw=")</f>
        <v>#VALUE!</v>
      </c>
      <c r="N22" t="e">
        <f>AND(Lifting!FO3,"AAAAAH9+NQ0=")</f>
        <v>#VALUE!</v>
      </c>
      <c r="O22" t="e">
        <f>AND(Lifting!FP3,"AAAAAH9+NQ4=")</f>
        <v>#VALUE!</v>
      </c>
      <c r="P22" t="e">
        <f>AND(Lifting!FQ3,"AAAAAH9+NQ8=")</f>
        <v>#VALUE!</v>
      </c>
      <c r="Q22" t="e">
        <f>AND(Lifting!FR3,"AAAAAH9+NRA=")</f>
        <v>#VALUE!</v>
      </c>
      <c r="R22" t="e">
        <f>AND(Lifting!FS3,"AAAAAH9+NRE=")</f>
        <v>#VALUE!</v>
      </c>
      <c r="S22" t="e">
        <f>AND(Lifting!FT3,"AAAAAH9+NRI=")</f>
        <v>#VALUE!</v>
      </c>
      <c r="T22">
        <f>IF(Lifting!4:4,"AAAAAH9+NRM=",0)</f>
        <v>0</v>
      </c>
      <c r="U22" t="e">
        <f ca="1">AND(Lifting!A4,"AAAAAH9+NRQ=")</f>
        <v>#N/A</v>
      </c>
      <c r="V22" t="e">
        <f ca="1">AND(Lifting!B4,"AAAAAH9+NRU=")</f>
        <v>#N/A</v>
      </c>
      <c r="W22" t="e">
        <f>AND(Lifting!C4,"AAAAAH9+NRY=")</f>
        <v>#VALUE!</v>
      </c>
      <c r="X22" t="e">
        <f ca="1">AND(Lifting!D4,"AAAAAH9+NRc=")</f>
        <v>#N/A</v>
      </c>
      <c r="Y22" t="e">
        <f>AND(Lifting!E4,"AAAAAH9+NRg=")</f>
        <v>#VALUE!</v>
      </c>
      <c r="Z22" t="e">
        <f>AND(Lifting!F4,"AAAAAH9+NRk=")</f>
        <v>#VALUE!</v>
      </c>
      <c r="AA22" t="e">
        <f>AND(Lifting!G4,"AAAAAH9+NRo=")</f>
        <v>#VALUE!</v>
      </c>
      <c r="AB22" t="e">
        <f>AND(Lifting!H4,"AAAAAH9+NRs=")</f>
        <v>#VALUE!</v>
      </c>
      <c r="AC22" t="e">
        <f>AND(Lifting!I4,"AAAAAH9+NRw=")</f>
        <v>#VALUE!</v>
      </c>
      <c r="AD22" t="e">
        <f>AND(Lifting!J4,"AAAAAH9+NR0=")</f>
        <v>#VALUE!</v>
      </c>
      <c r="AE22" t="e">
        <f>AND(Lifting!K4,"AAAAAH9+NR4=")</f>
        <v>#VALUE!</v>
      </c>
      <c r="AF22" t="e">
        <f>AND(Lifting!L4,"AAAAAH9+NR8=")</f>
        <v>#VALUE!</v>
      </c>
      <c r="AG22" t="e">
        <f>AND(Lifting!M4,"AAAAAH9+NSA=")</f>
        <v>#VALUE!</v>
      </c>
      <c r="AH22" t="e">
        <f>AND(Lifting!N4,"AAAAAH9+NSE=")</f>
        <v>#VALUE!</v>
      </c>
      <c r="AI22" t="e">
        <f>AND(Lifting!O4,"AAAAAH9+NSI=")</f>
        <v>#VALUE!</v>
      </c>
      <c r="AJ22" t="e">
        <f>AND(Lifting!P4,"AAAAAH9+NSM=")</f>
        <v>#VALUE!</v>
      </c>
      <c r="AK22" t="e">
        <f>AND(Lifting!Q4,"AAAAAH9+NSQ=")</f>
        <v>#VALUE!</v>
      </c>
      <c r="AL22" t="e">
        <f>AND(Lifting!R4,"AAAAAH9+NSU=")</f>
        <v>#VALUE!</v>
      </c>
      <c r="AM22" t="e">
        <f>AND(Lifting!S4,"AAAAAH9+NSY=")</f>
        <v>#VALUE!</v>
      </c>
      <c r="AN22" t="e">
        <f>AND(Lifting!T4,"AAAAAH9+NSc=")</f>
        <v>#VALUE!</v>
      </c>
      <c r="AO22" t="e">
        <f>AND(Lifting!U4,"AAAAAH9+NSg=")</f>
        <v>#VALUE!</v>
      </c>
      <c r="AP22" t="e">
        <f>AND(Lifting!V4,"AAAAAH9+NSk=")</f>
        <v>#VALUE!</v>
      </c>
      <c r="AQ22" t="e">
        <f>AND(Lifting!W4,"AAAAAH9+NSo=")</f>
        <v>#VALUE!</v>
      </c>
      <c r="AR22" t="e">
        <f>AND(Lifting!X4,"AAAAAH9+NSs=")</f>
        <v>#VALUE!</v>
      </c>
      <c r="AS22" t="e">
        <f>AND(Lifting!Y4,"AAAAAH9+NSw=")</f>
        <v>#VALUE!</v>
      </c>
      <c r="AT22" t="e">
        <f>AND(Lifting!Z4,"AAAAAH9+NS0=")</f>
        <v>#VALUE!</v>
      </c>
      <c r="AU22" t="e">
        <f>AND(Lifting!AA4,"AAAAAH9+NS4=")</f>
        <v>#VALUE!</v>
      </c>
      <c r="AV22" t="e">
        <f>AND(Lifting!AB4,"AAAAAH9+NS8=")</f>
        <v>#VALUE!</v>
      </c>
      <c r="AW22" t="e">
        <f>AND(Lifting!AC4,"AAAAAH9+NTA=")</f>
        <v>#VALUE!</v>
      </c>
      <c r="AX22" t="e">
        <f>AND(Lifting!AD4,"AAAAAH9+NTE=")</f>
        <v>#VALUE!</v>
      </c>
      <c r="AY22" t="e">
        <f>AND(Lifting!AE4,"AAAAAH9+NTI=")</f>
        <v>#VALUE!</v>
      </c>
      <c r="AZ22" t="e">
        <f>AND(Lifting!AF4,"AAAAAH9+NTM=")</f>
        <v>#VALUE!</v>
      </c>
      <c r="BA22" t="e">
        <f>AND(Lifting!AG4,"AAAAAH9+NTQ=")</f>
        <v>#VALUE!</v>
      </c>
      <c r="BB22" t="e">
        <f>AND(Lifting!AH4,"AAAAAH9+NTU=")</f>
        <v>#VALUE!</v>
      </c>
      <c r="BC22" t="e">
        <f>AND(Lifting!AI4,"AAAAAH9+NTY=")</f>
        <v>#VALUE!</v>
      </c>
      <c r="BD22" t="e">
        <f>AND(Lifting!AJ4,"AAAAAH9+NTc=")</f>
        <v>#VALUE!</v>
      </c>
      <c r="BE22" t="e">
        <f>AND(Lifting!AK4,"AAAAAH9+NTg=")</f>
        <v>#VALUE!</v>
      </c>
      <c r="BF22" t="e">
        <f>AND(Lifting!AL4,"AAAAAH9+NTk=")</f>
        <v>#VALUE!</v>
      </c>
      <c r="BG22" t="e">
        <f>AND(Lifting!AM4,"AAAAAH9+NTo=")</f>
        <v>#VALUE!</v>
      </c>
      <c r="BH22" t="e">
        <f>AND(Lifting!AN4,"AAAAAH9+NTs=")</f>
        <v>#VALUE!</v>
      </c>
      <c r="BI22" t="e">
        <f>AND(Lifting!AO4,"AAAAAH9+NTw=")</f>
        <v>#VALUE!</v>
      </c>
      <c r="BJ22" t="e">
        <f>AND(Lifting!AP4,"AAAAAH9+NT0=")</f>
        <v>#VALUE!</v>
      </c>
      <c r="BK22" t="e">
        <f>AND(Lifting!AQ4,"AAAAAH9+NT4=")</f>
        <v>#VALUE!</v>
      </c>
      <c r="BL22" t="e">
        <f>AND(Lifting!AR4,"AAAAAH9+NT8=")</f>
        <v>#VALUE!</v>
      </c>
      <c r="BM22" t="e">
        <f>AND(Lifting!AS4,"AAAAAH9+NUA=")</f>
        <v>#VALUE!</v>
      </c>
      <c r="BN22" t="e">
        <f>AND(Lifting!AT4,"AAAAAH9+NUE=")</f>
        <v>#VALUE!</v>
      </c>
      <c r="BO22" t="e">
        <f>AND(Lifting!AU4,"AAAAAH9+NUI=")</f>
        <v>#VALUE!</v>
      </c>
      <c r="BP22" t="e">
        <f>AND(Lifting!AV4,"AAAAAH9+NUM=")</f>
        <v>#VALUE!</v>
      </c>
      <c r="BQ22" t="e">
        <f>AND(Lifting!AW4,"AAAAAH9+NUQ=")</f>
        <v>#VALUE!</v>
      </c>
      <c r="BR22" t="e">
        <f>AND(Lifting!AX4,"AAAAAH9+NUU=")</f>
        <v>#VALUE!</v>
      </c>
      <c r="BS22" t="e">
        <f>AND(Lifting!AY4,"AAAAAH9+NUY=")</f>
        <v>#VALUE!</v>
      </c>
      <c r="BT22" t="e">
        <f>AND(Lifting!AZ4,"AAAAAH9+NUc=")</f>
        <v>#VALUE!</v>
      </c>
      <c r="BU22" t="e">
        <f>AND(Lifting!BA4,"AAAAAH9+NUg=")</f>
        <v>#VALUE!</v>
      </c>
      <c r="BV22" t="e">
        <f>AND(Lifting!BB4,"AAAAAH9+NUk=")</f>
        <v>#VALUE!</v>
      </c>
      <c r="BW22" t="e">
        <f>AND(Lifting!BC4,"AAAAAH9+NUo=")</f>
        <v>#VALUE!</v>
      </c>
      <c r="BX22" t="e">
        <f>AND(Lifting!BD4,"AAAAAH9+NUs=")</f>
        <v>#VALUE!</v>
      </c>
      <c r="BY22" t="e">
        <f>AND(Lifting!BE4,"AAAAAH9+NUw=")</f>
        <v>#VALUE!</v>
      </c>
      <c r="BZ22" t="e">
        <f>AND(Lifting!BF4,"AAAAAH9+NU0=")</f>
        <v>#VALUE!</v>
      </c>
      <c r="CA22" t="e">
        <f>AND(Lifting!BG4,"AAAAAH9+NU4=")</f>
        <v>#VALUE!</v>
      </c>
      <c r="CB22" t="e">
        <f>AND(Lifting!BH4,"AAAAAH9+NU8=")</f>
        <v>#VALUE!</v>
      </c>
      <c r="CC22" t="e">
        <f>AND(Lifting!BI4,"AAAAAH9+NVA=")</f>
        <v>#VALUE!</v>
      </c>
      <c r="CD22" t="e">
        <f>AND(Lifting!BJ4,"AAAAAH9+NVE=")</f>
        <v>#VALUE!</v>
      </c>
      <c r="CE22" t="e">
        <f>AND(Lifting!BK4,"AAAAAH9+NVI=")</f>
        <v>#VALUE!</v>
      </c>
      <c r="CF22" t="e">
        <f>AND(Lifting!BL4,"AAAAAH9+NVM=")</f>
        <v>#VALUE!</v>
      </c>
      <c r="CG22" t="e">
        <f>AND(Lifting!BM4,"AAAAAH9+NVQ=")</f>
        <v>#VALUE!</v>
      </c>
      <c r="CH22" t="e">
        <f>AND(Lifting!BN4,"AAAAAH9+NVU=")</f>
        <v>#VALUE!</v>
      </c>
      <c r="CI22" t="e">
        <f>AND(Lifting!BO4,"AAAAAH9+NVY=")</f>
        <v>#VALUE!</v>
      </c>
      <c r="CJ22" t="e">
        <f>AND(Lifting!BP4,"AAAAAH9+NVc=")</f>
        <v>#VALUE!</v>
      </c>
      <c r="CK22" t="b">
        <f>AND(Lifting!BQ4,"AAAAAH9+NVg=")</f>
        <v>1</v>
      </c>
      <c r="CL22" t="e">
        <f>AND(Lifting!BR4,"AAAAAH9+NVk=")</f>
        <v>#VALUE!</v>
      </c>
      <c r="CM22" t="e">
        <f>AND(Lifting!BS4,"AAAAAH9+NVo=")</f>
        <v>#VALUE!</v>
      </c>
      <c r="CN22" t="e">
        <f>AND(Lifting!BT4,"AAAAAH9+NVs=")</f>
        <v>#VALUE!</v>
      </c>
      <c r="CO22" t="e">
        <f>AND(Lifting!BU4,"AAAAAH9+NVw=")</f>
        <v>#VALUE!</v>
      </c>
      <c r="CP22" t="e">
        <f>AND(Lifting!BV4,"AAAAAH9+NV0=")</f>
        <v>#VALUE!</v>
      </c>
      <c r="CQ22" t="e">
        <f>AND(Lifting!BW4,"AAAAAH9+NV4=")</f>
        <v>#VALUE!</v>
      </c>
      <c r="CR22" t="e">
        <f>AND(Lifting!BX4,"AAAAAH9+NV8=")</f>
        <v>#VALUE!</v>
      </c>
      <c r="CS22" t="e">
        <f>AND(Lifting!BY4,"AAAAAH9+NWA=")</f>
        <v>#VALUE!</v>
      </c>
      <c r="CT22" t="e">
        <f>AND(Lifting!BZ4,"AAAAAH9+NWE=")</f>
        <v>#VALUE!</v>
      </c>
      <c r="CU22" t="e">
        <f>AND(Lifting!CA4,"AAAAAH9+NWI=")</f>
        <v>#VALUE!</v>
      </c>
      <c r="CV22" t="e">
        <f>AND(Lifting!CB4,"AAAAAH9+NWM=")</f>
        <v>#VALUE!</v>
      </c>
      <c r="CW22" t="e">
        <f>AND(Lifting!CC4,"AAAAAH9+NWQ=")</f>
        <v>#VALUE!</v>
      </c>
      <c r="CX22" t="e">
        <f>AND(Lifting!CD4,"AAAAAH9+NWU=")</f>
        <v>#VALUE!</v>
      </c>
      <c r="CY22" t="e">
        <f>AND(Lifting!CE4,"AAAAAH9+NWY=")</f>
        <v>#VALUE!</v>
      </c>
      <c r="CZ22" t="e">
        <f>AND(Lifting!CF4,"AAAAAH9+NWc=")</f>
        <v>#VALUE!</v>
      </c>
      <c r="DA22" t="e">
        <f>AND(Lifting!CG4,"AAAAAH9+NWg=")</f>
        <v>#VALUE!</v>
      </c>
      <c r="DB22" t="e">
        <f>AND(Lifting!CH4,"AAAAAH9+NWk=")</f>
        <v>#VALUE!</v>
      </c>
      <c r="DC22" t="e">
        <f>AND(Lifting!CI4,"AAAAAH9+NWo=")</f>
        <v>#VALUE!</v>
      </c>
      <c r="DD22" t="e">
        <f>AND(Lifting!CJ4,"AAAAAH9+NWs=")</f>
        <v>#VALUE!</v>
      </c>
      <c r="DE22" t="e">
        <f>AND(Lifting!CK4,"AAAAAH9+NWw=")</f>
        <v>#VALUE!</v>
      </c>
      <c r="DF22" t="e">
        <f>AND(Lifting!CL4,"AAAAAH9+NW0=")</f>
        <v>#VALUE!</v>
      </c>
      <c r="DG22" t="e">
        <f>AND(Lifting!CM4,"AAAAAH9+NW4=")</f>
        <v>#VALUE!</v>
      </c>
      <c r="DH22" t="e">
        <f>AND(Lifting!CN4,"AAAAAH9+NW8=")</f>
        <v>#VALUE!</v>
      </c>
      <c r="DI22" t="e">
        <f>AND(Lifting!CO4,"AAAAAH9+NXA=")</f>
        <v>#VALUE!</v>
      </c>
      <c r="DJ22" t="e">
        <f>AND(Lifting!CP4,"AAAAAH9+NXE=")</f>
        <v>#VALUE!</v>
      </c>
      <c r="DK22" t="e">
        <f>AND(Lifting!CQ4,"AAAAAH9+NXI=")</f>
        <v>#VALUE!</v>
      </c>
      <c r="DL22" t="e">
        <f>AND(Lifting!CR4,"AAAAAH9+NXM=")</f>
        <v>#VALUE!</v>
      </c>
      <c r="DM22" t="e">
        <f>AND(Lifting!CS4,"AAAAAH9+NXQ=")</f>
        <v>#VALUE!</v>
      </c>
      <c r="DN22" t="e">
        <f>AND(Lifting!CT4,"AAAAAH9+NXU=")</f>
        <v>#VALUE!</v>
      </c>
      <c r="DO22" t="e">
        <f>AND(Lifting!CU4,"AAAAAH9+NXY=")</f>
        <v>#VALUE!</v>
      </c>
      <c r="DP22" t="e">
        <f>AND(Lifting!CV4,"AAAAAH9+NXc=")</f>
        <v>#VALUE!</v>
      </c>
      <c r="DQ22" t="e">
        <f>AND(Lifting!CW4,"AAAAAH9+NXg=")</f>
        <v>#VALUE!</v>
      </c>
      <c r="DR22" t="e">
        <f>AND(Lifting!CX4,"AAAAAH9+NXk=")</f>
        <v>#VALUE!</v>
      </c>
      <c r="DS22" t="e">
        <f>AND(Lifting!CY4,"AAAAAH9+NXo=")</f>
        <v>#VALUE!</v>
      </c>
      <c r="DT22" t="e">
        <f>AND(Lifting!CZ4,"AAAAAH9+NXs=")</f>
        <v>#VALUE!</v>
      </c>
      <c r="DU22" t="e">
        <f>AND(Lifting!DA4,"AAAAAH9+NXw=")</f>
        <v>#VALUE!</v>
      </c>
      <c r="DV22" t="e">
        <f>AND(Lifting!DB4,"AAAAAH9+NX0=")</f>
        <v>#VALUE!</v>
      </c>
      <c r="DW22" t="e">
        <f>AND(Lifting!DC4,"AAAAAH9+NX4=")</f>
        <v>#VALUE!</v>
      </c>
      <c r="DX22" t="e">
        <f>AND(Lifting!DD4,"AAAAAH9+NX8=")</f>
        <v>#VALUE!</v>
      </c>
      <c r="DY22" t="e">
        <f>AND(Lifting!DE4,"AAAAAH9+NYA=")</f>
        <v>#VALUE!</v>
      </c>
      <c r="DZ22" t="e">
        <f>AND(Lifting!DF4,"AAAAAH9+NYE=")</f>
        <v>#VALUE!</v>
      </c>
      <c r="EA22" t="e">
        <f>AND(Lifting!DG4,"AAAAAH9+NYI=")</f>
        <v>#VALUE!</v>
      </c>
      <c r="EB22" t="e">
        <f>AND(Lifting!DH4,"AAAAAH9+NYM=")</f>
        <v>#VALUE!</v>
      </c>
      <c r="EC22" t="e">
        <f>AND(Lifting!DI4,"AAAAAH9+NYQ=")</f>
        <v>#VALUE!</v>
      </c>
      <c r="ED22" t="e">
        <f>AND(Lifting!DJ4,"AAAAAH9+NYU=")</f>
        <v>#VALUE!</v>
      </c>
      <c r="EE22" t="e">
        <f>AND(Lifting!DK4,"AAAAAH9+NYY=")</f>
        <v>#VALUE!</v>
      </c>
      <c r="EF22" t="e">
        <f>AND(Lifting!DL4,"AAAAAH9+NYc=")</f>
        <v>#VALUE!</v>
      </c>
      <c r="EG22" t="e">
        <f>AND(Lifting!DM4,"AAAAAH9+NYg=")</f>
        <v>#VALUE!</v>
      </c>
      <c r="EH22" t="e">
        <f>AND(Lifting!DN4,"AAAAAH9+NYk=")</f>
        <v>#VALUE!</v>
      </c>
      <c r="EI22" t="e">
        <f>AND(Lifting!DO4,"AAAAAH9+NYo=")</f>
        <v>#VALUE!</v>
      </c>
      <c r="EJ22" t="e">
        <f>AND(Lifting!DP4,"AAAAAH9+NYs=")</f>
        <v>#VALUE!</v>
      </c>
      <c r="EK22" t="e">
        <f>AND(Lifting!DQ4,"AAAAAH9+NYw=")</f>
        <v>#VALUE!</v>
      </c>
      <c r="EL22" t="e">
        <f>AND(Lifting!DR4,"AAAAAH9+NY0=")</f>
        <v>#VALUE!</v>
      </c>
      <c r="EM22" t="e">
        <f>AND(Lifting!DS4,"AAAAAH9+NY4=")</f>
        <v>#VALUE!</v>
      </c>
      <c r="EN22" t="e">
        <f>AND(Lifting!DT4,"AAAAAH9+NY8=")</f>
        <v>#VALUE!</v>
      </c>
      <c r="EO22" t="e">
        <f>AND(Lifting!DU4,"AAAAAH9+NZA=")</f>
        <v>#VALUE!</v>
      </c>
      <c r="EP22" t="e">
        <f>AND(Lifting!DV4,"AAAAAH9+NZE=")</f>
        <v>#VALUE!</v>
      </c>
      <c r="EQ22" t="e">
        <f>AND(Lifting!DW4,"AAAAAH9+NZI=")</f>
        <v>#VALUE!</v>
      </c>
      <c r="ER22" t="e">
        <f>AND(Lifting!DX4,"AAAAAH9+NZM=")</f>
        <v>#VALUE!</v>
      </c>
      <c r="ES22" t="e">
        <f>AND(Lifting!DY4,"AAAAAH9+NZQ=")</f>
        <v>#VALUE!</v>
      </c>
      <c r="ET22" t="e">
        <f>AND(Lifting!DZ4,"AAAAAH9+NZU=")</f>
        <v>#VALUE!</v>
      </c>
      <c r="EU22" t="e">
        <f>AND(Lifting!EA4,"AAAAAH9+NZY=")</f>
        <v>#VALUE!</v>
      </c>
      <c r="EV22" t="e">
        <f>AND(Lifting!EB4,"AAAAAH9+NZc=")</f>
        <v>#VALUE!</v>
      </c>
      <c r="EW22" t="e">
        <f>AND(Lifting!EC4,"AAAAAH9+NZg=")</f>
        <v>#VALUE!</v>
      </c>
      <c r="EX22" t="e">
        <f>AND(Lifting!ED4,"AAAAAH9+NZk=")</f>
        <v>#VALUE!</v>
      </c>
      <c r="EY22" t="e">
        <f>AND(Lifting!EE4,"AAAAAH9+NZo=")</f>
        <v>#VALUE!</v>
      </c>
      <c r="EZ22" t="e">
        <f>AND(Lifting!EF4,"AAAAAH9+NZs=")</f>
        <v>#VALUE!</v>
      </c>
      <c r="FA22" t="e">
        <f>AND(Lifting!EG4,"AAAAAH9+NZw=")</f>
        <v>#VALUE!</v>
      </c>
      <c r="FB22" t="e">
        <f>AND(Lifting!EH4,"AAAAAH9+NZ0=")</f>
        <v>#VALUE!</v>
      </c>
      <c r="FC22" t="e">
        <f>AND(Lifting!EI4,"AAAAAH9+NZ4=")</f>
        <v>#VALUE!</v>
      </c>
      <c r="FD22" t="e">
        <f>AND(Lifting!EJ4,"AAAAAH9+NZ8=")</f>
        <v>#VALUE!</v>
      </c>
      <c r="FE22" t="e">
        <f>AND(Lifting!EK4,"AAAAAH9+NaA=")</f>
        <v>#VALUE!</v>
      </c>
      <c r="FF22" t="e">
        <f>AND(Lifting!EL4,"AAAAAH9+NaE=")</f>
        <v>#VALUE!</v>
      </c>
      <c r="FG22" t="e">
        <f>AND(Lifting!EM4,"AAAAAH9+NaI=")</f>
        <v>#VALUE!</v>
      </c>
      <c r="FH22" t="e">
        <f>AND(Lifting!EN4,"AAAAAH9+NaM=")</f>
        <v>#VALUE!</v>
      </c>
      <c r="FI22" t="e">
        <f>AND(Lifting!EO4,"AAAAAH9+NaQ=")</f>
        <v>#VALUE!</v>
      </c>
      <c r="FJ22" t="e">
        <f>AND(Lifting!EP4,"AAAAAH9+NaU=")</f>
        <v>#VALUE!</v>
      </c>
      <c r="FK22" t="e">
        <f>AND(Lifting!EQ4,"AAAAAH9+NaY=")</f>
        <v>#VALUE!</v>
      </c>
      <c r="FL22" t="e">
        <f>AND(Lifting!ER4,"AAAAAH9+Nac=")</f>
        <v>#VALUE!</v>
      </c>
      <c r="FM22" t="e">
        <f>AND(Lifting!ES4,"AAAAAH9+Nag=")</f>
        <v>#VALUE!</v>
      </c>
      <c r="FN22" t="e">
        <f>AND(Lifting!ET4,"AAAAAH9+Nak=")</f>
        <v>#VALUE!</v>
      </c>
      <c r="FO22" t="e">
        <f>AND(Lifting!EU4,"AAAAAH9+Nao=")</f>
        <v>#VALUE!</v>
      </c>
      <c r="FP22" t="e">
        <f>AND(Lifting!EV4,"AAAAAH9+Nas=")</f>
        <v>#VALUE!</v>
      </c>
      <c r="FQ22" t="e">
        <f>AND(Lifting!EW4,"AAAAAH9+Naw=")</f>
        <v>#VALUE!</v>
      </c>
      <c r="FR22" t="e">
        <f>AND(Lifting!EX4,"AAAAAH9+Na0=")</f>
        <v>#VALUE!</v>
      </c>
      <c r="FS22" t="e">
        <f>AND(Lifting!EY4,"AAAAAH9+Na4=")</f>
        <v>#VALUE!</v>
      </c>
      <c r="FT22" t="e">
        <f>AND(Lifting!EZ4,"AAAAAH9+Na8=")</f>
        <v>#VALUE!</v>
      </c>
      <c r="FU22" t="e">
        <f>AND(Lifting!FA4,"AAAAAH9+NbA=")</f>
        <v>#VALUE!</v>
      </c>
      <c r="FV22" t="e">
        <f>AND(Lifting!FB4,"AAAAAH9+NbE=")</f>
        <v>#VALUE!</v>
      </c>
      <c r="FW22" t="e">
        <f>AND(Lifting!FC4,"AAAAAH9+NbI=")</f>
        <v>#VALUE!</v>
      </c>
      <c r="FX22" t="e">
        <f>AND(Lifting!FD4,"AAAAAH9+NbM=")</f>
        <v>#VALUE!</v>
      </c>
      <c r="FY22" t="e">
        <f>AND(Lifting!FE4,"AAAAAH9+NbQ=")</f>
        <v>#VALUE!</v>
      </c>
      <c r="FZ22" t="e">
        <f>AND(Lifting!FF4,"AAAAAH9+NbU=")</f>
        <v>#VALUE!</v>
      </c>
      <c r="GA22" t="e">
        <f>AND(Lifting!FG4,"AAAAAH9+NbY=")</f>
        <v>#VALUE!</v>
      </c>
      <c r="GB22" t="e">
        <f>AND(Lifting!FH4,"AAAAAH9+Nbc=")</f>
        <v>#VALUE!</v>
      </c>
      <c r="GC22" t="e">
        <f>AND(Lifting!FI4,"AAAAAH9+Nbg=")</f>
        <v>#VALUE!</v>
      </c>
      <c r="GD22" t="e">
        <f>AND(Lifting!FJ4,"AAAAAH9+Nbk=")</f>
        <v>#VALUE!</v>
      </c>
      <c r="GE22" t="e">
        <f>AND(Lifting!FK4,"AAAAAH9+Nbo=")</f>
        <v>#VALUE!</v>
      </c>
      <c r="GF22" t="e">
        <f>AND(Lifting!FL4,"AAAAAH9+Nbs=")</f>
        <v>#VALUE!</v>
      </c>
      <c r="GG22" t="e">
        <f>AND(Lifting!FM4,"AAAAAH9+Nbw=")</f>
        <v>#VALUE!</v>
      </c>
      <c r="GH22" t="e">
        <f>AND(Lifting!FN4,"AAAAAH9+Nb0=")</f>
        <v>#VALUE!</v>
      </c>
      <c r="GI22" t="e">
        <f>AND(Lifting!FO4,"AAAAAH9+Nb4=")</f>
        <v>#VALUE!</v>
      </c>
      <c r="GJ22" t="e">
        <f>AND(Lifting!FP4,"AAAAAH9+Nb8=")</f>
        <v>#VALUE!</v>
      </c>
      <c r="GK22" t="e">
        <f>AND(Lifting!FQ4,"AAAAAH9+NcA=")</f>
        <v>#VALUE!</v>
      </c>
      <c r="GL22" t="e">
        <f>AND(Lifting!FR4,"AAAAAH9+NcE=")</f>
        <v>#VALUE!</v>
      </c>
      <c r="GM22" t="e">
        <f>AND(Lifting!FS4,"AAAAAH9+NcI=")</f>
        <v>#VALUE!</v>
      </c>
      <c r="GN22" t="e">
        <f>AND(Lifting!FT4,"AAAAAH9+NcM=")</f>
        <v>#VALUE!</v>
      </c>
      <c r="GO22">
        <f>IF(Lifting!5:5,"AAAAAH9+NcQ=",0)</f>
        <v>0</v>
      </c>
      <c r="GP22" t="e">
        <f ca="1">AND(Lifting!A5,"AAAAAH9+NcU=")</f>
        <v>#N/A</v>
      </c>
      <c r="GQ22" t="e">
        <f>AND(Lifting!B5,"AAAAAH9+NcY=")</f>
        <v>#VALUE!</v>
      </c>
      <c r="GR22" t="e">
        <f>AND(Lifting!C5,"AAAAAH9+Ncc=")</f>
        <v>#VALUE!</v>
      </c>
      <c r="GS22" t="e">
        <f>AND(Lifting!D5,"AAAAAH9+Ncg=")</f>
        <v>#VALUE!</v>
      </c>
      <c r="GT22" t="e">
        <f>AND(Lifting!E5,"AAAAAH9+Nck=")</f>
        <v>#VALUE!</v>
      </c>
      <c r="GU22" t="e">
        <f>AND(Lifting!F5,"AAAAAH9+Nco=")</f>
        <v>#VALUE!</v>
      </c>
      <c r="GV22" t="e">
        <f>AND(Lifting!G5,"AAAAAH9+Ncs=")</f>
        <v>#VALUE!</v>
      </c>
      <c r="GW22" t="e">
        <f>AND(Lifting!H5,"AAAAAH9+Ncw=")</f>
        <v>#VALUE!</v>
      </c>
      <c r="GX22" t="e">
        <f>AND(Lifting!I5,"AAAAAH9+Nc0=")</f>
        <v>#VALUE!</v>
      </c>
      <c r="GY22" t="e">
        <f>AND(Lifting!J5,"AAAAAH9+Nc4=")</f>
        <v>#VALUE!</v>
      </c>
      <c r="GZ22" t="e">
        <f>AND(Lifting!K5,"AAAAAH9+Nc8=")</f>
        <v>#VALUE!</v>
      </c>
      <c r="HA22" t="e">
        <f>AND(Lifting!L5,"AAAAAH9+NdA=")</f>
        <v>#VALUE!</v>
      </c>
      <c r="HB22" t="e">
        <f>AND(Lifting!M5,"AAAAAH9+NdE=")</f>
        <v>#VALUE!</v>
      </c>
      <c r="HC22" t="e">
        <f>AND(Lifting!N5,"AAAAAH9+NdI=")</f>
        <v>#VALUE!</v>
      </c>
      <c r="HD22" t="e">
        <f>AND(Lifting!O5,"AAAAAH9+NdM=")</f>
        <v>#VALUE!</v>
      </c>
      <c r="HE22" t="e">
        <f>AND(Lifting!P5,"AAAAAH9+NdQ=")</f>
        <v>#VALUE!</v>
      </c>
      <c r="HF22" t="e">
        <f>AND(Lifting!Q5,"AAAAAH9+NdU=")</f>
        <v>#VALUE!</v>
      </c>
      <c r="HG22" t="e">
        <f>AND(Lifting!R5,"AAAAAH9+NdY=")</f>
        <v>#VALUE!</v>
      </c>
      <c r="HH22" t="e">
        <f>AND(Lifting!S5,"AAAAAH9+Ndc=")</f>
        <v>#VALUE!</v>
      </c>
      <c r="HI22" t="e">
        <f>AND(Lifting!T5,"AAAAAH9+Ndg=")</f>
        <v>#VALUE!</v>
      </c>
      <c r="HJ22" t="e">
        <f>AND(Lifting!U5,"AAAAAH9+Ndk=")</f>
        <v>#VALUE!</v>
      </c>
      <c r="HK22" t="e">
        <f>AND(Lifting!V5,"AAAAAH9+Ndo=")</f>
        <v>#VALUE!</v>
      </c>
      <c r="HL22" t="e">
        <f>AND(Lifting!W5,"AAAAAH9+Nds=")</f>
        <v>#VALUE!</v>
      </c>
      <c r="HM22" t="e">
        <f>AND(Lifting!X5,"AAAAAH9+Ndw=")</f>
        <v>#VALUE!</v>
      </c>
      <c r="HN22" t="e">
        <f>AND(Lifting!Y5,"AAAAAH9+Nd0=")</f>
        <v>#VALUE!</v>
      </c>
      <c r="HO22" t="e">
        <f>AND(Lifting!Z5,"AAAAAH9+Nd4=")</f>
        <v>#VALUE!</v>
      </c>
      <c r="HP22" t="e">
        <f>AND(Lifting!AA5,"AAAAAH9+Nd8=")</f>
        <v>#VALUE!</v>
      </c>
      <c r="HQ22" t="e">
        <f>AND(Lifting!AB5,"AAAAAH9+NeA=")</f>
        <v>#VALUE!</v>
      </c>
      <c r="HR22" t="e">
        <f>AND(Lifting!AC5,"AAAAAH9+NeE=")</f>
        <v>#VALUE!</v>
      </c>
      <c r="HS22" t="e">
        <f>AND(Lifting!AD5,"AAAAAH9+NeI=")</f>
        <v>#VALUE!</v>
      </c>
      <c r="HT22" t="e">
        <f>AND(Lifting!AE5,"AAAAAH9+NeM=")</f>
        <v>#VALUE!</v>
      </c>
      <c r="HU22" t="e">
        <f>AND(Lifting!AF5,"AAAAAH9+NeQ=")</f>
        <v>#VALUE!</v>
      </c>
      <c r="HV22" t="e">
        <f>AND(Lifting!AG5,"AAAAAH9+NeU=")</f>
        <v>#VALUE!</v>
      </c>
      <c r="HW22" t="e">
        <f>AND(Lifting!AH5,"AAAAAH9+NeY=")</f>
        <v>#VALUE!</v>
      </c>
      <c r="HX22" t="e">
        <f>AND(Lifting!AI5,"AAAAAH9+Nec=")</f>
        <v>#VALUE!</v>
      </c>
      <c r="HY22" t="e">
        <f>AND(Lifting!AJ5,"AAAAAH9+Neg=")</f>
        <v>#VALUE!</v>
      </c>
      <c r="HZ22" t="e">
        <f>AND(Lifting!AK5,"AAAAAH9+Nek=")</f>
        <v>#VALUE!</v>
      </c>
      <c r="IA22" t="e">
        <f>AND(Lifting!AL5,"AAAAAH9+Neo=")</f>
        <v>#VALUE!</v>
      </c>
      <c r="IB22" t="e">
        <f>AND(Lifting!AM5,"AAAAAH9+Nes=")</f>
        <v>#VALUE!</v>
      </c>
      <c r="IC22" t="e">
        <f>AND(Lifting!AN5,"AAAAAH9+New=")</f>
        <v>#VALUE!</v>
      </c>
      <c r="ID22" t="e">
        <f>AND(Lifting!AO5,"AAAAAH9+Ne0=")</f>
        <v>#VALUE!</v>
      </c>
      <c r="IE22" t="e">
        <f>AND(Lifting!AP5,"AAAAAH9+Ne4=")</f>
        <v>#VALUE!</v>
      </c>
      <c r="IF22" t="e">
        <f>AND(Lifting!AQ5,"AAAAAH9+Ne8=")</f>
        <v>#VALUE!</v>
      </c>
      <c r="IG22" t="e">
        <f>AND(Lifting!AR5,"AAAAAH9+NfA=")</f>
        <v>#VALUE!</v>
      </c>
      <c r="IH22" t="e">
        <f>AND(Lifting!AS5,"AAAAAH9+NfE=")</f>
        <v>#VALUE!</v>
      </c>
      <c r="II22" t="e">
        <f>AND(Lifting!AT5,"AAAAAH9+NfI=")</f>
        <v>#VALUE!</v>
      </c>
      <c r="IJ22" t="e">
        <f>AND(Lifting!AU5,"AAAAAH9+NfM=")</f>
        <v>#VALUE!</v>
      </c>
      <c r="IK22" t="e">
        <f>AND(Lifting!AV5,"AAAAAH9+NfQ=")</f>
        <v>#VALUE!</v>
      </c>
      <c r="IL22" t="e">
        <f>AND(Lifting!AW5,"AAAAAH9+NfU=")</f>
        <v>#VALUE!</v>
      </c>
      <c r="IM22" t="e">
        <f>AND(Lifting!AX5,"AAAAAH9+NfY=")</f>
        <v>#VALUE!</v>
      </c>
      <c r="IN22" t="e">
        <f>AND(Lifting!AY5,"AAAAAH9+Nfc=")</f>
        <v>#VALUE!</v>
      </c>
      <c r="IO22" t="e">
        <f>AND(Lifting!AZ5,"AAAAAH9+Nfg=")</f>
        <v>#VALUE!</v>
      </c>
      <c r="IP22" t="e">
        <f>AND(Lifting!BA5,"AAAAAH9+Nfk=")</f>
        <v>#VALUE!</v>
      </c>
      <c r="IQ22" t="e">
        <f>AND(Lifting!BB5,"AAAAAH9+Nfo=")</f>
        <v>#VALUE!</v>
      </c>
      <c r="IR22" t="e">
        <f>AND(Lifting!BC5,"AAAAAH9+Nfs=")</f>
        <v>#VALUE!</v>
      </c>
      <c r="IS22" t="e">
        <f>AND(Lifting!BD5,"AAAAAH9+Nfw=")</f>
        <v>#VALUE!</v>
      </c>
      <c r="IT22" t="e">
        <f>AND(Lifting!BE5,"AAAAAH9+Nf0=")</f>
        <v>#VALUE!</v>
      </c>
      <c r="IU22" t="e">
        <f>AND(Lifting!BF5,"AAAAAH9+Nf4=")</f>
        <v>#VALUE!</v>
      </c>
      <c r="IV22" t="e">
        <f>AND(Lifting!BG5,"AAAAAH9+Nf8=")</f>
        <v>#VALUE!</v>
      </c>
    </row>
    <row r="23" spans="1:256">
      <c r="A23" t="e">
        <f>AND(Lifting!BH5,"AAAAAGd78gA=")</f>
        <v>#VALUE!</v>
      </c>
      <c r="B23" t="e">
        <f>AND(Lifting!BI5,"AAAAAGd78gE=")</f>
        <v>#VALUE!</v>
      </c>
      <c r="C23" t="e">
        <f>AND(Lifting!BJ5,"AAAAAGd78gI=")</f>
        <v>#VALUE!</v>
      </c>
      <c r="D23" t="e">
        <f>AND(Lifting!BK5,"AAAAAGd78gM=")</f>
        <v>#VALUE!</v>
      </c>
      <c r="E23" t="e">
        <f>AND(Lifting!BL5,"AAAAAGd78gQ=")</f>
        <v>#VALUE!</v>
      </c>
      <c r="F23" t="e">
        <f>AND(Lifting!BM5,"AAAAAGd78gU=")</f>
        <v>#VALUE!</v>
      </c>
      <c r="G23" t="e">
        <f>AND(Lifting!BN5,"AAAAAGd78gY=")</f>
        <v>#VALUE!</v>
      </c>
      <c r="H23" t="e">
        <f>AND(Lifting!BO5,"AAAAAGd78gc=")</f>
        <v>#VALUE!</v>
      </c>
      <c r="I23" t="e">
        <f>AND(Lifting!BP5,"AAAAAGd78gg=")</f>
        <v>#VALUE!</v>
      </c>
      <c r="J23" t="b">
        <f>AND(Lifting!BQ5,"AAAAAGd78gk=")</f>
        <v>1</v>
      </c>
      <c r="K23" t="e">
        <f>AND(Lifting!BR5,"AAAAAGd78go=")</f>
        <v>#VALUE!</v>
      </c>
      <c r="L23" t="e">
        <f>AND(Lifting!BS5,"AAAAAGd78gs=")</f>
        <v>#VALUE!</v>
      </c>
      <c r="M23" t="e">
        <f>AND(Lifting!BT5,"AAAAAGd78gw=")</f>
        <v>#VALUE!</v>
      </c>
      <c r="N23" t="e">
        <f>AND(Lifting!BU5,"AAAAAGd78g0=")</f>
        <v>#VALUE!</v>
      </c>
      <c r="O23" t="e">
        <f>AND(Lifting!BV5,"AAAAAGd78g4=")</f>
        <v>#VALUE!</v>
      </c>
      <c r="P23" t="e">
        <f>AND(Lifting!BW5,"AAAAAGd78g8=")</f>
        <v>#VALUE!</v>
      </c>
      <c r="Q23" t="e">
        <f>AND(Lifting!BX5,"AAAAAGd78hA=")</f>
        <v>#VALUE!</v>
      </c>
      <c r="R23" t="e">
        <f>AND(Lifting!BY5,"AAAAAGd78hE=")</f>
        <v>#VALUE!</v>
      </c>
      <c r="S23" t="e">
        <f>AND(Lifting!BZ5,"AAAAAGd78hI=")</f>
        <v>#VALUE!</v>
      </c>
      <c r="T23" t="e">
        <f>AND(Lifting!CA5,"AAAAAGd78hM=")</f>
        <v>#VALUE!</v>
      </c>
      <c r="U23" t="e">
        <f>AND(Lifting!CB5,"AAAAAGd78hQ=")</f>
        <v>#VALUE!</v>
      </c>
      <c r="V23" t="e">
        <f>AND(Lifting!CC5,"AAAAAGd78hU=")</f>
        <v>#VALUE!</v>
      </c>
      <c r="W23" t="e">
        <f>AND(Lifting!CD5,"AAAAAGd78hY=")</f>
        <v>#VALUE!</v>
      </c>
      <c r="X23" t="e">
        <f>AND(Lifting!CE5,"AAAAAGd78hc=")</f>
        <v>#VALUE!</v>
      </c>
      <c r="Y23" t="e">
        <f>AND(Lifting!CF5,"AAAAAGd78hg=")</f>
        <v>#VALUE!</v>
      </c>
      <c r="Z23" t="e">
        <f>AND(Lifting!CG5,"AAAAAGd78hk=")</f>
        <v>#VALUE!</v>
      </c>
      <c r="AA23" t="e">
        <f>AND(Lifting!CH5,"AAAAAGd78ho=")</f>
        <v>#VALUE!</v>
      </c>
      <c r="AB23" t="e">
        <f>AND(Lifting!CI5,"AAAAAGd78hs=")</f>
        <v>#VALUE!</v>
      </c>
      <c r="AC23" t="e">
        <f>AND(Lifting!CJ5,"AAAAAGd78hw=")</f>
        <v>#VALUE!</v>
      </c>
      <c r="AD23" t="e">
        <f>AND(Lifting!CK5,"AAAAAGd78h0=")</f>
        <v>#VALUE!</v>
      </c>
      <c r="AE23" t="e">
        <f>AND(Lifting!CL5,"AAAAAGd78h4=")</f>
        <v>#VALUE!</v>
      </c>
      <c r="AF23" t="e">
        <f>AND(Lifting!CM5,"AAAAAGd78h8=")</f>
        <v>#VALUE!</v>
      </c>
      <c r="AG23" t="e">
        <f>AND(Lifting!CN5,"AAAAAGd78iA=")</f>
        <v>#VALUE!</v>
      </c>
      <c r="AH23" t="e">
        <f>AND(Lifting!CO5,"AAAAAGd78iE=")</f>
        <v>#VALUE!</v>
      </c>
      <c r="AI23" t="e">
        <f>AND(Lifting!CP5,"AAAAAGd78iI=")</f>
        <v>#VALUE!</v>
      </c>
      <c r="AJ23" t="e">
        <f>AND(Lifting!CQ5,"AAAAAGd78iM=")</f>
        <v>#VALUE!</v>
      </c>
      <c r="AK23" t="e">
        <f>AND(Lifting!CR5,"AAAAAGd78iQ=")</f>
        <v>#VALUE!</v>
      </c>
      <c r="AL23" t="e">
        <f>AND(Lifting!CS5,"AAAAAGd78iU=")</f>
        <v>#VALUE!</v>
      </c>
      <c r="AM23" t="e">
        <f>AND(Lifting!CT5,"AAAAAGd78iY=")</f>
        <v>#VALUE!</v>
      </c>
      <c r="AN23" t="e">
        <f>AND(Lifting!CU5,"AAAAAGd78ic=")</f>
        <v>#VALUE!</v>
      </c>
      <c r="AO23" t="e">
        <f>AND(Lifting!CV5,"AAAAAGd78ig=")</f>
        <v>#VALUE!</v>
      </c>
      <c r="AP23" t="e">
        <f>AND(Lifting!CW5,"AAAAAGd78ik=")</f>
        <v>#VALUE!</v>
      </c>
      <c r="AQ23" t="e">
        <f>AND(Lifting!CX5,"AAAAAGd78io=")</f>
        <v>#VALUE!</v>
      </c>
      <c r="AR23" t="e">
        <f>AND(Lifting!CY5,"AAAAAGd78is=")</f>
        <v>#VALUE!</v>
      </c>
      <c r="AS23" t="e">
        <f>AND(Lifting!CZ5,"AAAAAGd78iw=")</f>
        <v>#VALUE!</v>
      </c>
      <c r="AT23" t="e">
        <f>AND(Lifting!DA5,"AAAAAGd78i0=")</f>
        <v>#VALUE!</v>
      </c>
      <c r="AU23" t="e">
        <f>AND(Lifting!DB5,"AAAAAGd78i4=")</f>
        <v>#VALUE!</v>
      </c>
      <c r="AV23" t="e">
        <f>AND(Lifting!DC5,"AAAAAGd78i8=")</f>
        <v>#VALUE!</v>
      </c>
      <c r="AW23" t="e">
        <f>AND(Lifting!DD5,"AAAAAGd78jA=")</f>
        <v>#VALUE!</v>
      </c>
      <c r="AX23" t="e">
        <f>AND(Lifting!DE5,"AAAAAGd78jE=")</f>
        <v>#VALUE!</v>
      </c>
      <c r="AY23" t="e">
        <f>AND(Lifting!DF5,"AAAAAGd78jI=")</f>
        <v>#VALUE!</v>
      </c>
      <c r="AZ23" t="e">
        <f>AND(Lifting!DG5,"AAAAAGd78jM=")</f>
        <v>#VALUE!</v>
      </c>
      <c r="BA23" t="e">
        <f>AND(Lifting!DH5,"AAAAAGd78jQ=")</f>
        <v>#VALUE!</v>
      </c>
      <c r="BB23" t="e">
        <f>AND(Lifting!DI5,"AAAAAGd78jU=")</f>
        <v>#VALUE!</v>
      </c>
      <c r="BC23" t="e">
        <f>AND(Lifting!DJ5,"AAAAAGd78jY=")</f>
        <v>#VALUE!</v>
      </c>
      <c r="BD23" t="e">
        <f>AND(Lifting!DK5,"AAAAAGd78jc=")</f>
        <v>#VALUE!</v>
      </c>
      <c r="BE23" t="e">
        <f>AND(Lifting!DL5,"AAAAAGd78jg=")</f>
        <v>#VALUE!</v>
      </c>
      <c r="BF23" t="e">
        <f>AND(Lifting!DM5,"AAAAAGd78jk=")</f>
        <v>#VALUE!</v>
      </c>
      <c r="BG23" t="e">
        <f>AND(Lifting!DN5,"AAAAAGd78jo=")</f>
        <v>#VALUE!</v>
      </c>
      <c r="BH23" t="e">
        <f>AND(Lifting!DO5,"AAAAAGd78js=")</f>
        <v>#VALUE!</v>
      </c>
      <c r="BI23" t="e">
        <f>AND(Lifting!DP5,"AAAAAGd78jw=")</f>
        <v>#VALUE!</v>
      </c>
      <c r="BJ23" t="e">
        <f>AND(Lifting!DQ5,"AAAAAGd78j0=")</f>
        <v>#VALUE!</v>
      </c>
      <c r="BK23" t="e">
        <f>AND(Lifting!DR5,"AAAAAGd78j4=")</f>
        <v>#VALUE!</v>
      </c>
      <c r="BL23" t="e">
        <f>AND(Lifting!DS5,"AAAAAGd78j8=")</f>
        <v>#VALUE!</v>
      </c>
      <c r="BM23" t="e">
        <f>AND(Lifting!DT5,"AAAAAGd78kA=")</f>
        <v>#VALUE!</v>
      </c>
      <c r="BN23" t="e">
        <f>AND(Lifting!DU5,"AAAAAGd78kE=")</f>
        <v>#VALUE!</v>
      </c>
      <c r="BO23" t="e">
        <f>AND(Lifting!DV5,"AAAAAGd78kI=")</f>
        <v>#VALUE!</v>
      </c>
      <c r="BP23" t="e">
        <f>AND(Lifting!DW5,"AAAAAGd78kM=")</f>
        <v>#VALUE!</v>
      </c>
      <c r="BQ23" t="e">
        <f>AND(Lifting!DX5,"AAAAAGd78kQ=")</f>
        <v>#VALUE!</v>
      </c>
      <c r="BR23" t="e">
        <f>AND(Lifting!DY5,"AAAAAGd78kU=")</f>
        <v>#VALUE!</v>
      </c>
      <c r="BS23" t="e">
        <f>AND(Lifting!DZ5,"AAAAAGd78kY=")</f>
        <v>#VALUE!</v>
      </c>
      <c r="BT23" t="e">
        <f>AND(Lifting!EA5,"AAAAAGd78kc=")</f>
        <v>#VALUE!</v>
      </c>
      <c r="BU23" t="e">
        <f>AND(Lifting!EB5,"AAAAAGd78kg=")</f>
        <v>#VALUE!</v>
      </c>
      <c r="BV23" t="e">
        <f>AND(Lifting!EC5,"AAAAAGd78kk=")</f>
        <v>#VALUE!</v>
      </c>
      <c r="BW23" t="e">
        <f>AND(Lifting!ED5,"AAAAAGd78ko=")</f>
        <v>#VALUE!</v>
      </c>
      <c r="BX23" t="e">
        <f>AND(Lifting!EE5,"AAAAAGd78ks=")</f>
        <v>#VALUE!</v>
      </c>
      <c r="BY23" t="e">
        <f>AND(Lifting!EF5,"AAAAAGd78kw=")</f>
        <v>#VALUE!</v>
      </c>
      <c r="BZ23" t="e">
        <f>AND(Lifting!EG5,"AAAAAGd78k0=")</f>
        <v>#VALUE!</v>
      </c>
      <c r="CA23" t="e">
        <f>AND(Lifting!EH5,"AAAAAGd78k4=")</f>
        <v>#VALUE!</v>
      </c>
      <c r="CB23" t="e">
        <f>AND(Lifting!EI5,"AAAAAGd78k8=")</f>
        <v>#VALUE!</v>
      </c>
      <c r="CC23" t="e">
        <f>AND(Lifting!EJ5,"AAAAAGd78lA=")</f>
        <v>#VALUE!</v>
      </c>
      <c r="CD23" t="e">
        <f>AND(Lifting!EK5,"AAAAAGd78lE=")</f>
        <v>#VALUE!</v>
      </c>
      <c r="CE23" t="e">
        <f>AND(Lifting!EL5,"AAAAAGd78lI=")</f>
        <v>#VALUE!</v>
      </c>
      <c r="CF23" t="e">
        <f>AND(Lifting!EM5,"AAAAAGd78lM=")</f>
        <v>#VALUE!</v>
      </c>
      <c r="CG23" t="e">
        <f>AND(Lifting!EN5,"AAAAAGd78lQ=")</f>
        <v>#VALUE!</v>
      </c>
      <c r="CH23" t="e">
        <f>AND(Lifting!EO5,"AAAAAGd78lU=")</f>
        <v>#VALUE!</v>
      </c>
      <c r="CI23" t="e">
        <f>AND(Lifting!EP5,"AAAAAGd78lY=")</f>
        <v>#VALUE!</v>
      </c>
      <c r="CJ23" t="e">
        <f>AND(Lifting!EQ5,"AAAAAGd78lc=")</f>
        <v>#VALUE!</v>
      </c>
      <c r="CK23" t="e">
        <f>AND(Lifting!ER5,"AAAAAGd78lg=")</f>
        <v>#VALUE!</v>
      </c>
      <c r="CL23" t="e">
        <f>AND(Lifting!ES5,"AAAAAGd78lk=")</f>
        <v>#VALUE!</v>
      </c>
      <c r="CM23" t="e">
        <f>AND(Lifting!ET5,"AAAAAGd78lo=")</f>
        <v>#VALUE!</v>
      </c>
      <c r="CN23" t="e">
        <f>AND(Lifting!EU5,"AAAAAGd78ls=")</f>
        <v>#VALUE!</v>
      </c>
      <c r="CO23" t="e">
        <f>AND(Lifting!EV5,"AAAAAGd78lw=")</f>
        <v>#VALUE!</v>
      </c>
      <c r="CP23" t="e">
        <f>AND(Lifting!EW5,"AAAAAGd78l0=")</f>
        <v>#VALUE!</v>
      </c>
      <c r="CQ23" t="e">
        <f>AND(Lifting!EX5,"AAAAAGd78l4=")</f>
        <v>#VALUE!</v>
      </c>
      <c r="CR23" t="e">
        <f>AND(Lifting!EY5,"AAAAAGd78l8=")</f>
        <v>#VALUE!</v>
      </c>
      <c r="CS23" t="e">
        <f>AND(Lifting!EZ5,"AAAAAGd78mA=")</f>
        <v>#VALUE!</v>
      </c>
      <c r="CT23" t="e">
        <f>AND(Lifting!FA5,"AAAAAGd78mE=")</f>
        <v>#VALUE!</v>
      </c>
      <c r="CU23" t="e">
        <f>AND(Lifting!FB5,"AAAAAGd78mI=")</f>
        <v>#VALUE!</v>
      </c>
      <c r="CV23" t="e">
        <f>AND(Lifting!FC5,"AAAAAGd78mM=")</f>
        <v>#VALUE!</v>
      </c>
      <c r="CW23" t="e">
        <f>AND(Lifting!FD5,"AAAAAGd78mQ=")</f>
        <v>#VALUE!</v>
      </c>
      <c r="CX23" t="e">
        <f>AND(Lifting!FE5,"AAAAAGd78mU=")</f>
        <v>#VALUE!</v>
      </c>
      <c r="CY23" t="e">
        <f>AND(Lifting!FF5,"AAAAAGd78mY=")</f>
        <v>#VALUE!</v>
      </c>
      <c r="CZ23" t="e">
        <f>AND(Lifting!FG5,"AAAAAGd78mc=")</f>
        <v>#VALUE!</v>
      </c>
      <c r="DA23" t="e">
        <f>AND(Lifting!FH5,"AAAAAGd78mg=")</f>
        <v>#VALUE!</v>
      </c>
      <c r="DB23" t="e">
        <f>AND(Lifting!FI5,"AAAAAGd78mk=")</f>
        <v>#VALUE!</v>
      </c>
      <c r="DC23" t="e">
        <f>AND(Lifting!FJ5,"AAAAAGd78mo=")</f>
        <v>#VALUE!</v>
      </c>
      <c r="DD23" t="e">
        <f>AND(Lifting!FK5,"AAAAAGd78ms=")</f>
        <v>#VALUE!</v>
      </c>
      <c r="DE23" t="e">
        <f>AND(Lifting!FL5,"AAAAAGd78mw=")</f>
        <v>#VALUE!</v>
      </c>
      <c r="DF23" t="e">
        <f>AND(Lifting!FM5,"AAAAAGd78m0=")</f>
        <v>#VALUE!</v>
      </c>
      <c r="DG23" t="e">
        <f>AND(Lifting!FN5,"AAAAAGd78m4=")</f>
        <v>#VALUE!</v>
      </c>
      <c r="DH23" t="e">
        <f>AND(Lifting!FO5,"AAAAAGd78m8=")</f>
        <v>#VALUE!</v>
      </c>
      <c r="DI23" t="e">
        <f>AND(Lifting!FP5,"AAAAAGd78nA=")</f>
        <v>#VALUE!</v>
      </c>
      <c r="DJ23" t="e">
        <f>AND(Lifting!FQ5,"AAAAAGd78nE=")</f>
        <v>#VALUE!</v>
      </c>
      <c r="DK23" t="e">
        <f>AND(Lifting!FR5,"AAAAAGd78nI=")</f>
        <v>#VALUE!</v>
      </c>
      <c r="DL23" t="e">
        <f>AND(Lifting!FS5,"AAAAAGd78nM=")</f>
        <v>#VALUE!</v>
      </c>
      <c r="DM23" t="e">
        <f>AND(Lifting!FT5,"AAAAAGd78nQ=")</f>
        <v>#VALUE!</v>
      </c>
      <c r="DN23">
        <f>IF(Lifting!6:6,"AAAAAGd78nU=",0)</f>
        <v>0</v>
      </c>
      <c r="DO23" t="e">
        <f>AND(Lifting!A6,"AAAAAGd78nY=")</f>
        <v>#VALUE!</v>
      </c>
      <c r="DP23" t="e">
        <f>AND(Lifting!B6,"AAAAAGd78nc=")</f>
        <v>#VALUE!</v>
      </c>
      <c r="DQ23" t="e">
        <f>AND(Lifting!C6,"AAAAAGd78ng=")</f>
        <v>#VALUE!</v>
      </c>
      <c r="DR23" t="e">
        <f>AND(Lifting!D6,"AAAAAGd78nk=")</f>
        <v>#VALUE!</v>
      </c>
      <c r="DS23" t="e">
        <f>AND(Lifting!E6,"AAAAAGd78no=")</f>
        <v>#VALUE!</v>
      </c>
      <c r="DT23" t="e">
        <f>AND(Lifting!F6,"AAAAAGd78ns=")</f>
        <v>#VALUE!</v>
      </c>
      <c r="DU23" t="e">
        <f>AND(Lifting!G6,"AAAAAGd78nw=")</f>
        <v>#VALUE!</v>
      </c>
      <c r="DV23" t="e">
        <f>AND(Lifting!H6,"AAAAAGd78n0=")</f>
        <v>#VALUE!</v>
      </c>
      <c r="DW23" t="e">
        <f>AND(Lifting!I6,"AAAAAGd78n4=")</f>
        <v>#VALUE!</v>
      </c>
      <c r="DX23" t="e">
        <f>AND(Lifting!J6,"AAAAAGd78n8=")</f>
        <v>#VALUE!</v>
      </c>
      <c r="DY23" t="e">
        <f>AND(Lifting!K6,"AAAAAGd78oA=")</f>
        <v>#VALUE!</v>
      </c>
      <c r="DZ23" t="e">
        <f>AND(Lifting!L6,"AAAAAGd78oE=")</f>
        <v>#VALUE!</v>
      </c>
      <c r="EA23" t="e">
        <f>AND(Lifting!M6,"AAAAAGd78oI=")</f>
        <v>#VALUE!</v>
      </c>
      <c r="EB23" t="e">
        <f>AND(Lifting!N6,"AAAAAGd78oM=")</f>
        <v>#VALUE!</v>
      </c>
      <c r="EC23" t="e">
        <f>AND(Lifting!O6,"AAAAAGd78oQ=")</f>
        <v>#VALUE!</v>
      </c>
      <c r="ED23" t="e">
        <f>AND(Lifting!P6,"AAAAAGd78oU=")</f>
        <v>#VALUE!</v>
      </c>
      <c r="EE23" t="e">
        <f>AND(Lifting!Q6,"AAAAAGd78oY=")</f>
        <v>#VALUE!</v>
      </c>
      <c r="EF23" t="e">
        <f>AND(Lifting!R6,"AAAAAGd78oc=")</f>
        <v>#VALUE!</v>
      </c>
      <c r="EG23" t="e">
        <f>AND(Lifting!S6,"AAAAAGd78og=")</f>
        <v>#VALUE!</v>
      </c>
      <c r="EH23" t="e">
        <f>AND(Lifting!T6,"AAAAAGd78ok=")</f>
        <v>#VALUE!</v>
      </c>
      <c r="EI23" t="e">
        <f>AND(Lifting!U6,"AAAAAGd78oo=")</f>
        <v>#VALUE!</v>
      </c>
      <c r="EJ23" t="e">
        <f>AND(Lifting!V6,"AAAAAGd78os=")</f>
        <v>#VALUE!</v>
      </c>
      <c r="EK23" t="e">
        <f>AND(Lifting!W6,"AAAAAGd78ow=")</f>
        <v>#VALUE!</v>
      </c>
      <c r="EL23" t="e">
        <f>AND(Lifting!X6,"AAAAAGd78o0=")</f>
        <v>#VALUE!</v>
      </c>
      <c r="EM23" t="e">
        <f>AND(Lifting!Y6,"AAAAAGd78o4=")</f>
        <v>#VALUE!</v>
      </c>
      <c r="EN23" t="e">
        <f>AND(Lifting!Z6,"AAAAAGd78o8=")</f>
        <v>#VALUE!</v>
      </c>
      <c r="EO23" t="e">
        <f>AND(Lifting!AA6,"AAAAAGd78pA=")</f>
        <v>#VALUE!</v>
      </c>
      <c r="EP23" t="e">
        <f>AND(Lifting!AB6,"AAAAAGd78pE=")</f>
        <v>#VALUE!</v>
      </c>
      <c r="EQ23" t="e">
        <f>AND(Lifting!AC6,"AAAAAGd78pI=")</f>
        <v>#VALUE!</v>
      </c>
      <c r="ER23" t="e">
        <f>AND(Lifting!AD6,"AAAAAGd78pM=")</f>
        <v>#VALUE!</v>
      </c>
      <c r="ES23" t="e">
        <f>AND(Lifting!AE6,"AAAAAGd78pQ=")</f>
        <v>#VALUE!</v>
      </c>
      <c r="ET23" t="b">
        <f ca="1">AND(Lifting!AF6,"AAAAAGd78pU=")</f>
        <v>1</v>
      </c>
      <c r="EU23" t="e">
        <f>AND(Lifting!AG6,"AAAAAGd78pY=")</f>
        <v>#VALUE!</v>
      </c>
      <c r="EV23" t="e">
        <f>AND(Lifting!AH6,"AAAAAGd78pc=")</f>
        <v>#VALUE!</v>
      </c>
      <c r="EW23" t="e">
        <f>AND(Lifting!AI6,"AAAAAGd78pg=")</f>
        <v>#VALUE!</v>
      </c>
      <c r="EX23" t="e">
        <f>AND(Lifting!AJ6,"AAAAAGd78pk=")</f>
        <v>#VALUE!</v>
      </c>
      <c r="EY23" t="e">
        <f>AND(Lifting!AK6,"AAAAAGd78po=")</f>
        <v>#VALUE!</v>
      </c>
      <c r="EZ23" t="e">
        <f>AND(Lifting!AL6,"AAAAAGd78ps=")</f>
        <v>#VALUE!</v>
      </c>
      <c r="FA23" t="e">
        <f>AND(Lifting!AM6,"AAAAAGd78pw=")</f>
        <v>#VALUE!</v>
      </c>
      <c r="FB23" t="e">
        <f>AND(Lifting!AN6,"AAAAAGd78p0=")</f>
        <v>#VALUE!</v>
      </c>
      <c r="FC23" t="e">
        <f>AND(Lifting!AO6,"AAAAAGd78p4=")</f>
        <v>#VALUE!</v>
      </c>
      <c r="FD23" t="e">
        <f>AND(Lifting!AP6,"AAAAAGd78p8=")</f>
        <v>#VALUE!</v>
      </c>
      <c r="FE23" t="e">
        <f>AND(Lifting!AQ6,"AAAAAGd78qA=")</f>
        <v>#VALUE!</v>
      </c>
      <c r="FF23" t="e">
        <f>AND(Lifting!AR6,"AAAAAGd78qE=")</f>
        <v>#VALUE!</v>
      </c>
      <c r="FG23" t="e">
        <f>AND(Lifting!AS6,"AAAAAGd78qI=")</f>
        <v>#VALUE!</v>
      </c>
      <c r="FH23" t="e">
        <f>AND(Lifting!AT6,"AAAAAGd78qM=")</f>
        <v>#VALUE!</v>
      </c>
      <c r="FI23" t="e">
        <f>AND(Lifting!AU6,"AAAAAGd78qQ=")</f>
        <v>#VALUE!</v>
      </c>
      <c r="FJ23" t="e">
        <f>AND(Lifting!AV6,"AAAAAGd78qU=")</f>
        <v>#VALUE!</v>
      </c>
      <c r="FK23" t="e">
        <f>AND(Lifting!AW6,"AAAAAGd78qY=")</f>
        <v>#VALUE!</v>
      </c>
      <c r="FL23" t="e">
        <f>AND(Lifting!AX6,"AAAAAGd78qc=")</f>
        <v>#VALUE!</v>
      </c>
      <c r="FM23" t="e">
        <f>AND(Lifting!AY6,"AAAAAGd78qg=")</f>
        <v>#VALUE!</v>
      </c>
      <c r="FN23" t="e">
        <f>AND(Lifting!AZ6,"AAAAAGd78qk=")</f>
        <v>#VALUE!</v>
      </c>
      <c r="FO23" t="e">
        <f>AND(Lifting!BA6,"AAAAAGd78qo=")</f>
        <v>#VALUE!</v>
      </c>
      <c r="FP23" t="e">
        <f>AND(Lifting!BB6,"AAAAAGd78qs=")</f>
        <v>#VALUE!</v>
      </c>
      <c r="FQ23" t="e">
        <f>AND(Lifting!BC6,"AAAAAGd78qw=")</f>
        <v>#VALUE!</v>
      </c>
      <c r="FR23" t="e">
        <f>AND(Lifting!BD6,"AAAAAGd78q0=")</f>
        <v>#VALUE!</v>
      </c>
      <c r="FS23" t="e">
        <f>AND(Lifting!BE6,"AAAAAGd78q4=")</f>
        <v>#VALUE!</v>
      </c>
      <c r="FT23" t="e">
        <f>AND(Lifting!BF6,"AAAAAGd78q8=")</f>
        <v>#VALUE!</v>
      </c>
      <c r="FU23" t="e">
        <f>AND(Lifting!BG6,"AAAAAGd78rA=")</f>
        <v>#VALUE!</v>
      </c>
      <c r="FV23" t="e">
        <f>AND(Lifting!BH6,"AAAAAGd78rE=")</f>
        <v>#VALUE!</v>
      </c>
      <c r="FW23" t="e">
        <f>AND(Lifting!BI6,"AAAAAGd78rI=")</f>
        <v>#VALUE!</v>
      </c>
      <c r="FX23" t="e">
        <f>AND(Lifting!BJ6,"AAAAAGd78rM=")</f>
        <v>#VALUE!</v>
      </c>
      <c r="FY23" t="e">
        <f>AND(Lifting!BK6,"AAAAAGd78rQ=")</f>
        <v>#VALUE!</v>
      </c>
      <c r="FZ23" t="e">
        <f>AND(Lifting!BL6,"AAAAAGd78rU=")</f>
        <v>#VALUE!</v>
      </c>
      <c r="GA23" t="e">
        <f>AND(Lifting!BM6,"AAAAAGd78rY=")</f>
        <v>#VALUE!</v>
      </c>
      <c r="GB23" t="e">
        <f>AND(Lifting!BN6,"AAAAAGd78rc=")</f>
        <v>#VALUE!</v>
      </c>
      <c r="GC23" t="e">
        <f>AND(Lifting!BO6,"AAAAAGd78rg=")</f>
        <v>#VALUE!</v>
      </c>
      <c r="GD23" t="e">
        <f>AND(Lifting!BP6,"AAAAAGd78rk=")</f>
        <v>#VALUE!</v>
      </c>
      <c r="GE23" t="b">
        <f>AND(Lifting!BQ6,"AAAAAGd78ro=")</f>
        <v>1</v>
      </c>
      <c r="GF23" t="e">
        <f>AND(Lifting!BR6,"AAAAAGd78rs=")</f>
        <v>#VALUE!</v>
      </c>
      <c r="GG23" t="e">
        <f>AND(Lifting!BS6,"AAAAAGd78rw=")</f>
        <v>#VALUE!</v>
      </c>
      <c r="GH23" t="e">
        <f>AND(Lifting!BT6,"AAAAAGd78r0=")</f>
        <v>#VALUE!</v>
      </c>
      <c r="GI23" t="e">
        <f>AND(Lifting!BU6,"AAAAAGd78r4=")</f>
        <v>#VALUE!</v>
      </c>
      <c r="GJ23" t="e">
        <f>AND(Lifting!BV6,"AAAAAGd78r8=")</f>
        <v>#VALUE!</v>
      </c>
      <c r="GK23" t="e">
        <f>AND(Lifting!BW6,"AAAAAGd78sA=")</f>
        <v>#VALUE!</v>
      </c>
      <c r="GL23" t="e">
        <f>AND(Lifting!BX6,"AAAAAGd78sE=")</f>
        <v>#VALUE!</v>
      </c>
      <c r="GM23" t="e">
        <f>AND(Lifting!BY6,"AAAAAGd78sI=")</f>
        <v>#VALUE!</v>
      </c>
      <c r="GN23" t="e">
        <f>AND(Lifting!BZ6,"AAAAAGd78sM=")</f>
        <v>#VALUE!</v>
      </c>
      <c r="GO23" t="e">
        <f>AND(Lifting!CA6,"AAAAAGd78sQ=")</f>
        <v>#VALUE!</v>
      </c>
      <c r="GP23" t="e">
        <f>AND(Lifting!CB6,"AAAAAGd78sU=")</f>
        <v>#VALUE!</v>
      </c>
      <c r="GQ23" t="e">
        <f>AND(Lifting!CC6,"AAAAAGd78sY=")</f>
        <v>#VALUE!</v>
      </c>
      <c r="GR23" t="e">
        <f>AND(Lifting!CD6,"AAAAAGd78sc=")</f>
        <v>#VALUE!</v>
      </c>
      <c r="GS23" t="e">
        <f>AND(Lifting!CE6,"AAAAAGd78sg=")</f>
        <v>#VALUE!</v>
      </c>
      <c r="GT23" t="e">
        <f>AND(Lifting!CF6,"AAAAAGd78sk=")</f>
        <v>#VALUE!</v>
      </c>
      <c r="GU23" t="e">
        <f>AND(Lifting!CG6,"AAAAAGd78so=")</f>
        <v>#VALUE!</v>
      </c>
      <c r="GV23" t="e">
        <f>AND(Lifting!CH6,"AAAAAGd78ss=")</f>
        <v>#VALUE!</v>
      </c>
      <c r="GW23" t="e">
        <f>AND(Lifting!CI6,"AAAAAGd78sw=")</f>
        <v>#VALUE!</v>
      </c>
      <c r="GX23" t="e">
        <f>AND(Lifting!CJ6,"AAAAAGd78s0=")</f>
        <v>#VALUE!</v>
      </c>
      <c r="GY23" t="e">
        <f>AND(Lifting!CK6,"AAAAAGd78s4=")</f>
        <v>#VALUE!</v>
      </c>
      <c r="GZ23" t="e">
        <f>AND(Lifting!CL6,"AAAAAGd78s8=")</f>
        <v>#VALUE!</v>
      </c>
      <c r="HA23" t="e">
        <f>AND(Lifting!CM6,"AAAAAGd78tA=")</f>
        <v>#VALUE!</v>
      </c>
      <c r="HB23" t="e">
        <f>AND(Lifting!CN6,"AAAAAGd78tE=")</f>
        <v>#VALUE!</v>
      </c>
      <c r="HC23" t="e">
        <f>AND(Lifting!CO6,"AAAAAGd78tI=")</f>
        <v>#VALUE!</v>
      </c>
      <c r="HD23" t="e">
        <f>AND(Lifting!CP6,"AAAAAGd78tM=")</f>
        <v>#VALUE!</v>
      </c>
      <c r="HE23" t="e">
        <f>AND(Lifting!CQ6,"AAAAAGd78tQ=")</f>
        <v>#VALUE!</v>
      </c>
      <c r="HF23" t="e">
        <f>AND(Lifting!CR6,"AAAAAGd78tU=")</f>
        <v>#VALUE!</v>
      </c>
      <c r="HG23" t="e">
        <f>AND(Lifting!CS6,"AAAAAGd78tY=")</f>
        <v>#VALUE!</v>
      </c>
      <c r="HH23" t="e">
        <f>AND(Lifting!CT6,"AAAAAGd78tc=")</f>
        <v>#VALUE!</v>
      </c>
      <c r="HI23" t="e">
        <f>AND(Lifting!CU6,"AAAAAGd78tg=")</f>
        <v>#VALUE!</v>
      </c>
      <c r="HJ23" t="e">
        <f>AND(Lifting!CV6,"AAAAAGd78tk=")</f>
        <v>#VALUE!</v>
      </c>
      <c r="HK23" t="e">
        <f>AND(Lifting!CW6,"AAAAAGd78to=")</f>
        <v>#VALUE!</v>
      </c>
      <c r="HL23" t="e">
        <f>AND(Lifting!CX6,"AAAAAGd78ts=")</f>
        <v>#VALUE!</v>
      </c>
      <c r="HM23" t="e">
        <f>AND(Lifting!CY6,"AAAAAGd78tw=")</f>
        <v>#VALUE!</v>
      </c>
      <c r="HN23" t="e">
        <f>AND(Lifting!CZ6,"AAAAAGd78t0=")</f>
        <v>#VALUE!</v>
      </c>
      <c r="HO23" t="e">
        <f>AND(Lifting!DA6,"AAAAAGd78t4=")</f>
        <v>#VALUE!</v>
      </c>
      <c r="HP23" t="e">
        <f>AND(Lifting!DB6,"AAAAAGd78t8=")</f>
        <v>#VALUE!</v>
      </c>
      <c r="HQ23" t="e">
        <f>AND(Lifting!DC6,"AAAAAGd78uA=")</f>
        <v>#VALUE!</v>
      </c>
      <c r="HR23" t="e">
        <f>AND(Lifting!DD6,"AAAAAGd78uE=")</f>
        <v>#VALUE!</v>
      </c>
      <c r="HS23" t="e">
        <f>AND(Lifting!DE6,"AAAAAGd78uI=")</f>
        <v>#VALUE!</v>
      </c>
      <c r="HT23" t="e">
        <f>AND(Lifting!DF6,"AAAAAGd78uM=")</f>
        <v>#VALUE!</v>
      </c>
      <c r="HU23" t="e">
        <f>AND(Lifting!DG6,"AAAAAGd78uQ=")</f>
        <v>#VALUE!</v>
      </c>
      <c r="HV23" t="e">
        <f>AND(Lifting!DH6,"AAAAAGd78uU=")</f>
        <v>#VALUE!</v>
      </c>
      <c r="HW23" t="e">
        <f>AND(Lifting!DI6,"AAAAAGd78uY=")</f>
        <v>#VALUE!</v>
      </c>
      <c r="HX23" t="e">
        <f>AND(Lifting!DJ6,"AAAAAGd78uc=")</f>
        <v>#VALUE!</v>
      </c>
      <c r="HY23" t="e">
        <f>AND(Lifting!DK6,"AAAAAGd78ug=")</f>
        <v>#VALUE!</v>
      </c>
      <c r="HZ23" t="e">
        <f>AND(Lifting!DL6,"AAAAAGd78uk=")</f>
        <v>#VALUE!</v>
      </c>
      <c r="IA23" t="e">
        <f>AND(Lifting!DM6,"AAAAAGd78uo=")</f>
        <v>#VALUE!</v>
      </c>
      <c r="IB23" t="e">
        <f>AND(Lifting!DN6,"AAAAAGd78us=")</f>
        <v>#VALUE!</v>
      </c>
      <c r="IC23" t="e">
        <f>AND(Lifting!DO6,"AAAAAGd78uw=")</f>
        <v>#VALUE!</v>
      </c>
      <c r="ID23" t="e">
        <f>AND(Lifting!DP6,"AAAAAGd78u0=")</f>
        <v>#VALUE!</v>
      </c>
      <c r="IE23" t="e">
        <f>AND(Lifting!DQ6,"AAAAAGd78u4=")</f>
        <v>#VALUE!</v>
      </c>
      <c r="IF23" t="e">
        <f>AND(Lifting!DR6,"AAAAAGd78u8=")</f>
        <v>#VALUE!</v>
      </c>
      <c r="IG23" t="e">
        <f>AND(Lifting!DS6,"AAAAAGd78vA=")</f>
        <v>#VALUE!</v>
      </c>
      <c r="IH23" t="e">
        <f>AND(Lifting!DT6,"AAAAAGd78vE=")</f>
        <v>#VALUE!</v>
      </c>
      <c r="II23" t="e">
        <f>AND(Lifting!DU6,"AAAAAGd78vI=")</f>
        <v>#VALUE!</v>
      </c>
      <c r="IJ23" t="e">
        <f>AND(Lifting!DV6,"AAAAAGd78vM=")</f>
        <v>#VALUE!</v>
      </c>
      <c r="IK23" t="e">
        <f>AND(Lifting!DW6,"AAAAAGd78vQ=")</f>
        <v>#VALUE!</v>
      </c>
      <c r="IL23" t="e">
        <f>AND(Lifting!DX6,"AAAAAGd78vU=")</f>
        <v>#VALUE!</v>
      </c>
      <c r="IM23" t="e">
        <f>AND(Lifting!DY6,"AAAAAGd78vY=")</f>
        <v>#VALUE!</v>
      </c>
      <c r="IN23" t="e">
        <f>AND(Lifting!DZ6,"AAAAAGd78vc=")</f>
        <v>#VALUE!</v>
      </c>
      <c r="IO23" t="e">
        <f>AND(Lifting!EA6,"AAAAAGd78vg=")</f>
        <v>#VALUE!</v>
      </c>
      <c r="IP23" t="e">
        <f>AND(Lifting!EB6,"AAAAAGd78vk=")</f>
        <v>#VALUE!</v>
      </c>
      <c r="IQ23" t="e">
        <f>AND(Lifting!EC6,"AAAAAGd78vo=")</f>
        <v>#VALUE!</v>
      </c>
      <c r="IR23" t="e">
        <f>AND(Lifting!ED6,"AAAAAGd78vs=")</f>
        <v>#VALUE!</v>
      </c>
      <c r="IS23" t="e">
        <f>AND(Lifting!EE6,"AAAAAGd78vw=")</f>
        <v>#VALUE!</v>
      </c>
      <c r="IT23" t="e">
        <f>AND(Lifting!EF6,"AAAAAGd78v0=")</f>
        <v>#VALUE!</v>
      </c>
      <c r="IU23" t="e">
        <f>AND(Lifting!EG6,"AAAAAGd78v4=")</f>
        <v>#VALUE!</v>
      </c>
      <c r="IV23" t="e">
        <f>AND(Lifting!EH6,"AAAAAGd78v8=")</f>
        <v>#VALUE!</v>
      </c>
    </row>
    <row r="24" spans="1:256">
      <c r="A24" t="e">
        <f>AND(Lifting!EI6,"AAAAAH8b/gA=")</f>
        <v>#VALUE!</v>
      </c>
      <c r="B24" t="e">
        <f>AND(Lifting!EJ6,"AAAAAH8b/gE=")</f>
        <v>#VALUE!</v>
      </c>
      <c r="C24" t="e">
        <f>AND(Lifting!EK6,"AAAAAH8b/gI=")</f>
        <v>#VALUE!</v>
      </c>
      <c r="D24" t="e">
        <f>AND(Lifting!EL6,"AAAAAH8b/gM=")</f>
        <v>#VALUE!</v>
      </c>
      <c r="E24" t="e">
        <f>AND(Lifting!EM6,"AAAAAH8b/gQ=")</f>
        <v>#VALUE!</v>
      </c>
      <c r="F24" t="e">
        <f>AND(Lifting!EN6,"AAAAAH8b/gU=")</f>
        <v>#VALUE!</v>
      </c>
      <c r="G24" t="e">
        <f>AND(Lifting!EO6,"AAAAAH8b/gY=")</f>
        <v>#VALUE!</v>
      </c>
      <c r="H24" t="e">
        <f>AND(Lifting!EP6,"AAAAAH8b/gc=")</f>
        <v>#VALUE!</v>
      </c>
      <c r="I24" t="e">
        <f>AND(Lifting!EQ6,"AAAAAH8b/gg=")</f>
        <v>#VALUE!</v>
      </c>
      <c r="J24" t="e">
        <f>AND(Lifting!ER6,"AAAAAH8b/gk=")</f>
        <v>#VALUE!</v>
      </c>
      <c r="K24" t="e">
        <f>AND(Lifting!ES6,"AAAAAH8b/go=")</f>
        <v>#VALUE!</v>
      </c>
      <c r="L24" t="e">
        <f>AND(Lifting!ET6,"AAAAAH8b/gs=")</f>
        <v>#VALUE!</v>
      </c>
      <c r="M24" t="e">
        <f>AND(Lifting!EU6,"AAAAAH8b/gw=")</f>
        <v>#VALUE!</v>
      </c>
      <c r="N24" t="e">
        <f>AND(Lifting!EV6,"AAAAAH8b/g0=")</f>
        <v>#VALUE!</v>
      </c>
      <c r="O24" t="e">
        <f>AND(Lifting!EW6,"AAAAAH8b/g4=")</f>
        <v>#VALUE!</v>
      </c>
      <c r="P24" t="e">
        <f>AND(Lifting!EX6,"AAAAAH8b/g8=")</f>
        <v>#VALUE!</v>
      </c>
      <c r="Q24" t="e">
        <f>AND(Lifting!EY6,"AAAAAH8b/hA=")</f>
        <v>#VALUE!</v>
      </c>
      <c r="R24" t="e">
        <f>AND(Lifting!EZ6,"AAAAAH8b/hE=")</f>
        <v>#VALUE!</v>
      </c>
      <c r="S24" t="e">
        <f>AND(Lifting!FA6,"AAAAAH8b/hI=")</f>
        <v>#VALUE!</v>
      </c>
      <c r="T24" t="e">
        <f>AND(Lifting!FB6,"AAAAAH8b/hM=")</f>
        <v>#VALUE!</v>
      </c>
      <c r="U24" t="e">
        <f>AND(Lifting!FC6,"AAAAAH8b/hQ=")</f>
        <v>#VALUE!</v>
      </c>
      <c r="V24" t="e">
        <f>AND(Lifting!FD6,"AAAAAH8b/hU=")</f>
        <v>#VALUE!</v>
      </c>
      <c r="W24" t="e">
        <f>AND(Lifting!FE6,"AAAAAH8b/hY=")</f>
        <v>#VALUE!</v>
      </c>
      <c r="X24" t="e">
        <f>AND(Lifting!FF6,"AAAAAH8b/hc=")</f>
        <v>#VALUE!</v>
      </c>
      <c r="Y24" t="e">
        <f>AND(Lifting!FG6,"AAAAAH8b/hg=")</f>
        <v>#VALUE!</v>
      </c>
      <c r="Z24" t="e">
        <f>AND(Lifting!FH6,"AAAAAH8b/hk=")</f>
        <v>#VALUE!</v>
      </c>
      <c r="AA24" t="e">
        <f>AND(Lifting!FI6,"AAAAAH8b/ho=")</f>
        <v>#VALUE!</v>
      </c>
      <c r="AB24" t="e">
        <f>AND(Lifting!FJ6,"AAAAAH8b/hs=")</f>
        <v>#VALUE!</v>
      </c>
      <c r="AC24" t="e">
        <f>AND(Lifting!FK6,"AAAAAH8b/hw=")</f>
        <v>#VALUE!</v>
      </c>
      <c r="AD24" t="e">
        <f>AND(Lifting!FL6,"AAAAAH8b/h0=")</f>
        <v>#VALUE!</v>
      </c>
      <c r="AE24" t="e">
        <f>AND(Lifting!FM6,"AAAAAH8b/h4=")</f>
        <v>#VALUE!</v>
      </c>
      <c r="AF24" t="e">
        <f>AND(Lifting!FN6,"AAAAAH8b/h8=")</f>
        <v>#VALUE!</v>
      </c>
      <c r="AG24" t="e">
        <f>AND(Lifting!FO6,"AAAAAH8b/iA=")</f>
        <v>#VALUE!</v>
      </c>
      <c r="AH24" t="e">
        <f>AND(Lifting!FP6,"AAAAAH8b/iE=")</f>
        <v>#VALUE!</v>
      </c>
      <c r="AI24" t="e">
        <f>AND(Lifting!FQ6,"AAAAAH8b/iI=")</f>
        <v>#VALUE!</v>
      </c>
      <c r="AJ24" t="e">
        <f>AND(Lifting!FR6,"AAAAAH8b/iM=")</f>
        <v>#VALUE!</v>
      </c>
      <c r="AK24" t="e">
        <f>AND(Lifting!FS6,"AAAAAH8b/iQ=")</f>
        <v>#VALUE!</v>
      </c>
      <c r="AL24" t="e">
        <f>AND(Lifting!FT6,"AAAAAH8b/iU=")</f>
        <v>#VALUE!</v>
      </c>
      <c r="AM24">
        <f>IF(Lifting!7:7,"AAAAAH8b/iY=",0)</f>
        <v>0</v>
      </c>
      <c r="AN24" t="e">
        <f ca="1">AND(Lifting!A7,"AAAAAH8b/ic=")</f>
        <v>#VALUE!</v>
      </c>
      <c r="AO24" t="e">
        <f>AND(Lifting!B7,"AAAAAH8b/ig=")</f>
        <v>#VALUE!</v>
      </c>
      <c r="AP24" t="e">
        <f>AND(Lifting!C7,"AAAAAH8b/ik=")</f>
        <v>#VALUE!</v>
      </c>
      <c r="AQ24" t="e">
        <f>AND(Lifting!D7,"AAAAAH8b/io=")</f>
        <v>#VALUE!</v>
      </c>
      <c r="AR24" t="e">
        <f>AND(Lifting!E7,"AAAAAH8b/is=")</f>
        <v>#VALUE!</v>
      </c>
      <c r="AS24" t="e">
        <f>AND(Lifting!F7,"AAAAAH8b/iw=")</f>
        <v>#VALUE!</v>
      </c>
      <c r="AT24" t="e">
        <f>AND(Lifting!G7,"AAAAAH8b/i0=")</f>
        <v>#VALUE!</v>
      </c>
      <c r="AU24" t="e">
        <f>AND(Lifting!H7,"AAAAAH8b/i4=")</f>
        <v>#VALUE!</v>
      </c>
      <c r="AV24" t="e">
        <f>AND(Lifting!I7,"AAAAAH8b/i8=")</f>
        <v>#VALUE!</v>
      </c>
      <c r="AW24" t="e">
        <f>AND(Lifting!J7,"AAAAAH8b/jA=")</f>
        <v>#VALUE!</v>
      </c>
      <c r="AX24" t="e">
        <f>AND(Lifting!K7,"AAAAAH8b/jE=")</f>
        <v>#VALUE!</v>
      </c>
      <c r="AY24" t="e">
        <f>AND(Lifting!L7,"AAAAAH8b/jI=")</f>
        <v>#VALUE!</v>
      </c>
      <c r="AZ24" t="e">
        <f>AND(Lifting!M7,"AAAAAH8b/jM=")</f>
        <v>#VALUE!</v>
      </c>
      <c r="BA24" t="e">
        <f>AND(Lifting!N7,"AAAAAH8b/jQ=")</f>
        <v>#VALUE!</v>
      </c>
      <c r="BB24" t="e">
        <f>AND(Lifting!O7,"AAAAAH8b/jU=")</f>
        <v>#VALUE!</v>
      </c>
      <c r="BC24" t="e">
        <f>AND(Lifting!P7,"AAAAAH8b/jY=")</f>
        <v>#VALUE!</v>
      </c>
      <c r="BD24" t="e">
        <f>AND(Lifting!Q7,"AAAAAH8b/jc=")</f>
        <v>#VALUE!</v>
      </c>
      <c r="BE24" t="e">
        <f>AND(Lifting!R7,"AAAAAH8b/jg=")</f>
        <v>#VALUE!</v>
      </c>
      <c r="BF24" t="e">
        <f>AND(Lifting!S7,"AAAAAH8b/jk=")</f>
        <v>#VALUE!</v>
      </c>
      <c r="BG24" t="e">
        <f>AND(Lifting!T7,"AAAAAH8b/jo=")</f>
        <v>#VALUE!</v>
      </c>
      <c r="BH24" t="e">
        <f>AND(Lifting!U7,"AAAAAH8b/js=")</f>
        <v>#VALUE!</v>
      </c>
      <c r="BI24" t="e">
        <f>AND(Lifting!V7,"AAAAAH8b/jw=")</f>
        <v>#VALUE!</v>
      </c>
      <c r="BJ24" t="e">
        <f>AND(Lifting!W7,"AAAAAH8b/j0=")</f>
        <v>#VALUE!</v>
      </c>
      <c r="BK24" t="e">
        <f>AND(Lifting!X7,"AAAAAH8b/j4=")</f>
        <v>#VALUE!</v>
      </c>
      <c r="BL24" t="e">
        <f>AND(Lifting!Y7,"AAAAAH8b/j8=")</f>
        <v>#VALUE!</v>
      </c>
      <c r="BM24" t="e">
        <f>AND(Lifting!Z7,"AAAAAH8b/kA=")</f>
        <v>#VALUE!</v>
      </c>
      <c r="BN24" t="e">
        <f>AND(Lifting!AA7,"AAAAAH8b/kE=")</f>
        <v>#VALUE!</v>
      </c>
      <c r="BO24" t="e">
        <f>AND(Lifting!AB7,"AAAAAH8b/kI=")</f>
        <v>#VALUE!</v>
      </c>
      <c r="BP24" t="e">
        <f>AND(Lifting!AC7,"AAAAAH8b/kM=")</f>
        <v>#VALUE!</v>
      </c>
      <c r="BQ24" t="e">
        <f>AND(Lifting!AD7,"AAAAAH8b/kQ=")</f>
        <v>#VALUE!</v>
      </c>
      <c r="BR24" t="e">
        <f>AND(Lifting!AE7,"AAAAAH8b/kU=")</f>
        <v>#VALUE!</v>
      </c>
      <c r="BS24" t="b">
        <f>AND(Lifting!AF7,"AAAAAH8b/kY=")</f>
        <v>1</v>
      </c>
      <c r="BT24" t="e">
        <f>AND(Lifting!AG7,"AAAAAH8b/kc=")</f>
        <v>#VALUE!</v>
      </c>
      <c r="BU24" t="e">
        <f>AND(Lifting!AH7,"AAAAAH8b/kg=")</f>
        <v>#VALUE!</v>
      </c>
      <c r="BV24" t="e">
        <f>AND(Lifting!AI7,"AAAAAH8b/kk=")</f>
        <v>#VALUE!</v>
      </c>
      <c r="BW24" t="e">
        <f>AND(Lifting!AJ7,"AAAAAH8b/ko=")</f>
        <v>#VALUE!</v>
      </c>
      <c r="BX24" t="e">
        <f>AND(Lifting!AK7,"AAAAAH8b/ks=")</f>
        <v>#VALUE!</v>
      </c>
      <c r="BY24" t="e">
        <f>AND(Lifting!AL7,"AAAAAH8b/kw=")</f>
        <v>#VALUE!</v>
      </c>
      <c r="BZ24" t="e">
        <f>AND(Lifting!AM7,"AAAAAH8b/k0=")</f>
        <v>#VALUE!</v>
      </c>
      <c r="CA24" t="e">
        <f>AND(Lifting!AN7,"AAAAAH8b/k4=")</f>
        <v>#VALUE!</v>
      </c>
      <c r="CB24" t="e">
        <f>AND(Lifting!AO7,"AAAAAH8b/k8=")</f>
        <v>#VALUE!</v>
      </c>
      <c r="CC24" t="e">
        <f>AND(Lifting!AP7,"AAAAAH8b/lA=")</f>
        <v>#VALUE!</v>
      </c>
      <c r="CD24" t="e">
        <f>AND(Lifting!AQ7,"AAAAAH8b/lE=")</f>
        <v>#VALUE!</v>
      </c>
      <c r="CE24" t="e">
        <f>AND(Lifting!AR7,"AAAAAH8b/lI=")</f>
        <v>#VALUE!</v>
      </c>
      <c r="CF24" t="e">
        <f>AND(Lifting!AS7,"AAAAAH8b/lM=")</f>
        <v>#VALUE!</v>
      </c>
      <c r="CG24" t="e">
        <f>AND(Lifting!AT7,"AAAAAH8b/lQ=")</f>
        <v>#VALUE!</v>
      </c>
      <c r="CH24" t="e">
        <f>AND(Lifting!AU7,"AAAAAH8b/lU=")</f>
        <v>#VALUE!</v>
      </c>
      <c r="CI24" t="e">
        <f>AND(Lifting!AV7,"AAAAAH8b/lY=")</f>
        <v>#VALUE!</v>
      </c>
      <c r="CJ24" t="e">
        <f>AND(Lifting!AW7,"AAAAAH8b/lc=")</f>
        <v>#VALUE!</v>
      </c>
      <c r="CK24" t="e">
        <f>AND(Lifting!AX7,"AAAAAH8b/lg=")</f>
        <v>#VALUE!</v>
      </c>
      <c r="CL24" t="e">
        <f>AND(Lifting!AY7,"AAAAAH8b/lk=")</f>
        <v>#VALUE!</v>
      </c>
      <c r="CM24" t="e">
        <f>AND(Lifting!AZ7,"AAAAAH8b/lo=")</f>
        <v>#VALUE!</v>
      </c>
      <c r="CN24" t="e">
        <f>AND(Lifting!BA7,"AAAAAH8b/ls=")</f>
        <v>#VALUE!</v>
      </c>
      <c r="CO24" t="e">
        <f>AND(Lifting!BB7,"AAAAAH8b/lw=")</f>
        <v>#VALUE!</v>
      </c>
      <c r="CP24" t="e">
        <f>AND(Lifting!BC7,"AAAAAH8b/l0=")</f>
        <v>#VALUE!</v>
      </c>
      <c r="CQ24" t="e">
        <f>AND(Lifting!BD7,"AAAAAH8b/l4=")</f>
        <v>#VALUE!</v>
      </c>
      <c r="CR24" t="e">
        <f>AND(Lifting!BE7,"AAAAAH8b/l8=")</f>
        <v>#VALUE!</v>
      </c>
      <c r="CS24" t="e">
        <f>AND(Lifting!BF7,"AAAAAH8b/mA=")</f>
        <v>#VALUE!</v>
      </c>
      <c r="CT24" t="e">
        <f>AND(Lifting!BG7,"AAAAAH8b/mE=")</f>
        <v>#VALUE!</v>
      </c>
      <c r="CU24" t="e">
        <f>AND(Lifting!BH7,"AAAAAH8b/mI=")</f>
        <v>#VALUE!</v>
      </c>
      <c r="CV24" t="e">
        <f>AND(Lifting!BI7,"AAAAAH8b/mM=")</f>
        <v>#VALUE!</v>
      </c>
      <c r="CW24" t="e">
        <f>AND(Lifting!BJ7,"AAAAAH8b/mQ=")</f>
        <v>#VALUE!</v>
      </c>
      <c r="CX24" t="e">
        <f>AND(Lifting!BK7,"AAAAAH8b/mU=")</f>
        <v>#VALUE!</v>
      </c>
      <c r="CY24" t="e">
        <f>AND(Lifting!BL7,"AAAAAH8b/mY=")</f>
        <v>#VALUE!</v>
      </c>
      <c r="CZ24" t="e">
        <f>AND(Lifting!BM7,"AAAAAH8b/mc=")</f>
        <v>#VALUE!</v>
      </c>
      <c r="DA24" t="e">
        <f>AND(Lifting!BN7,"AAAAAH8b/mg=")</f>
        <v>#VALUE!</v>
      </c>
      <c r="DB24" t="e">
        <f>AND(Lifting!BO7,"AAAAAH8b/mk=")</f>
        <v>#VALUE!</v>
      </c>
      <c r="DC24" t="e">
        <f>AND(Lifting!BP7,"AAAAAH8b/mo=")</f>
        <v>#VALUE!</v>
      </c>
      <c r="DD24" t="b">
        <f>AND(Lifting!BQ7,"AAAAAH8b/ms=")</f>
        <v>1</v>
      </c>
      <c r="DE24" t="e">
        <f>AND(Lifting!BR7,"AAAAAH8b/mw=")</f>
        <v>#VALUE!</v>
      </c>
      <c r="DF24" t="e">
        <f>AND(Lifting!BS7,"AAAAAH8b/m0=")</f>
        <v>#VALUE!</v>
      </c>
      <c r="DG24" t="e">
        <f>AND(Lifting!BT7,"AAAAAH8b/m4=")</f>
        <v>#VALUE!</v>
      </c>
      <c r="DH24" t="e">
        <f>AND(Lifting!BU7,"AAAAAH8b/m8=")</f>
        <v>#VALUE!</v>
      </c>
      <c r="DI24" t="e">
        <f>AND(Lifting!BV7,"AAAAAH8b/nA=")</f>
        <v>#VALUE!</v>
      </c>
      <c r="DJ24" t="e">
        <f>AND(Lifting!BW7,"AAAAAH8b/nE=")</f>
        <v>#VALUE!</v>
      </c>
      <c r="DK24" t="e">
        <f>AND(Lifting!BX7,"AAAAAH8b/nI=")</f>
        <v>#VALUE!</v>
      </c>
      <c r="DL24" t="e">
        <f>AND(Lifting!BY7,"AAAAAH8b/nM=")</f>
        <v>#VALUE!</v>
      </c>
      <c r="DM24" t="e">
        <f>AND(Lifting!BZ7,"AAAAAH8b/nQ=")</f>
        <v>#VALUE!</v>
      </c>
      <c r="DN24" t="e">
        <f>AND(Lifting!CA7,"AAAAAH8b/nU=")</f>
        <v>#VALUE!</v>
      </c>
      <c r="DO24" t="e">
        <f>AND(Lifting!CB7,"AAAAAH8b/nY=")</f>
        <v>#VALUE!</v>
      </c>
      <c r="DP24" t="e">
        <f>AND(Lifting!CC7,"AAAAAH8b/nc=")</f>
        <v>#VALUE!</v>
      </c>
      <c r="DQ24" t="e">
        <f>AND(Lifting!CD7,"AAAAAH8b/ng=")</f>
        <v>#VALUE!</v>
      </c>
      <c r="DR24" t="e">
        <f>AND(Lifting!CE7,"AAAAAH8b/nk=")</f>
        <v>#VALUE!</v>
      </c>
      <c r="DS24" t="e">
        <f>AND(Lifting!CF7,"AAAAAH8b/no=")</f>
        <v>#VALUE!</v>
      </c>
      <c r="DT24" t="e">
        <f>AND(Lifting!CG7,"AAAAAH8b/ns=")</f>
        <v>#VALUE!</v>
      </c>
      <c r="DU24" t="e">
        <f>AND(Lifting!CH7,"AAAAAH8b/nw=")</f>
        <v>#VALUE!</v>
      </c>
      <c r="DV24" t="e">
        <f>AND(Lifting!CI7,"AAAAAH8b/n0=")</f>
        <v>#VALUE!</v>
      </c>
      <c r="DW24" t="e">
        <f>AND(Lifting!CJ7,"AAAAAH8b/n4=")</f>
        <v>#VALUE!</v>
      </c>
      <c r="DX24" t="e">
        <f>AND(Lifting!CK7,"AAAAAH8b/n8=")</f>
        <v>#VALUE!</v>
      </c>
      <c r="DY24" t="e">
        <f>AND(Lifting!CL7,"AAAAAH8b/oA=")</f>
        <v>#VALUE!</v>
      </c>
      <c r="DZ24" t="e">
        <f>AND(Lifting!CM7,"AAAAAH8b/oE=")</f>
        <v>#VALUE!</v>
      </c>
      <c r="EA24" t="e">
        <f>AND(Lifting!CN7,"AAAAAH8b/oI=")</f>
        <v>#VALUE!</v>
      </c>
      <c r="EB24" t="e">
        <f>AND(Lifting!CO7,"AAAAAH8b/oM=")</f>
        <v>#VALUE!</v>
      </c>
      <c r="EC24" t="e">
        <f>AND(Lifting!CP7,"AAAAAH8b/oQ=")</f>
        <v>#VALUE!</v>
      </c>
      <c r="ED24" t="e">
        <f>AND(Lifting!CQ7,"AAAAAH8b/oU=")</f>
        <v>#VALUE!</v>
      </c>
      <c r="EE24" t="e">
        <f>AND(Lifting!CR7,"AAAAAH8b/oY=")</f>
        <v>#VALUE!</v>
      </c>
      <c r="EF24" t="e">
        <f>AND(Lifting!CS7,"AAAAAH8b/oc=")</f>
        <v>#VALUE!</v>
      </c>
      <c r="EG24" t="e">
        <f>AND(Lifting!CT7,"AAAAAH8b/og=")</f>
        <v>#VALUE!</v>
      </c>
      <c r="EH24" t="e">
        <f>AND(Lifting!CU7,"AAAAAH8b/ok=")</f>
        <v>#VALUE!</v>
      </c>
      <c r="EI24" t="e">
        <f>AND(Lifting!CV7,"AAAAAH8b/oo=")</f>
        <v>#VALUE!</v>
      </c>
      <c r="EJ24" t="e">
        <f>AND(Lifting!CW7,"AAAAAH8b/os=")</f>
        <v>#VALUE!</v>
      </c>
      <c r="EK24" t="e">
        <f>AND(Lifting!CX7,"AAAAAH8b/ow=")</f>
        <v>#VALUE!</v>
      </c>
      <c r="EL24" t="e">
        <f>AND(Lifting!CY7,"AAAAAH8b/o0=")</f>
        <v>#VALUE!</v>
      </c>
      <c r="EM24" t="e">
        <f>AND(Lifting!CZ7,"AAAAAH8b/o4=")</f>
        <v>#VALUE!</v>
      </c>
      <c r="EN24" t="e">
        <f>AND(Lifting!DA7,"AAAAAH8b/o8=")</f>
        <v>#VALUE!</v>
      </c>
      <c r="EO24" t="e">
        <f>AND(Lifting!DB7,"AAAAAH8b/pA=")</f>
        <v>#VALUE!</v>
      </c>
      <c r="EP24" t="e">
        <f>AND(Lifting!DC7,"AAAAAH8b/pE=")</f>
        <v>#VALUE!</v>
      </c>
      <c r="EQ24" t="e">
        <f>AND(Lifting!DD7,"AAAAAH8b/pI=")</f>
        <v>#VALUE!</v>
      </c>
      <c r="ER24" t="e">
        <f>AND(Lifting!DE7,"AAAAAH8b/pM=")</f>
        <v>#VALUE!</v>
      </c>
      <c r="ES24" t="e">
        <f>AND(Lifting!DF7,"AAAAAH8b/pQ=")</f>
        <v>#VALUE!</v>
      </c>
      <c r="ET24" t="e">
        <f>AND(Lifting!DG7,"AAAAAH8b/pU=")</f>
        <v>#VALUE!</v>
      </c>
      <c r="EU24" t="e">
        <f>AND(Lifting!DH7,"AAAAAH8b/pY=")</f>
        <v>#VALUE!</v>
      </c>
      <c r="EV24" t="e">
        <f>AND(Lifting!DI7,"AAAAAH8b/pc=")</f>
        <v>#VALUE!</v>
      </c>
      <c r="EW24" t="e">
        <f>AND(Lifting!DJ7,"AAAAAH8b/pg=")</f>
        <v>#VALUE!</v>
      </c>
      <c r="EX24" t="e">
        <f>AND(Lifting!DK7,"AAAAAH8b/pk=")</f>
        <v>#VALUE!</v>
      </c>
      <c r="EY24" t="e">
        <f>AND(Lifting!DL7,"AAAAAH8b/po=")</f>
        <v>#VALUE!</v>
      </c>
      <c r="EZ24" t="e">
        <f>AND(Lifting!DM7,"AAAAAH8b/ps=")</f>
        <v>#VALUE!</v>
      </c>
      <c r="FA24" t="e">
        <f>AND(Lifting!DN7,"AAAAAH8b/pw=")</f>
        <v>#VALUE!</v>
      </c>
      <c r="FB24" t="e">
        <f>AND(Lifting!DO7,"AAAAAH8b/p0=")</f>
        <v>#VALUE!</v>
      </c>
      <c r="FC24" t="e">
        <f>AND(Lifting!DP7,"AAAAAH8b/p4=")</f>
        <v>#VALUE!</v>
      </c>
      <c r="FD24" t="e">
        <f>AND(Lifting!DQ7,"AAAAAH8b/p8=")</f>
        <v>#VALUE!</v>
      </c>
      <c r="FE24" t="e">
        <f>AND(Lifting!DR7,"AAAAAH8b/qA=")</f>
        <v>#VALUE!</v>
      </c>
      <c r="FF24" t="e">
        <f>AND(Lifting!DS7,"AAAAAH8b/qE=")</f>
        <v>#VALUE!</v>
      </c>
      <c r="FG24" t="e">
        <f>AND(Lifting!DT7,"AAAAAH8b/qI=")</f>
        <v>#VALUE!</v>
      </c>
      <c r="FH24" t="e">
        <f>AND(Lifting!DU7,"AAAAAH8b/qM=")</f>
        <v>#VALUE!</v>
      </c>
      <c r="FI24" t="e">
        <f>AND(Lifting!DV7,"AAAAAH8b/qQ=")</f>
        <v>#VALUE!</v>
      </c>
      <c r="FJ24" t="e">
        <f>AND(Lifting!DW7,"AAAAAH8b/qU=")</f>
        <v>#VALUE!</v>
      </c>
      <c r="FK24" t="e">
        <f>AND(Lifting!DX7,"AAAAAH8b/qY=")</f>
        <v>#VALUE!</v>
      </c>
      <c r="FL24" t="e">
        <f>AND(Lifting!DY7,"AAAAAH8b/qc=")</f>
        <v>#VALUE!</v>
      </c>
      <c r="FM24" t="e">
        <f>AND(Lifting!DZ7,"AAAAAH8b/qg=")</f>
        <v>#VALUE!</v>
      </c>
      <c r="FN24" t="e">
        <f>AND(Lifting!EA7,"AAAAAH8b/qk=")</f>
        <v>#VALUE!</v>
      </c>
      <c r="FO24" t="e">
        <f>AND(Lifting!EB7,"AAAAAH8b/qo=")</f>
        <v>#VALUE!</v>
      </c>
      <c r="FP24" t="e">
        <f>AND(Lifting!EC7,"AAAAAH8b/qs=")</f>
        <v>#VALUE!</v>
      </c>
      <c r="FQ24" t="e">
        <f>AND(Lifting!ED7,"AAAAAH8b/qw=")</f>
        <v>#VALUE!</v>
      </c>
      <c r="FR24" t="e">
        <f>AND(Lifting!EE7,"AAAAAH8b/q0=")</f>
        <v>#VALUE!</v>
      </c>
      <c r="FS24" t="e">
        <f>AND(Lifting!EF7,"AAAAAH8b/q4=")</f>
        <v>#VALUE!</v>
      </c>
      <c r="FT24" t="e">
        <f>AND(Lifting!EG7,"AAAAAH8b/q8=")</f>
        <v>#VALUE!</v>
      </c>
      <c r="FU24" t="e">
        <f>AND(Lifting!EH7,"AAAAAH8b/rA=")</f>
        <v>#VALUE!</v>
      </c>
      <c r="FV24" t="e">
        <f>AND(Lifting!EI7,"AAAAAH8b/rE=")</f>
        <v>#VALUE!</v>
      </c>
      <c r="FW24" t="e">
        <f>AND(Lifting!EJ7,"AAAAAH8b/rI=")</f>
        <v>#VALUE!</v>
      </c>
      <c r="FX24" t="e">
        <f>AND(Lifting!EK7,"AAAAAH8b/rM=")</f>
        <v>#VALUE!</v>
      </c>
      <c r="FY24" t="e">
        <f>AND(Lifting!EL7,"AAAAAH8b/rQ=")</f>
        <v>#VALUE!</v>
      </c>
      <c r="FZ24" t="e">
        <f>AND(Lifting!EM7,"AAAAAH8b/rU=")</f>
        <v>#VALUE!</v>
      </c>
      <c r="GA24" t="e">
        <f>AND(Lifting!EN7,"AAAAAH8b/rY=")</f>
        <v>#VALUE!</v>
      </c>
      <c r="GB24" t="e">
        <f>AND(Lifting!EO7,"AAAAAH8b/rc=")</f>
        <v>#VALUE!</v>
      </c>
      <c r="GC24" t="e">
        <f>AND(Lifting!EP7,"AAAAAH8b/rg=")</f>
        <v>#VALUE!</v>
      </c>
      <c r="GD24" t="e">
        <f>AND(Lifting!EQ7,"AAAAAH8b/rk=")</f>
        <v>#VALUE!</v>
      </c>
      <c r="GE24" t="e">
        <f>AND(Lifting!ER7,"AAAAAH8b/ro=")</f>
        <v>#VALUE!</v>
      </c>
      <c r="GF24" t="e">
        <f>AND(Lifting!ES7,"AAAAAH8b/rs=")</f>
        <v>#VALUE!</v>
      </c>
      <c r="GG24" t="e">
        <f>AND(Lifting!ET7,"AAAAAH8b/rw=")</f>
        <v>#VALUE!</v>
      </c>
      <c r="GH24" t="e">
        <f>AND(Lifting!EU7,"AAAAAH8b/r0=")</f>
        <v>#VALUE!</v>
      </c>
      <c r="GI24" t="e">
        <f>AND(Lifting!EV7,"AAAAAH8b/r4=")</f>
        <v>#VALUE!</v>
      </c>
      <c r="GJ24" t="e">
        <f>AND(Lifting!EW7,"AAAAAH8b/r8=")</f>
        <v>#VALUE!</v>
      </c>
      <c r="GK24" t="e">
        <f>AND(Lifting!EX7,"AAAAAH8b/sA=")</f>
        <v>#VALUE!</v>
      </c>
      <c r="GL24" t="e">
        <f>AND(Lifting!EY7,"AAAAAH8b/sE=")</f>
        <v>#VALUE!</v>
      </c>
      <c r="GM24" t="e">
        <f>AND(Lifting!EZ7,"AAAAAH8b/sI=")</f>
        <v>#VALUE!</v>
      </c>
      <c r="GN24" t="e">
        <f>AND(Lifting!FA7,"AAAAAH8b/sM=")</f>
        <v>#VALUE!</v>
      </c>
      <c r="GO24" t="e">
        <f>AND(Lifting!FB7,"AAAAAH8b/sQ=")</f>
        <v>#VALUE!</v>
      </c>
      <c r="GP24" t="e">
        <f>AND(Lifting!FC7,"AAAAAH8b/sU=")</f>
        <v>#VALUE!</v>
      </c>
      <c r="GQ24" t="e">
        <f>AND(Lifting!FD7,"AAAAAH8b/sY=")</f>
        <v>#VALUE!</v>
      </c>
      <c r="GR24" t="e">
        <f>AND(Lifting!FE7,"AAAAAH8b/sc=")</f>
        <v>#VALUE!</v>
      </c>
      <c r="GS24" t="e">
        <f>AND(Lifting!FF7,"AAAAAH8b/sg=")</f>
        <v>#VALUE!</v>
      </c>
      <c r="GT24" t="e">
        <f>AND(Lifting!FG7,"AAAAAH8b/sk=")</f>
        <v>#VALUE!</v>
      </c>
      <c r="GU24" t="e">
        <f>AND(Lifting!FH7,"AAAAAH8b/so=")</f>
        <v>#VALUE!</v>
      </c>
      <c r="GV24" t="e">
        <f>AND(Lifting!FI7,"AAAAAH8b/ss=")</f>
        <v>#VALUE!</v>
      </c>
      <c r="GW24" t="e">
        <f>AND(Lifting!FJ7,"AAAAAH8b/sw=")</f>
        <v>#VALUE!</v>
      </c>
      <c r="GX24" t="e">
        <f>AND(Lifting!FK7,"AAAAAH8b/s0=")</f>
        <v>#VALUE!</v>
      </c>
      <c r="GY24" t="e">
        <f>AND(Lifting!FL7,"AAAAAH8b/s4=")</f>
        <v>#VALUE!</v>
      </c>
      <c r="GZ24" t="e">
        <f>AND(Lifting!FM7,"AAAAAH8b/s8=")</f>
        <v>#VALUE!</v>
      </c>
      <c r="HA24" t="e">
        <f>AND(Lifting!FN7,"AAAAAH8b/tA=")</f>
        <v>#VALUE!</v>
      </c>
      <c r="HB24" t="e">
        <f>AND(Lifting!FO7,"AAAAAH8b/tE=")</f>
        <v>#VALUE!</v>
      </c>
      <c r="HC24" t="e">
        <f>AND(Lifting!FP7,"AAAAAH8b/tI=")</f>
        <v>#VALUE!</v>
      </c>
      <c r="HD24" t="e">
        <f>AND(Lifting!FQ7,"AAAAAH8b/tM=")</f>
        <v>#VALUE!</v>
      </c>
      <c r="HE24" t="e">
        <f>AND(Lifting!FR7,"AAAAAH8b/tQ=")</f>
        <v>#VALUE!</v>
      </c>
      <c r="HF24" t="e">
        <f>AND(Lifting!FS7,"AAAAAH8b/tU=")</f>
        <v>#VALUE!</v>
      </c>
      <c r="HG24" t="e">
        <f>AND(Lifting!FT7,"AAAAAH8b/tY=")</f>
        <v>#VALUE!</v>
      </c>
      <c r="HH24">
        <f>IF(Lifting!8:8,"AAAAAH8b/tc=",0)</f>
        <v>0</v>
      </c>
      <c r="HI24" t="e">
        <f>AND(Lifting!A8,"AAAAAH8b/tg=")</f>
        <v>#VALUE!</v>
      </c>
      <c r="HJ24" t="e">
        <f>AND(Lifting!B8,"AAAAAH8b/tk=")</f>
        <v>#VALUE!</v>
      </c>
      <c r="HK24" t="e">
        <f>AND(Lifting!C8,"AAAAAH8b/to=")</f>
        <v>#VALUE!</v>
      </c>
      <c r="HL24" t="e">
        <f>AND(Lifting!D8,"AAAAAH8b/ts=")</f>
        <v>#VALUE!</v>
      </c>
      <c r="HM24" t="e">
        <f>AND(Lifting!E8,"AAAAAH8b/tw=")</f>
        <v>#VALUE!</v>
      </c>
      <c r="HN24" t="e">
        <f>AND(Lifting!F8,"AAAAAH8b/t0=")</f>
        <v>#VALUE!</v>
      </c>
      <c r="HO24" t="e">
        <f>AND(Lifting!G8,"AAAAAH8b/t4=")</f>
        <v>#VALUE!</v>
      </c>
      <c r="HP24" t="e">
        <f>AND(Lifting!H8,"AAAAAH8b/t8=")</f>
        <v>#VALUE!</v>
      </c>
      <c r="HQ24" t="e">
        <f>AND(Lifting!I8,"AAAAAH8b/uA=")</f>
        <v>#VALUE!</v>
      </c>
      <c r="HR24" t="e">
        <f>AND(Lifting!J8,"AAAAAH8b/uE=")</f>
        <v>#VALUE!</v>
      </c>
      <c r="HS24" t="e">
        <f>AND(Lifting!K8,"AAAAAH8b/uI=")</f>
        <v>#VALUE!</v>
      </c>
      <c r="HT24" t="e">
        <f>AND(Lifting!L8,"AAAAAH8b/uM=")</f>
        <v>#VALUE!</v>
      </c>
      <c r="HU24" t="e">
        <f>AND(Lifting!M8,"AAAAAH8b/uQ=")</f>
        <v>#VALUE!</v>
      </c>
      <c r="HV24" t="e">
        <f>AND(Lifting!N8,"AAAAAH8b/uU=")</f>
        <v>#VALUE!</v>
      </c>
      <c r="HW24" t="e">
        <f>AND(Lifting!O8,"AAAAAH8b/uY=")</f>
        <v>#VALUE!</v>
      </c>
      <c r="HX24" t="e">
        <f>AND(Lifting!P8,"AAAAAH8b/uc=")</f>
        <v>#VALUE!</v>
      </c>
      <c r="HY24" t="e">
        <f>AND(Lifting!Q8,"AAAAAH8b/ug=")</f>
        <v>#VALUE!</v>
      </c>
      <c r="HZ24" t="e">
        <f>AND(Lifting!R8,"AAAAAH8b/uk=")</f>
        <v>#VALUE!</v>
      </c>
      <c r="IA24" t="e">
        <f>AND(Lifting!S8,"AAAAAH8b/uo=")</f>
        <v>#VALUE!</v>
      </c>
      <c r="IB24" t="e">
        <f>AND(Lifting!T8,"AAAAAH8b/us=")</f>
        <v>#VALUE!</v>
      </c>
      <c r="IC24" t="e">
        <f>AND(Lifting!U8,"AAAAAH8b/uw=")</f>
        <v>#VALUE!</v>
      </c>
      <c r="ID24" t="e">
        <f>AND(Lifting!V8,"AAAAAH8b/u0=")</f>
        <v>#VALUE!</v>
      </c>
      <c r="IE24" t="e">
        <f>AND(Lifting!W8,"AAAAAH8b/u4=")</f>
        <v>#VALUE!</v>
      </c>
      <c r="IF24" t="e">
        <f>AND(Lifting!X8,"AAAAAH8b/u8=")</f>
        <v>#VALUE!</v>
      </c>
      <c r="IG24" t="e">
        <f>AND(Lifting!Y8,"AAAAAH8b/vA=")</f>
        <v>#VALUE!</v>
      </c>
      <c r="IH24" t="e">
        <f>AND(Lifting!Z8,"AAAAAH8b/vE=")</f>
        <v>#VALUE!</v>
      </c>
      <c r="II24" t="e">
        <f>AND(Lifting!AA8,"AAAAAH8b/vI=")</f>
        <v>#VALUE!</v>
      </c>
      <c r="IJ24" t="e">
        <f>AND(Lifting!AB8,"AAAAAH8b/vM=")</f>
        <v>#VALUE!</v>
      </c>
      <c r="IK24" t="e">
        <f>AND(Lifting!AC8,"AAAAAH8b/vQ=")</f>
        <v>#VALUE!</v>
      </c>
      <c r="IL24" t="e">
        <f>AND(Lifting!AD8,"AAAAAH8b/vU=")</f>
        <v>#VALUE!</v>
      </c>
      <c r="IM24" t="e">
        <f>AND(Lifting!AE8,"AAAAAH8b/vY=")</f>
        <v>#VALUE!</v>
      </c>
      <c r="IN24" t="e">
        <f>AND(Lifting!AF8,"AAAAAH8b/vc=")</f>
        <v>#VALUE!</v>
      </c>
      <c r="IO24" t="e">
        <f>AND(Lifting!AG8,"AAAAAH8b/vg=")</f>
        <v>#VALUE!</v>
      </c>
      <c r="IP24" t="e">
        <f>AND(Lifting!AH8,"AAAAAH8b/vk=")</f>
        <v>#VALUE!</v>
      </c>
      <c r="IQ24" t="e">
        <f>AND(Lifting!AI8,"AAAAAH8b/vo=")</f>
        <v>#VALUE!</v>
      </c>
      <c r="IR24" t="e">
        <f>AND(Lifting!AJ8,"AAAAAH8b/vs=")</f>
        <v>#VALUE!</v>
      </c>
      <c r="IS24" t="e">
        <f>AND(Lifting!AK8,"AAAAAH8b/vw=")</f>
        <v>#VALUE!</v>
      </c>
      <c r="IT24" t="e">
        <f>AND(Lifting!AL8,"AAAAAH8b/v0=")</f>
        <v>#VALUE!</v>
      </c>
      <c r="IU24" t="e">
        <f>AND(Lifting!AM8,"AAAAAH8b/v4=")</f>
        <v>#VALUE!</v>
      </c>
      <c r="IV24" t="e">
        <f>AND(Lifting!AN8,"AAAAAH8b/v8=")</f>
        <v>#VALUE!</v>
      </c>
    </row>
    <row r="25" spans="1:256">
      <c r="A25" t="e">
        <f>AND(Lifting!AO8,"AAAAAEv6/wA=")</f>
        <v>#VALUE!</v>
      </c>
      <c r="B25" t="e">
        <f>AND(Lifting!AP8,"AAAAAEv6/wE=")</f>
        <v>#VALUE!</v>
      </c>
      <c r="C25" t="e">
        <f>AND(Lifting!AQ8,"AAAAAEv6/wI=")</f>
        <v>#VALUE!</v>
      </c>
      <c r="D25" t="e">
        <f>AND(Lifting!AR8,"AAAAAEv6/wM=")</f>
        <v>#VALUE!</v>
      </c>
      <c r="E25" t="e">
        <f>AND(Lifting!AS8,"AAAAAEv6/wQ=")</f>
        <v>#VALUE!</v>
      </c>
      <c r="F25" t="e">
        <f>AND(Lifting!AT8,"AAAAAEv6/wU=")</f>
        <v>#VALUE!</v>
      </c>
      <c r="G25" t="e">
        <f>AND(Lifting!AU8,"AAAAAEv6/wY=")</f>
        <v>#VALUE!</v>
      </c>
      <c r="H25" t="e">
        <f>AND(Lifting!AV8,"AAAAAEv6/wc=")</f>
        <v>#VALUE!</v>
      </c>
      <c r="I25" t="e">
        <f>AND(Lifting!AW8,"AAAAAEv6/wg=")</f>
        <v>#VALUE!</v>
      </c>
      <c r="J25" t="e">
        <f>AND(Lifting!AX8,"AAAAAEv6/wk=")</f>
        <v>#VALUE!</v>
      </c>
      <c r="K25" t="e">
        <f>AND(Lifting!AY8,"AAAAAEv6/wo=")</f>
        <v>#VALUE!</v>
      </c>
      <c r="L25" t="e">
        <f>AND(Lifting!AZ8,"AAAAAEv6/ws=")</f>
        <v>#VALUE!</v>
      </c>
      <c r="M25" t="e">
        <f>AND(Lifting!BA8,"AAAAAEv6/ww=")</f>
        <v>#VALUE!</v>
      </c>
      <c r="N25" t="e">
        <f>AND(Lifting!BB8,"AAAAAEv6/w0=")</f>
        <v>#VALUE!</v>
      </c>
      <c r="O25" t="e">
        <f>AND(Lifting!BC8,"AAAAAEv6/w4=")</f>
        <v>#VALUE!</v>
      </c>
      <c r="P25" t="e">
        <f>AND(Lifting!BD8,"AAAAAEv6/w8=")</f>
        <v>#VALUE!</v>
      </c>
      <c r="Q25" t="e">
        <f>AND(Lifting!BE8,"AAAAAEv6/xA=")</f>
        <v>#VALUE!</v>
      </c>
      <c r="R25" t="e">
        <f>AND(Lifting!BF8,"AAAAAEv6/xE=")</f>
        <v>#VALUE!</v>
      </c>
      <c r="S25" t="e">
        <f>AND(Lifting!BG8,"AAAAAEv6/xI=")</f>
        <v>#VALUE!</v>
      </c>
      <c r="T25" t="e">
        <f>AND(Lifting!BH8,"AAAAAEv6/xM=")</f>
        <v>#VALUE!</v>
      </c>
      <c r="U25" t="e">
        <f>AND(Lifting!BI8,"AAAAAEv6/xQ=")</f>
        <v>#VALUE!</v>
      </c>
      <c r="V25" t="e">
        <f>AND(Lifting!BJ8,"AAAAAEv6/xU=")</f>
        <v>#VALUE!</v>
      </c>
      <c r="W25" t="e">
        <f>AND(Lifting!BK8,"AAAAAEv6/xY=")</f>
        <v>#VALUE!</v>
      </c>
      <c r="X25" t="e">
        <f>AND(Lifting!BL8,"AAAAAEv6/xc=")</f>
        <v>#VALUE!</v>
      </c>
      <c r="Y25" t="e">
        <f>AND(Lifting!BM8,"AAAAAEv6/xg=")</f>
        <v>#VALUE!</v>
      </c>
      <c r="Z25" t="e">
        <f>AND(Lifting!BN8,"AAAAAEv6/xk=")</f>
        <v>#VALUE!</v>
      </c>
      <c r="AA25" t="e">
        <f>AND(Lifting!BO8,"AAAAAEv6/xo=")</f>
        <v>#VALUE!</v>
      </c>
      <c r="AB25" t="e">
        <f>AND(Lifting!BP8,"AAAAAEv6/xs=")</f>
        <v>#VALUE!</v>
      </c>
      <c r="AC25" t="b">
        <f>AND(Lifting!BQ8,"AAAAAEv6/xw=")</f>
        <v>1</v>
      </c>
      <c r="AD25" t="e">
        <f>AND(Lifting!BR8,"AAAAAEv6/x0=")</f>
        <v>#VALUE!</v>
      </c>
      <c r="AE25" t="e">
        <f>AND(Lifting!BS8,"AAAAAEv6/x4=")</f>
        <v>#VALUE!</v>
      </c>
      <c r="AF25" t="e">
        <f>AND(Lifting!BT8,"AAAAAEv6/x8=")</f>
        <v>#VALUE!</v>
      </c>
      <c r="AG25" t="e">
        <f>AND(Lifting!BU8,"AAAAAEv6/yA=")</f>
        <v>#VALUE!</v>
      </c>
      <c r="AH25" t="e">
        <f>AND(Lifting!BV8,"AAAAAEv6/yE=")</f>
        <v>#VALUE!</v>
      </c>
      <c r="AI25" t="e">
        <f>AND(Lifting!BW8,"AAAAAEv6/yI=")</f>
        <v>#VALUE!</v>
      </c>
      <c r="AJ25" t="e">
        <f>AND(Lifting!BX8,"AAAAAEv6/yM=")</f>
        <v>#VALUE!</v>
      </c>
      <c r="AK25" t="e">
        <f>AND(Lifting!BY8,"AAAAAEv6/yQ=")</f>
        <v>#VALUE!</v>
      </c>
      <c r="AL25" t="e">
        <f>AND(Lifting!BZ8,"AAAAAEv6/yU=")</f>
        <v>#VALUE!</v>
      </c>
      <c r="AM25" t="e">
        <f>AND(Lifting!CA8,"AAAAAEv6/yY=")</f>
        <v>#VALUE!</v>
      </c>
      <c r="AN25" t="e">
        <f>AND(Lifting!CB8,"AAAAAEv6/yc=")</f>
        <v>#VALUE!</v>
      </c>
      <c r="AO25" t="e">
        <f>AND(Lifting!CC8,"AAAAAEv6/yg=")</f>
        <v>#VALUE!</v>
      </c>
      <c r="AP25" t="e">
        <f>AND(Lifting!CD8,"AAAAAEv6/yk=")</f>
        <v>#VALUE!</v>
      </c>
      <c r="AQ25" t="e">
        <f>AND(Lifting!CE8,"AAAAAEv6/yo=")</f>
        <v>#VALUE!</v>
      </c>
      <c r="AR25" t="e">
        <f>AND(Lifting!CF8,"AAAAAEv6/ys=")</f>
        <v>#VALUE!</v>
      </c>
      <c r="AS25" t="e">
        <f>AND(Lifting!CG8,"AAAAAEv6/yw=")</f>
        <v>#VALUE!</v>
      </c>
      <c r="AT25" t="e">
        <f>AND(Lifting!CH8,"AAAAAEv6/y0=")</f>
        <v>#VALUE!</v>
      </c>
      <c r="AU25" t="e">
        <f>AND(Lifting!CI8,"AAAAAEv6/y4=")</f>
        <v>#VALUE!</v>
      </c>
      <c r="AV25" t="e">
        <f>AND(Lifting!CJ8,"AAAAAEv6/y8=")</f>
        <v>#VALUE!</v>
      </c>
      <c r="AW25" t="e">
        <f>AND(Lifting!CK8,"AAAAAEv6/zA=")</f>
        <v>#VALUE!</v>
      </c>
      <c r="AX25" t="e">
        <f>AND(Lifting!CL8,"AAAAAEv6/zE=")</f>
        <v>#VALUE!</v>
      </c>
      <c r="AY25" t="e">
        <f>AND(Lifting!CM8,"AAAAAEv6/zI=")</f>
        <v>#VALUE!</v>
      </c>
      <c r="AZ25" t="e">
        <f>AND(Lifting!CN8,"AAAAAEv6/zM=")</f>
        <v>#VALUE!</v>
      </c>
      <c r="BA25" t="e">
        <f>AND(Lifting!CO8,"AAAAAEv6/zQ=")</f>
        <v>#VALUE!</v>
      </c>
      <c r="BB25" t="e">
        <f>AND(Lifting!CP8,"AAAAAEv6/zU=")</f>
        <v>#VALUE!</v>
      </c>
      <c r="BC25" t="e">
        <f>AND(Lifting!CQ8,"AAAAAEv6/zY=")</f>
        <v>#VALUE!</v>
      </c>
      <c r="BD25" t="e">
        <f>AND(Lifting!CR8,"AAAAAEv6/zc=")</f>
        <v>#VALUE!</v>
      </c>
      <c r="BE25" t="e">
        <f>AND(Lifting!CS8,"AAAAAEv6/zg=")</f>
        <v>#VALUE!</v>
      </c>
      <c r="BF25" t="e">
        <f>AND(Lifting!CT8,"AAAAAEv6/zk=")</f>
        <v>#VALUE!</v>
      </c>
      <c r="BG25" t="e">
        <f>AND(Lifting!CU8,"AAAAAEv6/zo=")</f>
        <v>#VALUE!</v>
      </c>
      <c r="BH25" t="e">
        <f>AND(Lifting!CV8,"AAAAAEv6/zs=")</f>
        <v>#VALUE!</v>
      </c>
      <c r="BI25" t="e">
        <f>AND(Lifting!CW8,"AAAAAEv6/zw=")</f>
        <v>#VALUE!</v>
      </c>
      <c r="BJ25" t="e">
        <f>AND(Lifting!CX8,"AAAAAEv6/z0=")</f>
        <v>#VALUE!</v>
      </c>
      <c r="BK25" t="e">
        <f>AND(Lifting!CY8,"AAAAAEv6/z4=")</f>
        <v>#VALUE!</v>
      </c>
      <c r="BL25" t="e">
        <f>AND(Lifting!CZ8,"AAAAAEv6/z8=")</f>
        <v>#VALUE!</v>
      </c>
      <c r="BM25" t="e">
        <f>AND(Lifting!DA8,"AAAAAEv6/0A=")</f>
        <v>#VALUE!</v>
      </c>
      <c r="BN25" t="e">
        <f>AND(Lifting!DB8,"AAAAAEv6/0E=")</f>
        <v>#VALUE!</v>
      </c>
      <c r="BO25" t="e">
        <f>AND(Lifting!DC8,"AAAAAEv6/0I=")</f>
        <v>#VALUE!</v>
      </c>
      <c r="BP25" t="e">
        <f>AND(Lifting!DD8,"AAAAAEv6/0M=")</f>
        <v>#VALUE!</v>
      </c>
      <c r="BQ25" t="e">
        <f>AND(Lifting!DE8,"AAAAAEv6/0Q=")</f>
        <v>#VALUE!</v>
      </c>
      <c r="BR25" t="e">
        <f>AND(Lifting!DF8,"AAAAAEv6/0U=")</f>
        <v>#VALUE!</v>
      </c>
      <c r="BS25" t="e">
        <f>AND(Lifting!DG8,"AAAAAEv6/0Y=")</f>
        <v>#VALUE!</v>
      </c>
      <c r="BT25" t="e">
        <f>AND(Lifting!DH8,"AAAAAEv6/0c=")</f>
        <v>#VALUE!</v>
      </c>
      <c r="BU25" t="e">
        <f>AND(Lifting!DI8,"AAAAAEv6/0g=")</f>
        <v>#VALUE!</v>
      </c>
      <c r="BV25" t="e">
        <f>AND(Lifting!DJ8,"AAAAAEv6/0k=")</f>
        <v>#VALUE!</v>
      </c>
      <c r="BW25" t="e">
        <f>AND(Lifting!DK8,"AAAAAEv6/0o=")</f>
        <v>#VALUE!</v>
      </c>
      <c r="BX25" t="e">
        <f>AND(Lifting!DL8,"AAAAAEv6/0s=")</f>
        <v>#VALUE!</v>
      </c>
      <c r="BY25" t="e">
        <f>AND(Lifting!DM8,"AAAAAEv6/0w=")</f>
        <v>#VALUE!</v>
      </c>
      <c r="BZ25" t="e">
        <f>AND(Lifting!DN8,"AAAAAEv6/00=")</f>
        <v>#VALUE!</v>
      </c>
      <c r="CA25" t="e">
        <f>AND(Lifting!DO8,"AAAAAEv6/04=")</f>
        <v>#VALUE!</v>
      </c>
      <c r="CB25" t="e">
        <f>AND(Lifting!DP8,"AAAAAEv6/08=")</f>
        <v>#VALUE!</v>
      </c>
      <c r="CC25" t="e">
        <f>AND(Lifting!DQ8,"AAAAAEv6/1A=")</f>
        <v>#VALUE!</v>
      </c>
      <c r="CD25" t="e">
        <f>AND(Lifting!DR8,"AAAAAEv6/1E=")</f>
        <v>#VALUE!</v>
      </c>
      <c r="CE25" t="e">
        <f>AND(Lifting!DS8,"AAAAAEv6/1I=")</f>
        <v>#VALUE!</v>
      </c>
      <c r="CF25" t="e">
        <f>AND(Lifting!DT8,"AAAAAEv6/1M=")</f>
        <v>#VALUE!</v>
      </c>
      <c r="CG25" t="e">
        <f>AND(Lifting!DU8,"AAAAAEv6/1Q=")</f>
        <v>#VALUE!</v>
      </c>
      <c r="CH25" t="e">
        <f>AND(Lifting!DV8,"AAAAAEv6/1U=")</f>
        <v>#VALUE!</v>
      </c>
      <c r="CI25" t="e">
        <f>AND(Lifting!DW8,"AAAAAEv6/1Y=")</f>
        <v>#VALUE!</v>
      </c>
      <c r="CJ25" t="e">
        <f>AND(Lifting!DX8,"AAAAAEv6/1c=")</f>
        <v>#VALUE!</v>
      </c>
      <c r="CK25" t="e">
        <f>AND(Lifting!DY8,"AAAAAEv6/1g=")</f>
        <v>#VALUE!</v>
      </c>
      <c r="CL25" t="e">
        <f>AND(Lifting!DZ8,"AAAAAEv6/1k=")</f>
        <v>#VALUE!</v>
      </c>
      <c r="CM25" t="e">
        <f>AND(Lifting!EA8,"AAAAAEv6/1o=")</f>
        <v>#VALUE!</v>
      </c>
      <c r="CN25" t="e">
        <f>AND(Lifting!EB8,"AAAAAEv6/1s=")</f>
        <v>#VALUE!</v>
      </c>
      <c r="CO25" t="e">
        <f>AND(Lifting!EC8,"AAAAAEv6/1w=")</f>
        <v>#VALUE!</v>
      </c>
      <c r="CP25" t="e">
        <f>AND(Lifting!ED8,"AAAAAEv6/10=")</f>
        <v>#VALUE!</v>
      </c>
      <c r="CQ25" t="e">
        <f>AND(Lifting!EE8,"AAAAAEv6/14=")</f>
        <v>#VALUE!</v>
      </c>
      <c r="CR25" t="e">
        <f>AND(Lifting!EF8,"AAAAAEv6/18=")</f>
        <v>#VALUE!</v>
      </c>
      <c r="CS25" t="e">
        <f>AND(Lifting!EG8,"AAAAAEv6/2A=")</f>
        <v>#VALUE!</v>
      </c>
      <c r="CT25" t="e">
        <f>AND(Lifting!EH8,"AAAAAEv6/2E=")</f>
        <v>#VALUE!</v>
      </c>
      <c r="CU25" t="e">
        <f>AND(Lifting!EI8,"AAAAAEv6/2I=")</f>
        <v>#VALUE!</v>
      </c>
      <c r="CV25" t="e">
        <f>AND(Lifting!EJ8,"AAAAAEv6/2M=")</f>
        <v>#VALUE!</v>
      </c>
      <c r="CW25" t="e">
        <f>AND(Lifting!EK8,"AAAAAEv6/2Q=")</f>
        <v>#VALUE!</v>
      </c>
      <c r="CX25" t="e">
        <f>AND(Lifting!EL8,"AAAAAEv6/2U=")</f>
        <v>#VALUE!</v>
      </c>
      <c r="CY25" t="e">
        <f>AND(Lifting!EM8,"AAAAAEv6/2Y=")</f>
        <v>#VALUE!</v>
      </c>
      <c r="CZ25" t="e">
        <f>AND(Lifting!EN8,"AAAAAEv6/2c=")</f>
        <v>#VALUE!</v>
      </c>
      <c r="DA25" t="e">
        <f>AND(Lifting!EO8,"AAAAAEv6/2g=")</f>
        <v>#VALUE!</v>
      </c>
      <c r="DB25" t="e">
        <f>AND(Lifting!EP8,"AAAAAEv6/2k=")</f>
        <v>#VALUE!</v>
      </c>
      <c r="DC25" t="e">
        <f>AND(Lifting!EQ8,"AAAAAEv6/2o=")</f>
        <v>#VALUE!</v>
      </c>
      <c r="DD25" t="e">
        <f>AND(Lifting!ER8,"AAAAAEv6/2s=")</f>
        <v>#VALUE!</v>
      </c>
      <c r="DE25" t="e">
        <f>AND(Lifting!ES8,"AAAAAEv6/2w=")</f>
        <v>#VALUE!</v>
      </c>
      <c r="DF25" t="e">
        <f>AND(Lifting!ET8,"AAAAAEv6/20=")</f>
        <v>#VALUE!</v>
      </c>
      <c r="DG25" t="e">
        <f>AND(Lifting!EU8,"AAAAAEv6/24=")</f>
        <v>#VALUE!</v>
      </c>
      <c r="DH25" t="e">
        <f>AND(Lifting!EV8,"AAAAAEv6/28=")</f>
        <v>#VALUE!</v>
      </c>
      <c r="DI25" t="e">
        <f>AND(Lifting!EW8,"AAAAAEv6/3A=")</f>
        <v>#VALUE!</v>
      </c>
      <c r="DJ25" t="e">
        <f>AND(Lifting!EX8,"AAAAAEv6/3E=")</f>
        <v>#VALUE!</v>
      </c>
      <c r="DK25" t="e">
        <f>AND(Lifting!EY8,"AAAAAEv6/3I=")</f>
        <v>#VALUE!</v>
      </c>
      <c r="DL25" t="e">
        <f>AND(Lifting!EZ8,"AAAAAEv6/3M=")</f>
        <v>#VALUE!</v>
      </c>
      <c r="DM25" t="e">
        <f>AND(Lifting!FA8,"AAAAAEv6/3Q=")</f>
        <v>#VALUE!</v>
      </c>
      <c r="DN25" t="e">
        <f>AND(Lifting!FB8,"AAAAAEv6/3U=")</f>
        <v>#VALUE!</v>
      </c>
      <c r="DO25" t="e">
        <f>AND(Lifting!FC8,"AAAAAEv6/3Y=")</f>
        <v>#VALUE!</v>
      </c>
      <c r="DP25" t="e">
        <f>AND(Lifting!FD8,"AAAAAEv6/3c=")</f>
        <v>#VALUE!</v>
      </c>
      <c r="DQ25" t="e">
        <f>AND(Lifting!FE8,"AAAAAEv6/3g=")</f>
        <v>#VALUE!</v>
      </c>
      <c r="DR25" t="e">
        <f>AND(Lifting!FF8,"AAAAAEv6/3k=")</f>
        <v>#VALUE!</v>
      </c>
      <c r="DS25" t="e">
        <f>AND(Lifting!FG8,"AAAAAEv6/3o=")</f>
        <v>#VALUE!</v>
      </c>
      <c r="DT25" t="e">
        <f>AND(Lifting!FH8,"AAAAAEv6/3s=")</f>
        <v>#VALUE!</v>
      </c>
      <c r="DU25" t="e">
        <f>AND(Lifting!FI8,"AAAAAEv6/3w=")</f>
        <v>#VALUE!</v>
      </c>
      <c r="DV25" t="e">
        <f>AND(Lifting!FJ8,"AAAAAEv6/30=")</f>
        <v>#VALUE!</v>
      </c>
      <c r="DW25" t="e">
        <f>AND(Lifting!FK8,"AAAAAEv6/34=")</f>
        <v>#VALUE!</v>
      </c>
      <c r="DX25" t="e">
        <f>AND(Lifting!FL8,"AAAAAEv6/38=")</f>
        <v>#VALUE!</v>
      </c>
      <c r="DY25" t="e">
        <f>AND(Lifting!FM8,"AAAAAEv6/4A=")</f>
        <v>#VALUE!</v>
      </c>
      <c r="DZ25" t="e">
        <f>AND(Lifting!FN8,"AAAAAEv6/4E=")</f>
        <v>#VALUE!</v>
      </c>
      <c r="EA25" t="e">
        <f>AND(Lifting!FO8,"AAAAAEv6/4I=")</f>
        <v>#VALUE!</v>
      </c>
      <c r="EB25" t="e">
        <f>AND(Lifting!FP8,"AAAAAEv6/4M=")</f>
        <v>#VALUE!</v>
      </c>
      <c r="EC25" t="e">
        <f>AND(Lifting!FQ8,"AAAAAEv6/4Q=")</f>
        <v>#VALUE!</v>
      </c>
      <c r="ED25" t="e">
        <f>AND(Lifting!FR8,"AAAAAEv6/4U=")</f>
        <v>#VALUE!</v>
      </c>
      <c r="EE25" t="e">
        <f>AND(Lifting!FS8,"AAAAAEv6/4Y=")</f>
        <v>#VALUE!</v>
      </c>
      <c r="EF25" t="e">
        <f>AND(Lifting!FT8,"AAAAAEv6/4c=")</f>
        <v>#VALUE!</v>
      </c>
      <c r="EG25">
        <f>IF(Lifting!9:9,"AAAAAEv6/4g=",0)</f>
        <v>0</v>
      </c>
      <c r="EH25" t="e">
        <f>AND(Lifting!A9,"AAAAAEv6/4k=")</f>
        <v>#VALUE!</v>
      </c>
      <c r="EI25" t="e">
        <f>AND(Lifting!B9,"AAAAAEv6/4o=")</f>
        <v>#VALUE!</v>
      </c>
      <c r="EJ25" t="e">
        <f>AND(Lifting!C9,"AAAAAEv6/4s=")</f>
        <v>#VALUE!</v>
      </c>
      <c r="EK25" t="e">
        <f>AND(Lifting!D9,"AAAAAEv6/4w=")</f>
        <v>#VALUE!</v>
      </c>
      <c r="EL25" t="e">
        <f>AND(Lifting!E9,"AAAAAEv6/40=")</f>
        <v>#VALUE!</v>
      </c>
      <c r="EM25" t="b">
        <f>AND(Lifting!F9,"AAAAAEv6/44=")</f>
        <v>0</v>
      </c>
      <c r="EN25" t="e">
        <f>AND(Lifting!G9,"AAAAAEv6/48=")</f>
        <v>#VALUE!</v>
      </c>
      <c r="EO25" t="e">
        <f>AND(Lifting!H9,"AAAAAEv6/5A=")</f>
        <v>#N/A</v>
      </c>
      <c r="EP25" t="e">
        <f>AND(Lifting!I9,"AAAAAEv6/5E=")</f>
        <v>#VALUE!</v>
      </c>
      <c r="EQ25" t="e">
        <f>AND(Lifting!J9,"AAAAAEv6/5I=")</f>
        <v>#VALUE!</v>
      </c>
      <c r="ER25" t="e">
        <f>AND(Lifting!K9,"AAAAAEv6/5M=")</f>
        <v>#VALUE!</v>
      </c>
      <c r="ES25" t="e">
        <f>AND(Lifting!L9,"AAAAAEv6/5Q=")</f>
        <v>#VALUE!</v>
      </c>
      <c r="ET25" t="e">
        <f>AND(Lifting!M9,"AAAAAEv6/5U=")</f>
        <v>#VALUE!</v>
      </c>
      <c r="EU25" t="e">
        <f>AND(Lifting!N9,"AAAAAEv6/5Y=")</f>
        <v>#VALUE!</v>
      </c>
      <c r="EV25" t="b">
        <f>AND(Lifting!O9,"AAAAAEv6/5c=")</f>
        <v>0</v>
      </c>
      <c r="EW25" t="e">
        <f>AND(Lifting!P9,"AAAAAEv6/5g=")</f>
        <v>#VALUE!</v>
      </c>
      <c r="EX25" t="e">
        <f>AND(Lifting!Q9,"AAAAAEv6/5k=")</f>
        <v>#VALUE!</v>
      </c>
      <c r="EY25" t="e">
        <f>AND(Lifting!R9,"AAAAAEv6/5o=")</f>
        <v>#VALUE!</v>
      </c>
      <c r="EZ25" t="e">
        <f>AND(Lifting!S9,"AAAAAEv6/5s=")</f>
        <v>#VALUE!</v>
      </c>
      <c r="FA25" t="e">
        <f>AND(Lifting!T9,"AAAAAEv6/5w=")</f>
        <v>#VALUE!</v>
      </c>
      <c r="FB25" t="b">
        <f>AND(Lifting!U9,"AAAAAEv6/50=")</f>
        <v>0</v>
      </c>
      <c r="FC25" t="b">
        <f>AND(Lifting!V9,"AAAAAEv6/54=")</f>
        <v>0</v>
      </c>
      <c r="FD25" t="e">
        <f>AND(Lifting!W9,"AAAAAEv6/58=")</f>
        <v>#VALUE!</v>
      </c>
      <c r="FE25" t="e">
        <f>AND(Lifting!X9,"AAAAAEv6/6A=")</f>
        <v>#VALUE!</v>
      </c>
      <c r="FF25" t="e">
        <f>AND(Lifting!Y9,"AAAAAEv6/6E=")</f>
        <v>#VALUE!</v>
      </c>
      <c r="FG25" t="e">
        <f>AND(Lifting!Z9,"AAAAAEv6/6I=")</f>
        <v>#VALUE!</v>
      </c>
      <c r="FH25" t="b">
        <f>AND(Lifting!AA9,"AAAAAEv6/6M=")</f>
        <v>0</v>
      </c>
      <c r="FI25" t="b">
        <f>AND(Lifting!AB9,"AAAAAEv6/6Q=")</f>
        <v>0</v>
      </c>
      <c r="FJ25" t="b">
        <f>AND(Lifting!AC9,"AAAAAEv6/6U=")</f>
        <v>0</v>
      </c>
      <c r="FK25" t="e">
        <f>AND(Lifting!AD9,"AAAAAEv6/6Y=")</f>
        <v>#VALUE!</v>
      </c>
      <c r="FL25" t="e">
        <f ca="1">AND(Lifting!AE9,"AAAAAEv6/6c=")</f>
        <v>#VALUE!</v>
      </c>
      <c r="FM25" t="b">
        <f ca="1">AND(Lifting!AF9,"AAAAAEv6/6g=")</f>
        <v>0</v>
      </c>
      <c r="FN25" t="b">
        <f>AND(Lifting!AG9,"AAAAAEv6/6k=")</f>
        <v>0</v>
      </c>
      <c r="FO25" t="e">
        <f>AND(Lifting!AH9,"AAAAAEv6/6o=")</f>
        <v>#VALUE!</v>
      </c>
      <c r="FP25" t="e">
        <f>AND(Lifting!AI9,"AAAAAEv6/6s=")</f>
        <v>#VALUE!</v>
      </c>
      <c r="FQ25" t="b">
        <f>AND(Lifting!AJ9,"AAAAAEv6/6w=")</f>
        <v>1</v>
      </c>
      <c r="FR25" t="e">
        <f>AND(Lifting!AK9,"AAAAAEv6/60=")</f>
        <v>#VALUE!</v>
      </c>
      <c r="FS25" t="b">
        <f>AND(Lifting!AL9,"AAAAAEv6/64=")</f>
        <v>0</v>
      </c>
      <c r="FT25" t="b">
        <f>AND(Lifting!AM9,"AAAAAEv6/68=")</f>
        <v>0</v>
      </c>
      <c r="FU25" t="b">
        <f>AND(Lifting!AN9,"AAAAAEv6/7A=")</f>
        <v>0</v>
      </c>
      <c r="FV25" t="e">
        <f>AND(Lifting!AO9,"AAAAAEv6/7E=")</f>
        <v>#VALUE!</v>
      </c>
      <c r="FW25" t="e">
        <f>AND(Lifting!AP9,"AAAAAEv6/7I=")</f>
        <v>#VALUE!</v>
      </c>
      <c r="FX25" t="b">
        <f>AND(Lifting!AQ9,"AAAAAEv6/7M=")</f>
        <v>0</v>
      </c>
      <c r="FY25" t="b">
        <f ca="1">AND(Lifting!AR9,"AAAAAEv6/7Q=")</f>
        <v>0</v>
      </c>
      <c r="FZ25" t="e">
        <f ca="1">AND(Lifting!AS9,"AAAAAEv6/7U=")</f>
        <v>#N/A</v>
      </c>
      <c r="GA25" t="b">
        <f ca="1">AND(Lifting!AT9,"AAAAAEv6/7Y=")</f>
        <v>0</v>
      </c>
      <c r="GB25" t="e">
        <f ca="1">AND(Lifting!AU9,"AAAAAEv6/7c=")</f>
        <v>#N/A</v>
      </c>
      <c r="GC25" t="e">
        <f ca="1">AND(Lifting!AV9,"AAAAAEv6/7g=")</f>
        <v>#N/A</v>
      </c>
      <c r="GD25" t="b">
        <f>AND(Lifting!AW9,"AAAAAEv6/7k=")</f>
        <v>0</v>
      </c>
      <c r="GE25" t="b">
        <f>AND(Lifting!AX9,"AAAAAEv6/7o=")</f>
        <v>1</v>
      </c>
      <c r="GF25" t="b">
        <f ca="1">AND(Lifting!AY9,"AAAAAEv6/7s=")</f>
        <v>0</v>
      </c>
      <c r="GG25" t="e">
        <f>AND(Lifting!AZ9,"AAAAAEv6/7w=")</f>
        <v>#VALUE!</v>
      </c>
      <c r="GH25" t="e">
        <f>AND(Lifting!BA9,"AAAAAEv6/70=")</f>
        <v>#VALUE!</v>
      </c>
      <c r="GI25" t="e">
        <f>AND(Lifting!BB9,"AAAAAEv6/74=")</f>
        <v>#VALUE!</v>
      </c>
      <c r="GJ25" t="e">
        <f>AND(Lifting!BC9,"AAAAAEv6/78=")</f>
        <v>#VALUE!</v>
      </c>
      <c r="GK25" t="e">
        <f>AND(Lifting!BD9,"AAAAAEv6/8A=")</f>
        <v>#VALUE!</v>
      </c>
      <c r="GL25" t="e">
        <f>AND(Lifting!BE9,"AAAAAEv6/8E=")</f>
        <v>#VALUE!</v>
      </c>
      <c r="GM25" t="e">
        <f>AND(Lifting!BF9,"AAAAAEv6/8I=")</f>
        <v>#VALUE!</v>
      </c>
      <c r="GN25" t="e">
        <f>AND(Lifting!BG9,"AAAAAEv6/8M=")</f>
        <v>#VALUE!</v>
      </c>
      <c r="GO25" t="e">
        <f>AND(Lifting!BH9,"AAAAAEv6/8Q=")</f>
        <v>#VALUE!</v>
      </c>
      <c r="GP25" t="e">
        <f>AND(Lifting!BI9,"AAAAAEv6/8U=")</f>
        <v>#VALUE!</v>
      </c>
      <c r="GQ25" t="e">
        <f>AND(Lifting!BJ9,"AAAAAEv6/8Y=")</f>
        <v>#VALUE!</v>
      </c>
      <c r="GR25" t="e">
        <f>AND(Lifting!BK9,"AAAAAEv6/8c=")</f>
        <v>#VALUE!</v>
      </c>
      <c r="GS25" t="e">
        <f>AND(Lifting!BL9,"AAAAAEv6/8g=")</f>
        <v>#VALUE!</v>
      </c>
      <c r="GT25" t="e">
        <f>AND(Lifting!BM9,"AAAAAEv6/8k=")</f>
        <v>#VALUE!</v>
      </c>
      <c r="GU25" t="e">
        <f>AND(Lifting!BN9,"AAAAAEv6/8o=")</f>
        <v>#VALUE!</v>
      </c>
      <c r="GV25" t="e">
        <f>AND(Lifting!BO9,"AAAAAEv6/8s=")</f>
        <v>#VALUE!</v>
      </c>
      <c r="GW25" t="e">
        <f>AND(Lifting!BP9,"AAAAAEv6/8w=")</f>
        <v>#VALUE!</v>
      </c>
      <c r="GX25" t="e">
        <f>AND(Lifting!BQ9,"AAAAAEv6/80=")</f>
        <v>#VALUE!</v>
      </c>
      <c r="GY25" t="e">
        <f>AND(Lifting!BR9,"AAAAAEv6/84=")</f>
        <v>#VALUE!</v>
      </c>
      <c r="GZ25" t="e">
        <f>AND(Lifting!BS9,"AAAAAEv6/88=")</f>
        <v>#VALUE!</v>
      </c>
      <c r="HA25" t="e">
        <f>AND(Lifting!BT9,"AAAAAEv6/9A=")</f>
        <v>#VALUE!</v>
      </c>
      <c r="HB25" t="e">
        <f>AND(Lifting!BU9,"AAAAAEv6/9E=")</f>
        <v>#VALUE!</v>
      </c>
      <c r="HC25" t="e">
        <f>AND(Lifting!BV9,"AAAAAEv6/9I=")</f>
        <v>#VALUE!</v>
      </c>
      <c r="HD25" t="e">
        <f>AND(Lifting!BW9,"AAAAAEv6/9M=")</f>
        <v>#VALUE!</v>
      </c>
      <c r="HE25" t="e">
        <f>AND(Lifting!BX9,"AAAAAEv6/9Q=")</f>
        <v>#VALUE!</v>
      </c>
      <c r="HF25" t="e">
        <f>AND(Lifting!BY9,"AAAAAEv6/9U=")</f>
        <v>#VALUE!</v>
      </c>
      <c r="HG25" t="e">
        <f>AND(Lifting!BZ9,"AAAAAEv6/9Y=")</f>
        <v>#VALUE!</v>
      </c>
      <c r="HH25" t="e">
        <f>AND(Lifting!CA9,"AAAAAEv6/9c=")</f>
        <v>#VALUE!</v>
      </c>
      <c r="HI25" t="e">
        <f>AND(Lifting!CB9,"AAAAAEv6/9g=")</f>
        <v>#VALUE!</v>
      </c>
      <c r="HJ25" t="e">
        <f>AND(Lifting!CC9,"AAAAAEv6/9k=")</f>
        <v>#VALUE!</v>
      </c>
      <c r="HK25" t="e">
        <f>AND(Lifting!CD9,"AAAAAEv6/9o=")</f>
        <v>#VALUE!</v>
      </c>
      <c r="HL25" t="e">
        <f>AND(Lifting!CE9,"AAAAAEv6/9s=")</f>
        <v>#VALUE!</v>
      </c>
      <c r="HM25" t="e">
        <f>AND(Lifting!CF9,"AAAAAEv6/9w=")</f>
        <v>#VALUE!</v>
      </c>
      <c r="HN25" t="e">
        <f>AND(Lifting!CG9,"AAAAAEv6/90=")</f>
        <v>#VALUE!</v>
      </c>
      <c r="HO25" t="e">
        <f>AND(Lifting!CH9,"AAAAAEv6/94=")</f>
        <v>#VALUE!</v>
      </c>
      <c r="HP25" t="e">
        <f>AND(Lifting!CI9,"AAAAAEv6/98=")</f>
        <v>#VALUE!</v>
      </c>
      <c r="HQ25" t="b">
        <f>AND(Lifting!CJ9,"AAAAAEv6/+A=")</f>
        <v>0</v>
      </c>
      <c r="HR25" t="b">
        <f>AND(Lifting!CK9,"AAAAAEv6/+E=")</f>
        <v>0</v>
      </c>
      <c r="HS25" t="b">
        <f>AND(Lifting!CL9,"AAAAAEv6/+I=")</f>
        <v>0</v>
      </c>
      <c r="HT25" t="b">
        <f>AND(Lifting!CM9,"AAAAAEv6/+M=")</f>
        <v>0</v>
      </c>
      <c r="HU25" t="b">
        <f>AND(Lifting!CN9,"AAAAAEv6/+Q=")</f>
        <v>0</v>
      </c>
      <c r="HV25" t="b">
        <f>AND(Lifting!CO9,"AAAAAEv6/+U=")</f>
        <v>0</v>
      </c>
      <c r="HW25" t="b">
        <f>AND(Lifting!CP9,"AAAAAEv6/+Y=")</f>
        <v>0</v>
      </c>
      <c r="HX25" t="b">
        <f>AND(Lifting!CQ9,"AAAAAEv6/+c=")</f>
        <v>0</v>
      </c>
      <c r="HY25" t="b">
        <f>AND(Lifting!CR9,"AAAAAEv6/+g=")</f>
        <v>0</v>
      </c>
      <c r="HZ25" t="b">
        <f>AND(Lifting!CS9,"AAAAAEv6/+k=")</f>
        <v>0</v>
      </c>
      <c r="IA25" t="b">
        <f>AND(Lifting!CT9,"AAAAAEv6/+o=")</f>
        <v>0</v>
      </c>
      <c r="IB25" t="b">
        <f>AND(Lifting!CU9,"AAAAAEv6/+s=")</f>
        <v>0</v>
      </c>
      <c r="IC25" t="b">
        <f>AND(Lifting!CV9,"AAAAAEv6/+w=")</f>
        <v>0</v>
      </c>
      <c r="ID25" t="b">
        <f>AND(Lifting!CW9,"AAAAAEv6/+0=")</f>
        <v>0</v>
      </c>
      <c r="IE25" t="b">
        <f>AND(Lifting!CX9,"AAAAAEv6/+4=")</f>
        <v>0</v>
      </c>
      <c r="IF25" t="b">
        <f>AND(Lifting!CY9,"AAAAAEv6/+8=")</f>
        <v>0</v>
      </c>
      <c r="IG25" t="b">
        <f>AND(Lifting!CZ9,"AAAAAEv6//A=")</f>
        <v>0</v>
      </c>
      <c r="IH25" t="e">
        <f>IF(Lifting!#REF!,"AAAAAEv6//E=",0)</f>
        <v>#REF!</v>
      </c>
      <c r="II25" t="e">
        <f>AND(Lifting!#REF!,"AAAAAEv6//I=")</f>
        <v>#REF!</v>
      </c>
      <c r="IJ25" t="e">
        <f>AND(Lifting!#REF!,"AAAAAEv6//M=")</f>
        <v>#REF!</v>
      </c>
      <c r="IK25" t="e">
        <f>AND(Lifting!#REF!,"AAAAAEv6//Q=")</f>
        <v>#REF!</v>
      </c>
      <c r="IL25" t="e">
        <f>AND(Lifting!#REF!,"AAAAAEv6//U=")</f>
        <v>#REF!</v>
      </c>
      <c r="IM25" t="e">
        <f>AND(Lifting!#REF!,"AAAAAEv6//Y=")</f>
        <v>#REF!</v>
      </c>
      <c r="IN25" t="e">
        <f>AND(Lifting!#REF!,"AAAAAEv6//c=")</f>
        <v>#REF!</v>
      </c>
      <c r="IO25" t="e">
        <f>AND(Lifting!#REF!,"AAAAAEv6//g=")</f>
        <v>#REF!</v>
      </c>
      <c r="IP25" t="e">
        <f>AND(Lifting!#REF!,"AAAAAEv6//k=")</f>
        <v>#REF!</v>
      </c>
      <c r="IQ25" t="e">
        <f>AND(Lifting!#REF!,"AAAAAEv6//o=")</f>
        <v>#REF!</v>
      </c>
      <c r="IR25" t="e">
        <f>AND(Lifting!#REF!,"AAAAAEv6//s=")</f>
        <v>#REF!</v>
      </c>
      <c r="IS25" t="e">
        <f>AND(Lifting!#REF!,"AAAAAEv6//w=")</f>
        <v>#REF!</v>
      </c>
      <c r="IT25" t="e">
        <f>AND(Lifting!#REF!,"AAAAAEv6//0=")</f>
        <v>#REF!</v>
      </c>
      <c r="IU25" t="e">
        <f>AND(Lifting!#REF!,"AAAAAEv6//4=")</f>
        <v>#REF!</v>
      </c>
      <c r="IV25" t="e">
        <f>AND(Lifting!#REF!,"AAAAAEv6//8=")</f>
        <v>#REF!</v>
      </c>
    </row>
    <row r="26" spans="1:256">
      <c r="A26" t="e">
        <f>AND(Lifting!#REF!,"AAAAAD/+9wA=")</f>
        <v>#REF!</v>
      </c>
      <c r="B26" t="e">
        <f>AND(Lifting!#REF!,"AAAAAD/+9wE=")</f>
        <v>#REF!</v>
      </c>
      <c r="C26" t="e">
        <f>AND(Lifting!#REF!,"AAAAAD/+9wI=")</f>
        <v>#REF!</v>
      </c>
      <c r="D26" t="e">
        <f>AND(Lifting!#REF!,"AAAAAD/+9wM=")</f>
        <v>#REF!</v>
      </c>
      <c r="E26" t="e">
        <f>AND(Lifting!#REF!,"AAAAAD/+9wQ=")</f>
        <v>#REF!</v>
      </c>
      <c r="F26" t="e">
        <f>AND(Lifting!#REF!,"AAAAAD/+9wU=")</f>
        <v>#REF!</v>
      </c>
      <c r="G26" t="e">
        <f>AND(Lifting!#REF!,"AAAAAD/+9wY=")</f>
        <v>#REF!</v>
      </c>
      <c r="H26" t="e">
        <f>AND(Lifting!#REF!,"AAAAAD/+9wc=")</f>
        <v>#REF!</v>
      </c>
      <c r="I26" t="e">
        <f>AND(Lifting!#REF!,"AAAAAD/+9wg=")</f>
        <v>#REF!</v>
      </c>
      <c r="J26" t="e">
        <f>AND(Lifting!#REF!,"AAAAAD/+9wk=")</f>
        <v>#REF!</v>
      </c>
      <c r="K26" t="e">
        <f>AND(Lifting!#REF!,"AAAAAD/+9wo=")</f>
        <v>#REF!</v>
      </c>
      <c r="L26" t="e">
        <f>AND(Lifting!#REF!,"AAAAAD/+9ws=")</f>
        <v>#REF!</v>
      </c>
      <c r="M26" t="e">
        <f>AND(Lifting!#REF!,"AAAAAD/+9ww=")</f>
        <v>#REF!</v>
      </c>
      <c r="N26" t="e">
        <f>AND(Lifting!#REF!,"AAAAAD/+9w0=")</f>
        <v>#REF!</v>
      </c>
      <c r="O26" t="e">
        <f>AND(Lifting!#REF!,"AAAAAD/+9w4=")</f>
        <v>#REF!</v>
      </c>
      <c r="P26" t="e">
        <f>AND(Lifting!#REF!,"AAAAAD/+9w8=")</f>
        <v>#REF!</v>
      </c>
      <c r="Q26" t="e">
        <f>AND(Lifting!#REF!,"AAAAAD/+9xA=")</f>
        <v>#REF!</v>
      </c>
      <c r="R26" t="e">
        <f>AND(Lifting!#REF!,"AAAAAD/+9xE=")</f>
        <v>#REF!</v>
      </c>
      <c r="S26" t="e">
        <f>AND(Lifting!#REF!,"AAAAAD/+9xI=")</f>
        <v>#REF!</v>
      </c>
      <c r="T26" t="e">
        <f>AND(Lifting!#REF!,"AAAAAD/+9xM=")</f>
        <v>#REF!</v>
      </c>
      <c r="U26" t="e">
        <f>AND(Lifting!#REF!,"AAAAAD/+9xQ=")</f>
        <v>#REF!</v>
      </c>
      <c r="V26" t="e">
        <f>AND(Lifting!#REF!,"AAAAAD/+9xU=")</f>
        <v>#REF!</v>
      </c>
      <c r="W26" t="e">
        <f>AND(Lifting!#REF!,"AAAAAD/+9xY=")</f>
        <v>#REF!</v>
      </c>
      <c r="X26" t="e">
        <f>AND(Lifting!#REF!,"AAAAAD/+9xc=")</f>
        <v>#REF!</v>
      </c>
      <c r="Y26" t="e">
        <f>AND(Lifting!#REF!,"AAAAAD/+9xg=")</f>
        <v>#REF!</v>
      </c>
      <c r="Z26" t="e">
        <f>AND(Lifting!#REF!,"AAAAAD/+9xk=")</f>
        <v>#REF!</v>
      </c>
      <c r="AA26" t="e">
        <f>AND(Lifting!#REF!,"AAAAAD/+9xo=")</f>
        <v>#REF!</v>
      </c>
      <c r="AB26" t="e">
        <f>AND(Lifting!#REF!,"AAAAAD/+9xs=")</f>
        <v>#REF!</v>
      </c>
      <c r="AC26" t="e">
        <f>AND(Lifting!#REF!,"AAAAAD/+9xw=")</f>
        <v>#REF!</v>
      </c>
      <c r="AD26" t="e">
        <f>AND(Lifting!#REF!,"AAAAAD/+9x0=")</f>
        <v>#REF!</v>
      </c>
      <c r="AE26" t="e">
        <f>AND(Lifting!#REF!,"AAAAAD/+9x4=")</f>
        <v>#REF!</v>
      </c>
      <c r="AF26" t="e">
        <f>AND(Lifting!#REF!,"AAAAAD/+9x8=")</f>
        <v>#REF!</v>
      </c>
      <c r="AG26" t="e">
        <f>AND(Lifting!#REF!,"AAAAAD/+9yA=")</f>
        <v>#REF!</v>
      </c>
      <c r="AH26" t="e">
        <f>AND(Lifting!#REF!,"AAAAAD/+9yE=")</f>
        <v>#REF!</v>
      </c>
      <c r="AI26" t="e">
        <f>AND(Lifting!#REF!,"AAAAAD/+9yI=")</f>
        <v>#REF!</v>
      </c>
      <c r="AJ26" t="e">
        <f>AND(Lifting!#REF!,"AAAAAD/+9yM=")</f>
        <v>#REF!</v>
      </c>
      <c r="AK26" t="e">
        <f>AND(Lifting!#REF!,"AAAAAD/+9yQ=")</f>
        <v>#REF!</v>
      </c>
      <c r="AL26" t="e">
        <f>AND(Lifting!#REF!,"AAAAAD/+9yU=")</f>
        <v>#REF!</v>
      </c>
      <c r="AM26" t="e">
        <f>AND(Lifting!#REF!,"AAAAAD/+9yY=")</f>
        <v>#REF!</v>
      </c>
      <c r="AN26" t="e">
        <f>AND(Lifting!#REF!,"AAAAAD/+9yc=")</f>
        <v>#REF!</v>
      </c>
      <c r="AO26" t="e">
        <f>AND(Lifting!#REF!,"AAAAAD/+9yg=")</f>
        <v>#REF!</v>
      </c>
      <c r="AP26" t="e">
        <f>AND(Lifting!#REF!,"AAAAAD/+9yk=")</f>
        <v>#REF!</v>
      </c>
      <c r="AQ26" t="e">
        <f>AND(Lifting!#REF!,"AAAAAD/+9yo=")</f>
        <v>#REF!</v>
      </c>
      <c r="AR26" t="e">
        <f>AND(Lifting!#REF!,"AAAAAD/+9ys=")</f>
        <v>#REF!</v>
      </c>
      <c r="AS26" t="e">
        <f>AND(Lifting!#REF!,"AAAAAD/+9yw=")</f>
        <v>#REF!</v>
      </c>
      <c r="AT26" t="e">
        <f>AND(Lifting!#REF!,"AAAAAD/+9y0=")</f>
        <v>#REF!</v>
      </c>
      <c r="AU26" t="e">
        <f>AND(Lifting!#REF!,"AAAAAD/+9y4=")</f>
        <v>#REF!</v>
      </c>
      <c r="AV26" t="e">
        <f>AND(Lifting!#REF!,"AAAAAD/+9y8=")</f>
        <v>#REF!</v>
      </c>
      <c r="AW26" t="e">
        <f>AND(Lifting!#REF!,"AAAAAD/+9zA=")</f>
        <v>#REF!</v>
      </c>
      <c r="AX26" t="e">
        <f>AND(Lifting!#REF!,"AAAAAD/+9zE=")</f>
        <v>#REF!</v>
      </c>
      <c r="AY26" t="e">
        <f>AND(Lifting!#REF!,"AAAAAD/+9zI=")</f>
        <v>#REF!</v>
      </c>
      <c r="AZ26" t="e">
        <f>AND(Lifting!#REF!,"AAAAAD/+9zM=")</f>
        <v>#REF!</v>
      </c>
      <c r="BA26" t="e">
        <f>AND(Lifting!#REF!,"AAAAAD/+9zQ=")</f>
        <v>#REF!</v>
      </c>
      <c r="BB26" t="e">
        <f>AND(Lifting!#REF!,"AAAAAD/+9zU=")</f>
        <v>#REF!</v>
      </c>
      <c r="BC26" t="e">
        <f>AND(Lifting!#REF!,"AAAAAD/+9zY=")</f>
        <v>#REF!</v>
      </c>
      <c r="BD26" t="e">
        <f>AND(Lifting!#REF!,"AAAAAD/+9zc=")</f>
        <v>#REF!</v>
      </c>
      <c r="BE26" t="e">
        <f>AND(Lifting!#REF!,"AAAAAD/+9zg=")</f>
        <v>#REF!</v>
      </c>
      <c r="BF26" t="e">
        <f>AND(Lifting!#REF!,"AAAAAD/+9zk=")</f>
        <v>#REF!</v>
      </c>
      <c r="BG26" t="e">
        <f>AND(Lifting!#REF!,"AAAAAD/+9zo=")</f>
        <v>#REF!</v>
      </c>
      <c r="BH26" t="e">
        <f>AND(Lifting!#REF!,"AAAAAD/+9zs=")</f>
        <v>#REF!</v>
      </c>
      <c r="BI26" t="e">
        <f>AND(Lifting!#REF!,"AAAAAD/+9zw=")</f>
        <v>#REF!</v>
      </c>
      <c r="BJ26" t="e">
        <f>AND(Lifting!#REF!,"AAAAAD/+9z0=")</f>
        <v>#REF!</v>
      </c>
      <c r="BK26" t="e">
        <f>AND(Lifting!#REF!,"AAAAAD/+9z4=")</f>
        <v>#REF!</v>
      </c>
      <c r="BL26" t="e">
        <f>AND(Lifting!#REF!,"AAAAAD/+9z8=")</f>
        <v>#REF!</v>
      </c>
      <c r="BM26" t="e">
        <f>AND(Lifting!#REF!,"AAAAAD/+90A=")</f>
        <v>#REF!</v>
      </c>
      <c r="BN26" t="e">
        <f>AND(Lifting!#REF!,"AAAAAD/+90E=")</f>
        <v>#REF!</v>
      </c>
      <c r="BO26" t="e">
        <f>AND(Lifting!#REF!,"AAAAAD/+90I=")</f>
        <v>#REF!</v>
      </c>
      <c r="BP26" t="e">
        <f>AND(Lifting!#REF!,"AAAAAD/+90M=")</f>
        <v>#REF!</v>
      </c>
      <c r="BQ26" t="e">
        <f>AND(Lifting!#REF!,"AAAAAD/+90Q=")</f>
        <v>#REF!</v>
      </c>
      <c r="BR26" t="e">
        <f>AND(Lifting!#REF!,"AAAAAD/+90U=")</f>
        <v>#REF!</v>
      </c>
      <c r="BS26" t="e">
        <f>AND(Lifting!#REF!,"AAAAAD/+90Y=")</f>
        <v>#REF!</v>
      </c>
      <c r="BT26" t="e">
        <f>AND(Lifting!#REF!,"AAAAAD/+90c=")</f>
        <v>#REF!</v>
      </c>
      <c r="BU26" t="e">
        <f>AND(Lifting!#REF!,"AAAAAD/+90g=")</f>
        <v>#REF!</v>
      </c>
      <c r="BV26" t="e">
        <f>AND(Lifting!#REF!,"AAAAAD/+90k=")</f>
        <v>#REF!</v>
      </c>
      <c r="BW26" t="e">
        <f>AND(Lifting!#REF!,"AAAAAD/+90o=")</f>
        <v>#REF!</v>
      </c>
      <c r="BX26" t="e">
        <f>AND(Lifting!#REF!,"AAAAAD/+90s=")</f>
        <v>#REF!</v>
      </c>
      <c r="BY26" t="e">
        <f>AND(Lifting!#REF!,"AAAAAD/+90w=")</f>
        <v>#REF!</v>
      </c>
      <c r="BZ26" t="e">
        <f>AND(Lifting!#REF!,"AAAAAD/+900=")</f>
        <v>#REF!</v>
      </c>
      <c r="CA26" t="e">
        <f>AND(Lifting!#REF!,"AAAAAD/+904=")</f>
        <v>#REF!</v>
      </c>
      <c r="CB26" t="e">
        <f>AND(Lifting!#REF!,"AAAAAD/+908=")</f>
        <v>#REF!</v>
      </c>
      <c r="CC26" t="e">
        <f>AND(Lifting!#REF!,"AAAAAD/+91A=")</f>
        <v>#REF!</v>
      </c>
      <c r="CD26" t="e">
        <f>AND(Lifting!#REF!,"AAAAAD/+91E=")</f>
        <v>#REF!</v>
      </c>
      <c r="CE26" t="e">
        <f>AND(Lifting!#REF!,"AAAAAD/+91I=")</f>
        <v>#REF!</v>
      </c>
      <c r="CF26" t="e">
        <f>AND(Lifting!#REF!,"AAAAAD/+91M=")</f>
        <v>#REF!</v>
      </c>
      <c r="CG26" t="e">
        <f>AND(Lifting!#REF!,"AAAAAD/+91Q=")</f>
        <v>#REF!</v>
      </c>
      <c r="CH26" t="e">
        <f>AND(Lifting!#REF!,"AAAAAD/+91U=")</f>
        <v>#REF!</v>
      </c>
      <c r="CI26" t="e">
        <f>AND(Lifting!#REF!,"AAAAAD/+91Y=")</f>
        <v>#REF!</v>
      </c>
      <c r="CJ26" t="e">
        <f>AND(Lifting!#REF!,"AAAAAD/+91c=")</f>
        <v>#REF!</v>
      </c>
      <c r="CK26" t="e">
        <f>AND(Lifting!#REF!,"AAAAAD/+91g=")</f>
        <v>#REF!</v>
      </c>
      <c r="CL26" t="e">
        <f>AND(Lifting!#REF!,"AAAAAD/+91k=")</f>
        <v>#REF!</v>
      </c>
      <c r="CM26" t="e">
        <f>IF(Lifting!#REF!,"AAAAAD/+91o=",0)</f>
        <v>#REF!</v>
      </c>
      <c r="CN26" t="e">
        <f>AND(Lifting!#REF!,"AAAAAD/+91s=")</f>
        <v>#REF!</v>
      </c>
      <c r="CO26" t="e">
        <f>AND(Lifting!#REF!,"AAAAAD/+91w=")</f>
        <v>#REF!</v>
      </c>
      <c r="CP26" t="e">
        <f>AND(Lifting!#REF!,"AAAAAD/+910=")</f>
        <v>#REF!</v>
      </c>
      <c r="CQ26" t="e">
        <f>AND(Lifting!#REF!,"AAAAAD/+914=")</f>
        <v>#REF!</v>
      </c>
      <c r="CR26" t="e">
        <f>AND(Lifting!#REF!,"AAAAAD/+918=")</f>
        <v>#REF!</v>
      </c>
      <c r="CS26" t="e">
        <f>AND(Lifting!#REF!,"AAAAAD/+92A=")</f>
        <v>#REF!</v>
      </c>
      <c r="CT26" t="e">
        <f>AND(Lifting!#REF!,"AAAAAD/+92E=")</f>
        <v>#REF!</v>
      </c>
      <c r="CU26" t="e">
        <f>AND(Lifting!#REF!,"AAAAAD/+92I=")</f>
        <v>#REF!</v>
      </c>
      <c r="CV26" t="e">
        <f>AND(Lifting!#REF!,"AAAAAD/+92M=")</f>
        <v>#REF!</v>
      </c>
      <c r="CW26" t="e">
        <f>AND(Lifting!#REF!,"AAAAAD/+92Q=")</f>
        <v>#REF!</v>
      </c>
      <c r="CX26" t="e">
        <f>AND(Lifting!#REF!,"AAAAAD/+92U=")</f>
        <v>#REF!</v>
      </c>
      <c r="CY26" t="e">
        <f>AND(Lifting!#REF!,"AAAAAD/+92Y=")</f>
        <v>#REF!</v>
      </c>
      <c r="CZ26" t="e">
        <f>AND(Lifting!#REF!,"AAAAAD/+92c=")</f>
        <v>#REF!</v>
      </c>
      <c r="DA26" t="e">
        <f>AND(Lifting!#REF!,"AAAAAD/+92g=")</f>
        <v>#REF!</v>
      </c>
      <c r="DB26" t="e">
        <f>AND(Lifting!#REF!,"AAAAAD/+92k=")</f>
        <v>#REF!</v>
      </c>
      <c r="DC26" t="e">
        <f>AND(Lifting!#REF!,"AAAAAD/+92o=")</f>
        <v>#REF!</v>
      </c>
      <c r="DD26" t="e">
        <f>AND(Lifting!#REF!,"AAAAAD/+92s=")</f>
        <v>#REF!</v>
      </c>
      <c r="DE26" t="e">
        <f>AND(Lifting!#REF!,"AAAAAD/+92w=")</f>
        <v>#REF!</v>
      </c>
      <c r="DF26" t="e">
        <f>AND(Lifting!#REF!,"AAAAAD/+920=")</f>
        <v>#REF!</v>
      </c>
      <c r="DG26" t="e">
        <f>AND(Lifting!#REF!,"AAAAAD/+924=")</f>
        <v>#REF!</v>
      </c>
      <c r="DH26" t="e">
        <f>AND(Lifting!#REF!,"AAAAAD/+928=")</f>
        <v>#REF!</v>
      </c>
      <c r="DI26" t="e">
        <f>AND(Lifting!#REF!,"AAAAAD/+93A=")</f>
        <v>#REF!</v>
      </c>
      <c r="DJ26" t="e">
        <f>AND(Lifting!#REF!,"AAAAAD/+93E=")</f>
        <v>#REF!</v>
      </c>
      <c r="DK26" t="e">
        <f>AND(Lifting!#REF!,"AAAAAD/+93I=")</f>
        <v>#REF!</v>
      </c>
      <c r="DL26" t="e">
        <f>AND(Lifting!#REF!,"AAAAAD/+93M=")</f>
        <v>#REF!</v>
      </c>
      <c r="DM26" t="e">
        <f>AND(Lifting!#REF!,"AAAAAD/+93Q=")</f>
        <v>#REF!</v>
      </c>
      <c r="DN26" t="e">
        <f>AND(Lifting!#REF!,"AAAAAD/+93U=")</f>
        <v>#REF!</v>
      </c>
      <c r="DO26" t="e">
        <f>AND(Lifting!#REF!,"AAAAAD/+93Y=")</f>
        <v>#REF!</v>
      </c>
      <c r="DP26" t="e">
        <f>AND(Lifting!#REF!,"AAAAAD/+93c=")</f>
        <v>#REF!</v>
      </c>
      <c r="DQ26" t="e">
        <f>AND(Lifting!#REF!,"AAAAAD/+93g=")</f>
        <v>#REF!</v>
      </c>
      <c r="DR26" t="e">
        <f>AND(Lifting!#REF!,"AAAAAD/+93k=")</f>
        <v>#REF!</v>
      </c>
      <c r="DS26" t="e">
        <f>AND(Lifting!#REF!,"AAAAAD/+93o=")</f>
        <v>#REF!</v>
      </c>
      <c r="DT26" t="e">
        <f>AND(Lifting!#REF!,"AAAAAD/+93s=")</f>
        <v>#REF!</v>
      </c>
      <c r="DU26" t="e">
        <f>AND(Lifting!#REF!,"AAAAAD/+93w=")</f>
        <v>#REF!</v>
      </c>
      <c r="DV26" t="e">
        <f>AND(Lifting!#REF!,"AAAAAD/+930=")</f>
        <v>#REF!</v>
      </c>
      <c r="DW26" t="e">
        <f>AND(Lifting!#REF!,"AAAAAD/+934=")</f>
        <v>#REF!</v>
      </c>
      <c r="DX26" t="e">
        <f>AND(Lifting!#REF!,"AAAAAD/+938=")</f>
        <v>#REF!</v>
      </c>
      <c r="DY26" t="e">
        <f>AND(Lifting!#REF!,"AAAAAD/+94A=")</f>
        <v>#REF!</v>
      </c>
      <c r="DZ26" t="e">
        <f>AND(Lifting!#REF!,"AAAAAD/+94E=")</f>
        <v>#REF!</v>
      </c>
      <c r="EA26" t="e">
        <f>AND(Lifting!#REF!,"AAAAAD/+94I=")</f>
        <v>#REF!</v>
      </c>
      <c r="EB26" t="e">
        <f>AND(Lifting!#REF!,"AAAAAD/+94M=")</f>
        <v>#REF!</v>
      </c>
      <c r="EC26" t="e">
        <f>AND(Lifting!#REF!,"AAAAAD/+94Q=")</f>
        <v>#REF!</v>
      </c>
      <c r="ED26" t="e">
        <f>AND(Lifting!#REF!,"AAAAAD/+94U=")</f>
        <v>#REF!</v>
      </c>
      <c r="EE26" t="e">
        <f>AND(Lifting!#REF!,"AAAAAD/+94Y=")</f>
        <v>#REF!</v>
      </c>
      <c r="EF26" t="e">
        <f>AND(Lifting!#REF!,"AAAAAD/+94c=")</f>
        <v>#REF!</v>
      </c>
      <c r="EG26" t="e">
        <f>AND(Lifting!#REF!,"AAAAAD/+94g=")</f>
        <v>#REF!</v>
      </c>
      <c r="EH26" t="e">
        <f>AND(Lifting!#REF!,"AAAAAD/+94k=")</f>
        <v>#REF!</v>
      </c>
      <c r="EI26" t="e">
        <f>AND(Lifting!#REF!,"AAAAAD/+94o=")</f>
        <v>#REF!</v>
      </c>
      <c r="EJ26" t="e">
        <f>AND(Lifting!#REF!,"AAAAAD/+94s=")</f>
        <v>#REF!</v>
      </c>
      <c r="EK26" t="e">
        <f>AND(Lifting!#REF!,"AAAAAD/+94w=")</f>
        <v>#REF!</v>
      </c>
      <c r="EL26" t="e">
        <f>AND(Lifting!#REF!,"AAAAAD/+940=")</f>
        <v>#REF!</v>
      </c>
      <c r="EM26" t="e">
        <f>AND(Lifting!#REF!,"AAAAAD/+944=")</f>
        <v>#REF!</v>
      </c>
      <c r="EN26" t="e">
        <f>AND(Lifting!#REF!,"AAAAAD/+948=")</f>
        <v>#REF!</v>
      </c>
      <c r="EO26" t="e">
        <f>AND(Lifting!#REF!,"AAAAAD/+95A=")</f>
        <v>#REF!</v>
      </c>
      <c r="EP26" t="e">
        <f>AND(Lifting!#REF!,"AAAAAD/+95E=")</f>
        <v>#REF!</v>
      </c>
      <c r="EQ26" t="e">
        <f>AND(Lifting!#REF!,"AAAAAD/+95I=")</f>
        <v>#REF!</v>
      </c>
      <c r="ER26" t="e">
        <f>AND(Lifting!#REF!,"AAAAAD/+95M=")</f>
        <v>#REF!</v>
      </c>
      <c r="ES26" t="e">
        <f>AND(Lifting!#REF!,"AAAAAD/+95Q=")</f>
        <v>#REF!</v>
      </c>
      <c r="ET26" t="e">
        <f>AND(Lifting!#REF!,"AAAAAD/+95U=")</f>
        <v>#REF!</v>
      </c>
      <c r="EU26" t="e">
        <f>AND(Lifting!#REF!,"AAAAAD/+95Y=")</f>
        <v>#REF!</v>
      </c>
      <c r="EV26" t="e">
        <f>AND(Lifting!#REF!,"AAAAAD/+95c=")</f>
        <v>#REF!</v>
      </c>
      <c r="EW26" t="e">
        <f>AND(Lifting!#REF!,"AAAAAD/+95g=")</f>
        <v>#REF!</v>
      </c>
      <c r="EX26" t="e">
        <f>AND(Lifting!#REF!,"AAAAAD/+95k=")</f>
        <v>#REF!</v>
      </c>
      <c r="EY26" t="e">
        <f>AND(Lifting!#REF!,"AAAAAD/+95o=")</f>
        <v>#REF!</v>
      </c>
      <c r="EZ26" t="e">
        <f>AND(Lifting!#REF!,"AAAAAD/+95s=")</f>
        <v>#REF!</v>
      </c>
      <c r="FA26" t="e">
        <f>AND(Lifting!#REF!,"AAAAAD/+95w=")</f>
        <v>#REF!</v>
      </c>
      <c r="FB26" t="e">
        <f>AND(Lifting!#REF!,"AAAAAD/+950=")</f>
        <v>#REF!</v>
      </c>
      <c r="FC26" t="e">
        <f>AND(Lifting!#REF!,"AAAAAD/+954=")</f>
        <v>#REF!</v>
      </c>
      <c r="FD26" t="e">
        <f>AND(Lifting!#REF!,"AAAAAD/+958=")</f>
        <v>#REF!</v>
      </c>
      <c r="FE26" t="e">
        <f>AND(Lifting!#REF!,"AAAAAD/+96A=")</f>
        <v>#REF!</v>
      </c>
      <c r="FF26" t="e">
        <f>AND(Lifting!#REF!,"AAAAAD/+96E=")</f>
        <v>#REF!</v>
      </c>
      <c r="FG26" t="e">
        <f>AND(Lifting!#REF!,"AAAAAD/+96I=")</f>
        <v>#REF!</v>
      </c>
      <c r="FH26" t="e">
        <f>AND(Lifting!#REF!,"AAAAAD/+96M=")</f>
        <v>#REF!</v>
      </c>
      <c r="FI26" t="e">
        <f>AND(Lifting!#REF!,"AAAAAD/+96Q=")</f>
        <v>#REF!</v>
      </c>
      <c r="FJ26" t="e">
        <f>AND(Lifting!#REF!,"AAAAAD/+96U=")</f>
        <v>#REF!</v>
      </c>
      <c r="FK26" t="e">
        <f>AND(Lifting!#REF!,"AAAAAD/+96Y=")</f>
        <v>#REF!</v>
      </c>
      <c r="FL26" t="e">
        <f>AND(Lifting!#REF!,"AAAAAD/+96c=")</f>
        <v>#REF!</v>
      </c>
      <c r="FM26" t="e">
        <f>AND(Lifting!#REF!,"AAAAAD/+96g=")</f>
        <v>#REF!</v>
      </c>
      <c r="FN26" t="e">
        <f>AND(Lifting!#REF!,"AAAAAD/+96k=")</f>
        <v>#REF!</v>
      </c>
      <c r="FO26" t="e">
        <f>AND(Lifting!#REF!,"AAAAAD/+96o=")</f>
        <v>#REF!</v>
      </c>
      <c r="FP26" t="e">
        <f>AND(Lifting!#REF!,"AAAAAD/+96s=")</f>
        <v>#REF!</v>
      </c>
      <c r="FQ26" t="e">
        <f>AND(Lifting!#REF!,"AAAAAD/+96w=")</f>
        <v>#REF!</v>
      </c>
      <c r="FR26" t="e">
        <f>AND(Lifting!#REF!,"AAAAAD/+960=")</f>
        <v>#REF!</v>
      </c>
      <c r="FS26" t="e">
        <f>AND(Lifting!#REF!,"AAAAAD/+964=")</f>
        <v>#REF!</v>
      </c>
      <c r="FT26" t="e">
        <f>AND(Lifting!#REF!,"AAAAAD/+968=")</f>
        <v>#REF!</v>
      </c>
      <c r="FU26" t="e">
        <f>AND(Lifting!#REF!,"AAAAAD/+97A=")</f>
        <v>#REF!</v>
      </c>
      <c r="FV26" t="e">
        <f>AND(Lifting!#REF!,"AAAAAD/+97E=")</f>
        <v>#REF!</v>
      </c>
      <c r="FW26" t="e">
        <f>AND(Lifting!#REF!,"AAAAAD/+97I=")</f>
        <v>#REF!</v>
      </c>
      <c r="FX26" t="e">
        <f>AND(Lifting!#REF!,"AAAAAD/+97M=")</f>
        <v>#REF!</v>
      </c>
      <c r="FY26" t="e">
        <f>AND(Lifting!#REF!,"AAAAAD/+97Q=")</f>
        <v>#REF!</v>
      </c>
      <c r="FZ26" t="e">
        <f>AND(Lifting!#REF!,"AAAAAD/+97U=")</f>
        <v>#REF!</v>
      </c>
      <c r="GA26" t="e">
        <f>AND(Lifting!#REF!,"AAAAAD/+97Y=")</f>
        <v>#REF!</v>
      </c>
      <c r="GB26" t="e">
        <f>AND(Lifting!#REF!,"AAAAAD/+97c=")</f>
        <v>#REF!</v>
      </c>
      <c r="GC26" t="e">
        <f>AND(Lifting!#REF!,"AAAAAD/+97g=")</f>
        <v>#REF!</v>
      </c>
      <c r="GD26" t="e">
        <f>AND(Lifting!#REF!,"AAAAAD/+97k=")</f>
        <v>#REF!</v>
      </c>
      <c r="GE26" t="e">
        <f>AND(Lifting!#REF!,"AAAAAD/+97o=")</f>
        <v>#REF!</v>
      </c>
      <c r="GF26" t="e">
        <f>AND(Lifting!#REF!,"AAAAAD/+97s=")</f>
        <v>#REF!</v>
      </c>
      <c r="GG26" t="e">
        <f>AND(Lifting!#REF!,"AAAAAD/+97w=")</f>
        <v>#REF!</v>
      </c>
      <c r="GH26" t="e">
        <f>AND(Lifting!#REF!,"AAAAAD/+970=")</f>
        <v>#REF!</v>
      </c>
      <c r="GI26" t="e">
        <f>AND(Lifting!#REF!,"AAAAAD/+974=")</f>
        <v>#REF!</v>
      </c>
      <c r="GJ26" t="e">
        <f>AND(Lifting!#REF!,"AAAAAD/+978=")</f>
        <v>#REF!</v>
      </c>
      <c r="GK26" t="e">
        <f>AND(Lifting!#REF!,"AAAAAD/+98A=")</f>
        <v>#REF!</v>
      </c>
      <c r="GL26" t="e">
        <f>AND(Lifting!#REF!,"AAAAAD/+98E=")</f>
        <v>#REF!</v>
      </c>
      <c r="GM26" t="e">
        <f>AND(Lifting!#REF!,"AAAAAD/+98I=")</f>
        <v>#REF!</v>
      </c>
      <c r="GN26" t="e">
        <f>IF(Lifting!#REF!,"AAAAAD/+98M=",0)</f>
        <v>#REF!</v>
      </c>
      <c r="GO26" t="e">
        <f>AND(Lifting!#REF!,"AAAAAD/+98Q=")</f>
        <v>#REF!</v>
      </c>
      <c r="GP26" t="e">
        <f>AND(Lifting!#REF!,"AAAAAD/+98U=")</f>
        <v>#REF!</v>
      </c>
      <c r="GQ26" t="e">
        <f>AND(Lifting!#REF!,"AAAAAD/+98Y=")</f>
        <v>#REF!</v>
      </c>
      <c r="GR26" t="e">
        <f>AND(Lifting!#REF!,"AAAAAD/+98c=")</f>
        <v>#REF!</v>
      </c>
      <c r="GS26" t="e">
        <f>AND(Lifting!#REF!,"AAAAAD/+98g=")</f>
        <v>#REF!</v>
      </c>
      <c r="GT26" t="e">
        <f>AND(Lifting!#REF!,"AAAAAD/+98k=")</f>
        <v>#REF!</v>
      </c>
      <c r="GU26" t="e">
        <f>AND(Lifting!#REF!,"AAAAAD/+98o=")</f>
        <v>#REF!</v>
      </c>
      <c r="GV26" t="e">
        <f>AND(Lifting!#REF!,"AAAAAD/+98s=")</f>
        <v>#REF!</v>
      </c>
      <c r="GW26" t="e">
        <f>AND(Lifting!#REF!,"AAAAAD/+98w=")</f>
        <v>#REF!</v>
      </c>
      <c r="GX26" t="e">
        <f>AND(Lifting!#REF!,"AAAAAD/+980=")</f>
        <v>#REF!</v>
      </c>
      <c r="GY26" t="e">
        <f>AND(Lifting!#REF!,"AAAAAD/+984=")</f>
        <v>#REF!</v>
      </c>
      <c r="GZ26" t="e">
        <f>AND(Lifting!#REF!,"AAAAAD/+988=")</f>
        <v>#REF!</v>
      </c>
      <c r="HA26" t="e">
        <f>AND(Lifting!#REF!,"AAAAAD/+99A=")</f>
        <v>#REF!</v>
      </c>
      <c r="HB26" t="e">
        <f>AND(Lifting!#REF!,"AAAAAD/+99E=")</f>
        <v>#REF!</v>
      </c>
      <c r="HC26" t="e">
        <f>AND(Lifting!#REF!,"AAAAAD/+99I=")</f>
        <v>#REF!</v>
      </c>
      <c r="HD26" t="e">
        <f>AND(Lifting!#REF!,"AAAAAD/+99M=")</f>
        <v>#REF!</v>
      </c>
      <c r="HE26" t="e">
        <f>AND(Lifting!#REF!,"AAAAAD/+99Q=")</f>
        <v>#REF!</v>
      </c>
      <c r="HF26" t="e">
        <f>AND(Lifting!#REF!,"AAAAAD/+99U=")</f>
        <v>#REF!</v>
      </c>
      <c r="HG26" t="e">
        <f>AND(Lifting!#REF!,"AAAAAD/+99Y=")</f>
        <v>#REF!</v>
      </c>
      <c r="HH26" t="e">
        <f>AND(Lifting!#REF!,"AAAAAD/+99c=")</f>
        <v>#REF!</v>
      </c>
      <c r="HI26" t="e">
        <f>AND(Lifting!#REF!,"AAAAAD/+99g=")</f>
        <v>#REF!</v>
      </c>
      <c r="HJ26" t="e">
        <f>AND(Lifting!#REF!,"AAAAAD/+99k=")</f>
        <v>#REF!</v>
      </c>
      <c r="HK26" t="e">
        <f>AND(Lifting!#REF!,"AAAAAD/+99o=")</f>
        <v>#REF!</v>
      </c>
      <c r="HL26" t="e">
        <f>AND(Lifting!#REF!,"AAAAAD/+99s=")</f>
        <v>#REF!</v>
      </c>
      <c r="HM26" t="e">
        <f>AND(Lifting!#REF!,"AAAAAD/+99w=")</f>
        <v>#REF!</v>
      </c>
      <c r="HN26" t="e">
        <f>AND(Lifting!#REF!,"AAAAAD/+990=")</f>
        <v>#REF!</v>
      </c>
      <c r="HO26" t="e">
        <f>AND(Lifting!#REF!,"AAAAAD/+994=")</f>
        <v>#REF!</v>
      </c>
      <c r="HP26" t="e">
        <f>AND(Lifting!#REF!,"AAAAAD/+998=")</f>
        <v>#REF!</v>
      </c>
      <c r="HQ26" t="e">
        <f>AND(Lifting!#REF!,"AAAAAD/+9+A=")</f>
        <v>#REF!</v>
      </c>
      <c r="HR26" t="e">
        <f>AND(Lifting!#REF!,"AAAAAD/+9+E=")</f>
        <v>#REF!</v>
      </c>
      <c r="HS26" t="e">
        <f>AND(Lifting!#REF!,"AAAAAD/+9+I=")</f>
        <v>#REF!</v>
      </c>
      <c r="HT26" t="e">
        <f>AND(Lifting!#REF!,"AAAAAD/+9+M=")</f>
        <v>#REF!</v>
      </c>
      <c r="HU26" t="e">
        <f>AND(Lifting!#REF!,"AAAAAD/+9+Q=")</f>
        <v>#REF!</v>
      </c>
      <c r="HV26" t="e">
        <f>AND(Lifting!#REF!,"AAAAAD/+9+U=")</f>
        <v>#REF!</v>
      </c>
      <c r="HW26" t="e">
        <f>AND(Lifting!#REF!,"AAAAAD/+9+Y=")</f>
        <v>#REF!</v>
      </c>
      <c r="HX26" t="e">
        <f>AND(Lifting!#REF!,"AAAAAD/+9+c=")</f>
        <v>#REF!</v>
      </c>
      <c r="HY26" t="e">
        <f>AND(Lifting!#REF!,"AAAAAD/+9+g=")</f>
        <v>#REF!</v>
      </c>
      <c r="HZ26" t="e">
        <f>AND(Lifting!#REF!,"AAAAAD/+9+k=")</f>
        <v>#REF!</v>
      </c>
      <c r="IA26" t="e">
        <f>AND(Lifting!#REF!,"AAAAAD/+9+o=")</f>
        <v>#REF!</v>
      </c>
      <c r="IB26" t="e">
        <f>AND(Lifting!#REF!,"AAAAAD/+9+s=")</f>
        <v>#REF!</v>
      </c>
      <c r="IC26" t="e">
        <f>AND(Lifting!#REF!,"AAAAAD/+9+w=")</f>
        <v>#REF!</v>
      </c>
      <c r="ID26" t="e">
        <f>AND(Lifting!#REF!,"AAAAAD/+9+0=")</f>
        <v>#REF!</v>
      </c>
      <c r="IE26" t="e">
        <f>AND(Lifting!#REF!,"AAAAAD/+9+4=")</f>
        <v>#REF!</v>
      </c>
      <c r="IF26" t="e">
        <f>AND(Lifting!#REF!,"AAAAAD/+9+8=")</f>
        <v>#REF!</v>
      </c>
      <c r="IG26" t="e">
        <f>AND(Lifting!#REF!,"AAAAAD/+9/A=")</f>
        <v>#REF!</v>
      </c>
      <c r="IH26" t="e">
        <f>AND(Lifting!#REF!,"AAAAAD/+9/E=")</f>
        <v>#REF!</v>
      </c>
      <c r="II26" t="e">
        <f>AND(Lifting!#REF!,"AAAAAD/+9/I=")</f>
        <v>#REF!</v>
      </c>
      <c r="IJ26" t="e">
        <f>AND(Lifting!#REF!,"AAAAAD/+9/M=")</f>
        <v>#REF!</v>
      </c>
      <c r="IK26" t="e">
        <f>AND(Lifting!#REF!,"AAAAAD/+9/Q=")</f>
        <v>#REF!</v>
      </c>
      <c r="IL26" t="e">
        <f>AND(Lifting!#REF!,"AAAAAD/+9/U=")</f>
        <v>#REF!</v>
      </c>
      <c r="IM26" t="e">
        <f>AND(Lifting!#REF!,"AAAAAD/+9/Y=")</f>
        <v>#REF!</v>
      </c>
      <c r="IN26" t="e">
        <f>AND(Lifting!#REF!,"AAAAAD/+9/c=")</f>
        <v>#REF!</v>
      </c>
      <c r="IO26" t="e">
        <f>AND(Lifting!#REF!,"AAAAAD/+9/g=")</f>
        <v>#REF!</v>
      </c>
      <c r="IP26" t="e">
        <f>AND(Lifting!#REF!,"AAAAAD/+9/k=")</f>
        <v>#REF!</v>
      </c>
      <c r="IQ26" t="e">
        <f>AND(Lifting!#REF!,"AAAAAD/+9/o=")</f>
        <v>#REF!</v>
      </c>
      <c r="IR26" t="e">
        <f>AND(Lifting!#REF!,"AAAAAD/+9/s=")</f>
        <v>#REF!</v>
      </c>
      <c r="IS26" t="e">
        <f>AND(Lifting!#REF!,"AAAAAD/+9/w=")</f>
        <v>#REF!</v>
      </c>
      <c r="IT26" t="e">
        <f>AND(Lifting!#REF!,"AAAAAD/+9/0=")</f>
        <v>#REF!</v>
      </c>
      <c r="IU26" t="e">
        <f>AND(Lifting!#REF!,"AAAAAD/+9/4=")</f>
        <v>#REF!</v>
      </c>
      <c r="IV26" t="e">
        <f>AND(Lifting!#REF!,"AAAAAD/+9/8=")</f>
        <v>#REF!</v>
      </c>
    </row>
    <row r="27" spans="1:256">
      <c r="A27" t="e">
        <f>AND(Lifting!#REF!,"AAAAAGOqTwA=")</f>
        <v>#REF!</v>
      </c>
      <c r="B27" t="e">
        <f>AND(Lifting!#REF!,"AAAAAGOqTwE=")</f>
        <v>#REF!</v>
      </c>
      <c r="C27" t="e">
        <f>AND(Lifting!#REF!,"AAAAAGOqTwI=")</f>
        <v>#REF!</v>
      </c>
      <c r="D27" t="e">
        <f>AND(Lifting!#REF!,"AAAAAGOqTwM=")</f>
        <v>#REF!</v>
      </c>
      <c r="E27" t="e">
        <f>AND(Lifting!#REF!,"AAAAAGOqTwQ=")</f>
        <v>#REF!</v>
      </c>
      <c r="F27" t="e">
        <f>AND(Lifting!#REF!,"AAAAAGOqTwU=")</f>
        <v>#REF!</v>
      </c>
      <c r="G27" t="e">
        <f>AND(Lifting!#REF!,"AAAAAGOqTwY=")</f>
        <v>#REF!</v>
      </c>
      <c r="H27" t="e">
        <f>AND(Lifting!#REF!,"AAAAAGOqTwc=")</f>
        <v>#REF!</v>
      </c>
      <c r="I27" t="e">
        <f>AND(Lifting!#REF!,"AAAAAGOqTwg=")</f>
        <v>#REF!</v>
      </c>
      <c r="J27" t="e">
        <f>AND(Lifting!#REF!,"AAAAAGOqTwk=")</f>
        <v>#REF!</v>
      </c>
      <c r="K27" t="e">
        <f>AND(Lifting!#REF!,"AAAAAGOqTwo=")</f>
        <v>#REF!</v>
      </c>
      <c r="L27" t="e">
        <f>AND(Lifting!#REF!,"AAAAAGOqTws=")</f>
        <v>#REF!</v>
      </c>
      <c r="M27" t="e">
        <f>AND(Lifting!#REF!,"AAAAAGOqTww=")</f>
        <v>#REF!</v>
      </c>
      <c r="N27" t="e">
        <f>AND(Lifting!#REF!,"AAAAAGOqTw0=")</f>
        <v>#REF!</v>
      </c>
      <c r="O27" t="e">
        <f>AND(Lifting!#REF!,"AAAAAGOqTw4=")</f>
        <v>#REF!</v>
      </c>
      <c r="P27" t="e">
        <f>AND(Lifting!#REF!,"AAAAAGOqTw8=")</f>
        <v>#REF!</v>
      </c>
      <c r="Q27" t="e">
        <f>AND(Lifting!#REF!,"AAAAAGOqTxA=")</f>
        <v>#REF!</v>
      </c>
      <c r="R27" t="e">
        <f>AND(Lifting!#REF!,"AAAAAGOqTxE=")</f>
        <v>#REF!</v>
      </c>
      <c r="S27" t="e">
        <f>AND(Lifting!#REF!,"AAAAAGOqTxI=")</f>
        <v>#REF!</v>
      </c>
      <c r="T27" t="e">
        <f>AND(Lifting!#REF!,"AAAAAGOqTxM=")</f>
        <v>#REF!</v>
      </c>
      <c r="U27" t="e">
        <f>AND(Lifting!#REF!,"AAAAAGOqTxQ=")</f>
        <v>#REF!</v>
      </c>
      <c r="V27" t="e">
        <f>AND(Lifting!#REF!,"AAAAAGOqTxU=")</f>
        <v>#REF!</v>
      </c>
      <c r="W27" t="e">
        <f>AND(Lifting!#REF!,"AAAAAGOqTxY=")</f>
        <v>#REF!</v>
      </c>
      <c r="X27" t="e">
        <f>AND(Lifting!#REF!,"AAAAAGOqTxc=")</f>
        <v>#REF!</v>
      </c>
      <c r="Y27" t="e">
        <f>AND(Lifting!#REF!,"AAAAAGOqTxg=")</f>
        <v>#REF!</v>
      </c>
      <c r="Z27" t="e">
        <f>AND(Lifting!#REF!,"AAAAAGOqTxk=")</f>
        <v>#REF!</v>
      </c>
      <c r="AA27" t="e">
        <f>AND(Lifting!#REF!,"AAAAAGOqTxo=")</f>
        <v>#REF!</v>
      </c>
      <c r="AB27" t="e">
        <f>AND(Lifting!#REF!,"AAAAAGOqTxs=")</f>
        <v>#REF!</v>
      </c>
      <c r="AC27" t="e">
        <f>AND(Lifting!#REF!,"AAAAAGOqTxw=")</f>
        <v>#REF!</v>
      </c>
      <c r="AD27" t="e">
        <f>AND(Lifting!#REF!,"AAAAAGOqTx0=")</f>
        <v>#REF!</v>
      </c>
      <c r="AE27" t="e">
        <f>AND(Lifting!#REF!,"AAAAAGOqTx4=")</f>
        <v>#REF!</v>
      </c>
      <c r="AF27" t="e">
        <f>AND(Lifting!#REF!,"AAAAAGOqTx8=")</f>
        <v>#REF!</v>
      </c>
      <c r="AG27" t="e">
        <f>AND(Lifting!#REF!,"AAAAAGOqTyA=")</f>
        <v>#REF!</v>
      </c>
      <c r="AH27" t="e">
        <f>AND(Lifting!#REF!,"AAAAAGOqTyE=")</f>
        <v>#REF!</v>
      </c>
      <c r="AI27" t="e">
        <f>AND(Lifting!#REF!,"AAAAAGOqTyI=")</f>
        <v>#REF!</v>
      </c>
      <c r="AJ27" t="e">
        <f>AND(Lifting!#REF!,"AAAAAGOqTyM=")</f>
        <v>#REF!</v>
      </c>
      <c r="AK27" t="e">
        <f>AND(Lifting!#REF!,"AAAAAGOqTyQ=")</f>
        <v>#REF!</v>
      </c>
      <c r="AL27" t="e">
        <f>AND(Lifting!#REF!,"AAAAAGOqTyU=")</f>
        <v>#REF!</v>
      </c>
      <c r="AM27" t="e">
        <f>AND(Lifting!#REF!,"AAAAAGOqTyY=")</f>
        <v>#REF!</v>
      </c>
      <c r="AN27" t="e">
        <f>AND(Lifting!#REF!,"AAAAAGOqTyc=")</f>
        <v>#REF!</v>
      </c>
      <c r="AO27" t="e">
        <f>AND(Lifting!#REF!,"AAAAAGOqTyg=")</f>
        <v>#REF!</v>
      </c>
      <c r="AP27" t="e">
        <f>AND(Lifting!#REF!,"AAAAAGOqTyk=")</f>
        <v>#REF!</v>
      </c>
      <c r="AQ27" t="e">
        <f>AND(Lifting!#REF!,"AAAAAGOqTyo=")</f>
        <v>#REF!</v>
      </c>
      <c r="AR27" t="e">
        <f>AND(Lifting!#REF!,"AAAAAGOqTys=")</f>
        <v>#REF!</v>
      </c>
      <c r="AS27" t="e">
        <f>IF(Lifting!#REF!,"AAAAAGOqTyw=",0)</f>
        <v>#REF!</v>
      </c>
      <c r="AT27" t="e">
        <f>AND(Lifting!#REF!,"AAAAAGOqTy0=")</f>
        <v>#REF!</v>
      </c>
      <c r="AU27" t="e">
        <f>AND(Lifting!#REF!,"AAAAAGOqTy4=")</f>
        <v>#REF!</v>
      </c>
      <c r="AV27" t="e">
        <f>AND(Lifting!#REF!,"AAAAAGOqTy8=")</f>
        <v>#REF!</v>
      </c>
      <c r="AW27" t="e">
        <f>AND(Lifting!#REF!,"AAAAAGOqTzA=")</f>
        <v>#REF!</v>
      </c>
      <c r="AX27" t="e">
        <f>AND(Lifting!#REF!,"AAAAAGOqTzE=")</f>
        <v>#REF!</v>
      </c>
      <c r="AY27" t="e">
        <f>AND(Lifting!#REF!,"AAAAAGOqTzI=")</f>
        <v>#REF!</v>
      </c>
      <c r="AZ27" t="e">
        <f>AND(Lifting!#REF!,"AAAAAGOqTzM=")</f>
        <v>#REF!</v>
      </c>
      <c r="BA27" t="e">
        <f>AND(Lifting!#REF!,"AAAAAGOqTzQ=")</f>
        <v>#REF!</v>
      </c>
      <c r="BB27" t="e">
        <f>AND(Lifting!#REF!,"AAAAAGOqTzU=")</f>
        <v>#REF!</v>
      </c>
      <c r="BC27" t="e">
        <f>AND(Lifting!#REF!,"AAAAAGOqTzY=")</f>
        <v>#REF!</v>
      </c>
      <c r="BD27" t="e">
        <f>AND(Lifting!#REF!,"AAAAAGOqTzc=")</f>
        <v>#REF!</v>
      </c>
      <c r="BE27" t="e">
        <f>AND(Lifting!#REF!,"AAAAAGOqTzg=")</f>
        <v>#REF!</v>
      </c>
      <c r="BF27" t="e">
        <f>AND(Lifting!#REF!,"AAAAAGOqTzk=")</f>
        <v>#REF!</v>
      </c>
      <c r="BG27" t="e">
        <f>AND(Lifting!#REF!,"AAAAAGOqTzo=")</f>
        <v>#REF!</v>
      </c>
      <c r="BH27" t="e">
        <f>AND(Lifting!#REF!,"AAAAAGOqTzs=")</f>
        <v>#REF!</v>
      </c>
      <c r="BI27" t="e">
        <f>AND(Lifting!#REF!,"AAAAAGOqTzw=")</f>
        <v>#REF!</v>
      </c>
      <c r="BJ27" t="e">
        <f>AND(Lifting!#REF!,"AAAAAGOqTz0=")</f>
        <v>#REF!</v>
      </c>
      <c r="BK27" t="e">
        <f>AND(Lifting!#REF!,"AAAAAGOqTz4=")</f>
        <v>#REF!</v>
      </c>
      <c r="BL27" t="e">
        <f>AND(Lifting!#REF!,"AAAAAGOqTz8=")</f>
        <v>#REF!</v>
      </c>
      <c r="BM27" t="e">
        <f>AND(Lifting!#REF!,"AAAAAGOqT0A=")</f>
        <v>#REF!</v>
      </c>
      <c r="BN27" t="e">
        <f>AND(Lifting!#REF!,"AAAAAGOqT0E=")</f>
        <v>#REF!</v>
      </c>
      <c r="BO27" t="e">
        <f>AND(Lifting!#REF!,"AAAAAGOqT0I=")</f>
        <v>#REF!</v>
      </c>
      <c r="BP27" t="e">
        <f>AND(Lifting!#REF!,"AAAAAGOqT0M=")</f>
        <v>#REF!</v>
      </c>
      <c r="BQ27" t="e">
        <f>AND(Lifting!#REF!,"AAAAAGOqT0Q=")</f>
        <v>#REF!</v>
      </c>
      <c r="BR27" t="e">
        <f>AND(Lifting!#REF!,"AAAAAGOqT0U=")</f>
        <v>#REF!</v>
      </c>
      <c r="BS27" t="e">
        <f>AND(Lifting!#REF!,"AAAAAGOqT0Y=")</f>
        <v>#REF!</v>
      </c>
      <c r="BT27" t="e">
        <f>AND(Lifting!#REF!,"AAAAAGOqT0c=")</f>
        <v>#REF!</v>
      </c>
      <c r="BU27" t="e">
        <f>AND(Lifting!#REF!,"AAAAAGOqT0g=")</f>
        <v>#REF!</v>
      </c>
      <c r="BV27" t="e">
        <f>AND(Lifting!#REF!,"AAAAAGOqT0k=")</f>
        <v>#REF!</v>
      </c>
      <c r="BW27" t="e">
        <f>AND(Lifting!#REF!,"AAAAAGOqT0o=")</f>
        <v>#REF!</v>
      </c>
      <c r="BX27" t="e">
        <f>AND(Lifting!#REF!,"AAAAAGOqT0s=")</f>
        <v>#REF!</v>
      </c>
      <c r="BY27" t="e">
        <f>AND(Lifting!#REF!,"AAAAAGOqT0w=")</f>
        <v>#REF!</v>
      </c>
      <c r="BZ27" t="e">
        <f>AND(Lifting!#REF!,"AAAAAGOqT00=")</f>
        <v>#REF!</v>
      </c>
      <c r="CA27" t="e">
        <f>AND(Lifting!#REF!,"AAAAAGOqT04=")</f>
        <v>#REF!</v>
      </c>
      <c r="CB27" t="e">
        <f>AND(Lifting!#REF!,"AAAAAGOqT08=")</f>
        <v>#REF!</v>
      </c>
      <c r="CC27" t="e">
        <f>AND(Lifting!#REF!,"AAAAAGOqT1A=")</f>
        <v>#REF!</v>
      </c>
      <c r="CD27" t="e">
        <f>AND(Lifting!#REF!,"AAAAAGOqT1E=")</f>
        <v>#REF!</v>
      </c>
      <c r="CE27" t="e">
        <f>AND(Lifting!#REF!,"AAAAAGOqT1I=")</f>
        <v>#REF!</v>
      </c>
      <c r="CF27" t="e">
        <f>AND(Lifting!#REF!,"AAAAAGOqT1M=")</f>
        <v>#REF!</v>
      </c>
      <c r="CG27" t="e">
        <f>AND(Lifting!#REF!,"AAAAAGOqT1Q=")</f>
        <v>#REF!</v>
      </c>
      <c r="CH27" t="e">
        <f>AND(Lifting!#REF!,"AAAAAGOqT1U=")</f>
        <v>#REF!</v>
      </c>
      <c r="CI27" t="e">
        <f>AND(Lifting!#REF!,"AAAAAGOqT1Y=")</f>
        <v>#REF!</v>
      </c>
      <c r="CJ27" t="e">
        <f>AND(Lifting!#REF!,"AAAAAGOqT1c=")</f>
        <v>#REF!</v>
      </c>
      <c r="CK27" t="e">
        <f>AND(Lifting!#REF!,"AAAAAGOqT1g=")</f>
        <v>#REF!</v>
      </c>
      <c r="CL27" t="e">
        <f>AND(Lifting!#REF!,"AAAAAGOqT1k=")</f>
        <v>#REF!</v>
      </c>
      <c r="CM27" t="e">
        <f>AND(Lifting!#REF!,"AAAAAGOqT1o=")</f>
        <v>#REF!</v>
      </c>
      <c r="CN27" t="e">
        <f>AND(Lifting!#REF!,"AAAAAGOqT1s=")</f>
        <v>#REF!</v>
      </c>
      <c r="CO27" t="e">
        <f>AND(Lifting!#REF!,"AAAAAGOqT1w=")</f>
        <v>#REF!</v>
      </c>
      <c r="CP27" t="e">
        <f>AND(Lifting!#REF!,"AAAAAGOqT10=")</f>
        <v>#REF!</v>
      </c>
      <c r="CQ27" t="e">
        <f>AND(Lifting!#REF!,"AAAAAGOqT14=")</f>
        <v>#REF!</v>
      </c>
      <c r="CR27" t="e">
        <f>AND(Lifting!#REF!,"AAAAAGOqT18=")</f>
        <v>#REF!</v>
      </c>
      <c r="CS27" t="e">
        <f>AND(Lifting!#REF!,"AAAAAGOqT2A=")</f>
        <v>#REF!</v>
      </c>
      <c r="CT27" t="e">
        <f>AND(Lifting!#REF!,"AAAAAGOqT2E=")</f>
        <v>#REF!</v>
      </c>
      <c r="CU27" t="e">
        <f>AND(Lifting!#REF!,"AAAAAGOqT2I=")</f>
        <v>#REF!</v>
      </c>
      <c r="CV27" t="e">
        <f>AND(Lifting!#REF!,"AAAAAGOqT2M=")</f>
        <v>#REF!</v>
      </c>
      <c r="CW27" t="e">
        <f>AND(Lifting!#REF!,"AAAAAGOqT2Q=")</f>
        <v>#REF!</v>
      </c>
      <c r="CX27" t="e">
        <f>AND(Lifting!#REF!,"AAAAAGOqT2U=")</f>
        <v>#REF!</v>
      </c>
      <c r="CY27" t="e">
        <f>AND(Lifting!#REF!,"AAAAAGOqT2Y=")</f>
        <v>#REF!</v>
      </c>
      <c r="CZ27" t="e">
        <f>AND(Lifting!#REF!,"AAAAAGOqT2c=")</f>
        <v>#REF!</v>
      </c>
      <c r="DA27" t="e">
        <f>AND(Lifting!#REF!,"AAAAAGOqT2g=")</f>
        <v>#REF!</v>
      </c>
      <c r="DB27" t="e">
        <f>AND(Lifting!#REF!,"AAAAAGOqT2k=")</f>
        <v>#REF!</v>
      </c>
      <c r="DC27" t="e">
        <f>AND(Lifting!#REF!,"AAAAAGOqT2o=")</f>
        <v>#REF!</v>
      </c>
      <c r="DD27" t="e">
        <f>AND(Lifting!#REF!,"AAAAAGOqT2s=")</f>
        <v>#REF!</v>
      </c>
      <c r="DE27" t="e">
        <f>AND(Lifting!#REF!,"AAAAAGOqT2w=")</f>
        <v>#REF!</v>
      </c>
      <c r="DF27" t="e">
        <f>AND(Lifting!#REF!,"AAAAAGOqT20=")</f>
        <v>#REF!</v>
      </c>
      <c r="DG27" t="e">
        <f>AND(Lifting!#REF!,"AAAAAGOqT24=")</f>
        <v>#REF!</v>
      </c>
      <c r="DH27" t="e">
        <f>AND(Lifting!#REF!,"AAAAAGOqT28=")</f>
        <v>#REF!</v>
      </c>
      <c r="DI27" t="e">
        <f>AND(Lifting!#REF!,"AAAAAGOqT3A=")</f>
        <v>#REF!</v>
      </c>
      <c r="DJ27" t="e">
        <f>AND(Lifting!#REF!,"AAAAAGOqT3E=")</f>
        <v>#REF!</v>
      </c>
      <c r="DK27" t="e">
        <f>AND(Lifting!#REF!,"AAAAAGOqT3I=")</f>
        <v>#REF!</v>
      </c>
      <c r="DL27" t="e">
        <f>AND(Lifting!#REF!,"AAAAAGOqT3M=")</f>
        <v>#REF!</v>
      </c>
      <c r="DM27" t="e">
        <f>AND(Lifting!#REF!,"AAAAAGOqT3Q=")</f>
        <v>#REF!</v>
      </c>
      <c r="DN27" t="e">
        <f>AND(Lifting!#REF!,"AAAAAGOqT3U=")</f>
        <v>#REF!</v>
      </c>
      <c r="DO27" t="e">
        <f>AND(Lifting!#REF!,"AAAAAGOqT3Y=")</f>
        <v>#REF!</v>
      </c>
      <c r="DP27" t="e">
        <f>AND(Lifting!#REF!,"AAAAAGOqT3c=")</f>
        <v>#REF!</v>
      </c>
      <c r="DQ27" t="e">
        <f>AND(Lifting!#REF!,"AAAAAGOqT3g=")</f>
        <v>#REF!</v>
      </c>
      <c r="DR27" t="e">
        <f>AND(Lifting!#REF!,"AAAAAGOqT3k=")</f>
        <v>#REF!</v>
      </c>
      <c r="DS27" t="e">
        <f>AND(Lifting!#REF!,"AAAAAGOqT3o=")</f>
        <v>#REF!</v>
      </c>
      <c r="DT27" t="e">
        <f>AND(Lifting!#REF!,"AAAAAGOqT3s=")</f>
        <v>#REF!</v>
      </c>
      <c r="DU27" t="e">
        <f>AND(Lifting!#REF!,"AAAAAGOqT3w=")</f>
        <v>#REF!</v>
      </c>
      <c r="DV27" t="e">
        <f>AND(Lifting!#REF!,"AAAAAGOqT30=")</f>
        <v>#REF!</v>
      </c>
      <c r="DW27" t="e">
        <f>AND(Lifting!#REF!,"AAAAAGOqT34=")</f>
        <v>#REF!</v>
      </c>
      <c r="DX27" t="e">
        <f>AND(Lifting!#REF!,"AAAAAGOqT38=")</f>
        <v>#REF!</v>
      </c>
      <c r="DY27" t="e">
        <f>AND(Lifting!#REF!,"AAAAAGOqT4A=")</f>
        <v>#REF!</v>
      </c>
      <c r="DZ27" t="e">
        <f>AND(Lifting!#REF!,"AAAAAGOqT4E=")</f>
        <v>#REF!</v>
      </c>
      <c r="EA27" t="e">
        <f>AND(Lifting!#REF!,"AAAAAGOqT4I=")</f>
        <v>#REF!</v>
      </c>
      <c r="EB27" t="e">
        <f>AND(Lifting!#REF!,"AAAAAGOqT4M=")</f>
        <v>#REF!</v>
      </c>
      <c r="EC27" t="e">
        <f>AND(Lifting!#REF!,"AAAAAGOqT4Q=")</f>
        <v>#REF!</v>
      </c>
      <c r="ED27" t="e">
        <f>AND(Lifting!#REF!,"AAAAAGOqT4U=")</f>
        <v>#REF!</v>
      </c>
      <c r="EE27" t="e">
        <f>AND(Lifting!#REF!,"AAAAAGOqT4Y=")</f>
        <v>#REF!</v>
      </c>
      <c r="EF27" t="e">
        <f>AND(Lifting!#REF!,"AAAAAGOqT4c=")</f>
        <v>#REF!</v>
      </c>
      <c r="EG27" t="e">
        <f>AND(Lifting!#REF!,"AAAAAGOqT4g=")</f>
        <v>#REF!</v>
      </c>
      <c r="EH27" t="e">
        <f>AND(Lifting!#REF!,"AAAAAGOqT4k=")</f>
        <v>#REF!</v>
      </c>
      <c r="EI27" t="e">
        <f>AND(Lifting!#REF!,"AAAAAGOqT4o=")</f>
        <v>#REF!</v>
      </c>
      <c r="EJ27" t="e">
        <f>AND(Lifting!#REF!,"AAAAAGOqT4s=")</f>
        <v>#REF!</v>
      </c>
      <c r="EK27" t="e">
        <f>AND(Lifting!#REF!,"AAAAAGOqT4w=")</f>
        <v>#REF!</v>
      </c>
      <c r="EL27" t="e">
        <f>AND(Lifting!#REF!,"AAAAAGOqT40=")</f>
        <v>#REF!</v>
      </c>
      <c r="EM27" t="e">
        <f>AND(Lifting!#REF!,"AAAAAGOqT44=")</f>
        <v>#REF!</v>
      </c>
      <c r="EN27" t="e">
        <f>AND(Lifting!#REF!,"AAAAAGOqT48=")</f>
        <v>#REF!</v>
      </c>
      <c r="EO27" t="e">
        <f>AND(Lifting!#REF!,"AAAAAGOqT5A=")</f>
        <v>#REF!</v>
      </c>
      <c r="EP27" t="e">
        <f>AND(Lifting!#REF!,"AAAAAGOqT5E=")</f>
        <v>#REF!</v>
      </c>
      <c r="EQ27" t="e">
        <f>AND(Lifting!#REF!,"AAAAAGOqT5I=")</f>
        <v>#REF!</v>
      </c>
      <c r="ER27" t="e">
        <f>AND(Lifting!#REF!,"AAAAAGOqT5M=")</f>
        <v>#REF!</v>
      </c>
      <c r="ES27" t="e">
        <f>AND(Lifting!#REF!,"AAAAAGOqT5Q=")</f>
        <v>#REF!</v>
      </c>
      <c r="ET27" t="e">
        <f>IF(Lifting!#REF!,"AAAAAGOqT5U=",0)</f>
        <v>#REF!</v>
      </c>
      <c r="EU27" t="e">
        <f>AND(Lifting!#REF!,"AAAAAGOqT5Y=")</f>
        <v>#REF!</v>
      </c>
      <c r="EV27" t="e">
        <f>AND(Lifting!#REF!,"AAAAAGOqT5c=")</f>
        <v>#REF!</v>
      </c>
      <c r="EW27" t="e">
        <f>AND(Lifting!#REF!,"AAAAAGOqT5g=")</f>
        <v>#REF!</v>
      </c>
      <c r="EX27" t="e">
        <f>AND(Lifting!#REF!,"AAAAAGOqT5k=")</f>
        <v>#REF!</v>
      </c>
      <c r="EY27" t="e">
        <f>AND(Lifting!#REF!,"AAAAAGOqT5o=")</f>
        <v>#REF!</v>
      </c>
      <c r="EZ27" t="e">
        <f>AND(Lifting!#REF!,"AAAAAGOqT5s=")</f>
        <v>#REF!</v>
      </c>
      <c r="FA27" t="e">
        <f>AND(Lifting!#REF!,"AAAAAGOqT5w=")</f>
        <v>#REF!</v>
      </c>
      <c r="FB27" t="e">
        <f>AND(Lifting!#REF!,"AAAAAGOqT50=")</f>
        <v>#REF!</v>
      </c>
      <c r="FC27" t="e">
        <f>AND(Lifting!#REF!,"AAAAAGOqT54=")</f>
        <v>#REF!</v>
      </c>
      <c r="FD27" t="e">
        <f>AND(Lifting!#REF!,"AAAAAGOqT58=")</f>
        <v>#REF!</v>
      </c>
      <c r="FE27" t="e">
        <f>AND(Lifting!#REF!,"AAAAAGOqT6A=")</f>
        <v>#REF!</v>
      </c>
      <c r="FF27" t="e">
        <f>AND(Lifting!#REF!,"AAAAAGOqT6E=")</f>
        <v>#REF!</v>
      </c>
      <c r="FG27" t="e">
        <f>AND(Lifting!#REF!,"AAAAAGOqT6I=")</f>
        <v>#REF!</v>
      </c>
      <c r="FH27" t="e">
        <f>AND(Lifting!#REF!,"AAAAAGOqT6M=")</f>
        <v>#REF!</v>
      </c>
      <c r="FI27" t="e">
        <f>AND(Lifting!#REF!,"AAAAAGOqT6Q=")</f>
        <v>#REF!</v>
      </c>
      <c r="FJ27" t="e">
        <f>AND(Lifting!#REF!,"AAAAAGOqT6U=")</f>
        <v>#REF!</v>
      </c>
      <c r="FK27" t="e">
        <f>AND(Lifting!#REF!,"AAAAAGOqT6Y=")</f>
        <v>#REF!</v>
      </c>
      <c r="FL27" t="e">
        <f>AND(Lifting!#REF!,"AAAAAGOqT6c=")</f>
        <v>#REF!</v>
      </c>
      <c r="FM27" t="e">
        <f>AND(Lifting!#REF!,"AAAAAGOqT6g=")</f>
        <v>#REF!</v>
      </c>
      <c r="FN27" t="e">
        <f>AND(Lifting!#REF!,"AAAAAGOqT6k=")</f>
        <v>#REF!</v>
      </c>
      <c r="FO27" t="e">
        <f>AND(Lifting!#REF!,"AAAAAGOqT6o=")</f>
        <v>#REF!</v>
      </c>
      <c r="FP27" t="e">
        <f>AND(Lifting!#REF!,"AAAAAGOqT6s=")</f>
        <v>#REF!</v>
      </c>
      <c r="FQ27" t="e">
        <f>AND(Lifting!#REF!,"AAAAAGOqT6w=")</f>
        <v>#REF!</v>
      </c>
      <c r="FR27" t="e">
        <f>AND(Lifting!#REF!,"AAAAAGOqT60=")</f>
        <v>#REF!</v>
      </c>
      <c r="FS27" t="e">
        <f>AND(Lifting!#REF!,"AAAAAGOqT64=")</f>
        <v>#REF!</v>
      </c>
      <c r="FT27" t="e">
        <f>AND(Lifting!#REF!,"AAAAAGOqT68=")</f>
        <v>#REF!</v>
      </c>
      <c r="FU27" t="e">
        <f>AND(Lifting!#REF!,"AAAAAGOqT7A=")</f>
        <v>#REF!</v>
      </c>
      <c r="FV27" t="e">
        <f>AND(Lifting!#REF!,"AAAAAGOqT7E=")</f>
        <v>#REF!</v>
      </c>
      <c r="FW27" t="e">
        <f>AND(Lifting!#REF!,"AAAAAGOqT7I=")</f>
        <v>#REF!</v>
      </c>
      <c r="FX27" t="e">
        <f>AND(Lifting!#REF!,"AAAAAGOqT7M=")</f>
        <v>#REF!</v>
      </c>
      <c r="FY27" t="e">
        <f>AND(Lifting!#REF!,"AAAAAGOqT7Q=")</f>
        <v>#REF!</v>
      </c>
      <c r="FZ27" t="e">
        <f>AND(Lifting!#REF!,"AAAAAGOqT7U=")</f>
        <v>#REF!</v>
      </c>
      <c r="GA27" t="e">
        <f>AND(Lifting!#REF!,"AAAAAGOqT7Y=")</f>
        <v>#REF!</v>
      </c>
      <c r="GB27" t="e">
        <f>AND(Lifting!#REF!,"AAAAAGOqT7c=")</f>
        <v>#REF!</v>
      </c>
      <c r="GC27" t="e">
        <f>AND(Lifting!#REF!,"AAAAAGOqT7g=")</f>
        <v>#REF!</v>
      </c>
      <c r="GD27" t="e">
        <f>AND(Lifting!#REF!,"AAAAAGOqT7k=")</f>
        <v>#REF!</v>
      </c>
      <c r="GE27" t="e">
        <f>AND(Lifting!#REF!,"AAAAAGOqT7o=")</f>
        <v>#REF!</v>
      </c>
      <c r="GF27" t="e">
        <f>AND(Lifting!#REF!,"AAAAAGOqT7s=")</f>
        <v>#REF!</v>
      </c>
      <c r="GG27" t="e">
        <f>AND(Lifting!#REF!,"AAAAAGOqT7w=")</f>
        <v>#REF!</v>
      </c>
      <c r="GH27" t="e">
        <f>AND(Lifting!#REF!,"AAAAAGOqT70=")</f>
        <v>#REF!</v>
      </c>
      <c r="GI27" t="e">
        <f>AND(Lifting!#REF!,"AAAAAGOqT74=")</f>
        <v>#REF!</v>
      </c>
      <c r="GJ27" t="e">
        <f>AND(Lifting!#REF!,"AAAAAGOqT78=")</f>
        <v>#REF!</v>
      </c>
      <c r="GK27" t="e">
        <f>AND(Lifting!#REF!,"AAAAAGOqT8A=")</f>
        <v>#REF!</v>
      </c>
      <c r="GL27" t="e">
        <f>AND(Lifting!#REF!,"AAAAAGOqT8E=")</f>
        <v>#REF!</v>
      </c>
      <c r="GM27" t="e">
        <f>AND(Lifting!#REF!,"AAAAAGOqT8I=")</f>
        <v>#REF!</v>
      </c>
      <c r="GN27" t="e">
        <f>AND(Lifting!#REF!,"AAAAAGOqT8M=")</f>
        <v>#REF!</v>
      </c>
      <c r="GO27" t="e">
        <f>AND(Lifting!#REF!,"AAAAAGOqT8Q=")</f>
        <v>#REF!</v>
      </c>
      <c r="GP27" t="e">
        <f>AND(Lifting!#REF!,"AAAAAGOqT8U=")</f>
        <v>#REF!</v>
      </c>
      <c r="GQ27" t="e">
        <f>AND(Lifting!#REF!,"AAAAAGOqT8Y=")</f>
        <v>#REF!</v>
      </c>
      <c r="GR27" t="e">
        <f>AND(Lifting!#REF!,"AAAAAGOqT8c=")</f>
        <v>#REF!</v>
      </c>
      <c r="GS27" t="e">
        <f>AND(Lifting!#REF!,"AAAAAGOqT8g=")</f>
        <v>#REF!</v>
      </c>
      <c r="GT27" t="e">
        <f>AND(Lifting!#REF!,"AAAAAGOqT8k=")</f>
        <v>#REF!</v>
      </c>
      <c r="GU27" t="e">
        <f>AND(Lifting!#REF!,"AAAAAGOqT8o=")</f>
        <v>#REF!</v>
      </c>
      <c r="GV27" t="e">
        <f>AND(Lifting!#REF!,"AAAAAGOqT8s=")</f>
        <v>#REF!</v>
      </c>
      <c r="GW27" t="e">
        <f>AND(Lifting!#REF!,"AAAAAGOqT8w=")</f>
        <v>#REF!</v>
      </c>
      <c r="GX27" t="e">
        <f>AND(Lifting!#REF!,"AAAAAGOqT80=")</f>
        <v>#REF!</v>
      </c>
      <c r="GY27" t="e">
        <f>AND(Lifting!#REF!,"AAAAAGOqT84=")</f>
        <v>#REF!</v>
      </c>
      <c r="GZ27" t="e">
        <f>AND(Lifting!#REF!,"AAAAAGOqT88=")</f>
        <v>#REF!</v>
      </c>
      <c r="HA27" t="e">
        <f>AND(Lifting!#REF!,"AAAAAGOqT9A=")</f>
        <v>#REF!</v>
      </c>
      <c r="HB27" t="e">
        <f>AND(Lifting!#REF!,"AAAAAGOqT9E=")</f>
        <v>#REF!</v>
      </c>
      <c r="HC27" t="e">
        <f>AND(Lifting!#REF!,"AAAAAGOqT9I=")</f>
        <v>#REF!</v>
      </c>
      <c r="HD27" t="e">
        <f>AND(Lifting!#REF!,"AAAAAGOqT9M=")</f>
        <v>#REF!</v>
      </c>
      <c r="HE27" t="e">
        <f>AND(Lifting!#REF!,"AAAAAGOqT9Q=")</f>
        <v>#REF!</v>
      </c>
      <c r="HF27" t="e">
        <f>AND(Lifting!#REF!,"AAAAAGOqT9U=")</f>
        <v>#REF!</v>
      </c>
      <c r="HG27" t="e">
        <f>AND(Lifting!#REF!,"AAAAAGOqT9Y=")</f>
        <v>#REF!</v>
      </c>
      <c r="HH27" t="e">
        <f>AND(Lifting!#REF!,"AAAAAGOqT9c=")</f>
        <v>#REF!</v>
      </c>
      <c r="HI27" t="e">
        <f>AND(Lifting!#REF!,"AAAAAGOqT9g=")</f>
        <v>#REF!</v>
      </c>
      <c r="HJ27" t="e">
        <f>AND(Lifting!#REF!,"AAAAAGOqT9k=")</f>
        <v>#REF!</v>
      </c>
      <c r="HK27" t="e">
        <f>AND(Lifting!#REF!,"AAAAAGOqT9o=")</f>
        <v>#REF!</v>
      </c>
      <c r="HL27" t="e">
        <f>AND(Lifting!#REF!,"AAAAAGOqT9s=")</f>
        <v>#REF!</v>
      </c>
      <c r="HM27" t="e">
        <f>AND(Lifting!#REF!,"AAAAAGOqT9w=")</f>
        <v>#REF!</v>
      </c>
      <c r="HN27" t="e">
        <f>AND(Lifting!#REF!,"AAAAAGOqT90=")</f>
        <v>#REF!</v>
      </c>
      <c r="HO27" t="e">
        <f>AND(Lifting!#REF!,"AAAAAGOqT94=")</f>
        <v>#REF!</v>
      </c>
      <c r="HP27" t="e">
        <f>AND(Lifting!#REF!,"AAAAAGOqT98=")</f>
        <v>#REF!</v>
      </c>
      <c r="HQ27" t="e">
        <f>AND(Lifting!#REF!,"AAAAAGOqT+A=")</f>
        <v>#REF!</v>
      </c>
      <c r="HR27" t="e">
        <f>AND(Lifting!#REF!,"AAAAAGOqT+E=")</f>
        <v>#REF!</v>
      </c>
      <c r="HS27" t="e">
        <f>AND(Lifting!#REF!,"AAAAAGOqT+I=")</f>
        <v>#REF!</v>
      </c>
      <c r="HT27" t="e">
        <f>AND(Lifting!#REF!,"AAAAAGOqT+M=")</f>
        <v>#REF!</v>
      </c>
      <c r="HU27" t="e">
        <f>AND(Lifting!#REF!,"AAAAAGOqT+Q=")</f>
        <v>#REF!</v>
      </c>
      <c r="HV27" t="e">
        <f>AND(Lifting!#REF!,"AAAAAGOqT+U=")</f>
        <v>#REF!</v>
      </c>
      <c r="HW27" t="e">
        <f>AND(Lifting!#REF!,"AAAAAGOqT+Y=")</f>
        <v>#REF!</v>
      </c>
      <c r="HX27" t="e">
        <f>AND(Lifting!#REF!,"AAAAAGOqT+c=")</f>
        <v>#REF!</v>
      </c>
      <c r="HY27" t="e">
        <f>AND(Lifting!#REF!,"AAAAAGOqT+g=")</f>
        <v>#REF!</v>
      </c>
      <c r="HZ27" t="e">
        <f>AND(Lifting!#REF!,"AAAAAGOqT+k=")</f>
        <v>#REF!</v>
      </c>
      <c r="IA27" t="e">
        <f>AND(Lifting!#REF!,"AAAAAGOqT+o=")</f>
        <v>#REF!</v>
      </c>
      <c r="IB27" t="e">
        <f>AND(Lifting!#REF!,"AAAAAGOqT+s=")</f>
        <v>#REF!</v>
      </c>
      <c r="IC27" t="e">
        <f>AND(Lifting!#REF!,"AAAAAGOqT+w=")</f>
        <v>#REF!</v>
      </c>
      <c r="ID27" t="e">
        <f>AND(Lifting!#REF!,"AAAAAGOqT+0=")</f>
        <v>#REF!</v>
      </c>
      <c r="IE27" t="e">
        <f>AND(Lifting!#REF!,"AAAAAGOqT+4=")</f>
        <v>#REF!</v>
      </c>
      <c r="IF27" t="e">
        <f>AND(Lifting!#REF!,"AAAAAGOqT+8=")</f>
        <v>#REF!</v>
      </c>
      <c r="IG27" t="e">
        <f>AND(Lifting!#REF!,"AAAAAGOqT/A=")</f>
        <v>#REF!</v>
      </c>
      <c r="IH27" t="e">
        <f>AND(Lifting!#REF!,"AAAAAGOqT/E=")</f>
        <v>#REF!</v>
      </c>
      <c r="II27" t="e">
        <f>AND(Lifting!#REF!,"AAAAAGOqT/I=")</f>
        <v>#REF!</v>
      </c>
      <c r="IJ27" t="e">
        <f>AND(Lifting!#REF!,"AAAAAGOqT/M=")</f>
        <v>#REF!</v>
      </c>
      <c r="IK27" t="e">
        <f>AND(Lifting!#REF!,"AAAAAGOqT/Q=")</f>
        <v>#REF!</v>
      </c>
      <c r="IL27" t="e">
        <f>AND(Lifting!#REF!,"AAAAAGOqT/U=")</f>
        <v>#REF!</v>
      </c>
      <c r="IM27" t="e">
        <f>AND(Lifting!#REF!,"AAAAAGOqT/Y=")</f>
        <v>#REF!</v>
      </c>
      <c r="IN27" t="e">
        <f>AND(Lifting!#REF!,"AAAAAGOqT/c=")</f>
        <v>#REF!</v>
      </c>
      <c r="IO27" t="e">
        <f>AND(Lifting!#REF!,"AAAAAGOqT/g=")</f>
        <v>#REF!</v>
      </c>
      <c r="IP27" t="e">
        <f>AND(Lifting!#REF!,"AAAAAGOqT/k=")</f>
        <v>#REF!</v>
      </c>
      <c r="IQ27" t="e">
        <f>AND(Lifting!#REF!,"AAAAAGOqT/o=")</f>
        <v>#REF!</v>
      </c>
      <c r="IR27" t="e">
        <f>AND(Lifting!#REF!,"AAAAAGOqT/s=")</f>
        <v>#REF!</v>
      </c>
      <c r="IS27" t="e">
        <f>AND(Lifting!#REF!,"AAAAAGOqT/w=")</f>
        <v>#REF!</v>
      </c>
      <c r="IT27" t="e">
        <f>AND(Lifting!#REF!,"AAAAAGOqT/0=")</f>
        <v>#REF!</v>
      </c>
      <c r="IU27" t="e">
        <f>IF(Lifting!#REF!,"AAAAAGOqT/4=",0)</f>
        <v>#REF!</v>
      </c>
      <c r="IV27" t="e">
        <f>AND(Lifting!#REF!,"AAAAAGOqT/8=")</f>
        <v>#REF!</v>
      </c>
    </row>
    <row r="28" spans="1:256">
      <c r="A28" t="e">
        <f>AND(Lifting!#REF!,"AAAAAH8/+wA=")</f>
        <v>#REF!</v>
      </c>
      <c r="B28" t="e">
        <f>AND(Lifting!#REF!,"AAAAAH8/+wE=")</f>
        <v>#REF!</v>
      </c>
      <c r="C28" t="e">
        <f>AND(Lifting!#REF!,"AAAAAH8/+wI=")</f>
        <v>#REF!</v>
      </c>
      <c r="D28" t="e">
        <f>AND(Lifting!#REF!,"AAAAAH8/+wM=")</f>
        <v>#REF!</v>
      </c>
      <c r="E28" t="e">
        <f>AND(Lifting!#REF!,"AAAAAH8/+wQ=")</f>
        <v>#REF!</v>
      </c>
      <c r="F28" t="e">
        <f>AND(Lifting!#REF!,"AAAAAH8/+wU=")</f>
        <v>#REF!</v>
      </c>
      <c r="G28" t="e">
        <f>AND(Lifting!#REF!,"AAAAAH8/+wY=")</f>
        <v>#REF!</v>
      </c>
      <c r="H28" t="e">
        <f>AND(Lifting!#REF!,"AAAAAH8/+wc=")</f>
        <v>#REF!</v>
      </c>
      <c r="I28" t="e">
        <f>AND(Lifting!#REF!,"AAAAAH8/+wg=")</f>
        <v>#REF!</v>
      </c>
      <c r="J28" t="e">
        <f>AND(Lifting!#REF!,"AAAAAH8/+wk=")</f>
        <v>#REF!</v>
      </c>
      <c r="K28" t="e">
        <f>AND(Lifting!#REF!,"AAAAAH8/+wo=")</f>
        <v>#REF!</v>
      </c>
      <c r="L28" t="e">
        <f>AND(Lifting!#REF!,"AAAAAH8/+ws=")</f>
        <v>#REF!</v>
      </c>
      <c r="M28" t="e">
        <f>AND(Lifting!#REF!,"AAAAAH8/+ww=")</f>
        <v>#REF!</v>
      </c>
      <c r="N28" t="e">
        <f>AND(Lifting!#REF!,"AAAAAH8/+w0=")</f>
        <v>#REF!</v>
      </c>
      <c r="O28" t="e">
        <f>AND(Lifting!#REF!,"AAAAAH8/+w4=")</f>
        <v>#REF!</v>
      </c>
      <c r="P28" t="e">
        <f>AND(Lifting!#REF!,"AAAAAH8/+w8=")</f>
        <v>#REF!</v>
      </c>
      <c r="Q28" t="e">
        <f>AND(Lifting!#REF!,"AAAAAH8/+xA=")</f>
        <v>#REF!</v>
      </c>
      <c r="R28" t="e">
        <f>AND(Lifting!#REF!,"AAAAAH8/+xE=")</f>
        <v>#REF!</v>
      </c>
      <c r="S28" t="e">
        <f>AND(Lifting!#REF!,"AAAAAH8/+xI=")</f>
        <v>#REF!</v>
      </c>
      <c r="T28" t="e">
        <f>AND(Lifting!#REF!,"AAAAAH8/+xM=")</f>
        <v>#REF!</v>
      </c>
      <c r="U28" t="e">
        <f>AND(Lifting!#REF!,"AAAAAH8/+xQ=")</f>
        <v>#REF!</v>
      </c>
      <c r="V28" t="e">
        <f>AND(Lifting!#REF!,"AAAAAH8/+xU=")</f>
        <v>#REF!</v>
      </c>
      <c r="W28" t="e">
        <f>AND(Lifting!#REF!,"AAAAAH8/+xY=")</f>
        <v>#REF!</v>
      </c>
      <c r="X28" t="e">
        <f>AND(Lifting!#REF!,"AAAAAH8/+xc=")</f>
        <v>#REF!</v>
      </c>
      <c r="Y28" t="e">
        <f>AND(Lifting!#REF!,"AAAAAH8/+xg=")</f>
        <v>#REF!</v>
      </c>
      <c r="Z28" t="e">
        <f>AND(Lifting!#REF!,"AAAAAH8/+xk=")</f>
        <v>#REF!</v>
      </c>
      <c r="AA28" t="e">
        <f>AND(Lifting!#REF!,"AAAAAH8/+xo=")</f>
        <v>#REF!</v>
      </c>
      <c r="AB28" t="e">
        <f>AND(Lifting!#REF!,"AAAAAH8/+xs=")</f>
        <v>#REF!</v>
      </c>
      <c r="AC28" t="e">
        <f>AND(Lifting!#REF!,"AAAAAH8/+xw=")</f>
        <v>#REF!</v>
      </c>
      <c r="AD28" t="e">
        <f>AND(Lifting!#REF!,"AAAAAH8/+x0=")</f>
        <v>#REF!</v>
      </c>
      <c r="AE28" t="e">
        <f>AND(Lifting!#REF!,"AAAAAH8/+x4=")</f>
        <v>#REF!</v>
      </c>
      <c r="AF28" t="e">
        <f>AND(Lifting!#REF!,"AAAAAH8/+x8=")</f>
        <v>#REF!</v>
      </c>
      <c r="AG28" t="e">
        <f>AND(Lifting!#REF!,"AAAAAH8/+yA=")</f>
        <v>#REF!</v>
      </c>
      <c r="AH28" t="e">
        <f>AND(Lifting!#REF!,"AAAAAH8/+yE=")</f>
        <v>#REF!</v>
      </c>
      <c r="AI28" t="e">
        <f>AND(Lifting!#REF!,"AAAAAH8/+yI=")</f>
        <v>#REF!</v>
      </c>
      <c r="AJ28" t="e">
        <f>AND(Lifting!#REF!,"AAAAAH8/+yM=")</f>
        <v>#REF!</v>
      </c>
      <c r="AK28" t="e">
        <f>AND(Lifting!#REF!,"AAAAAH8/+yQ=")</f>
        <v>#REF!</v>
      </c>
      <c r="AL28" t="e">
        <f>AND(Lifting!#REF!,"AAAAAH8/+yU=")</f>
        <v>#REF!</v>
      </c>
      <c r="AM28" t="e">
        <f>AND(Lifting!#REF!,"AAAAAH8/+yY=")</f>
        <v>#REF!</v>
      </c>
      <c r="AN28" t="e">
        <f>AND(Lifting!#REF!,"AAAAAH8/+yc=")</f>
        <v>#REF!</v>
      </c>
      <c r="AO28" t="e">
        <f>AND(Lifting!#REF!,"AAAAAH8/+yg=")</f>
        <v>#REF!</v>
      </c>
      <c r="AP28" t="e">
        <f>AND(Lifting!#REF!,"AAAAAH8/+yk=")</f>
        <v>#REF!</v>
      </c>
      <c r="AQ28" t="e">
        <f>AND(Lifting!#REF!,"AAAAAH8/+yo=")</f>
        <v>#REF!</v>
      </c>
      <c r="AR28" t="e">
        <f>AND(Lifting!#REF!,"AAAAAH8/+ys=")</f>
        <v>#REF!</v>
      </c>
      <c r="AS28" t="e">
        <f>AND(Lifting!#REF!,"AAAAAH8/+yw=")</f>
        <v>#REF!</v>
      </c>
      <c r="AT28" t="e">
        <f>AND(Lifting!#REF!,"AAAAAH8/+y0=")</f>
        <v>#REF!</v>
      </c>
      <c r="AU28" t="e">
        <f>AND(Lifting!#REF!,"AAAAAH8/+y4=")</f>
        <v>#REF!</v>
      </c>
      <c r="AV28" t="e">
        <f>AND(Lifting!#REF!,"AAAAAH8/+y8=")</f>
        <v>#REF!</v>
      </c>
      <c r="AW28" t="e">
        <f>AND(Lifting!#REF!,"AAAAAH8/+zA=")</f>
        <v>#REF!</v>
      </c>
      <c r="AX28" t="e">
        <f>AND(Lifting!#REF!,"AAAAAH8/+zE=")</f>
        <v>#REF!</v>
      </c>
      <c r="AY28" t="e">
        <f>AND(Lifting!#REF!,"AAAAAH8/+zI=")</f>
        <v>#REF!</v>
      </c>
      <c r="AZ28" t="e">
        <f>AND(Lifting!#REF!,"AAAAAH8/+zM=")</f>
        <v>#REF!</v>
      </c>
      <c r="BA28" t="e">
        <f>AND(Lifting!#REF!,"AAAAAH8/+zQ=")</f>
        <v>#REF!</v>
      </c>
      <c r="BB28" t="e">
        <f>AND(Lifting!#REF!,"AAAAAH8/+zU=")</f>
        <v>#REF!</v>
      </c>
      <c r="BC28" t="e">
        <f>AND(Lifting!#REF!,"AAAAAH8/+zY=")</f>
        <v>#REF!</v>
      </c>
      <c r="BD28" t="e">
        <f>AND(Lifting!#REF!,"AAAAAH8/+zc=")</f>
        <v>#REF!</v>
      </c>
      <c r="BE28" t="e">
        <f>AND(Lifting!#REF!,"AAAAAH8/+zg=")</f>
        <v>#REF!</v>
      </c>
      <c r="BF28" t="e">
        <f>AND(Lifting!#REF!,"AAAAAH8/+zk=")</f>
        <v>#REF!</v>
      </c>
      <c r="BG28" t="e">
        <f>AND(Lifting!#REF!,"AAAAAH8/+zo=")</f>
        <v>#REF!</v>
      </c>
      <c r="BH28" t="e">
        <f>AND(Lifting!#REF!,"AAAAAH8/+zs=")</f>
        <v>#REF!</v>
      </c>
      <c r="BI28" t="e">
        <f>AND(Lifting!#REF!,"AAAAAH8/+zw=")</f>
        <v>#REF!</v>
      </c>
      <c r="BJ28" t="e">
        <f>AND(Lifting!#REF!,"AAAAAH8/+z0=")</f>
        <v>#REF!</v>
      </c>
      <c r="BK28" t="e">
        <f>AND(Lifting!#REF!,"AAAAAH8/+z4=")</f>
        <v>#REF!</v>
      </c>
      <c r="BL28" t="e">
        <f>AND(Lifting!#REF!,"AAAAAH8/+z8=")</f>
        <v>#REF!</v>
      </c>
      <c r="BM28" t="e">
        <f>AND(Lifting!#REF!,"AAAAAH8/+0A=")</f>
        <v>#REF!</v>
      </c>
      <c r="BN28" t="e">
        <f>AND(Lifting!#REF!,"AAAAAH8/+0E=")</f>
        <v>#REF!</v>
      </c>
      <c r="BO28" t="e">
        <f>AND(Lifting!#REF!,"AAAAAH8/+0I=")</f>
        <v>#REF!</v>
      </c>
      <c r="BP28" t="e">
        <f>AND(Lifting!#REF!,"AAAAAH8/+0M=")</f>
        <v>#REF!</v>
      </c>
      <c r="BQ28" t="e">
        <f>AND(Lifting!#REF!,"AAAAAH8/+0Q=")</f>
        <v>#REF!</v>
      </c>
      <c r="BR28" t="e">
        <f>AND(Lifting!#REF!,"AAAAAH8/+0U=")</f>
        <v>#REF!</v>
      </c>
      <c r="BS28" t="e">
        <f>AND(Lifting!#REF!,"AAAAAH8/+0Y=")</f>
        <v>#REF!</v>
      </c>
      <c r="BT28" t="e">
        <f>AND(Lifting!#REF!,"AAAAAH8/+0c=")</f>
        <v>#REF!</v>
      </c>
      <c r="BU28" t="e">
        <f>AND(Lifting!#REF!,"AAAAAH8/+0g=")</f>
        <v>#REF!</v>
      </c>
      <c r="BV28" t="e">
        <f>AND(Lifting!#REF!,"AAAAAH8/+0k=")</f>
        <v>#REF!</v>
      </c>
      <c r="BW28" t="e">
        <f>AND(Lifting!#REF!,"AAAAAH8/+0o=")</f>
        <v>#REF!</v>
      </c>
      <c r="BX28" t="e">
        <f>AND(Lifting!#REF!,"AAAAAH8/+0s=")</f>
        <v>#REF!</v>
      </c>
      <c r="BY28" t="e">
        <f>AND(Lifting!#REF!,"AAAAAH8/+0w=")</f>
        <v>#REF!</v>
      </c>
      <c r="BZ28" t="e">
        <f>AND(Lifting!#REF!,"AAAAAH8/+00=")</f>
        <v>#REF!</v>
      </c>
      <c r="CA28" t="e">
        <f>AND(Lifting!#REF!,"AAAAAH8/+04=")</f>
        <v>#REF!</v>
      </c>
      <c r="CB28" t="e">
        <f>AND(Lifting!#REF!,"AAAAAH8/+08=")</f>
        <v>#REF!</v>
      </c>
      <c r="CC28" t="e">
        <f>AND(Lifting!#REF!,"AAAAAH8/+1A=")</f>
        <v>#REF!</v>
      </c>
      <c r="CD28" t="e">
        <f>AND(Lifting!#REF!,"AAAAAH8/+1E=")</f>
        <v>#REF!</v>
      </c>
      <c r="CE28" t="e">
        <f>AND(Lifting!#REF!,"AAAAAH8/+1I=")</f>
        <v>#REF!</v>
      </c>
      <c r="CF28" t="e">
        <f>AND(Lifting!#REF!,"AAAAAH8/+1M=")</f>
        <v>#REF!</v>
      </c>
      <c r="CG28" t="e">
        <f>AND(Lifting!#REF!,"AAAAAH8/+1Q=")</f>
        <v>#REF!</v>
      </c>
      <c r="CH28" t="e">
        <f>AND(Lifting!#REF!,"AAAAAH8/+1U=")</f>
        <v>#REF!</v>
      </c>
      <c r="CI28" t="e">
        <f>AND(Lifting!#REF!,"AAAAAH8/+1Y=")</f>
        <v>#REF!</v>
      </c>
      <c r="CJ28" t="e">
        <f>AND(Lifting!#REF!,"AAAAAH8/+1c=")</f>
        <v>#REF!</v>
      </c>
      <c r="CK28" t="e">
        <f>AND(Lifting!#REF!,"AAAAAH8/+1g=")</f>
        <v>#REF!</v>
      </c>
      <c r="CL28" t="e">
        <f>AND(Lifting!#REF!,"AAAAAH8/+1k=")</f>
        <v>#REF!</v>
      </c>
      <c r="CM28" t="e">
        <f>AND(Lifting!#REF!,"AAAAAH8/+1o=")</f>
        <v>#REF!</v>
      </c>
      <c r="CN28" t="e">
        <f>AND(Lifting!#REF!,"AAAAAH8/+1s=")</f>
        <v>#REF!</v>
      </c>
      <c r="CO28" t="e">
        <f>AND(Lifting!#REF!,"AAAAAH8/+1w=")</f>
        <v>#REF!</v>
      </c>
      <c r="CP28" t="e">
        <f>AND(Lifting!#REF!,"AAAAAH8/+10=")</f>
        <v>#REF!</v>
      </c>
      <c r="CQ28" t="e">
        <f>AND(Lifting!#REF!,"AAAAAH8/+14=")</f>
        <v>#REF!</v>
      </c>
      <c r="CR28" t="e">
        <f>AND(Lifting!#REF!,"AAAAAH8/+18=")</f>
        <v>#REF!</v>
      </c>
      <c r="CS28" t="e">
        <f>AND(Lifting!#REF!,"AAAAAH8/+2A=")</f>
        <v>#REF!</v>
      </c>
      <c r="CT28" t="e">
        <f>AND(Lifting!#REF!,"AAAAAH8/+2E=")</f>
        <v>#REF!</v>
      </c>
      <c r="CU28" t="e">
        <f>AND(Lifting!#REF!,"AAAAAH8/+2I=")</f>
        <v>#REF!</v>
      </c>
      <c r="CV28" t="e">
        <f>AND(Lifting!#REF!,"AAAAAH8/+2M=")</f>
        <v>#REF!</v>
      </c>
      <c r="CW28" t="e">
        <f>AND(Lifting!#REF!,"AAAAAH8/+2Q=")</f>
        <v>#REF!</v>
      </c>
      <c r="CX28" t="e">
        <f>AND(Lifting!#REF!,"AAAAAH8/+2U=")</f>
        <v>#REF!</v>
      </c>
      <c r="CY28" t="e">
        <f>AND(Lifting!#REF!,"AAAAAH8/+2Y=")</f>
        <v>#REF!</v>
      </c>
      <c r="CZ28" t="e">
        <f>IF(Lifting!#REF!,"AAAAAH8/+2c=",0)</f>
        <v>#REF!</v>
      </c>
      <c r="DA28" t="e">
        <f>AND(Lifting!#REF!,"AAAAAH8/+2g=")</f>
        <v>#REF!</v>
      </c>
      <c r="DB28" t="e">
        <f>AND(Lifting!#REF!,"AAAAAH8/+2k=")</f>
        <v>#REF!</v>
      </c>
      <c r="DC28" t="e">
        <f>AND(Lifting!#REF!,"AAAAAH8/+2o=")</f>
        <v>#REF!</v>
      </c>
      <c r="DD28" t="e">
        <f>AND(Lifting!#REF!,"AAAAAH8/+2s=")</f>
        <v>#REF!</v>
      </c>
      <c r="DE28" t="e">
        <f>AND(Lifting!#REF!,"AAAAAH8/+2w=")</f>
        <v>#REF!</v>
      </c>
      <c r="DF28" t="e">
        <f>AND(Lifting!#REF!,"AAAAAH8/+20=")</f>
        <v>#REF!</v>
      </c>
      <c r="DG28" t="e">
        <f>AND(Lifting!#REF!,"AAAAAH8/+24=")</f>
        <v>#REF!</v>
      </c>
      <c r="DH28" t="e">
        <f>AND(Lifting!#REF!,"AAAAAH8/+28=")</f>
        <v>#REF!</v>
      </c>
      <c r="DI28" t="e">
        <f>AND(Lifting!#REF!,"AAAAAH8/+3A=")</f>
        <v>#REF!</v>
      </c>
      <c r="DJ28" t="e">
        <f>AND(Lifting!#REF!,"AAAAAH8/+3E=")</f>
        <v>#REF!</v>
      </c>
      <c r="DK28" t="e">
        <f>AND(Lifting!#REF!,"AAAAAH8/+3I=")</f>
        <v>#REF!</v>
      </c>
      <c r="DL28" t="e">
        <f>AND(Lifting!#REF!,"AAAAAH8/+3M=")</f>
        <v>#REF!</v>
      </c>
      <c r="DM28" t="e">
        <f>AND(Lifting!#REF!,"AAAAAH8/+3Q=")</f>
        <v>#REF!</v>
      </c>
      <c r="DN28" t="e">
        <f>AND(Lifting!#REF!,"AAAAAH8/+3U=")</f>
        <v>#REF!</v>
      </c>
      <c r="DO28" t="e">
        <f>AND(Lifting!#REF!,"AAAAAH8/+3Y=")</f>
        <v>#REF!</v>
      </c>
      <c r="DP28" t="e">
        <f>AND(Lifting!#REF!,"AAAAAH8/+3c=")</f>
        <v>#REF!</v>
      </c>
      <c r="DQ28" t="e">
        <f>AND(Lifting!#REF!,"AAAAAH8/+3g=")</f>
        <v>#REF!</v>
      </c>
      <c r="DR28" t="e">
        <f>AND(Lifting!#REF!,"AAAAAH8/+3k=")</f>
        <v>#REF!</v>
      </c>
      <c r="DS28" t="e">
        <f>AND(Lifting!#REF!,"AAAAAH8/+3o=")</f>
        <v>#REF!</v>
      </c>
      <c r="DT28" t="e">
        <f>AND(Lifting!#REF!,"AAAAAH8/+3s=")</f>
        <v>#REF!</v>
      </c>
      <c r="DU28" t="e">
        <f>AND(Lifting!#REF!,"AAAAAH8/+3w=")</f>
        <v>#REF!</v>
      </c>
      <c r="DV28" t="e">
        <f>AND(Lifting!#REF!,"AAAAAH8/+30=")</f>
        <v>#REF!</v>
      </c>
      <c r="DW28" t="e">
        <f>AND(Lifting!#REF!,"AAAAAH8/+34=")</f>
        <v>#REF!</v>
      </c>
      <c r="DX28" t="e">
        <f>AND(Lifting!#REF!,"AAAAAH8/+38=")</f>
        <v>#REF!</v>
      </c>
      <c r="DY28" t="e">
        <f>AND(Lifting!#REF!,"AAAAAH8/+4A=")</f>
        <v>#REF!</v>
      </c>
      <c r="DZ28" t="e">
        <f>AND(Lifting!#REF!,"AAAAAH8/+4E=")</f>
        <v>#REF!</v>
      </c>
      <c r="EA28" t="e">
        <f>AND(Lifting!#REF!,"AAAAAH8/+4I=")</f>
        <v>#REF!</v>
      </c>
      <c r="EB28" t="e">
        <f>AND(Lifting!#REF!,"AAAAAH8/+4M=")</f>
        <v>#REF!</v>
      </c>
      <c r="EC28" t="e">
        <f>AND(Lifting!#REF!,"AAAAAH8/+4Q=")</f>
        <v>#REF!</v>
      </c>
      <c r="ED28" t="e">
        <f>AND(Lifting!#REF!,"AAAAAH8/+4U=")</f>
        <v>#REF!</v>
      </c>
      <c r="EE28" t="e">
        <f>AND(Lifting!#REF!,"AAAAAH8/+4Y=")</f>
        <v>#REF!</v>
      </c>
      <c r="EF28" t="e">
        <f>AND(Lifting!#REF!,"AAAAAH8/+4c=")</f>
        <v>#REF!</v>
      </c>
      <c r="EG28" t="e">
        <f>AND(Lifting!#REF!,"AAAAAH8/+4g=")</f>
        <v>#REF!</v>
      </c>
      <c r="EH28" t="e">
        <f>AND(Lifting!#REF!,"AAAAAH8/+4k=")</f>
        <v>#REF!</v>
      </c>
      <c r="EI28" t="e">
        <f>AND(Lifting!#REF!,"AAAAAH8/+4o=")</f>
        <v>#REF!</v>
      </c>
      <c r="EJ28" t="e">
        <f>AND(Lifting!#REF!,"AAAAAH8/+4s=")</f>
        <v>#REF!</v>
      </c>
      <c r="EK28" t="e">
        <f>AND(Lifting!#REF!,"AAAAAH8/+4w=")</f>
        <v>#REF!</v>
      </c>
      <c r="EL28" t="e">
        <f>AND(Lifting!#REF!,"AAAAAH8/+40=")</f>
        <v>#REF!</v>
      </c>
      <c r="EM28" t="e">
        <f>AND(Lifting!#REF!,"AAAAAH8/+44=")</f>
        <v>#REF!</v>
      </c>
      <c r="EN28" t="e">
        <f>AND(Lifting!#REF!,"AAAAAH8/+48=")</f>
        <v>#REF!</v>
      </c>
      <c r="EO28" t="e">
        <f>AND(Lifting!#REF!,"AAAAAH8/+5A=")</f>
        <v>#REF!</v>
      </c>
      <c r="EP28" t="e">
        <f>AND(Lifting!#REF!,"AAAAAH8/+5E=")</f>
        <v>#REF!</v>
      </c>
      <c r="EQ28" t="e">
        <f>AND(Lifting!#REF!,"AAAAAH8/+5I=")</f>
        <v>#REF!</v>
      </c>
      <c r="ER28" t="e">
        <f>AND(Lifting!#REF!,"AAAAAH8/+5M=")</f>
        <v>#REF!</v>
      </c>
      <c r="ES28" t="e">
        <f>AND(Lifting!#REF!,"AAAAAH8/+5Q=")</f>
        <v>#REF!</v>
      </c>
      <c r="ET28" t="e">
        <f>AND(Lifting!#REF!,"AAAAAH8/+5U=")</f>
        <v>#REF!</v>
      </c>
      <c r="EU28" t="e">
        <f>AND(Lifting!#REF!,"AAAAAH8/+5Y=")</f>
        <v>#REF!</v>
      </c>
      <c r="EV28" t="e">
        <f>AND(Lifting!#REF!,"AAAAAH8/+5c=")</f>
        <v>#REF!</v>
      </c>
      <c r="EW28" t="e">
        <f>AND(Lifting!#REF!,"AAAAAH8/+5g=")</f>
        <v>#REF!</v>
      </c>
      <c r="EX28" t="e">
        <f>AND(Lifting!#REF!,"AAAAAH8/+5k=")</f>
        <v>#REF!</v>
      </c>
      <c r="EY28" t="e">
        <f>AND(Lifting!#REF!,"AAAAAH8/+5o=")</f>
        <v>#REF!</v>
      </c>
      <c r="EZ28" t="e">
        <f>AND(Lifting!#REF!,"AAAAAH8/+5s=")</f>
        <v>#REF!</v>
      </c>
      <c r="FA28" t="e">
        <f>AND(Lifting!#REF!,"AAAAAH8/+5w=")</f>
        <v>#REF!</v>
      </c>
      <c r="FB28" t="e">
        <f>AND(Lifting!#REF!,"AAAAAH8/+50=")</f>
        <v>#REF!</v>
      </c>
      <c r="FC28" t="e">
        <f>AND(Lifting!#REF!,"AAAAAH8/+54=")</f>
        <v>#REF!</v>
      </c>
      <c r="FD28" t="e">
        <f>AND(Lifting!#REF!,"AAAAAH8/+58=")</f>
        <v>#REF!</v>
      </c>
      <c r="FE28" t="e">
        <f>AND(Lifting!#REF!,"AAAAAH8/+6A=")</f>
        <v>#REF!</v>
      </c>
      <c r="FF28" t="e">
        <f>AND(Lifting!#REF!,"AAAAAH8/+6E=")</f>
        <v>#REF!</v>
      </c>
      <c r="FG28" t="e">
        <f>AND(Lifting!#REF!,"AAAAAH8/+6I=")</f>
        <v>#REF!</v>
      </c>
      <c r="FH28" t="e">
        <f>AND(Lifting!#REF!,"AAAAAH8/+6M=")</f>
        <v>#REF!</v>
      </c>
      <c r="FI28" t="e">
        <f>AND(Lifting!#REF!,"AAAAAH8/+6Q=")</f>
        <v>#REF!</v>
      </c>
      <c r="FJ28" t="e">
        <f>AND(Lifting!#REF!,"AAAAAH8/+6U=")</f>
        <v>#REF!</v>
      </c>
      <c r="FK28" t="e">
        <f>AND(Lifting!#REF!,"AAAAAH8/+6Y=")</f>
        <v>#REF!</v>
      </c>
      <c r="FL28" t="e">
        <f>AND(Lifting!#REF!,"AAAAAH8/+6c=")</f>
        <v>#REF!</v>
      </c>
      <c r="FM28" t="e">
        <f>AND(Lifting!#REF!,"AAAAAH8/+6g=")</f>
        <v>#REF!</v>
      </c>
      <c r="FN28" t="e">
        <f>AND(Lifting!#REF!,"AAAAAH8/+6k=")</f>
        <v>#REF!</v>
      </c>
      <c r="FO28" t="e">
        <f>AND(Lifting!#REF!,"AAAAAH8/+6o=")</f>
        <v>#REF!</v>
      </c>
      <c r="FP28" t="e">
        <f>AND(Lifting!#REF!,"AAAAAH8/+6s=")</f>
        <v>#REF!</v>
      </c>
      <c r="FQ28" t="e">
        <f>AND(Lifting!#REF!,"AAAAAH8/+6w=")</f>
        <v>#REF!</v>
      </c>
      <c r="FR28" t="e">
        <f>AND(Lifting!#REF!,"AAAAAH8/+60=")</f>
        <v>#REF!</v>
      </c>
      <c r="FS28" t="e">
        <f>AND(Lifting!#REF!,"AAAAAH8/+64=")</f>
        <v>#REF!</v>
      </c>
      <c r="FT28" t="e">
        <f>AND(Lifting!#REF!,"AAAAAH8/+68=")</f>
        <v>#REF!</v>
      </c>
      <c r="FU28" t="e">
        <f>AND(Lifting!#REF!,"AAAAAH8/+7A=")</f>
        <v>#REF!</v>
      </c>
      <c r="FV28" t="e">
        <f>AND(Lifting!#REF!,"AAAAAH8/+7E=")</f>
        <v>#REF!</v>
      </c>
      <c r="FW28" t="e">
        <f>AND(Lifting!#REF!,"AAAAAH8/+7I=")</f>
        <v>#REF!</v>
      </c>
      <c r="FX28" t="e">
        <f>AND(Lifting!#REF!,"AAAAAH8/+7M=")</f>
        <v>#REF!</v>
      </c>
      <c r="FY28" t="e">
        <f>AND(Lifting!#REF!,"AAAAAH8/+7Q=")</f>
        <v>#REF!</v>
      </c>
      <c r="FZ28" t="e">
        <f>AND(Lifting!#REF!,"AAAAAH8/+7U=")</f>
        <v>#REF!</v>
      </c>
      <c r="GA28" t="e">
        <f>AND(Lifting!#REF!,"AAAAAH8/+7Y=")</f>
        <v>#REF!</v>
      </c>
      <c r="GB28" t="e">
        <f>AND(Lifting!#REF!,"AAAAAH8/+7c=")</f>
        <v>#REF!</v>
      </c>
      <c r="GC28" t="e">
        <f>AND(Lifting!#REF!,"AAAAAH8/+7g=")</f>
        <v>#REF!</v>
      </c>
      <c r="GD28" t="e">
        <f>AND(Lifting!#REF!,"AAAAAH8/+7k=")</f>
        <v>#REF!</v>
      </c>
      <c r="GE28" t="e">
        <f>AND(Lifting!#REF!,"AAAAAH8/+7o=")</f>
        <v>#REF!</v>
      </c>
      <c r="GF28" t="e">
        <f>AND(Lifting!#REF!,"AAAAAH8/+7s=")</f>
        <v>#REF!</v>
      </c>
      <c r="GG28" t="e">
        <f>AND(Lifting!#REF!,"AAAAAH8/+7w=")</f>
        <v>#REF!</v>
      </c>
      <c r="GH28" t="e">
        <f>AND(Lifting!#REF!,"AAAAAH8/+70=")</f>
        <v>#REF!</v>
      </c>
      <c r="GI28" t="e">
        <f>AND(Lifting!#REF!,"AAAAAH8/+74=")</f>
        <v>#REF!</v>
      </c>
      <c r="GJ28" t="e">
        <f>AND(Lifting!#REF!,"AAAAAH8/+78=")</f>
        <v>#REF!</v>
      </c>
      <c r="GK28" t="e">
        <f>AND(Lifting!#REF!,"AAAAAH8/+8A=")</f>
        <v>#REF!</v>
      </c>
      <c r="GL28" t="e">
        <f>AND(Lifting!#REF!,"AAAAAH8/+8E=")</f>
        <v>#REF!</v>
      </c>
      <c r="GM28" t="e">
        <f>AND(Lifting!#REF!,"AAAAAH8/+8I=")</f>
        <v>#REF!</v>
      </c>
      <c r="GN28" t="e">
        <f>AND(Lifting!#REF!,"AAAAAH8/+8M=")</f>
        <v>#REF!</v>
      </c>
      <c r="GO28" t="e">
        <f>AND(Lifting!#REF!,"AAAAAH8/+8Q=")</f>
        <v>#REF!</v>
      </c>
      <c r="GP28" t="e">
        <f>AND(Lifting!#REF!,"AAAAAH8/+8U=")</f>
        <v>#REF!</v>
      </c>
      <c r="GQ28" t="e">
        <f>AND(Lifting!#REF!,"AAAAAH8/+8Y=")</f>
        <v>#REF!</v>
      </c>
      <c r="GR28" t="e">
        <f>AND(Lifting!#REF!,"AAAAAH8/+8c=")</f>
        <v>#REF!</v>
      </c>
      <c r="GS28" t="e">
        <f>AND(Lifting!#REF!,"AAAAAH8/+8g=")</f>
        <v>#REF!</v>
      </c>
      <c r="GT28" t="e">
        <f>AND(Lifting!#REF!,"AAAAAH8/+8k=")</f>
        <v>#REF!</v>
      </c>
      <c r="GU28" t="e">
        <f>AND(Lifting!#REF!,"AAAAAH8/+8o=")</f>
        <v>#REF!</v>
      </c>
      <c r="GV28" t="e">
        <f>AND(Lifting!#REF!,"AAAAAH8/+8s=")</f>
        <v>#REF!</v>
      </c>
      <c r="GW28" t="e">
        <f>AND(Lifting!#REF!,"AAAAAH8/+8w=")</f>
        <v>#REF!</v>
      </c>
      <c r="GX28" t="e">
        <f>AND(Lifting!#REF!,"AAAAAH8/+80=")</f>
        <v>#REF!</v>
      </c>
      <c r="GY28" t="e">
        <f>AND(Lifting!#REF!,"AAAAAH8/+84=")</f>
        <v>#REF!</v>
      </c>
      <c r="GZ28" t="e">
        <f>AND(Lifting!#REF!,"AAAAAH8/+88=")</f>
        <v>#REF!</v>
      </c>
      <c r="HA28" t="e">
        <f>IF(Lifting!#REF!,"AAAAAH8/+9A=",0)</f>
        <v>#REF!</v>
      </c>
      <c r="HB28" t="e">
        <f>AND(Lifting!#REF!,"AAAAAH8/+9E=")</f>
        <v>#REF!</v>
      </c>
      <c r="HC28" t="e">
        <f>AND(Lifting!#REF!,"AAAAAH8/+9I=")</f>
        <v>#REF!</v>
      </c>
      <c r="HD28" t="e">
        <f>AND(Lifting!#REF!,"AAAAAH8/+9M=")</f>
        <v>#REF!</v>
      </c>
      <c r="HE28" t="e">
        <f>AND(Lifting!#REF!,"AAAAAH8/+9Q=")</f>
        <v>#REF!</v>
      </c>
      <c r="HF28" t="e">
        <f>AND(Lifting!#REF!,"AAAAAH8/+9U=")</f>
        <v>#REF!</v>
      </c>
      <c r="HG28" t="e">
        <f>AND(Lifting!#REF!,"AAAAAH8/+9Y=")</f>
        <v>#REF!</v>
      </c>
      <c r="HH28" t="e">
        <f>AND(Lifting!#REF!,"AAAAAH8/+9c=")</f>
        <v>#REF!</v>
      </c>
      <c r="HI28" t="e">
        <f>AND(Lifting!#REF!,"AAAAAH8/+9g=")</f>
        <v>#REF!</v>
      </c>
      <c r="HJ28" t="e">
        <f>AND(Lifting!#REF!,"AAAAAH8/+9k=")</f>
        <v>#REF!</v>
      </c>
      <c r="HK28" t="e">
        <f>AND(Lifting!#REF!,"AAAAAH8/+9o=")</f>
        <v>#REF!</v>
      </c>
      <c r="HL28" t="e">
        <f>AND(Lifting!#REF!,"AAAAAH8/+9s=")</f>
        <v>#REF!</v>
      </c>
      <c r="HM28" t="e">
        <f>AND(Lifting!#REF!,"AAAAAH8/+9w=")</f>
        <v>#REF!</v>
      </c>
      <c r="HN28" t="e">
        <f>AND(Lifting!#REF!,"AAAAAH8/+90=")</f>
        <v>#REF!</v>
      </c>
      <c r="HO28" t="e">
        <f>AND(Lifting!#REF!,"AAAAAH8/+94=")</f>
        <v>#REF!</v>
      </c>
      <c r="HP28" t="e">
        <f>AND(Lifting!#REF!,"AAAAAH8/+98=")</f>
        <v>#REF!</v>
      </c>
      <c r="HQ28" t="e">
        <f>AND(Lifting!#REF!,"AAAAAH8/++A=")</f>
        <v>#REF!</v>
      </c>
      <c r="HR28" t="e">
        <f>AND(Lifting!#REF!,"AAAAAH8/++E=")</f>
        <v>#REF!</v>
      </c>
      <c r="HS28" t="e">
        <f>AND(Lifting!#REF!,"AAAAAH8/++I=")</f>
        <v>#REF!</v>
      </c>
      <c r="HT28" t="e">
        <f>AND(Lifting!#REF!,"AAAAAH8/++M=")</f>
        <v>#REF!</v>
      </c>
      <c r="HU28" t="e">
        <f>AND(Lifting!#REF!,"AAAAAH8/++Q=")</f>
        <v>#REF!</v>
      </c>
      <c r="HV28" t="e">
        <f>AND(Lifting!#REF!,"AAAAAH8/++U=")</f>
        <v>#REF!</v>
      </c>
      <c r="HW28" t="e">
        <f>AND(Lifting!#REF!,"AAAAAH8/++Y=")</f>
        <v>#REF!</v>
      </c>
      <c r="HX28" t="e">
        <f>AND(Lifting!#REF!,"AAAAAH8/++c=")</f>
        <v>#REF!</v>
      </c>
      <c r="HY28" t="e">
        <f>AND(Lifting!#REF!,"AAAAAH8/++g=")</f>
        <v>#REF!</v>
      </c>
      <c r="HZ28" t="e">
        <f>AND(Lifting!#REF!,"AAAAAH8/++k=")</f>
        <v>#REF!</v>
      </c>
      <c r="IA28" t="e">
        <f>AND(Lifting!#REF!,"AAAAAH8/++o=")</f>
        <v>#REF!</v>
      </c>
      <c r="IB28" t="e">
        <f>AND(Lifting!#REF!,"AAAAAH8/++s=")</f>
        <v>#REF!</v>
      </c>
      <c r="IC28" t="e">
        <f>AND(Lifting!#REF!,"AAAAAH8/++w=")</f>
        <v>#REF!</v>
      </c>
      <c r="ID28" t="e">
        <f>AND(Lifting!#REF!,"AAAAAH8/++0=")</f>
        <v>#REF!</v>
      </c>
      <c r="IE28" t="e">
        <f>AND(Lifting!#REF!,"AAAAAH8/++4=")</f>
        <v>#REF!</v>
      </c>
      <c r="IF28" t="e">
        <f>AND(Lifting!#REF!,"AAAAAH8/++8=")</f>
        <v>#REF!</v>
      </c>
      <c r="IG28" t="e">
        <f>AND(Lifting!#REF!,"AAAAAH8/+/A=")</f>
        <v>#REF!</v>
      </c>
      <c r="IH28" t="e">
        <f>AND(Lifting!#REF!,"AAAAAH8/+/E=")</f>
        <v>#REF!</v>
      </c>
      <c r="II28" t="e">
        <f>AND(Lifting!#REF!,"AAAAAH8/+/I=")</f>
        <v>#REF!</v>
      </c>
      <c r="IJ28" t="e">
        <f>AND(Lifting!#REF!,"AAAAAH8/+/M=")</f>
        <v>#REF!</v>
      </c>
      <c r="IK28" t="e">
        <f>AND(Lifting!#REF!,"AAAAAH8/+/Q=")</f>
        <v>#REF!</v>
      </c>
      <c r="IL28" t="e">
        <f>AND(Lifting!#REF!,"AAAAAH8/+/U=")</f>
        <v>#REF!</v>
      </c>
      <c r="IM28" t="e">
        <f>AND(Lifting!#REF!,"AAAAAH8/+/Y=")</f>
        <v>#REF!</v>
      </c>
      <c r="IN28" t="e">
        <f>AND(Lifting!#REF!,"AAAAAH8/+/c=")</f>
        <v>#REF!</v>
      </c>
      <c r="IO28" t="e">
        <f>AND(Lifting!#REF!,"AAAAAH8/+/g=")</f>
        <v>#REF!</v>
      </c>
      <c r="IP28" t="e">
        <f>AND(Lifting!#REF!,"AAAAAH8/+/k=")</f>
        <v>#REF!</v>
      </c>
      <c r="IQ28" t="e">
        <f>AND(Lifting!#REF!,"AAAAAH8/+/o=")</f>
        <v>#REF!</v>
      </c>
      <c r="IR28" t="e">
        <f>AND(Lifting!#REF!,"AAAAAH8/+/s=")</f>
        <v>#REF!</v>
      </c>
      <c r="IS28" t="e">
        <f>AND(Lifting!#REF!,"AAAAAH8/+/w=")</f>
        <v>#REF!</v>
      </c>
      <c r="IT28" t="e">
        <f>AND(Lifting!#REF!,"AAAAAH8/+/0=")</f>
        <v>#REF!</v>
      </c>
      <c r="IU28" t="e">
        <f>AND(Lifting!#REF!,"AAAAAH8/+/4=")</f>
        <v>#REF!</v>
      </c>
      <c r="IV28" t="e">
        <f>AND(Lifting!#REF!,"AAAAAH8/+/8=")</f>
        <v>#REF!</v>
      </c>
    </row>
    <row r="29" spans="1:256">
      <c r="A29" t="e">
        <f>AND(Lifting!#REF!,"AAAAAFtuvwA=")</f>
        <v>#REF!</v>
      </c>
      <c r="B29" t="e">
        <f>AND(Lifting!#REF!,"AAAAAFtuvwE=")</f>
        <v>#REF!</v>
      </c>
      <c r="C29" t="e">
        <f>AND(Lifting!#REF!,"AAAAAFtuvwI=")</f>
        <v>#REF!</v>
      </c>
      <c r="D29" t="e">
        <f>AND(Lifting!#REF!,"AAAAAFtuvwM=")</f>
        <v>#REF!</v>
      </c>
      <c r="E29" t="e">
        <f>AND(Lifting!#REF!,"AAAAAFtuvwQ=")</f>
        <v>#REF!</v>
      </c>
      <c r="F29" t="e">
        <f>AND(Lifting!#REF!,"AAAAAFtuvwU=")</f>
        <v>#REF!</v>
      </c>
      <c r="G29" t="e">
        <f>AND(Lifting!#REF!,"AAAAAFtuvwY=")</f>
        <v>#REF!</v>
      </c>
      <c r="H29" t="e">
        <f>AND(Lifting!#REF!,"AAAAAFtuvwc=")</f>
        <v>#REF!</v>
      </c>
      <c r="I29" t="e">
        <f>AND(Lifting!#REF!,"AAAAAFtuvwg=")</f>
        <v>#REF!</v>
      </c>
      <c r="J29" t="e">
        <f>AND(Lifting!#REF!,"AAAAAFtuvwk=")</f>
        <v>#REF!</v>
      </c>
      <c r="K29" t="e">
        <f>AND(Lifting!#REF!,"AAAAAFtuvwo=")</f>
        <v>#REF!</v>
      </c>
      <c r="L29" t="e">
        <f>AND(Lifting!#REF!,"AAAAAFtuvws=")</f>
        <v>#REF!</v>
      </c>
      <c r="M29" t="e">
        <f>AND(Lifting!#REF!,"AAAAAFtuvww=")</f>
        <v>#REF!</v>
      </c>
      <c r="N29" t="e">
        <f>AND(Lifting!#REF!,"AAAAAFtuvw0=")</f>
        <v>#REF!</v>
      </c>
      <c r="O29" t="e">
        <f>AND(Lifting!#REF!,"AAAAAFtuvw4=")</f>
        <v>#REF!</v>
      </c>
      <c r="P29" t="e">
        <f>AND(Lifting!#REF!,"AAAAAFtuvw8=")</f>
        <v>#REF!</v>
      </c>
      <c r="Q29" t="e">
        <f>AND(Lifting!#REF!,"AAAAAFtuvxA=")</f>
        <v>#REF!</v>
      </c>
      <c r="R29" t="e">
        <f>AND(Lifting!#REF!,"AAAAAFtuvxE=")</f>
        <v>#REF!</v>
      </c>
      <c r="S29" t="e">
        <f>AND(Lifting!#REF!,"AAAAAFtuvxI=")</f>
        <v>#REF!</v>
      </c>
      <c r="T29" t="e">
        <f>AND(Lifting!#REF!,"AAAAAFtuvxM=")</f>
        <v>#REF!</v>
      </c>
      <c r="U29" t="e">
        <f>AND(Lifting!#REF!,"AAAAAFtuvxQ=")</f>
        <v>#REF!</v>
      </c>
      <c r="V29" t="e">
        <f>AND(Lifting!#REF!,"AAAAAFtuvxU=")</f>
        <v>#REF!</v>
      </c>
      <c r="W29" t="e">
        <f>AND(Lifting!#REF!,"AAAAAFtuvxY=")</f>
        <v>#REF!</v>
      </c>
      <c r="X29" t="e">
        <f>AND(Lifting!#REF!,"AAAAAFtuvxc=")</f>
        <v>#REF!</v>
      </c>
      <c r="Y29" t="e">
        <f>AND(Lifting!#REF!,"AAAAAFtuvxg=")</f>
        <v>#REF!</v>
      </c>
      <c r="Z29" t="e">
        <f>AND(Lifting!#REF!,"AAAAAFtuvxk=")</f>
        <v>#REF!</v>
      </c>
      <c r="AA29" t="e">
        <f>AND(Lifting!#REF!,"AAAAAFtuvxo=")</f>
        <v>#REF!</v>
      </c>
      <c r="AB29" t="e">
        <f>AND(Lifting!#REF!,"AAAAAFtuvxs=")</f>
        <v>#REF!</v>
      </c>
      <c r="AC29" t="e">
        <f>AND(Lifting!#REF!,"AAAAAFtuvxw=")</f>
        <v>#REF!</v>
      </c>
      <c r="AD29" t="e">
        <f>AND(Lifting!#REF!,"AAAAAFtuvx0=")</f>
        <v>#REF!</v>
      </c>
      <c r="AE29" t="e">
        <f>AND(Lifting!#REF!,"AAAAAFtuvx4=")</f>
        <v>#REF!</v>
      </c>
      <c r="AF29" t="e">
        <f>AND(Lifting!#REF!,"AAAAAFtuvx8=")</f>
        <v>#REF!</v>
      </c>
      <c r="AG29" t="e">
        <f>AND(Lifting!#REF!,"AAAAAFtuvyA=")</f>
        <v>#REF!</v>
      </c>
      <c r="AH29" t="e">
        <f>AND(Lifting!#REF!,"AAAAAFtuvyE=")</f>
        <v>#REF!</v>
      </c>
      <c r="AI29" t="e">
        <f>AND(Lifting!#REF!,"AAAAAFtuvyI=")</f>
        <v>#REF!</v>
      </c>
      <c r="AJ29" t="e">
        <f>AND(Lifting!#REF!,"AAAAAFtuvyM=")</f>
        <v>#REF!</v>
      </c>
      <c r="AK29" t="e">
        <f>AND(Lifting!#REF!,"AAAAAFtuvyQ=")</f>
        <v>#REF!</v>
      </c>
      <c r="AL29" t="e">
        <f>AND(Lifting!#REF!,"AAAAAFtuvyU=")</f>
        <v>#REF!</v>
      </c>
      <c r="AM29" t="e">
        <f>AND(Lifting!#REF!,"AAAAAFtuvyY=")</f>
        <v>#REF!</v>
      </c>
      <c r="AN29" t="e">
        <f>AND(Lifting!#REF!,"AAAAAFtuvyc=")</f>
        <v>#REF!</v>
      </c>
      <c r="AO29" t="e">
        <f>AND(Lifting!#REF!,"AAAAAFtuvyg=")</f>
        <v>#REF!</v>
      </c>
      <c r="AP29" t="e">
        <f>AND(Lifting!#REF!,"AAAAAFtuvyk=")</f>
        <v>#REF!</v>
      </c>
      <c r="AQ29" t="e">
        <f>AND(Lifting!#REF!,"AAAAAFtuvyo=")</f>
        <v>#REF!</v>
      </c>
      <c r="AR29" t="e">
        <f>AND(Lifting!#REF!,"AAAAAFtuvys=")</f>
        <v>#REF!</v>
      </c>
      <c r="AS29" t="e">
        <f>AND(Lifting!#REF!,"AAAAAFtuvyw=")</f>
        <v>#REF!</v>
      </c>
      <c r="AT29" t="e">
        <f>AND(Lifting!#REF!,"AAAAAFtuvy0=")</f>
        <v>#REF!</v>
      </c>
      <c r="AU29" t="e">
        <f>AND(Lifting!#REF!,"AAAAAFtuvy4=")</f>
        <v>#REF!</v>
      </c>
      <c r="AV29" t="e">
        <f>AND(Lifting!#REF!,"AAAAAFtuvy8=")</f>
        <v>#REF!</v>
      </c>
      <c r="AW29" t="e">
        <f>AND(Lifting!#REF!,"AAAAAFtuvzA=")</f>
        <v>#REF!</v>
      </c>
      <c r="AX29" t="e">
        <f>AND(Lifting!#REF!,"AAAAAFtuvzE=")</f>
        <v>#REF!</v>
      </c>
      <c r="AY29" t="e">
        <f>AND(Lifting!#REF!,"AAAAAFtuvzI=")</f>
        <v>#REF!</v>
      </c>
      <c r="AZ29" t="e">
        <f>AND(Lifting!#REF!,"AAAAAFtuvzM=")</f>
        <v>#REF!</v>
      </c>
      <c r="BA29" t="e">
        <f>AND(Lifting!#REF!,"AAAAAFtuvzQ=")</f>
        <v>#REF!</v>
      </c>
      <c r="BB29" t="e">
        <f>AND(Lifting!#REF!,"AAAAAFtuvzU=")</f>
        <v>#REF!</v>
      </c>
      <c r="BC29" t="e">
        <f>AND(Lifting!#REF!,"AAAAAFtuvzY=")</f>
        <v>#REF!</v>
      </c>
      <c r="BD29" t="e">
        <f>AND(Lifting!#REF!,"AAAAAFtuvzc=")</f>
        <v>#REF!</v>
      </c>
      <c r="BE29" t="e">
        <f>AND(Lifting!#REF!,"AAAAAFtuvzg=")</f>
        <v>#REF!</v>
      </c>
      <c r="BF29" t="e">
        <f>IF(Lifting!#REF!,"AAAAAFtuvzk=",0)</f>
        <v>#REF!</v>
      </c>
      <c r="BG29" t="e">
        <f>AND(Lifting!#REF!,"AAAAAFtuvzo=")</f>
        <v>#REF!</v>
      </c>
      <c r="BH29" t="e">
        <f>AND(Lifting!#REF!,"AAAAAFtuvzs=")</f>
        <v>#REF!</v>
      </c>
      <c r="BI29" t="e">
        <f>AND(Lifting!#REF!,"AAAAAFtuvzw=")</f>
        <v>#REF!</v>
      </c>
      <c r="BJ29" t="e">
        <f>AND(Lifting!#REF!,"AAAAAFtuvz0=")</f>
        <v>#REF!</v>
      </c>
      <c r="BK29" t="e">
        <f>AND(Lifting!#REF!,"AAAAAFtuvz4=")</f>
        <v>#REF!</v>
      </c>
      <c r="BL29" t="e">
        <f>AND(Lifting!#REF!,"AAAAAFtuvz8=")</f>
        <v>#REF!</v>
      </c>
      <c r="BM29" t="e">
        <f>AND(Lifting!#REF!,"AAAAAFtuv0A=")</f>
        <v>#REF!</v>
      </c>
      <c r="BN29" t="e">
        <f>AND(Lifting!#REF!,"AAAAAFtuv0E=")</f>
        <v>#REF!</v>
      </c>
      <c r="BO29" t="e">
        <f>AND(Lifting!#REF!,"AAAAAFtuv0I=")</f>
        <v>#REF!</v>
      </c>
      <c r="BP29" t="e">
        <f>AND(Lifting!#REF!,"AAAAAFtuv0M=")</f>
        <v>#REF!</v>
      </c>
      <c r="BQ29" t="e">
        <f>AND(Lifting!#REF!,"AAAAAFtuv0Q=")</f>
        <v>#REF!</v>
      </c>
      <c r="BR29" t="e">
        <f>AND(Lifting!#REF!,"AAAAAFtuv0U=")</f>
        <v>#REF!</v>
      </c>
      <c r="BS29" t="e">
        <f>AND(Lifting!#REF!,"AAAAAFtuv0Y=")</f>
        <v>#REF!</v>
      </c>
      <c r="BT29" t="e">
        <f>AND(Lifting!#REF!,"AAAAAFtuv0c=")</f>
        <v>#REF!</v>
      </c>
      <c r="BU29" t="e">
        <f>AND(Lifting!#REF!,"AAAAAFtuv0g=")</f>
        <v>#REF!</v>
      </c>
      <c r="BV29" t="e">
        <f>AND(Lifting!#REF!,"AAAAAFtuv0k=")</f>
        <v>#REF!</v>
      </c>
      <c r="BW29" t="e">
        <f>AND(Lifting!#REF!,"AAAAAFtuv0o=")</f>
        <v>#REF!</v>
      </c>
      <c r="BX29" t="e">
        <f>AND(Lifting!#REF!,"AAAAAFtuv0s=")</f>
        <v>#REF!</v>
      </c>
      <c r="BY29" t="e">
        <f>AND(Lifting!#REF!,"AAAAAFtuv0w=")</f>
        <v>#REF!</v>
      </c>
      <c r="BZ29" t="e">
        <f>AND(Lifting!#REF!,"AAAAAFtuv00=")</f>
        <v>#REF!</v>
      </c>
      <c r="CA29" t="e">
        <f>AND(Lifting!#REF!,"AAAAAFtuv04=")</f>
        <v>#REF!</v>
      </c>
      <c r="CB29" t="e">
        <f>AND(Lifting!#REF!,"AAAAAFtuv08=")</f>
        <v>#REF!</v>
      </c>
      <c r="CC29" t="e">
        <f>AND(Lifting!#REF!,"AAAAAFtuv1A=")</f>
        <v>#REF!</v>
      </c>
      <c r="CD29" t="e">
        <f>AND(Lifting!#REF!,"AAAAAFtuv1E=")</f>
        <v>#REF!</v>
      </c>
      <c r="CE29" t="e">
        <f>AND(Lifting!#REF!,"AAAAAFtuv1I=")</f>
        <v>#REF!</v>
      </c>
      <c r="CF29" t="e">
        <f>AND(Lifting!#REF!,"AAAAAFtuv1M=")</f>
        <v>#REF!</v>
      </c>
      <c r="CG29" t="e">
        <f>AND(Lifting!#REF!,"AAAAAFtuv1Q=")</f>
        <v>#REF!</v>
      </c>
      <c r="CH29" t="e">
        <f>AND(Lifting!#REF!,"AAAAAFtuv1U=")</f>
        <v>#REF!</v>
      </c>
      <c r="CI29" t="e">
        <f>AND(Lifting!#REF!,"AAAAAFtuv1Y=")</f>
        <v>#REF!</v>
      </c>
      <c r="CJ29" t="e">
        <f>AND(Lifting!#REF!,"AAAAAFtuv1c=")</f>
        <v>#REF!</v>
      </c>
      <c r="CK29" t="e">
        <f>AND(Lifting!#REF!,"AAAAAFtuv1g=")</f>
        <v>#REF!</v>
      </c>
      <c r="CL29" t="e">
        <f>AND(Lifting!#REF!,"AAAAAFtuv1k=")</f>
        <v>#REF!</v>
      </c>
      <c r="CM29" t="e">
        <f>AND(Lifting!#REF!,"AAAAAFtuv1o=")</f>
        <v>#REF!</v>
      </c>
      <c r="CN29" t="e">
        <f>AND(Lifting!#REF!,"AAAAAFtuv1s=")</f>
        <v>#REF!</v>
      </c>
      <c r="CO29" t="e">
        <f>AND(Lifting!#REF!,"AAAAAFtuv1w=")</f>
        <v>#REF!</v>
      </c>
      <c r="CP29" t="e">
        <f>AND(Lifting!#REF!,"AAAAAFtuv10=")</f>
        <v>#REF!</v>
      </c>
      <c r="CQ29" t="e">
        <f>AND(Lifting!#REF!,"AAAAAFtuv14=")</f>
        <v>#REF!</v>
      </c>
      <c r="CR29" t="e">
        <f>AND(Lifting!#REF!,"AAAAAFtuv18=")</f>
        <v>#REF!</v>
      </c>
      <c r="CS29" t="e">
        <f>AND(Lifting!#REF!,"AAAAAFtuv2A=")</f>
        <v>#REF!</v>
      </c>
      <c r="CT29" t="e">
        <f>AND(Lifting!#REF!,"AAAAAFtuv2E=")</f>
        <v>#REF!</v>
      </c>
      <c r="CU29" t="e">
        <f>AND(Lifting!#REF!,"AAAAAFtuv2I=")</f>
        <v>#REF!</v>
      </c>
      <c r="CV29" t="e">
        <f>AND(Lifting!#REF!,"AAAAAFtuv2M=")</f>
        <v>#REF!</v>
      </c>
      <c r="CW29" t="e">
        <f>AND(Lifting!#REF!,"AAAAAFtuv2Q=")</f>
        <v>#REF!</v>
      </c>
      <c r="CX29" t="e">
        <f>AND(Lifting!#REF!,"AAAAAFtuv2U=")</f>
        <v>#REF!</v>
      </c>
      <c r="CY29" t="e">
        <f>AND(Lifting!#REF!,"AAAAAFtuv2Y=")</f>
        <v>#REF!</v>
      </c>
      <c r="CZ29" t="e">
        <f>AND(Lifting!#REF!,"AAAAAFtuv2c=")</f>
        <v>#REF!</v>
      </c>
      <c r="DA29" t="e">
        <f>AND(Lifting!#REF!,"AAAAAFtuv2g=")</f>
        <v>#REF!</v>
      </c>
      <c r="DB29" t="e">
        <f>AND(Lifting!#REF!,"AAAAAFtuv2k=")</f>
        <v>#REF!</v>
      </c>
      <c r="DC29" t="e">
        <f>AND(Lifting!#REF!,"AAAAAFtuv2o=")</f>
        <v>#REF!</v>
      </c>
      <c r="DD29" t="e">
        <f>AND(Lifting!#REF!,"AAAAAFtuv2s=")</f>
        <v>#REF!</v>
      </c>
      <c r="DE29" t="e">
        <f>AND(Lifting!#REF!,"AAAAAFtuv2w=")</f>
        <v>#REF!</v>
      </c>
      <c r="DF29" t="e">
        <f>AND(Lifting!#REF!,"AAAAAFtuv20=")</f>
        <v>#REF!</v>
      </c>
      <c r="DG29" t="e">
        <f>AND(Lifting!#REF!,"AAAAAFtuv24=")</f>
        <v>#REF!</v>
      </c>
      <c r="DH29" t="e">
        <f>AND(Lifting!#REF!,"AAAAAFtuv28=")</f>
        <v>#REF!</v>
      </c>
      <c r="DI29" t="e">
        <f>AND(Lifting!#REF!,"AAAAAFtuv3A=")</f>
        <v>#REF!</v>
      </c>
      <c r="DJ29" t="e">
        <f>AND(Lifting!#REF!,"AAAAAFtuv3E=")</f>
        <v>#REF!</v>
      </c>
      <c r="DK29" t="e">
        <f>AND(Lifting!#REF!,"AAAAAFtuv3I=")</f>
        <v>#REF!</v>
      </c>
      <c r="DL29" t="e">
        <f>AND(Lifting!#REF!,"AAAAAFtuv3M=")</f>
        <v>#REF!</v>
      </c>
      <c r="DM29" t="e">
        <f>AND(Lifting!#REF!,"AAAAAFtuv3Q=")</f>
        <v>#REF!</v>
      </c>
      <c r="DN29" t="e">
        <f>AND(Lifting!#REF!,"AAAAAFtuv3U=")</f>
        <v>#REF!</v>
      </c>
      <c r="DO29" t="e">
        <f>AND(Lifting!#REF!,"AAAAAFtuv3Y=")</f>
        <v>#REF!</v>
      </c>
      <c r="DP29" t="e">
        <f>AND(Lifting!#REF!,"AAAAAFtuv3c=")</f>
        <v>#REF!</v>
      </c>
      <c r="DQ29" t="e">
        <f>AND(Lifting!#REF!,"AAAAAFtuv3g=")</f>
        <v>#REF!</v>
      </c>
      <c r="DR29" t="e">
        <f>AND(Lifting!#REF!,"AAAAAFtuv3k=")</f>
        <v>#REF!</v>
      </c>
      <c r="DS29" t="e">
        <f>AND(Lifting!#REF!,"AAAAAFtuv3o=")</f>
        <v>#REF!</v>
      </c>
      <c r="DT29" t="e">
        <f>AND(Lifting!#REF!,"AAAAAFtuv3s=")</f>
        <v>#REF!</v>
      </c>
      <c r="DU29" t="e">
        <f>AND(Lifting!#REF!,"AAAAAFtuv3w=")</f>
        <v>#REF!</v>
      </c>
      <c r="DV29" t="e">
        <f>AND(Lifting!#REF!,"AAAAAFtuv30=")</f>
        <v>#REF!</v>
      </c>
      <c r="DW29" t="e">
        <f>AND(Lifting!#REF!,"AAAAAFtuv34=")</f>
        <v>#REF!</v>
      </c>
      <c r="DX29" t="e">
        <f>AND(Lifting!#REF!,"AAAAAFtuv38=")</f>
        <v>#REF!</v>
      </c>
      <c r="DY29" t="e">
        <f>AND(Lifting!#REF!,"AAAAAFtuv4A=")</f>
        <v>#REF!</v>
      </c>
      <c r="DZ29" t="e">
        <f>AND(Lifting!#REF!,"AAAAAFtuv4E=")</f>
        <v>#REF!</v>
      </c>
      <c r="EA29" t="e">
        <f>AND(Lifting!#REF!,"AAAAAFtuv4I=")</f>
        <v>#REF!</v>
      </c>
      <c r="EB29" t="e">
        <f>AND(Lifting!#REF!,"AAAAAFtuv4M=")</f>
        <v>#REF!</v>
      </c>
      <c r="EC29" t="e">
        <f>AND(Lifting!#REF!,"AAAAAFtuv4Q=")</f>
        <v>#REF!</v>
      </c>
      <c r="ED29" t="e">
        <f>AND(Lifting!#REF!,"AAAAAFtuv4U=")</f>
        <v>#REF!</v>
      </c>
      <c r="EE29" t="e">
        <f>AND(Lifting!#REF!,"AAAAAFtuv4Y=")</f>
        <v>#REF!</v>
      </c>
      <c r="EF29" t="e">
        <f>AND(Lifting!#REF!,"AAAAAFtuv4c=")</f>
        <v>#REF!</v>
      </c>
      <c r="EG29" t="e">
        <f>AND(Lifting!#REF!,"AAAAAFtuv4g=")</f>
        <v>#REF!</v>
      </c>
      <c r="EH29" t="e">
        <f>AND(Lifting!#REF!,"AAAAAFtuv4k=")</f>
        <v>#REF!</v>
      </c>
      <c r="EI29" t="e">
        <f>AND(Lifting!#REF!,"AAAAAFtuv4o=")</f>
        <v>#REF!</v>
      </c>
      <c r="EJ29" t="e">
        <f>AND(Lifting!#REF!,"AAAAAFtuv4s=")</f>
        <v>#REF!</v>
      </c>
      <c r="EK29" t="e">
        <f>AND(Lifting!#REF!,"AAAAAFtuv4w=")</f>
        <v>#REF!</v>
      </c>
      <c r="EL29" t="e">
        <f>AND(Lifting!#REF!,"AAAAAFtuv40=")</f>
        <v>#REF!</v>
      </c>
      <c r="EM29" t="e">
        <f>AND(Lifting!#REF!,"AAAAAFtuv44=")</f>
        <v>#REF!</v>
      </c>
      <c r="EN29" t="e">
        <f>AND(Lifting!#REF!,"AAAAAFtuv48=")</f>
        <v>#REF!</v>
      </c>
      <c r="EO29" t="e">
        <f>AND(Lifting!#REF!,"AAAAAFtuv5A=")</f>
        <v>#REF!</v>
      </c>
      <c r="EP29" t="e">
        <f>AND(Lifting!#REF!,"AAAAAFtuv5E=")</f>
        <v>#REF!</v>
      </c>
      <c r="EQ29" t="e">
        <f>AND(Lifting!#REF!,"AAAAAFtuv5I=")</f>
        <v>#REF!</v>
      </c>
      <c r="ER29" t="e">
        <f>AND(Lifting!#REF!,"AAAAAFtuv5M=")</f>
        <v>#REF!</v>
      </c>
      <c r="ES29" t="e">
        <f>AND(Lifting!#REF!,"AAAAAFtuv5Q=")</f>
        <v>#REF!</v>
      </c>
      <c r="ET29" t="e">
        <f>AND(Lifting!#REF!,"AAAAAFtuv5U=")</f>
        <v>#REF!</v>
      </c>
      <c r="EU29" t="e">
        <f>AND(Lifting!#REF!,"AAAAAFtuv5Y=")</f>
        <v>#REF!</v>
      </c>
      <c r="EV29" t="e">
        <f>AND(Lifting!#REF!,"AAAAAFtuv5c=")</f>
        <v>#REF!</v>
      </c>
      <c r="EW29" t="e">
        <f>AND(Lifting!#REF!,"AAAAAFtuv5g=")</f>
        <v>#REF!</v>
      </c>
      <c r="EX29" t="e">
        <f>AND(Lifting!#REF!,"AAAAAFtuv5k=")</f>
        <v>#REF!</v>
      </c>
      <c r="EY29" t="e">
        <f>AND(Lifting!#REF!,"AAAAAFtuv5o=")</f>
        <v>#REF!</v>
      </c>
      <c r="EZ29" t="e">
        <f>AND(Lifting!#REF!,"AAAAAFtuv5s=")</f>
        <v>#REF!</v>
      </c>
      <c r="FA29" t="e">
        <f>AND(Lifting!#REF!,"AAAAAFtuv5w=")</f>
        <v>#REF!</v>
      </c>
      <c r="FB29" t="e">
        <f>AND(Lifting!#REF!,"AAAAAFtuv50=")</f>
        <v>#REF!</v>
      </c>
      <c r="FC29" t="e">
        <f>AND(Lifting!#REF!,"AAAAAFtuv54=")</f>
        <v>#REF!</v>
      </c>
      <c r="FD29" t="e">
        <f>AND(Lifting!#REF!,"AAAAAFtuv58=")</f>
        <v>#REF!</v>
      </c>
      <c r="FE29" t="e">
        <f>AND(Lifting!#REF!,"AAAAAFtuv6A=")</f>
        <v>#REF!</v>
      </c>
      <c r="FF29" t="e">
        <f>AND(Lifting!#REF!,"AAAAAFtuv6E=")</f>
        <v>#REF!</v>
      </c>
      <c r="FG29" t="e">
        <f>IF(Lifting!#REF!,"AAAAAFtuv6I=",0)</f>
        <v>#REF!</v>
      </c>
      <c r="FH29" t="e">
        <f>AND(Lifting!#REF!,"AAAAAFtuv6M=")</f>
        <v>#REF!</v>
      </c>
      <c r="FI29" t="e">
        <f>AND(Lifting!#REF!,"AAAAAFtuv6Q=")</f>
        <v>#REF!</v>
      </c>
      <c r="FJ29" t="e">
        <f>AND(Lifting!#REF!,"AAAAAFtuv6U=")</f>
        <v>#REF!</v>
      </c>
      <c r="FK29" t="e">
        <f>AND(Lifting!#REF!,"AAAAAFtuv6Y=")</f>
        <v>#REF!</v>
      </c>
      <c r="FL29" t="e">
        <f>AND(Lifting!#REF!,"AAAAAFtuv6c=")</f>
        <v>#REF!</v>
      </c>
      <c r="FM29" t="e">
        <f>AND(Lifting!#REF!,"AAAAAFtuv6g=")</f>
        <v>#REF!</v>
      </c>
      <c r="FN29" t="e">
        <f>AND(Lifting!#REF!,"AAAAAFtuv6k=")</f>
        <v>#REF!</v>
      </c>
      <c r="FO29" t="e">
        <f>AND(Lifting!#REF!,"AAAAAFtuv6o=")</f>
        <v>#REF!</v>
      </c>
      <c r="FP29" t="e">
        <f>AND(Lifting!#REF!,"AAAAAFtuv6s=")</f>
        <v>#REF!</v>
      </c>
      <c r="FQ29" t="e">
        <f>AND(Lifting!#REF!,"AAAAAFtuv6w=")</f>
        <v>#REF!</v>
      </c>
      <c r="FR29" t="e">
        <f>AND(Lifting!#REF!,"AAAAAFtuv60=")</f>
        <v>#REF!</v>
      </c>
      <c r="FS29" t="e">
        <f>AND(Lifting!#REF!,"AAAAAFtuv64=")</f>
        <v>#REF!</v>
      </c>
      <c r="FT29" t="e">
        <f>AND(Lifting!#REF!,"AAAAAFtuv68=")</f>
        <v>#REF!</v>
      </c>
      <c r="FU29" t="e">
        <f>AND(Lifting!#REF!,"AAAAAFtuv7A=")</f>
        <v>#REF!</v>
      </c>
      <c r="FV29" t="e">
        <f>AND(Lifting!#REF!,"AAAAAFtuv7E=")</f>
        <v>#REF!</v>
      </c>
      <c r="FW29" t="e">
        <f>AND(Lifting!#REF!,"AAAAAFtuv7I=")</f>
        <v>#REF!</v>
      </c>
      <c r="FX29" t="e">
        <f>AND(Lifting!#REF!,"AAAAAFtuv7M=")</f>
        <v>#REF!</v>
      </c>
      <c r="FY29" t="e">
        <f>AND(Lifting!#REF!,"AAAAAFtuv7Q=")</f>
        <v>#REF!</v>
      </c>
      <c r="FZ29" t="e">
        <f>AND(Lifting!#REF!,"AAAAAFtuv7U=")</f>
        <v>#REF!</v>
      </c>
      <c r="GA29" t="e">
        <f>AND(Lifting!#REF!,"AAAAAFtuv7Y=")</f>
        <v>#REF!</v>
      </c>
      <c r="GB29" t="e">
        <f>AND(Lifting!#REF!,"AAAAAFtuv7c=")</f>
        <v>#REF!</v>
      </c>
      <c r="GC29" t="e">
        <f>AND(Lifting!#REF!,"AAAAAFtuv7g=")</f>
        <v>#REF!</v>
      </c>
      <c r="GD29" t="e">
        <f>AND(Lifting!#REF!,"AAAAAFtuv7k=")</f>
        <v>#REF!</v>
      </c>
      <c r="GE29" t="e">
        <f>AND(Lifting!#REF!,"AAAAAFtuv7o=")</f>
        <v>#REF!</v>
      </c>
      <c r="GF29" t="e">
        <f>AND(Lifting!#REF!,"AAAAAFtuv7s=")</f>
        <v>#REF!</v>
      </c>
      <c r="GG29" t="e">
        <f>AND(Lifting!#REF!,"AAAAAFtuv7w=")</f>
        <v>#REF!</v>
      </c>
      <c r="GH29" t="e">
        <f>AND(Lifting!#REF!,"AAAAAFtuv70=")</f>
        <v>#REF!</v>
      </c>
      <c r="GI29" t="e">
        <f>AND(Lifting!#REF!,"AAAAAFtuv74=")</f>
        <v>#REF!</v>
      </c>
      <c r="GJ29" t="e">
        <f>AND(Lifting!#REF!,"AAAAAFtuv78=")</f>
        <v>#REF!</v>
      </c>
      <c r="GK29" t="e">
        <f>AND(Lifting!#REF!,"AAAAAFtuv8A=")</f>
        <v>#REF!</v>
      </c>
      <c r="GL29" t="e">
        <f>AND(Lifting!#REF!,"AAAAAFtuv8E=")</f>
        <v>#REF!</v>
      </c>
      <c r="GM29" t="e">
        <f>AND(Lifting!#REF!,"AAAAAFtuv8I=")</f>
        <v>#REF!</v>
      </c>
      <c r="GN29" t="e">
        <f>AND(Lifting!#REF!,"AAAAAFtuv8M=")</f>
        <v>#REF!</v>
      </c>
      <c r="GO29" t="e">
        <f>AND(Lifting!#REF!,"AAAAAFtuv8Q=")</f>
        <v>#REF!</v>
      </c>
      <c r="GP29" t="e">
        <f>AND(Lifting!#REF!,"AAAAAFtuv8U=")</f>
        <v>#REF!</v>
      </c>
      <c r="GQ29" t="e">
        <f>AND(Lifting!#REF!,"AAAAAFtuv8Y=")</f>
        <v>#REF!</v>
      </c>
      <c r="GR29" t="e">
        <f>AND(Lifting!#REF!,"AAAAAFtuv8c=")</f>
        <v>#REF!</v>
      </c>
      <c r="GS29" t="e">
        <f>AND(Lifting!#REF!,"AAAAAFtuv8g=")</f>
        <v>#REF!</v>
      </c>
      <c r="GT29" t="e">
        <f>AND(Lifting!#REF!,"AAAAAFtuv8k=")</f>
        <v>#REF!</v>
      </c>
      <c r="GU29" t="e">
        <f>AND(Lifting!#REF!,"AAAAAFtuv8o=")</f>
        <v>#REF!</v>
      </c>
      <c r="GV29" t="e">
        <f>AND(Lifting!#REF!,"AAAAAFtuv8s=")</f>
        <v>#REF!</v>
      </c>
      <c r="GW29" t="e">
        <f>AND(Lifting!#REF!,"AAAAAFtuv8w=")</f>
        <v>#REF!</v>
      </c>
      <c r="GX29" t="e">
        <f>AND(Lifting!#REF!,"AAAAAFtuv80=")</f>
        <v>#REF!</v>
      </c>
      <c r="GY29" t="e">
        <f>AND(Lifting!#REF!,"AAAAAFtuv84=")</f>
        <v>#REF!</v>
      </c>
      <c r="GZ29" t="e">
        <f>AND(Lifting!#REF!,"AAAAAFtuv88=")</f>
        <v>#REF!</v>
      </c>
      <c r="HA29" t="e">
        <f>AND(Lifting!#REF!,"AAAAAFtuv9A=")</f>
        <v>#REF!</v>
      </c>
      <c r="HB29" t="e">
        <f>AND(Lifting!#REF!,"AAAAAFtuv9E=")</f>
        <v>#REF!</v>
      </c>
      <c r="HC29" t="e">
        <f>AND(Lifting!#REF!,"AAAAAFtuv9I=")</f>
        <v>#REF!</v>
      </c>
      <c r="HD29" t="e">
        <f>AND(Lifting!#REF!,"AAAAAFtuv9M=")</f>
        <v>#REF!</v>
      </c>
      <c r="HE29" t="e">
        <f>AND(Lifting!#REF!,"AAAAAFtuv9Q=")</f>
        <v>#REF!</v>
      </c>
      <c r="HF29" t="e">
        <f>AND(Lifting!#REF!,"AAAAAFtuv9U=")</f>
        <v>#REF!</v>
      </c>
      <c r="HG29" t="e">
        <f>AND(Lifting!#REF!,"AAAAAFtuv9Y=")</f>
        <v>#REF!</v>
      </c>
      <c r="HH29" t="e">
        <f>AND(Lifting!#REF!,"AAAAAFtuv9c=")</f>
        <v>#REF!</v>
      </c>
      <c r="HI29" t="e">
        <f>AND(Lifting!#REF!,"AAAAAFtuv9g=")</f>
        <v>#REF!</v>
      </c>
      <c r="HJ29" t="e">
        <f>AND(Lifting!#REF!,"AAAAAFtuv9k=")</f>
        <v>#REF!</v>
      </c>
      <c r="HK29" t="e">
        <f>AND(Lifting!#REF!,"AAAAAFtuv9o=")</f>
        <v>#REF!</v>
      </c>
      <c r="HL29" t="e">
        <f>AND(Lifting!#REF!,"AAAAAFtuv9s=")</f>
        <v>#REF!</v>
      </c>
      <c r="HM29" t="e">
        <f>AND(Lifting!#REF!,"AAAAAFtuv9w=")</f>
        <v>#REF!</v>
      </c>
      <c r="HN29" t="e">
        <f>AND(Lifting!#REF!,"AAAAAFtuv90=")</f>
        <v>#REF!</v>
      </c>
      <c r="HO29" t="e">
        <f>AND(Lifting!#REF!,"AAAAAFtuv94=")</f>
        <v>#REF!</v>
      </c>
      <c r="HP29" t="e">
        <f>AND(Lifting!#REF!,"AAAAAFtuv98=")</f>
        <v>#REF!</v>
      </c>
      <c r="HQ29" t="e">
        <f>AND(Lifting!#REF!,"AAAAAFtuv+A=")</f>
        <v>#REF!</v>
      </c>
      <c r="HR29" t="e">
        <f>AND(Lifting!#REF!,"AAAAAFtuv+E=")</f>
        <v>#REF!</v>
      </c>
      <c r="HS29" t="e">
        <f>AND(Lifting!#REF!,"AAAAAFtuv+I=")</f>
        <v>#REF!</v>
      </c>
      <c r="HT29" t="e">
        <f>AND(Lifting!#REF!,"AAAAAFtuv+M=")</f>
        <v>#REF!</v>
      </c>
      <c r="HU29" t="e">
        <f>AND(Lifting!#REF!,"AAAAAFtuv+Q=")</f>
        <v>#REF!</v>
      </c>
      <c r="HV29" t="e">
        <f>AND(Lifting!#REF!,"AAAAAFtuv+U=")</f>
        <v>#REF!</v>
      </c>
      <c r="HW29" t="e">
        <f>AND(Lifting!#REF!,"AAAAAFtuv+Y=")</f>
        <v>#REF!</v>
      </c>
      <c r="HX29" t="e">
        <f>AND(Lifting!#REF!,"AAAAAFtuv+c=")</f>
        <v>#REF!</v>
      </c>
      <c r="HY29" t="e">
        <f>AND(Lifting!#REF!,"AAAAAFtuv+g=")</f>
        <v>#REF!</v>
      </c>
      <c r="HZ29" t="e">
        <f>AND(Lifting!#REF!,"AAAAAFtuv+k=")</f>
        <v>#REF!</v>
      </c>
      <c r="IA29" t="e">
        <f>AND(Lifting!#REF!,"AAAAAFtuv+o=")</f>
        <v>#REF!</v>
      </c>
      <c r="IB29" t="e">
        <f>AND(Lifting!#REF!,"AAAAAFtuv+s=")</f>
        <v>#REF!</v>
      </c>
      <c r="IC29" t="e">
        <f>AND(Lifting!#REF!,"AAAAAFtuv+w=")</f>
        <v>#REF!</v>
      </c>
      <c r="ID29" t="e">
        <f>AND(Lifting!#REF!,"AAAAAFtuv+0=")</f>
        <v>#REF!</v>
      </c>
      <c r="IE29" t="e">
        <f>AND(Lifting!#REF!,"AAAAAFtuv+4=")</f>
        <v>#REF!</v>
      </c>
      <c r="IF29" t="e">
        <f>AND(Lifting!#REF!,"AAAAAFtuv+8=")</f>
        <v>#REF!</v>
      </c>
      <c r="IG29" t="e">
        <f>AND(Lifting!#REF!,"AAAAAFtuv/A=")</f>
        <v>#REF!</v>
      </c>
      <c r="IH29" t="e">
        <f>AND(Lifting!#REF!,"AAAAAFtuv/E=")</f>
        <v>#REF!</v>
      </c>
      <c r="II29" t="e">
        <f>AND(Lifting!#REF!,"AAAAAFtuv/I=")</f>
        <v>#REF!</v>
      </c>
      <c r="IJ29" t="e">
        <f>AND(Lifting!#REF!,"AAAAAFtuv/M=")</f>
        <v>#REF!</v>
      </c>
      <c r="IK29" t="e">
        <f>AND(Lifting!#REF!,"AAAAAFtuv/Q=")</f>
        <v>#REF!</v>
      </c>
      <c r="IL29" t="e">
        <f>AND(Lifting!#REF!,"AAAAAFtuv/U=")</f>
        <v>#REF!</v>
      </c>
      <c r="IM29" t="e">
        <f>AND(Lifting!#REF!,"AAAAAFtuv/Y=")</f>
        <v>#REF!</v>
      </c>
      <c r="IN29" t="e">
        <f>AND(Lifting!#REF!,"AAAAAFtuv/c=")</f>
        <v>#REF!</v>
      </c>
      <c r="IO29" t="e">
        <f>AND(Lifting!#REF!,"AAAAAFtuv/g=")</f>
        <v>#REF!</v>
      </c>
      <c r="IP29" t="e">
        <f>AND(Lifting!#REF!,"AAAAAFtuv/k=")</f>
        <v>#REF!</v>
      </c>
      <c r="IQ29" t="e">
        <f>AND(Lifting!#REF!,"AAAAAFtuv/o=")</f>
        <v>#REF!</v>
      </c>
      <c r="IR29" t="e">
        <f>AND(Lifting!#REF!,"AAAAAFtuv/s=")</f>
        <v>#REF!</v>
      </c>
      <c r="IS29" t="e">
        <f>AND(Lifting!#REF!,"AAAAAFtuv/w=")</f>
        <v>#REF!</v>
      </c>
      <c r="IT29" t="e">
        <f>AND(Lifting!#REF!,"AAAAAFtuv/0=")</f>
        <v>#REF!</v>
      </c>
      <c r="IU29" t="e">
        <f>AND(Lifting!#REF!,"AAAAAFtuv/4=")</f>
        <v>#REF!</v>
      </c>
      <c r="IV29" t="e">
        <f>AND(Lifting!#REF!,"AAAAAFtuv/8=")</f>
        <v>#REF!</v>
      </c>
    </row>
    <row r="30" spans="1:256">
      <c r="A30" t="e">
        <f>AND(Lifting!#REF!,"AAAAAGp7xwA=")</f>
        <v>#REF!</v>
      </c>
      <c r="B30" t="e">
        <f>AND(Lifting!#REF!,"AAAAAGp7xwE=")</f>
        <v>#REF!</v>
      </c>
      <c r="C30" t="e">
        <f>AND(Lifting!#REF!,"AAAAAGp7xwI=")</f>
        <v>#REF!</v>
      </c>
      <c r="D30" t="e">
        <f>AND(Lifting!#REF!,"AAAAAGp7xwM=")</f>
        <v>#REF!</v>
      </c>
      <c r="E30" t="e">
        <f>AND(Lifting!#REF!,"AAAAAGp7xwQ=")</f>
        <v>#REF!</v>
      </c>
      <c r="F30" t="e">
        <f>AND(Lifting!#REF!,"AAAAAGp7xwU=")</f>
        <v>#REF!</v>
      </c>
      <c r="G30" t="e">
        <f>AND(Lifting!#REF!,"AAAAAGp7xwY=")</f>
        <v>#REF!</v>
      </c>
      <c r="H30" t="e">
        <f>AND(Lifting!#REF!,"AAAAAGp7xwc=")</f>
        <v>#REF!</v>
      </c>
      <c r="I30" t="e">
        <f>AND(Lifting!#REF!,"AAAAAGp7xwg=")</f>
        <v>#REF!</v>
      </c>
      <c r="J30" t="e">
        <f>AND(Lifting!#REF!,"AAAAAGp7xwk=")</f>
        <v>#REF!</v>
      </c>
      <c r="K30" t="e">
        <f>AND(Lifting!#REF!,"AAAAAGp7xwo=")</f>
        <v>#REF!</v>
      </c>
      <c r="L30" t="e">
        <f>IF(Lifting!#REF!,"AAAAAGp7xws=",0)</f>
        <v>#REF!</v>
      </c>
      <c r="M30" t="e">
        <f>AND(Lifting!#REF!,"AAAAAGp7xww=")</f>
        <v>#REF!</v>
      </c>
      <c r="N30" t="e">
        <f>AND(Lifting!#REF!,"AAAAAGp7xw0=")</f>
        <v>#REF!</v>
      </c>
      <c r="O30" t="e">
        <f>AND(Lifting!#REF!,"AAAAAGp7xw4=")</f>
        <v>#REF!</v>
      </c>
      <c r="P30" t="e">
        <f>AND(Lifting!#REF!,"AAAAAGp7xw8=")</f>
        <v>#REF!</v>
      </c>
      <c r="Q30" t="e">
        <f>AND(Lifting!#REF!,"AAAAAGp7xxA=")</f>
        <v>#REF!</v>
      </c>
      <c r="R30" t="e">
        <f>AND(Lifting!#REF!,"AAAAAGp7xxE=")</f>
        <v>#REF!</v>
      </c>
      <c r="S30" t="e">
        <f>AND(Lifting!#REF!,"AAAAAGp7xxI=")</f>
        <v>#REF!</v>
      </c>
      <c r="T30" t="e">
        <f>AND(Lifting!#REF!,"AAAAAGp7xxM=")</f>
        <v>#REF!</v>
      </c>
      <c r="U30" t="e">
        <f>AND(Lifting!#REF!,"AAAAAGp7xxQ=")</f>
        <v>#REF!</v>
      </c>
      <c r="V30" t="e">
        <f>AND(Lifting!#REF!,"AAAAAGp7xxU=")</f>
        <v>#REF!</v>
      </c>
      <c r="W30" t="e">
        <f>AND(Lifting!#REF!,"AAAAAGp7xxY=")</f>
        <v>#REF!</v>
      </c>
      <c r="X30" t="e">
        <f>AND(Lifting!#REF!,"AAAAAGp7xxc=")</f>
        <v>#REF!</v>
      </c>
      <c r="Y30" t="e">
        <f>AND(Lifting!#REF!,"AAAAAGp7xxg=")</f>
        <v>#REF!</v>
      </c>
      <c r="Z30" t="e">
        <f>AND(Lifting!#REF!,"AAAAAGp7xxk=")</f>
        <v>#REF!</v>
      </c>
      <c r="AA30" t="e">
        <f>AND(Lifting!#REF!,"AAAAAGp7xxo=")</f>
        <v>#REF!</v>
      </c>
      <c r="AB30" t="e">
        <f>AND(Lifting!#REF!,"AAAAAGp7xxs=")</f>
        <v>#REF!</v>
      </c>
      <c r="AC30" t="e">
        <f>AND(Lifting!#REF!,"AAAAAGp7xxw=")</f>
        <v>#REF!</v>
      </c>
      <c r="AD30" t="e">
        <f>AND(Lifting!#REF!,"AAAAAGp7xx0=")</f>
        <v>#REF!</v>
      </c>
      <c r="AE30" t="e">
        <f>AND(Lifting!#REF!,"AAAAAGp7xx4=")</f>
        <v>#REF!</v>
      </c>
      <c r="AF30" t="e">
        <f>AND(Lifting!#REF!,"AAAAAGp7xx8=")</f>
        <v>#REF!</v>
      </c>
      <c r="AG30" t="e">
        <f>AND(Lifting!#REF!,"AAAAAGp7xyA=")</f>
        <v>#REF!</v>
      </c>
      <c r="AH30" t="e">
        <f>AND(Lifting!#REF!,"AAAAAGp7xyE=")</f>
        <v>#REF!</v>
      </c>
      <c r="AI30" t="e">
        <f>AND(Lifting!#REF!,"AAAAAGp7xyI=")</f>
        <v>#REF!</v>
      </c>
      <c r="AJ30" t="e">
        <f>AND(Lifting!#REF!,"AAAAAGp7xyM=")</f>
        <v>#REF!</v>
      </c>
      <c r="AK30" t="e">
        <f>AND(Lifting!#REF!,"AAAAAGp7xyQ=")</f>
        <v>#REF!</v>
      </c>
      <c r="AL30" t="e">
        <f>AND(Lifting!#REF!,"AAAAAGp7xyU=")</f>
        <v>#REF!</v>
      </c>
      <c r="AM30" t="e">
        <f>AND(Lifting!#REF!,"AAAAAGp7xyY=")</f>
        <v>#REF!</v>
      </c>
      <c r="AN30" t="e">
        <f>AND(Lifting!#REF!,"AAAAAGp7xyc=")</f>
        <v>#REF!</v>
      </c>
      <c r="AO30" t="e">
        <f>AND(Lifting!#REF!,"AAAAAGp7xyg=")</f>
        <v>#REF!</v>
      </c>
      <c r="AP30" t="e">
        <f>AND(Lifting!#REF!,"AAAAAGp7xyk=")</f>
        <v>#REF!</v>
      </c>
      <c r="AQ30" t="e">
        <f>AND(Lifting!#REF!,"AAAAAGp7xyo=")</f>
        <v>#REF!</v>
      </c>
      <c r="AR30" t="e">
        <f>AND(Lifting!#REF!,"AAAAAGp7xys=")</f>
        <v>#REF!</v>
      </c>
      <c r="AS30" t="e">
        <f>AND(Lifting!#REF!,"AAAAAGp7xyw=")</f>
        <v>#REF!</v>
      </c>
      <c r="AT30" t="e">
        <f>AND(Lifting!#REF!,"AAAAAGp7xy0=")</f>
        <v>#REF!</v>
      </c>
      <c r="AU30" t="e">
        <f>AND(Lifting!#REF!,"AAAAAGp7xy4=")</f>
        <v>#REF!</v>
      </c>
      <c r="AV30" t="e">
        <f>AND(Lifting!#REF!,"AAAAAGp7xy8=")</f>
        <v>#REF!</v>
      </c>
      <c r="AW30" t="e">
        <f>AND(Lifting!#REF!,"AAAAAGp7xzA=")</f>
        <v>#REF!</v>
      </c>
      <c r="AX30" t="e">
        <f>AND(Lifting!#REF!,"AAAAAGp7xzE=")</f>
        <v>#REF!</v>
      </c>
      <c r="AY30" t="e">
        <f>AND(Lifting!#REF!,"AAAAAGp7xzI=")</f>
        <v>#REF!</v>
      </c>
      <c r="AZ30" t="e">
        <f>AND(Lifting!#REF!,"AAAAAGp7xzM=")</f>
        <v>#REF!</v>
      </c>
      <c r="BA30" t="e">
        <f>AND(Lifting!#REF!,"AAAAAGp7xzQ=")</f>
        <v>#REF!</v>
      </c>
      <c r="BB30" t="e">
        <f>AND(Lifting!#REF!,"AAAAAGp7xzU=")</f>
        <v>#REF!</v>
      </c>
      <c r="BC30" t="e">
        <f>AND(Lifting!#REF!,"AAAAAGp7xzY=")</f>
        <v>#REF!</v>
      </c>
      <c r="BD30" t="e">
        <f>AND(Lifting!#REF!,"AAAAAGp7xzc=")</f>
        <v>#REF!</v>
      </c>
      <c r="BE30" t="e">
        <f>AND(Lifting!#REF!,"AAAAAGp7xzg=")</f>
        <v>#REF!</v>
      </c>
      <c r="BF30" t="e">
        <f>AND(Lifting!#REF!,"AAAAAGp7xzk=")</f>
        <v>#REF!</v>
      </c>
      <c r="BG30" t="e">
        <f>AND(Lifting!#REF!,"AAAAAGp7xzo=")</f>
        <v>#REF!</v>
      </c>
      <c r="BH30" t="e">
        <f>AND(Lifting!#REF!,"AAAAAGp7xzs=")</f>
        <v>#REF!</v>
      </c>
      <c r="BI30" t="e">
        <f>AND(Lifting!#REF!,"AAAAAGp7xzw=")</f>
        <v>#REF!</v>
      </c>
      <c r="BJ30" t="e">
        <f>AND(Lifting!#REF!,"AAAAAGp7xz0=")</f>
        <v>#REF!</v>
      </c>
      <c r="BK30" t="e">
        <f>AND(Lifting!#REF!,"AAAAAGp7xz4=")</f>
        <v>#REF!</v>
      </c>
      <c r="BL30" t="e">
        <f>AND(Lifting!#REF!,"AAAAAGp7xz8=")</f>
        <v>#REF!</v>
      </c>
      <c r="BM30" t="e">
        <f>AND(Lifting!#REF!,"AAAAAGp7x0A=")</f>
        <v>#REF!</v>
      </c>
      <c r="BN30" t="e">
        <f>AND(Lifting!#REF!,"AAAAAGp7x0E=")</f>
        <v>#REF!</v>
      </c>
      <c r="BO30" t="e">
        <f>AND(Lifting!#REF!,"AAAAAGp7x0I=")</f>
        <v>#REF!</v>
      </c>
      <c r="BP30" t="e">
        <f>AND(Lifting!#REF!,"AAAAAGp7x0M=")</f>
        <v>#REF!</v>
      </c>
      <c r="BQ30" t="e">
        <f>AND(Lifting!#REF!,"AAAAAGp7x0Q=")</f>
        <v>#REF!</v>
      </c>
      <c r="BR30" t="e">
        <f>AND(Lifting!#REF!,"AAAAAGp7x0U=")</f>
        <v>#REF!</v>
      </c>
      <c r="BS30" t="e">
        <f>AND(Lifting!#REF!,"AAAAAGp7x0Y=")</f>
        <v>#REF!</v>
      </c>
      <c r="BT30" t="e">
        <f>AND(Lifting!#REF!,"AAAAAGp7x0c=")</f>
        <v>#REF!</v>
      </c>
      <c r="BU30" t="e">
        <f>AND(Lifting!#REF!,"AAAAAGp7x0g=")</f>
        <v>#REF!</v>
      </c>
      <c r="BV30" t="e">
        <f>AND(Lifting!#REF!,"AAAAAGp7x0k=")</f>
        <v>#REF!</v>
      </c>
      <c r="BW30" t="e">
        <f>AND(Lifting!#REF!,"AAAAAGp7x0o=")</f>
        <v>#REF!</v>
      </c>
      <c r="BX30" t="e">
        <f>AND(Lifting!#REF!,"AAAAAGp7x0s=")</f>
        <v>#REF!</v>
      </c>
      <c r="BY30" t="e">
        <f>AND(Lifting!#REF!,"AAAAAGp7x0w=")</f>
        <v>#REF!</v>
      </c>
      <c r="BZ30" t="e">
        <f>AND(Lifting!#REF!,"AAAAAGp7x00=")</f>
        <v>#REF!</v>
      </c>
      <c r="CA30" t="e">
        <f>AND(Lifting!#REF!,"AAAAAGp7x04=")</f>
        <v>#REF!</v>
      </c>
      <c r="CB30" t="e">
        <f>AND(Lifting!#REF!,"AAAAAGp7x08=")</f>
        <v>#REF!</v>
      </c>
      <c r="CC30" t="e">
        <f>AND(Lifting!#REF!,"AAAAAGp7x1A=")</f>
        <v>#REF!</v>
      </c>
      <c r="CD30" t="e">
        <f>AND(Lifting!#REF!,"AAAAAGp7x1E=")</f>
        <v>#REF!</v>
      </c>
      <c r="CE30" t="e">
        <f>AND(Lifting!#REF!,"AAAAAGp7x1I=")</f>
        <v>#REF!</v>
      </c>
      <c r="CF30" t="e">
        <f>AND(Lifting!#REF!,"AAAAAGp7x1M=")</f>
        <v>#REF!</v>
      </c>
      <c r="CG30" t="e">
        <f>AND(Lifting!#REF!,"AAAAAGp7x1Q=")</f>
        <v>#REF!</v>
      </c>
      <c r="CH30" t="e">
        <f>AND(Lifting!#REF!,"AAAAAGp7x1U=")</f>
        <v>#REF!</v>
      </c>
      <c r="CI30" t="e">
        <f>AND(Lifting!#REF!,"AAAAAGp7x1Y=")</f>
        <v>#REF!</v>
      </c>
      <c r="CJ30" t="e">
        <f>AND(Lifting!#REF!,"AAAAAGp7x1c=")</f>
        <v>#REF!</v>
      </c>
      <c r="CK30" t="e">
        <f>AND(Lifting!#REF!,"AAAAAGp7x1g=")</f>
        <v>#REF!</v>
      </c>
      <c r="CL30" t="e">
        <f>AND(Lifting!#REF!,"AAAAAGp7x1k=")</f>
        <v>#REF!</v>
      </c>
      <c r="CM30" t="e">
        <f>AND(Lifting!#REF!,"AAAAAGp7x1o=")</f>
        <v>#REF!</v>
      </c>
      <c r="CN30" t="e">
        <f>AND(Lifting!#REF!,"AAAAAGp7x1s=")</f>
        <v>#REF!</v>
      </c>
      <c r="CO30" t="e">
        <f>AND(Lifting!#REF!,"AAAAAGp7x1w=")</f>
        <v>#REF!</v>
      </c>
      <c r="CP30" t="e">
        <f>AND(Lifting!#REF!,"AAAAAGp7x10=")</f>
        <v>#REF!</v>
      </c>
      <c r="CQ30" t="e">
        <f>AND(Lifting!#REF!,"AAAAAGp7x14=")</f>
        <v>#REF!</v>
      </c>
      <c r="CR30" t="e">
        <f>AND(Lifting!#REF!,"AAAAAGp7x18=")</f>
        <v>#REF!</v>
      </c>
      <c r="CS30" t="e">
        <f>AND(Lifting!#REF!,"AAAAAGp7x2A=")</f>
        <v>#REF!</v>
      </c>
      <c r="CT30" t="e">
        <f>AND(Lifting!#REF!,"AAAAAGp7x2E=")</f>
        <v>#REF!</v>
      </c>
      <c r="CU30" t="e">
        <f>AND(Lifting!#REF!,"AAAAAGp7x2I=")</f>
        <v>#REF!</v>
      </c>
      <c r="CV30" t="e">
        <f>AND(Lifting!#REF!,"AAAAAGp7x2M=")</f>
        <v>#REF!</v>
      </c>
      <c r="CW30" t="e">
        <f>AND(Lifting!#REF!,"AAAAAGp7x2Q=")</f>
        <v>#REF!</v>
      </c>
      <c r="CX30" t="e">
        <f>AND(Lifting!#REF!,"AAAAAGp7x2U=")</f>
        <v>#REF!</v>
      </c>
      <c r="CY30" t="e">
        <f>AND(Lifting!#REF!,"AAAAAGp7x2Y=")</f>
        <v>#REF!</v>
      </c>
      <c r="CZ30" t="e">
        <f>AND(Lifting!#REF!,"AAAAAGp7x2c=")</f>
        <v>#REF!</v>
      </c>
      <c r="DA30" t="e">
        <f>AND(Lifting!#REF!,"AAAAAGp7x2g=")</f>
        <v>#REF!</v>
      </c>
      <c r="DB30" t="e">
        <f>AND(Lifting!#REF!,"AAAAAGp7x2k=")</f>
        <v>#REF!</v>
      </c>
      <c r="DC30" t="e">
        <f>AND(Lifting!#REF!,"AAAAAGp7x2o=")</f>
        <v>#REF!</v>
      </c>
      <c r="DD30" t="e">
        <f>AND(Lifting!#REF!,"AAAAAGp7x2s=")</f>
        <v>#REF!</v>
      </c>
      <c r="DE30" t="e">
        <f>AND(Lifting!#REF!,"AAAAAGp7x2w=")</f>
        <v>#REF!</v>
      </c>
      <c r="DF30" t="e">
        <f>AND(Lifting!#REF!,"AAAAAGp7x20=")</f>
        <v>#REF!</v>
      </c>
      <c r="DG30" t="e">
        <f>AND(Lifting!#REF!,"AAAAAGp7x24=")</f>
        <v>#REF!</v>
      </c>
      <c r="DH30" t="e">
        <f>AND(Lifting!#REF!,"AAAAAGp7x28=")</f>
        <v>#REF!</v>
      </c>
      <c r="DI30" t="e">
        <f>AND(Lifting!#REF!,"AAAAAGp7x3A=")</f>
        <v>#REF!</v>
      </c>
      <c r="DJ30" t="e">
        <f>AND(Lifting!#REF!,"AAAAAGp7x3E=")</f>
        <v>#REF!</v>
      </c>
      <c r="DK30" t="e">
        <f>AND(Lifting!#REF!,"AAAAAGp7x3I=")</f>
        <v>#REF!</v>
      </c>
      <c r="DL30" t="e">
        <f>AND(Lifting!#REF!,"AAAAAGp7x3M=")</f>
        <v>#REF!</v>
      </c>
      <c r="DM30" t="e">
        <f>IF(Lifting!#REF!,"AAAAAGp7x3Q=",0)</f>
        <v>#REF!</v>
      </c>
      <c r="DN30" t="e">
        <f>AND(Lifting!#REF!,"AAAAAGp7x3U=")</f>
        <v>#REF!</v>
      </c>
      <c r="DO30" t="e">
        <f>AND(Lifting!#REF!,"AAAAAGp7x3Y=")</f>
        <v>#REF!</v>
      </c>
      <c r="DP30" t="e">
        <f>AND(Lifting!#REF!,"AAAAAGp7x3c=")</f>
        <v>#REF!</v>
      </c>
      <c r="DQ30" t="e">
        <f>AND(Lifting!#REF!,"AAAAAGp7x3g=")</f>
        <v>#REF!</v>
      </c>
      <c r="DR30" t="e">
        <f>AND(Lifting!#REF!,"AAAAAGp7x3k=")</f>
        <v>#REF!</v>
      </c>
      <c r="DS30" t="e">
        <f>AND(Lifting!#REF!,"AAAAAGp7x3o=")</f>
        <v>#REF!</v>
      </c>
      <c r="DT30" t="e">
        <f>AND(Lifting!#REF!,"AAAAAGp7x3s=")</f>
        <v>#REF!</v>
      </c>
      <c r="DU30" t="e">
        <f>AND(Lifting!#REF!,"AAAAAGp7x3w=")</f>
        <v>#REF!</v>
      </c>
      <c r="DV30" t="e">
        <f>AND(Lifting!#REF!,"AAAAAGp7x30=")</f>
        <v>#REF!</v>
      </c>
      <c r="DW30" t="e">
        <f>AND(Lifting!#REF!,"AAAAAGp7x34=")</f>
        <v>#REF!</v>
      </c>
      <c r="DX30" t="e">
        <f>AND(Lifting!#REF!,"AAAAAGp7x38=")</f>
        <v>#REF!</v>
      </c>
      <c r="DY30" t="e">
        <f>AND(Lifting!#REF!,"AAAAAGp7x4A=")</f>
        <v>#REF!</v>
      </c>
      <c r="DZ30" t="e">
        <f>AND(Lifting!#REF!,"AAAAAGp7x4E=")</f>
        <v>#REF!</v>
      </c>
      <c r="EA30" t="e">
        <f>AND(Lifting!#REF!,"AAAAAGp7x4I=")</f>
        <v>#REF!</v>
      </c>
      <c r="EB30" t="e">
        <f>AND(Lifting!#REF!,"AAAAAGp7x4M=")</f>
        <v>#REF!</v>
      </c>
      <c r="EC30" t="e">
        <f>AND(Lifting!#REF!,"AAAAAGp7x4Q=")</f>
        <v>#REF!</v>
      </c>
      <c r="ED30" t="e">
        <f>AND(Lifting!#REF!,"AAAAAGp7x4U=")</f>
        <v>#REF!</v>
      </c>
      <c r="EE30" t="e">
        <f>AND(Lifting!#REF!,"AAAAAGp7x4Y=")</f>
        <v>#REF!</v>
      </c>
      <c r="EF30" t="e">
        <f>AND(Lifting!#REF!,"AAAAAGp7x4c=")</f>
        <v>#REF!</v>
      </c>
      <c r="EG30" t="e">
        <f>AND(Lifting!#REF!,"AAAAAGp7x4g=")</f>
        <v>#REF!</v>
      </c>
      <c r="EH30" t="e">
        <f>AND(Lifting!#REF!,"AAAAAGp7x4k=")</f>
        <v>#REF!</v>
      </c>
      <c r="EI30" t="e">
        <f>AND(Lifting!#REF!,"AAAAAGp7x4o=")</f>
        <v>#REF!</v>
      </c>
      <c r="EJ30" t="e">
        <f>AND(Lifting!#REF!,"AAAAAGp7x4s=")</f>
        <v>#REF!</v>
      </c>
      <c r="EK30" t="e">
        <f>AND(Lifting!#REF!,"AAAAAGp7x4w=")</f>
        <v>#REF!</v>
      </c>
      <c r="EL30" t="e">
        <f>AND(Lifting!#REF!,"AAAAAGp7x40=")</f>
        <v>#REF!</v>
      </c>
      <c r="EM30" t="e">
        <f>AND(Lifting!#REF!,"AAAAAGp7x44=")</f>
        <v>#REF!</v>
      </c>
      <c r="EN30" t="e">
        <f>AND(Lifting!#REF!,"AAAAAGp7x48=")</f>
        <v>#REF!</v>
      </c>
      <c r="EO30" t="e">
        <f>AND(Lifting!#REF!,"AAAAAGp7x5A=")</f>
        <v>#REF!</v>
      </c>
      <c r="EP30" t="e">
        <f>AND(Lifting!#REF!,"AAAAAGp7x5E=")</f>
        <v>#REF!</v>
      </c>
      <c r="EQ30" t="e">
        <f>AND(Lifting!#REF!,"AAAAAGp7x5I=")</f>
        <v>#REF!</v>
      </c>
      <c r="ER30" t="e">
        <f>AND(Lifting!#REF!,"AAAAAGp7x5M=")</f>
        <v>#REF!</v>
      </c>
      <c r="ES30" t="e">
        <f>AND(Lifting!#REF!,"AAAAAGp7x5Q=")</f>
        <v>#REF!</v>
      </c>
      <c r="ET30" t="e">
        <f>AND(Lifting!#REF!,"AAAAAGp7x5U=")</f>
        <v>#REF!</v>
      </c>
      <c r="EU30" t="e">
        <f>AND(Lifting!#REF!,"AAAAAGp7x5Y=")</f>
        <v>#REF!</v>
      </c>
      <c r="EV30" t="e">
        <f>AND(Lifting!#REF!,"AAAAAGp7x5c=")</f>
        <v>#REF!</v>
      </c>
      <c r="EW30" t="e">
        <f>AND(Lifting!#REF!,"AAAAAGp7x5g=")</f>
        <v>#REF!</v>
      </c>
      <c r="EX30" t="e">
        <f>AND(Lifting!#REF!,"AAAAAGp7x5k=")</f>
        <v>#REF!</v>
      </c>
      <c r="EY30" t="e">
        <f>AND(Lifting!#REF!,"AAAAAGp7x5o=")</f>
        <v>#REF!</v>
      </c>
      <c r="EZ30" t="e">
        <f>AND(Lifting!#REF!,"AAAAAGp7x5s=")</f>
        <v>#REF!</v>
      </c>
      <c r="FA30" t="e">
        <f>AND(Lifting!#REF!,"AAAAAGp7x5w=")</f>
        <v>#REF!</v>
      </c>
      <c r="FB30" t="e">
        <f>AND(Lifting!#REF!,"AAAAAGp7x50=")</f>
        <v>#REF!</v>
      </c>
      <c r="FC30" t="e">
        <f>AND(Lifting!#REF!,"AAAAAGp7x54=")</f>
        <v>#REF!</v>
      </c>
      <c r="FD30" t="e">
        <f>AND(Lifting!#REF!,"AAAAAGp7x58=")</f>
        <v>#REF!</v>
      </c>
      <c r="FE30" t="e">
        <f>AND(Lifting!#REF!,"AAAAAGp7x6A=")</f>
        <v>#REF!</v>
      </c>
      <c r="FF30" t="e">
        <f>AND(Lifting!#REF!,"AAAAAGp7x6E=")</f>
        <v>#REF!</v>
      </c>
      <c r="FG30" t="e">
        <f>AND(Lifting!#REF!,"AAAAAGp7x6I=")</f>
        <v>#REF!</v>
      </c>
      <c r="FH30" t="e">
        <f>AND(Lifting!#REF!,"AAAAAGp7x6M=")</f>
        <v>#REF!</v>
      </c>
      <c r="FI30" t="e">
        <f>AND(Lifting!#REF!,"AAAAAGp7x6Q=")</f>
        <v>#REF!</v>
      </c>
      <c r="FJ30" t="e">
        <f>AND(Lifting!#REF!,"AAAAAGp7x6U=")</f>
        <v>#REF!</v>
      </c>
      <c r="FK30" t="e">
        <f>AND(Lifting!#REF!,"AAAAAGp7x6Y=")</f>
        <v>#REF!</v>
      </c>
      <c r="FL30" t="e">
        <f>AND(Lifting!#REF!,"AAAAAGp7x6c=")</f>
        <v>#REF!</v>
      </c>
      <c r="FM30" t="e">
        <f>AND(Lifting!#REF!,"AAAAAGp7x6g=")</f>
        <v>#REF!</v>
      </c>
      <c r="FN30" t="e">
        <f>AND(Lifting!#REF!,"AAAAAGp7x6k=")</f>
        <v>#REF!</v>
      </c>
      <c r="FO30" t="e">
        <f>AND(Lifting!#REF!,"AAAAAGp7x6o=")</f>
        <v>#REF!</v>
      </c>
      <c r="FP30" t="e">
        <f>AND(Lifting!#REF!,"AAAAAGp7x6s=")</f>
        <v>#REF!</v>
      </c>
      <c r="FQ30" t="e">
        <f>AND(Lifting!#REF!,"AAAAAGp7x6w=")</f>
        <v>#REF!</v>
      </c>
      <c r="FR30" t="e">
        <f>AND(Lifting!#REF!,"AAAAAGp7x60=")</f>
        <v>#REF!</v>
      </c>
      <c r="FS30" t="e">
        <f>AND(Lifting!#REF!,"AAAAAGp7x64=")</f>
        <v>#REF!</v>
      </c>
      <c r="FT30" t="e">
        <f>AND(Lifting!#REF!,"AAAAAGp7x68=")</f>
        <v>#REF!</v>
      </c>
      <c r="FU30" t="e">
        <f>AND(Lifting!#REF!,"AAAAAGp7x7A=")</f>
        <v>#REF!</v>
      </c>
      <c r="FV30" t="e">
        <f>AND(Lifting!#REF!,"AAAAAGp7x7E=")</f>
        <v>#REF!</v>
      </c>
      <c r="FW30" t="e">
        <f>AND(Lifting!#REF!,"AAAAAGp7x7I=")</f>
        <v>#REF!</v>
      </c>
      <c r="FX30" t="e">
        <f>AND(Lifting!#REF!,"AAAAAGp7x7M=")</f>
        <v>#REF!</v>
      </c>
      <c r="FY30" t="e">
        <f>AND(Lifting!#REF!,"AAAAAGp7x7Q=")</f>
        <v>#REF!</v>
      </c>
      <c r="FZ30" t="e">
        <f>AND(Lifting!#REF!,"AAAAAGp7x7U=")</f>
        <v>#REF!</v>
      </c>
      <c r="GA30" t="e">
        <f>AND(Lifting!#REF!,"AAAAAGp7x7Y=")</f>
        <v>#REF!</v>
      </c>
      <c r="GB30" t="e">
        <f>AND(Lifting!#REF!,"AAAAAGp7x7c=")</f>
        <v>#REF!</v>
      </c>
      <c r="GC30" t="e">
        <f>AND(Lifting!#REF!,"AAAAAGp7x7g=")</f>
        <v>#REF!</v>
      </c>
      <c r="GD30" t="e">
        <f>AND(Lifting!#REF!,"AAAAAGp7x7k=")</f>
        <v>#REF!</v>
      </c>
      <c r="GE30" t="e">
        <f>AND(Lifting!#REF!,"AAAAAGp7x7o=")</f>
        <v>#REF!</v>
      </c>
      <c r="GF30" t="e">
        <f>AND(Lifting!#REF!,"AAAAAGp7x7s=")</f>
        <v>#REF!</v>
      </c>
      <c r="GG30" t="e">
        <f>AND(Lifting!#REF!,"AAAAAGp7x7w=")</f>
        <v>#REF!</v>
      </c>
      <c r="GH30" t="e">
        <f>AND(Lifting!#REF!,"AAAAAGp7x70=")</f>
        <v>#REF!</v>
      </c>
      <c r="GI30" t="e">
        <f>AND(Lifting!#REF!,"AAAAAGp7x74=")</f>
        <v>#REF!</v>
      </c>
      <c r="GJ30" t="e">
        <f>AND(Lifting!#REF!,"AAAAAGp7x78=")</f>
        <v>#REF!</v>
      </c>
      <c r="GK30" t="e">
        <f>AND(Lifting!#REF!,"AAAAAGp7x8A=")</f>
        <v>#REF!</v>
      </c>
      <c r="GL30" t="e">
        <f>AND(Lifting!#REF!,"AAAAAGp7x8E=")</f>
        <v>#REF!</v>
      </c>
      <c r="GM30" t="e">
        <f>AND(Lifting!#REF!,"AAAAAGp7x8I=")</f>
        <v>#REF!</v>
      </c>
      <c r="GN30" t="e">
        <f>AND(Lifting!#REF!,"AAAAAGp7x8M=")</f>
        <v>#REF!</v>
      </c>
      <c r="GO30" t="e">
        <f>AND(Lifting!#REF!,"AAAAAGp7x8Q=")</f>
        <v>#REF!</v>
      </c>
      <c r="GP30" t="e">
        <f>AND(Lifting!#REF!,"AAAAAGp7x8U=")</f>
        <v>#REF!</v>
      </c>
      <c r="GQ30" t="e">
        <f>AND(Lifting!#REF!,"AAAAAGp7x8Y=")</f>
        <v>#REF!</v>
      </c>
      <c r="GR30" t="e">
        <f>AND(Lifting!#REF!,"AAAAAGp7x8c=")</f>
        <v>#REF!</v>
      </c>
      <c r="GS30" t="e">
        <f>AND(Lifting!#REF!,"AAAAAGp7x8g=")</f>
        <v>#REF!</v>
      </c>
      <c r="GT30" t="e">
        <f>AND(Lifting!#REF!,"AAAAAGp7x8k=")</f>
        <v>#REF!</v>
      </c>
      <c r="GU30" t="e">
        <f>AND(Lifting!#REF!,"AAAAAGp7x8o=")</f>
        <v>#REF!</v>
      </c>
      <c r="GV30" t="e">
        <f>AND(Lifting!#REF!,"AAAAAGp7x8s=")</f>
        <v>#REF!</v>
      </c>
      <c r="GW30" t="e">
        <f>AND(Lifting!#REF!,"AAAAAGp7x8w=")</f>
        <v>#REF!</v>
      </c>
      <c r="GX30" t="e">
        <f>AND(Lifting!#REF!,"AAAAAGp7x80=")</f>
        <v>#REF!</v>
      </c>
      <c r="GY30" t="e">
        <f>AND(Lifting!#REF!,"AAAAAGp7x84=")</f>
        <v>#REF!</v>
      </c>
      <c r="GZ30" t="e">
        <f>AND(Lifting!#REF!,"AAAAAGp7x88=")</f>
        <v>#REF!</v>
      </c>
      <c r="HA30" t="e">
        <f>AND(Lifting!#REF!,"AAAAAGp7x9A=")</f>
        <v>#REF!</v>
      </c>
      <c r="HB30" t="e">
        <f>AND(Lifting!#REF!,"AAAAAGp7x9E=")</f>
        <v>#REF!</v>
      </c>
      <c r="HC30" t="e">
        <f>AND(Lifting!#REF!,"AAAAAGp7x9I=")</f>
        <v>#REF!</v>
      </c>
      <c r="HD30" t="e">
        <f>AND(Lifting!#REF!,"AAAAAGp7x9M=")</f>
        <v>#REF!</v>
      </c>
      <c r="HE30" t="e">
        <f>AND(Lifting!#REF!,"AAAAAGp7x9Q=")</f>
        <v>#REF!</v>
      </c>
      <c r="HF30" t="e">
        <f>AND(Lifting!#REF!,"AAAAAGp7x9U=")</f>
        <v>#REF!</v>
      </c>
      <c r="HG30" t="e">
        <f>AND(Lifting!#REF!,"AAAAAGp7x9Y=")</f>
        <v>#REF!</v>
      </c>
      <c r="HH30" t="e">
        <f>AND(Lifting!#REF!,"AAAAAGp7x9c=")</f>
        <v>#REF!</v>
      </c>
      <c r="HI30" t="e">
        <f>AND(Lifting!#REF!,"AAAAAGp7x9g=")</f>
        <v>#REF!</v>
      </c>
      <c r="HJ30" t="e">
        <f>AND(Lifting!#REF!,"AAAAAGp7x9k=")</f>
        <v>#REF!</v>
      </c>
      <c r="HK30" t="e">
        <f>AND(Lifting!#REF!,"AAAAAGp7x9o=")</f>
        <v>#REF!</v>
      </c>
      <c r="HL30" t="e">
        <f>AND(Lifting!#REF!,"AAAAAGp7x9s=")</f>
        <v>#REF!</v>
      </c>
      <c r="HM30" t="e">
        <f>AND(Lifting!#REF!,"AAAAAGp7x9w=")</f>
        <v>#REF!</v>
      </c>
      <c r="HN30">
        <f>IF(Lifting!A:A,"AAAAAGp7x90=",0)</f>
        <v>0</v>
      </c>
      <c r="HO30">
        <f>IF(Lifting!B:B,"AAAAAGp7x94=",0)</f>
        <v>0</v>
      </c>
      <c r="HP30">
        <f>IF(Lifting!C:C,"AAAAAGp7x98=",0)</f>
        <v>0</v>
      </c>
      <c r="HQ30">
        <f>IF(Lifting!D:D,"AAAAAGp7x+A=",0)</f>
        <v>0</v>
      </c>
      <c r="HR30">
        <f>IF(Lifting!E:E,"AAAAAGp7x+E=",0)</f>
        <v>0</v>
      </c>
      <c r="HS30">
        <f>IF(Lifting!F:F,"AAAAAGp7x+I=",0)</f>
        <v>0</v>
      </c>
      <c r="HT30">
        <f>IF(Lifting!G:G,"AAAAAGp7x+M=",0)</f>
        <v>0</v>
      </c>
      <c r="HU30">
        <f>IF(Lifting!H:H,"AAAAAGp7x+Q=",0)</f>
        <v>0</v>
      </c>
      <c r="HV30">
        <f>IF(Lifting!I:I,"AAAAAGp7x+U=",0)</f>
        <v>0</v>
      </c>
      <c r="HW30">
        <f>IF(Lifting!J:J,"AAAAAGp7x+Y=",0)</f>
        <v>0</v>
      </c>
      <c r="HX30">
        <f>IF(Lifting!K:K,"AAAAAGp7x+c=",0)</f>
        <v>0</v>
      </c>
      <c r="HY30">
        <f>IF(Lifting!L:L,"AAAAAGp7x+g=",0)</f>
        <v>0</v>
      </c>
      <c r="HZ30">
        <f>IF(Lifting!M:M,"AAAAAGp7x+k=",0)</f>
        <v>0</v>
      </c>
      <c r="IA30">
        <f>IF(Lifting!N:N,"AAAAAGp7x+o=",0)</f>
        <v>0</v>
      </c>
      <c r="IB30">
        <f>IF(Lifting!O:O,"AAAAAGp7x+s=",0)</f>
        <v>0</v>
      </c>
      <c r="IC30">
        <f>IF(Lifting!P:P,"AAAAAGp7x+w=",0)</f>
        <v>0</v>
      </c>
      <c r="ID30">
        <f>IF(Lifting!Q:Q,"AAAAAGp7x+0=",0)</f>
        <v>0</v>
      </c>
      <c r="IE30">
        <f>IF(Lifting!R:R,"AAAAAGp7x+4=",0)</f>
        <v>0</v>
      </c>
      <c r="IF30">
        <f>IF(Lifting!S:S,"AAAAAGp7x+8=",0)</f>
        <v>0</v>
      </c>
      <c r="IG30">
        <f>IF(Lifting!T:T,"AAAAAGp7x/A=",0)</f>
        <v>0</v>
      </c>
      <c r="IH30">
        <f>IF(Lifting!U:U,"AAAAAGp7x/E=",0)</f>
        <v>0</v>
      </c>
      <c r="II30">
        <f>IF(Lifting!V:V,"AAAAAGp7x/I=",0)</f>
        <v>0</v>
      </c>
      <c r="IJ30">
        <f>IF(Lifting!W:W,"AAAAAGp7x/M=",0)</f>
        <v>0</v>
      </c>
      <c r="IK30">
        <f>IF(Lifting!X:X,"AAAAAGp7x/Q=",0)</f>
        <v>0</v>
      </c>
      <c r="IL30">
        <f>IF(Lifting!Y:Y,"AAAAAGp7x/U=",0)</f>
        <v>0</v>
      </c>
      <c r="IM30">
        <f>IF(Lifting!Z:Z,"AAAAAGp7x/Y=",0)</f>
        <v>0</v>
      </c>
      <c r="IN30">
        <f>IF(Lifting!AA:AA,"AAAAAGp7x/c=",0)</f>
        <v>0</v>
      </c>
      <c r="IO30">
        <f>IF(Lifting!AB:AB,"AAAAAGp7x/g=",0)</f>
        <v>0</v>
      </c>
      <c r="IP30">
        <f>IF(Lifting!AC:AC,"AAAAAGp7x/k=",0)</f>
        <v>0</v>
      </c>
      <c r="IQ30">
        <f>IF(Lifting!AD:AD,"AAAAAGp7x/o=",0)</f>
        <v>0</v>
      </c>
      <c r="IR30">
        <f>IF(Lifting!AE:AE,"AAAAAGp7x/s=",0)</f>
        <v>0</v>
      </c>
      <c r="IS30">
        <f>IF(Lifting!AF:AF,"AAAAAGp7x/w=",0)</f>
        <v>0</v>
      </c>
      <c r="IT30">
        <f>IF(Lifting!AG:AG,"AAAAAGp7x/0=",0)</f>
        <v>0</v>
      </c>
      <c r="IU30">
        <f>IF(Lifting!AH:AH,"AAAAAGp7x/4=",0)</f>
        <v>0</v>
      </c>
      <c r="IV30">
        <f>IF(Lifting!AI:AI,"AAAAAGp7x/8=",0)</f>
        <v>0</v>
      </c>
    </row>
    <row r="31" spans="1:256">
      <c r="A31">
        <f>IF(Lifting!AJ:AJ,"AAAAAFdefwA=",0)</f>
        <v>0</v>
      </c>
      <c r="B31">
        <f>IF(Lifting!AK:AK,"AAAAAFdefwE=",0)</f>
        <v>0</v>
      </c>
      <c r="C31">
        <f>IF(Lifting!AL:AL,"AAAAAFdefwI=",0)</f>
        <v>0</v>
      </c>
      <c r="D31">
        <f>IF(Lifting!AM:AM,"AAAAAFdefwM=",0)</f>
        <v>0</v>
      </c>
      <c r="E31">
        <f>IF(Lifting!AN:AN,"AAAAAFdefwQ=",0)</f>
        <v>0</v>
      </c>
      <c r="F31">
        <f>IF(Lifting!AO:AO,"AAAAAFdefwU=",0)</f>
        <v>0</v>
      </c>
      <c r="G31">
        <f>IF(Lifting!AP:AP,"AAAAAFdefwY=",0)</f>
        <v>0</v>
      </c>
      <c r="H31">
        <f>IF(Lifting!AQ:AQ,"AAAAAFdefwc=",0)</f>
        <v>0</v>
      </c>
      <c r="I31">
        <f>IF(Lifting!AR:AR,"AAAAAFdefwg=",0)</f>
        <v>0</v>
      </c>
      <c r="J31">
        <f>IF(Lifting!AS:AS,"AAAAAFdefwk=",0)</f>
        <v>0</v>
      </c>
      <c r="K31">
        <f>IF(Lifting!AT:AT,"AAAAAFdefwo=",0)</f>
        <v>0</v>
      </c>
      <c r="L31">
        <f>IF(Lifting!AU:AU,"AAAAAFdefws=",0)</f>
        <v>0</v>
      </c>
      <c r="M31">
        <f>IF(Lifting!AV:AV,"AAAAAFdefww=",0)</f>
        <v>0</v>
      </c>
      <c r="N31">
        <f>IF(Lifting!AW:AW,"AAAAAFdefw0=",0)</f>
        <v>0</v>
      </c>
      <c r="O31">
        <f>IF(Lifting!AX:AX,"AAAAAFdefw4=",0)</f>
        <v>0</v>
      </c>
      <c r="P31">
        <f>IF(Lifting!AY:AY,"AAAAAFdefw8=",0)</f>
        <v>0</v>
      </c>
      <c r="Q31">
        <f>IF(Lifting!AZ:AZ,"AAAAAFdefxA=",0)</f>
        <v>0</v>
      </c>
      <c r="R31">
        <f>IF(Lifting!BA:BA,"AAAAAFdefxE=",0)</f>
        <v>0</v>
      </c>
      <c r="S31">
        <f>IF(Lifting!BB:BB,"AAAAAFdefxI=",0)</f>
        <v>0</v>
      </c>
      <c r="T31">
        <f>IF(Lifting!BC:BC,"AAAAAFdefxM=",0)</f>
        <v>0</v>
      </c>
      <c r="U31">
        <f>IF(Lifting!BD:BD,"AAAAAFdefxQ=",0)</f>
        <v>0</v>
      </c>
      <c r="V31">
        <f>IF(Lifting!BE:BE,"AAAAAFdefxU=",0)</f>
        <v>0</v>
      </c>
      <c r="W31">
        <f>IF(Lifting!BF:BF,"AAAAAFdefxY=",0)</f>
        <v>0</v>
      </c>
      <c r="X31">
        <f>IF(Lifting!BG:BG,"AAAAAFdefxc=",0)</f>
        <v>0</v>
      </c>
      <c r="Y31">
        <f>IF(Lifting!BH:BH,"AAAAAFdefxg=",0)</f>
        <v>0</v>
      </c>
      <c r="Z31">
        <f>IF(Lifting!BI:BI,"AAAAAFdefxk=",0)</f>
        <v>0</v>
      </c>
      <c r="AA31">
        <f>IF(Lifting!BJ:BJ,"AAAAAFdefxo=",0)</f>
        <v>0</v>
      </c>
      <c r="AB31">
        <f>IF(Lifting!BK:BK,"AAAAAFdefxs=",0)</f>
        <v>0</v>
      </c>
      <c r="AC31">
        <f>IF(Lifting!BL:BL,"AAAAAFdefxw=",0)</f>
        <v>0</v>
      </c>
      <c r="AD31">
        <f>IF(Lifting!BM:BM,"AAAAAFdefx0=",0)</f>
        <v>0</v>
      </c>
      <c r="AE31">
        <f>IF(Lifting!BN:BN,"AAAAAFdefx4=",0)</f>
        <v>0</v>
      </c>
      <c r="AF31">
        <f>IF(Lifting!BO:BO,"AAAAAFdefx8=",0)</f>
        <v>0</v>
      </c>
      <c r="AG31">
        <f>IF(Lifting!BP:BP,"AAAAAFdefyA=",0)</f>
        <v>0</v>
      </c>
      <c r="AH31">
        <f>IF(Lifting!BQ:BQ,"AAAAAFdefyE=",0)</f>
        <v>0</v>
      </c>
      <c r="AI31">
        <f>IF(Lifting!BR:BR,"AAAAAFdefyI=",0)</f>
        <v>0</v>
      </c>
      <c r="AJ31">
        <f>IF(Lifting!BS:BS,"AAAAAFdefyM=",0)</f>
        <v>0</v>
      </c>
      <c r="AK31">
        <f>IF(Lifting!BT:BT,"AAAAAFdefyQ=",0)</f>
        <v>0</v>
      </c>
      <c r="AL31">
        <f>IF(Lifting!BU:BU,"AAAAAFdefyU=",0)</f>
        <v>0</v>
      </c>
      <c r="AM31">
        <f>IF(Lifting!BV:BV,"AAAAAFdefyY=",0)</f>
        <v>0</v>
      </c>
      <c r="AN31">
        <f>IF(Lifting!BW:BW,"AAAAAFdefyc=",0)</f>
        <v>0</v>
      </c>
      <c r="AO31">
        <f>IF(Lifting!BX:BX,"AAAAAFdefyg=",0)</f>
        <v>0</v>
      </c>
      <c r="AP31">
        <f>IF(Lifting!BY:BY,"AAAAAFdefyk=",0)</f>
        <v>0</v>
      </c>
      <c r="AQ31">
        <f>IF(Lifting!BZ:BZ,"AAAAAFdefyo=",0)</f>
        <v>0</v>
      </c>
      <c r="AR31">
        <f>IF(Lifting!CA:CA,"AAAAAFdefys=",0)</f>
        <v>0</v>
      </c>
      <c r="AS31">
        <f>IF(Lifting!CB:CB,"AAAAAFdefyw=",0)</f>
        <v>0</v>
      </c>
      <c r="AT31">
        <f>IF(Lifting!CC:CC,"AAAAAFdefy0=",0)</f>
        <v>0</v>
      </c>
      <c r="AU31">
        <f>IF(Lifting!CD:CD,"AAAAAFdefy4=",0)</f>
        <v>0</v>
      </c>
      <c r="AV31">
        <f>IF(Lifting!CE:CE,"AAAAAFdefy8=",0)</f>
        <v>0</v>
      </c>
      <c r="AW31">
        <f>IF(Lifting!CF:CF,"AAAAAFdefzA=",0)</f>
        <v>0</v>
      </c>
      <c r="AX31">
        <f>IF(Lifting!CG:CG,"AAAAAFdefzE=",0)</f>
        <v>0</v>
      </c>
      <c r="AY31">
        <f>IF(Lifting!CH:CH,"AAAAAFdefzI=",0)</f>
        <v>0</v>
      </c>
      <c r="AZ31">
        <f>IF(Lifting!CI:CI,"AAAAAFdefzM=",0)</f>
        <v>0</v>
      </c>
      <c r="BA31">
        <f>IF(Lifting!CJ:CJ,"AAAAAFdefzQ=",0)</f>
        <v>0</v>
      </c>
      <c r="BB31">
        <f>IF(Lifting!CK:CK,"AAAAAFdefzU=",0)</f>
        <v>0</v>
      </c>
      <c r="BC31">
        <f>IF(Lifting!CL:CL,"AAAAAFdefzY=",0)</f>
        <v>0</v>
      </c>
      <c r="BD31">
        <f>IF(Lifting!CM:CM,"AAAAAFdefzc=",0)</f>
        <v>0</v>
      </c>
      <c r="BE31">
        <f>IF(Lifting!CN:CN,"AAAAAFdefzg=",0)</f>
        <v>0</v>
      </c>
      <c r="BF31">
        <f>IF(Lifting!CO:CO,"AAAAAFdefzk=",0)</f>
        <v>0</v>
      </c>
      <c r="BG31">
        <f>IF(Lifting!CP:CP,"AAAAAFdefzo=",0)</f>
        <v>0</v>
      </c>
      <c r="BH31">
        <f>IF(Lifting!CQ:CQ,"AAAAAFdefzs=",0)</f>
        <v>0</v>
      </c>
      <c r="BI31">
        <f>IF(Lifting!CR:CR,"AAAAAFdefzw=",0)</f>
        <v>0</v>
      </c>
      <c r="BJ31">
        <f>IF(Lifting!CS:CS,"AAAAAFdefz0=",0)</f>
        <v>0</v>
      </c>
      <c r="BK31">
        <f>IF(Lifting!CT:CT,"AAAAAFdefz4=",0)</f>
        <v>0</v>
      </c>
      <c r="BL31">
        <f>IF(Lifting!CU:CU,"AAAAAFdefz8=",0)</f>
        <v>0</v>
      </c>
      <c r="BM31">
        <f>IF(Lifting!CV:CV,"AAAAAFdef0A=",0)</f>
        <v>0</v>
      </c>
      <c r="BN31">
        <f>IF(Lifting!CW:CW,"AAAAAFdef0E=",0)</f>
        <v>0</v>
      </c>
      <c r="BO31">
        <f>IF(Lifting!CX:CX,"AAAAAFdef0I=",0)</f>
        <v>0</v>
      </c>
      <c r="BP31">
        <f>IF(Lifting!CY:CY,"AAAAAFdef0M=",0)</f>
        <v>0</v>
      </c>
      <c r="BQ31">
        <f>IF(Lifting!CZ:CZ,"AAAAAFdef0Q=",0)</f>
        <v>0</v>
      </c>
      <c r="BR31">
        <f>IF(Lifting!DA:DA,"AAAAAFdef0U=",0)</f>
        <v>0</v>
      </c>
      <c r="BS31">
        <f>IF(Lifting!DB:DB,"AAAAAFdef0Y=",0)</f>
        <v>0</v>
      </c>
      <c r="BT31">
        <f>IF(Lifting!DC:DC,"AAAAAFdef0c=",0)</f>
        <v>0</v>
      </c>
      <c r="BU31">
        <f>IF(Lifting!DD:DD,"AAAAAFdef0g=",0)</f>
        <v>0</v>
      </c>
      <c r="BV31">
        <f>IF(Lifting!DE:DE,"AAAAAFdef0k=",0)</f>
        <v>0</v>
      </c>
      <c r="BW31">
        <f>IF(Lifting!DF:DF,"AAAAAFdef0o=",0)</f>
        <v>0</v>
      </c>
      <c r="BX31">
        <f>IF(Lifting!DG:DG,"AAAAAFdef0s=",0)</f>
        <v>0</v>
      </c>
      <c r="BY31">
        <f>IF(Lifting!DH:DH,"AAAAAFdef0w=",0)</f>
        <v>0</v>
      </c>
      <c r="BZ31">
        <f>IF(Lifting!DI:DI,"AAAAAFdef00=",0)</f>
        <v>0</v>
      </c>
      <c r="CA31">
        <f>IF(Lifting!DJ:DJ,"AAAAAFdef04=",0)</f>
        <v>0</v>
      </c>
      <c r="CB31">
        <f>IF(Lifting!DK:DK,"AAAAAFdef08=",0)</f>
        <v>0</v>
      </c>
      <c r="CC31">
        <f>IF(Lifting!DL:DL,"AAAAAFdef1A=",0)</f>
        <v>0</v>
      </c>
      <c r="CD31">
        <f>IF(Lifting!DM:DM,"AAAAAFdef1E=",0)</f>
        <v>0</v>
      </c>
      <c r="CE31">
        <f>IF(Lifting!DN:DN,"AAAAAFdef1I=",0)</f>
        <v>0</v>
      </c>
      <c r="CF31">
        <f>IF(Lifting!DO:DO,"AAAAAFdef1M=",0)</f>
        <v>0</v>
      </c>
      <c r="CG31">
        <f>IF(Lifting!DP:DP,"AAAAAFdef1Q=",0)</f>
        <v>0</v>
      </c>
      <c r="CH31">
        <f>IF(Lifting!DQ:DQ,"AAAAAFdef1U=",0)</f>
        <v>0</v>
      </c>
      <c r="CI31">
        <f>IF(Lifting!DR:DR,"AAAAAFdef1Y=",0)</f>
        <v>0</v>
      </c>
      <c r="CJ31">
        <f>IF(Lifting!DS:DS,"AAAAAFdef1c=",0)</f>
        <v>0</v>
      </c>
      <c r="CK31">
        <f>IF(Lifting!DT:DT,"AAAAAFdef1g=",0)</f>
        <v>0</v>
      </c>
      <c r="CL31">
        <f>IF(Lifting!DU:DU,"AAAAAFdef1k=",0)</f>
        <v>0</v>
      </c>
      <c r="CM31">
        <f>IF(Lifting!DV:DV,"AAAAAFdef1o=",0)</f>
        <v>0</v>
      </c>
      <c r="CN31">
        <f>IF(Lifting!DW:DW,"AAAAAFdef1s=",0)</f>
        <v>0</v>
      </c>
      <c r="CO31">
        <f>IF(Lifting!DX:DX,"AAAAAFdef1w=",0)</f>
        <v>0</v>
      </c>
      <c r="CP31">
        <f>IF(Lifting!DY:DY,"AAAAAFdef10=",0)</f>
        <v>0</v>
      </c>
      <c r="CQ31">
        <f>IF(Lifting!DZ:DZ,"AAAAAFdef14=",0)</f>
        <v>0</v>
      </c>
      <c r="CR31">
        <f>IF(Lifting!EA:EA,"AAAAAFdef18=",0)</f>
        <v>0</v>
      </c>
      <c r="CS31">
        <f>IF(Lifting!EB:EB,"AAAAAFdef2A=",0)</f>
        <v>0</v>
      </c>
      <c r="CT31">
        <f>IF(Lifting!EC:EC,"AAAAAFdef2E=",0)</f>
        <v>0</v>
      </c>
      <c r="CU31">
        <f>IF(Lifting!ED:ED,"AAAAAFdef2I=",0)</f>
        <v>0</v>
      </c>
      <c r="CV31">
        <f>IF(Lifting!EE:EE,"AAAAAFdef2M=",0)</f>
        <v>0</v>
      </c>
      <c r="CW31">
        <f>IF(Lifting!EF:EF,"AAAAAFdef2Q=",0)</f>
        <v>0</v>
      </c>
      <c r="CX31">
        <f>IF(Lifting!EG:EG,"AAAAAFdef2U=",0)</f>
        <v>0</v>
      </c>
      <c r="CY31">
        <f>IF(Lifting!EH:EH,"AAAAAFdef2Y=",0)</f>
        <v>0</v>
      </c>
      <c r="CZ31">
        <f>IF(Lifting!EI:EI,"AAAAAFdef2c=",0)</f>
        <v>0</v>
      </c>
      <c r="DA31">
        <f>IF(Lifting!EJ:EJ,"AAAAAFdef2g=",0)</f>
        <v>0</v>
      </c>
      <c r="DB31">
        <f>IF(Lifting!EK:EK,"AAAAAFdef2k=",0)</f>
        <v>0</v>
      </c>
      <c r="DC31">
        <f>IF(Lifting!EL:EL,"AAAAAFdef2o=",0)</f>
        <v>0</v>
      </c>
      <c r="DD31">
        <f>IF(Lifting!EM:EM,"AAAAAFdef2s=",0)</f>
        <v>0</v>
      </c>
      <c r="DE31">
        <f>IF(Lifting!EN:EN,"AAAAAFdef2w=",0)</f>
        <v>0</v>
      </c>
      <c r="DF31">
        <f>IF(Lifting!EO:EO,"AAAAAFdef20=",0)</f>
        <v>0</v>
      </c>
      <c r="DG31">
        <f>IF(Lifting!EP:EP,"AAAAAFdef24=",0)</f>
        <v>0</v>
      </c>
      <c r="DH31">
        <f>IF(Lifting!EQ:EQ,"AAAAAFdef28=",0)</f>
        <v>0</v>
      </c>
      <c r="DI31">
        <f>IF(Lifting!ER:ER,"AAAAAFdef3A=",0)</f>
        <v>0</v>
      </c>
      <c r="DJ31">
        <f>IF(Lifting!ES:ES,"AAAAAFdef3E=",0)</f>
        <v>0</v>
      </c>
      <c r="DK31">
        <f>IF(Lifting!ET:ET,"AAAAAFdef3I=",0)</f>
        <v>0</v>
      </c>
      <c r="DL31">
        <f>IF(Lifting!EU:EU,"AAAAAFdef3M=",0)</f>
        <v>0</v>
      </c>
      <c r="DM31">
        <f>IF(Lifting!EV:EV,"AAAAAFdef3Q=",0)</f>
        <v>0</v>
      </c>
      <c r="DN31">
        <f>IF(Lifting!EW:EW,"AAAAAFdef3U=",0)</f>
        <v>0</v>
      </c>
      <c r="DO31">
        <f>IF(Lifting!EX:EX,"AAAAAFdef3Y=",0)</f>
        <v>0</v>
      </c>
      <c r="DP31">
        <f>IF(Lifting!EY:EY,"AAAAAFdef3c=",0)</f>
        <v>0</v>
      </c>
      <c r="DQ31">
        <f>IF(Lifting!EZ:EZ,"AAAAAFdef3g=",0)</f>
        <v>0</v>
      </c>
      <c r="DR31">
        <f>IF(Lifting!FA:FA,"AAAAAFdef3k=",0)</f>
        <v>0</v>
      </c>
      <c r="DS31">
        <f>IF(Lifting!FB:FB,"AAAAAFdef3o=",0)</f>
        <v>0</v>
      </c>
      <c r="DT31">
        <f>IF(Lifting!FC:FC,"AAAAAFdef3s=",0)</f>
        <v>0</v>
      </c>
      <c r="DU31">
        <f>IF(Lifting!FD:FD,"AAAAAFdef3w=",0)</f>
        <v>0</v>
      </c>
      <c r="DV31">
        <f>IF(Lifting!FE:FE,"AAAAAFdef30=",0)</f>
        <v>0</v>
      </c>
      <c r="DW31">
        <f>IF(Lifting!FF:FF,"AAAAAFdef34=",0)</f>
        <v>0</v>
      </c>
      <c r="DX31">
        <f>IF(Lifting!FG:FG,"AAAAAFdef38=",0)</f>
        <v>0</v>
      </c>
      <c r="DY31">
        <f>IF(Lifting!FH:FH,"AAAAAFdef4A=",0)</f>
        <v>0</v>
      </c>
      <c r="DZ31">
        <f>IF(Lifting!FI:FI,"AAAAAFdef4E=",0)</f>
        <v>0</v>
      </c>
      <c r="EA31">
        <f>IF(Lifting!FJ:FJ,"AAAAAFdef4I=",0)</f>
        <v>0</v>
      </c>
      <c r="EB31">
        <f>IF(Lifting!FK:FK,"AAAAAFdef4M=",0)</f>
        <v>0</v>
      </c>
      <c r="EC31">
        <f>IF(Lifting!FL:FL,"AAAAAFdef4Q=",0)</f>
        <v>0</v>
      </c>
      <c r="ED31">
        <f>IF(Lifting!FM:FM,"AAAAAFdef4U=",0)</f>
        <v>0</v>
      </c>
      <c r="EE31">
        <f>IF(Lifting!FN:FN,"AAAAAFdef4Y=",0)</f>
        <v>0</v>
      </c>
      <c r="EF31">
        <f>IF(Lifting!FO:FO,"AAAAAFdef4c=",0)</f>
        <v>0</v>
      </c>
      <c r="EG31">
        <f>IF(Lifting!FP:FP,"AAAAAFdef4g=",0)</f>
        <v>0</v>
      </c>
      <c r="EH31">
        <f>IF(Lifting!FQ:FQ,"AAAAAFdef4k=",0)</f>
        <v>0</v>
      </c>
      <c r="EI31">
        <f>IF(Lifting!FR:FR,"AAAAAFdef4o=",0)</f>
        <v>0</v>
      </c>
      <c r="EJ31">
        <f>IF(Lifting!FS:FS,"AAAAAFdef4s=",0)</f>
        <v>0</v>
      </c>
      <c r="EK31">
        <f>IF(Lifting!FT:FT,"AAAAAFdef4w=",0)</f>
        <v>0</v>
      </c>
      <c r="EL31" t="e">
        <f>IF(#REF!,"AAAAAFdef40=",0)</f>
        <v>#REF!</v>
      </c>
      <c r="EM31" t="e">
        <f>AND(#REF!,"AAAAAFdef44=")</f>
        <v>#REF!</v>
      </c>
      <c r="EN31" t="e">
        <f>AND(#REF!,"AAAAAFdef48=")</f>
        <v>#REF!</v>
      </c>
      <c r="EO31" t="e">
        <f>AND(#REF!,"AAAAAFdef5A=")</f>
        <v>#REF!</v>
      </c>
      <c r="EP31" t="e">
        <f>AND(#REF!,"AAAAAFdef5E=")</f>
        <v>#REF!</v>
      </c>
      <c r="EQ31" t="e">
        <f>AND(#REF!,"AAAAAFdef5I=")</f>
        <v>#REF!</v>
      </c>
      <c r="ER31" t="e">
        <f>AND(#REF!,"AAAAAFdef5M=")</f>
        <v>#REF!</v>
      </c>
      <c r="ES31" t="e">
        <f>AND(#REF!,"AAAAAFdef5Q=")</f>
        <v>#REF!</v>
      </c>
      <c r="ET31" t="e">
        <f>AND(#REF!,"AAAAAFdef5U=")</f>
        <v>#REF!</v>
      </c>
      <c r="EU31" t="e">
        <f>AND(#REF!,"AAAAAFdef5Y=")</f>
        <v>#REF!</v>
      </c>
      <c r="EV31" t="e">
        <f>AND(#REF!,"AAAAAFdef5c=")</f>
        <v>#REF!</v>
      </c>
      <c r="EW31" t="e">
        <f>AND(#REF!,"AAAAAFdef5g=")</f>
        <v>#REF!</v>
      </c>
      <c r="EX31" t="e">
        <f>AND(#REF!,"AAAAAFdef5k=")</f>
        <v>#REF!</v>
      </c>
      <c r="EY31" t="e">
        <f>AND(#REF!,"AAAAAFdef5o=")</f>
        <v>#REF!</v>
      </c>
      <c r="EZ31" t="e">
        <f>AND(#REF!,"AAAAAFdef5s=")</f>
        <v>#REF!</v>
      </c>
      <c r="FA31" t="e">
        <f>AND(#REF!,"AAAAAFdef5w=")</f>
        <v>#REF!</v>
      </c>
      <c r="FB31" t="e">
        <f>AND(#REF!,"AAAAAFdef50=")</f>
        <v>#REF!</v>
      </c>
      <c r="FC31" t="e">
        <f>AND(#REF!,"AAAAAFdef54=")</f>
        <v>#REF!</v>
      </c>
      <c r="FD31" t="e">
        <f>AND(#REF!,"AAAAAFdef58=")</f>
        <v>#REF!</v>
      </c>
      <c r="FE31" t="e">
        <f>AND(#REF!,"AAAAAFdef6A=")</f>
        <v>#REF!</v>
      </c>
      <c r="FF31" t="e">
        <f>AND(#REF!,"AAAAAFdef6E=")</f>
        <v>#REF!</v>
      </c>
      <c r="FG31" t="e">
        <f>AND(#REF!,"AAAAAFdef6I=")</f>
        <v>#REF!</v>
      </c>
      <c r="FH31" t="e">
        <f>AND(#REF!,"AAAAAFdef6M=")</f>
        <v>#REF!</v>
      </c>
      <c r="FI31" t="e">
        <f>AND(#REF!,"AAAAAFdef6Q=")</f>
        <v>#REF!</v>
      </c>
      <c r="FJ31" t="e">
        <f>AND(#REF!,"AAAAAFdef6U=")</f>
        <v>#REF!</v>
      </c>
      <c r="FK31" t="e">
        <f>AND(#REF!,"AAAAAFdef6Y=")</f>
        <v>#REF!</v>
      </c>
      <c r="FL31" t="e">
        <f>AND(#REF!,"AAAAAFdef6c=")</f>
        <v>#REF!</v>
      </c>
      <c r="FM31" t="e">
        <f>AND(#REF!,"AAAAAFdef6g=")</f>
        <v>#REF!</v>
      </c>
      <c r="FN31" t="e">
        <f>AND(#REF!,"AAAAAFdef6k=")</f>
        <v>#REF!</v>
      </c>
      <c r="FO31" t="e">
        <f>AND(#REF!,"AAAAAFdef6o=")</f>
        <v>#REF!</v>
      </c>
      <c r="FP31" t="e">
        <f>AND(#REF!,"AAAAAFdef6s=")</f>
        <v>#REF!</v>
      </c>
      <c r="FQ31" t="e">
        <f>IF(#REF!,"AAAAAFdef6w=",0)</f>
        <v>#REF!</v>
      </c>
      <c r="FR31" t="e">
        <f>AND(#REF!,"AAAAAFdef60=")</f>
        <v>#REF!</v>
      </c>
      <c r="FS31" t="e">
        <f>AND(#REF!,"AAAAAFdef64=")</f>
        <v>#REF!</v>
      </c>
      <c r="FT31" t="e">
        <f>AND(#REF!,"AAAAAFdef68=")</f>
        <v>#REF!</v>
      </c>
      <c r="FU31" t="e">
        <f>AND(#REF!,"AAAAAFdef7A=")</f>
        <v>#REF!</v>
      </c>
      <c r="FV31" t="e">
        <f>AND(#REF!,"AAAAAFdef7E=")</f>
        <v>#REF!</v>
      </c>
      <c r="FW31" t="e">
        <f>AND(#REF!,"AAAAAFdef7I=")</f>
        <v>#REF!</v>
      </c>
      <c r="FX31" t="e">
        <f>AND(#REF!,"AAAAAFdef7M=")</f>
        <v>#REF!</v>
      </c>
      <c r="FY31" t="e">
        <f>AND(#REF!,"AAAAAFdef7Q=")</f>
        <v>#REF!</v>
      </c>
      <c r="FZ31" t="e">
        <f>AND(#REF!,"AAAAAFdef7U=")</f>
        <v>#REF!</v>
      </c>
      <c r="GA31" t="e">
        <f>AND(#REF!,"AAAAAFdef7Y=")</f>
        <v>#REF!</v>
      </c>
      <c r="GB31" t="e">
        <f>AND(#REF!,"AAAAAFdef7c=")</f>
        <v>#REF!</v>
      </c>
      <c r="GC31" t="e">
        <f>AND(#REF!,"AAAAAFdef7g=")</f>
        <v>#REF!</v>
      </c>
      <c r="GD31" t="e">
        <f>AND(#REF!,"AAAAAFdef7k=")</f>
        <v>#REF!</v>
      </c>
      <c r="GE31" t="e">
        <f>AND(#REF!,"AAAAAFdef7o=")</f>
        <v>#REF!</v>
      </c>
      <c r="GF31" t="e">
        <f>AND(#REF!,"AAAAAFdef7s=")</f>
        <v>#REF!</v>
      </c>
      <c r="GG31" t="e">
        <f>AND(#REF!,"AAAAAFdef7w=")</f>
        <v>#REF!</v>
      </c>
      <c r="GH31" t="e">
        <f>AND(#REF!,"AAAAAFdef70=")</f>
        <v>#REF!</v>
      </c>
      <c r="GI31" t="e">
        <f>AND(#REF!,"AAAAAFdef74=")</f>
        <v>#REF!</v>
      </c>
      <c r="GJ31" t="e">
        <f>AND(#REF!,"AAAAAFdef78=")</f>
        <v>#REF!</v>
      </c>
      <c r="GK31" t="e">
        <f>AND(#REF!,"AAAAAFdef8A=")</f>
        <v>#REF!</v>
      </c>
      <c r="GL31" t="e">
        <f>AND(#REF!,"AAAAAFdef8E=")</f>
        <v>#REF!</v>
      </c>
      <c r="GM31" t="e">
        <f>AND(#REF!,"AAAAAFdef8I=")</f>
        <v>#REF!</v>
      </c>
      <c r="GN31" t="e">
        <f>AND(#REF!,"AAAAAFdef8M=")</f>
        <v>#REF!</v>
      </c>
      <c r="GO31" t="e">
        <f>AND(#REF!,"AAAAAFdef8Q=")</f>
        <v>#REF!</v>
      </c>
      <c r="GP31" t="e">
        <f>AND(#REF!,"AAAAAFdef8U=")</f>
        <v>#REF!</v>
      </c>
      <c r="GQ31" t="e">
        <f>AND(#REF!,"AAAAAFdef8Y=")</f>
        <v>#REF!</v>
      </c>
      <c r="GR31" t="e">
        <f>AND(#REF!,"AAAAAFdef8c=")</f>
        <v>#REF!</v>
      </c>
      <c r="GS31" t="e">
        <f>AND(#REF!,"AAAAAFdef8g=")</f>
        <v>#REF!</v>
      </c>
      <c r="GT31" t="e">
        <f>AND(#REF!,"AAAAAFdef8k=")</f>
        <v>#REF!</v>
      </c>
      <c r="GU31" t="e">
        <f>AND(#REF!,"AAAAAFdef8o=")</f>
        <v>#REF!</v>
      </c>
      <c r="GV31" t="e">
        <f>IF(#REF!,"AAAAAFdef8s=",0)</f>
        <v>#REF!</v>
      </c>
      <c r="GW31" t="e">
        <f>AND(#REF!,"AAAAAFdef8w=")</f>
        <v>#REF!</v>
      </c>
      <c r="GX31" t="e">
        <f>AND(#REF!,"AAAAAFdef80=")</f>
        <v>#REF!</v>
      </c>
      <c r="GY31" t="e">
        <f>AND(#REF!,"AAAAAFdef84=")</f>
        <v>#REF!</v>
      </c>
      <c r="GZ31" t="e">
        <f>AND(#REF!,"AAAAAFdef88=")</f>
        <v>#REF!</v>
      </c>
      <c r="HA31" t="e">
        <f>AND(#REF!,"AAAAAFdef9A=")</f>
        <v>#REF!</v>
      </c>
      <c r="HB31" t="e">
        <f>AND(#REF!,"AAAAAFdef9E=")</f>
        <v>#REF!</v>
      </c>
      <c r="HC31" t="e">
        <f>AND(#REF!,"AAAAAFdef9I=")</f>
        <v>#REF!</v>
      </c>
      <c r="HD31" t="e">
        <f>AND(#REF!,"AAAAAFdef9M=")</f>
        <v>#REF!</v>
      </c>
      <c r="HE31" t="e">
        <f>AND(#REF!,"AAAAAFdef9Q=")</f>
        <v>#REF!</v>
      </c>
      <c r="HF31" t="e">
        <f>AND(#REF!,"AAAAAFdef9U=")</f>
        <v>#REF!</v>
      </c>
      <c r="HG31" t="e">
        <f>AND(#REF!,"AAAAAFdef9Y=")</f>
        <v>#REF!</v>
      </c>
      <c r="HH31" t="e">
        <f>AND(#REF!,"AAAAAFdef9c=")</f>
        <v>#REF!</v>
      </c>
      <c r="HI31" t="e">
        <f>AND(#REF!,"AAAAAFdef9g=")</f>
        <v>#REF!</v>
      </c>
      <c r="HJ31" t="e">
        <f>AND(#REF!,"AAAAAFdef9k=")</f>
        <v>#REF!</v>
      </c>
      <c r="HK31" t="e">
        <f>AND(#REF!,"AAAAAFdef9o=")</f>
        <v>#REF!</v>
      </c>
      <c r="HL31" t="e">
        <f>AND(#REF!,"AAAAAFdef9s=")</f>
        <v>#REF!</v>
      </c>
      <c r="HM31" t="e">
        <f>AND(#REF!,"AAAAAFdef9w=")</f>
        <v>#REF!</v>
      </c>
      <c r="HN31" t="e">
        <f>AND(#REF!,"AAAAAFdef90=")</f>
        <v>#REF!</v>
      </c>
      <c r="HO31" t="e">
        <f>AND(#REF!,"AAAAAFdef94=")</f>
        <v>#REF!</v>
      </c>
      <c r="HP31" t="e">
        <f>AND(#REF!,"AAAAAFdef98=")</f>
        <v>#REF!</v>
      </c>
      <c r="HQ31" t="e">
        <f>AND(#REF!,"AAAAAFdef+A=")</f>
        <v>#REF!</v>
      </c>
      <c r="HR31" t="e">
        <f>AND(#REF!,"AAAAAFdef+E=")</f>
        <v>#REF!</v>
      </c>
      <c r="HS31" t="e">
        <f>AND(#REF!,"AAAAAFdef+I=")</f>
        <v>#REF!</v>
      </c>
      <c r="HT31" t="e">
        <f>AND(#REF!,"AAAAAFdef+M=")</f>
        <v>#REF!</v>
      </c>
      <c r="HU31" t="e">
        <f>AND(#REF!,"AAAAAFdef+Q=")</f>
        <v>#REF!</v>
      </c>
      <c r="HV31" t="e">
        <f>AND(#REF!,"AAAAAFdef+U=")</f>
        <v>#REF!</v>
      </c>
      <c r="HW31" t="e">
        <f>AND(#REF!,"AAAAAFdef+Y=")</f>
        <v>#REF!</v>
      </c>
      <c r="HX31" t="e">
        <f>AND(#REF!,"AAAAAFdef+c=")</f>
        <v>#REF!</v>
      </c>
      <c r="HY31" t="e">
        <f>AND(#REF!,"AAAAAFdef+g=")</f>
        <v>#REF!</v>
      </c>
      <c r="HZ31" t="e">
        <f>AND(#REF!,"AAAAAFdef+k=")</f>
        <v>#REF!</v>
      </c>
      <c r="IA31" t="e">
        <f>IF(#REF!,"AAAAAFdef+o=",0)</f>
        <v>#REF!</v>
      </c>
      <c r="IB31" t="e">
        <f>AND(#REF!,"AAAAAFdef+s=")</f>
        <v>#REF!</v>
      </c>
      <c r="IC31" t="e">
        <f>AND(#REF!,"AAAAAFdef+w=")</f>
        <v>#REF!</v>
      </c>
      <c r="ID31" t="e">
        <f>AND(#REF!,"AAAAAFdef+0=")</f>
        <v>#REF!</v>
      </c>
      <c r="IE31" t="e">
        <f>AND(#REF!,"AAAAAFdef+4=")</f>
        <v>#REF!</v>
      </c>
      <c r="IF31" t="e">
        <f>AND(#REF!,"AAAAAFdef+8=")</f>
        <v>#REF!</v>
      </c>
      <c r="IG31" t="e">
        <f>AND(#REF!,"AAAAAFdef/A=")</f>
        <v>#REF!</v>
      </c>
      <c r="IH31" t="e">
        <f>AND(#REF!,"AAAAAFdef/E=")</f>
        <v>#REF!</v>
      </c>
      <c r="II31" t="e">
        <f>AND(#REF!,"AAAAAFdef/I=")</f>
        <v>#REF!</v>
      </c>
      <c r="IJ31" t="e">
        <f>AND(#REF!,"AAAAAFdef/M=")</f>
        <v>#REF!</v>
      </c>
      <c r="IK31" t="e">
        <f>AND(#REF!,"AAAAAFdef/Q=")</f>
        <v>#REF!</v>
      </c>
      <c r="IL31" t="e">
        <f>AND(#REF!,"AAAAAFdef/U=")</f>
        <v>#REF!</v>
      </c>
      <c r="IM31" t="e">
        <f>AND(#REF!,"AAAAAFdef/Y=")</f>
        <v>#REF!</v>
      </c>
      <c r="IN31" t="e">
        <f>AND(#REF!,"AAAAAFdef/c=")</f>
        <v>#REF!</v>
      </c>
      <c r="IO31" t="e">
        <f>AND(#REF!,"AAAAAFdef/g=")</f>
        <v>#REF!</v>
      </c>
      <c r="IP31" t="e">
        <f>AND(#REF!,"AAAAAFdef/k=")</f>
        <v>#REF!</v>
      </c>
      <c r="IQ31" t="e">
        <f>AND(#REF!,"AAAAAFdef/o=")</f>
        <v>#REF!</v>
      </c>
      <c r="IR31" t="e">
        <f>AND(#REF!,"AAAAAFdef/s=")</f>
        <v>#REF!</v>
      </c>
      <c r="IS31" t="e">
        <f>AND(#REF!,"AAAAAFdef/w=")</f>
        <v>#REF!</v>
      </c>
      <c r="IT31" t="e">
        <f>AND(#REF!,"AAAAAFdef/0=")</f>
        <v>#REF!</v>
      </c>
      <c r="IU31" t="e">
        <f>AND(#REF!,"AAAAAFdef/4=")</f>
        <v>#REF!</v>
      </c>
      <c r="IV31" t="e">
        <f>AND(#REF!,"AAAAAFdef/8=")</f>
        <v>#REF!</v>
      </c>
    </row>
    <row r="32" spans="1:256">
      <c r="A32" t="e">
        <f>AND(#REF!,"AAAAAG3/9wA=")</f>
        <v>#REF!</v>
      </c>
      <c r="B32" t="e">
        <f>AND(#REF!,"AAAAAG3/9wE=")</f>
        <v>#REF!</v>
      </c>
      <c r="C32" t="e">
        <f>AND(#REF!,"AAAAAG3/9wI=")</f>
        <v>#REF!</v>
      </c>
      <c r="D32" t="e">
        <f>AND(#REF!,"AAAAAG3/9wM=")</f>
        <v>#REF!</v>
      </c>
      <c r="E32" t="e">
        <f>AND(#REF!,"AAAAAG3/9wQ=")</f>
        <v>#REF!</v>
      </c>
      <c r="F32" t="e">
        <f>AND(#REF!,"AAAAAG3/9wU=")</f>
        <v>#REF!</v>
      </c>
      <c r="G32" t="e">
        <f>AND(#REF!,"AAAAAG3/9wY=")</f>
        <v>#REF!</v>
      </c>
      <c r="H32" t="e">
        <f>AND(#REF!,"AAAAAG3/9wc=")</f>
        <v>#REF!</v>
      </c>
      <c r="I32" t="e">
        <f>AND(#REF!,"AAAAAG3/9wg=")</f>
        <v>#REF!</v>
      </c>
      <c r="J32" t="e">
        <f>IF(#REF!,"AAAAAG3/9wk=",0)</f>
        <v>#REF!</v>
      </c>
      <c r="K32" t="e">
        <f>AND(#REF!,"AAAAAG3/9wo=")</f>
        <v>#REF!</v>
      </c>
      <c r="L32" t="e">
        <f>AND(#REF!,"AAAAAG3/9ws=")</f>
        <v>#REF!</v>
      </c>
      <c r="M32" t="e">
        <f>AND(#REF!,"AAAAAG3/9ww=")</f>
        <v>#REF!</v>
      </c>
      <c r="N32" t="e">
        <f>AND(#REF!,"AAAAAG3/9w0=")</f>
        <v>#REF!</v>
      </c>
      <c r="O32" t="e">
        <f>AND(#REF!,"AAAAAG3/9w4=")</f>
        <v>#REF!</v>
      </c>
      <c r="P32" t="e">
        <f>AND(#REF!,"AAAAAG3/9w8=")</f>
        <v>#REF!</v>
      </c>
      <c r="Q32" t="e">
        <f>AND(#REF!,"AAAAAG3/9xA=")</f>
        <v>#REF!</v>
      </c>
      <c r="R32" t="e">
        <f>AND(#REF!,"AAAAAG3/9xE=")</f>
        <v>#REF!</v>
      </c>
      <c r="S32" t="e">
        <f>AND(#REF!,"AAAAAG3/9xI=")</f>
        <v>#REF!</v>
      </c>
      <c r="T32" t="e">
        <f>AND(#REF!,"AAAAAG3/9xM=")</f>
        <v>#REF!</v>
      </c>
      <c r="U32" t="e">
        <f>AND(#REF!,"AAAAAG3/9xQ=")</f>
        <v>#REF!</v>
      </c>
      <c r="V32" t="e">
        <f>AND(#REF!,"AAAAAG3/9xU=")</f>
        <v>#REF!</v>
      </c>
      <c r="W32" t="e">
        <f>AND(#REF!,"AAAAAG3/9xY=")</f>
        <v>#REF!</v>
      </c>
      <c r="X32" t="e">
        <f>AND(#REF!,"AAAAAG3/9xc=")</f>
        <v>#REF!</v>
      </c>
      <c r="Y32" t="e">
        <f>AND(#REF!,"AAAAAG3/9xg=")</f>
        <v>#REF!</v>
      </c>
      <c r="Z32" t="e">
        <f>AND(#REF!,"AAAAAG3/9xk=")</f>
        <v>#REF!</v>
      </c>
      <c r="AA32" t="e">
        <f>AND(#REF!,"AAAAAG3/9xo=")</f>
        <v>#REF!</v>
      </c>
      <c r="AB32" t="e">
        <f>AND(#REF!,"AAAAAG3/9xs=")</f>
        <v>#REF!</v>
      </c>
      <c r="AC32" t="e">
        <f>AND(#REF!,"AAAAAG3/9xw=")</f>
        <v>#REF!</v>
      </c>
      <c r="AD32" t="e">
        <f>AND(#REF!,"AAAAAG3/9x0=")</f>
        <v>#REF!</v>
      </c>
      <c r="AE32" t="e">
        <f>AND(#REF!,"AAAAAG3/9x4=")</f>
        <v>#REF!</v>
      </c>
      <c r="AF32" t="e">
        <f>AND(#REF!,"AAAAAG3/9x8=")</f>
        <v>#REF!</v>
      </c>
      <c r="AG32" t="e">
        <f>AND(#REF!,"AAAAAG3/9yA=")</f>
        <v>#REF!</v>
      </c>
      <c r="AH32" t="e">
        <f>AND(#REF!,"AAAAAG3/9yE=")</f>
        <v>#REF!</v>
      </c>
      <c r="AI32" t="e">
        <f>AND(#REF!,"AAAAAG3/9yI=")</f>
        <v>#REF!</v>
      </c>
      <c r="AJ32" t="e">
        <f>AND(#REF!,"AAAAAG3/9yM=")</f>
        <v>#REF!</v>
      </c>
      <c r="AK32" t="e">
        <f>AND(#REF!,"AAAAAG3/9yQ=")</f>
        <v>#REF!</v>
      </c>
      <c r="AL32" t="e">
        <f>AND(#REF!,"AAAAAG3/9yU=")</f>
        <v>#REF!</v>
      </c>
      <c r="AM32" t="e">
        <f>AND(#REF!,"AAAAAG3/9yY=")</f>
        <v>#REF!</v>
      </c>
      <c r="AN32" t="e">
        <f>AND(#REF!,"AAAAAG3/9yc=")</f>
        <v>#REF!</v>
      </c>
      <c r="AO32" t="e">
        <f>IF(#REF!,"AAAAAG3/9yg=",0)</f>
        <v>#REF!</v>
      </c>
      <c r="AP32" t="e">
        <f>AND(#REF!,"AAAAAG3/9yk=")</f>
        <v>#REF!</v>
      </c>
      <c r="AQ32" t="e">
        <f>AND(#REF!,"AAAAAG3/9yo=")</f>
        <v>#REF!</v>
      </c>
      <c r="AR32" t="e">
        <f>AND(#REF!,"AAAAAG3/9ys=")</f>
        <v>#REF!</v>
      </c>
      <c r="AS32" t="e">
        <f>AND(#REF!,"AAAAAG3/9yw=")</f>
        <v>#REF!</v>
      </c>
      <c r="AT32" t="e">
        <f>AND(#REF!,"AAAAAG3/9y0=")</f>
        <v>#REF!</v>
      </c>
      <c r="AU32" t="e">
        <f>AND(#REF!,"AAAAAG3/9y4=")</f>
        <v>#REF!</v>
      </c>
      <c r="AV32" t="e">
        <f>AND(#REF!,"AAAAAG3/9y8=")</f>
        <v>#REF!</v>
      </c>
      <c r="AW32" t="e">
        <f>AND(#REF!,"AAAAAG3/9zA=")</f>
        <v>#REF!</v>
      </c>
      <c r="AX32" t="e">
        <f>AND(#REF!,"AAAAAG3/9zE=")</f>
        <v>#REF!</v>
      </c>
      <c r="AY32" t="e">
        <f>AND(#REF!,"AAAAAG3/9zI=")</f>
        <v>#REF!</v>
      </c>
      <c r="AZ32" t="e">
        <f>AND(#REF!,"AAAAAG3/9zM=")</f>
        <v>#REF!</v>
      </c>
      <c r="BA32" t="e">
        <f>AND(#REF!,"AAAAAG3/9zQ=")</f>
        <v>#REF!</v>
      </c>
      <c r="BB32" t="e">
        <f>AND(#REF!,"AAAAAG3/9zU=")</f>
        <v>#REF!</v>
      </c>
      <c r="BC32" t="e">
        <f>AND(#REF!,"AAAAAG3/9zY=")</f>
        <v>#REF!</v>
      </c>
      <c r="BD32" t="e">
        <f>AND(#REF!,"AAAAAG3/9zc=")</f>
        <v>#REF!</v>
      </c>
      <c r="BE32" t="e">
        <f>AND(#REF!,"AAAAAG3/9zg=")</f>
        <v>#REF!</v>
      </c>
      <c r="BF32" t="e">
        <f>AND(#REF!,"AAAAAG3/9zk=")</f>
        <v>#REF!</v>
      </c>
      <c r="BG32" t="e">
        <f>AND(#REF!,"AAAAAG3/9zo=")</f>
        <v>#REF!</v>
      </c>
      <c r="BH32" t="e">
        <f>AND(#REF!,"AAAAAG3/9zs=")</f>
        <v>#REF!</v>
      </c>
      <c r="BI32" t="e">
        <f>AND(#REF!,"AAAAAG3/9zw=")</f>
        <v>#REF!</v>
      </c>
      <c r="BJ32" t="e">
        <f>AND(#REF!,"AAAAAG3/9z0=")</f>
        <v>#REF!</v>
      </c>
      <c r="BK32" t="e">
        <f>AND(#REF!,"AAAAAG3/9z4=")</f>
        <v>#REF!</v>
      </c>
      <c r="BL32" t="e">
        <f>AND(#REF!,"AAAAAG3/9z8=")</f>
        <v>#REF!</v>
      </c>
      <c r="BM32" t="e">
        <f>AND(#REF!,"AAAAAG3/90A=")</f>
        <v>#REF!</v>
      </c>
      <c r="BN32" t="e">
        <f>AND(#REF!,"AAAAAG3/90E=")</f>
        <v>#REF!</v>
      </c>
      <c r="BO32" t="e">
        <f>AND(#REF!,"AAAAAG3/90I=")</f>
        <v>#REF!</v>
      </c>
      <c r="BP32" t="e">
        <f>AND(#REF!,"AAAAAG3/90M=")</f>
        <v>#REF!</v>
      </c>
      <c r="BQ32" t="e">
        <f>AND(#REF!,"AAAAAG3/90Q=")</f>
        <v>#REF!</v>
      </c>
      <c r="BR32" t="e">
        <f>AND(#REF!,"AAAAAG3/90U=")</f>
        <v>#REF!</v>
      </c>
      <c r="BS32" t="e">
        <f>AND(#REF!,"AAAAAG3/90Y=")</f>
        <v>#REF!</v>
      </c>
      <c r="BT32" t="e">
        <f>IF(#REF!,"AAAAAG3/90c=",0)</f>
        <v>#REF!</v>
      </c>
      <c r="BU32" t="e">
        <f>AND(#REF!,"AAAAAG3/90g=")</f>
        <v>#REF!</v>
      </c>
      <c r="BV32" t="e">
        <f>AND(#REF!,"AAAAAG3/90k=")</f>
        <v>#REF!</v>
      </c>
      <c r="BW32" t="e">
        <f>AND(#REF!,"AAAAAG3/90o=")</f>
        <v>#REF!</v>
      </c>
      <c r="BX32" t="e">
        <f>AND(#REF!,"AAAAAG3/90s=")</f>
        <v>#REF!</v>
      </c>
      <c r="BY32" t="e">
        <f>AND(#REF!,"AAAAAG3/90w=")</f>
        <v>#REF!</v>
      </c>
      <c r="BZ32" t="e">
        <f>AND(#REF!,"AAAAAG3/900=")</f>
        <v>#REF!</v>
      </c>
      <c r="CA32" t="e">
        <f>AND(#REF!,"AAAAAG3/904=")</f>
        <v>#REF!</v>
      </c>
      <c r="CB32" t="e">
        <f>AND(#REF!,"AAAAAG3/908=")</f>
        <v>#REF!</v>
      </c>
      <c r="CC32" t="e">
        <f>AND(#REF!,"AAAAAG3/91A=")</f>
        <v>#REF!</v>
      </c>
      <c r="CD32" t="e">
        <f>AND(#REF!,"AAAAAG3/91E=")</f>
        <v>#REF!</v>
      </c>
      <c r="CE32" t="e">
        <f>AND(#REF!,"AAAAAG3/91I=")</f>
        <v>#REF!</v>
      </c>
      <c r="CF32" t="e">
        <f>AND(#REF!,"AAAAAG3/91M=")</f>
        <v>#REF!</v>
      </c>
      <c r="CG32" t="e">
        <f>AND(#REF!,"AAAAAG3/91Q=")</f>
        <v>#REF!</v>
      </c>
      <c r="CH32" t="e">
        <f>AND(#REF!,"AAAAAG3/91U=")</f>
        <v>#REF!</v>
      </c>
      <c r="CI32" t="e">
        <f>AND(#REF!,"AAAAAG3/91Y=")</f>
        <v>#REF!</v>
      </c>
      <c r="CJ32" t="e">
        <f>AND(#REF!,"AAAAAG3/91c=")</f>
        <v>#REF!</v>
      </c>
      <c r="CK32" t="e">
        <f>AND(#REF!,"AAAAAG3/91g=")</f>
        <v>#REF!</v>
      </c>
      <c r="CL32" t="e">
        <f>AND(#REF!,"AAAAAG3/91k=")</f>
        <v>#REF!</v>
      </c>
      <c r="CM32" t="e">
        <f>AND(#REF!,"AAAAAG3/91o=")</f>
        <v>#REF!</v>
      </c>
      <c r="CN32" t="e">
        <f>AND(#REF!,"AAAAAG3/91s=")</f>
        <v>#REF!</v>
      </c>
      <c r="CO32" t="e">
        <f>AND(#REF!,"AAAAAG3/91w=")</f>
        <v>#REF!</v>
      </c>
      <c r="CP32" t="e">
        <f>AND(#REF!,"AAAAAG3/910=")</f>
        <v>#REF!</v>
      </c>
      <c r="CQ32" t="e">
        <f>AND(#REF!,"AAAAAG3/914=")</f>
        <v>#REF!</v>
      </c>
      <c r="CR32" t="e">
        <f>AND(#REF!,"AAAAAG3/918=")</f>
        <v>#REF!</v>
      </c>
      <c r="CS32" t="e">
        <f>AND(#REF!,"AAAAAG3/92A=")</f>
        <v>#REF!</v>
      </c>
      <c r="CT32" t="e">
        <f>AND(#REF!,"AAAAAG3/92E=")</f>
        <v>#REF!</v>
      </c>
      <c r="CU32" t="e">
        <f>AND(#REF!,"AAAAAG3/92I=")</f>
        <v>#REF!</v>
      </c>
      <c r="CV32" t="e">
        <f>AND(#REF!,"AAAAAG3/92M=")</f>
        <v>#REF!</v>
      </c>
      <c r="CW32" t="e">
        <f>AND(#REF!,"AAAAAG3/92Q=")</f>
        <v>#REF!</v>
      </c>
      <c r="CX32" t="e">
        <f>AND(#REF!,"AAAAAG3/92U=")</f>
        <v>#REF!</v>
      </c>
      <c r="CY32" t="e">
        <f>IF(#REF!,"AAAAAG3/92Y=",0)</f>
        <v>#REF!</v>
      </c>
      <c r="CZ32" t="e">
        <f>AND(#REF!,"AAAAAG3/92c=")</f>
        <v>#REF!</v>
      </c>
      <c r="DA32" t="e">
        <f>AND(#REF!,"AAAAAG3/92g=")</f>
        <v>#REF!</v>
      </c>
      <c r="DB32" t="e">
        <f>AND(#REF!,"AAAAAG3/92k=")</f>
        <v>#REF!</v>
      </c>
      <c r="DC32" t="e">
        <f>AND(#REF!,"AAAAAG3/92o=")</f>
        <v>#REF!</v>
      </c>
      <c r="DD32" t="e">
        <f>AND(#REF!,"AAAAAG3/92s=")</f>
        <v>#REF!</v>
      </c>
      <c r="DE32" t="e">
        <f>AND(#REF!,"AAAAAG3/92w=")</f>
        <v>#REF!</v>
      </c>
      <c r="DF32" t="e">
        <f>AND(#REF!,"AAAAAG3/920=")</f>
        <v>#REF!</v>
      </c>
      <c r="DG32" t="e">
        <f>AND(#REF!,"AAAAAG3/924=")</f>
        <v>#REF!</v>
      </c>
      <c r="DH32" t="e">
        <f>AND(#REF!,"AAAAAG3/928=")</f>
        <v>#REF!</v>
      </c>
      <c r="DI32" t="e">
        <f>AND(#REF!,"AAAAAG3/93A=")</f>
        <v>#REF!</v>
      </c>
      <c r="DJ32" t="e">
        <f>AND(#REF!,"AAAAAG3/93E=")</f>
        <v>#REF!</v>
      </c>
      <c r="DK32" t="e">
        <f>AND(#REF!,"AAAAAG3/93I=")</f>
        <v>#REF!</v>
      </c>
      <c r="DL32" t="e">
        <f>AND(#REF!,"AAAAAG3/93M=")</f>
        <v>#REF!</v>
      </c>
      <c r="DM32" t="e">
        <f>AND(#REF!,"AAAAAG3/93Q=")</f>
        <v>#REF!</v>
      </c>
      <c r="DN32" t="e">
        <f>AND(#REF!,"AAAAAG3/93U=")</f>
        <v>#REF!</v>
      </c>
      <c r="DO32" t="e">
        <f>AND(#REF!,"AAAAAG3/93Y=")</f>
        <v>#REF!</v>
      </c>
      <c r="DP32" t="e">
        <f>AND(#REF!,"AAAAAG3/93c=")</f>
        <v>#REF!</v>
      </c>
      <c r="DQ32" t="e">
        <f>AND(#REF!,"AAAAAG3/93g=")</f>
        <v>#REF!</v>
      </c>
      <c r="DR32" t="e">
        <f>AND(#REF!,"AAAAAG3/93k=")</f>
        <v>#REF!</v>
      </c>
      <c r="DS32" t="e">
        <f>AND(#REF!,"AAAAAG3/93o=")</f>
        <v>#REF!</v>
      </c>
      <c r="DT32" t="e">
        <f>AND(#REF!,"AAAAAG3/93s=")</f>
        <v>#REF!</v>
      </c>
      <c r="DU32" t="e">
        <f>AND(#REF!,"AAAAAG3/93w=")</f>
        <v>#REF!</v>
      </c>
      <c r="DV32" t="e">
        <f>AND(#REF!,"AAAAAG3/930=")</f>
        <v>#REF!</v>
      </c>
      <c r="DW32" t="e">
        <f>AND(#REF!,"AAAAAG3/934=")</f>
        <v>#REF!</v>
      </c>
      <c r="DX32" t="e">
        <f>AND(#REF!,"AAAAAG3/938=")</f>
        <v>#REF!</v>
      </c>
      <c r="DY32" t="e">
        <f>AND(#REF!,"AAAAAG3/94A=")</f>
        <v>#REF!</v>
      </c>
      <c r="DZ32" t="e">
        <f>AND(#REF!,"AAAAAG3/94E=")</f>
        <v>#REF!</v>
      </c>
      <c r="EA32" t="e">
        <f>AND(#REF!,"AAAAAG3/94I=")</f>
        <v>#REF!</v>
      </c>
      <c r="EB32" t="e">
        <f>AND(#REF!,"AAAAAG3/94M=")</f>
        <v>#REF!</v>
      </c>
      <c r="EC32" t="e">
        <f>AND(#REF!,"AAAAAG3/94Q=")</f>
        <v>#REF!</v>
      </c>
      <c r="ED32" t="e">
        <f>IF(#REF!,"AAAAAG3/94U=",0)</f>
        <v>#REF!</v>
      </c>
      <c r="EE32" t="e">
        <f>AND(#REF!,"AAAAAG3/94Y=")</f>
        <v>#REF!</v>
      </c>
      <c r="EF32" t="e">
        <f>AND(#REF!,"AAAAAG3/94c=")</f>
        <v>#REF!</v>
      </c>
      <c r="EG32" t="e">
        <f>AND(#REF!,"AAAAAG3/94g=")</f>
        <v>#REF!</v>
      </c>
      <c r="EH32" t="e">
        <f>AND(#REF!,"AAAAAG3/94k=")</f>
        <v>#REF!</v>
      </c>
      <c r="EI32" t="e">
        <f>AND(#REF!,"AAAAAG3/94o=")</f>
        <v>#REF!</v>
      </c>
      <c r="EJ32" t="e">
        <f>AND(#REF!,"AAAAAG3/94s=")</f>
        <v>#REF!</v>
      </c>
      <c r="EK32" t="e">
        <f>AND(#REF!,"AAAAAG3/94w=")</f>
        <v>#REF!</v>
      </c>
      <c r="EL32" t="e">
        <f>AND(#REF!,"AAAAAG3/940=")</f>
        <v>#REF!</v>
      </c>
      <c r="EM32" t="e">
        <f>AND(#REF!,"AAAAAG3/944=")</f>
        <v>#REF!</v>
      </c>
      <c r="EN32" t="e">
        <f>AND(#REF!,"AAAAAG3/948=")</f>
        <v>#REF!</v>
      </c>
      <c r="EO32" t="e">
        <f>AND(#REF!,"AAAAAG3/95A=")</f>
        <v>#REF!</v>
      </c>
      <c r="EP32" t="e">
        <f>AND(#REF!,"AAAAAG3/95E=")</f>
        <v>#REF!</v>
      </c>
      <c r="EQ32" t="e">
        <f>AND(#REF!,"AAAAAG3/95I=")</f>
        <v>#REF!</v>
      </c>
      <c r="ER32" t="e">
        <f>AND(#REF!,"AAAAAG3/95M=")</f>
        <v>#REF!</v>
      </c>
      <c r="ES32" t="e">
        <f>AND(#REF!,"AAAAAG3/95Q=")</f>
        <v>#REF!</v>
      </c>
      <c r="ET32" t="e">
        <f>AND(#REF!,"AAAAAG3/95U=")</f>
        <v>#REF!</v>
      </c>
      <c r="EU32" t="e">
        <f>AND(#REF!,"AAAAAG3/95Y=")</f>
        <v>#REF!</v>
      </c>
      <c r="EV32" t="e">
        <f>AND(#REF!,"AAAAAG3/95c=")</f>
        <v>#REF!</v>
      </c>
      <c r="EW32" t="e">
        <f>AND(#REF!,"AAAAAG3/95g=")</f>
        <v>#REF!</v>
      </c>
      <c r="EX32" t="e">
        <f>AND(#REF!,"AAAAAG3/95k=")</f>
        <v>#REF!</v>
      </c>
      <c r="EY32" t="e">
        <f>AND(#REF!,"AAAAAG3/95o=")</f>
        <v>#REF!</v>
      </c>
      <c r="EZ32" t="e">
        <f>AND(#REF!,"AAAAAG3/95s=")</f>
        <v>#REF!</v>
      </c>
      <c r="FA32" t="e">
        <f>AND(#REF!,"AAAAAG3/95w=")</f>
        <v>#REF!</v>
      </c>
      <c r="FB32" t="e">
        <f>AND(#REF!,"AAAAAG3/950=")</f>
        <v>#REF!</v>
      </c>
      <c r="FC32" t="e">
        <f>AND(#REF!,"AAAAAG3/954=")</f>
        <v>#REF!</v>
      </c>
      <c r="FD32" t="e">
        <f>AND(#REF!,"AAAAAG3/958=")</f>
        <v>#REF!</v>
      </c>
      <c r="FE32" t="e">
        <f>AND(#REF!,"AAAAAG3/96A=")</f>
        <v>#REF!</v>
      </c>
      <c r="FF32" t="e">
        <f>AND(#REF!,"AAAAAG3/96E=")</f>
        <v>#REF!</v>
      </c>
      <c r="FG32" t="e">
        <f>AND(#REF!,"AAAAAG3/96I=")</f>
        <v>#REF!</v>
      </c>
      <c r="FH32" t="e">
        <f>AND(#REF!,"AAAAAG3/96M=")</f>
        <v>#REF!</v>
      </c>
      <c r="FI32" t="e">
        <f>IF(#REF!,"AAAAAG3/96Q=",0)</f>
        <v>#REF!</v>
      </c>
      <c r="FJ32" t="e">
        <f>AND(#REF!,"AAAAAG3/96U=")</f>
        <v>#REF!</v>
      </c>
      <c r="FK32" t="e">
        <f>AND(#REF!,"AAAAAG3/96Y=")</f>
        <v>#REF!</v>
      </c>
      <c r="FL32" t="e">
        <f>AND(#REF!,"AAAAAG3/96c=")</f>
        <v>#REF!</v>
      </c>
      <c r="FM32" t="e">
        <f>AND(#REF!,"AAAAAG3/96g=")</f>
        <v>#REF!</v>
      </c>
      <c r="FN32" t="e">
        <f>AND(#REF!,"AAAAAG3/96k=")</f>
        <v>#REF!</v>
      </c>
      <c r="FO32" t="e">
        <f>AND(#REF!,"AAAAAG3/96o=")</f>
        <v>#REF!</v>
      </c>
      <c r="FP32" t="e">
        <f>AND(#REF!,"AAAAAG3/96s=")</f>
        <v>#REF!</v>
      </c>
      <c r="FQ32" t="e">
        <f>AND(#REF!,"AAAAAG3/96w=")</f>
        <v>#REF!</v>
      </c>
      <c r="FR32" t="e">
        <f>AND(#REF!,"AAAAAG3/960=")</f>
        <v>#REF!</v>
      </c>
      <c r="FS32" t="e">
        <f>AND(#REF!,"AAAAAG3/964=")</f>
        <v>#REF!</v>
      </c>
      <c r="FT32" t="e">
        <f>AND(#REF!,"AAAAAG3/968=")</f>
        <v>#REF!</v>
      </c>
      <c r="FU32" t="e">
        <f>AND(#REF!,"AAAAAG3/97A=")</f>
        <v>#REF!</v>
      </c>
      <c r="FV32" t="e">
        <f>AND(#REF!,"AAAAAG3/97E=")</f>
        <v>#REF!</v>
      </c>
      <c r="FW32" t="e">
        <f>AND(#REF!,"AAAAAG3/97I=")</f>
        <v>#REF!</v>
      </c>
      <c r="FX32" t="e">
        <f>AND(#REF!,"AAAAAG3/97M=")</f>
        <v>#REF!</v>
      </c>
      <c r="FY32" t="e">
        <f>AND(#REF!,"AAAAAG3/97Q=")</f>
        <v>#REF!</v>
      </c>
      <c r="FZ32" t="e">
        <f>AND(#REF!,"AAAAAG3/97U=")</f>
        <v>#REF!</v>
      </c>
      <c r="GA32" t="e">
        <f>AND(#REF!,"AAAAAG3/97Y=")</f>
        <v>#REF!</v>
      </c>
      <c r="GB32" t="e">
        <f>AND(#REF!,"AAAAAG3/97c=")</f>
        <v>#REF!</v>
      </c>
      <c r="GC32" t="e">
        <f>AND(#REF!,"AAAAAG3/97g=")</f>
        <v>#REF!</v>
      </c>
      <c r="GD32" t="e">
        <f>AND(#REF!,"AAAAAG3/97k=")</f>
        <v>#REF!</v>
      </c>
      <c r="GE32" t="e">
        <f>AND(#REF!,"AAAAAG3/97o=")</f>
        <v>#REF!</v>
      </c>
      <c r="GF32" t="e">
        <f>AND(#REF!,"AAAAAG3/97s=")</f>
        <v>#REF!</v>
      </c>
      <c r="GG32" t="e">
        <f>AND(#REF!,"AAAAAG3/97w=")</f>
        <v>#REF!</v>
      </c>
      <c r="GH32" t="e">
        <f>AND(#REF!,"AAAAAG3/970=")</f>
        <v>#REF!</v>
      </c>
      <c r="GI32" t="e">
        <f>AND(#REF!,"AAAAAG3/974=")</f>
        <v>#REF!</v>
      </c>
      <c r="GJ32" t="e">
        <f>AND(#REF!,"AAAAAG3/978=")</f>
        <v>#REF!</v>
      </c>
      <c r="GK32" t="e">
        <f>AND(#REF!,"AAAAAG3/98A=")</f>
        <v>#REF!</v>
      </c>
      <c r="GL32" t="e">
        <f>AND(#REF!,"AAAAAG3/98E=")</f>
        <v>#REF!</v>
      </c>
      <c r="GM32" t="e">
        <f>AND(#REF!,"AAAAAG3/98I=")</f>
        <v>#REF!</v>
      </c>
      <c r="GN32" t="e">
        <f>IF(#REF!,"AAAAAG3/98M=",0)</f>
        <v>#REF!</v>
      </c>
      <c r="GO32" t="e">
        <f>AND(#REF!,"AAAAAG3/98Q=")</f>
        <v>#REF!</v>
      </c>
      <c r="GP32" t="e">
        <f>AND(#REF!,"AAAAAG3/98U=")</f>
        <v>#REF!</v>
      </c>
      <c r="GQ32" t="e">
        <f>AND(#REF!,"AAAAAG3/98Y=")</f>
        <v>#REF!</v>
      </c>
      <c r="GR32" t="e">
        <f>AND(#REF!,"AAAAAG3/98c=")</f>
        <v>#REF!</v>
      </c>
      <c r="GS32" t="e">
        <f>AND(#REF!,"AAAAAG3/98g=")</f>
        <v>#REF!</v>
      </c>
      <c r="GT32" t="e">
        <f>AND(#REF!,"AAAAAG3/98k=")</f>
        <v>#REF!</v>
      </c>
      <c r="GU32" t="e">
        <f>AND(#REF!,"AAAAAG3/98o=")</f>
        <v>#REF!</v>
      </c>
      <c r="GV32" t="e">
        <f>AND(#REF!,"AAAAAG3/98s=")</f>
        <v>#REF!</v>
      </c>
      <c r="GW32" t="e">
        <f>AND(#REF!,"AAAAAG3/98w=")</f>
        <v>#REF!</v>
      </c>
      <c r="GX32" t="e">
        <f>AND(#REF!,"AAAAAG3/980=")</f>
        <v>#REF!</v>
      </c>
      <c r="GY32" t="e">
        <f>AND(#REF!,"AAAAAG3/984=")</f>
        <v>#REF!</v>
      </c>
      <c r="GZ32" t="e">
        <f>AND(#REF!,"AAAAAG3/988=")</f>
        <v>#REF!</v>
      </c>
      <c r="HA32" t="e">
        <f>AND(#REF!,"AAAAAG3/99A=")</f>
        <v>#REF!</v>
      </c>
      <c r="HB32" t="e">
        <f>AND(#REF!,"AAAAAG3/99E=")</f>
        <v>#REF!</v>
      </c>
      <c r="HC32" t="e">
        <f>AND(#REF!,"AAAAAG3/99I=")</f>
        <v>#REF!</v>
      </c>
      <c r="HD32" t="e">
        <f>AND(#REF!,"AAAAAG3/99M=")</f>
        <v>#REF!</v>
      </c>
      <c r="HE32" t="e">
        <f>AND(#REF!,"AAAAAG3/99Q=")</f>
        <v>#REF!</v>
      </c>
      <c r="HF32" t="e">
        <f>AND(#REF!,"AAAAAG3/99U=")</f>
        <v>#REF!</v>
      </c>
      <c r="HG32" t="e">
        <f>AND(#REF!,"AAAAAG3/99Y=")</f>
        <v>#REF!</v>
      </c>
      <c r="HH32" t="e">
        <f>AND(#REF!,"AAAAAG3/99c=")</f>
        <v>#REF!</v>
      </c>
      <c r="HI32" t="e">
        <f>AND(#REF!,"AAAAAG3/99g=")</f>
        <v>#REF!</v>
      </c>
      <c r="HJ32" t="e">
        <f>AND(#REF!,"AAAAAG3/99k=")</f>
        <v>#REF!</v>
      </c>
      <c r="HK32" t="e">
        <f>AND(#REF!,"AAAAAG3/99o=")</f>
        <v>#REF!</v>
      </c>
      <c r="HL32" t="e">
        <f>AND(#REF!,"AAAAAG3/99s=")</f>
        <v>#REF!</v>
      </c>
      <c r="HM32" t="e">
        <f>AND(#REF!,"AAAAAG3/99w=")</f>
        <v>#REF!</v>
      </c>
      <c r="HN32" t="e">
        <f>AND(#REF!,"AAAAAG3/990=")</f>
        <v>#REF!</v>
      </c>
      <c r="HO32" t="e">
        <f>AND(#REF!,"AAAAAG3/994=")</f>
        <v>#REF!</v>
      </c>
      <c r="HP32" t="e">
        <f>AND(#REF!,"AAAAAG3/998=")</f>
        <v>#REF!</v>
      </c>
      <c r="HQ32" t="e">
        <f>AND(#REF!,"AAAAAG3/9+A=")</f>
        <v>#REF!</v>
      </c>
      <c r="HR32" t="e">
        <f>AND(#REF!,"AAAAAG3/9+E=")</f>
        <v>#REF!</v>
      </c>
      <c r="HS32" t="e">
        <f>IF(#REF!,"AAAAAG3/9+I=",0)</f>
        <v>#REF!</v>
      </c>
      <c r="HT32" t="e">
        <f>AND(#REF!,"AAAAAG3/9+M=")</f>
        <v>#REF!</v>
      </c>
      <c r="HU32" t="e">
        <f>AND(#REF!,"AAAAAG3/9+Q=")</f>
        <v>#REF!</v>
      </c>
      <c r="HV32" t="e">
        <f>AND(#REF!,"AAAAAG3/9+U=")</f>
        <v>#REF!</v>
      </c>
      <c r="HW32" t="e">
        <f>AND(#REF!,"AAAAAG3/9+Y=")</f>
        <v>#REF!</v>
      </c>
      <c r="HX32" t="e">
        <f>AND(#REF!,"AAAAAG3/9+c=")</f>
        <v>#REF!</v>
      </c>
      <c r="HY32" t="e">
        <f>AND(#REF!,"AAAAAG3/9+g=")</f>
        <v>#REF!</v>
      </c>
      <c r="HZ32" t="e">
        <f>AND(#REF!,"AAAAAG3/9+k=")</f>
        <v>#REF!</v>
      </c>
      <c r="IA32" t="e">
        <f>AND(#REF!,"AAAAAG3/9+o=")</f>
        <v>#REF!</v>
      </c>
      <c r="IB32" t="e">
        <f>AND(#REF!,"AAAAAG3/9+s=")</f>
        <v>#REF!</v>
      </c>
      <c r="IC32" t="e">
        <f>AND(#REF!,"AAAAAG3/9+w=")</f>
        <v>#REF!</v>
      </c>
      <c r="ID32" t="e">
        <f>AND(#REF!,"AAAAAG3/9+0=")</f>
        <v>#REF!</v>
      </c>
      <c r="IE32" t="e">
        <f>AND(#REF!,"AAAAAG3/9+4=")</f>
        <v>#REF!</v>
      </c>
      <c r="IF32" t="e">
        <f>AND(#REF!,"AAAAAG3/9+8=")</f>
        <v>#REF!</v>
      </c>
      <c r="IG32" t="e">
        <f>AND(#REF!,"AAAAAG3/9/A=")</f>
        <v>#REF!</v>
      </c>
      <c r="IH32" t="e">
        <f>AND(#REF!,"AAAAAG3/9/E=")</f>
        <v>#REF!</v>
      </c>
      <c r="II32" t="e">
        <f>AND(#REF!,"AAAAAG3/9/I=")</f>
        <v>#REF!</v>
      </c>
      <c r="IJ32" t="e">
        <f>AND(#REF!,"AAAAAG3/9/M=")</f>
        <v>#REF!</v>
      </c>
      <c r="IK32" t="e">
        <f>AND(#REF!,"AAAAAG3/9/Q=")</f>
        <v>#REF!</v>
      </c>
      <c r="IL32" t="e">
        <f>AND(#REF!,"AAAAAG3/9/U=")</f>
        <v>#REF!</v>
      </c>
      <c r="IM32" t="e">
        <f>AND(#REF!,"AAAAAG3/9/Y=")</f>
        <v>#REF!</v>
      </c>
      <c r="IN32" t="e">
        <f>AND(#REF!,"AAAAAG3/9/c=")</f>
        <v>#REF!</v>
      </c>
      <c r="IO32" t="e">
        <f>AND(#REF!,"AAAAAG3/9/g=")</f>
        <v>#REF!</v>
      </c>
      <c r="IP32" t="e">
        <f>AND(#REF!,"AAAAAG3/9/k=")</f>
        <v>#REF!</v>
      </c>
      <c r="IQ32" t="e">
        <f>AND(#REF!,"AAAAAG3/9/o=")</f>
        <v>#REF!</v>
      </c>
      <c r="IR32" t="e">
        <f>AND(#REF!,"AAAAAG3/9/s=")</f>
        <v>#REF!</v>
      </c>
      <c r="IS32" t="e">
        <f>AND(#REF!,"AAAAAG3/9/w=")</f>
        <v>#REF!</v>
      </c>
      <c r="IT32" t="e">
        <f>AND(#REF!,"AAAAAG3/9/0=")</f>
        <v>#REF!</v>
      </c>
      <c r="IU32" t="e">
        <f>AND(#REF!,"AAAAAG3/9/4=")</f>
        <v>#REF!</v>
      </c>
      <c r="IV32" t="e">
        <f>AND(#REF!,"AAAAAG3/9/8=")</f>
        <v>#REF!</v>
      </c>
    </row>
    <row r="33" spans="1:256">
      <c r="A33" t="e">
        <f>AND(#REF!,"AAAAABXO/QA=")</f>
        <v>#REF!</v>
      </c>
      <c r="B33" t="e">
        <f>IF(#REF!,"AAAAABXO/QE=",0)</f>
        <v>#REF!</v>
      </c>
      <c r="C33" t="e">
        <f>AND(#REF!,"AAAAABXO/QI=")</f>
        <v>#REF!</v>
      </c>
      <c r="D33" t="e">
        <f>AND(#REF!,"AAAAABXO/QM=")</f>
        <v>#REF!</v>
      </c>
      <c r="E33" t="e">
        <f>AND(#REF!,"AAAAABXO/QQ=")</f>
        <v>#REF!</v>
      </c>
      <c r="F33" t="e">
        <f>AND(#REF!,"AAAAABXO/QU=")</f>
        <v>#REF!</v>
      </c>
      <c r="G33" t="e">
        <f>AND(#REF!,"AAAAABXO/QY=")</f>
        <v>#REF!</v>
      </c>
      <c r="H33" t="e">
        <f>AND(#REF!,"AAAAABXO/Qc=")</f>
        <v>#REF!</v>
      </c>
      <c r="I33" t="e">
        <f>AND(#REF!,"AAAAABXO/Qg=")</f>
        <v>#REF!</v>
      </c>
      <c r="J33" t="e">
        <f>AND(#REF!,"AAAAABXO/Qk=")</f>
        <v>#REF!</v>
      </c>
      <c r="K33" t="e">
        <f>AND(#REF!,"AAAAABXO/Qo=")</f>
        <v>#REF!</v>
      </c>
      <c r="L33" t="e">
        <f>AND(#REF!,"AAAAABXO/Qs=")</f>
        <v>#REF!</v>
      </c>
      <c r="M33" t="e">
        <f>AND(#REF!,"AAAAABXO/Qw=")</f>
        <v>#REF!</v>
      </c>
      <c r="N33" t="e">
        <f>AND(#REF!,"AAAAABXO/Q0=")</f>
        <v>#REF!</v>
      </c>
      <c r="O33" t="e">
        <f>AND(#REF!,"AAAAABXO/Q4=")</f>
        <v>#REF!</v>
      </c>
      <c r="P33" t="e">
        <f>AND(#REF!,"AAAAABXO/Q8=")</f>
        <v>#REF!</v>
      </c>
      <c r="Q33" t="e">
        <f>AND(#REF!,"AAAAABXO/RA=")</f>
        <v>#REF!</v>
      </c>
      <c r="R33" t="e">
        <f>AND(#REF!,"AAAAABXO/RE=")</f>
        <v>#REF!</v>
      </c>
      <c r="S33" t="e">
        <f>AND(#REF!,"AAAAABXO/RI=")</f>
        <v>#REF!</v>
      </c>
      <c r="T33" t="e">
        <f>AND(#REF!,"AAAAABXO/RM=")</f>
        <v>#REF!</v>
      </c>
      <c r="U33" t="e">
        <f>AND(#REF!,"AAAAABXO/RQ=")</f>
        <v>#REF!</v>
      </c>
      <c r="V33" t="e">
        <f>AND(#REF!,"AAAAABXO/RU=")</f>
        <v>#REF!</v>
      </c>
      <c r="W33" t="e">
        <f>AND(#REF!,"AAAAABXO/RY=")</f>
        <v>#REF!</v>
      </c>
      <c r="X33" t="e">
        <f>AND(#REF!,"AAAAABXO/Rc=")</f>
        <v>#REF!</v>
      </c>
      <c r="Y33" t="e">
        <f>AND(#REF!,"AAAAABXO/Rg=")</f>
        <v>#REF!</v>
      </c>
      <c r="Z33" t="e">
        <f>AND(#REF!,"AAAAABXO/Rk=")</f>
        <v>#REF!</v>
      </c>
      <c r="AA33" t="e">
        <f>AND(#REF!,"AAAAABXO/Ro=")</f>
        <v>#REF!</v>
      </c>
      <c r="AB33" t="e">
        <f>AND(#REF!,"AAAAABXO/Rs=")</f>
        <v>#REF!</v>
      </c>
      <c r="AC33" t="e">
        <f>AND(#REF!,"AAAAABXO/Rw=")</f>
        <v>#REF!</v>
      </c>
      <c r="AD33" t="e">
        <f>AND(#REF!,"AAAAABXO/R0=")</f>
        <v>#REF!</v>
      </c>
      <c r="AE33" t="e">
        <f>AND(#REF!,"AAAAABXO/R4=")</f>
        <v>#REF!</v>
      </c>
      <c r="AF33" t="e">
        <f>AND(#REF!,"AAAAABXO/R8=")</f>
        <v>#REF!</v>
      </c>
      <c r="AG33" t="e">
        <f>IF(#REF!,"AAAAABXO/SA=",0)</f>
        <v>#REF!</v>
      </c>
      <c r="AH33" t="e">
        <f>AND(#REF!,"AAAAABXO/SE=")</f>
        <v>#REF!</v>
      </c>
      <c r="AI33" t="e">
        <f>AND(#REF!,"AAAAABXO/SI=")</f>
        <v>#REF!</v>
      </c>
      <c r="AJ33" t="e">
        <f>AND(#REF!,"AAAAABXO/SM=")</f>
        <v>#REF!</v>
      </c>
      <c r="AK33" t="e">
        <f>AND(#REF!,"AAAAABXO/SQ=")</f>
        <v>#REF!</v>
      </c>
      <c r="AL33" t="e">
        <f>AND(#REF!,"AAAAABXO/SU=")</f>
        <v>#REF!</v>
      </c>
      <c r="AM33" t="e">
        <f>AND(#REF!,"AAAAABXO/SY=")</f>
        <v>#REF!</v>
      </c>
      <c r="AN33" t="e">
        <f>AND(#REF!,"AAAAABXO/Sc=")</f>
        <v>#REF!</v>
      </c>
      <c r="AO33" t="e">
        <f>AND(#REF!,"AAAAABXO/Sg=")</f>
        <v>#REF!</v>
      </c>
      <c r="AP33" t="e">
        <f>AND(#REF!,"AAAAABXO/Sk=")</f>
        <v>#REF!</v>
      </c>
      <c r="AQ33" t="e">
        <f>AND(#REF!,"AAAAABXO/So=")</f>
        <v>#REF!</v>
      </c>
      <c r="AR33" t="e">
        <f>AND(#REF!,"AAAAABXO/Ss=")</f>
        <v>#REF!</v>
      </c>
      <c r="AS33" t="e">
        <f>AND(#REF!,"AAAAABXO/Sw=")</f>
        <v>#REF!</v>
      </c>
      <c r="AT33" t="e">
        <f>AND(#REF!,"AAAAABXO/S0=")</f>
        <v>#REF!</v>
      </c>
      <c r="AU33" t="e">
        <f>AND(#REF!,"AAAAABXO/S4=")</f>
        <v>#REF!</v>
      </c>
      <c r="AV33" t="e">
        <f>AND(#REF!,"AAAAABXO/S8=")</f>
        <v>#REF!</v>
      </c>
      <c r="AW33" t="e">
        <f>AND(#REF!,"AAAAABXO/TA=")</f>
        <v>#REF!</v>
      </c>
      <c r="AX33" t="e">
        <f>AND(#REF!,"AAAAABXO/TE=")</f>
        <v>#REF!</v>
      </c>
      <c r="AY33" t="e">
        <f>AND(#REF!,"AAAAABXO/TI=")</f>
        <v>#REF!</v>
      </c>
      <c r="AZ33" t="e">
        <f>AND(#REF!,"AAAAABXO/TM=")</f>
        <v>#REF!</v>
      </c>
      <c r="BA33" t="e">
        <f>AND(#REF!,"AAAAABXO/TQ=")</f>
        <v>#REF!</v>
      </c>
      <c r="BB33" t="e">
        <f>AND(#REF!,"AAAAABXO/TU=")</f>
        <v>#REF!</v>
      </c>
      <c r="BC33" t="e">
        <f>AND(#REF!,"AAAAABXO/TY=")</f>
        <v>#REF!</v>
      </c>
      <c r="BD33" t="e">
        <f>AND(#REF!,"AAAAABXO/Tc=")</f>
        <v>#REF!</v>
      </c>
      <c r="BE33" t="e">
        <f>AND(#REF!,"AAAAABXO/Tg=")</f>
        <v>#REF!</v>
      </c>
      <c r="BF33" t="e">
        <f>AND(#REF!,"AAAAABXO/Tk=")</f>
        <v>#REF!</v>
      </c>
      <c r="BG33" t="e">
        <f>AND(#REF!,"AAAAABXO/To=")</f>
        <v>#REF!</v>
      </c>
      <c r="BH33" t="e">
        <f>AND(#REF!,"AAAAABXO/Ts=")</f>
        <v>#REF!</v>
      </c>
      <c r="BI33" t="e">
        <f>AND(#REF!,"AAAAABXO/Tw=")</f>
        <v>#REF!</v>
      </c>
      <c r="BJ33" t="e">
        <f>AND(#REF!,"AAAAABXO/T0=")</f>
        <v>#REF!</v>
      </c>
      <c r="BK33" t="e">
        <f>AND(#REF!,"AAAAABXO/T4=")</f>
        <v>#REF!</v>
      </c>
      <c r="BL33" t="e">
        <f>IF(#REF!,"AAAAABXO/T8=",0)</f>
        <v>#REF!</v>
      </c>
      <c r="BM33" t="e">
        <f>AND(#REF!,"AAAAABXO/UA=")</f>
        <v>#REF!</v>
      </c>
      <c r="BN33" t="e">
        <f>AND(#REF!,"AAAAABXO/UE=")</f>
        <v>#REF!</v>
      </c>
      <c r="BO33" t="e">
        <f>AND(#REF!,"AAAAABXO/UI=")</f>
        <v>#REF!</v>
      </c>
      <c r="BP33" t="e">
        <f>AND(#REF!,"AAAAABXO/UM=")</f>
        <v>#REF!</v>
      </c>
      <c r="BQ33" t="e">
        <f>AND(#REF!,"AAAAABXO/UQ=")</f>
        <v>#REF!</v>
      </c>
      <c r="BR33" t="e">
        <f>AND(#REF!,"AAAAABXO/UU=")</f>
        <v>#REF!</v>
      </c>
      <c r="BS33" t="e">
        <f>AND(#REF!,"AAAAABXO/UY=")</f>
        <v>#REF!</v>
      </c>
      <c r="BT33" t="e">
        <f>AND(#REF!,"AAAAABXO/Uc=")</f>
        <v>#REF!</v>
      </c>
      <c r="BU33" t="e">
        <f>AND(#REF!,"AAAAABXO/Ug=")</f>
        <v>#REF!</v>
      </c>
      <c r="BV33" t="e">
        <f>AND(#REF!,"AAAAABXO/Uk=")</f>
        <v>#REF!</v>
      </c>
      <c r="BW33" t="e">
        <f>AND(#REF!,"AAAAABXO/Uo=")</f>
        <v>#REF!</v>
      </c>
      <c r="BX33" t="e">
        <f>AND(#REF!,"AAAAABXO/Us=")</f>
        <v>#REF!</v>
      </c>
      <c r="BY33" t="e">
        <f>AND(#REF!,"AAAAABXO/Uw=")</f>
        <v>#REF!</v>
      </c>
      <c r="BZ33" t="e">
        <f>AND(#REF!,"AAAAABXO/U0=")</f>
        <v>#REF!</v>
      </c>
      <c r="CA33" t="e">
        <f>AND(#REF!,"AAAAABXO/U4=")</f>
        <v>#REF!</v>
      </c>
      <c r="CB33" t="e">
        <f>AND(#REF!,"AAAAABXO/U8=")</f>
        <v>#REF!</v>
      </c>
      <c r="CC33" t="e">
        <f>AND(#REF!,"AAAAABXO/VA=")</f>
        <v>#REF!</v>
      </c>
      <c r="CD33" t="e">
        <f>AND(#REF!,"AAAAABXO/VE=")</f>
        <v>#REF!</v>
      </c>
      <c r="CE33" t="e">
        <f>AND(#REF!,"AAAAABXO/VI=")</f>
        <v>#REF!</v>
      </c>
      <c r="CF33" t="e">
        <f>AND(#REF!,"AAAAABXO/VM=")</f>
        <v>#REF!</v>
      </c>
      <c r="CG33" t="e">
        <f>AND(#REF!,"AAAAABXO/VQ=")</f>
        <v>#REF!</v>
      </c>
      <c r="CH33" t="e">
        <f>AND(#REF!,"AAAAABXO/VU=")</f>
        <v>#REF!</v>
      </c>
      <c r="CI33" t="e">
        <f>AND(#REF!,"AAAAABXO/VY=")</f>
        <v>#REF!</v>
      </c>
      <c r="CJ33" t="e">
        <f>AND(#REF!,"AAAAABXO/Vc=")</f>
        <v>#REF!</v>
      </c>
      <c r="CK33" t="e">
        <f>AND(#REF!,"AAAAABXO/Vg=")</f>
        <v>#REF!</v>
      </c>
      <c r="CL33" t="e">
        <f>AND(#REF!,"AAAAABXO/Vk=")</f>
        <v>#REF!</v>
      </c>
      <c r="CM33" t="e">
        <f>AND(#REF!,"AAAAABXO/Vo=")</f>
        <v>#REF!</v>
      </c>
      <c r="CN33" t="e">
        <f>AND(#REF!,"AAAAABXO/Vs=")</f>
        <v>#REF!</v>
      </c>
      <c r="CO33" t="e">
        <f>AND(#REF!,"AAAAABXO/Vw=")</f>
        <v>#REF!</v>
      </c>
      <c r="CP33" t="e">
        <f>AND(#REF!,"AAAAABXO/V0=")</f>
        <v>#REF!</v>
      </c>
      <c r="CQ33" t="e">
        <f>IF(#REF!,"AAAAABXO/V4=",0)</f>
        <v>#REF!</v>
      </c>
      <c r="CR33" t="e">
        <f>AND(#REF!,"AAAAABXO/V8=")</f>
        <v>#REF!</v>
      </c>
      <c r="CS33" t="e">
        <f>AND(#REF!,"AAAAABXO/WA=")</f>
        <v>#REF!</v>
      </c>
      <c r="CT33" t="e">
        <f>AND(#REF!,"AAAAABXO/WE=")</f>
        <v>#REF!</v>
      </c>
      <c r="CU33" t="e">
        <f>AND(#REF!,"AAAAABXO/WI=")</f>
        <v>#REF!</v>
      </c>
      <c r="CV33" t="e">
        <f>AND(#REF!,"AAAAABXO/WM=")</f>
        <v>#REF!</v>
      </c>
      <c r="CW33" t="e">
        <f>AND(#REF!,"AAAAABXO/WQ=")</f>
        <v>#REF!</v>
      </c>
      <c r="CX33" t="e">
        <f>AND(#REF!,"AAAAABXO/WU=")</f>
        <v>#REF!</v>
      </c>
      <c r="CY33" t="e">
        <f>AND(#REF!,"AAAAABXO/WY=")</f>
        <v>#REF!</v>
      </c>
      <c r="CZ33" t="e">
        <f>AND(#REF!,"AAAAABXO/Wc=")</f>
        <v>#REF!</v>
      </c>
      <c r="DA33" t="e">
        <f>AND(#REF!,"AAAAABXO/Wg=")</f>
        <v>#REF!</v>
      </c>
      <c r="DB33" t="e">
        <f>AND(#REF!,"AAAAABXO/Wk=")</f>
        <v>#REF!</v>
      </c>
      <c r="DC33" t="e">
        <f>AND(#REF!,"AAAAABXO/Wo=")</f>
        <v>#REF!</v>
      </c>
      <c r="DD33" t="e">
        <f>AND(#REF!,"AAAAABXO/Ws=")</f>
        <v>#REF!</v>
      </c>
      <c r="DE33" t="e">
        <f>AND(#REF!,"AAAAABXO/Ww=")</f>
        <v>#REF!</v>
      </c>
      <c r="DF33" t="e">
        <f>AND(#REF!,"AAAAABXO/W0=")</f>
        <v>#REF!</v>
      </c>
      <c r="DG33" t="e">
        <f>AND(#REF!,"AAAAABXO/W4=")</f>
        <v>#REF!</v>
      </c>
      <c r="DH33" t="e">
        <f>AND(#REF!,"AAAAABXO/W8=")</f>
        <v>#REF!</v>
      </c>
      <c r="DI33" t="e">
        <f>AND(#REF!,"AAAAABXO/XA=")</f>
        <v>#REF!</v>
      </c>
      <c r="DJ33" t="e">
        <f>AND(#REF!,"AAAAABXO/XE=")</f>
        <v>#REF!</v>
      </c>
      <c r="DK33" t="e">
        <f>AND(#REF!,"AAAAABXO/XI=")</f>
        <v>#REF!</v>
      </c>
      <c r="DL33" t="e">
        <f>AND(#REF!,"AAAAABXO/XM=")</f>
        <v>#REF!</v>
      </c>
      <c r="DM33" t="e">
        <f>AND(#REF!,"AAAAABXO/XQ=")</f>
        <v>#REF!</v>
      </c>
      <c r="DN33" t="e">
        <f>AND(#REF!,"AAAAABXO/XU=")</f>
        <v>#REF!</v>
      </c>
      <c r="DO33" t="e">
        <f>AND(#REF!,"AAAAABXO/XY=")</f>
        <v>#REF!</v>
      </c>
      <c r="DP33" t="e">
        <f>AND(#REF!,"AAAAABXO/Xc=")</f>
        <v>#REF!</v>
      </c>
      <c r="DQ33" t="e">
        <f>AND(#REF!,"AAAAABXO/Xg=")</f>
        <v>#REF!</v>
      </c>
      <c r="DR33" t="e">
        <f>AND(#REF!,"AAAAABXO/Xk=")</f>
        <v>#REF!</v>
      </c>
      <c r="DS33" t="e">
        <f>AND(#REF!,"AAAAABXO/Xo=")</f>
        <v>#REF!</v>
      </c>
      <c r="DT33" t="e">
        <f>AND(#REF!,"AAAAABXO/Xs=")</f>
        <v>#REF!</v>
      </c>
      <c r="DU33" t="e">
        <f>AND(#REF!,"AAAAABXO/Xw=")</f>
        <v>#REF!</v>
      </c>
      <c r="DV33" t="e">
        <f>IF(#REF!,"AAAAABXO/X0=",0)</f>
        <v>#REF!</v>
      </c>
      <c r="DW33" t="e">
        <f>AND(#REF!,"AAAAABXO/X4=")</f>
        <v>#REF!</v>
      </c>
      <c r="DX33" t="e">
        <f>AND(#REF!,"AAAAABXO/X8=")</f>
        <v>#REF!</v>
      </c>
      <c r="DY33" t="e">
        <f>AND(#REF!,"AAAAABXO/YA=")</f>
        <v>#REF!</v>
      </c>
      <c r="DZ33" t="e">
        <f>AND(#REF!,"AAAAABXO/YE=")</f>
        <v>#REF!</v>
      </c>
      <c r="EA33" t="e">
        <f>AND(#REF!,"AAAAABXO/YI=")</f>
        <v>#REF!</v>
      </c>
      <c r="EB33" t="e">
        <f>AND(#REF!,"AAAAABXO/YM=")</f>
        <v>#REF!</v>
      </c>
      <c r="EC33" t="e">
        <f>AND(#REF!,"AAAAABXO/YQ=")</f>
        <v>#REF!</v>
      </c>
      <c r="ED33" t="e">
        <f>AND(#REF!,"AAAAABXO/YU=")</f>
        <v>#REF!</v>
      </c>
      <c r="EE33" t="e">
        <f>AND(#REF!,"AAAAABXO/YY=")</f>
        <v>#REF!</v>
      </c>
      <c r="EF33" t="e">
        <f>AND(#REF!,"AAAAABXO/Yc=")</f>
        <v>#REF!</v>
      </c>
      <c r="EG33" t="e">
        <f>AND(#REF!,"AAAAABXO/Yg=")</f>
        <v>#REF!</v>
      </c>
      <c r="EH33" t="e">
        <f>AND(#REF!,"AAAAABXO/Yk=")</f>
        <v>#REF!</v>
      </c>
      <c r="EI33" t="e">
        <f>AND(#REF!,"AAAAABXO/Yo=")</f>
        <v>#REF!</v>
      </c>
      <c r="EJ33" t="e">
        <f>AND(#REF!,"AAAAABXO/Ys=")</f>
        <v>#REF!</v>
      </c>
      <c r="EK33" t="e">
        <f>AND(#REF!,"AAAAABXO/Yw=")</f>
        <v>#REF!</v>
      </c>
      <c r="EL33" t="e">
        <f>AND(#REF!,"AAAAABXO/Y0=")</f>
        <v>#REF!</v>
      </c>
      <c r="EM33" t="e">
        <f>AND(#REF!,"AAAAABXO/Y4=")</f>
        <v>#REF!</v>
      </c>
      <c r="EN33" t="e">
        <f>AND(#REF!,"AAAAABXO/Y8=")</f>
        <v>#REF!</v>
      </c>
      <c r="EO33" t="e">
        <f>AND(#REF!,"AAAAABXO/ZA=")</f>
        <v>#REF!</v>
      </c>
      <c r="EP33" t="e">
        <f>AND(#REF!,"AAAAABXO/ZE=")</f>
        <v>#REF!</v>
      </c>
      <c r="EQ33" t="e">
        <f>AND(#REF!,"AAAAABXO/ZI=")</f>
        <v>#REF!</v>
      </c>
      <c r="ER33" t="e">
        <f>AND(#REF!,"AAAAABXO/ZM=")</f>
        <v>#REF!</v>
      </c>
      <c r="ES33" t="e">
        <f>AND(#REF!,"AAAAABXO/ZQ=")</f>
        <v>#REF!</v>
      </c>
      <c r="ET33" t="e">
        <f>AND(#REF!,"AAAAABXO/ZU=")</f>
        <v>#REF!</v>
      </c>
      <c r="EU33" t="e">
        <f>AND(#REF!,"AAAAABXO/ZY=")</f>
        <v>#REF!</v>
      </c>
      <c r="EV33" t="e">
        <f>AND(#REF!,"AAAAABXO/Zc=")</f>
        <v>#REF!</v>
      </c>
      <c r="EW33" t="e">
        <f>AND(#REF!,"AAAAABXO/Zg=")</f>
        <v>#REF!</v>
      </c>
      <c r="EX33" t="e">
        <f>AND(#REF!,"AAAAABXO/Zk=")</f>
        <v>#REF!</v>
      </c>
      <c r="EY33" t="e">
        <f>AND(#REF!,"AAAAABXO/Zo=")</f>
        <v>#REF!</v>
      </c>
      <c r="EZ33" t="e">
        <f>AND(#REF!,"AAAAABXO/Zs=")</f>
        <v>#REF!</v>
      </c>
      <c r="FA33" t="e">
        <f>IF(#REF!,"AAAAABXO/Zw=",0)</f>
        <v>#REF!</v>
      </c>
      <c r="FB33" t="e">
        <f>AND(#REF!,"AAAAABXO/Z0=")</f>
        <v>#REF!</v>
      </c>
      <c r="FC33" t="e">
        <f>AND(#REF!,"AAAAABXO/Z4=")</f>
        <v>#REF!</v>
      </c>
      <c r="FD33" t="e">
        <f>AND(#REF!,"AAAAABXO/Z8=")</f>
        <v>#REF!</v>
      </c>
      <c r="FE33" t="e">
        <f>AND(#REF!,"AAAAABXO/aA=")</f>
        <v>#REF!</v>
      </c>
      <c r="FF33" t="e">
        <f>AND(#REF!,"AAAAABXO/aE=")</f>
        <v>#REF!</v>
      </c>
      <c r="FG33" t="e">
        <f>AND(#REF!,"AAAAABXO/aI=")</f>
        <v>#REF!</v>
      </c>
      <c r="FH33" t="e">
        <f>AND(#REF!,"AAAAABXO/aM=")</f>
        <v>#REF!</v>
      </c>
      <c r="FI33" t="e">
        <f>AND(#REF!,"AAAAABXO/aQ=")</f>
        <v>#REF!</v>
      </c>
      <c r="FJ33" t="e">
        <f>AND(#REF!,"AAAAABXO/aU=")</f>
        <v>#REF!</v>
      </c>
      <c r="FK33" t="e">
        <f>AND(#REF!,"AAAAABXO/aY=")</f>
        <v>#REF!</v>
      </c>
      <c r="FL33" t="e">
        <f>AND(#REF!,"AAAAABXO/ac=")</f>
        <v>#REF!</v>
      </c>
      <c r="FM33" t="e">
        <f>AND(#REF!,"AAAAABXO/ag=")</f>
        <v>#REF!</v>
      </c>
      <c r="FN33" t="e">
        <f>AND(#REF!,"AAAAABXO/ak=")</f>
        <v>#REF!</v>
      </c>
      <c r="FO33" t="e">
        <f>IF(#REF!,"AAAAABXO/ao=",0)</f>
        <v>#REF!</v>
      </c>
      <c r="FP33" t="e">
        <f>AND(#REF!,"AAAAABXO/as=")</f>
        <v>#REF!</v>
      </c>
      <c r="FQ33" t="e">
        <f>AND(#REF!,"AAAAABXO/aw=")</f>
        <v>#REF!</v>
      </c>
      <c r="FR33" t="e">
        <f>AND(#REF!,"AAAAABXO/a0=")</f>
        <v>#REF!</v>
      </c>
      <c r="FS33" t="e">
        <f>AND(#REF!,"AAAAABXO/a4=")</f>
        <v>#REF!</v>
      </c>
      <c r="FT33" t="e">
        <f>AND(#REF!,"AAAAABXO/a8=")</f>
        <v>#REF!</v>
      </c>
      <c r="FU33" t="e">
        <f>AND(#REF!,"AAAAABXO/bA=")</f>
        <v>#REF!</v>
      </c>
      <c r="FV33" t="e">
        <f>AND(#REF!,"AAAAABXO/bE=")</f>
        <v>#REF!</v>
      </c>
      <c r="FW33" t="e">
        <f>AND(#REF!,"AAAAABXO/bI=")</f>
        <v>#REF!</v>
      </c>
      <c r="FX33" t="e">
        <f>AND(#REF!,"AAAAABXO/bM=")</f>
        <v>#REF!</v>
      </c>
      <c r="FY33" t="e">
        <f>AND(#REF!,"AAAAABXO/bQ=")</f>
        <v>#REF!</v>
      </c>
      <c r="FZ33" t="e">
        <f>AND(#REF!,"AAAAABXO/bU=")</f>
        <v>#REF!</v>
      </c>
      <c r="GA33" t="e">
        <f>AND(#REF!,"AAAAABXO/bY=")</f>
        <v>#REF!</v>
      </c>
      <c r="GB33" t="e">
        <f>AND(#REF!,"AAAAABXO/bc=")</f>
        <v>#REF!</v>
      </c>
      <c r="GC33" t="e">
        <f>IF(#REF!,"AAAAABXO/bg=",0)</f>
        <v>#REF!</v>
      </c>
      <c r="GD33" t="e">
        <f>AND(#REF!,"AAAAABXO/bk=")</f>
        <v>#REF!</v>
      </c>
      <c r="GE33" t="e">
        <f>AND(#REF!,"AAAAABXO/bo=")</f>
        <v>#REF!</v>
      </c>
      <c r="GF33" t="e">
        <f>AND(#REF!,"AAAAABXO/bs=")</f>
        <v>#REF!</v>
      </c>
      <c r="GG33" t="e">
        <f>AND(#REF!,"AAAAABXO/bw=")</f>
        <v>#REF!</v>
      </c>
      <c r="GH33" t="e">
        <f>AND(#REF!,"AAAAABXO/b0=")</f>
        <v>#REF!</v>
      </c>
      <c r="GI33" t="e">
        <f>AND(#REF!,"AAAAABXO/b4=")</f>
        <v>#REF!</v>
      </c>
      <c r="GJ33" t="e">
        <f>AND(#REF!,"AAAAABXO/b8=")</f>
        <v>#REF!</v>
      </c>
      <c r="GK33" t="e">
        <f>AND(#REF!,"AAAAABXO/cA=")</f>
        <v>#REF!</v>
      </c>
      <c r="GL33" t="e">
        <f>AND(#REF!,"AAAAABXO/cE=")</f>
        <v>#REF!</v>
      </c>
      <c r="GM33" t="e">
        <f>AND(#REF!,"AAAAABXO/cI=")</f>
        <v>#REF!</v>
      </c>
      <c r="GN33" t="e">
        <f>AND(#REF!,"AAAAABXO/cM=")</f>
        <v>#REF!</v>
      </c>
      <c r="GO33" t="e">
        <f>AND(#REF!,"AAAAABXO/cQ=")</f>
        <v>#REF!</v>
      </c>
      <c r="GP33" t="e">
        <f>AND(#REF!,"AAAAABXO/cU=")</f>
        <v>#REF!</v>
      </c>
      <c r="GQ33" t="e">
        <f>IF(#REF!,"AAAAABXO/cY=",0)</f>
        <v>#REF!</v>
      </c>
      <c r="GR33" t="e">
        <f>AND(#REF!,"AAAAABXO/cc=")</f>
        <v>#REF!</v>
      </c>
      <c r="GS33" t="e">
        <f>AND(#REF!,"AAAAABXO/cg=")</f>
        <v>#REF!</v>
      </c>
      <c r="GT33" t="e">
        <f>AND(#REF!,"AAAAABXO/ck=")</f>
        <v>#REF!</v>
      </c>
      <c r="GU33" t="e">
        <f>AND(#REF!,"AAAAABXO/co=")</f>
        <v>#REF!</v>
      </c>
      <c r="GV33" t="e">
        <f>AND(#REF!,"AAAAABXO/cs=")</f>
        <v>#REF!</v>
      </c>
      <c r="GW33" t="e">
        <f>AND(#REF!,"AAAAABXO/cw=")</f>
        <v>#REF!</v>
      </c>
      <c r="GX33" t="e">
        <f>AND(#REF!,"AAAAABXO/c0=")</f>
        <v>#REF!</v>
      </c>
      <c r="GY33" t="e">
        <f>AND(#REF!,"AAAAABXO/c4=")</f>
        <v>#REF!</v>
      </c>
      <c r="GZ33" t="e">
        <f>AND(#REF!,"AAAAABXO/c8=")</f>
        <v>#REF!</v>
      </c>
      <c r="HA33" t="e">
        <f>AND(#REF!,"AAAAABXO/dA=")</f>
        <v>#REF!</v>
      </c>
      <c r="HB33" t="e">
        <f>AND(#REF!,"AAAAABXO/dE=")</f>
        <v>#REF!</v>
      </c>
      <c r="HC33" t="e">
        <f>AND(#REF!,"AAAAABXO/dI=")</f>
        <v>#REF!</v>
      </c>
      <c r="HD33" t="e">
        <f>AND(#REF!,"AAAAABXO/dM=")</f>
        <v>#REF!</v>
      </c>
      <c r="HE33" t="e">
        <f>IF(#REF!,"AAAAABXO/dQ=",0)</f>
        <v>#REF!</v>
      </c>
      <c r="HF33" t="e">
        <f>AND(#REF!,"AAAAABXO/dU=")</f>
        <v>#REF!</v>
      </c>
      <c r="HG33" t="e">
        <f>AND(#REF!,"AAAAABXO/dY=")</f>
        <v>#REF!</v>
      </c>
      <c r="HH33" t="e">
        <f>AND(#REF!,"AAAAABXO/dc=")</f>
        <v>#REF!</v>
      </c>
      <c r="HI33" t="e">
        <f>AND(#REF!,"AAAAABXO/dg=")</f>
        <v>#REF!</v>
      </c>
      <c r="HJ33" t="e">
        <f>AND(#REF!,"AAAAABXO/dk=")</f>
        <v>#REF!</v>
      </c>
      <c r="HK33" t="e">
        <f>AND(#REF!,"AAAAABXO/do=")</f>
        <v>#REF!</v>
      </c>
      <c r="HL33" t="e">
        <f>AND(#REF!,"AAAAABXO/ds=")</f>
        <v>#REF!</v>
      </c>
      <c r="HM33" t="e">
        <f>AND(#REF!,"AAAAABXO/dw=")</f>
        <v>#REF!</v>
      </c>
      <c r="HN33" t="e">
        <f>AND(#REF!,"AAAAABXO/d0=")</f>
        <v>#REF!</v>
      </c>
      <c r="HO33" t="e">
        <f>AND(#REF!,"AAAAABXO/d4=")</f>
        <v>#REF!</v>
      </c>
      <c r="HP33" t="e">
        <f>AND(#REF!,"AAAAABXO/d8=")</f>
        <v>#REF!</v>
      </c>
      <c r="HQ33" t="e">
        <f>AND(#REF!,"AAAAABXO/eA=")</f>
        <v>#REF!</v>
      </c>
      <c r="HR33" t="e">
        <f>AND(#REF!,"AAAAABXO/eE=")</f>
        <v>#REF!</v>
      </c>
      <c r="HS33" t="e">
        <f>IF(#REF!,"AAAAABXO/eI=",0)</f>
        <v>#REF!</v>
      </c>
      <c r="HT33" t="e">
        <f>AND(#REF!,"AAAAABXO/eM=")</f>
        <v>#REF!</v>
      </c>
      <c r="HU33" t="e">
        <f>AND(#REF!,"AAAAABXO/eQ=")</f>
        <v>#REF!</v>
      </c>
      <c r="HV33" t="e">
        <f>AND(#REF!,"AAAAABXO/eU=")</f>
        <v>#REF!</v>
      </c>
      <c r="HW33" t="e">
        <f>AND(#REF!,"AAAAABXO/eY=")</f>
        <v>#REF!</v>
      </c>
      <c r="HX33" t="e">
        <f>AND(#REF!,"AAAAABXO/ec=")</f>
        <v>#REF!</v>
      </c>
      <c r="HY33" t="e">
        <f>AND(#REF!,"AAAAABXO/eg=")</f>
        <v>#REF!</v>
      </c>
      <c r="HZ33" t="e">
        <f>AND(#REF!,"AAAAABXO/ek=")</f>
        <v>#REF!</v>
      </c>
      <c r="IA33" t="e">
        <f>AND(#REF!,"AAAAABXO/eo=")</f>
        <v>#REF!</v>
      </c>
      <c r="IB33" t="e">
        <f>AND(#REF!,"AAAAABXO/es=")</f>
        <v>#REF!</v>
      </c>
      <c r="IC33" t="e">
        <f>AND(#REF!,"AAAAABXO/ew=")</f>
        <v>#REF!</v>
      </c>
      <c r="ID33" t="e">
        <f>AND(#REF!,"AAAAABXO/e0=")</f>
        <v>#REF!</v>
      </c>
      <c r="IE33" t="e">
        <f>AND(#REF!,"AAAAABXO/e4=")</f>
        <v>#REF!</v>
      </c>
      <c r="IF33" t="e">
        <f>AND(#REF!,"AAAAABXO/e8=")</f>
        <v>#REF!</v>
      </c>
      <c r="IG33" t="e">
        <f>IF(#REF!,"AAAAABXO/fA=",0)</f>
        <v>#REF!</v>
      </c>
      <c r="IH33" t="e">
        <f>AND(#REF!,"AAAAABXO/fE=")</f>
        <v>#REF!</v>
      </c>
      <c r="II33" t="e">
        <f>AND(#REF!,"AAAAABXO/fI=")</f>
        <v>#REF!</v>
      </c>
      <c r="IJ33" t="e">
        <f>AND(#REF!,"AAAAABXO/fM=")</f>
        <v>#REF!</v>
      </c>
      <c r="IK33" t="e">
        <f>AND(#REF!,"AAAAABXO/fQ=")</f>
        <v>#REF!</v>
      </c>
      <c r="IL33" t="e">
        <f>AND(#REF!,"AAAAABXO/fU=")</f>
        <v>#REF!</v>
      </c>
      <c r="IM33" t="e">
        <f>AND(#REF!,"AAAAABXO/fY=")</f>
        <v>#REF!</v>
      </c>
      <c r="IN33" t="e">
        <f>AND(#REF!,"AAAAABXO/fc=")</f>
        <v>#REF!</v>
      </c>
      <c r="IO33" t="e">
        <f>AND(#REF!,"AAAAABXO/fg=")</f>
        <v>#REF!</v>
      </c>
      <c r="IP33" t="e">
        <f>AND(#REF!,"AAAAABXO/fk=")</f>
        <v>#REF!</v>
      </c>
      <c r="IQ33" t="e">
        <f>AND(#REF!,"AAAAABXO/fo=")</f>
        <v>#REF!</v>
      </c>
      <c r="IR33" t="e">
        <f>AND(#REF!,"AAAAABXO/fs=")</f>
        <v>#REF!</v>
      </c>
      <c r="IS33" t="e">
        <f>AND(#REF!,"AAAAABXO/fw=")</f>
        <v>#REF!</v>
      </c>
      <c r="IT33" t="e">
        <f>AND(#REF!,"AAAAABXO/f0=")</f>
        <v>#REF!</v>
      </c>
      <c r="IU33" t="e">
        <f>IF(#REF!,"AAAAABXO/f4=",0)</f>
        <v>#REF!</v>
      </c>
      <c r="IV33" t="e">
        <f>AND(#REF!,"AAAAABXO/f8=")</f>
        <v>#REF!</v>
      </c>
    </row>
    <row r="34" spans="1:256">
      <c r="A34" t="e">
        <f>AND(#REF!,"AAAAAH//2wA=")</f>
        <v>#REF!</v>
      </c>
      <c r="B34" t="e">
        <f>AND(#REF!,"AAAAAH//2wE=")</f>
        <v>#REF!</v>
      </c>
      <c r="C34" t="e">
        <f>AND(#REF!,"AAAAAH//2wI=")</f>
        <v>#REF!</v>
      </c>
      <c r="D34" t="e">
        <f>AND(#REF!,"AAAAAH//2wM=")</f>
        <v>#REF!</v>
      </c>
      <c r="E34" t="e">
        <f>AND(#REF!,"AAAAAH//2wQ=")</f>
        <v>#REF!</v>
      </c>
      <c r="F34" t="e">
        <f>AND(#REF!,"AAAAAH//2wU=")</f>
        <v>#REF!</v>
      </c>
      <c r="G34" t="e">
        <f>AND(#REF!,"AAAAAH//2wY=")</f>
        <v>#REF!</v>
      </c>
      <c r="H34" t="e">
        <f>AND(#REF!,"AAAAAH//2wc=")</f>
        <v>#REF!</v>
      </c>
      <c r="I34" t="e">
        <f>AND(#REF!,"AAAAAH//2wg=")</f>
        <v>#REF!</v>
      </c>
      <c r="J34" t="e">
        <f>AND(#REF!,"AAAAAH//2wk=")</f>
        <v>#REF!</v>
      </c>
      <c r="K34" t="e">
        <f>AND(#REF!,"AAAAAH//2wo=")</f>
        <v>#REF!</v>
      </c>
      <c r="L34" t="e">
        <f>AND(#REF!,"AAAAAH//2ws=")</f>
        <v>#REF!</v>
      </c>
      <c r="M34" t="e">
        <f>IF(#REF!,"AAAAAH//2ww=",0)</f>
        <v>#REF!</v>
      </c>
      <c r="N34" t="e">
        <f>AND(#REF!,"AAAAAH//2w0=")</f>
        <v>#REF!</v>
      </c>
      <c r="O34" t="e">
        <f>AND(#REF!,"AAAAAH//2w4=")</f>
        <v>#REF!</v>
      </c>
      <c r="P34" t="e">
        <f>AND(#REF!,"AAAAAH//2w8=")</f>
        <v>#REF!</v>
      </c>
      <c r="Q34" t="e">
        <f>AND(#REF!,"AAAAAH//2xA=")</f>
        <v>#REF!</v>
      </c>
      <c r="R34" t="e">
        <f>AND(#REF!,"AAAAAH//2xE=")</f>
        <v>#REF!</v>
      </c>
      <c r="S34" t="e">
        <f>AND(#REF!,"AAAAAH//2xI=")</f>
        <v>#REF!</v>
      </c>
      <c r="T34" t="e">
        <f>AND(#REF!,"AAAAAH//2xM=")</f>
        <v>#REF!</v>
      </c>
      <c r="U34" t="e">
        <f>AND(#REF!,"AAAAAH//2xQ=")</f>
        <v>#REF!</v>
      </c>
      <c r="V34" t="e">
        <f>AND(#REF!,"AAAAAH//2xU=")</f>
        <v>#REF!</v>
      </c>
      <c r="W34" t="e">
        <f>AND(#REF!,"AAAAAH//2xY=")</f>
        <v>#REF!</v>
      </c>
      <c r="X34" t="e">
        <f>AND(#REF!,"AAAAAH//2xc=")</f>
        <v>#REF!</v>
      </c>
      <c r="Y34" t="e">
        <f>AND(#REF!,"AAAAAH//2xg=")</f>
        <v>#REF!</v>
      </c>
      <c r="Z34" t="e">
        <f>AND(#REF!,"AAAAAH//2xk=")</f>
        <v>#REF!</v>
      </c>
      <c r="AA34" t="e">
        <f>IF(#REF!,"AAAAAH//2xo=",0)</f>
        <v>#REF!</v>
      </c>
      <c r="AB34" t="e">
        <f>AND(#REF!,"AAAAAH//2xs=")</f>
        <v>#REF!</v>
      </c>
      <c r="AC34" t="e">
        <f>AND(#REF!,"AAAAAH//2xw=")</f>
        <v>#REF!</v>
      </c>
      <c r="AD34" t="e">
        <f>AND(#REF!,"AAAAAH//2x0=")</f>
        <v>#REF!</v>
      </c>
      <c r="AE34" t="e">
        <f>AND(#REF!,"AAAAAH//2x4=")</f>
        <v>#REF!</v>
      </c>
      <c r="AF34" t="e">
        <f>AND(#REF!,"AAAAAH//2x8=")</f>
        <v>#REF!</v>
      </c>
      <c r="AG34" t="e">
        <f>AND(#REF!,"AAAAAH//2yA=")</f>
        <v>#REF!</v>
      </c>
      <c r="AH34" t="e">
        <f>AND(#REF!,"AAAAAH//2yE=")</f>
        <v>#REF!</v>
      </c>
      <c r="AI34" t="e">
        <f>AND(#REF!,"AAAAAH//2yI=")</f>
        <v>#REF!</v>
      </c>
      <c r="AJ34" t="e">
        <f>AND(#REF!,"AAAAAH//2yM=")</f>
        <v>#REF!</v>
      </c>
      <c r="AK34" t="e">
        <f>AND(#REF!,"AAAAAH//2yQ=")</f>
        <v>#REF!</v>
      </c>
      <c r="AL34" t="e">
        <f>AND(#REF!,"AAAAAH//2yU=")</f>
        <v>#REF!</v>
      </c>
      <c r="AM34" t="e">
        <f>AND(#REF!,"AAAAAH//2yY=")</f>
        <v>#REF!</v>
      </c>
      <c r="AN34" t="e">
        <f>AND(#REF!,"AAAAAH//2yc=")</f>
        <v>#REF!</v>
      </c>
      <c r="AO34" t="e">
        <f>IF(#REF!,"AAAAAH//2yg=",0)</f>
        <v>#REF!</v>
      </c>
      <c r="AP34" t="e">
        <f>AND(#REF!,"AAAAAH//2yk=")</f>
        <v>#REF!</v>
      </c>
      <c r="AQ34" t="e">
        <f>AND(#REF!,"AAAAAH//2yo=")</f>
        <v>#REF!</v>
      </c>
      <c r="AR34" t="e">
        <f>AND(#REF!,"AAAAAH//2ys=")</f>
        <v>#REF!</v>
      </c>
      <c r="AS34" t="e">
        <f>AND(#REF!,"AAAAAH//2yw=")</f>
        <v>#REF!</v>
      </c>
      <c r="AT34" t="e">
        <f>AND(#REF!,"AAAAAH//2y0=")</f>
        <v>#REF!</v>
      </c>
      <c r="AU34" t="e">
        <f>AND(#REF!,"AAAAAH//2y4=")</f>
        <v>#REF!</v>
      </c>
      <c r="AV34" t="e">
        <f>AND(#REF!,"AAAAAH//2y8=")</f>
        <v>#REF!</v>
      </c>
      <c r="AW34" t="e">
        <f>AND(#REF!,"AAAAAH//2zA=")</f>
        <v>#REF!</v>
      </c>
      <c r="AX34" t="e">
        <f>AND(#REF!,"AAAAAH//2zE=")</f>
        <v>#REF!</v>
      </c>
      <c r="AY34" t="e">
        <f>AND(#REF!,"AAAAAH//2zI=")</f>
        <v>#REF!</v>
      </c>
      <c r="AZ34" t="e">
        <f>AND(#REF!,"AAAAAH//2zM=")</f>
        <v>#REF!</v>
      </c>
      <c r="BA34" t="e">
        <f>AND(#REF!,"AAAAAH//2zQ=")</f>
        <v>#REF!</v>
      </c>
      <c r="BB34" t="e">
        <f>AND(#REF!,"AAAAAH//2zU=")</f>
        <v>#REF!</v>
      </c>
      <c r="BC34" t="e">
        <f>IF(#REF!,"AAAAAH//2zY=",0)</f>
        <v>#REF!</v>
      </c>
      <c r="BD34" t="e">
        <f>AND(#REF!,"AAAAAH//2zc=")</f>
        <v>#REF!</v>
      </c>
      <c r="BE34" t="e">
        <f>AND(#REF!,"AAAAAH//2zg=")</f>
        <v>#REF!</v>
      </c>
      <c r="BF34" t="e">
        <f>AND(#REF!,"AAAAAH//2zk=")</f>
        <v>#REF!</v>
      </c>
      <c r="BG34" t="e">
        <f>AND(#REF!,"AAAAAH//2zo=")</f>
        <v>#REF!</v>
      </c>
      <c r="BH34" t="e">
        <f>AND(#REF!,"AAAAAH//2zs=")</f>
        <v>#REF!</v>
      </c>
      <c r="BI34" t="e">
        <f>AND(#REF!,"AAAAAH//2zw=")</f>
        <v>#REF!</v>
      </c>
      <c r="BJ34" t="e">
        <f>AND(#REF!,"AAAAAH//2z0=")</f>
        <v>#REF!</v>
      </c>
      <c r="BK34" t="e">
        <f>AND(#REF!,"AAAAAH//2z4=")</f>
        <v>#REF!</v>
      </c>
      <c r="BL34" t="e">
        <f>AND(#REF!,"AAAAAH//2z8=")</f>
        <v>#REF!</v>
      </c>
      <c r="BM34" t="e">
        <f>AND(#REF!,"AAAAAH//20A=")</f>
        <v>#REF!</v>
      </c>
      <c r="BN34" t="e">
        <f>AND(#REF!,"AAAAAH//20E=")</f>
        <v>#REF!</v>
      </c>
      <c r="BO34" t="e">
        <f>AND(#REF!,"AAAAAH//20I=")</f>
        <v>#REF!</v>
      </c>
      <c r="BP34" t="e">
        <f>AND(#REF!,"AAAAAH//20M=")</f>
        <v>#REF!</v>
      </c>
      <c r="BQ34" t="e">
        <f>IF(#REF!,"AAAAAH//20Q=",0)</f>
        <v>#REF!</v>
      </c>
      <c r="BR34" t="e">
        <f>IF(#REF!,"AAAAAH//20U=",0)</f>
        <v>#REF!</v>
      </c>
      <c r="BS34" t="e">
        <f>IF(#REF!,"AAAAAH//20Y=",0)</f>
        <v>#REF!</v>
      </c>
      <c r="BT34" t="e">
        <f>IF(#REF!,"AAAAAH//20c=",0)</f>
        <v>#REF!</v>
      </c>
      <c r="BU34" t="e">
        <f>IF(#REF!,"AAAAAH//20g=",0)</f>
        <v>#REF!</v>
      </c>
      <c r="BV34" t="e">
        <f>IF(#REF!,"AAAAAH//20k=",0)</f>
        <v>#REF!</v>
      </c>
      <c r="BW34" t="e">
        <f>IF(#REF!,"AAAAAH//20o=",0)</f>
        <v>#REF!</v>
      </c>
      <c r="BX34" t="e">
        <f>IF(#REF!,"AAAAAH//20s=",0)</f>
        <v>#REF!</v>
      </c>
      <c r="BY34" t="e">
        <f>IF(#REF!,"AAAAAH//20w=",0)</f>
        <v>#REF!</v>
      </c>
      <c r="BZ34" t="e">
        <f>IF(#REF!,"AAAAAH//200=",0)</f>
        <v>#REF!</v>
      </c>
      <c r="CA34" t="e">
        <f>IF(#REF!,"AAAAAH//204=",0)</f>
        <v>#REF!</v>
      </c>
      <c r="CB34" t="e">
        <f>IF(#REF!,"AAAAAH//208=",0)</f>
        <v>#REF!</v>
      </c>
      <c r="CC34" t="e">
        <f>IF(#REF!,"AAAAAH//21A=",0)</f>
        <v>#REF!</v>
      </c>
      <c r="CD34" t="e">
        <f>IF(#REF!,"AAAAAH//21E=",0)</f>
        <v>#REF!</v>
      </c>
      <c r="CE34" t="e">
        <f>IF(#REF!,"AAAAAH//21I=",0)</f>
        <v>#REF!</v>
      </c>
      <c r="CF34" t="e">
        <f>IF(#REF!,"AAAAAH//21M=",0)</f>
        <v>#REF!</v>
      </c>
      <c r="CG34" t="e">
        <f>IF(#REF!,"AAAAAH//21Q=",0)</f>
        <v>#REF!</v>
      </c>
      <c r="CH34" t="e">
        <f>IF(#REF!,"AAAAAH//21U=",0)</f>
        <v>#REF!</v>
      </c>
      <c r="CI34" t="e">
        <f>IF(#REF!,"AAAAAH//21Y=",0)</f>
        <v>#REF!</v>
      </c>
      <c r="CJ34" t="e">
        <f>IF(#REF!,"AAAAAH//21c=",0)</f>
        <v>#REF!</v>
      </c>
      <c r="CK34" t="e">
        <f>IF(#REF!,"AAAAAH//21g=",0)</f>
        <v>#REF!</v>
      </c>
      <c r="CL34" t="e">
        <f>IF(#REF!,"AAAAAH//21k=",0)</f>
        <v>#REF!</v>
      </c>
      <c r="CM34" t="e">
        <f>IF(#REF!,"AAAAAH//21o=",0)</f>
        <v>#REF!</v>
      </c>
      <c r="CN34" t="e">
        <f>IF(#REF!,"AAAAAH//21s=",0)</f>
        <v>#REF!</v>
      </c>
      <c r="CO34" t="e">
        <f>IF(#REF!,"AAAAAH//21w=",0)</f>
        <v>#REF!</v>
      </c>
      <c r="CP34" t="e">
        <f>IF(#REF!,"AAAAAH//210=",0)</f>
        <v>#REF!</v>
      </c>
      <c r="CQ34" t="e">
        <f>IF(#REF!,"AAAAAH//214=",0)</f>
        <v>#REF!</v>
      </c>
      <c r="CR34" t="e">
        <f>IF(#REF!,"AAAAAH//218=",0)</f>
        <v>#REF!</v>
      </c>
      <c r="CS34" t="e">
        <f>IF(#REF!,"AAAAAH//22A=",0)</f>
        <v>#REF!</v>
      </c>
      <c r="CT34" t="e">
        <f>IF(#REF!,"AAAAAH//22E=",0)</f>
        <v>#REF!</v>
      </c>
      <c r="CU34">
        <f>IF(DATA!1:1,"AAAAAH//22I=",0)</f>
        <v>0</v>
      </c>
      <c r="CV34" t="e">
        <f>AND(DATA!A1,"AAAAAH//22M=")</f>
        <v>#VALUE!</v>
      </c>
      <c r="CW34" t="e">
        <f>AND(DATA!B1,"AAAAAH//22Q=")</f>
        <v>#VALUE!</v>
      </c>
      <c r="CX34" t="e">
        <f>AND(DATA!C1,"AAAAAH//22U=")</f>
        <v>#VALUE!</v>
      </c>
      <c r="CY34" t="e">
        <f>AND(DATA!D1,"AAAAAH//22Y=")</f>
        <v>#VALUE!</v>
      </c>
      <c r="CZ34" t="e">
        <f>AND(DATA!E1,"AAAAAH//22c=")</f>
        <v>#VALUE!</v>
      </c>
      <c r="DA34" t="e">
        <f>AND(DATA!F1,"AAAAAH//22g=")</f>
        <v>#VALUE!</v>
      </c>
      <c r="DB34" t="e">
        <f>AND(DATA!G1,"AAAAAH//22k=")</f>
        <v>#VALUE!</v>
      </c>
      <c r="DC34" t="e">
        <f>AND(DATA!H1,"AAAAAH//22o=")</f>
        <v>#VALUE!</v>
      </c>
      <c r="DD34" t="e">
        <f>AND(DATA!I1,"AAAAAH//22s=")</f>
        <v>#VALUE!</v>
      </c>
      <c r="DE34" t="e">
        <f>AND(DATA!J1,"AAAAAH//22w=")</f>
        <v>#VALUE!</v>
      </c>
      <c r="DF34" t="e">
        <f>AND(DATA!K1,"AAAAAH//220=")</f>
        <v>#VALUE!</v>
      </c>
      <c r="DG34" t="e">
        <f>AND(DATA!L1,"AAAAAH//224=")</f>
        <v>#VALUE!</v>
      </c>
      <c r="DH34" t="e">
        <f>AND(DATA!N1,"AAAAAH//228=")</f>
        <v>#VALUE!</v>
      </c>
      <c r="DI34" t="e">
        <f>AND(DATA!M1,"AAAAAH//23A=")</f>
        <v>#VALUE!</v>
      </c>
      <c r="DJ34">
        <f>IF(DATA!2:2,"AAAAAH//23E=",0)</f>
        <v>0</v>
      </c>
      <c r="DK34" t="b">
        <f>AND(DATA!A2,"AAAAAH//23I=")</f>
        <v>1</v>
      </c>
      <c r="DL34" t="b">
        <f>AND(DATA!B2,"AAAAAH//23M=")</f>
        <v>1</v>
      </c>
      <c r="DM34" t="e">
        <f>AND(DATA!C2,"AAAAAH//23Q=")</f>
        <v>#VALUE!</v>
      </c>
      <c r="DN34" t="e">
        <f>AND(DATA!D2,"AAAAAH//23U=")</f>
        <v>#VALUE!</v>
      </c>
      <c r="DO34" t="e">
        <f>AND(DATA!E2,"AAAAAH//23Y=")</f>
        <v>#VALUE!</v>
      </c>
      <c r="DP34" t="e">
        <f>AND(DATA!F2,"AAAAAH//23c=")</f>
        <v>#VALUE!</v>
      </c>
      <c r="DQ34" t="e">
        <f>AND(DATA!G2,"AAAAAH//23g=")</f>
        <v>#VALUE!</v>
      </c>
      <c r="DR34" t="e">
        <f>AND(DATA!H2,"AAAAAH//23k=")</f>
        <v>#VALUE!</v>
      </c>
      <c r="DS34" t="e">
        <f>AND(DATA!I2,"AAAAAH//23o=")</f>
        <v>#VALUE!</v>
      </c>
      <c r="DT34" t="e">
        <f>AND(DATA!J2,"AAAAAH//23s=")</f>
        <v>#VALUE!</v>
      </c>
      <c r="DU34" t="e">
        <f>AND(DATA!K2,"AAAAAH//23w=")</f>
        <v>#VALUE!</v>
      </c>
      <c r="DV34" t="b">
        <f>AND(DATA!L2,"AAAAAH//230=")</f>
        <v>1</v>
      </c>
      <c r="DW34" t="b">
        <f>AND(DATA!M2,"AAAAAH//234=")</f>
        <v>1</v>
      </c>
      <c r="DX34" t="e">
        <f>AND(DATA!N2,"AAAAAH//238=")</f>
        <v>#VALUE!</v>
      </c>
      <c r="DY34">
        <f>IF(DATA!3:3,"AAAAAH//24A=",0)</f>
        <v>0</v>
      </c>
      <c r="DZ34" t="b">
        <f>AND(DATA!A3,"AAAAAH//24E=")</f>
        <v>1</v>
      </c>
      <c r="EA34" t="b">
        <f>AND(DATA!B3,"AAAAAH//24I=")</f>
        <v>1</v>
      </c>
      <c r="EB34" t="e">
        <f>AND(DATA!C3,"AAAAAH//24M=")</f>
        <v>#VALUE!</v>
      </c>
      <c r="EC34" t="e">
        <f>AND(DATA!D3,"AAAAAH//24Q=")</f>
        <v>#VALUE!</v>
      </c>
      <c r="ED34" t="e">
        <f>AND(DATA!E3,"AAAAAH//24U=")</f>
        <v>#VALUE!</v>
      </c>
      <c r="EE34" t="e">
        <f>AND(DATA!F3,"AAAAAH//24Y=")</f>
        <v>#VALUE!</v>
      </c>
      <c r="EF34" t="e">
        <f>AND(DATA!G3,"AAAAAH//24c=")</f>
        <v>#VALUE!</v>
      </c>
      <c r="EG34" t="e">
        <f>AND(DATA!H3,"AAAAAH//24g=")</f>
        <v>#VALUE!</v>
      </c>
      <c r="EH34" t="e">
        <f>AND(DATA!I3,"AAAAAH//24k=")</f>
        <v>#VALUE!</v>
      </c>
      <c r="EI34" t="e">
        <f>AND(DATA!J3,"AAAAAH//24o=")</f>
        <v>#VALUE!</v>
      </c>
      <c r="EJ34" t="e">
        <f>AND(DATA!K3,"AAAAAH//24s=")</f>
        <v>#VALUE!</v>
      </c>
      <c r="EK34" t="b">
        <f>AND(DATA!L3,"AAAAAH//24w=")</f>
        <v>1</v>
      </c>
      <c r="EL34" t="b">
        <f>AND(DATA!M3,"AAAAAH//240=")</f>
        <v>1</v>
      </c>
      <c r="EM34" t="e">
        <f>AND(DATA!N3,"AAAAAH//244=")</f>
        <v>#VALUE!</v>
      </c>
      <c r="EN34">
        <f>IF(DATA!4:4,"AAAAAH//248=",0)</f>
        <v>0</v>
      </c>
      <c r="EO34" t="b">
        <f>AND(DATA!A4,"AAAAAH//25A=")</f>
        <v>1</v>
      </c>
      <c r="EP34" t="b">
        <f>AND(DATA!B4,"AAAAAH//25E=")</f>
        <v>1</v>
      </c>
      <c r="EQ34" t="e">
        <f>AND(DATA!C4,"AAAAAH//25I=")</f>
        <v>#VALUE!</v>
      </c>
      <c r="ER34" t="e">
        <f>AND(DATA!D4,"AAAAAH//25M=")</f>
        <v>#VALUE!</v>
      </c>
      <c r="ES34" t="e">
        <f>AND(DATA!E4,"AAAAAH//25Q=")</f>
        <v>#VALUE!</v>
      </c>
      <c r="ET34" t="e">
        <f>AND(DATA!F4,"AAAAAH//25U=")</f>
        <v>#VALUE!</v>
      </c>
      <c r="EU34" t="e">
        <f>AND(DATA!G4,"AAAAAH//25Y=")</f>
        <v>#VALUE!</v>
      </c>
      <c r="EV34" t="e">
        <f>AND(DATA!H4,"AAAAAH//25c=")</f>
        <v>#VALUE!</v>
      </c>
      <c r="EW34" t="e">
        <f>AND(DATA!I4,"AAAAAH//25g=")</f>
        <v>#VALUE!</v>
      </c>
      <c r="EX34" t="e">
        <f>AND(DATA!J4,"AAAAAH//25k=")</f>
        <v>#VALUE!</v>
      </c>
      <c r="EY34" t="e">
        <f>AND(DATA!K4,"AAAAAH//25o=")</f>
        <v>#VALUE!</v>
      </c>
      <c r="EZ34" t="b">
        <f>AND(DATA!L4,"AAAAAH//25s=")</f>
        <v>1</v>
      </c>
      <c r="FA34" t="b">
        <f>AND(DATA!M4,"AAAAAH//25w=")</f>
        <v>1</v>
      </c>
      <c r="FB34" t="e">
        <f>AND(DATA!N4,"AAAAAH//250=")</f>
        <v>#VALUE!</v>
      </c>
      <c r="FC34">
        <f>IF(DATA!5:5,"AAAAAH//254=",0)</f>
        <v>0</v>
      </c>
      <c r="FD34" t="b">
        <f>AND(DATA!A5,"AAAAAH//258=")</f>
        <v>1</v>
      </c>
      <c r="FE34" t="b">
        <f>AND(DATA!B5,"AAAAAH//26A=")</f>
        <v>1</v>
      </c>
      <c r="FF34" t="e">
        <f>AND(DATA!C5,"AAAAAH//26E=")</f>
        <v>#VALUE!</v>
      </c>
      <c r="FG34" t="e">
        <f>AND(DATA!D5,"AAAAAH//26I=")</f>
        <v>#VALUE!</v>
      </c>
      <c r="FH34" t="e">
        <f>AND(DATA!E5,"AAAAAH//26M=")</f>
        <v>#VALUE!</v>
      </c>
      <c r="FI34" t="e">
        <f>AND(DATA!F5,"AAAAAH//26Q=")</f>
        <v>#VALUE!</v>
      </c>
      <c r="FJ34" t="e">
        <f>AND(DATA!G5,"AAAAAH//26U=")</f>
        <v>#VALUE!</v>
      </c>
      <c r="FK34" t="e">
        <f>AND(DATA!H5,"AAAAAH//26Y=")</f>
        <v>#VALUE!</v>
      </c>
      <c r="FL34" t="e">
        <f>AND(DATA!I5,"AAAAAH//26c=")</f>
        <v>#VALUE!</v>
      </c>
      <c r="FM34" t="e">
        <f>AND(DATA!J5,"AAAAAH//26g=")</f>
        <v>#VALUE!</v>
      </c>
      <c r="FN34" t="e">
        <f>AND(DATA!K5,"AAAAAH//26k=")</f>
        <v>#VALUE!</v>
      </c>
      <c r="FO34" t="b">
        <f>AND(DATA!L5,"AAAAAH//26o=")</f>
        <v>1</v>
      </c>
      <c r="FP34" t="b">
        <f>AND(DATA!M5,"AAAAAH//26s=")</f>
        <v>1</v>
      </c>
      <c r="FQ34" t="e">
        <f>AND(DATA!N5,"AAAAAH//26w=")</f>
        <v>#VALUE!</v>
      </c>
      <c r="FR34">
        <f>IF(DATA!6:6,"AAAAAH//260=",0)</f>
        <v>0</v>
      </c>
      <c r="FS34" t="b">
        <f>AND(DATA!A6,"AAAAAH//264=")</f>
        <v>1</v>
      </c>
      <c r="FT34" t="b">
        <f>AND(DATA!B6,"AAAAAH//268=")</f>
        <v>1</v>
      </c>
      <c r="FU34" t="e">
        <f>AND(DATA!C6,"AAAAAH//27A=")</f>
        <v>#VALUE!</v>
      </c>
      <c r="FV34" t="e">
        <f>AND(DATA!D6,"AAAAAH//27E=")</f>
        <v>#VALUE!</v>
      </c>
      <c r="FW34" t="e">
        <f>AND(DATA!E6,"AAAAAH//27I=")</f>
        <v>#VALUE!</v>
      </c>
      <c r="FX34" t="e">
        <f>AND(DATA!F6,"AAAAAH//27M=")</f>
        <v>#VALUE!</v>
      </c>
      <c r="FY34" t="e">
        <f>AND(DATA!G6,"AAAAAH//27Q=")</f>
        <v>#VALUE!</v>
      </c>
      <c r="FZ34" t="e">
        <f>AND(DATA!H6,"AAAAAH//27U=")</f>
        <v>#VALUE!</v>
      </c>
      <c r="GA34" t="e">
        <f>AND(DATA!I6,"AAAAAH//27Y=")</f>
        <v>#VALUE!</v>
      </c>
      <c r="GB34" t="e">
        <f>AND(DATA!J6,"AAAAAH//27c=")</f>
        <v>#VALUE!</v>
      </c>
      <c r="GC34" t="e">
        <f>AND(DATA!K6,"AAAAAH//27g=")</f>
        <v>#VALUE!</v>
      </c>
      <c r="GD34" t="b">
        <f>AND(DATA!L6,"AAAAAH//27k=")</f>
        <v>1</v>
      </c>
      <c r="GE34" t="b">
        <f>AND(DATA!M6,"AAAAAH//27o=")</f>
        <v>1</v>
      </c>
      <c r="GF34" t="e">
        <f>AND(DATA!N6,"AAAAAH//27s=")</f>
        <v>#VALUE!</v>
      </c>
      <c r="GG34">
        <f>IF(DATA!7:7,"AAAAAH//27w=",0)</f>
        <v>0</v>
      </c>
      <c r="GH34" t="b">
        <f>AND(DATA!A7,"AAAAAH//270=")</f>
        <v>1</v>
      </c>
      <c r="GI34" t="b">
        <f>AND(DATA!B7,"AAAAAH//274=")</f>
        <v>1</v>
      </c>
      <c r="GJ34" t="e">
        <f>AND(DATA!C7,"AAAAAH//278=")</f>
        <v>#VALUE!</v>
      </c>
      <c r="GK34" t="e">
        <f>AND(DATA!D7,"AAAAAH//28A=")</f>
        <v>#VALUE!</v>
      </c>
      <c r="GL34" t="e">
        <f>AND(DATA!E7,"AAAAAH//28E=")</f>
        <v>#VALUE!</v>
      </c>
      <c r="GM34" t="e">
        <f>AND(DATA!F7,"AAAAAH//28I=")</f>
        <v>#VALUE!</v>
      </c>
      <c r="GN34" t="e">
        <f>AND(DATA!G7,"AAAAAH//28M=")</f>
        <v>#VALUE!</v>
      </c>
      <c r="GO34" t="e">
        <f>AND(DATA!H7,"AAAAAH//28Q=")</f>
        <v>#VALUE!</v>
      </c>
      <c r="GP34" t="e">
        <f>AND(DATA!I7,"AAAAAH//28U=")</f>
        <v>#VALUE!</v>
      </c>
      <c r="GQ34" t="e">
        <f>AND(DATA!J7,"AAAAAH//28Y=")</f>
        <v>#VALUE!</v>
      </c>
      <c r="GR34" t="e">
        <f>AND(DATA!K7,"AAAAAH//28c=")</f>
        <v>#VALUE!</v>
      </c>
      <c r="GS34" t="b">
        <f>AND(DATA!L7,"AAAAAH//28g=")</f>
        <v>1</v>
      </c>
      <c r="GT34" t="b">
        <f>AND(DATA!M7,"AAAAAH//28k=")</f>
        <v>1</v>
      </c>
      <c r="GU34" t="e">
        <f>AND(DATA!N7,"AAAAAH//28o=")</f>
        <v>#VALUE!</v>
      </c>
      <c r="GV34">
        <f>IF(DATA!8:8,"AAAAAH//28s=",0)</f>
        <v>0</v>
      </c>
      <c r="GW34" t="b">
        <f>AND(DATA!A8,"AAAAAH//28w=")</f>
        <v>1</v>
      </c>
      <c r="GX34" t="b">
        <f>AND(DATA!B8,"AAAAAH//280=")</f>
        <v>1</v>
      </c>
      <c r="GY34" t="e">
        <f>AND(DATA!C8,"AAAAAH//284=")</f>
        <v>#VALUE!</v>
      </c>
      <c r="GZ34" t="e">
        <f>AND(DATA!D8,"AAAAAH//288=")</f>
        <v>#VALUE!</v>
      </c>
      <c r="HA34" t="e">
        <f>AND(DATA!E8,"AAAAAH//29A=")</f>
        <v>#VALUE!</v>
      </c>
      <c r="HB34" t="e">
        <f>AND(DATA!F8,"AAAAAH//29E=")</f>
        <v>#VALUE!</v>
      </c>
      <c r="HC34" t="e">
        <f>AND(DATA!G8,"AAAAAH//29I=")</f>
        <v>#VALUE!</v>
      </c>
      <c r="HD34" t="e">
        <f>AND(DATA!H8,"AAAAAH//29M=")</f>
        <v>#VALUE!</v>
      </c>
      <c r="HE34" t="e">
        <f>AND(DATA!I8,"AAAAAH//29Q=")</f>
        <v>#VALUE!</v>
      </c>
      <c r="HF34" t="e">
        <f>AND(DATA!J8,"AAAAAH//29U=")</f>
        <v>#VALUE!</v>
      </c>
      <c r="HG34" t="e">
        <f>AND(DATA!K8,"AAAAAH//29Y=")</f>
        <v>#VALUE!</v>
      </c>
      <c r="HH34" t="b">
        <f>AND(DATA!L8,"AAAAAH//29c=")</f>
        <v>1</v>
      </c>
      <c r="HI34" t="b">
        <f>AND(DATA!M8,"AAAAAH//29g=")</f>
        <v>1</v>
      </c>
      <c r="HJ34" t="e">
        <f>AND(DATA!N8,"AAAAAH//29k=")</f>
        <v>#VALUE!</v>
      </c>
      <c r="HK34">
        <f>IF(DATA!9:9,"AAAAAH//29o=",0)</f>
        <v>0</v>
      </c>
      <c r="HL34" t="b">
        <f>AND(DATA!A9,"AAAAAH//29s=")</f>
        <v>1</v>
      </c>
      <c r="HM34" t="b">
        <f>AND(DATA!B9,"AAAAAH//29w=")</f>
        <v>1</v>
      </c>
      <c r="HN34" t="e">
        <f>AND(DATA!C9,"AAAAAH//290=")</f>
        <v>#VALUE!</v>
      </c>
      <c r="HO34" t="e">
        <f>AND(DATA!D9,"AAAAAH//294=")</f>
        <v>#VALUE!</v>
      </c>
      <c r="HP34" t="e">
        <f>AND(DATA!E9,"AAAAAH//298=")</f>
        <v>#VALUE!</v>
      </c>
      <c r="HQ34" t="e">
        <f>AND(DATA!F9,"AAAAAH//2+A=")</f>
        <v>#VALUE!</v>
      </c>
      <c r="HR34" t="e">
        <f>AND(DATA!G9,"AAAAAH//2+E=")</f>
        <v>#VALUE!</v>
      </c>
      <c r="HS34" t="e">
        <f>AND(DATA!H9,"AAAAAH//2+I=")</f>
        <v>#VALUE!</v>
      </c>
      <c r="HT34" t="e">
        <f>AND(DATA!I9,"AAAAAH//2+M=")</f>
        <v>#VALUE!</v>
      </c>
      <c r="HU34" t="e">
        <f>AND(DATA!J9,"AAAAAH//2+Q=")</f>
        <v>#VALUE!</v>
      </c>
      <c r="HV34" t="e">
        <f>AND(DATA!K9,"AAAAAH//2+U=")</f>
        <v>#VALUE!</v>
      </c>
      <c r="HW34" t="b">
        <f>AND(DATA!L9,"AAAAAH//2+Y=")</f>
        <v>1</v>
      </c>
      <c r="HX34" t="b">
        <f>AND(DATA!M9,"AAAAAH//2+c=")</f>
        <v>1</v>
      </c>
      <c r="HY34" t="e">
        <f>AND(DATA!N9,"AAAAAH//2+g=")</f>
        <v>#VALUE!</v>
      </c>
      <c r="HZ34">
        <f>IF(DATA!10:10,"AAAAAH//2+k=",0)</f>
        <v>0</v>
      </c>
      <c r="IA34" t="b">
        <f>AND(DATA!A10,"AAAAAH//2+o=")</f>
        <v>1</v>
      </c>
      <c r="IB34" t="b">
        <f>AND(DATA!B10,"AAAAAH//2+s=")</f>
        <v>1</v>
      </c>
      <c r="IC34" t="e">
        <f>AND(DATA!C10,"AAAAAH//2+w=")</f>
        <v>#VALUE!</v>
      </c>
      <c r="ID34" t="e">
        <f>AND(DATA!D10,"AAAAAH//2+0=")</f>
        <v>#VALUE!</v>
      </c>
      <c r="IE34" t="e">
        <f>AND(DATA!E10,"AAAAAH//2+4=")</f>
        <v>#VALUE!</v>
      </c>
      <c r="IF34" t="e">
        <f>AND(DATA!F10,"AAAAAH//2+8=")</f>
        <v>#VALUE!</v>
      </c>
      <c r="IG34" t="e">
        <f>AND(DATA!G10,"AAAAAH//2/A=")</f>
        <v>#VALUE!</v>
      </c>
      <c r="IH34" t="e">
        <f>AND(DATA!H10,"AAAAAH//2/E=")</f>
        <v>#VALUE!</v>
      </c>
      <c r="II34" t="e">
        <f>AND(DATA!I10,"AAAAAH//2/I=")</f>
        <v>#VALUE!</v>
      </c>
      <c r="IJ34" t="e">
        <f>AND(DATA!J10,"AAAAAH//2/M=")</f>
        <v>#VALUE!</v>
      </c>
      <c r="IK34" t="e">
        <f>AND(DATA!K10,"AAAAAH//2/Q=")</f>
        <v>#VALUE!</v>
      </c>
      <c r="IL34" t="b">
        <f>AND(DATA!L10,"AAAAAH//2/U=")</f>
        <v>1</v>
      </c>
      <c r="IM34" t="b">
        <f>AND(DATA!M10,"AAAAAH//2/Y=")</f>
        <v>1</v>
      </c>
      <c r="IN34" t="e">
        <f>AND(DATA!N10,"AAAAAH//2/c=")</f>
        <v>#VALUE!</v>
      </c>
      <c r="IO34">
        <f>IF(DATA!11:11,"AAAAAH//2/g=",0)</f>
        <v>0</v>
      </c>
      <c r="IP34" t="b">
        <f>AND(DATA!A11,"AAAAAH//2/k=")</f>
        <v>1</v>
      </c>
      <c r="IQ34" t="b">
        <f>AND(DATA!B11,"AAAAAH//2/o=")</f>
        <v>1</v>
      </c>
      <c r="IR34" t="e">
        <f>AND(DATA!C11,"AAAAAH//2/s=")</f>
        <v>#VALUE!</v>
      </c>
      <c r="IS34" t="e">
        <f>AND(DATA!D11,"AAAAAH//2/w=")</f>
        <v>#VALUE!</v>
      </c>
      <c r="IT34" t="e">
        <f>AND(DATA!E11,"AAAAAH//2/0=")</f>
        <v>#VALUE!</v>
      </c>
      <c r="IU34" t="e">
        <f>AND(DATA!F11,"AAAAAH//2/4=")</f>
        <v>#VALUE!</v>
      </c>
      <c r="IV34" t="e">
        <f>AND(DATA!G11,"AAAAAH//2/8=")</f>
        <v>#VALUE!</v>
      </c>
    </row>
    <row r="35" spans="1:256">
      <c r="A35" t="e">
        <f>AND(DATA!H11,"AAAAAFesvwA=")</f>
        <v>#VALUE!</v>
      </c>
      <c r="B35" t="e">
        <f>AND(DATA!I11,"AAAAAFesvwE=")</f>
        <v>#VALUE!</v>
      </c>
      <c r="C35" t="e">
        <f>AND(DATA!J11,"AAAAAFesvwI=")</f>
        <v>#VALUE!</v>
      </c>
      <c r="D35" t="e">
        <f>AND(DATA!K11,"AAAAAFesvwM=")</f>
        <v>#VALUE!</v>
      </c>
      <c r="E35" t="b">
        <f>AND(DATA!L11,"AAAAAFesvwQ=")</f>
        <v>1</v>
      </c>
      <c r="F35" t="b">
        <f>AND(DATA!M11,"AAAAAFesvwU=")</f>
        <v>1</v>
      </c>
      <c r="G35" t="e">
        <f>AND(DATA!N11,"AAAAAFesvwY=")</f>
        <v>#VALUE!</v>
      </c>
      <c r="H35">
        <f>IF(DATA!12:12,"AAAAAFesvwc=",0)</f>
        <v>0</v>
      </c>
      <c r="I35" t="b">
        <f>AND(DATA!A12,"AAAAAFesvwg=")</f>
        <v>1</v>
      </c>
      <c r="J35" t="b">
        <f>AND(DATA!B12,"AAAAAFesvwk=")</f>
        <v>1</v>
      </c>
      <c r="K35" t="e">
        <f>AND(DATA!C12,"AAAAAFesvwo=")</f>
        <v>#VALUE!</v>
      </c>
      <c r="L35" t="e">
        <f>AND(DATA!D12,"AAAAAFesvws=")</f>
        <v>#VALUE!</v>
      </c>
      <c r="M35" t="e">
        <f>AND(DATA!E12,"AAAAAFesvww=")</f>
        <v>#VALUE!</v>
      </c>
      <c r="N35" t="e">
        <f>AND(DATA!F12,"AAAAAFesvw0=")</f>
        <v>#VALUE!</v>
      </c>
      <c r="O35" t="e">
        <f>AND(DATA!G12,"AAAAAFesvw4=")</f>
        <v>#VALUE!</v>
      </c>
      <c r="P35" t="e">
        <f>AND(DATA!H12,"AAAAAFesvw8=")</f>
        <v>#VALUE!</v>
      </c>
      <c r="Q35" t="e">
        <f>AND(DATA!I12,"AAAAAFesvxA=")</f>
        <v>#VALUE!</v>
      </c>
      <c r="R35" t="e">
        <f>AND(DATA!J12,"AAAAAFesvxE=")</f>
        <v>#VALUE!</v>
      </c>
      <c r="S35" t="e">
        <f>AND(DATA!K12,"AAAAAFesvxI=")</f>
        <v>#VALUE!</v>
      </c>
      <c r="T35" t="b">
        <f>AND(DATA!L12,"AAAAAFesvxM=")</f>
        <v>1</v>
      </c>
      <c r="U35" t="b">
        <f>AND(DATA!M12,"AAAAAFesvxQ=")</f>
        <v>1</v>
      </c>
      <c r="V35" t="e">
        <f>AND(DATA!N12,"AAAAAFesvxU=")</f>
        <v>#VALUE!</v>
      </c>
      <c r="W35">
        <f>IF(DATA!13:13,"AAAAAFesvxY=",0)</f>
        <v>0</v>
      </c>
      <c r="X35" t="b">
        <f>AND(DATA!A13,"AAAAAFesvxc=")</f>
        <v>1</v>
      </c>
      <c r="Y35" t="b">
        <f>AND(DATA!B13,"AAAAAFesvxg=")</f>
        <v>1</v>
      </c>
      <c r="Z35" t="e">
        <f>AND(DATA!C13,"AAAAAFesvxk=")</f>
        <v>#VALUE!</v>
      </c>
      <c r="AA35" t="e">
        <f>AND(DATA!D13,"AAAAAFesvxo=")</f>
        <v>#VALUE!</v>
      </c>
      <c r="AB35" t="e">
        <f>AND(DATA!E13,"AAAAAFesvxs=")</f>
        <v>#VALUE!</v>
      </c>
      <c r="AC35" t="e">
        <f>AND(DATA!F13,"AAAAAFesvxw=")</f>
        <v>#VALUE!</v>
      </c>
      <c r="AD35" t="e">
        <f>AND(DATA!G13,"AAAAAFesvx0=")</f>
        <v>#VALUE!</v>
      </c>
      <c r="AE35" t="e">
        <f>AND(DATA!H13,"AAAAAFesvx4=")</f>
        <v>#VALUE!</v>
      </c>
      <c r="AF35" t="e">
        <f>AND(DATA!I13,"AAAAAFesvx8=")</f>
        <v>#VALUE!</v>
      </c>
      <c r="AG35" t="e">
        <f>AND(DATA!J13,"AAAAAFesvyA=")</f>
        <v>#VALUE!</v>
      </c>
      <c r="AH35" t="e">
        <f>AND(DATA!K13,"AAAAAFesvyE=")</f>
        <v>#VALUE!</v>
      </c>
      <c r="AI35" t="b">
        <f>AND(DATA!L13,"AAAAAFesvyI=")</f>
        <v>1</v>
      </c>
      <c r="AJ35" t="b">
        <f>AND(DATA!M13,"AAAAAFesvyM=")</f>
        <v>1</v>
      </c>
      <c r="AK35" t="e">
        <f>AND(DATA!N13,"AAAAAFesvyQ=")</f>
        <v>#VALUE!</v>
      </c>
      <c r="AL35">
        <f>IF(DATA!14:14,"AAAAAFesvyU=",0)</f>
        <v>0</v>
      </c>
      <c r="AM35" t="b">
        <f>AND(DATA!A14,"AAAAAFesvyY=")</f>
        <v>1</v>
      </c>
      <c r="AN35" t="b">
        <f>AND(DATA!B14,"AAAAAFesvyc=")</f>
        <v>1</v>
      </c>
      <c r="AO35" t="e">
        <f>AND(DATA!C14,"AAAAAFesvyg=")</f>
        <v>#VALUE!</v>
      </c>
      <c r="AP35" t="e">
        <f>AND(DATA!D14,"AAAAAFesvyk=")</f>
        <v>#VALUE!</v>
      </c>
      <c r="AQ35" t="b">
        <f>AND(DATA!E14,"AAAAAFesvyo=")</f>
        <v>1</v>
      </c>
      <c r="AR35" t="b">
        <f>AND(DATA!F14,"AAAAAFesvys=")</f>
        <v>1</v>
      </c>
      <c r="AS35" t="b">
        <f>AND(DATA!G14,"AAAAAFesvyw=")</f>
        <v>1</v>
      </c>
      <c r="AT35" t="e">
        <f>AND(DATA!H14,"AAAAAFesvy0=")</f>
        <v>#VALUE!</v>
      </c>
      <c r="AU35" t="e">
        <f>AND(DATA!I14,"AAAAAFesvy4=")</f>
        <v>#VALUE!</v>
      </c>
      <c r="AV35" t="e">
        <f>AND(DATA!J14,"AAAAAFesvy8=")</f>
        <v>#VALUE!</v>
      </c>
      <c r="AW35" t="e">
        <f>AND(DATA!K14,"AAAAAFesvzA=")</f>
        <v>#VALUE!</v>
      </c>
      <c r="AX35" t="b">
        <f>AND(DATA!L14,"AAAAAFesvzE=")</f>
        <v>1</v>
      </c>
      <c r="AY35" t="b">
        <f>AND(DATA!M14,"AAAAAFesvzI=")</f>
        <v>1</v>
      </c>
      <c r="AZ35" t="e">
        <f>AND(DATA!N14,"AAAAAFesvzM=")</f>
        <v>#VALUE!</v>
      </c>
      <c r="BA35">
        <f>IF(DATA!15:15,"AAAAAFesvzQ=",0)</f>
        <v>0</v>
      </c>
      <c r="BB35" t="b">
        <f>AND(DATA!A15,"AAAAAFesvzU=")</f>
        <v>1</v>
      </c>
      <c r="BC35" t="b">
        <f>AND(DATA!B15,"AAAAAFesvzY=")</f>
        <v>1</v>
      </c>
      <c r="BD35" t="e">
        <f>AND(DATA!C15,"AAAAAFesvzc=")</f>
        <v>#VALUE!</v>
      </c>
      <c r="BE35" t="e">
        <f>AND(DATA!D15,"AAAAAFesvzg=")</f>
        <v>#VALUE!</v>
      </c>
      <c r="BF35" t="b">
        <f>AND(DATA!E15,"AAAAAFesvzk=")</f>
        <v>1</v>
      </c>
      <c r="BG35" t="b">
        <f>AND(DATA!F15,"AAAAAFesvzo=")</f>
        <v>1</v>
      </c>
      <c r="BH35" t="b">
        <f>AND(DATA!G15,"AAAAAFesvzs=")</f>
        <v>1</v>
      </c>
      <c r="BI35" t="e">
        <f>AND(DATA!H15,"AAAAAFesvzw=")</f>
        <v>#VALUE!</v>
      </c>
      <c r="BJ35" t="e">
        <f>AND(DATA!I15,"AAAAAFesvz0=")</f>
        <v>#VALUE!</v>
      </c>
      <c r="BK35" t="e">
        <f>AND(DATA!J15,"AAAAAFesvz4=")</f>
        <v>#VALUE!</v>
      </c>
      <c r="BL35" t="e">
        <f>AND(DATA!K15,"AAAAAFesvz8=")</f>
        <v>#VALUE!</v>
      </c>
      <c r="BM35" t="b">
        <f>AND(DATA!L15,"AAAAAFesv0A=")</f>
        <v>1</v>
      </c>
      <c r="BN35" t="b">
        <f>AND(DATA!M15,"AAAAAFesv0E=")</f>
        <v>1</v>
      </c>
      <c r="BO35" t="e">
        <f>AND(DATA!N15,"AAAAAFesv0I=")</f>
        <v>#VALUE!</v>
      </c>
      <c r="BP35">
        <f>IF(DATA!16:16,"AAAAAFesv0M=",0)</f>
        <v>0</v>
      </c>
      <c r="BQ35" t="b">
        <f>AND(DATA!A16,"AAAAAFesv0Q=")</f>
        <v>1</v>
      </c>
      <c r="BR35" t="b">
        <f>AND(DATA!B16,"AAAAAFesv0U=")</f>
        <v>1</v>
      </c>
      <c r="BS35" t="e">
        <f>AND(DATA!C16,"AAAAAFesv0Y=")</f>
        <v>#VALUE!</v>
      </c>
      <c r="BT35" t="e">
        <f>AND(DATA!D16,"AAAAAFesv0c=")</f>
        <v>#VALUE!</v>
      </c>
      <c r="BU35" t="b">
        <f>AND(DATA!E16,"AAAAAFesv0g=")</f>
        <v>1</v>
      </c>
      <c r="BV35" t="b">
        <f>AND(DATA!F16,"AAAAAFesv0k=")</f>
        <v>1</v>
      </c>
      <c r="BW35" t="b">
        <f>AND(DATA!G16,"AAAAAFesv0o=")</f>
        <v>1</v>
      </c>
      <c r="BX35" t="e">
        <f>AND(DATA!H16,"AAAAAFesv0s=")</f>
        <v>#VALUE!</v>
      </c>
      <c r="BY35" t="e">
        <f>AND(DATA!I16,"AAAAAFesv0w=")</f>
        <v>#VALUE!</v>
      </c>
      <c r="BZ35" t="e">
        <f>AND(DATA!J16,"AAAAAFesv00=")</f>
        <v>#VALUE!</v>
      </c>
      <c r="CA35" t="e">
        <f>AND(DATA!K16,"AAAAAFesv04=")</f>
        <v>#VALUE!</v>
      </c>
      <c r="CB35" t="b">
        <f>AND(DATA!L16,"AAAAAFesv08=")</f>
        <v>1</v>
      </c>
      <c r="CC35" t="b">
        <f>AND(DATA!M16,"AAAAAFesv1A=")</f>
        <v>1</v>
      </c>
      <c r="CD35" t="e">
        <f>AND(DATA!N16,"AAAAAFesv1E=")</f>
        <v>#VALUE!</v>
      </c>
      <c r="CE35">
        <f>IF(DATA!17:17,"AAAAAFesv1I=",0)</f>
        <v>0</v>
      </c>
      <c r="CF35" t="b">
        <f>AND(DATA!A17,"AAAAAFesv1M=")</f>
        <v>1</v>
      </c>
      <c r="CG35" t="b">
        <f>AND(DATA!B17,"AAAAAFesv1Q=")</f>
        <v>1</v>
      </c>
      <c r="CH35" t="e">
        <f>AND(DATA!C17,"AAAAAFesv1U=")</f>
        <v>#VALUE!</v>
      </c>
      <c r="CI35" t="e">
        <f>AND(DATA!D17,"AAAAAFesv1Y=")</f>
        <v>#VALUE!</v>
      </c>
      <c r="CJ35" t="b">
        <f>AND(DATA!E17,"AAAAAFesv1c=")</f>
        <v>1</v>
      </c>
      <c r="CK35" t="b">
        <f>AND(DATA!F17,"AAAAAFesv1g=")</f>
        <v>1</v>
      </c>
      <c r="CL35" t="b">
        <f>AND(DATA!G17,"AAAAAFesv1k=")</f>
        <v>1</v>
      </c>
      <c r="CM35" t="e">
        <f>AND(DATA!H17,"AAAAAFesv1o=")</f>
        <v>#VALUE!</v>
      </c>
      <c r="CN35" t="e">
        <f>AND(DATA!I17,"AAAAAFesv1s=")</f>
        <v>#VALUE!</v>
      </c>
      <c r="CO35" t="e">
        <f>AND(DATA!J17,"AAAAAFesv1w=")</f>
        <v>#VALUE!</v>
      </c>
      <c r="CP35" t="e">
        <f>AND(DATA!K17,"AAAAAFesv10=")</f>
        <v>#VALUE!</v>
      </c>
      <c r="CQ35" t="b">
        <f>AND(DATA!L17,"AAAAAFesv14=")</f>
        <v>1</v>
      </c>
      <c r="CR35" t="b">
        <f>AND(DATA!M17,"AAAAAFesv18=")</f>
        <v>1</v>
      </c>
      <c r="CS35" t="e">
        <f>AND(DATA!N17,"AAAAAFesv2A=")</f>
        <v>#VALUE!</v>
      </c>
      <c r="CT35">
        <f>IF(DATA!18:18,"AAAAAFesv2E=",0)</f>
        <v>0</v>
      </c>
      <c r="CU35" t="b">
        <f>AND(DATA!A18,"AAAAAFesv2I=")</f>
        <v>1</v>
      </c>
      <c r="CV35" t="b">
        <f>AND(DATA!B18,"AAAAAFesv2M=")</f>
        <v>1</v>
      </c>
      <c r="CW35" t="e">
        <f>AND(DATA!C18,"AAAAAFesv2Q=")</f>
        <v>#VALUE!</v>
      </c>
      <c r="CX35" t="e">
        <f>AND(DATA!D18,"AAAAAFesv2U=")</f>
        <v>#VALUE!</v>
      </c>
      <c r="CY35" t="b">
        <f>AND(DATA!E18,"AAAAAFesv2Y=")</f>
        <v>1</v>
      </c>
      <c r="CZ35" t="b">
        <f>AND(DATA!F18,"AAAAAFesv2c=")</f>
        <v>1</v>
      </c>
      <c r="DA35" t="b">
        <f>AND(DATA!G18,"AAAAAFesv2g=")</f>
        <v>1</v>
      </c>
      <c r="DB35" t="e">
        <f>AND(DATA!H18,"AAAAAFesv2k=")</f>
        <v>#VALUE!</v>
      </c>
      <c r="DC35" t="e">
        <f>AND(DATA!I18,"AAAAAFesv2o=")</f>
        <v>#VALUE!</v>
      </c>
      <c r="DD35" t="e">
        <f>AND(DATA!J18,"AAAAAFesv2s=")</f>
        <v>#VALUE!</v>
      </c>
      <c r="DE35" t="e">
        <f>AND(DATA!K18,"AAAAAFesv2w=")</f>
        <v>#VALUE!</v>
      </c>
      <c r="DF35" t="b">
        <f>AND(DATA!L18,"AAAAAFesv20=")</f>
        <v>1</v>
      </c>
      <c r="DG35" t="b">
        <f>AND(DATA!M18,"AAAAAFesv24=")</f>
        <v>1</v>
      </c>
      <c r="DH35" t="e">
        <f>AND(DATA!N18,"AAAAAFesv28=")</f>
        <v>#VALUE!</v>
      </c>
      <c r="DI35">
        <f>IF(DATA!19:19,"AAAAAFesv3A=",0)</f>
        <v>0</v>
      </c>
      <c r="DJ35" t="b">
        <f>AND(DATA!A19,"AAAAAFesv3E=")</f>
        <v>1</v>
      </c>
      <c r="DK35" t="b">
        <f>AND(DATA!B19,"AAAAAFesv3I=")</f>
        <v>1</v>
      </c>
      <c r="DL35" t="e">
        <f>AND(DATA!C19,"AAAAAFesv3M=")</f>
        <v>#VALUE!</v>
      </c>
      <c r="DM35" t="e">
        <f>AND(DATA!D19,"AAAAAFesv3Q=")</f>
        <v>#VALUE!</v>
      </c>
      <c r="DN35" t="b">
        <f>AND(DATA!E19,"AAAAAFesv3U=")</f>
        <v>1</v>
      </c>
      <c r="DO35" t="b">
        <f>AND(DATA!F19,"AAAAAFesv3Y=")</f>
        <v>1</v>
      </c>
      <c r="DP35" t="b">
        <f>AND(DATA!G19,"AAAAAFesv3c=")</f>
        <v>1</v>
      </c>
      <c r="DQ35" t="e">
        <f>AND(DATA!H19,"AAAAAFesv3g=")</f>
        <v>#VALUE!</v>
      </c>
      <c r="DR35" t="e">
        <f>AND(DATA!I19,"AAAAAFesv3k=")</f>
        <v>#VALUE!</v>
      </c>
      <c r="DS35" t="e">
        <f>AND(DATA!J19,"AAAAAFesv3o=")</f>
        <v>#VALUE!</v>
      </c>
      <c r="DT35" t="e">
        <f>AND(DATA!K19,"AAAAAFesv3s=")</f>
        <v>#VALUE!</v>
      </c>
      <c r="DU35" t="b">
        <f>AND(DATA!L19,"AAAAAFesv3w=")</f>
        <v>1</v>
      </c>
      <c r="DV35" t="b">
        <f>AND(DATA!M19,"AAAAAFesv30=")</f>
        <v>1</v>
      </c>
      <c r="DW35" t="e">
        <f>AND(DATA!N19,"AAAAAFesv34=")</f>
        <v>#VALUE!</v>
      </c>
      <c r="DX35">
        <f>IF(DATA!20:20,"AAAAAFesv38=",0)</f>
        <v>0</v>
      </c>
      <c r="DY35" t="b">
        <f>AND(DATA!A20,"AAAAAFesv4A=")</f>
        <v>1</v>
      </c>
      <c r="DZ35" t="b">
        <f>AND(DATA!B20,"AAAAAFesv4E=")</f>
        <v>1</v>
      </c>
      <c r="EA35" t="e">
        <f>AND(DATA!C20,"AAAAAFesv4I=")</f>
        <v>#VALUE!</v>
      </c>
      <c r="EB35" t="e">
        <f>AND(DATA!D20,"AAAAAFesv4M=")</f>
        <v>#VALUE!</v>
      </c>
      <c r="EC35" t="b">
        <f>AND(DATA!E20,"AAAAAFesv4Q=")</f>
        <v>1</v>
      </c>
      <c r="ED35" t="b">
        <f>AND(DATA!F20,"AAAAAFesv4U=")</f>
        <v>1</v>
      </c>
      <c r="EE35" t="b">
        <f>AND(DATA!G20,"AAAAAFesv4Y=")</f>
        <v>1</v>
      </c>
      <c r="EF35" t="e">
        <f>AND(DATA!H20,"AAAAAFesv4c=")</f>
        <v>#VALUE!</v>
      </c>
      <c r="EG35" t="e">
        <f>AND(DATA!I20,"AAAAAFesv4g=")</f>
        <v>#VALUE!</v>
      </c>
      <c r="EH35" t="e">
        <f>AND(DATA!J20,"AAAAAFesv4k=")</f>
        <v>#VALUE!</v>
      </c>
      <c r="EI35" t="e">
        <f>AND(DATA!K20,"AAAAAFesv4o=")</f>
        <v>#VALUE!</v>
      </c>
      <c r="EJ35" t="b">
        <f>AND(DATA!L20,"AAAAAFesv4s=")</f>
        <v>1</v>
      </c>
      <c r="EK35" t="b">
        <f>AND(DATA!M20,"AAAAAFesv4w=")</f>
        <v>1</v>
      </c>
      <c r="EL35" t="e">
        <f>AND(DATA!N20,"AAAAAFesv40=")</f>
        <v>#VALUE!</v>
      </c>
      <c r="EM35">
        <f>IF(DATA!21:21,"AAAAAFesv44=",0)</f>
        <v>0</v>
      </c>
      <c r="EN35" t="b">
        <f>AND(DATA!A21,"AAAAAFesv48=")</f>
        <v>1</v>
      </c>
      <c r="EO35" t="b">
        <f>AND(DATA!B21,"AAAAAFesv5A=")</f>
        <v>1</v>
      </c>
      <c r="EP35" t="e">
        <f>AND(DATA!C21,"AAAAAFesv5E=")</f>
        <v>#VALUE!</v>
      </c>
      <c r="EQ35" t="e">
        <f>AND(DATA!D21,"AAAAAFesv5I=")</f>
        <v>#VALUE!</v>
      </c>
      <c r="ER35" t="b">
        <f>AND(DATA!E21,"AAAAAFesv5M=")</f>
        <v>1</v>
      </c>
      <c r="ES35" t="b">
        <f>AND(DATA!F21,"AAAAAFesv5Q=")</f>
        <v>1</v>
      </c>
      <c r="ET35" t="b">
        <f>AND(DATA!G21,"AAAAAFesv5U=")</f>
        <v>1</v>
      </c>
      <c r="EU35" t="e">
        <f>AND(DATA!H21,"AAAAAFesv5Y=")</f>
        <v>#VALUE!</v>
      </c>
      <c r="EV35" t="e">
        <f>AND(DATA!I21,"AAAAAFesv5c=")</f>
        <v>#VALUE!</v>
      </c>
      <c r="EW35" t="e">
        <f>AND(DATA!J21,"AAAAAFesv5g=")</f>
        <v>#VALUE!</v>
      </c>
      <c r="EX35" t="e">
        <f>AND(DATA!K21,"AAAAAFesv5k=")</f>
        <v>#VALUE!</v>
      </c>
      <c r="EY35" t="b">
        <f>AND(DATA!L21,"AAAAAFesv5o=")</f>
        <v>1</v>
      </c>
      <c r="EZ35" t="b">
        <f>AND(DATA!M21,"AAAAAFesv5s=")</f>
        <v>1</v>
      </c>
      <c r="FA35" t="e">
        <f>AND(DATA!N21,"AAAAAFesv5w=")</f>
        <v>#VALUE!</v>
      </c>
      <c r="FB35">
        <f>IF(DATA!22:22,"AAAAAFesv50=",0)</f>
        <v>0</v>
      </c>
      <c r="FC35" t="b">
        <f>AND(DATA!A22,"AAAAAFesv54=")</f>
        <v>1</v>
      </c>
      <c r="FD35" t="b">
        <f>AND(DATA!B22,"AAAAAFesv58=")</f>
        <v>1</v>
      </c>
      <c r="FE35" t="e">
        <f>AND(DATA!C22,"AAAAAFesv6A=")</f>
        <v>#VALUE!</v>
      </c>
      <c r="FF35" t="e">
        <f>AND(DATA!D22,"AAAAAFesv6E=")</f>
        <v>#VALUE!</v>
      </c>
      <c r="FG35" t="b">
        <f>AND(DATA!E22,"AAAAAFesv6I=")</f>
        <v>1</v>
      </c>
      <c r="FH35" t="b">
        <f>AND(DATA!F22,"AAAAAFesv6M=")</f>
        <v>1</v>
      </c>
      <c r="FI35" t="b">
        <f>AND(DATA!G22,"AAAAAFesv6Q=")</f>
        <v>1</v>
      </c>
      <c r="FJ35" t="e">
        <f>AND(DATA!H22,"AAAAAFesv6U=")</f>
        <v>#VALUE!</v>
      </c>
      <c r="FK35" t="e">
        <f>AND(DATA!I22,"AAAAAFesv6Y=")</f>
        <v>#VALUE!</v>
      </c>
      <c r="FL35" t="e">
        <f>AND(DATA!J22,"AAAAAFesv6c=")</f>
        <v>#VALUE!</v>
      </c>
      <c r="FM35" t="e">
        <f>AND(DATA!K22,"AAAAAFesv6g=")</f>
        <v>#VALUE!</v>
      </c>
      <c r="FN35" t="b">
        <f>AND(DATA!L22,"AAAAAFesv6k=")</f>
        <v>1</v>
      </c>
      <c r="FO35" t="b">
        <f>AND(DATA!M22,"AAAAAFesv6o=")</f>
        <v>1</v>
      </c>
      <c r="FP35" t="e">
        <f>AND(DATA!N22,"AAAAAFesv6s=")</f>
        <v>#VALUE!</v>
      </c>
      <c r="FQ35">
        <f>IF(DATA!23:23,"AAAAAFesv6w=",0)</f>
        <v>0</v>
      </c>
      <c r="FR35" t="b">
        <f>AND(DATA!A23,"AAAAAFesv60=")</f>
        <v>1</v>
      </c>
      <c r="FS35" t="b">
        <f>AND(DATA!B23,"AAAAAFesv64=")</f>
        <v>1</v>
      </c>
      <c r="FT35" t="e">
        <f>AND(DATA!C23,"AAAAAFesv68=")</f>
        <v>#VALUE!</v>
      </c>
      <c r="FU35" t="e">
        <f>AND(DATA!D23,"AAAAAFesv7A=")</f>
        <v>#VALUE!</v>
      </c>
      <c r="FV35" t="b">
        <f>AND(DATA!E23,"AAAAAFesv7E=")</f>
        <v>1</v>
      </c>
      <c r="FW35" t="b">
        <f>AND(DATA!F23,"AAAAAFesv7I=")</f>
        <v>1</v>
      </c>
      <c r="FX35" t="b">
        <f>AND(DATA!G23,"AAAAAFesv7M=")</f>
        <v>1</v>
      </c>
      <c r="FY35" t="e">
        <f>AND(DATA!H23,"AAAAAFesv7Q=")</f>
        <v>#VALUE!</v>
      </c>
      <c r="FZ35" t="e">
        <f>AND(DATA!I23,"AAAAAFesv7U=")</f>
        <v>#VALUE!</v>
      </c>
      <c r="GA35" t="e">
        <f>AND(DATA!J23,"AAAAAFesv7Y=")</f>
        <v>#VALUE!</v>
      </c>
      <c r="GB35" t="e">
        <f>AND(DATA!K23,"AAAAAFesv7c=")</f>
        <v>#VALUE!</v>
      </c>
      <c r="GC35" t="b">
        <f>AND(DATA!L23,"AAAAAFesv7g=")</f>
        <v>1</v>
      </c>
      <c r="GD35" t="b">
        <f>AND(DATA!M23,"AAAAAFesv7k=")</f>
        <v>1</v>
      </c>
      <c r="GE35" t="e">
        <f>AND(DATA!N23,"AAAAAFesv7o=")</f>
        <v>#VALUE!</v>
      </c>
      <c r="GF35">
        <f>IF(DATA!24:24,"AAAAAFesv7s=",0)</f>
        <v>0</v>
      </c>
      <c r="GG35" t="b">
        <f>AND(DATA!A24,"AAAAAFesv7w=")</f>
        <v>1</v>
      </c>
      <c r="GH35" t="b">
        <f>AND(DATA!B24,"AAAAAFesv70=")</f>
        <v>1</v>
      </c>
      <c r="GI35" t="e">
        <f>AND(DATA!C24,"AAAAAFesv74=")</f>
        <v>#VALUE!</v>
      </c>
      <c r="GJ35" t="e">
        <f>AND(DATA!D24,"AAAAAFesv78=")</f>
        <v>#VALUE!</v>
      </c>
      <c r="GK35" t="b">
        <f>AND(DATA!E24,"AAAAAFesv8A=")</f>
        <v>1</v>
      </c>
      <c r="GL35" t="b">
        <f>AND(DATA!F24,"AAAAAFesv8E=")</f>
        <v>1</v>
      </c>
      <c r="GM35" t="b">
        <f>AND(DATA!G24,"AAAAAFesv8I=")</f>
        <v>1</v>
      </c>
      <c r="GN35" t="e">
        <f>AND(DATA!H24,"AAAAAFesv8M=")</f>
        <v>#VALUE!</v>
      </c>
      <c r="GO35" t="e">
        <f>AND(DATA!I24,"AAAAAFesv8Q=")</f>
        <v>#VALUE!</v>
      </c>
      <c r="GP35" t="e">
        <f>AND(DATA!J24,"AAAAAFesv8U=")</f>
        <v>#VALUE!</v>
      </c>
      <c r="GQ35" t="e">
        <f>AND(DATA!K24,"AAAAAFesv8Y=")</f>
        <v>#VALUE!</v>
      </c>
      <c r="GR35" t="b">
        <f>AND(DATA!L24,"AAAAAFesv8c=")</f>
        <v>1</v>
      </c>
      <c r="GS35" t="b">
        <f>AND(DATA!M24,"AAAAAFesv8g=")</f>
        <v>1</v>
      </c>
      <c r="GT35" t="e">
        <f>AND(DATA!N24,"AAAAAFesv8k=")</f>
        <v>#VALUE!</v>
      </c>
      <c r="GU35">
        <f>IF(DATA!25:25,"AAAAAFesv8o=",0)</f>
        <v>0</v>
      </c>
      <c r="GV35" t="b">
        <f>AND(DATA!A25,"AAAAAFesv8s=")</f>
        <v>1</v>
      </c>
      <c r="GW35" t="b">
        <f>AND(DATA!B25,"AAAAAFesv8w=")</f>
        <v>1</v>
      </c>
      <c r="GX35" t="e">
        <f>AND(DATA!C25,"AAAAAFesv80=")</f>
        <v>#VALUE!</v>
      </c>
      <c r="GY35" t="e">
        <f>AND(DATA!D25,"AAAAAFesv84=")</f>
        <v>#VALUE!</v>
      </c>
      <c r="GZ35" t="b">
        <f>AND(DATA!E25,"AAAAAFesv88=")</f>
        <v>1</v>
      </c>
      <c r="HA35" t="b">
        <f>AND(DATA!F25,"AAAAAFesv9A=")</f>
        <v>1</v>
      </c>
      <c r="HB35" t="b">
        <f>AND(DATA!G25,"AAAAAFesv9E=")</f>
        <v>1</v>
      </c>
      <c r="HC35" t="e">
        <f>AND(DATA!H25,"AAAAAFesv9I=")</f>
        <v>#VALUE!</v>
      </c>
      <c r="HD35" t="e">
        <f>AND(DATA!I25,"AAAAAFesv9M=")</f>
        <v>#VALUE!</v>
      </c>
      <c r="HE35" t="e">
        <f>AND(DATA!J25,"AAAAAFesv9Q=")</f>
        <v>#VALUE!</v>
      </c>
      <c r="HF35" t="e">
        <f>AND(DATA!K25,"AAAAAFesv9U=")</f>
        <v>#VALUE!</v>
      </c>
      <c r="HG35" t="b">
        <f>AND(DATA!L25,"AAAAAFesv9Y=")</f>
        <v>1</v>
      </c>
      <c r="HH35" t="b">
        <f>AND(DATA!M25,"AAAAAFesv9c=")</f>
        <v>1</v>
      </c>
      <c r="HI35" t="e">
        <f>AND(DATA!N25,"AAAAAFesv9g=")</f>
        <v>#VALUE!</v>
      </c>
      <c r="HJ35">
        <f>IF(DATA!26:26,"AAAAAFesv9k=",0)</f>
        <v>0</v>
      </c>
      <c r="HK35" t="b">
        <f>AND(DATA!A26,"AAAAAFesv9o=")</f>
        <v>1</v>
      </c>
      <c r="HL35" t="b">
        <f>AND(DATA!B26,"AAAAAFesv9s=")</f>
        <v>1</v>
      </c>
      <c r="HM35" t="e">
        <f>AND(DATA!C26,"AAAAAFesv9w=")</f>
        <v>#VALUE!</v>
      </c>
      <c r="HN35" t="e">
        <f>AND(DATA!D26,"AAAAAFesv90=")</f>
        <v>#VALUE!</v>
      </c>
      <c r="HO35" t="b">
        <f>AND(DATA!E26,"AAAAAFesv94=")</f>
        <v>1</v>
      </c>
      <c r="HP35" t="b">
        <f>AND(DATA!F26,"AAAAAFesv98=")</f>
        <v>1</v>
      </c>
      <c r="HQ35" t="b">
        <f>AND(DATA!G26,"AAAAAFesv+A=")</f>
        <v>1</v>
      </c>
      <c r="HR35" t="e">
        <f>AND(DATA!H26,"AAAAAFesv+E=")</f>
        <v>#VALUE!</v>
      </c>
      <c r="HS35" t="e">
        <f>AND(DATA!I26,"AAAAAFesv+I=")</f>
        <v>#VALUE!</v>
      </c>
      <c r="HT35" t="e">
        <f>AND(DATA!J26,"AAAAAFesv+M=")</f>
        <v>#VALUE!</v>
      </c>
      <c r="HU35" t="e">
        <f>AND(DATA!K26,"AAAAAFesv+Q=")</f>
        <v>#VALUE!</v>
      </c>
      <c r="HV35" t="b">
        <f>AND(DATA!L26,"AAAAAFesv+U=")</f>
        <v>1</v>
      </c>
      <c r="HW35" t="b">
        <f>AND(DATA!M26,"AAAAAFesv+Y=")</f>
        <v>1</v>
      </c>
      <c r="HX35" t="e">
        <f>AND(DATA!N26,"AAAAAFesv+c=")</f>
        <v>#VALUE!</v>
      </c>
      <c r="HY35">
        <f>IF(DATA!27:27,"AAAAAFesv+g=",0)</f>
        <v>0</v>
      </c>
      <c r="HZ35" t="b">
        <f>AND(DATA!A27,"AAAAAFesv+k=")</f>
        <v>1</v>
      </c>
      <c r="IA35" t="b">
        <f>AND(DATA!B27,"AAAAAFesv+o=")</f>
        <v>1</v>
      </c>
      <c r="IB35" t="e">
        <f>AND(DATA!C27,"AAAAAFesv+s=")</f>
        <v>#VALUE!</v>
      </c>
      <c r="IC35" t="e">
        <f>AND(DATA!D27,"AAAAAFesv+w=")</f>
        <v>#VALUE!</v>
      </c>
      <c r="ID35" t="b">
        <f>AND(DATA!E27,"AAAAAFesv+0=")</f>
        <v>1</v>
      </c>
      <c r="IE35" t="b">
        <f>AND(DATA!F27,"AAAAAFesv+4=")</f>
        <v>1</v>
      </c>
      <c r="IF35" t="b">
        <f>AND(DATA!G27,"AAAAAFesv+8=")</f>
        <v>1</v>
      </c>
      <c r="IG35" t="e">
        <f>AND(DATA!H27,"AAAAAFesv/A=")</f>
        <v>#VALUE!</v>
      </c>
      <c r="IH35" t="e">
        <f>AND(DATA!I27,"AAAAAFesv/E=")</f>
        <v>#VALUE!</v>
      </c>
      <c r="II35" t="e">
        <f>AND(DATA!J27,"AAAAAFesv/I=")</f>
        <v>#VALUE!</v>
      </c>
      <c r="IJ35" t="e">
        <f>AND(DATA!K27,"AAAAAFesv/M=")</f>
        <v>#VALUE!</v>
      </c>
      <c r="IK35" t="b">
        <f>AND(DATA!L27,"AAAAAFesv/Q=")</f>
        <v>1</v>
      </c>
      <c r="IL35" t="b">
        <f>AND(DATA!M27,"AAAAAFesv/U=")</f>
        <v>1</v>
      </c>
      <c r="IM35" t="e">
        <f>AND(DATA!N27,"AAAAAFesv/Y=")</f>
        <v>#VALUE!</v>
      </c>
      <c r="IN35">
        <f>IF(DATA!28:28,"AAAAAFesv/c=",0)</f>
        <v>0</v>
      </c>
      <c r="IO35" t="b">
        <f>AND(DATA!A28,"AAAAAFesv/g=")</f>
        <v>1</v>
      </c>
      <c r="IP35" t="b">
        <f>AND(DATA!B28,"AAAAAFesv/k=")</f>
        <v>1</v>
      </c>
      <c r="IQ35" t="e">
        <f>AND(DATA!C28,"AAAAAFesv/o=")</f>
        <v>#VALUE!</v>
      </c>
      <c r="IR35" t="e">
        <f>AND(DATA!D28,"AAAAAFesv/s=")</f>
        <v>#VALUE!</v>
      </c>
      <c r="IS35" t="e">
        <f>AND(DATA!E28,"AAAAAFesv/w=")</f>
        <v>#VALUE!</v>
      </c>
      <c r="IT35" t="e">
        <f>AND(DATA!F28,"AAAAAFesv/0=")</f>
        <v>#VALUE!</v>
      </c>
      <c r="IU35" t="e">
        <f>AND(DATA!G28,"AAAAAFesv/4=")</f>
        <v>#VALUE!</v>
      </c>
      <c r="IV35" t="e">
        <f>AND(DATA!H28,"AAAAAFesv/8=")</f>
        <v>#VALUE!</v>
      </c>
    </row>
    <row r="36" spans="1:256">
      <c r="A36" t="e">
        <f>AND(DATA!I28,"AAAAADwnnwA=")</f>
        <v>#VALUE!</v>
      </c>
      <c r="B36" t="e">
        <f>AND(DATA!J28,"AAAAADwnnwE=")</f>
        <v>#VALUE!</v>
      </c>
      <c r="C36" t="e">
        <f>AND(DATA!K28,"AAAAADwnnwI=")</f>
        <v>#VALUE!</v>
      </c>
      <c r="D36" t="b">
        <f>AND(DATA!L28,"AAAAADwnnwM=")</f>
        <v>1</v>
      </c>
      <c r="E36" t="b">
        <f>AND(DATA!M28,"AAAAADwnnwQ=")</f>
        <v>1</v>
      </c>
      <c r="F36" t="e">
        <f>AND(DATA!N28,"AAAAADwnnwU=")</f>
        <v>#VALUE!</v>
      </c>
      <c r="G36">
        <f>IF(DATA!29:29,"AAAAADwnnwY=",0)</f>
        <v>0</v>
      </c>
      <c r="H36" t="b">
        <f>AND(DATA!A29,"AAAAADwnnwc=")</f>
        <v>1</v>
      </c>
      <c r="I36" t="b">
        <f>AND(DATA!B29,"AAAAADwnnwg=")</f>
        <v>1</v>
      </c>
      <c r="J36" t="e">
        <f>AND(DATA!C29,"AAAAADwnnwk=")</f>
        <v>#VALUE!</v>
      </c>
      <c r="K36" t="e">
        <f>AND(DATA!D29,"AAAAADwnnwo=")</f>
        <v>#VALUE!</v>
      </c>
      <c r="L36" t="e">
        <f>AND(DATA!E29,"AAAAADwnnws=")</f>
        <v>#VALUE!</v>
      </c>
      <c r="M36" t="e">
        <f>AND(DATA!F29,"AAAAADwnnww=")</f>
        <v>#VALUE!</v>
      </c>
      <c r="N36" t="e">
        <f>AND(DATA!G29,"AAAAADwnnw0=")</f>
        <v>#VALUE!</v>
      </c>
      <c r="O36" t="e">
        <f>AND(DATA!H29,"AAAAADwnnw4=")</f>
        <v>#VALUE!</v>
      </c>
      <c r="P36" t="e">
        <f>AND(DATA!I29,"AAAAADwnnw8=")</f>
        <v>#VALUE!</v>
      </c>
      <c r="Q36" t="e">
        <f>AND(DATA!J29,"AAAAADwnnxA=")</f>
        <v>#VALUE!</v>
      </c>
      <c r="R36" t="e">
        <f>AND(DATA!K29,"AAAAADwnnxE=")</f>
        <v>#VALUE!</v>
      </c>
      <c r="S36" t="b">
        <f>AND(DATA!L29,"AAAAADwnnxI=")</f>
        <v>1</v>
      </c>
      <c r="T36" t="b">
        <f>AND(DATA!M29,"AAAAADwnnxM=")</f>
        <v>1</v>
      </c>
      <c r="U36" t="e">
        <f>AND(DATA!N29,"AAAAADwnnxQ=")</f>
        <v>#VALUE!</v>
      </c>
      <c r="V36">
        <f>IF(DATA!30:30,"AAAAADwnnxU=",0)</f>
        <v>0</v>
      </c>
      <c r="W36" t="b">
        <f>AND(DATA!A30,"AAAAADwnnxY=")</f>
        <v>1</v>
      </c>
      <c r="X36" t="b">
        <f>AND(DATA!B30,"AAAAADwnnxc=")</f>
        <v>1</v>
      </c>
      <c r="Y36" t="e">
        <f>AND(DATA!C30,"AAAAADwnnxg=")</f>
        <v>#VALUE!</v>
      </c>
      <c r="Z36" t="e">
        <f>AND(DATA!D30,"AAAAADwnnxk=")</f>
        <v>#VALUE!</v>
      </c>
      <c r="AA36" t="e">
        <f>AND(DATA!E30,"AAAAADwnnxo=")</f>
        <v>#VALUE!</v>
      </c>
      <c r="AB36" t="e">
        <f>AND(DATA!F30,"AAAAADwnnxs=")</f>
        <v>#VALUE!</v>
      </c>
      <c r="AC36" t="e">
        <f>AND(DATA!G30,"AAAAADwnnxw=")</f>
        <v>#VALUE!</v>
      </c>
      <c r="AD36" t="e">
        <f>AND(DATA!H30,"AAAAADwnnx0=")</f>
        <v>#VALUE!</v>
      </c>
      <c r="AE36" t="e">
        <f>AND(DATA!I30,"AAAAADwnnx4=")</f>
        <v>#VALUE!</v>
      </c>
      <c r="AF36" t="e">
        <f>AND(DATA!J30,"AAAAADwnnx8=")</f>
        <v>#VALUE!</v>
      </c>
      <c r="AG36" t="e">
        <f>AND(DATA!K30,"AAAAADwnnyA=")</f>
        <v>#VALUE!</v>
      </c>
      <c r="AH36" t="b">
        <f>AND(DATA!L30,"AAAAADwnnyE=")</f>
        <v>1</v>
      </c>
      <c r="AI36" t="b">
        <f>AND(DATA!M30,"AAAAADwnnyI=")</f>
        <v>1</v>
      </c>
      <c r="AJ36" t="e">
        <f>AND(DATA!N30,"AAAAADwnnyM=")</f>
        <v>#VALUE!</v>
      </c>
      <c r="AK36">
        <f>IF(DATA!31:31,"AAAAADwnnyQ=",0)</f>
        <v>0</v>
      </c>
      <c r="AL36" t="b">
        <f>AND(DATA!A31,"AAAAADwnnyU=")</f>
        <v>1</v>
      </c>
      <c r="AM36" t="b">
        <f>AND(DATA!B31,"AAAAADwnnyY=")</f>
        <v>1</v>
      </c>
      <c r="AN36" t="e">
        <f>AND(DATA!C31,"AAAAADwnnyc=")</f>
        <v>#VALUE!</v>
      </c>
      <c r="AO36" t="e">
        <f>AND(DATA!D31,"AAAAADwnnyg=")</f>
        <v>#VALUE!</v>
      </c>
      <c r="AP36" t="e">
        <f>AND(DATA!E31,"AAAAADwnnyk=")</f>
        <v>#VALUE!</v>
      </c>
      <c r="AQ36" t="e">
        <f>AND(DATA!F31,"AAAAADwnnyo=")</f>
        <v>#VALUE!</v>
      </c>
      <c r="AR36" t="e">
        <f>AND(DATA!G31,"AAAAADwnnys=")</f>
        <v>#VALUE!</v>
      </c>
      <c r="AS36" t="e">
        <f>AND(DATA!H31,"AAAAADwnnyw=")</f>
        <v>#VALUE!</v>
      </c>
      <c r="AT36" t="e">
        <f>AND(DATA!I31,"AAAAADwnny0=")</f>
        <v>#VALUE!</v>
      </c>
      <c r="AU36" t="e">
        <f>AND(DATA!J31,"AAAAADwnny4=")</f>
        <v>#VALUE!</v>
      </c>
      <c r="AV36" t="e">
        <f>AND(DATA!K31,"AAAAADwnny8=")</f>
        <v>#VALUE!</v>
      </c>
      <c r="AW36" t="b">
        <f>AND(DATA!L31,"AAAAADwnnzA=")</f>
        <v>1</v>
      </c>
      <c r="AX36" t="b">
        <f>AND(DATA!M31,"AAAAADwnnzE=")</f>
        <v>1</v>
      </c>
      <c r="AY36" t="e">
        <f>AND(DATA!N31,"AAAAADwnnzI=")</f>
        <v>#VALUE!</v>
      </c>
      <c r="AZ36">
        <f>IF(DATA!32:32,"AAAAADwnnzM=",0)</f>
        <v>0</v>
      </c>
      <c r="BA36" t="b">
        <f>AND(DATA!A32,"AAAAADwnnzQ=")</f>
        <v>1</v>
      </c>
      <c r="BB36" t="b">
        <f>AND(DATA!B32,"AAAAADwnnzU=")</f>
        <v>1</v>
      </c>
      <c r="BC36" t="e">
        <f>AND(DATA!C32,"AAAAADwnnzY=")</f>
        <v>#VALUE!</v>
      </c>
      <c r="BD36" t="e">
        <f>AND(DATA!D32,"AAAAADwnnzc=")</f>
        <v>#VALUE!</v>
      </c>
      <c r="BE36" t="e">
        <f>AND(DATA!E32,"AAAAADwnnzg=")</f>
        <v>#VALUE!</v>
      </c>
      <c r="BF36" t="b">
        <f>AND(DATA!F32,"AAAAADwnnzk=")</f>
        <v>1</v>
      </c>
      <c r="BG36" t="b">
        <f>AND(DATA!G32,"AAAAADwnnzo=")</f>
        <v>1</v>
      </c>
      <c r="BH36" t="e">
        <f>AND(DATA!H32,"AAAAADwnnzs=")</f>
        <v>#VALUE!</v>
      </c>
      <c r="BI36" t="e">
        <f>AND(DATA!I32,"AAAAADwnnzw=")</f>
        <v>#VALUE!</v>
      </c>
      <c r="BJ36" t="e">
        <f>AND(DATA!J32,"AAAAADwnnz0=")</f>
        <v>#VALUE!</v>
      </c>
      <c r="BK36" t="e">
        <f>AND(DATA!K32,"AAAAADwnnz4=")</f>
        <v>#VALUE!</v>
      </c>
      <c r="BL36" t="b">
        <f>AND(DATA!L32,"AAAAADwnnz8=")</f>
        <v>1</v>
      </c>
      <c r="BM36" t="b">
        <f>AND(DATA!M32,"AAAAADwnn0A=")</f>
        <v>1</v>
      </c>
      <c r="BN36" t="e">
        <f>AND(DATA!N32,"AAAAADwnn0E=")</f>
        <v>#VALUE!</v>
      </c>
      <c r="BO36">
        <f>IF(DATA!33:33,"AAAAADwnn0I=",0)</f>
        <v>0</v>
      </c>
      <c r="BP36" t="b">
        <f>AND(DATA!A33,"AAAAADwnn0M=")</f>
        <v>1</v>
      </c>
      <c r="BQ36" t="b">
        <f>AND(DATA!B33,"AAAAADwnn0Q=")</f>
        <v>1</v>
      </c>
      <c r="BR36" t="e">
        <f>AND(DATA!C33,"AAAAADwnn0U=")</f>
        <v>#VALUE!</v>
      </c>
      <c r="BS36" t="e">
        <f>AND(DATA!D33,"AAAAADwnn0Y=")</f>
        <v>#VALUE!</v>
      </c>
      <c r="BT36" t="e">
        <f>AND(DATA!E33,"AAAAADwnn0c=")</f>
        <v>#VALUE!</v>
      </c>
      <c r="BU36" t="b">
        <f>AND(DATA!F33,"AAAAADwnn0g=")</f>
        <v>1</v>
      </c>
      <c r="BV36" t="b">
        <f>AND(DATA!G33,"AAAAADwnn0k=")</f>
        <v>1</v>
      </c>
      <c r="BW36" t="e">
        <f>AND(DATA!H33,"AAAAADwnn0o=")</f>
        <v>#VALUE!</v>
      </c>
      <c r="BX36" t="e">
        <f>AND(DATA!I33,"AAAAADwnn0s=")</f>
        <v>#VALUE!</v>
      </c>
      <c r="BY36" t="e">
        <f>AND(DATA!J33,"AAAAADwnn0w=")</f>
        <v>#VALUE!</v>
      </c>
      <c r="BZ36" t="e">
        <f>AND(DATA!K33,"AAAAADwnn00=")</f>
        <v>#VALUE!</v>
      </c>
      <c r="CA36" t="b">
        <f>AND(DATA!L33,"AAAAADwnn04=")</f>
        <v>1</v>
      </c>
      <c r="CB36" t="b">
        <f>AND(DATA!M33,"AAAAADwnn08=")</f>
        <v>1</v>
      </c>
      <c r="CC36" t="e">
        <f>AND(DATA!N33,"AAAAADwnn1A=")</f>
        <v>#VALUE!</v>
      </c>
      <c r="CD36">
        <f>IF(DATA!34:34,"AAAAADwnn1E=",0)</f>
        <v>0</v>
      </c>
      <c r="CE36" t="b">
        <f>AND(DATA!A34,"AAAAADwnn1I=")</f>
        <v>1</v>
      </c>
      <c r="CF36" t="b">
        <f>AND(DATA!B34,"AAAAADwnn1M=")</f>
        <v>1</v>
      </c>
      <c r="CG36" t="e">
        <f>AND(DATA!C34,"AAAAADwnn1Q=")</f>
        <v>#VALUE!</v>
      </c>
      <c r="CH36" t="e">
        <f>AND(DATA!D34,"AAAAADwnn1U=")</f>
        <v>#VALUE!</v>
      </c>
      <c r="CI36" t="e">
        <f>AND(DATA!E34,"AAAAADwnn1Y=")</f>
        <v>#VALUE!</v>
      </c>
      <c r="CJ36" t="b">
        <f>AND(DATA!F34,"AAAAADwnn1c=")</f>
        <v>1</v>
      </c>
      <c r="CK36" t="b">
        <f>AND(DATA!G34,"AAAAADwnn1g=")</f>
        <v>1</v>
      </c>
      <c r="CL36" t="e">
        <f>AND(DATA!H34,"AAAAADwnn1k=")</f>
        <v>#VALUE!</v>
      </c>
      <c r="CM36" t="e">
        <f>AND(DATA!I34,"AAAAADwnn1o=")</f>
        <v>#VALUE!</v>
      </c>
      <c r="CN36" t="e">
        <f>AND(DATA!J34,"AAAAADwnn1s=")</f>
        <v>#VALUE!</v>
      </c>
      <c r="CO36" t="e">
        <f>AND(DATA!K34,"AAAAADwnn1w=")</f>
        <v>#VALUE!</v>
      </c>
      <c r="CP36" t="b">
        <f>AND(DATA!L34,"AAAAADwnn10=")</f>
        <v>1</v>
      </c>
      <c r="CQ36" t="b">
        <f>AND(DATA!M34,"AAAAADwnn14=")</f>
        <v>1</v>
      </c>
      <c r="CR36" t="e">
        <f>AND(DATA!N34,"AAAAADwnn18=")</f>
        <v>#VALUE!</v>
      </c>
      <c r="CS36">
        <f>IF(DATA!35:35,"AAAAADwnn2A=",0)</f>
        <v>0</v>
      </c>
      <c r="CT36" t="b">
        <f>AND(DATA!A35,"AAAAADwnn2E=")</f>
        <v>1</v>
      </c>
      <c r="CU36" t="b">
        <f>AND(DATA!B35,"AAAAADwnn2I=")</f>
        <v>1</v>
      </c>
      <c r="CV36" t="e">
        <f>AND(DATA!C35,"AAAAADwnn2M=")</f>
        <v>#VALUE!</v>
      </c>
      <c r="CW36" t="e">
        <f>AND(DATA!D35,"AAAAADwnn2Q=")</f>
        <v>#VALUE!</v>
      </c>
      <c r="CX36" t="e">
        <f>AND(DATA!E35,"AAAAADwnn2U=")</f>
        <v>#VALUE!</v>
      </c>
      <c r="CY36" t="b">
        <f>AND(DATA!F35,"AAAAADwnn2Y=")</f>
        <v>1</v>
      </c>
      <c r="CZ36" t="b">
        <f>AND(DATA!G35,"AAAAADwnn2c=")</f>
        <v>1</v>
      </c>
      <c r="DA36" t="e">
        <f>AND(DATA!H35,"AAAAADwnn2g=")</f>
        <v>#VALUE!</v>
      </c>
      <c r="DB36" t="e">
        <f>AND(DATA!I35,"AAAAADwnn2k=")</f>
        <v>#VALUE!</v>
      </c>
      <c r="DC36" t="e">
        <f>AND(DATA!J35,"AAAAADwnn2o=")</f>
        <v>#VALUE!</v>
      </c>
      <c r="DD36" t="e">
        <f>AND(DATA!K35,"AAAAADwnn2s=")</f>
        <v>#VALUE!</v>
      </c>
      <c r="DE36" t="b">
        <f>AND(DATA!L35,"AAAAADwnn2w=")</f>
        <v>1</v>
      </c>
      <c r="DF36" t="b">
        <f>AND(DATA!M35,"AAAAADwnn20=")</f>
        <v>1</v>
      </c>
      <c r="DG36" t="e">
        <f>AND(DATA!N35,"AAAAADwnn24=")</f>
        <v>#VALUE!</v>
      </c>
      <c r="DH36">
        <f>IF(DATA!36:36,"AAAAADwnn28=",0)</f>
        <v>0</v>
      </c>
      <c r="DI36" t="b">
        <f>AND(DATA!A36,"AAAAADwnn3A=")</f>
        <v>1</v>
      </c>
      <c r="DJ36" t="b">
        <f>AND(DATA!B36,"AAAAADwnn3E=")</f>
        <v>1</v>
      </c>
      <c r="DK36" t="e">
        <f>AND(DATA!C36,"AAAAADwnn3I=")</f>
        <v>#VALUE!</v>
      </c>
      <c r="DL36" t="e">
        <f>AND(DATA!D36,"AAAAADwnn3M=")</f>
        <v>#VALUE!</v>
      </c>
      <c r="DM36" t="e">
        <f>AND(DATA!E36,"AAAAADwnn3Q=")</f>
        <v>#VALUE!</v>
      </c>
      <c r="DN36" t="b">
        <f>AND(DATA!F36,"AAAAADwnn3U=")</f>
        <v>1</v>
      </c>
      <c r="DO36" t="b">
        <f>AND(DATA!G36,"AAAAADwnn3Y=")</f>
        <v>1</v>
      </c>
      <c r="DP36" t="e">
        <f>AND(DATA!H36,"AAAAADwnn3c=")</f>
        <v>#VALUE!</v>
      </c>
      <c r="DQ36" t="e">
        <f>AND(DATA!I36,"AAAAADwnn3g=")</f>
        <v>#VALUE!</v>
      </c>
      <c r="DR36" t="e">
        <f>AND(DATA!J36,"AAAAADwnn3k=")</f>
        <v>#VALUE!</v>
      </c>
      <c r="DS36" t="e">
        <f>AND(DATA!K36,"AAAAADwnn3o=")</f>
        <v>#VALUE!</v>
      </c>
      <c r="DT36" t="b">
        <f>AND(DATA!L36,"AAAAADwnn3s=")</f>
        <v>1</v>
      </c>
      <c r="DU36" t="b">
        <f>AND(DATA!M36,"AAAAADwnn3w=")</f>
        <v>1</v>
      </c>
      <c r="DV36" t="e">
        <f>AND(DATA!N36,"AAAAADwnn30=")</f>
        <v>#VALUE!</v>
      </c>
      <c r="DW36">
        <f>IF(DATA!37:37,"AAAAADwnn34=",0)</f>
        <v>0</v>
      </c>
      <c r="DX36" t="b">
        <f>AND(DATA!A37,"AAAAADwnn38=")</f>
        <v>1</v>
      </c>
      <c r="DY36" t="b">
        <f>AND(DATA!B37,"AAAAADwnn4A=")</f>
        <v>1</v>
      </c>
      <c r="DZ36" t="e">
        <f>AND(DATA!C37,"AAAAADwnn4E=")</f>
        <v>#VALUE!</v>
      </c>
      <c r="EA36" t="e">
        <f>AND(DATA!D37,"AAAAADwnn4I=")</f>
        <v>#VALUE!</v>
      </c>
      <c r="EB36" t="e">
        <f>AND(DATA!E37,"AAAAADwnn4M=")</f>
        <v>#VALUE!</v>
      </c>
      <c r="EC36" t="b">
        <f>AND(DATA!F37,"AAAAADwnn4Q=")</f>
        <v>1</v>
      </c>
      <c r="ED36" t="b">
        <f>AND(DATA!G37,"AAAAADwnn4U=")</f>
        <v>1</v>
      </c>
      <c r="EE36" t="e">
        <f>AND(DATA!H37,"AAAAADwnn4Y=")</f>
        <v>#VALUE!</v>
      </c>
      <c r="EF36" t="e">
        <f>AND(DATA!I37,"AAAAADwnn4c=")</f>
        <v>#VALUE!</v>
      </c>
      <c r="EG36" t="e">
        <f>AND(DATA!J37,"AAAAADwnn4g=")</f>
        <v>#VALUE!</v>
      </c>
      <c r="EH36" t="e">
        <f>AND(DATA!K37,"AAAAADwnn4k=")</f>
        <v>#VALUE!</v>
      </c>
      <c r="EI36" t="b">
        <f>AND(DATA!L37,"AAAAADwnn4o=")</f>
        <v>1</v>
      </c>
      <c r="EJ36" t="b">
        <f>AND(DATA!M37,"AAAAADwnn4s=")</f>
        <v>1</v>
      </c>
      <c r="EK36" t="e">
        <f>AND(DATA!N37,"AAAAADwnn4w=")</f>
        <v>#VALUE!</v>
      </c>
      <c r="EL36">
        <f>IF(DATA!38:38,"AAAAADwnn40=",0)</f>
        <v>0</v>
      </c>
      <c r="EM36" t="b">
        <f>AND(DATA!A38,"AAAAADwnn44=")</f>
        <v>1</v>
      </c>
      <c r="EN36" t="b">
        <f>AND(DATA!B38,"AAAAADwnn48=")</f>
        <v>1</v>
      </c>
      <c r="EO36" t="e">
        <f>AND(DATA!C38,"AAAAADwnn5A=")</f>
        <v>#VALUE!</v>
      </c>
      <c r="EP36" t="e">
        <f>AND(DATA!D38,"AAAAADwnn5E=")</f>
        <v>#VALUE!</v>
      </c>
      <c r="EQ36" t="e">
        <f>AND(DATA!E38,"AAAAADwnn5I=")</f>
        <v>#VALUE!</v>
      </c>
      <c r="ER36" t="b">
        <f>AND(DATA!F38,"AAAAADwnn5M=")</f>
        <v>1</v>
      </c>
      <c r="ES36" t="b">
        <f>AND(DATA!G38,"AAAAADwnn5Q=")</f>
        <v>1</v>
      </c>
      <c r="ET36" t="e">
        <f>AND(DATA!H38,"AAAAADwnn5U=")</f>
        <v>#VALUE!</v>
      </c>
      <c r="EU36" t="e">
        <f>AND(DATA!I38,"AAAAADwnn5Y=")</f>
        <v>#VALUE!</v>
      </c>
      <c r="EV36" t="e">
        <f>AND(DATA!J38,"AAAAADwnn5c=")</f>
        <v>#VALUE!</v>
      </c>
      <c r="EW36" t="e">
        <f>AND(DATA!K38,"AAAAADwnn5g=")</f>
        <v>#VALUE!</v>
      </c>
      <c r="EX36" t="b">
        <f>AND(DATA!L38,"AAAAADwnn5k=")</f>
        <v>1</v>
      </c>
      <c r="EY36" t="b">
        <f>AND(DATA!M38,"AAAAADwnn5o=")</f>
        <v>1</v>
      </c>
      <c r="EZ36" t="e">
        <f>AND(DATA!N38,"AAAAADwnn5s=")</f>
        <v>#VALUE!</v>
      </c>
      <c r="FA36">
        <f>IF(DATA!39:39,"AAAAADwnn5w=",0)</f>
        <v>0</v>
      </c>
      <c r="FB36" t="b">
        <f>AND(DATA!A39,"AAAAADwnn50=")</f>
        <v>1</v>
      </c>
      <c r="FC36" t="b">
        <f>AND(DATA!B39,"AAAAADwnn54=")</f>
        <v>1</v>
      </c>
      <c r="FD36" t="e">
        <f>AND(DATA!C39,"AAAAADwnn58=")</f>
        <v>#VALUE!</v>
      </c>
      <c r="FE36" t="e">
        <f>AND(DATA!D39,"AAAAADwnn6A=")</f>
        <v>#VALUE!</v>
      </c>
      <c r="FF36" t="e">
        <f>AND(DATA!E39,"AAAAADwnn6E=")</f>
        <v>#VALUE!</v>
      </c>
      <c r="FG36" t="b">
        <f>AND(DATA!F39,"AAAAADwnn6I=")</f>
        <v>1</v>
      </c>
      <c r="FH36" t="b">
        <f>AND(DATA!G39,"AAAAADwnn6M=")</f>
        <v>1</v>
      </c>
      <c r="FI36" t="e">
        <f>AND(DATA!H39,"AAAAADwnn6Q=")</f>
        <v>#VALUE!</v>
      </c>
      <c r="FJ36" t="e">
        <f>AND(DATA!I39,"AAAAADwnn6U=")</f>
        <v>#VALUE!</v>
      </c>
      <c r="FK36" t="e">
        <f>AND(DATA!J39,"AAAAADwnn6Y=")</f>
        <v>#VALUE!</v>
      </c>
      <c r="FL36" t="e">
        <f>AND(DATA!K39,"AAAAADwnn6c=")</f>
        <v>#VALUE!</v>
      </c>
      <c r="FM36" t="b">
        <f>AND(DATA!L39,"AAAAADwnn6g=")</f>
        <v>1</v>
      </c>
      <c r="FN36" t="b">
        <f>AND(DATA!M39,"AAAAADwnn6k=")</f>
        <v>1</v>
      </c>
      <c r="FO36" t="e">
        <f>AND(DATA!N39,"AAAAADwnn6o=")</f>
        <v>#VALUE!</v>
      </c>
      <c r="FP36">
        <f>IF(DATA!40:40,"AAAAADwnn6s=",0)</f>
        <v>0</v>
      </c>
      <c r="FQ36" t="b">
        <f>AND(DATA!A40,"AAAAADwnn6w=")</f>
        <v>1</v>
      </c>
      <c r="FR36" t="b">
        <f>AND(DATA!B40,"AAAAADwnn60=")</f>
        <v>1</v>
      </c>
      <c r="FS36" t="e">
        <f>AND(DATA!C40,"AAAAADwnn64=")</f>
        <v>#VALUE!</v>
      </c>
      <c r="FT36" t="e">
        <f>AND(DATA!D40,"AAAAADwnn68=")</f>
        <v>#VALUE!</v>
      </c>
      <c r="FU36" t="e">
        <f>AND(DATA!E40,"AAAAADwnn7A=")</f>
        <v>#VALUE!</v>
      </c>
      <c r="FV36" t="b">
        <f>AND(DATA!F40,"AAAAADwnn7E=")</f>
        <v>1</v>
      </c>
      <c r="FW36" t="b">
        <f>AND(DATA!G40,"AAAAADwnn7I=")</f>
        <v>1</v>
      </c>
      <c r="FX36" t="e">
        <f>AND(DATA!H40,"AAAAADwnn7M=")</f>
        <v>#VALUE!</v>
      </c>
      <c r="FY36" t="e">
        <f>AND(DATA!I40,"AAAAADwnn7Q=")</f>
        <v>#VALUE!</v>
      </c>
      <c r="FZ36" t="e">
        <f>AND(DATA!J40,"AAAAADwnn7U=")</f>
        <v>#VALUE!</v>
      </c>
      <c r="GA36" t="e">
        <f>AND(DATA!K40,"AAAAADwnn7Y=")</f>
        <v>#VALUE!</v>
      </c>
      <c r="GB36" t="b">
        <f>AND(DATA!L40,"AAAAADwnn7c=")</f>
        <v>1</v>
      </c>
      <c r="GC36" t="b">
        <f>AND(DATA!M40,"AAAAADwnn7g=")</f>
        <v>1</v>
      </c>
      <c r="GD36" t="e">
        <f>AND(DATA!N40,"AAAAADwnn7k=")</f>
        <v>#VALUE!</v>
      </c>
      <c r="GE36">
        <f>IF(DATA!41:41,"AAAAADwnn7o=",0)</f>
        <v>0</v>
      </c>
      <c r="GF36" t="b">
        <f>AND(DATA!A41,"AAAAADwnn7s=")</f>
        <v>1</v>
      </c>
      <c r="GG36" t="b">
        <f>AND(DATA!B41,"AAAAADwnn7w=")</f>
        <v>1</v>
      </c>
      <c r="GH36" t="e">
        <f>AND(DATA!C41,"AAAAADwnn70=")</f>
        <v>#VALUE!</v>
      </c>
      <c r="GI36" t="e">
        <f>AND(DATA!D41,"AAAAADwnn74=")</f>
        <v>#VALUE!</v>
      </c>
      <c r="GJ36" t="e">
        <f>AND(DATA!E41,"AAAAADwnn78=")</f>
        <v>#VALUE!</v>
      </c>
      <c r="GK36" t="b">
        <f>AND(DATA!F41,"AAAAADwnn8A=")</f>
        <v>1</v>
      </c>
      <c r="GL36" t="b">
        <f>AND(DATA!G41,"AAAAADwnn8E=")</f>
        <v>1</v>
      </c>
      <c r="GM36" t="e">
        <f>AND(DATA!H41,"AAAAADwnn8I=")</f>
        <v>#VALUE!</v>
      </c>
      <c r="GN36" t="e">
        <f>AND(DATA!I41,"AAAAADwnn8M=")</f>
        <v>#VALUE!</v>
      </c>
      <c r="GO36" t="e">
        <f>AND(DATA!J41,"AAAAADwnn8Q=")</f>
        <v>#VALUE!</v>
      </c>
      <c r="GP36" t="e">
        <f>AND(DATA!K41,"AAAAADwnn8U=")</f>
        <v>#VALUE!</v>
      </c>
      <c r="GQ36" t="b">
        <f>AND(DATA!L41,"AAAAADwnn8Y=")</f>
        <v>1</v>
      </c>
      <c r="GR36" t="b">
        <f>AND(DATA!M41,"AAAAADwnn8c=")</f>
        <v>1</v>
      </c>
      <c r="GS36" t="e">
        <f>AND(DATA!N41,"AAAAADwnn8g=")</f>
        <v>#VALUE!</v>
      </c>
      <c r="GT36">
        <f>IF(DATA!42:42,"AAAAADwnn8k=",0)</f>
        <v>0</v>
      </c>
      <c r="GU36" t="b">
        <f>AND(DATA!A42,"AAAAADwnn8o=")</f>
        <v>1</v>
      </c>
      <c r="GV36" t="b">
        <f>AND(DATA!B42,"AAAAADwnn8s=")</f>
        <v>1</v>
      </c>
      <c r="GW36" t="e">
        <f>AND(DATA!C42,"AAAAADwnn8w=")</f>
        <v>#VALUE!</v>
      </c>
      <c r="GX36" t="e">
        <f>AND(DATA!D42,"AAAAADwnn80=")</f>
        <v>#VALUE!</v>
      </c>
      <c r="GY36" t="e">
        <f>AND(DATA!E42,"AAAAADwnn84=")</f>
        <v>#VALUE!</v>
      </c>
      <c r="GZ36" t="b">
        <f>AND(DATA!F42,"AAAAADwnn88=")</f>
        <v>1</v>
      </c>
      <c r="HA36" t="b">
        <f>AND(DATA!G42,"AAAAADwnn9A=")</f>
        <v>1</v>
      </c>
      <c r="HB36" t="e">
        <f>AND(DATA!H42,"AAAAADwnn9E=")</f>
        <v>#VALUE!</v>
      </c>
      <c r="HC36" t="e">
        <f>AND(DATA!I42,"AAAAADwnn9I=")</f>
        <v>#VALUE!</v>
      </c>
      <c r="HD36" t="e">
        <f>AND(DATA!J42,"AAAAADwnn9M=")</f>
        <v>#VALUE!</v>
      </c>
      <c r="HE36" t="e">
        <f>AND(DATA!K42,"AAAAADwnn9Q=")</f>
        <v>#VALUE!</v>
      </c>
      <c r="HF36" t="b">
        <f>AND(DATA!L42,"AAAAADwnn9U=")</f>
        <v>1</v>
      </c>
      <c r="HG36" t="b">
        <f>AND(DATA!M42,"AAAAADwnn9Y=")</f>
        <v>1</v>
      </c>
      <c r="HH36" t="b">
        <f>AND(DATA!N42,"AAAAADwnn9c=")</f>
        <v>1</v>
      </c>
      <c r="HI36">
        <f>IF(DATA!43:43,"AAAAADwnn9g=",0)</f>
        <v>0</v>
      </c>
      <c r="HJ36" t="b">
        <f>AND(DATA!A43,"AAAAADwnn9k=")</f>
        <v>1</v>
      </c>
      <c r="HK36" t="b">
        <f>AND(DATA!B43,"AAAAADwnn9o=")</f>
        <v>1</v>
      </c>
      <c r="HL36" t="e">
        <f>AND(DATA!C43,"AAAAADwnn9s=")</f>
        <v>#VALUE!</v>
      </c>
      <c r="HM36" t="e">
        <f>AND(DATA!D43,"AAAAADwnn9w=")</f>
        <v>#VALUE!</v>
      </c>
      <c r="HN36" t="e">
        <f>AND(DATA!E43,"AAAAADwnn90=")</f>
        <v>#VALUE!</v>
      </c>
      <c r="HO36" t="b">
        <f>AND(DATA!F43,"AAAAADwnn94=")</f>
        <v>1</v>
      </c>
      <c r="HP36" t="b">
        <f>AND(DATA!G43,"AAAAADwnn98=")</f>
        <v>1</v>
      </c>
      <c r="HQ36" t="e">
        <f>AND(DATA!H43,"AAAAADwnn+A=")</f>
        <v>#VALUE!</v>
      </c>
      <c r="HR36" t="e">
        <f>AND(DATA!I43,"AAAAADwnn+E=")</f>
        <v>#VALUE!</v>
      </c>
      <c r="HS36" t="e">
        <f>AND(DATA!J43,"AAAAADwnn+I=")</f>
        <v>#VALUE!</v>
      </c>
      <c r="HT36" t="e">
        <f>AND(DATA!K43,"AAAAADwnn+M=")</f>
        <v>#VALUE!</v>
      </c>
      <c r="HU36" t="b">
        <f>AND(DATA!L43,"AAAAADwnn+Q=")</f>
        <v>1</v>
      </c>
      <c r="HV36" t="b">
        <f>AND(DATA!M43,"AAAAADwnn+U=")</f>
        <v>1</v>
      </c>
      <c r="HW36" t="b">
        <f>AND(DATA!N43,"AAAAADwnn+Y=")</f>
        <v>1</v>
      </c>
      <c r="HX36">
        <f>IF(DATA!44:44,"AAAAADwnn+c=",0)</f>
        <v>0</v>
      </c>
      <c r="HY36" t="b">
        <f>AND(DATA!A44,"AAAAADwnn+g=")</f>
        <v>1</v>
      </c>
      <c r="HZ36" t="b">
        <f>AND(DATA!B44,"AAAAADwnn+k=")</f>
        <v>1</v>
      </c>
      <c r="IA36" t="e">
        <f>AND(DATA!C44,"AAAAADwnn+o=")</f>
        <v>#VALUE!</v>
      </c>
      <c r="IB36" t="e">
        <f>AND(DATA!D44,"AAAAADwnn+s=")</f>
        <v>#VALUE!</v>
      </c>
      <c r="IC36" t="e">
        <f>AND(DATA!E44,"AAAAADwnn+w=")</f>
        <v>#VALUE!</v>
      </c>
      <c r="ID36" t="b">
        <f>AND(DATA!F44,"AAAAADwnn+0=")</f>
        <v>1</v>
      </c>
      <c r="IE36" t="b">
        <f>AND(DATA!G44,"AAAAADwnn+4=")</f>
        <v>1</v>
      </c>
      <c r="IF36" t="e">
        <f>AND(DATA!H44,"AAAAADwnn+8=")</f>
        <v>#VALUE!</v>
      </c>
      <c r="IG36" t="e">
        <f>AND(DATA!I44,"AAAAADwnn/A=")</f>
        <v>#VALUE!</v>
      </c>
      <c r="IH36" t="e">
        <f>AND(DATA!J44,"AAAAADwnn/E=")</f>
        <v>#VALUE!</v>
      </c>
      <c r="II36" t="e">
        <f>AND(DATA!K44,"AAAAADwnn/I=")</f>
        <v>#VALUE!</v>
      </c>
      <c r="IJ36" t="b">
        <f>AND(DATA!L44,"AAAAADwnn/M=")</f>
        <v>1</v>
      </c>
      <c r="IK36" t="b">
        <f>AND(DATA!M44,"AAAAADwnn/Q=")</f>
        <v>1</v>
      </c>
      <c r="IL36" t="b">
        <f>AND(DATA!N44,"AAAAADwnn/U=")</f>
        <v>1</v>
      </c>
      <c r="IM36">
        <f>IF(DATA!45:45,"AAAAADwnn/Y=",0)</f>
        <v>0</v>
      </c>
      <c r="IN36" t="b">
        <f>AND(DATA!A45,"AAAAADwnn/c=")</f>
        <v>1</v>
      </c>
      <c r="IO36" t="b">
        <f>AND(DATA!B45,"AAAAADwnn/g=")</f>
        <v>1</v>
      </c>
      <c r="IP36" t="e">
        <f>AND(DATA!C45,"AAAAADwnn/k=")</f>
        <v>#VALUE!</v>
      </c>
      <c r="IQ36" t="e">
        <f>AND(DATA!D45,"AAAAADwnn/o=")</f>
        <v>#VALUE!</v>
      </c>
      <c r="IR36" t="e">
        <f>AND(DATA!E45,"AAAAADwnn/s=")</f>
        <v>#VALUE!</v>
      </c>
      <c r="IS36" t="b">
        <f>AND(DATA!F45,"AAAAADwnn/w=")</f>
        <v>1</v>
      </c>
      <c r="IT36" t="b">
        <f>AND(DATA!G45,"AAAAADwnn/0=")</f>
        <v>1</v>
      </c>
      <c r="IU36" t="e">
        <f>AND(DATA!H45,"AAAAADwnn/4=")</f>
        <v>#VALUE!</v>
      </c>
      <c r="IV36" t="e">
        <f>AND(DATA!I45,"AAAAADwnn/8=")</f>
        <v>#VALUE!</v>
      </c>
    </row>
    <row r="37" spans="1:256">
      <c r="A37" t="e">
        <f>AND(DATA!J45,"AAAAAB+P/gA=")</f>
        <v>#VALUE!</v>
      </c>
      <c r="B37" t="e">
        <f>AND(DATA!K45,"AAAAAB+P/gE=")</f>
        <v>#VALUE!</v>
      </c>
      <c r="C37" t="b">
        <f>AND(DATA!L45,"AAAAAB+P/gI=")</f>
        <v>1</v>
      </c>
      <c r="D37" t="b">
        <f>AND(DATA!M45,"AAAAAB+P/gM=")</f>
        <v>1</v>
      </c>
      <c r="E37" t="b">
        <f>AND(DATA!N45,"AAAAAB+P/gQ=")</f>
        <v>1</v>
      </c>
      <c r="F37" t="str">
        <f>IF(DATA!46:46,"AAAAAB+P/gU=",0)</f>
        <v>AAAAAB+P/gU=</v>
      </c>
      <c r="G37" t="b">
        <f>AND(DATA!A46,"AAAAAB+P/gY=")</f>
        <v>1</v>
      </c>
      <c r="H37" t="b">
        <f>AND(DATA!B46,"AAAAAB+P/gc=")</f>
        <v>1</v>
      </c>
      <c r="I37" t="e">
        <f>AND(DATA!C46,"AAAAAB+P/gg=")</f>
        <v>#VALUE!</v>
      </c>
      <c r="J37" t="e">
        <f>AND(DATA!D46,"AAAAAB+P/gk=")</f>
        <v>#VALUE!</v>
      </c>
      <c r="K37" t="e">
        <f>AND(DATA!E46,"AAAAAB+P/go=")</f>
        <v>#VALUE!</v>
      </c>
      <c r="L37" t="b">
        <f>AND(DATA!F46,"AAAAAB+P/gs=")</f>
        <v>1</v>
      </c>
      <c r="M37" t="b">
        <f>AND(DATA!G46,"AAAAAB+P/gw=")</f>
        <v>1</v>
      </c>
      <c r="N37" t="e">
        <f>AND(DATA!H46,"AAAAAB+P/g0=")</f>
        <v>#VALUE!</v>
      </c>
      <c r="O37" t="e">
        <f>AND(DATA!I46,"AAAAAB+P/g4=")</f>
        <v>#VALUE!</v>
      </c>
      <c r="P37" t="e">
        <f>AND(DATA!J46,"AAAAAB+P/g8=")</f>
        <v>#VALUE!</v>
      </c>
      <c r="Q37" t="e">
        <f>AND(DATA!K46,"AAAAAB+P/hA=")</f>
        <v>#VALUE!</v>
      </c>
      <c r="R37" t="b">
        <f>AND(DATA!L46,"AAAAAB+P/hE=")</f>
        <v>1</v>
      </c>
      <c r="S37" t="b">
        <f>AND(DATA!M46,"AAAAAB+P/hI=")</f>
        <v>1</v>
      </c>
      <c r="T37" t="b">
        <f>AND(DATA!N46,"AAAAAB+P/hM=")</f>
        <v>1</v>
      </c>
      <c r="U37">
        <f>IF(DATA!47:47,"AAAAAB+P/hQ=",0)</f>
        <v>0</v>
      </c>
      <c r="V37" t="b">
        <f>AND(DATA!A47,"AAAAAB+P/hU=")</f>
        <v>1</v>
      </c>
      <c r="W37" t="b">
        <f>AND(DATA!B47,"AAAAAB+P/hY=")</f>
        <v>1</v>
      </c>
      <c r="X37" t="e">
        <f>AND(DATA!C47,"AAAAAB+P/hc=")</f>
        <v>#VALUE!</v>
      </c>
      <c r="Y37" t="e">
        <f>AND(DATA!D47,"AAAAAB+P/hg=")</f>
        <v>#VALUE!</v>
      </c>
      <c r="Z37" t="e">
        <f>AND(DATA!E47,"AAAAAB+P/hk=")</f>
        <v>#VALUE!</v>
      </c>
      <c r="AA37" t="b">
        <f>AND(DATA!F47,"AAAAAB+P/ho=")</f>
        <v>1</v>
      </c>
      <c r="AB37" t="b">
        <f>AND(DATA!G47,"AAAAAB+P/hs=")</f>
        <v>1</v>
      </c>
      <c r="AC37" t="e">
        <f>AND(DATA!H47,"AAAAAB+P/hw=")</f>
        <v>#VALUE!</v>
      </c>
      <c r="AD37" t="e">
        <f>AND(DATA!I47,"AAAAAB+P/h0=")</f>
        <v>#VALUE!</v>
      </c>
      <c r="AE37" t="e">
        <f>AND(DATA!J47,"AAAAAB+P/h4=")</f>
        <v>#VALUE!</v>
      </c>
      <c r="AF37" t="e">
        <f>AND(DATA!K47,"AAAAAB+P/h8=")</f>
        <v>#VALUE!</v>
      </c>
      <c r="AG37" t="b">
        <f>AND(DATA!L47,"AAAAAB+P/iA=")</f>
        <v>1</v>
      </c>
      <c r="AH37" t="b">
        <f>AND(DATA!M47,"AAAAAB+P/iE=")</f>
        <v>1</v>
      </c>
      <c r="AI37" t="b">
        <f>AND(DATA!N47,"AAAAAB+P/iI=")</f>
        <v>1</v>
      </c>
      <c r="AJ37">
        <f>IF(DATA!48:48,"AAAAAB+P/iM=",0)</f>
        <v>0</v>
      </c>
      <c r="AK37" t="b">
        <f>AND(DATA!A48,"AAAAAB+P/iQ=")</f>
        <v>1</v>
      </c>
      <c r="AL37" t="b">
        <f>AND(DATA!B48,"AAAAAB+P/iU=")</f>
        <v>1</v>
      </c>
      <c r="AM37" t="e">
        <f>AND(DATA!C48,"AAAAAB+P/iY=")</f>
        <v>#VALUE!</v>
      </c>
      <c r="AN37" t="e">
        <f>AND(DATA!D48,"AAAAAB+P/ic=")</f>
        <v>#VALUE!</v>
      </c>
      <c r="AO37" t="e">
        <f>AND(DATA!E48,"AAAAAB+P/ig=")</f>
        <v>#VALUE!</v>
      </c>
      <c r="AP37" t="b">
        <f>AND(DATA!F48,"AAAAAB+P/ik=")</f>
        <v>1</v>
      </c>
      <c r="AQ37" t="b">
        <f>AND(DATA!G48,"AAAAAB+P/io=")</f>
        <v>1</v>
      </c>
      <c r="AR37" t="e">
        <f>AND(DATA!H48,"AAAAAB+P/is=")</f>
        <v>#VALUE!</v>
      </c>
      <c r="AS37" t="e">
        <f>AND(DATA!I48,"AAAAAB+P/iw=")</f>
        <v>#VALUE!</v>
      </c>
      <c r="AT37" t="e">
        <f>AND(DATA!J48,"AAAAAB+P/i0=")</f>
        <v>#VALUE!</v>
      </c>
      <c r="AU37" t="e">
        <f>AND(DATA!K48,"AAAAAB+P/i4=")</f>
        <v>#VALUE!</v>
      </c>
      <c r="AV37" t="b">
        <f>AND(DATA!L48,"AAAAAB+P/i8=")</f>
        <v>1</v>
      </c>
      <c r="AW37" t="b">
        <f>AND(DATA!M48,"AAAAAB+P/jA=")</f>
        <v>1</v>
      </c>
      <c r="AX37" t="b">
        <f>AND(DATA!N48,"AAAAAB+P/jE=")</f>
        <v>1</v>
      </c>
      <c r="AY37">
        <f>IF(DATA!49:49,"AAAAAB+P/jI=",0)</f>
        <v>0</v>
      </c>
      <c r="AZ37" t="b">
        <f>AND(DATA!A49,"AAAAAB+P/jM=")</f>
        <v>1</v>
      </c>
      <c r="BA37" t="b">
        <f>AND(DATA!B49,"AAAAAB+P/jQ=")</f>
        <v>1</v>
      </c>
      <c r="BB37" t="e">
        <f>AND(DATA!C49,"AAAAAB+P/jU=")</f>
        <v>#VALUE!</v>
      </c>
      <c r="BC37" t="e">
        <f>AND(DATA!D49,"AAAAAB+P/jY=")</f>
        <v>#VALUE!</v>
      </c>
      <c r="BD37" t="e">
        <f>AND(DATA!E49,"AAAAAB+P/jc=")</f>
        <v>#VALUE!</v>
      </c>
      <c r="BE37" t="b">
        <f>AND(DATA!F49,"AAAAAB+P/jg=")</f>
        <v>1</v>
      </c>
      <c r="BF37" t="b">
        <f>AND(DATA!G49,"AAAAAB+P/jk=")</f>
        <v>1</v>
      </c>
      <c r="BG37" t="e">
        <f>AND(DATA!H49,"AAAAAB+P/jo=")</f>
        <v>#VALUE!</v>
      </c>
      <c r="BH37" t="e">
        <f>AND(DATA!I49,"AAAAAB+P/js=")</f>
        <v>#VALUE!</v>
      </c>
      <c r="BI37" t="e">
        <f>AND(DATA!J49,"AAAAAB+P/jw=")</f>
        <v>#VALUE!</v>
      </c>
      <c r="BJ37" t="e">
        <f>AND(DATA!K49,"AAAAAB+P/j0=")</f>
        <v>#VALUE!</v>
      </c>
      <c r="BK37" t="b">
        <f>AND(DATA!L49,"AAAAAB+P/j4=")</f>
        <v>1</v>
      </c>
      <c r="BL37" t="b">
        <f>AND(DATA!M49,"AAAAAB+P/j8=")</f>
        <v>1</v>
      </c>
      <c r="BM37" t="b">
        <f>AND(DATA!N49,"AAAAAB+P/kA=")</f>
        <v>1</v>
      </c>
      <c r="BN37">
        <f>IF(DATA!50:50,"AAAAAB+P/kE=",0)</f>
        <v>0</v>
      </c>
      <c r="BO37" t="b">
        <f>AND(DATA!A50,"AAAAAB+P/kI=")</f>
        <v>1</v>
      </c>
      <c r="BP37" t="b">
        <f>AND(DATA!B50,"AAAAAB+P/kM=")</f>
        <v>1</v>
      </c>
      <c r="BQ37" t="e">
        <f>AND(DATA!C50,"AAAAAB+P/kQ=")</f>
        <v>#VALUE!</v>
      </c>
      <c r="BR37" t="e">
        <f>AND(DATA!D50,"AAAAAB+P/kU=")</f>
        <v>#VALUE!</v>
      </c>
      <c r="BS37" t="e">
        <f>AND(DATA!E50,"AAAAAB+P/kY=")</f>
        <v>#VALUE!</v>
      </c>
      <c r="BT37" t="b">
        <f>AND(DATA!F50,"AAAAAB+P/kc=")</f>
        <v>1</v>
      </c>
      <c r="BU37" t="b">
        <f>AND(DATA!G50,"AAAAAB+P/kg=")</f>
        <v>1</v>
      </c>
      <c r="BV37" t="e">
        <f>AND(DATA!H50,"AAAAAB+P/kk=")</f>
        <v>#VALUE!</v>
      </c>
      <c r="BW37" t="e">
        <f>AND(DATA!I50,"AAAAAB+P/ko=")</f>
        <v>#VALUE!</v>
      </c>
      <c r="BX37" t="e">
        <f>AND(DATA!J50,"AAAAAB+P/ks=")</f>
        <v>#VALUE!</v>
      </c>
      <c r="BY37" t="e">
        <f>AND(DATA!K50,"AAAAAB+P/kw=")</f>
        <v>#VALUE!</v>
      </c>
      <c r="BZ37" t="b">
        <f>AND(DATA!L50,"AAAAAB+P/k0=")</f>
        <v>1</v>
      </c>
      <c r="CA37" t="b">
        <f>AND(DATA!M50,"AAAAAB+P/k4=")</f>
        <v>1</v>
      </c>
      <c r="CB37" t="b">
        <f>AND(DATA!N50,"AAAAAB+P/k8=")</f>
        <v>1</v>
      </c>
      <c r="CC37">
        <f>IF(DATA!51:51,"AAAAAB+P/lA=",0)</f>
        <v>0</v>
      </c>
      <c r="CD37" t="b">
        <f>AND(DATA!A51,"AAAAAB+P/lE=")</f>
        <v>1</v>
      </c>
      <c r="CE37" t="b">
        <f>AND(DATA!B51,"AAAAAB+P/lI=")</f>
        <v>1</v>
      </c>
      <c r="CF37" t="e">
        <f>AND(DATA!C51,"AAAAAB+P/lM=")</f>
        <v>#VALUE!</v>
      </c>
      <c r="CG37" t="e">
        <f>AND(DATA!D51,"AAAAAB+P/lQ=")</f>
        <v>#VALUE!</v>
      </c>
      <c r="CH37" t="e">
        <f>AND(DATA!E51,"AAAAAB+P/lU=")</f>
        <v>#VALUE!</v>
      </c>
      <c r="CI37" t="b">
        <f>AND(DATA!F51,"AAAAAB+P/lY=")</f>
        <v>1</v>
      </c>
      <c r="CJ37" t="b">
        <f>AND(DATA!G51,"AAAAAB+P/lc=")</f>
        <v>1</v>
      </c>
      <c r="CK37" t="e">
        <f>AND(DATA!H51,"AAAAAB+P/lg=")</f>
        <v>#VALUE!</v>
      </c>
      <c r="CL37" t="e">
        <f>AND(DATA!I51,"AAAAAB+P/lk=")</f>
        <v>#VALUE!</v>
      </c>
      <c r="CM37" t="e">
        <f>AND(DATA!J51,"AAAAAB+P/lo=")</f>
        <v>#VALUE!</v>
      </c>
      <c r="CN37" t="e">
        <f>AND(DATA!K51,"AAAAAB+P/ls=")</f>
        <v>#VALUE!</v>
      </c>
      <c r="CO37" t="b">
        <f>AND(DATA!L51,"AAAAAB+P/lw=")</f>
        <v>1</v>
      </c>
      <c r="CP37" t="b">
        <f>AND(DATA!M51,"AAAAAB+P/l0=")</f>
        <v>1</v>
      </c>
      <c r="CQ37" t="b">
        <f>AND(DATA!N51,"AAAAAB+P/l4=")</f>
        <v>1</v>
      </c>
      <c r="CR37">
        <f>IF(DATA!52:52,"AAAAAB+P/l8=",0)</f>
        <v>0</v>
      </c>
      <c r="CS37" t="b">
        <f>AND(DATA!A52,"AAAAAB+P/mA=")</f>
        <v>1</v>
      </c>
      <c r="CT37" t="b">
        <f>AND(DATA!B52,"AAAAAB+P/mE=")</f>
        <v>1</v>
      </c>
      <c r="CU37" t="e">
        <f>AND(DATA!C52,"AAAAAB+P/mI=")</f>
        <v>#VALUE!</v>
      </c>
      <c r="CV37" t="e">
        <f>AND(DATA!D52,"AAAAAB+P/mM=")</f>
        <v>#VALUE!</v>
      </c>
      <c r="CW37" t="e">
        <f>AND(DATA!E52,"AAAAAB+P/mQ=")</f>
        <v>#VALUE!</v>
      </c>
      <c r="CX37" t="b">
        <f>AND(DATA!F52,"AAAAAB+P/mU=")</f>
        <v>1</v>
      </c>
      <c r="CY37" t="b">
        <f>AND(DATA!G52,"AAAAAB+P/mY=")</f>
        <v>1</v>
      </c>
      <c r="CZ37" t="e">
        <f>AND(DATA!H52,"AAAAAB+P/mc=")</f>
        <v>#VALUE!</v>
      </c>
      <c r="DA37" t="e">
        <f>AND(DATA!I52,"AAAAAB+P/mg=")</f>
        <v>#VALUE!</v>
      </c>
      <c r="DB37" t="e">
        <f>AND(DATA!J52,"AAAAAB+P/mk=")</f>
        <v>#VALUE!</v>
      </c>
      <c r="DC37" t="e">
        <f>AND(DATA!K52,"AAAAAB+P/mo=")</f>
        <v>#VALUE!</v>
      </c>
      <c r="DD37" t="b">
        <f>AND(DATA!L52,"AAAAAB+P/ms=")</f>
        <v>1</v>
      </c>
      <c r="DE37" t="b">
        <f>AND(DATA!M52,"AAAAAB+P/mw=")</f>
        <v>1</v>
      </c>
      <c r="DF37" t="b">
        <f>AND(DATA!N52,"AAAAAB+P/m0=")</f>
        <v>1</v>
      </c>
      <c r="DG37">
        <f>IF(DATA!53:53,"AAAAAB+P/m4=",0)</f>
        <v>0</v>
      </c>
      <c r="DH37" t="b">
        <f>AND(DATA!A53,"AAAAAB+P/m8=")</f>
        <v>1</v>
      </c>
      <c r="DI37" t="b">
        <f>AND(DATA!B53,"AAAAAB+P/nA=")</f>
        <v>1</v>
      </c>
      <c r="DJ37" t="e">
        <f>AND(DATA!C53,"AAAAAB+P/nE=")</f>
        <v>#VALUE!</v>
      </c>
      <c r="DK37" t="e">
        <f>AND(DATA!D53,"AAAAAB+P/nI=")</f>
        <v>#VALUE!</v>
      </c>
      <c r="DL37" t="e">
        <f>AND(DATA!E53,"AAAAAB+P/nM=")</f>
        <v>#VALUE!</v>
      </c>
      <c r="DM37" t="b">
        <f>AND(DATA!F53,"AAAAAB+P/nQ=")</f>
        <v>1</v>
      </c>
      <c r="DN37" t="b">
        <f>AND(DATA!G53,"AAAAAB+P/nU=")</f>
        <v>1</v>
      </c>
      <c r="DO37" t="e">
        <f>AND(DATA!H53,"AAAAAB+P/nY=")</f>
        <v>#VALUE!</v>
      </c>
      <c r="DP37" t="e">
        <f>AND(DATA!I53,"AAAAAB+P/nc=")</f>
        <v>#VALUE!</v>
      </c>
      <c r="DQ37" t="e">
        <f>AND(DATA!J53,"AAAAAB+P/ng=")</f>
        <v>#VALUE!</v>
      </c>
      <c r="DR37" t="e">
        <f>AND(DATA!K53,"AAAAAB+P/nk=")</f>
        <v>#VALUE!</v>
      </c>
      <c r="DS37" t="b">
        <f>AND(DATA!L53,"AAAAAB+P/no=")</f>
        <v>1</v>
      </c>
      <c r="DT37" t="b">
        <f>AND(DATA!M53,"AAAAAB+P/ns=")</f>
        <v>1</v>
      </c>
      <c r="DU37" t="b">
        <f>AND(DATA!N53,"AAAAAB+P/nw=")</f>
        <v>1</v>
      </c>
      <c r="DV37">
        <f>IF(DATA!54:54,"AAAAAB+P/n0=",0)</f>
        <v>0</v>
      </c>
      <c r="DW37" t="e">
        <f>AND(DATA!A54,"AAAAAB+P/n4=")</f>
        <v>#VALUE!</v>
      </c>
      <c r="DX37" t="e">
        <f>AND(DATA!B54,"AAAAAB+P/n8=")</f>
        <v>#VALUE!</v>
      </c>
      <c r="DY37" t="e">
        <f>AND(DATA!C54,"AAAAAB+P/oA=")</f>
        <v>#VALUE!</v>
      </c>
      <c r="DZ37" t="e">
        <f>AND(DATA!D54,"AAAAAB+P/oE=")</f>
        <v>#VALUE!</v>
      </c>
      <c r="EA37" t="e">
        <f>AND(DATA!E54,"AAAAAB+P/oI=")</f>
        <v>#VALUE!</v>
      </c>
      <c r="EB37" t="b">
        <f>AND(DATA!F54,"AAAAAB+P/oM=")</f>
        <v>1</v>
      </c>
      <c r="EC37" t="b">
        <f>AND(DATA!G54,"AAAAAB+P/oQ=")</f>
        <v>1</v>
      </c>
      <c r="ED37" t="e">
        <f>AND(DATA!H54,"AAAAAB+P/oU=")</f>
        <v>#VALUE!</v>
      </c>
      <c r="EE37" t="e">
        <f>AND(DATA!I54,"AAAAAB+P/oY=")</f>
        <v>#VALUE!</v>
      </c>
      <c r="EF37" t="e">
        <f>AND(DATA!J54,"AAAAAB+P/oc=")</f>
        <v>#VALUE!</v>
      </c>
      <c r="EG37" t="e">
        <f>AND(DATA!K54,"AAAAAB+P/og=")</f>
        <v>#VALUE!</v>
      </c>
      <c r="EH37" t="b">
        <f>AND(DATA!L54,"AAAAAB+P/ok=")</f>
        <v>1</v>
      </c>
      <c r="EI37" t="b">
        <f>AND(DATA!M54,"AAAAAB+P/oo=")</f>
        <v>1</v>
      </c>
      <c r="EJ37" t="b">
        <f>AND(DATA!N54,"AAAAAB+P/os=")</f>
        <v>1</v>
      </c>
      <c r="EK37">
        <f>IF(DATA!55:55,"AAAAAB+P/ow=",0)</f>
        <v>0</v>
      </c>
      <c r="EL37" t="e">
        <f>AND(DATA!A55,"AAAAAB+P/o0=")</f>
        <v>#VALUE!</v>
      </c>
      <c r="EM37" t="e">
        <f>AND(DATA!B55,"AAAAAB+P/o4=")</f>
        <v>#VALUE!</v>
      </c>
      <c r="EN37" t="e">
        <f>AND(DATA!C55,"AAAAAB+P/o8=")</f>
        <v>#VALUE!</v>
      </c>
      <c r="EO37" t="e">
        <f>AND(DATA!D55,"AAAAAB+P/pA=")</f>
        <v>#VALUE!</v>
      </c>
      <c r="EP37" t="e">
        <f>AND(DATA!E55,"AAAAAB+P/pE=")</f>
        <v>#VALUE!</v>
      </c>
      <c r="EQ37" t="b">
        <f>AND(DATA!F55,"AAAAAB+P/pI=")</f>
        <v>1</v>
      </c>
      <c r="ER37" t="b">
        <f>AND(DATA!G55,"AAAAAB+P/pM=")</f>
        <v>1</v>
      </c>
      <c r="ES37" t="e">
        <f>AND(DATA!H55,"AAAAAB+P/pQ=")</f>
        <v>#VALUE!</v>
      </c>
      <c r="ET37" t="e">
        <f>AND(DATA!I55,"AAAAAB+P/pU=")</f>
        <v>#VALUE!</v>
      </c>
      <c r="EU37" t="e">
        <f>AND(DATA!J55,"AAAAAB+P/pY=")</f>
        <v>#VALUE!</v>
      </c>
      <c r="EV37" t="e">
        <f>AND(DATA!K55,"AAAAAB+P/pc=")</f>
        <v>#VALUE!</v>
      </c>
      <c r="EW37" t="b">
        <f>AND(DATA!L55,"AAAAAB+P/pg=")</f>
        <v>1</v>
      </c>
      <c r="EX37" t="b">
        <f>AND(DATA!M55,"AAAAAB+P/pk=")</f>
        <v>1</v>
      </c>
      <c r="EY37" t="b">
        <f>AND(DATA!N55,"AAAAAB+P/po=")</f>
        <v>1</v>
      </c>
      <c r="EZ37">
        <f>IF(DATA!56:56,"AAAAAB+P/ps=",0)</f>
        <v>0</v>
      </c>
      <c r="FA37" t="e">
        <f>AND(DATA!A56,"AAAAAB+P/pw=")</f>
        <v>#VALUE!</v>
      </c>
      <c r="FB37" t="e">
        <f>AND(DATA!B56,"AAAAAB+P/p0=")</f>
        <v>#VALUE!</v>
      </c>
      <c r="FC37" t="e">
        <f>AND(DATA!C56,"AAAAAB+P/p4=")</f>
        <v>#VALUE!</v>
      </c>
      <c r="FD37" t="e">
        <f>AND(DATA!D56,"AAAAAB+P/p8=")</f>
        <v>#VALUE!</v>
      </c>
      <c r="FE37" t="e">
        <f>AND(DATA!E56,"AAAAAB+P/qA=")</f>
        <v>#VALUE!</v>
      </c>
      <c r="FF37" t="b">
        <f>AND(DATA!F56,"AAAAAB+P/qE=")</f>
        <v>1</v>
      </c>
      <c r="FG37" t="b">
        <f>AND(DATA!G56,"AAAAAB+P/qI=")</f>
        <v>1</v>
      </c>
      <c r="FH37" t="e">
        <f>AND(DATA!H56,"AAAAAB+P/qM=")</f>
        <v>#VALUE!</v>
      </c>
      <c r="FI37" t="e">
        <f>AND(DATA!I56,"AAAAAB+P/qQ=")</f>
        <v>#VALUE!</v>
      </c>
      <c r="FJ37" t="e">
        <f>AND(DATA!J56,"AAAAAB+P/qU=")</f>
        <v>#VALUE!</v>
      </c>
      <c r="FK37" t="e">
        <f>AND(DATA!K56,"AAAAAB+P/qY=")</f>
        <v>#VALUE!</v>
      </c>
      <c r="FL37" t="b">
        <f>AND(DATA!L56,"AAAAAB+P/qc=")</f>
        <v>1</v>
      </c>
      <c r="FM37" t="b">
        <f>AND(DATA!M56,"AAAAAB+P/qg=")</f>
        <v>1</v>
      </c>
      <c r="FN37" t="b">
        <f>AND(DATA!N56,"AAAAAB+P/qk=")</f>
        <v>1</v>
      </c>
      <c r="FO37">
        <f>IF(DATA!57:57,"AAAAAB+P/qo=",0)</f>
        <v>0</v>
      </c>
      <c r="FP37" t="e">
        <f>AND(DATA!A57,"AAAAAB+P/qs=")</f>
        <v>#VALUE!</v>
      </c>
      <c r="FQ37" t="e">
        <f>AND(DATA!B57,"AAAAAB+P/qw=")</f>
        <v>#VALUE!</v>
      </c>
      <c r="FR37" t="e">
        <f>AND(DATA!C57,"AAAAAB+P/q0=")</f>
        <v>#VALUE!</v>
      </c>
      <c r="FS37" t="e">
        <f>AND(DATA!D57,"AAAAAB+P/q4=")</f>
        <v>#VALUE!</v>
      </c>
      <c r="FT37" t="e">
        <f>AND(DATA!E57,"AAAAAB+P/q8=")</f>
        <v>#VALUE!</v>
      </c>
      <c r="FU37" t="b">
        <f>AND(DATA!F57,"AAAAAB+P/rA=")</f>
        <v>1</v>
      </c>
      <c r="FV37" t="b">
        <f>AND(DATA!G57,"AAAAAB+P/rE=")</f>
        <v>1</v>
      </c>
      <c r="FW37" t="e">
        <f>AND(DATA!H57,"AAAAAB+P/rI=")</f>
        <v>#VALUE!</v>
      </c>
      <c r="FX37" t="e">
        <f>AND(DATA!I57,"AAAAAB+P/rM=")</f>
        <v>#VALUE!</v>
      </c>
      <c r="FY37" t="e">
        <f>AND(DATA!J57,"AAAAAB+P/rQ=")</f>
        <v>#VALUE!</v>
      </c>
      <c r="FZ37" t="e">
        <f>AND(DATA!K57,"AAAAAB+P/rU=")</f>
        <v>#VALUE!</v>
      </c>
      <c r="GA37" t="b">
        <f>AND(DATA!L57,"AAAAAB+P/rY=")</f>
        <v>1</v>
      </c>
      <c r="GB37" t="b">
        <f>AND(DATA!M57,"AAAAAB+P/rc=")</f>
        <v>1</v>
      </c>
      <c r="GC37" t="b">
        <f>AND(DATA!N57,"AAAAAB+P/rg=")</f>
        <v>1</v>
      </c>
      <c r="GD37">
        <f>IF(DATA!58:58,"AAAAAB+P/rk=",0)</f>
        <v>0</v>
      </c>
      <c r="GE37" t="e">
        <f>AND(DATA!A58,"AAAAAB+P/ro=")</f>
        <v>#VALUE!</v>
      </c>
      <c r="GF37" t="e">
        <f>AND(DATA!B58,"AAAAAB+P/rs=")</f>
        <v>#VALUE!</v>
      </c>
      <c r="GG37" t="e">
        <f>AND(DATA!C58,"AAAAAB+P/rw=")</f>
        <v>#VALUE!</v>
      </c>
      <c r="GH37" t="e">
        <f>AND(DATA!D58,"AAAAAB+P/r0=")</f>
        <v>#VALUE!</v>
      </c>
      <c r="GI37" t="e">
        <f>AND(DATA!E58,"AAAAAB+P/r4=")</f>
        <v>#VALUE!</v>
      </c>
      <c r="GJ37" t="b">
        <f>AND(DATA!F58,"AAAAAB+P/r8=")</f>
        <v>1</v>
      </c>
      <c r="GK37" t="b">
        <f>AND(DATA!G58,"AAAAAB+P/sA=")</f>
        <v>1</v>
      </c>
      <c r="GL37" t="e">
        <f>AND(DATA!H58,"AAAAAB+P/sE=")</f>
        <v>#VALUE!</v>
      </c>
      <c r="GM37" t="e">
        <f>AND(DATA!I58,"AAAAAB+P/sI=")</f>
        <v>#VALUE!</v>
      </c>
      <c r="GN37" t="e">
        <f>AND(DATA!J58,"AAAAAB+P/sM=")</f>
        <v>#VALUE!</v>
      </c>
      <c r="GO37" t="e">
        <f>AND(DATA!K58,"AAAAAB+P/sQ=")</f>
        <v>#VALUE!</v>
      </c>
      <c r="GP37" t="b">
        <f>AND(DATA!L58,"AAAAAB+P/sU=")</f>
        <v>1</v>
      </c>
      <c r="GQ37" t="b">
        <f>AND(DATA!M58,"AAAAAB+P/sY=")</f>
        <v>1</v>
      </c>
      <c r="GR37" t="b">
        <f>AND(DATA!N58,"AAAAAB+P/sc=")</f>
        <v>1</v>
      </c>
      <c r="GS37">
        <f>IF(DATA!59:59,"AAAAAB+P/sg=",0)</f>
        <v>0</v>
      </c>
      <c r="GT37" t="e">
        <f>AND(DATA!A59,"AAAAAB+P/sk=")</f>
        <v>#VALUE!</v>
      </c>
      <c r="GU37" t="e">
        <f>AND(DATA!B59,"AAAAAB+P/so=")</f>
        <v>#VALUE!</v>
      </c>
      <c r="GV37" t="e">
        <f>AND(DATA!C59,"AAAAAB+P/ss=")</f>
        <v>#VALUE!</v>
      </c>
      <c r="GW37" t="e">
        <f>AND(DATA!D59,"AAAAAB+P/sw=")</f>
        <v>#VALUE!</v>
      </c>
      <c r="GX37" t="e">
        <f>AND(DATA!E59,"AAAAAB+P/s0=")</f>
        <v>#VALUE!</v>
      </c>
      <c r="GY37" t="b">
        <f>AND(DATA!F59,"AAAAAB+P/s4=")</f>
        <v>1</v>
      </c>
      <c r="GZ37" t="b">
        <f>AND(DATA!G59,"AAAAAB+P/s8=")</f>
        <v>1</v>
      </c>
      <c r="HA37" t="e">
        <f>AND(DATA!H59,"AAAAAB+P/tA=")</f>
        <v>#VALUE!</v>
      </c>
      <c r="HB37" t="e">
        <f>AND(DATA!I59,"AAAAAB+P/tE=")</f>
        <v>#VALUE!</v>
      </c>
      <c r="HC37" t="e">
        <f>AND(DATA!J59,"AAAAAB+P/tI=")</f>
        <v>#VALUE!</v>
      </c>
      <c r="HD37" t="e">
        <f>AND(DATA!K59,"AAAAAB+P/tM=")</f>
        <v>#VALUE!</v>
      </c>
      <c r="HE37" t="b">
        <f>AND(DATA!L59,"AAAAAB+P/tQ=")</f>
        <v>1</v>
      </c>
      <c r="HF37" t="b">
        <f>AND(DATA!M59,"AAAAAB+P/tU=")</f>
        <v>1</v>
      </c>
      <c r="HG37" t="b">
        <f>AND(DATA!N59,"AAAAAB+P/tY=")</f>
        <v>1</v>
      </c>
      <c r="HH37">
        <f>IF(DATA!60:60,"AAAAAB+P/tc=",0)</f>
        <v>0</v>
      </c>
      <c r="HI37" t="e">
        <f>AND(DATA!A60,"AAAAAB+P/tg=")</f>
        <v>#VALUE!</v>
      </c>
      <c r="HJ37" t="e">
        <f>AND(DATA!B60,"AAAAAB+P/tk=")</f>
        <v>#VALUE!</v>
      </c>
      <c r="HK37" t="e">
        <f>AND(DATA!C60,"AAAAAB+P/to=")</f>
        <v>#VALUE!</v>
      </c>
      <c r="HL37" t="e">
        <f>AND(DATA!D60,"AAAAAB+P/ts=")</f>
        <v>#VALUE!</v>
      </c>
      <c r="HM37" t="e">
        <f>AND(DATA!E60,"AAAAAB+P/tw=")</f>
        <v>#VALUE!</v>
      </c>
      <c r="HN37" t="e">
        <f>AND(DATA!F60,"AAAAAB+P/t0=")</f>
        <v>#VALUE!</v>
      </c>
      <c r="HO37" t="e">
        <f>AND(DATA!G60,"AAAAAB+P/t4=")</f>
        <v>#VALUE!</v>
      </c>
      <c r="HP37" t="e">
        <f>AND(DATA!H60,"AAAAAB+P/t8=")</f>
        <v>#VALUE!</v>
      </c>
      <c r="HQ37" t="e">
        <f>AND(DATA!I60,"AAAAAB+P/uA=")</f>
        <v>#VALUE!</v>
      </c>
      <c r="HR37" t="e">
        <f>AND(DATA!J60,"AAAAAB+P/uE=")</f>
        <v>#VALUE!</v>
      </c>
      <c r="HS37" t="e">
        <f>AND(DATA!K60,"AAAAAB+P/uI=")</f>
        <v>#VALUE!</v>
      </c>
      <c r="HT37" t="b">
        <f>AND(DATA!L60,"AAAAAB+P/uM=")</f>
        <v>1</v>
      </c>
      <c r="HU37" t="b">
        <f>AND(DATA!M60,"AAAAAB+P/uQ=")</f>
        <v>1</v>
      </c>
      <c r="HV37" t="b">
        <f>AND(DATA!N60,"AAAAAB+P/uU=")</f>
        <v>1</v>
      </c>
      <c r="HW37">
        <f>IF(DATA!61:61,"AAAAAB+P/uY=",0)</f>
        <v>0</v>
      </c>
      <c r="HX37" t="e">
        <f>AND(DATA!A61,"AAAAAB+P/uc=")</f>
        <v>#VALUE!</v>
      </c>
      <c r="HY37" t="e">
        <f>AND(DATA!B61,"AAAAAB+P/ug=")</f>
        <v>#VALUE!</v>
      </c>
      <c r="HZ37" t="e">
        <f>AND(DATA!C61,"AAAAAB+P/uk=")</f>
        <v>#VALUE!</v>
      </c>
      <c r="IA37" t="e">
        <f>AND(DATA!D61,"AAAAAB+P/uo=")</f>
        <v>#VALUE!</v>
      </c>
      <c r="IB37" t="e">
        <f>AND(DATA!E61,"AAAAAB+P/us=")</f>
        <v>#VALUE!</v>
      </c>
      <c r="IC37" t="e">
        <f>AND(DATA!F61,"AAAAAB+P/uw=")</f>
        <v>#VALUE!</v>
      </c>
      <c r="ID37" t="e">
        <f>AND(DATA!G61,"AAAAAB+P/u0=")</f>
        <v>#VALUE!</v>
      </c>
      <c r="IE37" t="e">
        <f>AND(DATA!H61,"AAAAAB+P/u4=")</f>
        <v>#VALUE!</v>
      </c>
      <c r="IF37" t="e">
        <f>AND(DATA!I61,"AAAAAB+P/u8=")</f>
        <v>#VALUE!</v>
      </c>
      <c r="IG37" t="e">
        <f>AND(DATA!J61,"AAAAAB+P/vA=")</f>
        <v>#VALUE!</v>
      </c>
      <c r="IH37" t="e">
        <f>AND(DATA!K61,"AAAAAB+P/vE=")</f>
        <v>#VALUE!</v>
      </c>
      <c r="II37" t="b">
        <f>AND(DATA!L61,"AAAAAB+P/vI=")</f>
        <v>1</v>
      </c>
      <c r="IJ37" t="b">
        <f>AND(DATA!M61,"AAAAAB+P/vM=")</f>
        <v>1</v>
      </c>
      <c r="IK37" t="b">
        <f>AND(DATA!N61,"AAAAAB+P/vQ=")</f>
        <v>1</v>
      </c>
      <c r="IL37">
        <f>IF(DATA!62:62,"AAAAAB+P/vU=",0)</f>
        <v>0</v>
      </c>
      <c r="IM37" t="e">
        <f>AND(DATA!A62,"AAAAAB+P/vY=")</f>
        <v>#VALUE!</v>
      </c>
      <c r="IN37" t="e">
        <f>AND(DATA!B62,"AAAAAB+P/vc=")</f>
        <v>#VALUE!</v>
      </c>
      <c r="IO37" t="b">
        <f>AND(DATA!C62,"AAAAAB+P/vg=")</f>
        <v>1</v>
      </c>
      <c r="IP37" t="b">
        <f>AND(DATA!D62,"AAAAAB+P/vk=")</f>
        <v>1</v>
      </c>
      <c r="IQ37" t="e">
        <f>AND(DATA!E62,"AAAAAB+P/vo=")</f>
        <v>#VALUE!</v>
      </c>
      <c r="IR37" t="e">
        <f>AND(DATA!F62,"AAAAAB+P/vs=")</f>
        <v>#VALUE!</v>
      </c>
      <c r="IS37" t="e">
        <f>AND(DATA!G62,"AAAAAB+P/vw=")</f>
        <v>#VALUE!</v>
      </c>
      <c r="IT37" t="e">
        <f>AND(DATA!H62,"AAAAAB+P/v0=")</f>
        <v>#VALUE!</v>
      </c>
      <c r="IU37" t="e">
        <f>AND(DATA!I62,"AAAAAB+P/v4=")</f>
        <v>#VALUE!</v>
      </c>
      <c r="IV37" t="e">
        <f>AND(DATA!J62,"AAAAAB+P/v8=")</f>
        <v>#VALUE!</v>
      </c>
    </row>
    <row r="38" spans="1:256">
      <c r="A38" t="e">
        <f>AND(DATA!K62,"AAAAAHf//wA=")</f>
        <v>#VALUE!</v>
      </c>
      <c r="B38" t="b">
        <f>AND(DATA!L62,"AAAAAHf//wE=")</f>
        <v>1</v>
      </c>
      <c r="C38" t="b">
        <f>AND(DATA!M62,"AAAAAHf//wI=")</f>
        <v>1</v>
      </c>
      <c r="D38" t="b">
        <f>AND(DATA!N62,"AAAAAHf//wM=")</f>
        <v>1</v>
      </c>
      <c r="E38">
        <f>IF(DATA!63:63,"AAAAAHf//wQ=",0)</f>
        <v>0</v>
      </c>
      <c r="F38" t="e">
        <f>AND(DATA!A63,"AAAAAHf//wU=")</f>
        <v>#VALUE!</v>
      </c>
      <c r="G38" t="e">
        <f>AND(DATA!B63,"AAAAAHf//wY=")</f>
        <v>#VALUE!</v>
      </c>
      <c r="H38" t="b">
        <f>AND(DATA!C63,"AAAAAHf//wc=")</f>
        <v>1</v>
      </c>
      <c r="I38" t="b">
        <f>AND(DATA!D63,"AAAAAHf//wg=")</f>
        <v>1</v>
      </c>
      <c r="J38" t="e">
        <f>AND(DATA!E63,"AAAAAHf//wk=")</f>
        <v>#VALUE!</v>
      </c>
      <c r="K38" t="e">
        <f>AND(DATA!F63,"AAAAAHf//wo=")</f>
        <v>#VALUE!</v>
      </c>
      <c r="L38" t="e">
        <f>AND(DATA!G63,"AAAAAHf//ws=")</f>
        <v>#VALUE!</v>
      </c>
      <c r="M38" t="e">
        <f>AND(DATA!H63,"AAAAAHf//ww=")</f>
        <v>#VALUE!</v>
      </c>
      <c r="N38" t="e">
        <f>AND(DATA!I63,"AAAAAHf//w0=")</f>
        <v>#VALUE!</v>
      </c>
      <c r="O38" t="e">
        <f>AND(DATA!J63,"AAAAAHf//w4=")</f>
        <v>#VALUE!</v>
      </c>
      <c r="P38" t="e">
        <f>AND(DATA!K63,"AAAAAHf//w8=")</f>
        <v>#VALUE!</v>
      </c>
      <c r="Q38" t="b">
        <f>AND(DATA!L63,"AAAAAHf//xA=")</f>
        <v>1</v>
      </c>
      <c r="R38" t="b">
        <f>AND(DATA!M63,"AAAAAHf//xE=")</f>
        <v>1</v>
      </c>
      <c r="S38" t="b">
        <f>AND(DATA!N63,"AAAAAHf//xI=")</f>
        <v>1</v>
      </c>
      <c r="T38">
        <f>IF(DATA!64:64,"AAAAAHf//xM=",0)</f>
        <v>0</v>
      </c>
      <c r="U38" t="e">
        <f>AND(DATA!A64,"AAAAAHf//xQ=")</f>
        <v>#VALUE!</v>
      </c>
      <c r="V38" t="e">
        <f>AND(DATA!B64,"AAAAAHf//xU=")</f>
        <v>#VALUE!</v>
      </c>
      <c r="W38" t="b">
        <f>AND(DATA!C64,"AAAAAHf//xY=")</f>
        <v>1</v>
      </c>
      <c r="X38" t="b">
        <f>AND(DATA!D64,"AAAAAHf//xc=")</f>
        <v>1</v>
      </c>
      <c r="Y38" t="e">
        <f>AND(DATA!E64,"AAAAAHf//xg=")</f>
        <v>#VALUE!</v>
      </c>
      <c r="Z38" t="e">
        <f>AND(DATA!F64,"AAAAAHf//xk=")</f>
        <v>#VALUE!</v>
      </c>
      <c r="AA38" t="e">
        <f>AND(DATA!G64,"AAAAAHf//xo=")</f>
        <v>#VALUE!</v>
      </c>
      <c r="AB38" t="e">
        <f>AND(DATA!H64,"AAAAAHf//xs=")</f>
        <v>#VALUE!</v>
      </c>
      <c r="AC38" t="e">
        <f>AND(DATA!I64,"AAAAAHf//xw=")</f>
        <v>#VALUE!</v>
      </c>
      <c r="AD38" t="e">
        <f>AND(DATA!J64,"AAAAAHf//x0=")</f>
        <v>#VALUE!</v>
      </c>
      <c r="AE38" t="e">
        <f>AND(DATA!K64,"AAAAAHf//x4=")</f>
        <v>#VALUE!</v>
      </c>
      <c r="AF38" t="b">
        <f>AND(DATA!L64,"AAAAAHf//x8=")</f>
        <v>1</v>
      </c>
      <c r="AG38" t="b">
        <f>AND(DATA!M64,"AAAAAHf//yA=")</f>
        <v>1</v>
      </c>
      <c r="AH38" t="b">
        <f>AND(DATA!N64,"AAAAAHf//yE=")</f>
        <v>1</v>
      </c>
      <c r="AI38">
        <f>IF(DATA!65:65,"AAAAAHf//yI=",0)</f>
        <v>0</v>
      </c>
      <c r="AJ38" t="e">
        <f>AND(DATA!A65,"AAAAAHf//yM=")</f>
        <v>#VALUE!</v>
      </c>
      <c r="AK38" t="e">
        <f>AND(DATA!B65,"AAAAAHf//yQ=")</f>
        <v>#VALUE!</v>
      </c>
      <c r="AL38" t="b">
        <f>AND(DATA!C65,"AAAAAHf//yU=")</f>
        <v>1</v>
      </c>
      <c r="AM38" t="b">
        <f>AND(DATA!D65,"AAAAAHf//yY=")</f>
        <v>1</v>
      </c>
      <c r="AN38" t="e">
        <f>AND(DATA!E65,"AAAAAHf//yc=")</f>
        <v>#VALUE!</v>
      </c>
      <c r="AO38" t="e">
        <f>AND(DATA!F65,"AAAAAHf//yg=")</f>
        <v>#VALUE!</v>
      </c>
      <c r="AP38" t="e">
        <f>AND(DATA!G65,"AAAAAHf//yk=")</f>
        <v>#VALUE!</v>
      </c>
      <c r="AQ38" t="e">
        <f>AND(DATA!H65,"AAAAAHf//yo=")</f>
        <v>#VALUE!</v>
      </c>
      <c r="AR38" t="e">
        <f>AND(DATA!I65,"AAAAAHf//ys=")</f>
        <v>#VALUE!</v>
      </c>
      <c r="AS38" t="e">
        <f>AND(DATA!J65,"AAAAAHf//yw=")</f>
        <v>#VALUE!</v>
      </c>
      <c r="AT38" t="e">
        <f>AND(DATA!K65,"AAAAAHf//y0=")</f>
        <v>#VALUE!</v>
      </c>
      <c r="AU38" t="b">
        <f>AND(DATA!L65,"AAAAAHf//y4=")</f>
        <v>1</v>
      </c>
      <c r="AV38" t="b">
        <f>AND(DATA!M65,"AAAAAHf//y8=")</f>
        <v>1</v>
      </c>
      <c r="AW38" t="b">
        <f>AND(DATA!N65,"AAAAAHf//zA=")</f>
        <v>1</v>
      </c>
      <c r="AX38">
        <f>IF(DATA!66:66,"AAAAAHf//zE=",0)</f>
        <v>0</v>
      </c>
      <c r="AY38" t="e">
        <f>AND(DATA!A66,"AAAAAHf//zI=")</f>
        <v>#VALUE!</v>
      </c>
      <c r="AZ38" t="e">
        <f>AND(DATA!B66,"AAAAAHf//zM=")</f>
        <v>#VALUE!</v>
      </c>
      <c r="BA38" t="b">
        <f>AND(DATA!C66,"AAAAAHf//zQ=")</f>
        <v>0</v>
      </c>
      <c r="BB38" t="b">
        <f>AND(DATA!D66,"AAAAAHf//zU=")</f>
        <v>0</v>
      </c>
      <c r="BC38" t="e">
        <f>AND(DATA!E66,"AAAAAHf//zY=")</f>
        <v>#VALUE!</v>
      </c>
      <c r="BD38" t="e">
        <f>AND(DATA!F66,"AAAAAHf//zc=")</f>
        <v>#VALUE!</v>
      </c>
      <c r="BE38" t="e">
        <f>AND(DATA!G66,"AAAAAHf//zg=")</f>
        <v>#VALUE!</v>
      </c>
      <c r="BF38" t="e">
        <f>AND(DATA!H66,"AAAAAHf//zk=")</f>
        <v>#VALUE!</v>
      </c>
      <c r="BG38" t="e">
        <f>AND(DATA!I66,"AAAAAHf//zo=")</f>
        <v>#VALUE!</v>
      </c>
      <c r="BH38" t="e">
        <f>AND(DATA!J66,"AAAAAHf//zs=")</f>
        <v>#VALUE!</v>
      </c>
      <c r="BI38" t="e">
        <f>AND(DATA!K66,"AAAAAHf//zw=")</f>
        <v>#VALUE!</v>
      </c>
      <c r="BJ38" t="b">
        <f>AND(DATA!L66,"AAAAAHf//z0=")</f>
        <v>1</v>
      </c>
      <c r="BK38" t="b">
        <f>AND(DATA!M66,"AAAAAHf//z4=")</f>
        <v>1</v>
      </c>
      <c r="BL38" t="b">
        <f>AND(DATA!N66,"AAAAAHf//z8=")</f>
        <v>1</v>
      </c>
      <c r="BM38">
        <f>IF(DATA!67:67,"AAAAAHf//0A=",0)</f>
        <v>0</v>
      </c>
      <c r="BN38" t="e">
        <f>AND(DATA!A67,"AAAAAHf//0E=")</f>
        <v>#VALUE!</v>
      </c>
      <c r="BO38" t="e">
        <f>AND(DATA!B67,"AAAAAHf//0I=")</f>
        <v>#VALUE!</v>
      </c>
      <c r="BP38" t="e">
        <f>AND(DATA!C67,"AAAAAHf//0M=")</f>
        <v>#VALUE!</v>
      </c>
      <c r="BQ38" t="e">
        <f>AND(DATA!D67,"AAAAAHf//0Q=")</f>
        <v>#VALUE!</v>
      </c>
      <c r="BR38" t="e">
        <f>AND(DATA!E67,"AAAAAHf//0U=")</f>
        <v>#VALUE!</v>
      </c>
      <c r="BS38" t="e">
        <f>AND(DATA!F67,"AAAAAHf//0Y=")</f>
        <v>#VALUE!</v>
      </c>
      <c r="BT38" t="e">
        <f>AND(DATA!G67,"AAAAAHf//0c=")</f>
        <v>#VALUE!</v>
      </c>
      <c r="BU38" t="e">
        <f>AND(DATA!H67,"AAAAAHf//0g=")</f>
        <v>#VALUE!</v>
      </c>
      <c r="BV38" t="e">
        <f>AND(DATA!I67,"AAAAAHf//0k=")</f>
        <v>#VALUE!</v>
      </c>
      <c r="BW38" t="e">
        <f>AND(DATA!J67,"AAAAAHf//0o=")</f>
        <v>#VALUE!</v>
      </c>
      <c r="BX38" t="e">
        <f>AND(DATA!K67,"AAAAAHf//0s=")</f>
        <v>#VALUE!</v>
      </c>
      <c r="BY38" t="b">
        <f>AND(DATA!L67,"AAAAAHf//0w=")</f>
        <v>1</v>
      </c>
      <c r="BZ38" t="b">
        <f>AND(DATA!M67,"AAAAAHf//00=")</f>
        <v>1</v>
      </c>
      <c r="CA38" t="b">
        <f>AND(DATA!N67,"AAAAAHf//04=")</f>
        <v>1</v>
      </c>
      <c r="CB38">
        <f>IF(DATA!68:68,"AAAAAHf//08=",0)</f>
        <v>0</v>
      </c>
      <c r="CC38" t="e">
        <f>AND(DATA!A68,"AAAAAHf//1A=")</f>
        <v>#VALUE!</v>
      </c>
      <c r="CD38" t="e">
        <f>AND(DATA!B68,"AAAAAHf//1E=")</f>
        <v>#VALUE!</v>
      </c>
      <c r="CE38" t="e">
        <f>AND(DATA!C68,"AAAAAHf//1I=")</f>
        <v>#VALUE!</v>
      </c>
      <c r="CF38" t="e">
        <f>AND(DATA!D68,"AAAAAHf//1M=")</f>
        <v>#VALUE!</v>
      </c>
      <c r="CG38" t="e">
        <f>AND(DATA!E68,"AAAAAHf//1Q=")</f>
        <v>#VALUE!</v>
      </c>
      <c r="CH38" t="e">
        <f>AND(DATA!F68,"AAAAAHf//1U=")</f>
        <v>#VALUE!</v>
      </c>
      <c r="CI38" t="e">
        <f>AND(DATA!G68,"AAAAAHf//1Y=")</f>
        <v>#VALUE!</v>
      </c>
      <c r="CJ38" t="e">
        <f>AND(DATA!H68,"AAAAAHf//1c=")</f>
        <v>#VALUE!</v>
      </c>
      <c r="CK38" t="e">
        <f>AND(DATA!I68,"AAAAAHf//1g=")</f>
        <v>#VALUE!</v>
      </c>
      <c r="CL38" t="e">
        <f>AND(DATA!J68,"AAAAAHf//1k=")</f>
        <v>#VALUE!</v>
      </c>
      <c r="CM38" t="e">
        <f>AND(DATA!K68,"AAAAAHf//1o=")</f>
        <v>#VALUE!</v>
      </c>
      <c r="CN38" t="b">
        <f>AND(DATA!L68,"AAAAAHf//1s=")</f>
        <v>1</v>
      </c>
      <c r="CO38" t="b">
        <f>AND(DATA!M68,"AAAAAHf//1w=")</f>
        <v>1</v>
      </c>
      <c r="CP38" t="b">
        <f>AND(DATA!N68,"AAAAAHf//10=")</f>
        <v>1</v>
      </c>
      <c r="CQ38">
        <f>IF(DATA!69:69,"AAAAAHf//14=",0)</f>
        <v>0</v>
      </c>
      <c r="CR38" t="e">
        <f>AND(DATA!A69,"AAAAAHf//18=")</f>
        <v>#VALUE!</v>
      </c>
      <c r="CS38" t="e">
        <f>AND(DATA!B69,"AAAAAHf//2A=")</f>
        <v>#VALUE!</v>
      </c>
      <c r="CT38" t="e">
        <f>AND(DATA!C69,"AAAAAHf//2E=")</f>
        <v>#VALUE!</v>
      </c>
      <c r="CU38" t="e">
        <f>AND(DATA!D69,"AAAAAHf//2I=")</f>
        <v>#VALUE!</v>
      </c>
      <c r="CV38" t="e">
        <f>AND(DATA!E69,"AAAAAHf//2M=")</f>
        <v>#VALUE!</v>
      </c>
      <c r="CW38" t="e">
        <f>AND(DATA!F69,"AAAAAHf//2Q=")</f>
        <v>#VALUE!</v>
      </c>
      <c r="CX38" t="e">
        <f>AND(DATA!G69,"AAAAAHf//2U=")</f>
        <v>#VALUE!</v>
      </c>
      <c r="CY38" t="e">
        <f>AND(DATA!H69,"AAAAAHf//2Y=")</f>
        <v>#VALUE!</v>
      </c>
      <c r="CZ38" t="e">
        <f>AND(DATA!I69,"AAAAAHf//2c=")</f>
        <v>#VALUE!</v>
      </c>
      <c r="DA38" t="e">
        <f>AND(DATA!J69,"AAAAAHf//2g=")</f>
        <v>#VALUE!</v>
      </c>
      <c r="DB38" t="e">
        <f>AND(DATA!K69,"AAAAAHf//2k=")</f>
        <v>#VALUE!</v>
      </c>
      <c r="DC38" t="b">
        <f>AND(DATA!L69,"AAAAAHf//2o=")</f>
        <v>1</v>
      </c>
      <c r="DD38" t="b">
        <f>AND(DATA!M69,"AAAAAHf//2s=")</f>
        <v>1</v>
      </c>
      <c r="DE38" t="b">
        <f>AND(DATA!N69,"AAAAAHf//2w=")</f>
        <v>1</v>
      </c>
      <c r="DF38">
        <f>IF(DATA!70:70,"AAAAAHf//20=",0)</f>
        <v>0</v>
      </c>
      <c r="DG38" t="e">
        <f>AND(DATA!A70,"AAAAAHf//24=")</f>
        <v>#VALUE!</v>
      </c>
      <c r="DH38" t="e">
        <f>AND(DATA!B70,"AAAAAHf//28=")</f>
        <v>#VALUE!</v>
      </c>
      <c r="DI38" t="e">
        <f>AND(DATA!C70,"AAAAAHf//3A=")</f>
        <v>#VALUE!</v>
      </c>
      <c r="DJ38" t="e">
        <f>AND(DATA!D70,"AAAAAHf//3E=")</f>
        <v>#VALUE!</v>
      </c>
      <c r="DK38" t="e">
        <f>AND(DATA!E70,"AAAAAHf//3I=")</f>
        <v>#VALUE!</v>
      </c>
      <c r="DL38" t="e">
        <f>AND(DATA!F70,"AAAAAHf//3M=")</f>
        <v>#VALUE!</v>
      </c>
      <c r="DM38" t="e">
        <f>AND(DATA!G70,"AAAAAHf//3Q=")</f>
        <v>#VALUE!</v>
      </c>
      <c r="DN38" t="e">
        <f>AND(DATA!H70,"AAAAAHf//3U=")</f>
        <v>#VALUE!</v>
      </c>
      <c r="DO38" t="e">
        <f>AND(DATA!I70,"AAAAAHf//3Y=")</f>
        <v>#VALUE!</v>
      </c>
      <c r="DP38" t="e">
        <f>AND(DATA!J70,"AAAAAHf//3c=")</f>
        <v>#VALUE!</v>
      </c>
      <c r="DQ38" t="e">
        <f>AND(DATA!K70,"AAAAAHf//3g=")</f>
        <v>#VALUE!</v>
      </c>
      <c r="DR38" t="b">
        <f>AND(DATA!L70,"AAAAAHf//3k=")</f>
        <v>1</v>
      </c>
      <c r="DS38" t="b">
        <f>AND(DATA!M70,"AAAAAHf//3o=")</f>
        <v>1</v>
      </c>
      <c r="DT38" t="b">
        <f>AND(DATA!N70,"AAAAAHf//3s=")</f>
        <v>1</v>
      </c>
      <c r="DU38">
        <f>IF(DATA!71:71,"AAAAAHf//3w=",0)</f>
        <v>0</v>
      </c>
      <c r="DV38" t="e">
        <f>AND(DATA!A71,"AAAAAHf//30=")</f>
        <v>#VALUE!</v>
      </c>
      <c r="DW38" t="e">
        <f>AND(DATA!B71,"AAAAAHf//34=")</f>
        <v>#VALUE!</v>
      </c>
      <c r="DX38" t="e">
        <f>AND(DATA!C71,"AAAAAHf//38=")</f>
        <v>#VALUE!</v>
      </c>
      <c r="DY38" t="e">
        <f>AND(DATA!D71,"AAAAAHf//4A=")</f>
        <v>#VALUE!</v>
      </c>
      <c r="DZ38" t="e">
        <f>AND(DATA!E71,"AAAAAHf//4E=")</f>
        <v>#VALUE!</v>
      </c>
      <c r="EA38" t="e">
        <f>AND(DATA!F71,"AAAAAHf//4I=")</f>
        <v>#VALUE!</v>
      </c>
      <c r="EB38" t="e">
        <f>AND(DATA!G71,"AAAAAHf//4M=")</f>
        <v>#VALUE!</v>
      </c>
      <c r="EC38" t="e">
        <f>AND(DATA!H71,"AAAAAHf//4Q=")</f>
        <v>#VALUE!</v>
      </c>
      <c r="ED38" t="e">
        <f>AND(DATA!I71,"AAAAAHf//4U=")</f>
        <v>#VALUE!</v>
      </c>
      <c r="EE38" t="e">
        <f>AND(DATA!J71,"AAAAAHf//4Y=")</f>
        <v>#VALUE!</v>
      </c>
      <c r="EF38" t="e">
        <f>AND(DATA!K71,"AAAAAHf//4c=")</f>
        <v>#VALUE!</v>
      </c>
      <c r="EG38" t="b">
        <f>AND(DATA!L71,"AAAAAHf//4g=")</f>
        <v>1</v>
      </c>
      <c r="EH38" t="b">
        <f>AND(DATA!M71,"AAAAAHf//4k=")</f>
        <v>1</v>
      </c>
      <c r="EI38" t="b">
        <f>AND(DATA!N71,"AAAAAHf//4o=")</f>
        <v>1</v>
      </c>
      <c r="EJ38">
        <f>IF(DATA!72:72,"AAAAAHf//4s=",0)</f>
        <v>0</v>
      </c>
      <c r="EK38" t="e">
        <f>AND(DATA!A72,"AAAAAHf//4w=")</f>
        <v>#VALUE!</v>
      </c>
      <c r="EL38" t="e">
        <f>AND(DATA!B72,"AAAAAHf//40=")</f>
        <v>#VALUE!</v>
      </c>
      <c r="EM38" t="e">
        <f>AND(DATA!C72,"AAAAAHf//44=")</f>
        <v>#VALUE!</v>
      </c>
      <c r="EN38" t="e">
        <f>AND(DATA!D72,"AAAAAHf//48=")</f>
        <v>#VALUE!</v>
      </c>
      <c r="EO38" t="e">
        <f>AND(DATA!E72,"AAAAAHf//5A=")</f>
        <v>#VALUE!</v>
      </c>
      <c r="EP38" t="e">
        <f>AND(DATA!F72,"AAAAAHf//5E=")</f>
        <v>#VALUE!</v>
      </c>
      <c r="EQ38" t="e">
        <f>AND(DATA!G72,"AAAAAHf//5I=")</f>
        <v>#VALUE!</v>
      </c>
      <c r="ER38" t="e">
        <f>AND(DATA!H72,"AAAAAHf//5M=")</f>
        <v>#VALUE!</v>
      </c>
      <c r="ES38" t="e">
        <f>AND(DATA!I72,"AAAAAHf//5Q=")</f>
        <v>#VALUE!</v>
      </c>
      <c r="ET38" t="e">
        <f>AND(DATA!J72,"AAAAAHf//5U=")</f>
        <v>#VALUE!</v>
      </c>
      <c r="EU38" t="e">
        <f>AND(DATA!K72,"AAAAAHf//5Y=")</f>
        <v>#VALUE!</v>
      </c>
      <c r="EV38" t="b">
        <f>AND(DATA!L72,"AAAAAHf//5c=")</f>
        <v>1</v>
      </c>
      <c r="EW38" t="b">
        <f>AND(DATA!M72,"AAAAAHf//5g=")</f>
        <v>1</v>
      </c>
      <c r="EX38" t="b">
        <f>AND(DATA!N72,"AAAAAHf//5k=")</f>
        <v>1</v>
      </c>
      <c r="EY38">
        <f>IF(DATA!73:73,"AAAAAHf//5o=",0)</f>
        <v>0</v>
      </c>
      <c r="EZ38" t="e">
        <f>AND(DATA!A73,"AAAAAHf//5s=")</f>
        <v>#VALUE!</v>
      </c>
      <c r="FA38" t="e">
        <f>AND(DATA!B73,"AAAAAHf//5w=")</f>
        <v>#VALUE!</v>
      </c>
      <c r="FB38" t="e">
        <f>AND(DATA!C73,"AAAAAHf//50=")</f>
        <v>#VALUE!</v>
      </c>
      <c r="FC38" t="e">
        <f>AND(DATA!D73,"AAAAAHf//54=")</f>
        <v>#VALUE!</v>
      </c>
      <c r="FD38" t="e">
        <f>AND(DATA!E73,"AAAAAHf//58=")</f>
        <v>#VALUE!</v>
      </c>
      <c r="FE38" t="e">
        <f>AND(DATA!F73,"AAAAAHf//6A=")</f>
        <v>#VALUE!</v>
      </c>
      <c r="FF38" t="e">
        <f>AND(DATA!G73,"AAAAAHf//6E=")</f>
        <v>#VALUE!</v>
      </c>
      <c r="FG38" t="e">
        <f>AND(DATA!H73,"AAAAAHf//6I=")</f>
        <v>#VALUE!</v>
      </c>
      <c r="FH38" t="e">
        <f>AND(DATA!I73,"AAAAAHf//6M=")</f>
        <v>#VALUE!</v>
      </c>
      <c r="FI38" t="e">
        <f>AND(DATA!J73,"AAAAAHf//6Q=")</f>
        <v>#VALUE!</v>
      </c>
      <c r="FJ38" t="e">
        <f>AND(DATA!K73,"AAAAAHf//6U=")</f>
        <v>#VALUE!</v>
      </c>
      <c r="FK38" t="b">
        <f>AND(DATA!L73,"AAAAAHf//6Y=")</f>
        <v>1</v>
      </c>
      <c r="FL38" t="b">
        <f>AND(DATA!M73,"AAAAAHf//6c=")</f>
        <v>1</v>
      </c>
      <c r="FM38" t="b">
        <f>AND(DATA!N73,"AAAAAHf//6g=")</f>
        <v>1</v>
      </c>
      <c r="FN38">
        <f>IF(DATA!74:74,"AAAAAHf//6k=",0)</f>
        <v>0</v>
      </c>
      <c r="FO38" t="e">
        <f>AND(DATA!A74,"AAAAAHf//6o=")</f>
        <v>#VALUE!</v>
      </c>
      <c r="FP38" t="e">
        <f>AND(DATA!B74,"AAAAAHf//6s=")</f>
        <v>#VALUE!</v>
      </c>
      <c r="FQ38" t="e">
        <f>AND(DATA!C74,"AAAAAHf//6w=")</f>
        <v>#VALUE!</v>
      </c>
      <c r="FR38" t="e">
        <f>AND(DATA!D74,"AAAAAHf//60=")</f>
        <v>#VALUE!</v>
      </c>
      <c r="FS38" t="e">
        <f>AND(DATA!E74,"AAAAAHf//64=")</f>
        <v>#VALUE!</v>
      </c>
      <c r="FT38" t="e">
        <f>AND(DATA!F74,"AAAAAHf//68=")</f>
        <v>#VALUE!</v>
      </c>
      <c r="FU38" t="e">
        <f>AND(DATA!G74,"AAAAAHf//7A=")</f>
        <v>#VALUE!</v>
      </c>
      <c r="FV38" t="e">
        <f>AND(DATA!H74,"AAAAAHf//7E=")</f>
        <v>#VALUE!</v>
      </c>
      <c r="FW38" t="e">
        <f>AND(DATA!I74,"AAAAAHf//7I=")</f>
        <v>#VALUE!</v>
      </c>
      <c r="FX38" t="e">
        <f>AND(DATA!J74,"AAAAAHf//7M=")</f>
        <v>#VALUE!</v>
      </c>
      <c r="FY38" t="e">
        <f>AND(DATA!K74,"AAAAAHf//7Q=")</f>
        <v>#VALUE!</v>
      </c>
      <c r="FZ38" t="b">
        <f>AND(DATA!L74,"AAAAAHf//7U=")</f>
        <v>1</v>
      </c>
      <c r="GA38" t="b">
        <f>AND(DATA!M74,"AAAAAHf//7Y=")</f>
        <v>1</v>
      </c>
      <c r="GB38" t="b">
        <f>AND(DATA!N74,"AAAAAHf//7c=")</f>
        <v>1</v>
      </c>
      <c r="GC38">
        <f>IF(DATA!75:75,"AAAAAHf//7g=",0)</f>
        <v>0</v>
      </c>
      <c r="GD38" t="e">
        <f>AND(DATA!A75,"AAAAAHf//7k=")</f>
        <v>#VALUE!</v>
      </c>
      <c r="GE38" t="e">
        <f>AND(DATA!B75,"AAAAAHf//7o=")</f>
        <v>#VALUE!</v>
      </c>
      <c r="GF38" t="e">
        <f>AND(DATA!C75,"AAAAAHf//7s=")</f>
        <v>#VALUE!</v>
      </c>
      <c r="GG38" t="e">
        <f>AND(DATA!D75,"AAAAAHf//7w=")</f>
        <v>#VALUE!</v>
      </c>
      <c r="GH38" t="e">
        <f>AND(DATA!E75,"AAAAAHf//70=")</f>
        <v>#VALUE!</v>
      </c>
      <c r="GI38" t="e">
        <f>AND(DATA!F75,"AAAAAHf//74=")</f>
        <v>#VALUE!</v>
      </c>
      <c r="GJ38" t="e">
        <f>AND(DATA!G75,"AAAAAHf//78=")</f>
        <v>#VALUE!</v>
      </c>
      <c r="GK38" t="e">
        <f>AND(DATA!H75,"AAAAAHf//8A=")</f>
        <v>#VALUE!</v>
      </c>
      <c r="GL38" t="e">
        <f>AND(DATA!I75,"AAAAAHf//8E=")</f>
        <v>#VALUE!</v>
      </c>
      <c r="GM38" t="e">
        <f>AND(DATA!J75,"AAAAAHf//8I=")</f>
        <v>#VALUE!</v>
      </c>
      <c r="GN38" t="e">
        <f>AND(DATA!K75,"AAAAAHf//8M=")</f>
        <v>#VALUE!</v>
      </c>
      <c r="GO38" t="b">
        <f>AND(DATA!L75,"AAAAAHf//8Q=")</f>
        <v>1</v>
      </c>
      <c r="GP38" t="b">
        <f>AND(DATA!M75,"AAAAAHf//8U=")</f>
        <v>1</v>
      </c>
      <c r="GQ38" t="b">
        <f>AND(DATA!N75,"AAAAAHf//8Y=")</f>
        <v>1</v>
      </c>
      <c r="GR38">
        <f>IF(DATA!76:76,"AAAAAHf//8c=",0)</f>
        <v>0</v>
      </c>
      <c r="GS38" t="e">
        <f>AND(DATA!A76,"AAAAAHf//8g=")</f>
        <v>#VALUE!</v>
      </c>
      <c r="GT38" t="e">
        <f>AND(DATA!B76,"AAAAAHf//8k=")</f>
        <v>#VALUE!</v>
      </c>
      <c r="GU38" t="e">
        <f>AND(DATA!C76,"AAAAAHf//8o=")</f>
        <v>#VALUE!</v>
      </c>
      <c r="GV38" t="e">
        <f>AND(DATA!D76,"AAAAAHf//8s=")</f>
        <v>#VALUE!</v>
      </c>
      <c r="GW38" t="e">
        <f>AND(DATA!E76,"AAAAAHf//8w=")</f>
        <v>#VALUE!</v>
      </c>
      <c r="GX38" t="e">
        <f>AND(DATA!F76,"AAAAAHf//80=")</f>
        <v>#VALUE!</v>
      </c>
      <c r="GY38" t="e">
        <f>AND(DATA!G76,"AAAAAHf//84=")</f>
        <v>#VALUE!</v>
      </c>
      <c r="GZ38" t="e">
        <f>AND(DATA!H76,"AAAAAHf//88=")</f>
        <v>#VALUE!</v>
      </c>
      <c r="HA38" t="e">
        <f>AND(DATA!I76,"AAAAAHf//9A=")</f>
        <v>#VALUE!</v>
      </c>
      <c r="HB38" t="e">
        <f>AND(DATA!J76,"AAAAAHf//9E=")</f>
        <v>#VALUE!</v>
      </c>
      <c r="HC38" t="e">
        <f>AND(DATA!K76,"AAAAAHf//9I=")</f>
        <v>#VALUE!</v>
      </c>
      <c r="HD38" t="b">
        <f>AND(DATA!L76,"AAAAAHf//9M=")</f>
        <v>1</v>
      </c>
      <c r="HE38" t="b">
        <f>AND(DATA!M76,"AAAAAHf//9Q=")</f>
        <v>1</v>
      </c>
      <c r="HF38" t="b">
        <f>AND(DATA!N76,"AAAAAHf//9U=")</f>
        <v>1</v>
      </c>
      <c r="HG38">
        <f>IF(DATA!77:77,"AAAAAHf//9Y=",0)</f>
        <v>0</v>
      </c>
      <c r="HH38" t="e">
        <f>AND(DATA!A77,"AAAAAHf//9c=")</f>
        <v>#VALUE!</v>
      </c>
      <c r="HI38" t="e">
        <f>AND(DATA!B77,"AAAAAHf//9g=")</f>
        <v>#VALUE!</v>
      </c>
      <c r="HJ38" t="e">
        <f>AND(DATA!C77,"AAAAAHf//9k=")</f>
        <v>#VALUE!</v>
      </c>
      <c r="HK38" t="e">
        <f>AND(DATA!D77,"AAAAAHf//9o=")</f>
        <v>#VALUE!</v>
      </c>
      <c r="HL38" t="e">
        <f>AND(DATA!E77,"AAAAAHf//9s=")</f>
        <v>#VALUE!</v>
      </c>
      <c r="HM38" t="e">
        <f>AND(DATA!F77,"AAAAAHf//9w=")</f>
        <v>#VALUE!</v>
      </c>
      <c r="HN38" t="e">
        <f>AND(DATA!G77,"AAAAAHf//90=")</f>
        <v>#VALUE!</v>
      </c>
      <c r="HO38" t="e">
        <f>AND(DATA!H77,"AAAAAHf//94=")</f>
        <v>#VALUE!</v>
      </c>
      <c r="HP38" t="e">
        <f>AND(DATA!I77,"AAAAAHf//98=")</f>
        <v>#VALUE!</v>
      </c>
      <c r="HQ38" t="e">
        <f>AND(DATA!J77,"AAAAAHf//+A=")</f>
        <v>#VALUE!</v>
      </c>
      <c r="HR38" t="e">
        <f>AND(DATA!K77,"AAAAAHf//+E=")</f>
        <v>#VALUE!</v>
      </c>
      <c r="HS38" t="b">
        <f>AND(DATA!L77,"AAAAAHf//+I=")</f>
        <v>1</v>
      </c>
      <c r="HT38" t="b">
        <f>AND(DATA!M77,"AAAAAHf//+M=")</f>
        <v>1</v>
      </c>
      <c r="HU38" t="b">
        <f>AND(DATA!N77,"AAAAAHf//+Q=")</f>
        <v>1</v>
      </c>
      <c r="HV38">
        <f>IF(DATA!78:78,"AAAAAHf//+U=",0)</f>
        <v>0</v>
      </c>
      <c r="HW38" t="e">
        <f>AND(DATA!A78,"AAAAAHf//+Y=")</f>
        <v>#VALUE!</v>
      </c>
      <c r="HX38" t="e">
        <f>AND(DATA!B78,"AAAAAHf//+c=")</f>
        <v>#VALUE!</v>
      </c>
      <c r="HY38" t="e">
        <f>AND(DATA!C78,"AAAAAHf//+g=")</f>
        <v>#VALUE!</v>
      </c>
      <c r="HZ38" t="e">
        <f>AND(DATA!D78,"AAAAAHf//+k=")</f>
        <v>#VALUE!</v>
      </c>
      <c r="IA38" t="e">
        <f>AND(DATA!E78,"AAAAAHf//+o=")</f>
        <v>#VALUE!</v>
      </c>
      <c r="IB38" t="e">
        <f>AND(DATA!F78,"AAAAAHf//+s=")</f>
        <v>#VALUE!</v>
      </c>
      <c r="IC38" t="e">
        <f>AND(DATA!G78,"AAAAAHf//+w=")</f>
        <v>#VALUE!</v>
      </c>
      <c r="ID38" t="e">
        <f>AND(DATA!H78,"AAAAAHf//+0=")</f>
        <v>#VALUE!</v>
      </c>
      <c r="IE38" t="e">
        <f>AND(DATA!I78,"AAAAAHf//+4=")</f>
        <v>#VALUE!</v>
      </c>
      <c r="IF38" t="e">
        <f>AND(DATA!J78,"AAAAAHf//+8=")</f>
        <v>#VALUE!</v>
      </c>
      <c r="IG38" t="e">
        <f>AND(DATA!K78,"AAAAAHf///A=")</f>
        <v>#VALUE!</v>
      </c>
      <c r="IH38" t="b">
        <f>AND(DATA!L78,"AAAAAHf///E=")</f>
        <v>1</v>
      </c>
      <c r="II38" t="b">
        <f>AND(DATA!M78,"AAAAAHf///I=")</f>
        <v>1</v>
      </c>
      <c r="IJ38" t="b">
        <f>AND(DATA!N78,"AAAAAHf///M=")</f>
        <v>1</v>
      </c>
      <c r="IK38">
        <f>IF(DATA!79:79,"AAAAAHf///Q=",0)</f>
        <v>0</v>
      </c>
      <c r="IL38" t="e">
        <f>AND(DATA!A79,"AAAAAHf///U=")</f>
        <v>#VALUE!</v>
      </c>
      <c r="IM38" t="e">
        <f>AND(DATA!B79,"AAAAAHf///Y=")</f>
        <v>#VALUE!</v>
      </c>
      <c r="IN38" t="e">
        <f>AND(DATA!C79,"AAAAAHf///c=")</f>
        <v>#VALUE!</v>
      </c>
      <c r="IO38" t="e">
        <f>AND(DATA!D79,"AAAAAHf///g=")</f>
        <v>#VALUE!</v>
      </c>
      <c r="IP38" t="e">
        <f>AND(DATA!E79,"AAAAAHf///k=")</f>
        <v>#VALUE!</v>
      </c>
      <c r="IQ38" t="e">
        <f>AND(DATA!F79,"AAAAAHf///o=")</f>
        <v>#VALUE!</v>
      </c>
      <c r="IR38" t="e">
        <f>AND(DATA!G79,"AAAAAHf///s=")</f>
        <v>#VALUE!</v>
      </c>
      <c r="IS38" t="e">
        <f>AND(DATA!H79,"AAAAAHf///w=")</f>
        <v>#VALUE!</v>
      </c>
      <c r="IT38" t="e">
        <f>AND(DATA!I79,"AAAAAHf///0=")</f>
        <v>#VALUE!</v>
      </c>
      <c r="IU38" t="e">
        <f>AND(DATA!J79,"AAAAAHf///4=")</f>
        <v>#VALUE!</v>
      </c>
      <c r="IV38" t="e">
        <f>AND(DATA!K79,"AAAAAHf///8=")</f>
        <v>#VALUE!</v>
      </c>
    </row>
    <row r="39" spans="1:256">
      <c r="A39" t="b">
        <f>AND(DATA!L79,"AAAAAE8r8wA=")</f>
        <v>1</v>
      </c>
      <c r="B39" t="b">
        <f>AND(DATA!M79,"AAAAAE8r8wE=")</f>
        <v>1</v>
      </c>
      <c r="C39" t="b">
        <f>AND(DATA!N79,"AAAAAE8r8wI=")</f>
        <v>1</v>
      </c>
      <c r="D39">
        <f>IF(DATA!80:80,"AAAAAE8r8wM=",0)</f>
        <v>0</v>
      </c>
      <c r="E39" t="e">
        <f>AND(DATA!A80,"AAAAAE8r8wQ=")</f>
        <v>#VALUE!</v>
      </c>
      <c r="F39" t="e">
        <f>AND(DATA!B80,"AAAAAE8r8wU=")</f>
        <v>#VALUE!</v>
      </c>
      <c r="G39" t="e">
        <f>AND(DATA!C80,"AAAAAE8r8wY=")</f>
        <v>#VALUE!</v>
      </c>
      <c r="H39" t="e">
        <f>AND(DATA!D80,"AAAAAE8r8wc=")</f>
        <v>#VALUE!</v>
      </c>
      <c r="I39" t="e">
        <f>AND(DATA!E80,"AAAAAE8r8wg=")</f>
        <v>#VALUE!</v>
      </c>
      <c r="J39" t="e">
        <f>AND(DATA!F80,"AAAAAE8r8wk=")</f>
        <v>#VALUE!</v>
      </c>
      <c r="K39" t="e">
        <f>AND(DATA!G80,"AAAAAE8r8wo=")</f>
        <v>#VALUE!</v>
      </c>
      <c r="L39" t="e">
        <f>AND(DATA!H80,"AAAAAE8r8ws=")</f>
        <v>#VALUE!</v>
      </c>
      <c r="M39" t="e">
        <f>AND(DATA!I80,"AAAAAE8r8ww=")</f>
        <v>#VALUE!</v>
      </c>
      <c r="N39" t="e">
        <f>AND(DATA!J80,"AAAAAE8r8w0=")</f>
        <v>#VALUE!</v>
      </c>
      <c r="O39" t="e">
        <f>AND(DATA!K80,"AAAAAE8r8w4=")</f>
        <v>#VALUE!</v>
      </c>
      <c r="P39" t="b">
        <f>AND(DATA!L80,"AAAAAE8r8w8=")</f>
        <v>1</v>
      </c>
      <c r="Q39" t="b">
        <f>AND(DATA!M80,"AAAAAE8r8xA=")</f>
        <v>1</v>
      </c>
      <c r="R39" t="b">
        <f>AND(DATA!N80,"AAAAAE8r8xE=")</f>
        <v>1</v>
      </c>
      <c r="S39">
        <f>IF(DATA!81:81,"AAAAAE8r8xI=",0)</f>
        <v>0</v>
      </c>
      <c r="T39" t="e">
        <f>AND(DATA!A81,"AAAAAE8r8xM=")</f>
        <v>#VALUE!</v>
      </c>
      <c r="U39" t="e">
        <f>AND(DATA!B81,"AAAAAE8r8xQ=")</f>
        <v>#VALUE!</v>
      </c>
      <c r="V39" t="e">
        <f>AND(DATA!C81,"AAAAAE8r8xU=")</f>
        <v>#VALUE!</v>
      </c>
      <c r="W39" t="e">
        <f>AND(DATA!D81,"AAAAAE8r8xY=")</f>
        <v>#VALUE!</v>
      </c>
      <c r="X39" t="e">
        <f>AND(DATA!E81,"AAAAAE8r8xc=")</f>
        <v>#VALUE!</v>
      </c>
      <c r="Y39" t="e">
        <f>AND(DATA!F81,"AAAAAE8r8xg=")</f>
        <v>#VALUE!</v>
      </c>
      <c r="Z39" t="e">
        <f>AND(DATA!G81,"AAAAAE8r8xk=")</f>
        <v>#VALUE!</v>
      </c>
      <c r="AA39" t="e">
        <f>AND(DATA!H81,"AAAAAE8r8xo=")</f>
        <v>#VALUE!</v>
      </c>
      <c r="AB39" t="e">
        <f>AND(DATA!I81,"AAAAAE8r8xs=")</f>
        <v>#VALUE!</v>
      </c>
      <c r="AC39" t="e">
        <f>AND(DATA!J81,"AAAAAE8r8xw=")</f>
        <v>#VALUE!</v>
      </c>
      <c r="AD39" t="e">
        <f>AND(DATA!K81,"AAAAAE8r8x0=")</f>
        <v>#VALUE!</v>
      </c>
      <c r="AE39" t="b">
        <f>AND(DATA!L81,"AAAAAE8r8x4=")</f>
        <v>1</v>
      </c>
      <c r="AF39" t="b">
        <f>AND(DATA!M81,"AAAAAE8r8x8=")</f>
        <v>1</v>
      </c>
      <c r="AG39" t="b">
        <f>AND(DATA!N81,"AAAAAE8r8yA=")</f>
        <v>1</v>
      </c>
      <c r="AH39">
        <f>IF(DATA!82:82,"AAAAAE8r8yE=",0)</f>
        <v>0</v>
      </c>
      <c r="AI39" t="e">
        <f>AND(DATA!A82,"AAAAAE8r8yI=")</f>
        <v>#VALUE!</v>
      </c>
      <c r="AJ39" t="e">
        <f>AND(DATA!B82,"AAAAAE8r8yM=")</f>
        <v>#VALUE!</v>
      </c>
      <c r="AK39" t="e">
        <f>AND(DATA!C82,"AAAAAE8r8yQ=")</f>
        <v>#VALUE!</v>
      </c>
      <c r="AL39" t="e">
        <f>AND(DATA!D82,"AAAAAE8r8yU=")</f>
        <v>#VALUE!</v>
      </c>
      <c r="AM39" t="e">
        <f>AND(DATA!E82,"AAAAAE8r8yY=")</f>
        <v>#VALUE!</v>
      </c>
      <c r="AN39" t="e">
        <f>AND(DATA!F82,"AAAAAE8r8yc=")</f>
        <v>#VALUE!</v>
      </c>
      <c r="AO39" t="e">
        <f>AND(DATA!G82,"AAAAAE8r8yg=")</f>
        <v>#VALUE!</v>
      </c>
      <c r="AP39" t="e">
        <f>AND(DATA!H82,"AAAAAE8r8yk=")</f>
        <v>#VALUE!</v>
      </c>
      <c r="AQ39" t="e">
        <f>AND(DATA!I82,"AAAAAE8r8yo=")</f>
        <v>#VALUE!</v>
      </c>
      <c r="AR39" t="e">
        <f>AND(DATA!J82,"AAAAAE8r8ys=")</f>
        <v>#VALUE!</v>
      </c>
      <c r="AS39" t="e">
        <f>AND(DATA!K82,"AAAAAE8r8yw=")</f>
        <v>#VALUE!</v>
      </c>
      <c r="AT39" t="b">
        <f>AND(DATA!L82,"AAAAAE8r8y0=")</f>
        <v>1</v>
      </c>
      <c r="AU39" t="b">
        <f>AND(DATA!M82,"AAAAAE8r8y4=")</f>
        <v>1</v>
      </c>
      <c r="AV39" t="b">
        <f>AND(DATA!N82,"AAAAAE8r8y8=")</f>
        <v>1</v>
      </c>
      <c r="AW39">
        <f>IF(DATA!83:83,"AAAAAE8r8zA=",0)</f>
        <v>0</v>
      </c>
      <c r="AX39" t="e">
        <f>AND(DATA!A83,"AAAAAE8r8zE=")</f>
        <v>#VALUE!</v>
      </c>
      <c r="AY39" t="e">
        <f>AND(DATA!B83,"AAAAAE8r8zI=")</f>
        <v>#VALUE!</v>
      </c>
      <c r="AZ39" t="e">
        <f>AND(DATA!C83,"AAAAAE8r8zM=")</f>
        <v>#VALUE!</v>
      </c>
      <c r="BA39" t="e">
        <f>AND(DATA!D83,"AAAAAE8r8zQ=")</f>
        <v>#VALUE!</v>
      </c>
      <c r="BB39" t="e">
        <f>AND(DATA!E83,"AAAAAE8r8zU=")</f>
        <v>#VALUE!</v>
      </c>
      <c r="BC39" t="e">
        <f>AND(DATA!F83,"AAAAAE8r8zY=")</f>
        <v>#VALUE!</v>
      </c>
      <c r="BD39" t="e">
        <f>AND(DATA!G83,"AAAAAE8r8zc=")</f>
        <v>#VALUE!</v>
      </c>
      <c r="BE39" t="e">
        <f>AND(DATA!H83,"AAAAAE8r8zg=")</f>
        <v>#VALUE!</v>
      </c>
      <c r="BF39" t="e">
        <f>AND(DATA!I83,"AAAAAE8r8zk=")</f>
        <v>#VALUE!</v>
      </c>
      <c r="BG39" t="e">
        <f>AND(DATA!J83,"AAAAAE8r8zo=")</f>
        <v>#VALUE!</v>
      </c>
      <c r="BH39" t="e">
        <f>AND(DATA!K83,"AAAAAE8r8zs=")</f>
        <v>#VALUE!</v>
      </c>
      <c r="BI39" t="b">
        <f>AND(DATA!L83,"AAAAAE8r8zw=")</f>
        <v>1</v>
      </c>
      <c r="BJ39" t="b">
        <f>AND(DATA!M83,"AAAAAE8r8z0=")</f>
        <v>1</v>
      </c>
      <c r="BK39" t="b">
        <f>AND(DATA!N83,"AAAAAE8r8z4=")</f>
        <v>1</v>
      </c>
      <c r="BL39">
        <f>IF(DATA!84:84,"AAAAAE8r8z8=",0)</f>
        <v>0</v>
      </c>
      <c r="BM39" t="e">
        <f>AND(DATA!A84,"AAAAAE8r80A=")</f>
        <v>#VALUE!</v>
      </c>
      <c r="BN39" t="e">
        <f>AND(DATA!B84,"AAAAAE8r80E=")</f>
        <v>#VALUE!</v>
      </c>
      <c r="BO39" t="e">
        <f>AND(DATA!C84,"AAAAAE8r80I=")</f>
        <v>#VALUE!</v>
      </c>
      <c r="BP39" t="e">
        <f>AND(DATA!D84,"AAAAAE8r80M=")</f>
        <v>#VALUE!</v>
      </c>
      <c r="BQ39" t="e">
        <f>AND(DATA!E84,"AAAAAE8r80Q=")</f>
        <v>#VALUE!</v>
      </c>
      <c r="BR39" t="e">
        <f>AND(DATA!F84,"AAAAAE8r80U=")</f>
        <v>#VALUE!</v>
      </c>
      <c r="BS39" t="e">
        <f>AND(DATA!G84,"AAAAAE8r80Y=")</f>
        <v>#VALUE!</v>
      </c>
      <c r="BT39" t="e">
        <f>AND(DATA!H84,"AAAAAE8r80c=")</f>
        <v>#VALUE!</v>
      </c>
      <c r="BU39" t="e">
        <f>AND(DATA!I84,"AAAAAE8r80g=")</f>
        <v>#VALUE!</v>
      </c>
      <c r="BV39" t="e">
        <f>AND(DATA!J84,"AAAAAE8r80k=")</f>
        <v>#VALUE!</v>
      </c>
      <c r="BW39" t="e">
        <f>AND(DATA!K84,"AAAAAE8r80o=")</f>
        <v>#VALUE!</v>
      </c>
      <c r="BX39" t="b">
        <f>AND(DATA!L84,"AAAAAE8r80s=")</f>
        <v>1</v>
      </c>
      <c r="BY39" t="b">
        <f>AND(DATA!M84,"AAAAAE8r80w=")</f>
        <v>1</v>
      </c>
      <c r="BZ39" t="b">
        <f>AND(DATA!N84,"AAAAAE8r800=")</f>
        <v>1</v>
      </c>
      <c r="CA39">
        <f>IF(DATA!85:85,"AAAAAE8r804=",0)</f>
        <v>0</v>
      </c>
      <c r="CB39" t="e">
        <f>AND(DATA!A85,"AAAAAE8r808=")</f>
        <v>#VALUE!</v>
      </c>
      <c r="CC39" t="e">
        <f>AND(DATA!B85,"AAAAAE8r81A=")</f>
        <v>#VALUE!</v>
      </c>
      <c r="CD39" t="e">
        <f>AND(DATA!C85,"AAAAAE8r81E=")</f>
        <v>#VALUE!</v>
      </c>
      <c r="CE39" t="e">
        <f>AND(DATA!D85,"AAAAAE8r81I=")</f>
        <v>#VALUE!</v>
      </c>
      <c r="CF39" t="e">
        <f>AND(DATA!E85,"AAAAAE8r81M=")</f>
        <v>#VALUE!</v>
      </c>
      <c r="CG39" t="e">
        <f>AND(DATA!F85,"AAAAAE8r81Q=")</f>
        <v>#VALUE!</v>
      </c>
      <c r="CH39" t="e">
        <f>AND(DATA!G85,"AAAAAE8r81U=")</f>
        <v>#VALUE!</v>
      </c>
      <c r="CI39" t="e">
        <f>AND(DATA!H85,"AAAAAE8r81Y=")</f>
        <v>#VALUE!</v>
      </c>
      <c r="CJ39" t="e">
        <f>AND(DATA!I85,"AAAAAE8r81c=")</f>
        <v>#VALUE!</v>
      </c>
      <c r="CK39" t="e">
        <f>AND(DATA!J85,"AAAAAE8r81g=")</f>
        <v>#VALUE!</v>
      </c>
      <c r="CL39" t="e">
        <f>AND(DATA!K85,"AAAAAE8r81k=")</f>
        <v>#VALUE!</v>
      </c>
      <c r="CM39" t="b">
        <f>AND(DATA!L85,"AAAAAE8r81o=")</f>
        <v>1</v>
      </c>
      <c r="CN39" t="b">
        <f>AND(DATA!M85,"AAAAAE8r81s=")</f>
        <v>1</v>
      </c>
      <c r="CO39" t="b">
        <f>AND(DATA!N85,"AAAAAE8r81w=")</f>
        <v>1</v>
      </c>
      <c r="CP39">
        <f>IF(DATA!86:86,"AAAAAE8r810=",0)</f>
        <v>0</v>
      </c>
      <c r="CQ39" t="e">
        <f>AND(DATA!A86,"AAAAAE8r814=")</f>
        <v>#VALUE!</v>
      </c>
      <c r="CR39" t="e">
        <f>AND(DATA!B86,"AAAAAE8r818=")</f>
        <v>#VALUE!</v>
      </c>
      <c r="CS39" t="e">
        <f>AND(DATA!C86,"AAAAAE8r82A=")</f>
        <v>#VALUE!</v>
      </c>
      <c r="CT39" t="e">
        <f>AND(DATA!D86,"AAAAAE8r82E=")</f>
        <v>#VALUE!</v>
      </c>
      <c r="CU39" t="e">
        <f>AND(DATA!E86,"AAAAAE8r82I=")</f>
        <v>#VALUE!</v>
      </c>
      <c r="CV39" t="e">
        <f>AND(DATA!F86,"AAAAAE8r82M=")</f>
        <v>#VALUE!</v>
      </c>
      <c r="CW39" t="e">
        <f>AND(DATA!G86,"AAAAAE8r82Q=")</f>
        <v>#VALUE!</v>
      </c>
      <c r="CX39" t="e">
        <f>AND(DATA!H86,"AAAAAE8r82U=")</f>
        <v>#VALUE!</v>
      </c>
      <c r="CY39" t="e">
        <f>AND(DATA!I86,"AAAAAE8r82Y=")</f>
        <v>#VALUE!</v>
      </c>
      <c r="CZ39" t="e">
        <f>AND(DATA!J86,"AAAAAE8r82c=")</f>
        <v>#VALUE!</v>
      </c>
      <c r="DA39" t="e">
        <f>AND(DATA!K86,"AAAAAE8r82g=")</f>
        <v>#VALUE!</v>
      </c>
      <c r="DB39" t="b">
        <f>AND(DATA!L86,"AAAAAE8r82k=")</f>
        <v>1</v>
      </c>
      <c r="DC39" t="b">
        <f>AND(DATA!M86,"AAAAAE8r82o=")</f>
        <v>1</v>
      </c>
      <c r="DD39" t="b">
        <f>AND(DATA!N86,"AAAAAE8r82s=")</f>
        <v>1</v>
      </c>
      <c r="DE39">
        <f>IF(DATA!87:87,"AAAAAE8r82w=",0)</f>
        <v>0</v>
      </c>
      <c r="DF39" t="e">
        <f>AND(DATA!A87,"AAAAAE8r820=")</f>
        <v>#VALUE!</v>
      </c>
      <c r="DG39" t="e">
        <f>AND(DATA!B87,"AAAAAE8r824=")</f>
        <v>#VALUE!</v>
      </c>
      <c r="DH39" t="e">
        <f>AND(DATA!C87,"AAAAAE8r828=")</f>
        <v>#VALUE!</v>
      </c>
      <c r="DI39" t="e">
        <f>AND(DATA!D87,"AAAAAE8r83A=")</f>
        <v>#VALUE!</v>
      </c>
      <c r="DJ39" t="e">
        <f>AND(DATA!E87,"AAAAAE8r83E=")</f>
        <v>#VALUE!</v>
      </c>
      <c r="DK39" t="e">
        <f>AND(DATA!F87,"AAAAAE8r83I=")</f>
        <v>#VALUE!</v>
      </c>
      <c r="DL39" t="e">
        <f>AND(DATA!G87,"AAAAAE8r83M=")</f>
        <v>#VALUE!</v>
      </c>
      <c r="DM39" t="e">
        <f>AND(DATA!H87,"AAAAAE8r83Q=")</f>
        <v>#VALUE!</v>
      </c>
      <c r="DN39" t="e">
        <f>AND(DATA!I87,"AAAAAE8r83U=")</f>
        <v>#VALUE!</v>
      </c>
      <c r="DO39" t="e">
        <f>AND(DATA!J87,"AAAAAE8r83Y=")</f>
        <v>#VALUE!</v>
      </c>
      <c r="DP39" t="e">
        <f>AND(DATA!K87,"AAAAAE8r83c=")</f>
        <v>#VALUE!</v>
      </c>
      <c r="DQ39" t="b">
        <f>AND(DATA!L87,"AAAAAE8r83g=")</f>
        <v>1</v>
      </c>
      <c r="DR39" t="b">
        <f>AND(DATA!M87,"AAAAAE8r83k=")</f>
        <v>1</v>
      </c>
      <c r="DS39" t="b">
        <f>AND(DATA!N87,"AAAAAE8r83o=")</f>
        <v>1</v>
      </c>
      <c r="DT39">
        <f>IF(DATA!88:88,"AAAAAE8r83s=",0)</f>
        <v>0</v>
      </c>
      <c r="DU39" t="e">
        <f>AND(DATA!A88,"AAAAAE8r83w=")</f>
        <v>#VALUE!</v>
      </c>
      <c r="DV39" t="e">
        <f>AND(DATA!B88,"AAAAAE8r830=")</f>
        <v>#VALUE!</v>
      </c>
      <c r="DW39" t="e">
        <f>AND(DATA!C88,"AAAAAE8r834=")</f>
        <v>#VALUE!</v>
      </c>
      <c r="DX39" t="e">
        <f>AND(DATA!D88,"AAAAAE8r838=")</f>
        <v>#VALUE!</v>
      </c>
      <c r="DY39" t="e">
        <f>AND(DATA!E88,"AAAAAE8r84A=")</f>
        <v>#VALUE!</v>
      </c>
      <c r="DZ39" t="e">
        <f>AND(DATA!F88,"AAAAAE8r84E=")</f>
        <v>#VALUE!</v>
      </c>
      <c r="EA39" t="e">
        <f>AND(DATA!G88,"AAAAAE8r84I=")</f>
        <v>#VALUE!</v>
      </c>
      <c r="EB39" t="e">
        <f>AND(DATA!H88,"AAAAAE8r84M=")</f>
        <v>#VALUE!</v>
      </c>
      <c r="EC39" t="e">
        <f>AND(DATA!I88,"AAAAAE8r84Q=")</f>
        <v>#VALUE!</v>
      </c>
      <c r="ED39" t="e">
        <f>AND(DATA!J88,"AAAAAE8r84U=")</f>
        <v>#VALUE!</v>
      </c>
      <c r="EE39" t="e">
        <f>AND(DATA!K88,"AAAAAE8r84Y=")</f>
        <v>#VALUE!</v>
      </c>
      <c r="EF39" t="b">
        <f>AND(DATA!L88,"AAAAAE8r84c=")</f>
        <v>1</v>
      </c>
      <c r="EG39" t="b">
        <f>AND(DATA!M88,"AAAAAE8r84g=")</f>
        <v>1</v>
      </c>
      <c r="EH39" t="b">
        <f>AND(DATA!N88,"AAAAAE8r84k=")</f>
        <v>1</v>
      </c>
      <c r="EI39">
        <f>IF(DATA!89:89,"AAAAAE8r84o=",0)</f>
        <v>0</v>
      </c>
      <c r="EJ39" t="e">
        <f>AND(DATA!A89,"AAAAAE8r84s=")</f>
        <v>#VALUE!</v>
      </c>
      <c r="EK39" t="e">
        <f>AND(DATA!B89,"AAAAAE8r84w=")</f>
        <v>#VALUE!</v>
      </c>
      <c r="EL39" t="e">
        <f>AND(DATA!C89,"AAAAAE8r840=")</f>
        <v>#VALUE!</v>
      </c>
      <c r="EM39" t="e">
        <f>AND(DATA!D89,"AAAAAE8r844=")</f>
        <v>#VALUE!</v>
      </c>
      <c r="EN39" t="e">
        <f>AND(DATA!E89,"AAAAAE8r848=")</f>
        <v>#VALUE!</v>
      </c>
      <c r="EO39" t="e">
        <f>AND(DATA!F89,"AAAAAE8r85A=")</f>
        <v>#VALUE!</v>
      </c>
      <c r="EP39" t="e">
        <f>AND(DATA!G89,"AAAAAE8r85E=")</f>
        <v>#VALUE!</v>
      </c>
      <c r="EQ39" t="e">
        <f>AND(DATA!H89,"AAAAAE8r85I=")</f>
        <v>#VALUE!</v>
      </c>
      <c r="ER39" t="e">
        <f>AND(DATA!I89,"AAAAAE8r85M=")</f>
        <v>#VALUE!</v>
      </c>
      <c r="ES39" t="e">
        <f>AND(DATA!J89,"AAAAAE8r85Q=")</f>
        <v>#VALUE!</v>
      </c>
      <c r="ET39" t="e">
        <f>AND(DATA!K89,"AAAAAE8r85U=")</f>
        <v>#VALUE!</v>
      </c>
      <c r="EU39" t="b">
        <f>AND(DATA!L89,"AAAAAE8r85Y=")</f>
        <v>1</v>
      </c>
      <c r="EV39" t="b">
        <f>AND(DATA!M89,"AAAAAE8r85c=")</f>
        <v>1</v>
      </c>
      <c r="EW39" t="b">
        <f>AND(DATA!N89,"AAAAAE8r85g=")</f>
        <v>1</v>
      </c>
      <c r="EX39">
        <f>IF(DATA!90:90,"AAAAAE8r85k=",0)</f>
        <v>0</v>
      </c>
      <c r="EY39" t="e">
        <f>AND(DATA!A90,"AAAAAE8r85o=")</f>
        <v>#VALUE!</v>
      </c>
      <c r="EZ39" t="e">
        <f>AND(DATA!B90,"AAAAAE8r85s=")</f>
        <v>#VALUE!</v>
      </c>
      <c r="FA39" t="e">
        <f>AND(DATA!C90,"AAAAAE8r85w=")</f>
        <v>#VALUE!</v>
      </c>
      <c r="FB39" t="e">
        <f>AND(DATA!D90,"AAAAAE8r850=")</f>
        <v>#VALUE!</v>
      </c>
      <c r="FC39" t="e">
        <f>AND(DATA!E90,"AAAAAE8r854=")</f>
        <v>#VALUE!</v>
      </c>
      <c r="FD39" t="e">
        <f>AND(DATA!F90,"AAAAAE8r858=")</f>
        <v>#VALUE!</v>
      </c>
      <c r="FE39" t="e">
        <f>AND(DATA!G90,"AAAAAE8r86A=")</f>
        <v>#VALUE!</v>
      </c>
      <c r="FF39" t="e">
        <f>AND(DATA!H90,"AAAAAE8r86E=")</f>
        <v>#VALUE!</v>
      </c>
      <c r="FG39" t="e">
        <f>AND(DATA!I90,"AAAAAE8r86I=")</f>
        <v>#VALUE!</v>
      </c>
      <c r="FH39" t="e">
        <f>AND(DATA!J90,"AAAAAE8r86M=")</f>
        <v>#VALUE!</v>
      </c>
      <c r="FI39" t="e">
        <f>AND(DATA!K90,"AAAAAE8r86Q=")</f>
        <v>#VALUE!</v>
      </c>
      <c r="FJ39" t="b">
        <f>AND(DATA!L90,"AAAAAE8r86U=")</f>
        <v>1</v>
      </c>
      <c r="FK39" t="b">
        <f>AND(DATA!M90,"AAAAAE8r86Y=")</f>
        <v>1</v>
      </c>
      <c r="FL39" t="b">
        <f>AND(DATA!N90,"AAAAAE8r86c=")</f>
        <v>1</v>
      </c>
      <c r="FM39">
        <f>IF(DATA!91:91,"AAAAAE8r86g=",0)</f>
        <v>0</v>
      </c>
      <c r="FN39" t="e">
        <f>AND(DATA!A91,"AAAAAE8r86k=")</f>
        <v>#VALUE!</v>
      </c>
      <c r="FO39" t="e">
        <f>AND(DATA!B91,"AAAAAE8r86o=")</f>
        <v>#VALUE!</v>
      </c>
      <c r="FP39" t="e">
        <f>AND(DATA!C91,"AAAAAE8r86s=")</f>
        <v>#VALUE!</v>
      </c>
      <c r="FQ39" t="e">
        <f>AND(DATA!D91,"AAAAAE8r86w=")</f>
        <v>#VALUE!</v>
      </c>
      <c r="FR39" t="e">
        <f>AND(DATA!E91,"AAAAAE8r860=")</f>
        <v>#VALUE!</v>
      </c>
      <c r="FS39" t="e">
        <f>AND(DATA!F91,"AAAAAE8r864=")</f>
        <v>#VALUE!</v>
      </c>
      <c r="FT39" t="e">
        <f>AND(DATA!G91,"AAAAAE8r868=")</f>
        <v>#VALUE!</v>
      </c>
      <c r="FU39" t="e">
        <f>AND(DATA!H91,"AAAAAE8r87A=")</f>
        <v>#VALUE!</v>
      </c>
      <c r="FV39" t="e">
        <f>AND(DATA!I91,"AAAAAE8r87E=")</f>
        <v>#VALUE!</v>
      </c>
      <c r="FW39" t="e">
        <f>AND(DATA!J91,"AAAAAE8r87I=")</f>
        <v>#VALUE!</v>
      </c>
      <c r="FX39" t="e">
        <f>AND(DATA!K91,"AAAAAE8r87M=")</f>
        <v>#VALUE!</v>
      </c>
      <c r="FY39" t="b">
        <f>AND(DATA!L91,"AAAAAE8r87Q=")</f>
        <v>1</v>
      </c>
      <c r="FZ39" t="b">
        <f>AND(DATA!M91,"AAAAAE8r87U=")</f>
        <v>1</v>
      </c>
      <c r="GA39" t="b">
        <f>AND(DATA!N91,"AAAAAE8r87Y=")</f>
        <v>1</v>
      </c>
      <c r="GB39">
        <f>IF(DATA!92:92,"AAAAAE8r87c=",0)</f>
        <v>0</v>
      </c>
      <c r="GC39" t="e">
        <f>AND(DATA!A92,"AAAAAE8r87g=")</f>
        <v>#VALUE!</v>
      </c>
      <c r="GD39" t="e">
        <f>AND(DATA!B92,"AAAAAE8r87k=")</f>
        <v>#VALUE!</v>
      </c>
      <c r="GE39" t="e">
        <f>AND(DATA!C92,"AAAAAE8r87o=")</f>
        <v>#VALUE!</v>
      </c>
      <c r="GF39" t="e">
        <f>AND(DATA!D92,"AAAAAE8r87s=")</f>
        <v>#VALUE!</v>
      </c>
      <c r="GG39" t="e">
        <f>AND(DATA!E92,"AAAAAE8r87w=")</f>
        <v>#VALUE!</v>
      </c>
      <c r="GH39" t="e">
        <f>AND(DATA!F92,"AAAAAE8r870=")</f>
        <v>#VALUE!</v>
      </c>
      <c r="GI39" t="e">
        <f>AND(DATA!G92,"AAAAAE8r874=")</f>
        <v>#VALUE!</v>
      </c>
      <c r="GJ39" t="e">
        <f>AND(DATA!H92,"AAAAAE8r878=")</f>
        <v>#VALUE!</v>
      </c>
      <c r="GK39" t="e">
        <f>AND(DATA!I92,"AAAAAE8r88A=")</f>
        <v>#VALUE!</v>
      </c>
      <c r="GL39" t="e">
        <f>AND(DATA!J92,"AAAAAE8r88E=")</f>
        <v>#VALUE!</v>
      </c>
      <c r="GM39" t="e">
        <f>AND(DATA!K92,"AAAAAE8r88I=")</f>
        <v>#VALUE!</v>
      </c>
      <c r="GN39" t="b">
        <f>AND(DATA!L92,"AAAAAE8r88M=")</f>
        <v>1</v>
      </c>
      <c r="GO39" t="b">
        <f>AND(DATA!M92,"AAAAAE8r88Q=")</f>
        <v>1</v>
      </c>
      <c r="GP39" t="b">
        <f>AND(DATA!N92,"AAAAAE8r88U=")</f>
        <v>1</v>
      </c>
      <c r="GQ39">
        <f>IF(DATA!93:93,"AAAAAE8r88Y=",0)</f>
        <v>0</v>
      </c>
      <c r="GR39" t="e">
        <f>AND(DATA!A93,"AAAAAE8r88c=")</f>
        <v>#VALUE!</v>
      </c>
      <c r="GS39" t="e">
        <f>AND(DATA!B93,"AAAAAE8r88g=")</f>
        <v>#VALUE!</v>
      </c>
      <c r="GT39" t="e">
        <f>AND(DATA!C93,"AAAAAE8r88k=")</f>
        <v>#VALUE!</v>
      </c>
      <c r="GU39" t="e">
        <f>AND(DATA!D93,"AAAAAE8r88o=")</f>
        <v>#VALUE!</v>
      </c>
      <c r="GV39" t="e">
        <f>AND(DATA!E93,"AAAAAE8r88s=")</f>
        <v>#VALUE!</v>
      </c>
      <c r="GW39" t="e">
        <f>AND(DATA!F93,"AAAAAE8r88w=")</f>
        <v>#VALUE!</v>
      </c>
      <c r="GX39" t="e">
        <f>AND(DATA!G93,"AAAAAE8r880=")</f>
        <v>#VALUE!</v>
      </c>
      <c r="GY39" t="e">
        <f>AND(DATA!H93,"AAAAAE8r884=")</f>
        <v>#VALUE!</v>
      </c>
      <c r="GZ39" t="e">
        <f>AND(DATA!I93,"AAAAAE8r888=")</f>
        <v>#VALUE!</v>
      </c>
      <c r="HA39" t="e">
        <f>AND(DATA!J93,"AAAAAE8r89A=")</f>
        <v>#VALUE!</v>
      </c>
      <c r="HB39" t="e">
        <f>AND(DATA!K93,"AAAAAE8r89E=")</f>
        <v>#VALUE!</v>
      </c>
      <c r="HC39" t="b">
        <f>AND(DATA!L93,"AAAAAE8r89I=")</f>
        <v>1</v>
      </c>
      <c r="HD39" t="b">
        <f>AND(DATA!M93,"AAAAAE8r89M=")</f>
        <v>1</v>
      </c>
      <c r="HE39" t="b">
        <f>AND(DATA!N93,"AAAAAE8r89Q=")</f>
        <v>1</v>
      </c>
      <c r="HF39">
        <f>IF(DATA!94:94,"AAAAAE8r89U=",0)</f>
        <v>0</v>
      </c>
      <c r="HG39" t="e">
        <f>AND(DATA!A94,"AAAAAE8r89Y=")</f>
        <v>#VALUE!</v>
      </c>
      <c r="HH39" t="e">
        <f>AND(DATA!B94,"AAAAAE8r89c=")</f>
        <v>#VALUE!</v>
      </c>
      <c r="HI39" t="e">
        <f>AND(DATA!C94,"AAAAAE8r89g=")</f>
        <v>#VALUE!</v>
      </c>
      <c r="HJ39" t="e">
        <f>AND(DATA!D94,"AAAAAE8r89k=")</f>
        <v>#VALUE!</v>
      </c>
      <c r="HK39" t="e">
        <f>AND(DATA!E94,"AAAAAE8r89o=")</f>
        <v>#VALUE!</v>
      </c>
      <c r="HL39" t="e">
        <f>AND(DATA!F94,"AAAAAE8r89s=")</f>
        <v>#VALUE!</v>
      </c>
      <c r="HM39" t="e">
        <f>AND(DATA!G94,"AAAAAE8r89w=")</f>
        <v>#VALUE!</v>
      </c>
      <c r="HN39" t="e">
        <f>AND(DATA!H94,"AAAAAE8r890=")</f>
        <v>#VALUE!</v>
      </c>
      <c r="HO39" t="e">
        <f>AND(DATA!I94,"AAAAAE8r894=")</f>
        <v>#VALUE!</v>
      </c>
      <c r="HP39" t="e">
        <f>AND(DATA!J94,"AAAAAE8r898=")</f>
        <v>#VALUE!</v>
      </c>
      <c r="HQ39" t="e">
        <f>AND(DATA!K94,"AAAAAE8r8+A=")</f>
        <v>#VALUE!</v>
      </c>
      <c r="HR39" t="b">
        <f>AND(DATA!L94,"AAAAAE8r8+E=")</f>
        <v>1</v>
      </c>
      <c r="HS39" t="b">
        <f>AND(DATA!M94,"AAAAAE8r8+I=")</f>
        <v>1</v>
      </c>
      <c r="HT39" t="b">
        <f>AND(DATA!N94,"AAAAAE8r8+M=")</f>
        <v>1</v>
      </c>
      <c r="HU39">
        <f>IF(DATA!95:95,"AAAAAE8r8+Q=",0)</f>
        <v>0</v>
      </c>
      <c r="HV39" t="e">
        <f>AND(DATA!A95,"AAAAAE8r8+U=")</f>
        <v>#VALUE!</v>
      </c>
      <c r="HW39" t="e">
        <f>AND(DATA!B95,"AAAAAE8r8+Y=")</f>
        <v>#VALUE!</v>
      </c>
      <c r="HX39" t="e">
        <f>AND(DATA!C95,"AAAAAE8r8+c=")</f>
        <v>#VALUE!</v>
      </c>
      <c r="HY39" t="e">
        <f>AND(DATA!D95,"AAAAAE8r8+g=")</f>
        <v>#VALUE!</v>
      </c>
      <c r="HZ39" t="e">
        <f>AND(DATA!E95,"AAAAAE8r8+k=")</f>
        <v>#VALUE!</v>
      </c>
      <c r="IA39" t="e">
        <f>AND(DATA!F95,"AAAAAE8r8+o=")</f>
        <v>#VALUE!</v>
      </c>
      <c r="IB39" t="e">
        <f>AND(DATA!G95,"AAAAAE8r8+s=")</f>
        <v>#VALUE!</v>
      </c>
      <c r="IC39" t="e">
        <f>AND(DATA!H95,"AAAAAE8r8+w=")</f>
        <v>#VALUE!</v>
      </c>
      <c r="ID39" t="e">
        <f>AND(DATA!I95,"AAAAAE8r8+0=")</f>
        <v>#VALUE!</v>
      </c>
      <c r="IE39" t="e">
        <f>AND(DATA!J95,"AAAAAE8r8+4=")</f>
        <v>#VALUE!</v>
      </c>
      <c r="IF39" t="e">
        <f>AND(DATA!K95,"AAAAAE8r8+8=")</f>
        <v>#VALUE!</v>
      </c>
      <c r="IG39" t="b">
        <f>AND(DATA!L95,"AAAAAE8r8/A=")</f>
        <v>1</v>
      </c>
      <c r="IH39" t="b">
        <f>AND(DATA!M95,"AAAAAE8r8/E=")</f>
        <v>1</v>
      </c>
      <c r="II39" t="b">
        <f>AND(DATA!N95,"AAAAAE8r8/I=")</f>
        <v>1</v>
      </c>
      <c r="IJ39">
        <f>IF(DATA!96:96,"AAAAAE8r8/M=",0)</f>
        <v>0</v>
      </c>
      <c r="IK39" t="e">
        <f>AND(DATA!A96,"AAAAAE8r8/Q=")</f>
        <v>#VALUE!</v>
      </c>
      <c r="IL39" t="e">
        <f>AND(DATA!B96,"AAAAAE8r8/U=")</f>
        <v>#VALUE!</v>
      </c>
      <c r="IM39" t="e">
        <f>AND(DATA!C96,"AAAAAE8r8/Y=")</f>
        <v>#VALUE!</v>
      </c>
      <c r="IN39" t="e">
        <f>AND(DATA!D96,"AAAAAE8r8/c=")</f>
        <v>#VALUE!</v>
      </c>
      <c r="IO39" t="e">
        <f>AND(DATA!E96,"AAAAAE8r8/g=")</f>
        <v>#VALUE!</v>
      </c>
      <c r="IP39" t="e">
        <f>AND(DATA!F96,"AAAAAE8r8/k=")</f>
        <v>#VALUE!</v>
      </c>
      <c r="IQ39" t="e">
        <f>AND(DATA!G96,"AAAAAE8r8/o=")</f>
        <v>#VALUE!</v>
      </c>
      <c r="IR39" t="e">
        <f>AND(DATA!H96,"AAAAAE8r8/s=")</f>
        <v>#VALUE!</v>
      </c>
      <c r="IS39" t="e">
        <f>AND(DATA!I96,"AAAAAE8r8/w=")</f>
        <v>#VALUE!</v>
      </c>
      <c r="IT39" t="e">
        <f>AND(DATA!J96,"AAAAAE8r8/0=")</f>
        <v>#VALUE!</v>
      </c>
      <c r="IU39" t="e">
        <f>AND(DATA!K96,"AAAAAE8r8/4=")</f>
        <v>#VALUE!</v>
      </c>
      <c r="IV39" t="b">
        <f>AND(DATA!L96,"AAAAAE8r8/8=")</f>
        <v>1</v>
      </c>
    </row>
    <row r="40" spans="1:256">
      <c r="A40" t="b">
        <f>AND(DATA!M96,"AAAAAHdjuwA=")</f>
        <v>1</v>
      </c>
      <c r="B40" t="b">
        <f>AND(DATA!N96,"AAAAAHdjuwE=")</f>
        <v>1</v>
      </c>
      <c r="C40">
        <f>IF(DATA!97:97,"AAAAAHdjuwI=",0)</f>
        <v>0</v>
      </c>
      <c r="D40" t="e">
        <f>AND(DATA!A97,"AAAAAHdjuwM=")</f>
        <v>#VALUE!</v>
      </c>
      <c r="E40" t="e">
        <f>AND(DATA!B97,"AAAAAHdjuwQ=")</f>
        <v>#VALUE!</v>
      </c>
      <c r="F40" t="e">
        <f>AND(DATA!C97,"AAAAAHdjuwU=")</f>
        <v>#VALUE!</v>
      </c>
      <c r="G40" t="e">
        <f>AND(DATA!D97,"AAAAAHdjuwY=")</f>
        <v>#VALUE!</v>
      </c>
      <c r="H40" t="e">
        <f>AND(DATA!E97,"AAAAAHdjuwc=")</f>
        <v>#VALUE!</v>
      </c>
      <c r="I40" t="e">
        <f>AND(DATA!F97,"AAAAAHdjuwg=")</f>
        <v>#VALUE!</v>
      </c>
      <c r="J40" t="e">
        <f>AND(DATA!G97,"AAAAAHdjuwk=")</f>
        <v>#VALUE!</v>
      </c>
      <c r="K40" t="e">
        <f>AND(DATA!H97,"AAAAAHdjuwo=")</f>
        <v>#VALUE!</v>
      </c>
      <c r="L40" t="e">
        <f>AND(DATA!I97,"AAAAAHdjuws=")</f>
        <v>#VALUE!</v>
      </c>
      <c r="M40" t="e">
        <f>AND(DATA!J97,"AAAAAHdjuww=")</f>
        <v>#VALUE!</v>
      </c>
      <c r="N40" t="e">
        <f>AND(DATA!K97,"AAAAAHdjuw0=")</f>
        <v>#VALUE!</v>
      </c>
      <c r="O40" t="b">
        <f>AND(DATA!L97,"AAAAAHdjuw4=")</f>
        <v>1</v>
      </c>
      <c r="P40" t="b">
        <f>AND(DATA!M97,"AAAAAHdjuw8=")</f>
        <v>1</v>
      </c>
      <c r="Q40" t="b">
        <f>AND(DATA!N97,"AAAAAHdjuxA=")</f>
        <v>1</v>
      </c>
      <c r="R40">
        <f>IF(DATA!98:98,"AAAAAHdjuxE=",0)</f>
        <v>0</v>
      </c>
      <c r="S40" t="e">
        <f>AND(DATA!A98,"AAAAAHdjuxI=")</f>
        <v>#VALUE!</v>
      </c>
      <c r="T40" t="e">
        <f>AND(DATA!B98,"AAAAAHdjuxM=")</f>
        <v>#VALUE!</v>
      </c>
      <c r="U40" t="e">
        <f>AND(DATA!C98,"AAAAAHdjuxQ=")</f>
        <v>#VALUE!</v>
      </c>
      <c r="V40" t="e">
        <f>AND(DATA!D98,"AAAAAHdjuxU=")</f>
        <v>#VALUE!</v>
      </c>
      <c r="W40" t="e">
        <f>AND(DATA!E98,"AAAAAHdjuxY=")</f>
        <v>#VALUE!</v>
      </c>
      <c r="X40" t="e">
        <f>AND(DATA!F98,"AAAAAHdjuxc=")</f>
        <v>#VALUE!</v>
      </c>
      <c r="Y40" t="e">
        <f>AND(DATA!G98,"AAAAAHdjuxg=")</f>
        <v>#VALUE!</v>
      </c>
      <c r="Z40" t="e">
        <f>AND(DATA!H98,"AAAAAHdjuxk=")</f>
        <v>#VALUE!</v>
      </c>
      <c r="AA40" t="e">
        <f>AND(DATA!I98,"AAAAAHdjuxo=")</f>
        <v>#VALUE!</v>
      </c>
      <c r="AB40" t="e">
        <f>AND(DATA!J98,"AAAAAHdjuxs=")</f>
        <v>#VALUE!</v>
      </c>
      <c r="AC40" t="e">
        <f>AND(DATA!K98,"AAAAAHdjuxw=")</f>
        <v>#VALUE!</v>
      </c>
      <c r="AD40" t="b">
        <f>AND(DATA!L98,"AAAAAHdjux0=")</f>
        <v>1</v>
      </c>
      <c r="AE40" t="b">
        <f>AND(DATA!M98,"AAAAAHdjux4=")</f>
        <v>1</v>
      </c>
      <c r="AF40" t="b">
        <f>AND(DATA!N98,"AAAAAHdjux8=")</f>
        <v>1</v>
      </c>
      <c r="AG40">
        <f>IF(DATA!99:99,"AAAAAHdjuyA=",0)</f>
        <v>0</v>
      </c>
      <c r="AH40" t="e">
        <f>AND(DATA!A99,"AAAAAHdjuyE=")</f>
        <v>#VALUE!</v>
      </c>
      <c r="AI40" t="e">
        <f>AND(DATA!B99,"AAAAAHdjuyI=")</f>
        <v>#VALUE!</v>
      </c>
      <c r="AJ40" t="e">
        <f>AND(DATA!C99,"AAAAAHdjuyM=")</f>
        <v>#VALUE!</v>
      </c>
      <c r="AK40" t="e">
        <f>AND(DATA!D99,"AAAAAHdjuyQ=")</f>
        <v>#VALUE!</v>
      </c>
      <c r="AL40" t="e">
        <f>AND(DATA!E99,"AAAAAHdjuyU=")</f>
        <v>#VALUE!</v>
      </c>
      <c r="AM40" t="e">
        <f>AND(DATA!F99,"AAAAAHdjuyY=")</f>
        <v>#VALUE!</v>
      </c>
      <c r="AN40" t="e">
        <f>AND(DATA!G99,"AAAAAHdjuyc=")</f>
        <v>#VALUE!</v>
      </c>
      <c r="AO40" t="e">
        <f>AND(DATA!H99,"AAAAAHdjuyg=")</f>
        <v>#VALUE!</v>
      </c>
      <c r="AP40" t="e">
        <f>AND(DATA!I99,"AAAAAHdjuyk=")</f>
        <v>#VALUE!</v>
      </c>
      <c r="AQ40" t="e">
        <f>AND(DATA!J99,"AAAAAHdjuyo=")</f>
        <v>#VALUE!</v>
      </c>
      <c r="AR40" t="e">
        <f>AND(DATA!K99,"AAAAAHdjuys=")</f>
        <v>#VALUE!</v>
      </c>
      <c r="AS40" t="b">
        <f>AND(DATA!L99,"AAAAAHdjuyw=")</f>
        <v>1</v>
      </c>
      <c r="AT40" t="b">
        <f>AND(DATA!M99,"AAAAAHdjuy0=")</f>
        <v>1</v>
      </c>
      <c r="AU40" t="b">
        <f>AND(DATA!N99,"AAAAAHdjuy4=")</f>
        <v>1</v>
      </c>
      <c r="AV40">
        <f>IF(DATA!100:100,"AAAAAHdjuy8=",0)</f>
        <v>0</v>
      </c>
      <c r="AW40" t="e">
        <f>AND(DATA!A100,"AAAAAHdjuzA=")</f>
        <v>#VALUE!</v>
      </c>
      <c r="AX40" t="e">
        <f>AND(DATA!B100,"AAAAAHdjuzE=")</f>
        <v>#VALUE!</v>
      </c>
      <c r="AY40" t="e">
        <f>AND(DATA!C100,"AAAAAHdjuzI=")</f>
        <v>#VALUE!</v>
      </c>
      <c r="AZ40" t="e">
        <f>AND(DATA!D100,"AAAAAHdjuzM=")</f>
        <v>#VALUE!</v>
      </c>
      <c r="BA40" t="e">
        <f>AND(DATA!E100,"AAAAAHdjuzQ=")</f>
        <v>#VALUE!</v>
      </c>
      <c r="BB40" t="e">
        <f>AND(DATA!F100,"AAAAAHdjuzU=")</f>
        <v>#VALUE!</v>
      </c>
      <c r="BC40" t="e">
        <f>AND(DATA!G100,"AAAAAHdjuzY=")</f>
        <v>#VALUE!</v>
      </c>
      <c r="BD40" t="e">
        <f>AND(DATA!H100,"AAAAAHdjuzc=")</f>
        <v>#VALUE!</v>
      </c>
      <c r="BE40" t="e">
        <f>AND(DATA!I100,"AAAAAHdjuzg=")</f>
        <v>#VALUE!</v>
      </c>
      <c r="BF40" t="e">
        <f>AND(DATA!J100,"AAAAAHdjuzk=")</f>
        <v>#VALUE!</v>
      </c>
      <c r="BG40" t="e">
        <f>AND(DATA!K100,"AAAAAHdjuzo=")</f>
        <v>#VALUE!</v>
      </c>
      <c r="BH40" t="b">
        <f>AND(DATA!L100,"AAAAAHdjuzs=")</f>
        <v>1</v>
      </c>
      <c r="BI40" t="b">
        <f>AND(DATA!M100,"AAAAAHdjuzw=")</f>
        <v>1</v>
      </c>
      <c r="BJ40" t="b">
        <f>AND(DATA!N100,"AAAAAHdjuz0=")</f>
        <v>1</v>
      </c>
      <c r="BK40">
        <f>IF(DATA!101:101,"AAAAAHdjuz4=",0)</f>
        <v>0</v>
      </c>
      <c r="BL40" t="e">
        <f>AND(DATA!A101,"AAAAAHdjuz8=")</f>
        <v>#VALUE!</v>
      </c>
      <c r="BM40" t="e">
        <f>AND(DATA!B101,"AAAAAHdju0A=")</f>
        <v>#VALUE!</v>
      </c>
      <c r="BN40" t="e">
        <f>AND(DATA!C101,"AAAAAHdju0E=")</f>
        <v>#VALUE!</v>
      </c>
      <c r="BO40" t="e">
        <f>AND(DATA!D101,"AAAAAHdju0I=")</f>
        <v>#VALUE!</v>
      </c>
      <c r="BP40" t="e">
        <f>AND(DATA!E101,"AAAAAHdju0M=")</f>
        <v>#VALUE!</v>
      </c>
      <c r="BQ40" t="e">
        <f>AND(DATA!F101,"AAAAAHdju0Q=")</f>
        <v>#VALUE!</v>
      </c>
      <c r="BR40" t="e">
        <f>AND(DATA!G101,"AAAAAHdju0U=")</f>
        <v>#VALUE!</v>
      </c>
      <c r="BS40" t="e">
        <f>AND(DATA!H101,"AAAAAHdju0Y=")</f>
        <v>#VALUE!</v>
      </c>
      <c r="BT40" t="e">
        <f>AND(DATA!I101,"AAAAAHdju0c=")</f>
        <v>#VALUE!</v>
      </c>
      <c r="BU40" t="e">
        <f>AND(DATA!J101,"AAAAAHdju0g=")</f>
        <v>#VALUE!</v>
      </c>
      <c r="BV40" t="e">
        <f>AND(DATA!K101,"AAAAAHdju0k=")</f>
        <v>#VALUE!</v>
      </c>
      <c r="BW40" t="b">
        <f>AND(DATA!L101,"AAAAAHdju0o=")</f>
        <v>1</v>
      </c>
      <c r="BX40" t="b">
        <f>AND(DATA!M101,"AAAAAHdju0s=")</f>
        <v>1</v>
      </c>
      <c r="BY40" t="b">
        <f>AND(DATA!N101,"AAAAAHdju0w=")</f>
        <v>1</v>
      </c>
      <c r="BZ40">
        <f>IF(DATA!102:102,"AAAAAHdju00=",0)</f>
        <v>0</v>
      </c>
      <c r="CA40" t="e">
        <f>AND(DATA!A102,"AAAAAHdju04=")</f>
        <v>#VALUE!</v>
      </c>
      <c r="CB40" t="e">
        <f>AND(DATA!B102,"AAAAAHdju08=")</f>
        <v>#VALUE!</v>
      </c>
      <c r="CC40" t="e">
        <f>AND(DATA!C102,"AAAAAHdju1A=")</f>
        <v>#VALUE!</v>
      </c>
      <c r="CD40" t="e">
        <f>AND(DATA!D102,"AAAAAHdju1E=")</f>
        <v>#VALUE!</v>
      </c>
      <c r="CE40" t="e">
        <f>AND(DATA!E102,"AAAAAHdju1I=")</f>
        <v>#VALUE!</v>
      </c>
      <c r="CF40" t="e">
        <f>AND(DATA!F102,"AAAAAHdju1M=")</f>
        <v>#VALUE!</v>
      </c>
      <c r="CG40" t="e">
        <f>AND(DATA!G102,"AAAAAHdju1Q=")</f>
        <v>#VALUE!</v>
      </c>
      <c r="CH40" t="e">
        <f>AND(DATA!H102,"AAAAAHdju1U=")</f>
        <v>#VALUE!</v>
      </c>
      <c r="CI40" t="e">
        <f>AND(DATA!I102,"AAAAAHdju1Y=")</f>
        <v>#VALUE!</v>
      </c>
      <c r="CJ40" t="e">
        <f>AND(DATA!J102,"AAAAAHdju1c=")</f>
        <v>#VALUE!</v>
      </c>
      <c r="CK40" t="e">
        <f>AND(DATA!K102,"AAAAAHdju1g=")</f>
        <v>#VALUE!</v>
      </c>
      <c r="CL40" t="b">
        <f>AND(DATA!L102,"AAAAAHdju1k=")</f>
        <v>1</v>
      </c>
      <c r="CM40" t="b">
        <f>AND(DATA!M102,"AAAAAHdju1o=")</f>
        <v>1</v>
      </c>
      <c r="CN40" t="b">
        <f>AND(DATA!N102,"AAAAAHdju1s=")</f>
        <v>1</v>
      </c>
      <c r="CO40">
        <f>IF(DATA!103:103,"AAAAAHdju1w=",0)</f>
        <v>0</v>
      </c>
      <c r="CP40" t="e">
        <f>AND(DATA!A103,"AAAAAHdju10=")</f>
        <v>#VALUE!</v>
      </c>
      <c r="CQ40" t="e">
        <f>AND(DATA!B103,"AAAAAHdju14=")</f>
        <v>#VALUE!</v>
      </c>
      <c r="CR40" t="e">
        <f>AND(DATA!C103,"AAAAAHdju18=")</f>
        <v>#VALUE!</v>
      </c>
      <c r="CS40" t="e">
        <f>AND(DATA!D103,"AAAAAHdju2A=")</f>
        <v>#VALUE!</v>
      </c>
      <c r="CT40" t="e">
        <f>AND(DATA!E103,"AAAAAHdju2E=")</f>
        <v>#VALUE!</v>
      </c>
      <c r="CU40" t="e">
        <f>AND(DATA!F103,"AAAAAHdju2I=")</f>
        <v>#VALUE!</v>
      </c>
      <c r="CV40" t="e">
        <f>AND(DATA!G103,"AAAAAHdju2M=")</f>
        <v>#VALUE!</v>
      </c>
      <c r="CW40" t="e">
        <f>AND(DATA!H103,"AAAAAHdju2Q=")</f>
        <v>#VALUE!</v>
      </c>
      <c r="CX40" t="e">
        <f>AND(DATA!I103,"AAAAAHdju2U=")</f>
        <v>#VALUE!</v>
      </c>
      <c r="CY40" t="e">
        <f>AND(DATA!J103,"AAAAAHdju2Y=")</f>
        <v>#VALUE!</v>
      </c>
      <c r="CZ40" t="e">
        <f>AND(DATA!K103,"AAAAAHdju2c=")</f>
        <v>#VALUE!</v>
      </c>
      <c r="DA40" t="b">
        <f>AND(DATA!L103,"AAAAAHdju2g=")</f>
        <v>1</v>
      </c>
      <c r="DB40" t="b">
        <f>AND(DATA!M103,"AAAAAHdju2k=")</f>
        <v>1</v>
      </c>
      <c r="DC40" t="b">
        <f>AND(DATA!N103,"AAAAAHdju2o=")</f>
        <v>1</v>
      </c>
      <c r="DD40">
        <f>IF(DATA!104:104,"AAAAAHdju2s=",0)</f>
        <v>0</v>
      </c>
      <c r="DE40" t="e">
        <f>AND(DATA!A104,"AAAAAHdju2w=")</f>
        <v>#VALUE!</v>
      </c>
      <c r="DF40" t="e">
        <f>AND(DATA!B104,"AAAAAHdju20=")</f>
        <v>#VALUE!</v>
      </c>
      <c r="DG40" t="e">
        <f>AND(DATA!C104,"AAAAAHdju24=")</f>
        <v>#VALUE!</v>
      </c>
      <c r="DH40" t="e">
        <f>AND(DATA!D104,"AAAAAHdju28=")</f>
        <v>#VALUE!</v>
      </c>
      <c r="DI40" t="e">
        <f>AND(DATA!E104,"AAAAAHdju3A=")</f>
        <v>#VALUE!</v>
      </c>
      <c r="DJ40" t="e">
        <f>AND(DATA!F104,"AAAAAHdju3E=")</f>
        <v>#VALUE!</v>
      </c>
      <c r="DK40" t="e">
        <f>AND(DATA!G104,"AAAAAHdju3I=")</f>
        <v>#VALUE!</v>
      </c>
      <c r="DL40" t="e">
        <f>AND(DATA!H104,"AAAAAHdju3M=")</f>
        <v>#VALUE!</v>
      </c>
      <c r="DM40" t="e">
        <f>AND(DATA!I104,"AAAAAHdju3Q=")</f>
        <v>#VALUE!</v>
      </c>
      <c r="DN40" t="e">
        <f>AND(DATA!J104,"AAAAAHdju3U=")</f>
        <v>#VALUE!</v>
      </c>
      <c r="DO40" t="e">
        <f>AND(DATA!K104,"AAAAAHdju3Y=")</f>
        <v>#VALUE!</v>
      </c>
      <c r="DP40" t="b">
        <f>AND(DATA!L104,"AAAAAHdju3c=")</f>
        <v>1</v>
      </c>
      <c r="DQ40" t="b">
        <f>AND(DATA!M104,"AAAAAHdju3g=")</f>
        <v>1</v>
      </c>
      <c r="DR40" t="b">
        <f>AND(DATA!N104,"AAAAAHdju3k=")</f>
        <v>1</v>
      </c>
      <c r="DS40">
        <f>IF(DATA!105:105,"AAAAAHdju3o=",0)</f>
        <v>0</v>
      </c>
      <c r="DT40" t="e">
        <f>AND(DATA!A105,"AAAAAHdju3s=")</f>
        <v>#VALUE!</v>
      </c>
      <c r="DU40" t="e">
        <f>AND(DATA!B105,"AAAAAHdju3w=")</f>
        <v>#VALUE!</v>
      </c>
      <c r="DV40" t="e">
        <f>AND(DATA!C105,"AAAAAHdju30=")</f>
        <v>#VALUE!</v>
      </c>
      <c r="DW40" t="e">
        <f>AND(DATA!D105,"AAAAAHdju34=")</f>
        <v>#VALUE!</v>
      </c>
      <c r="DX40" t="e">
        <f>AND(DATA!E105,"AAAAAHdju38=")</f>
        <v>#VALUE!</v>
      </c>
      <c r="DY40" t="e">
        <f>AND(DATA!F105,"AAAAAHdju4A=")</f>
        <v>#VALUE!</v>
      </c>
      <c r="DZ40" t="e">
        <f>AND(DATA!G105,"AAAAAHdju4E=")</f>
        <v>#VALUE!</v>
      </c>
      <c r="EA40" t="e">
        <f>AND(DATA!H105,"AAAAAHdju4I=")</f>
        <v>#VALUE!</v>
      </c>
      <c r="EB40" t="e">
        <f>AND(DATA!I105,"AAAAAHdju4M=")</f>
        <v>#VALUE!</v>
      </c>
      <c r="EC40" t="e">
        <f>AND(DATA!J105,"AAAAAHdju4Q=")</f>
        <v>#VALUE!</v>
      </c>
      <c r="ED40" t="e">
        <f>AND(DATA!K105,"AAAAAHdju4U=")</f>
        <v>#VALUE!</v>
      </c>
      <c r="EE40" t="b">
        <f>AND(DATA!L105,"AAAAAHdju4Y=")</f>
        <v>1</v>
      </c>
      <c r="EF40" t="b">
        <f>AND(DATA!M105,"AAAAAHdju4c=")</f>
        <v>1</v>
      </c>
      <c r="EG40" t="b">
        <f>AND(DATA!N105,"AAAAAHdju4g=")</f>
        <v>1</v>
      </c>
      <c r="EH40">
        <f>IF(DATA!106:106,"AAAAAHdju4k=",0)</f>
        <v>0</v>
      </c>
      <c r="EI40" t="e">
        <f>AND(DATA!A106,"AAAAAHdju4o=")</f>
        <v>#VALUE!</v>
      </c>
      <c r="EJ40" t="e">
        <f>AND(DATA!B106,"AAAAAHdju4s=")</f>
        <v>#VALUE!</v>
      </c>
      <c r="EK40" t="e">
        <f>AND(DATA!C106,"AAAAAHdju4w=")</f>
        <v>#VALUE!</v>
      </c>
      <c r="EL40" t="e">
        <f>AND(DATA!D106,"AAAAAHdju40=")</f>
        <v>#VALUE!</v>
      </c>
      <c r="EM40" t="e">
        <f>AND(DATA!E106,"AAAAAHdju44=")</f>
        <v>#VALUE!</v>
      </c>
      <c r="EN40" t="e">
        <f>AND(DATA!F106,"AAAAAHdju48=")</f>
        <v>#VALUE!</v>
      </c>
      <c r="EO40" t="e">
        <f>AND(DATA!G106,"AAAAAHdju5A=")</f>
        <v>#VALUE!</v>
      </c>
      <c r="EP40" t="e">
        <f>AND(DATA!H106,"AAAAAHdju5E=")</f>
        <v>#VALUE!</v>
      </c>
      <c r="EQ40" t="e">
        <f>AND(DATA!I106,"AAAAAHdju5I=")</f>
        <v>#VALUE!</v>
      </c>
      <c r="ER40" t="e">
        <f>AND(DATA!J106,"AAAAAHdju5M=")</f>
        <v>#VALUE!</v>
      </c>
      <c r="ES40" t="e">
        <f>AND(DATA!K106,"AAAAAHdju5Q=")</f>
        <v>#VALUE!</v>
      </c>
      <c r="ET40" t="b">
        <f>AND(DATA!L106,"AAAAAHdju5U=")</f>
        <v>1</v>
      </c>
      <c r="EU40" t="b">
        <f>AND(DATA!M106,"AAAAAHdju5Y=")</f>
        <v>1</v>
      </c>
      <c r="EV40" t="b">
        <f>AND(DATA!N106,"AAAAAHdju5c=")</f>
        <v>1</v>
      </c>
      <c r="EW40">
        <f>IF(DATA!107:107,"AAAAAHdju5g=",0)</f>
        <v>0</v>
      </c>
      <c r="EX40" t="e">
        <f>AND(DATA!A107,"AAAAAHdju5k=")</f>
        <v>#VALUE!</v>
      </c>
      <c r="EY40" t="e">
        <f>AND(DATA!B107,"AAAAAHdju5o=")</f>
        <v>#VALUE!</v>
      </c>
      <c r="EZ40" t="e">
        <f>AND(DATA!C107,"AAAAAHdju5s=")</f>
        <v>#VALUE!</v>
      </c>
      <c r="FA40" t="e">
        <f>AND(DATA!D107,"AAAAAHdju5w=")</f>
        <v>#VALUE!</v>
      </c>
      <c r="FB40" t="e">
        <f>AND(DATA!E107,"AAAAAHdju50=")</f>
        <v>#VALUE!</v>
      </c>
      <c r="FC40" t="e">
        <f>AND(DATA!F107,"AAAAAHdju54=")</f>
        <v>#VALUE!</v>
      </c>
      <c r="FD40" t="e">
        <f>AND(DATA!G107,"AAAAAHdju58=")</f>
        <v>#VALUE!</v>
      </c>
      <c r="FE40" t="e">
        <f>AND(DATA!H107,"AAAAAHdju6A=")</f>
        <v>#VALUE!</v>
      </c>
      <c r="FF40" t="e">
        <f>AND(DATA!I107,"AAAAAHdju6E=")</f>
        <v>#VALUE!</v>
      </c>
      <c r="FG40" t="e">
        <f>AND(DATA!J107,"AAAAAHdju6I=")</f>
        <v>#VALUE!</v>
      </c>
      <c r="FH40" t="e">
        <f>AND(DATA!K107,"AAAAAHdju6M=")</f>
        <v>#VALUE!</v>
      </c>
      <c r="FI40" t="b">
        <f>AND(DATA!L107,"AAAAAHdju6Q=")</f>
        <v>1</v>
      </c>
      <c r="FJ40" t="b">
        <f>AND(DATA!M107,"AAAAAHdju6U=")</f>
        <v>1</v>
      </c>
      <c r="FK40" t="b">
        <f>AND(DATA!N107,"AAAAAHdju6Y=")</f>
        <v>1</v>
      </c>
      <c r="FL40">
        <f>IF(DATA!108:108,"AAAAAHdju6c=",0)</f>
        <v>0</v>
      </c>
      <c r="FM40" t="e">
        <f>AND(DATA!A108,"AAAAAHdju6g=")</f>
        <v>#VALUE!</v>
      </c>
      <c r="FN40" t="e">
        <f>AND(DATA!B108,"AAAAAHdju6k=")</f>
        <v>#VALUE!</v>
      </c>
      <c r="FO40" t="e">
        <f>AND(DATA!C108,"AAAAAHdju6o=")</f>
        <v>#VALUE!</v>
      </c>
      <c r="FP40" t="e">
        <f>AND(DATA!D108,"AAAAAHdju6s=")</f>
        <v>#VALUE!</v>
      </c>
      <c r="FQ40" t="e">
        <f>AND(DATA!E108,"AAAAAHdju6w=")</f>
        <v>#VALUE!</v>
      </c>
      <c r="FR40" t="e">
        <f>AND(DATA!F108,"AAAAAHdju60=")</f>
        <v>#VALUE!</v>
      </c>
      <c r="FS40" t="e">
        <f>AND(DATA!G108,"AAAAAHdju64=")</f>
        <v>#VALUE!</v>
      </c>
      <c r="FT40" t="e">
        <f>AND(DATA!H108,"AAAAAHdju68=")</f>
        <v>#VALUE!</v>
      </c>
      <c r="FU40" t="e">
        <f>AND(DATA!I108,"AAAAAHdju7A=")</f>
        <v>#VALUE!</v>
      </c>
      <c r="FV40" t="e">
        <f>AND(DATA!J108,"AAAAAHdju7E=")</f>
        <v>#VALUE!</v>
      </c>
      <c r="FW40" t="e">
        <f>AND(DATA!K108,"AAAAAHdju7I=")</f>
        <v>#VALUE!</v>
      </c>
      <c r="FX40" t="b">
        <f>AND(DATA!L108,"AAAAAHdju7M=")</f>
        <v>1</v>
      </c>
      <c r="FY40" t="b">
        <f>AND(DATA!M108,"AAAAAHdju7Q=")</f>
        <v>1</v>
      </c>
      <c r="FZ40" t="b">
        <f>AND(DATA!N108,"AAAAAHdju7U=")</f>
        <v>1</v>
      </c>
      <c r="GA40">
        <f>IF(DATA!109:109,"AAAAAHdju7Y=",0)</f>
        <v>0</v>
      </c>
      <c r="GB40" t="e">
        <f>AND(DATA!A109,"AAAAAHdju7c=")</f>
        <v>#VALUE!</v>
      </c>
      <c r="GC40" t="e">
        <f>AND(DATA!B109,"AAAAAHdju7g=")</f>
        <v>#VALUE!</v>
      </c>
      <c r="GD40" t="e">
        <f>AND(DATA!C109,"AAAAAHdju7k=")</f>
        <v>#VALUE!</v>
      </c>
      <c r="GE40" t="e">
        <f>AND(DATA!D109,"AAAAAHdju7o=")</f>
        <v>#VALUE!</v>
      </c>
      <c r="GF40" t="e">
        <f>AND(DATA!E109,"AAAAAHdju7s=")</f>
        <v>#VALUE!</v>
      </c>
      <c r="GG40" t="e">
        <f>AND(DATA!F109,"AAAAAHdju7w=")</f>
        <v>#VALUE!</v>
      </c>
      <c r="GH40" t="e">
        <f>AND(DATA!G109,"AAAAAHdju70=")</f>
        <v>#VALUE!</v>
      </c>
      <c r="GI40" t="e">
        <f>AND(DATA!H109,"AAAAAHdju74=")</f>
        <v>#VALUE!</v>
      </c>
      <c r="GJ40" t="e">
        <f>AND(DATA!I109,"AAAAAHdju78=")</f>
        <v>#VALUE!</v>
      </c>
      <c r="GK40" t="e">
        <f>AND(DATA!J109,"AAAAAHdju8A=")</f>
        <v>#VALUE!</v>
      </c>
      <c r="GL40" t="e">
        <f>AND(DATA!K109,"AAAAAHdju8E=")</f>
        <v>#VALUE!</v>
      </c>
      <c r="GM40" t="b">
        <f>AND(DATA!L109,"AAAAAHdju8I=")</f>
        <v>1</v>
      </c>
      <c r="GN40" t="b">
        <f>AND(DATA!M109,"AAAAAHdju8M=")</f>
        <v>1</v>
      </c>
      <c r="GO40" t="b">
        <f>AND(DATA!N109,"AAAAAHdju8Q=")</f>
        <v>1</v>
      </c>
      <c r="GP40">
        <f>IF(DATA!110:110,"AAAAAHdju8U=",0)</f>
        <v>0</v>
      </c>
      <c r="GQ40" t="e">
        <f>AND(DATA!A110,"AAAAAHdju8Y=")</f>
        <v>#VALUE!</v>
      </c>
      <c r="GR40" t="e">
        <f>AND(DATA!B110,"AAAAAHdju8c=")</f>
        <v>#VALUE!</v>
      </c>
      <c r="GS40" t="e">
        <f>AND(DATA!C110,"AAAAAHdju8g=")</f>
        <v>#VALUE!</v>
      </c>
      <c r="GT40" t="e">
        <f>AND(DATA!D110,"AAAAAHdju8k=")</f>
        <v>#VALUE!</v>
      </c>
      <c r="GU40" t="e">
        <f>AND(DATA!E110,"AAAAAHdju8o=")</f>
        <v>#VALUE!</v>
      </c>
      <c r="GV40" t="e">
        <f>AND(DATA!F110,"AAAAAHdju8s=")</f>
        <v>#VALUE!</v>
      </c>
      <c r="GW40" t="e">
        <f>AND(DATA!G110,"AAAAAHdju8w=")</f>
        <v>#VALUE!</v>
      </c>
      <c r="GX40" t="e">
        <f>AND(DATA!H110,"AAAAAHdju80=")</f>
        <v>#VALUE!</v>
      </c>
      <c r="GY40" t="e">
        <f>AND(DATA!I110,"AAAAAHdju84=")</f>
        <v>#VALUE!</v>
      </c>
      <c r="GZ40" t="e">
        <f>AND(DATA!J110,"AAAAAHdju88=")</f>
        <v>#VALUE!</v>
      </c>
      <c r="HA40" t="e">
        <f>AND(DATA!K110,"AAAAAHdju9A=")</f>
        <v>#VALUE!</v>
      </c>
      <c r="HB40" t="b">
        <f>AND(DATA!L110,"AAAAAHdju9E=")</f>
        <v>1</v>
      </c>
      <c r="HC40" t="b">
        <f>AND(DATA!M110,"AAAAAHdju9I=")</f>
        <v>1</v>
      </c>
      <c r="HD40" t="b">
        <f>AND(DATA!N110,"AAAAAHdju9M=")</f>
        <v>1</v>
      </c>
      <c r="HE40">
        <f>IF(DATA!111:111,"AAAAAHdju9Q=",0)</f>
        <v>0</v>
      </c>
      <c r="HF40" t="e">
        <f>AND(DATA!A111,"AAAAAHdju9U=")</f>
        <v>#VALUE!</v>
      </c>
      <c r="HG40" t="e">
        <f>AND(DATA!B111,"AAAAAHdju9Y=")</f>
        <v>#VALUE!</v>
      </c>
      <c r="HH40" t="e">
        <f>AND(DATA!C111,"AAAAAHdju9c=")</f>
        <v>#VALUE!</v>
      </c>
      <c r="HI40" t="e">
        <f>AND(DATA!D111,"AAAAAHdju9g=")</f>
        <v>#VALUE!</v>
      </c>
      <c r="HJ40" t="e">
        <f>AND(DATA!E111,"AAAAAHdju9k=")</f>
        <v>#VALUE!</v>
      </c>
      <c r="HK40" t="e">
        <f>AND(DATA!F111,"AAAAAHdju9o=")</f>
        <v>#VALUE!</v>
      </c>
      <c r="HL40" t="e">
        <f>AND(DATA!G111,"AAAAAHdju9s=")</f>
        <v>#VALUE!</v>
      </c>
      <c r="HM40" t="e">
        <f>AND(DATA!H111,"AAAAAHdju9w=")</f>
        <v>#VALUE!</v>
      </c>
      <c r="HN40" t="e">
        <f>AND(DATA!I111,"AAAAAHdju90=")</f>
        <v>#VALUE!</v>
      </c>
      <c r="HO40" t="e">
        <f>AND(DATA!J111,"AAAAAHdju94=")</f>
        <v>#VALUE!</v>
      </c>
      <c r="HP40" t="e">
        <f>AND(DATA!K111,"AAAAAHdju98=")</f>
        <v>#VALUE!</v>
      </c>
      <c r="HQ40" t="b">
        <f>AND(DATA!L111,"AAAAAHdju+A=")</f>
        <v>1</v>
      </c>
      <c r="HR40" t="b">
        <f>AND(DATA!M111,"AAAAAHdju+E=")</f>
        <v>1</v>
      </c>
      <c r="HS40" t="b">
        <f>AND(DATA!N111,"AAAAAHdju+I=")</f>
        <v>1</v>
      </c>
      <c r="HT40">
        <f>IF(DATA!112:112,"AAAAAHdju+M=",0)</f>
        <v>0</v>
      </c>
      <c r="HU40" t="e">
        <f>AND(DATA!A112,"AAAAAHdju+Q=")</f>
        <v>#VALUE!</v>
      </c>
      <c r="HV40" t="e">
        <f>AND(DATA!B112,"AAAAAHdju+U=")</f>
        <v>#VALUE!</v>
      </c>
      <c r="HW40" t="e">
        <f>AND(DATA!C112,"AAAAAHdju+Y=")</f>
        <v>#VALUE!</v>
      </c>
      <c r="HX40" t="e">
        <f>AND(DATA!D112,"AAAAAHdju+c=")</f>
        <v>#VALUE!</v>
      </c>
      <c r="HY40" t="e">
        <f>AND(DATA!E112,"AAAAAHdju+g=")</f>
        <v>#VALUE!</v>
      </c>
      <c r="HZ40" t="e">
        <f>AND(DATA!F112,"AAAAAHdju+k=")</f>
        <v>#VALUE!</v>
      </c>
      <c r="IA40" t="e">
        <f>AND(DATA!G112,"AAAAAHdju+o=")</f>
        <v>#VALUE!</v>
      </c>
      <c r="IB40" t="e">
        <f>AND(DATA!H112,"AAAAAHdju+s=")</f>
        <v>#VALUE!</v>
      </c>
      <c r="IC40" t="e">
        <f>AND(DATA!I112,"AAAAAHdju+w=")</f>
        <v>#VALUE!</v>
      </c>
      <c r="ID40" t="e">
        <f>AND(DATA!J112,"AAAAAHdju+0=")</f>
        <v>#VALUE!</v>
      </c>
      <c r="IE40" t="e">
        <f>AND(DATA!K112,"AAAAAHdju+4=")</f>
        <v>#VALUE!</v>
      </c>
      <c r="IF40" t="b">
        <f>AND(DATA!L112,"AAAAAHdju+8=")</f>
        <v>1</v>
      </c>
      <c r="IG40" t="b">
        <f>AND(DATA!M112,"AAAAAHdju/A=")</f>
        <v>1</v>
      </c>
      <c r="IH40" t="b">
        <f>AND(DATA!N112,"AAAAAHdju/E=")</f>
        <v>1</v>
      </c>
      <c r="II40">
        <f>IF(DATA!113:113,"AAAAAHdju/I=",0)</f>
        <v>0</v>
      </c>
      <c r="IJ40" t="e">
        <f>AND(DATA!A113,"AAAAAHdju/M=")</f>
        <v>#VALUE!</v>
      </c>
      <c r="IK40" t="e">
        <f>AND(DATA!B113,"AAAAAHdju/Q=")</f>
        <v>#VALUE!</v>
      </c>
      <c r="IL40" t="e">
        <f>AND(DATA!C113,"AAAAAHdju/U=")</f>
        <v>#VALUE!</v>
      </c>
      <c r="IM40" t="e">
        <f>AND(DATA!D113,"AAAAAHdju/Y=")</f>
        <v>#VALUE!</v>
      </c>
      <c r="IN40" t="e">
        <f>AND(DATA!E113,"AAAAAHdju/c=")</f>
        <v>#VALUE!</v>
      </c>
      <c r="IO40" t="e">
        <f>AND(DATA!F113,"AAAAAHdju/g=")</f>
        <v>#VALUE!</v>
      </c>
      <c r="IP40" t="e">
        <f>AND(DATA!G113,"AAAAAHdju/k=")</f>
        <v>#VALUE!</v>
      </c>
      <c r="IQ40" t="e">
        <f>AND(DATA!H113,"AAAAAHdju/o=")</f>
        <v>#VALUE!</v>
      </c>
      <c r="IR40" t="e">
        <f>AND(DATA!I113,"AAAAAHdju/s=")</f>
        <v>#VALUE!</v>
      </c>
      <c r="IS40" t="e">
        <f>AND(DATA!J113,"AAAAAHdju/w=")</f>
        <v>#VALUE!</v>
      </c>
      <c r="IT40" t="e">
        <f>AND(DATA!K113,"AAAAAHdju/0=")</f>
        <v>#VALUE!</v>
      </c>
      <c r="IU40" t="b">
        <f>AND(DATA!L113,"AAAAAHdju/4=")</f>
        <v>1</v>
      </c>
      <c r="IV40" t="b">
        <f>AND(DATA!M113,"AAAAAHdju/8=")</f>
        <v>1</v>
      </c>
    </row>
    <row r="41" spans="1:256">
      <c r="A41" t="b">
        <f>AND(DATA!N113,"AAAAAD/+fwA=")</f>
        <v>1</v>
      </c>
      <c r="B41">
        <f>IF(DATA!114:114,"AAAAAD/+fwE=",0)</f>
        <v>0</v>
      </c>
      <c r="C41" t="e">
        <f>AND(DATA!A114,"AAAAAD/+fwI=")</f>
        <v>#VALUE!</v>
      </c>
      <c r="D41" t="e">
        <f>AND(DATA!B114,"AAAAAD/+fwM=")</f>
        <v>#VALUE!</v>
      </c>
      <c r="E41" t="e">
        <f>AND(DATA!C114,"AAAAAD/+fwQ=")</f>
        <v>#VALUE!</v>
      </c>
      <c r="F41" t="e">
        <f>AND(DATA!D114,"AAAAAD/+fwU=")</f>
        <v>#VALUE!</v>
      </c>
      <c r="G41" t="e">
        <f>AND(DATA!E114,"AAAAAD/+fwY=")</f>
        <v>#VALUE!</v>
      </c>
      <c r="H41" t="e">
        <f>AND(DATA!F114,"AAAAAD/+fwc=")</f>
        <v>#VALUE!</v>
      </c>
      <c r="I41" t="e">
        <f>AND(DATA!G114,"AAAAAD/+fwg=")</f>
        <v>#VALUE!</v>
      </c>
      <c r="J41" t="e">
        <f>AND(DATA!H114,"AAAAAD/+fwk=")</f>
        <v>#VALUE!</v>
      </c>
      <c r="K41" t="e">
        <f>AND(DATA!I114,"AAAAAD/+fwo=")</f>
        <v>#VALUE!</v>
      </c>
      <c r="L41" t="e">
        <f>AND(DATA!J114,"AAAAAD/+fws=")</f>
        <v>#VALUE!</v>
      </c>
      <c r="M41" t="e">
        <f>AND(DATA!K114,"AAAAAD/+fww=")</f>
        <v>#VALUE!</v>
      </c>
      <c r="N41" t="b">
        <f>AND(DATA!L114,"AAAAAD/+fw0=")</f>
        <v>1</v>
      </c>
      <c r="O41" t="b">
        <f>AND(DATA!M114,"AAAAAD/+fw4=")</f>
        <v>1</v>
      </c>
      <c r="P41" t="b">
        <f>AND(DATA!N114,"AAAAAD/+fw8=")</f>
        <v>1</v>
      </c>
      <c r="Q41">
        <f>IF(DATA!115:115,"AAAAAD/+fxA=",0)</f>
        <v>0</v>
      </c>
      <c r="R41" t="e">
        <f>AND(DATA!A115,"AAAAAD/+fxE=")</f>
        <v>#VALUE!</v>
      </c>
      <c r="S41" t="e">
        <f>AND(DATA!B115,"AAAAAD/+fxI=")</f>
        <v>#VALUE!</v>
      </c>
      <c r="T41" t="e">
        <f>AND(DATA!C115,"AAAAAD/+fxM=")</f>
        <v>#VALUE!</v>
      </c>
      <c r="U41" t="e">
        <f>AND(DATA!D115,"AAAAAD/+fxQ=")</f>
        <v>#VALUE!</v>
      </c>
      <c r="V41" t="e">
        <f>AND(DATA!E115,"AAAAAD/+fxU=")</f>
        <v>#VALUE!</v>
      </c>
      <c r="W41" t="e">
        <f>AND(DATA!F115,"AAAAAD/+fxY=")</f>
        <v>#VALUE!</v>
      </c>
      <c r="X41" t="e">
        <f>AND(DATA!G115,"AAAAAD/+fxc=")</f>
        <v>#VALUE!</v>
      </c>
      <c r="Y41" t="e">
        <f>AND(DATA!H115,"AAAAAD/+fxg=")</f>
        <v>#VALUE!</v>
      </c>
      <c r="Z41" t="e">
        <f>AND(DATA!I115,"AAAAAD/+fxk=")</f>
        <v>#VALUE!</v>
      </c>
      <c r="AA41" t="e">
        <f>AND(DATA!J115,"AAAAAD/+fxo=")</f>
        <v>#VALUE!</v>
      </c>
      <c r="AB41" t="e">
        <f>AND(DATA!K115,"AAAAAD/+fxs=")</f>
        <v>#VALUE!</v>
      </c>
      <c r="AC41" t="b">
        <f>AND(DATA!L115,"AAAAAD/+fxw=")</f>
        <v>1</v>
      </c>
      <c r="AD41" t="b">
        <f>AND(DATA!M115,"AAAAAD/+fx0=")</f>
        <v>1</v>
      </c>
      <c r="AE41" t="b">
        <f>AND(DATA!N115,"AAAAAD/+fx4=")</f>
        <v>1</v>
      </c>
      <c r="AF41">
        <f>IF(DATA!116:116,"AAAAAD/+fx8=",0)</f>
        <v>0</v>
      </c>
      <c r="AG41" t="e">
        <f>AND(DATA!A116,"AAAAAD/+fyA=")</f>
        <v>#VALUE!</v>
      </c>
      <c r="AH41" t="e">
        <f>AND(DATA!B116,"AAAAAD/+fyE=")</f>
        <v>#VALUE!</v>
      </c>
      <c r="AI41" t="e">
        <f>AND(DATA!C116,"AAAAAD/+fyI=")</f>
        <v>#VALUE!</v>
      </c>
      <c r="AJ41" t="e">
        <f>AND(DATA!D116,"AAAAAD/+fyM=")</f>
        <v>#VALUE!</v>
      </c>
      <c r="AK41" t="e">
        <f>AND(DATA!E116,"AAAAAD/+fyQ=")</f>
        <v>#VALUE!</v>
      </c>
      <c r="AL41" t="e">
        <f>AND(DATA!F116,"AAAAAD/+fyU=")</f>
        <v>#VALUE!</v>
      </c>
      <c r="AM41" t="e">
        <f>AND(DATA!G116,"AAAAAD/+fyY=")</f>
        <v>#VALUE!</v>
      </c>
      <c r="AN41" t="e">
        <f>AND(DATA!H116,"AAAAAD/+fyc=")</f>
        <v>#VALUE!</v>
      </c>
      <c r="AO41" t="e">
        <f>AND(DATA!I116,"AAAAAD/+fyg=")</f>
        <v>#VALUE!</v>
      </c>
      <c r="AP41" t="e">
        <f>AND(DATA!J116,"AAAAAD/+fyk=")</f>
        <v>#VALUE!</v>
      </c>
      <c r="AQ41" t="e">
        <f>AND(DATA!K116,"AAAAAD/+fyo=")</f>
        <v>#VALUE!</v>
      </c>
      <c r="AR41" t="b">
        <f>AND(DATA!L116,"AAAAAD/+fys=")</f>
        <v>1</v>
      </c>
      <c r="AS41" t="b">
        <f>AND(DATA!M116,"AAAAAD/+fyw=")</f>
        <v>1</v>
      </c>
      <c r="AT41" t="b">
        <f>AND(DATA!N116,"AAAAAD/+fy0=")</f>
        <v>1</v>
      </c>
      <c r="AU41">
        <f>IF(DATA!117:117,"AAAAAD/+fy4=",0)</f>
        <v>0</v>
      </c>
      <c r="AV41" t="e">
        <f>AND(DATA!A117,"AAAAAD/+fy8=")</f>
        <v>#VALUE!</v>
      </c>
      <c r="AW41" t="e">
        <f>AND(DATA!B117,"AAAAAD/+fzA=")</f>
        <v>#VALUE!</v>
      </c>
      <c r="AX41" t="e">
        <f>AND(DATA!C117,"AAAAAD/+fzE=")</f>
        <v>#VALUE!</v>
      </c>
      <c r="AY41" t="e">
        <f>AND(DATA!D117,"AAAAAD/+fzI=")</f>
        <v>#VALUE!</v>
      </c>
      <c r="AZ41" t="e">
        <f>AND(DATA!E117,"AAAAAD/+fzM=")</f>
        <v>#VALUE!</v>
      </c>
      <c r="BA41" t="e">
        <f>AND(DATA!F117,"AAAAAD/+fzQ=")</f>
        <v>#VALUE!</v>
      </c>
      <c r="BB41" t="e">
        <f>AND(DATA!G117,"AAAAAD/+fzU=")</f>
        <v>#VALUE!</v>
      </c>
      <c r="BC41" t="e">
        <f>AND(DATA!H117,"AAAAAD/+fzY=")</f>
        <v>#VALUE!</v>
      </c>
      <c r="BD41" t="e">
        <f>AND(DATA!I117,"AAAAAD/+fzc=")</f>
        <v>#VALUE!</v>
      </c>
      <c r="BE41" t="e">
        <f>AND(DATA!J117,"AAAAAD/+fzg=")</f>
        <v>#VALUE!</v>
      </c>
      <c r="BF41" t="e">
        <f>AND(DATA!K117,"AAAAAD/+fzk=")</f>
        <v>#VALUE!</v>
      </c>
      <c r="BG41" t="b">
        <f>AND(DATA!L117,"AAAAAD/+fzo=")</f>
        <v>1</v>
      </c>
      <c r="BH41" t="b">
        <f>AND(DATA!M117,"AAAAAD/+fzs=")</f>
        <v>1</v>
      </c>
      <c r="BI41" t="b">
        <f>AND(DATA!N117,"AAAAAD/+fzw=")</f>
        <v>1</v>
      </c>
      <c r="BJ41">
        <f>IF(DATA!118:118,"AAAAAD/+fz0=",0)</f>
        <v>0</v>
      </c>
      <c r="BK41" t="e">
        <f>AND(DATA!A118,"AAAAAD/+fz4=")</f>
        <v>#VALUE!</v>
      </c>
      <c r="BL41" t="e">
        <f>AND(DATA!B118,"AAAAAD/+fz8=")</f>
        <v>#VALUE!</v>
      </c>
      <c r="BM41" t="e">
        <f>AND(DATA!C118,"AAAAAD/+f0A=")</f>
        <v>#VALUE!</v>
      </c>
      <c r="BN41" t="e">
        <f>AND(DATA!D118,"AAAAAD/+f0E=")</f>
        <v>#VALUE!</v>
      </c>
      <c r="BO41" t="e">
        <f>AND(DATA!E118,"AAAAAD/+f0I=")</f>
        <v>#VALUE!</v>
      </c>
      <c r="BP41" t="e">
        <f>AND(DATA!F118,"AAAAAD/+f0M=")</f>
        <v>#VALUE!</v>
      </c>
      <c r="BQ41" t="e">
        <f>AND(DATA!G118,"AAAAAD/+f0Q=")</f>
        <v>#VALUE!</v>
      </c>
      <c r="BR41" t="e">
        <f>AND(DATA!H118,"AAAAAD/+f0U=")</f>
        <v>#VALUE!</v>
      </c>
      <c r="BS41" t="e">
        <f>AND(DATA!I118,"AAAAAD/+f0Y=")</f>
        <v>#VALUE!</v>
      </c>
      <c r="BT41" t="e">
        <f>AND(DATA!J118,"AAAAAD/+f0c=")</f>
        <v>#VALUE!</v>
      </c>
      <c r="BU41" t="e">
        <f>AND(DATA!K118,"AAAAAD/+f0g=")</f>
        <v>#VALUE!</v>
      </c>
      <c r="BV41" t="b">
        <f>AND(DATA!L118,"AAAAAD/+f0k=")</f>
        <v>1</v>
      </c>
      <c r="BW41" t="b">
        <f>AND(DATA!M118,"AAAAAD/+f0o=")</f>
        <v>1</v>
      </c>
      <c r="BX41" t="b">
        <f>AND(DATA!N118,"AAAAAD/+f0s=")</f>
        <v>1</v>
      </c>
      <c r="BY41">
        <f>IF(DATA!119:119,"AAAAAD/+f0w=",0)</f>
        <v>0</v>
      </c>
      <c r="BZ41" t="e">
        <f>AND(DATA!A119,"AAAAAD/+f00=")</f>
        <v>#VALUE!</v>
      </c>
      <c r="CA41" t="e">
        <f>AND(DATA!B119,"AAAAAD/+f04=")</f>
        <v>#VALUE!</v>
      </c>
      <c r="CB41" t="e">
        <f>AND(DATA!C119,"AAAAAD/+f08=")</f>
        <v>#VALUE!</v>
      </c>
      <c r="CC41" t="e">
        <f>AND(DATA!D119,"AAAAAD/+f1A=")</f>
        <v>#VALUE!</v>
      </c>
      <c r="CD41" t="e">
        <f>AND(DATA!E119,"AAAAAD/+f1E=")</f>
        <v>#VALUE!</v>
      </c>
      <c r="CE41" t="e">
        <f>AND(DATA!F119,"AAAAAD/+f1I=")</f>
        <v>#VALUE!</v>
      </c>
      <c r="CF41" t="e">
        <f>AND(DATA!G119,"AAAAAD/+f1M=")</f>
        <v>#VALUE!</v>
      </c>
      <c r="CG41" t="e">
        <f>AND(DATA!H119,"AAAAAD/+f1Q=")</f>
        <v>#VALUE!</v>
      </c>
      <c r="CH41" t="e">
        <f>AND(DATA!I119,"AAAAAD/+f1U=")</f>
        <v>#VALUE!</v>
      </c>
      <c r="CI41" t="e">
        <f>AND(DATA!J119,"AAAAAD/+f1Y=")</f>
        <v>#VALUE!</v>
      </c>
      <c r="CJ41" t="e">
        <f>AND(DATA!K119,"AAAAAD/+f1c=")</f>
        <v>#VALUE!</v>
      </c>
      <c r="CK41" t="b">
        <f>AND(DATA!L119,"AAAAAD/+f1g=")</f>
        <v>1</v>
      </c>
      <c r="CL41" t="b">
        <f>AND(DATA!M119,"AAAAAD/+f1k=")</f>
        <v>1</v>
      </c>
      <c r="CM41" t="b">
        <f>AND(DATA!N119,"AAAAAD/+f1o=")</f>
        <v>1</v>
      </c>
      <c r="CN41">
        <f>IF(DATA!120:120,"AAAAAD/+f1s=",0)</f>
        <v>0</v>
      </c>
      <c r="CO41" t="e">
        <f>AND(DATA!A120,"AAAAAD/+f1w=")</f>
        <v>#VALUE!</v>
      </c>
      <c r="CP41" t="e">
        <f>AND(DATA!B120,"AAAAAD/+f10=")</f>
        <v>#VALUE!</v>
      </c>
      <c r="CQ41" t="e">
        <f>AND(DATA!C120,"AAAAAD/+f14=")</f>
        <v>#VALUE!</v>
      </c>
      <c r="CR41" t="e">
        <f>AND(DATA!D120,"AAAAAD/+f18=")</f>
        <v>#VALUE!</v>
      </c>
      <c r="CS41" t="e">
        <f>AND(DATA!E120,"AAAAAD/+f2A=")</f>
        <v>#VALUE!</v>
      </c>
      <c r="CT41" t="e">
        <f>AND(DATA!F120,"AAAAAD/+f2E=")</f>
        <v>#VALUE!</v>
      </c>
      <c r="CU41" t="e">
        <f>AND(DATA!G120,"AAAAAD/+f2I=")</f>
        <v>#VALUE!</v>
      </c>
      <c r="CV41" t="e">
        <f>AND(DATA!H120,"AAAAAD/+f2M=")</f>
        <v>#VALUE!</v>
      </c>
      <c r="CW41" t="e">
        <f>AND(DATA!I120,"AAAAAD/+f2Q=")</f>
        <v>#VALUE!</v>
      </c>
      <c r="CX41" t="e">
        <f>AND(DATA!J120,"AAAAAD/+f2U=")</f>
        <v>#VALUE!</v>
      </c>
      <c r="CY41" t="e">
        <f>AND(DATA!K120,"AAAAAD/+f2Y=")</f>
        <v>#VALUE!</v>
      </c>
      <c r="CZ41" t="b">
        <f>AND(DATA!L120,"AAAAAD/+f2c=")</f>
        <v>1</v>
      </c>
      <c r="DA41" t="b">
        <f>AND(DATA!M120,"AAAAAD/+f2g=")</f>
        <v>1</v>
      </c>
      <c r="DB41" t="b">
        <f>AND(DATA!N120,"AAAAAD/+f2k=")</f>
        <v>1</v>
      </c>
      <c r="DC41">
        <f>IF(DATA!121:121,"AAAAAD/+f2o=",0)</f>
        <v>0</v>
      </c>
      <c r="DD41" t="e">
        <f>AND(DATA!A121,"AAAAAD/+f2s=")</f>
        <v>#VALUE!</v>
      </c>
      <c r="DE41" t="e">
        <f>AND(DATA!B121,"AAAAAD/+f2w=")</f>
        <v>#VALUE!</v>
      </c>
      <c r="DF41" t="e">
        <f>AND(DATA!C121,"AAAAAD/+f20=")</f>
        <v>#VALUE!</v>
      </c>
      <c r="DG41" t="e">
        <f>AND(DATA!D121,"AAAAAD/+f24=")</f>
        <v>#VALUE!</v>
      </c>
      <c r="DH41" t="e">
        <f>AND(DATA!E121,"AAAAAD/+f28=")</f>
        <v>#VALUE!</v>
      </c>
      <c r="DI41" t="e">
        <f>AND(DATA!F121,"AAAAAD/+f3A=")</f>
        <v>#VALUE!</v>
      </c>
      <c r="DJ41" t="e">
        <f>AND(DATA!G121,"AAAAAD/+f3E=")</f>
        <v>#VALUE!</v>
      </c>
      <c r="DK41" t="e">
        <f>AND(DATA!H121,"AAAAAD/+f3I=")</f>
        <v>#VALUE!</v>
      </c>
      <c r="DL41" t="e">
        <f>AND(DATA!I121,"AAAAAD/+f3M=")</f>
        <v>#VALUE!</v>
      </c>
      <c r="DM41" t="e">
        <f>AND(DATA!J121,"AAAAAD/+f3Q=")</f>
        <v>#VALUE!</v>
      </c>
      <c r="DN41" t="e">
        <f>AND(DATA!K121,"AAAAAD/+f3U=")</f>
        <v>#VALUE!</v>
      </c>
      <c r="DO41" t="b">
        <f>AND(DATA!L121,"AAAAAD/+f3Y=")</f>
        <v>1</v>
      </c>
      <c r="DP41" t="b">
        <f>AND(DATA!M121,"AAAAAD/+f3c=")</f>
        <v>1</v>
      </c>
      <c r="DQ41" t="b">
        <f>AND(DATA!N121,"AAAAAD/+f3g=")</f>
        <v>1</v>
      </c>
      <c r="DR41">
        <f>IF(DATA!122:122,"AAAAAD/+f3k=",0)</f>
        <v>0</v>
      </c>
      <c r="DS41" t="e">
        <f>AND(DATA!A122,"AAAAAD/+f3o=")</f>
        <v>#VALUE!</v>
      </c>
      <c r="DT41" t="e">
        <f>AND(DATA!B122,"AAAAAD/+f3s=")</f>
        <v>#VALUE!</v>
      </c>
      <c r="DU41" t="e">
        <f>AND(DATA!C122,"AAAAAD/+f3w=")</f>
        <v>#VALUE!</v>
      </c>
      <c r="DV41" t="e">
        <f>AND(DATA!D122,"AAAAAD/+f30=")</f>
        <v>#VALUE!</v>
      </c>
      <c r="DW41" t="e">
        <f>AND(DATA!E122,"AAAAAD/+f34=")</f>
        <v>#VALUE!</v>
      </c>
      <c r="DX41" t="e">
        <f>AND(DATA!F122,"AAAAAD/+f38=")</f>
        <v>#VALUE!</v>
      </c>
      <c r="DY41" t="e">
        <f>AND(DATA!G122,"AAAAAD/+f4A=")</f>
        <v>#VALUE!</v>
      </c>
      <c r="DZ41" t="e">
        <f>AND(DATA!H122,"AAAAAD/+f4E=")</f>
        <v>#VALUE!</v>
      </c>
      <c r="EA41" t="e">
        <f>AND(DATA!I122,"AAAAAD/+f4I=")</f>
        <v>#VALUE!</v>
      </c>
      <c r="EB41" t="e">
        <f>AND(DATA!J122,"AAAAAD/+f4M=")</f>
        <v>#VALUE!</v>
      </c>
      <c r="EC41" t="e">
        <f>AND(DATA!K122,"AAAAAD/+f4Q=")</f>
        <v>#VALUE!</v>
      </c>
      <c r="ED41" t="b">
        <f>AND(DATA!L122,"AAAAAD/+f4U=")</f>
        <v>1</v>
      </c>
      <c r="EE41" t="b">
        <f>AND(DATA!M122,"AAAAAD/+f4Y=")</f>
        <v>1</v>
      </c>
      <c r="EF41" t="b">
        <f>AND(DATA!N122,"AAAAAD/+f4c=")</f>
        <v>1</v>
      </c>
      <c r="EG41">
        <f>IF(DATA!123:123,"AAAAAD/+f4g=",0)</f>
        <v>0</v>
      </c>
      <c r="EH41" t="e">
        <f>AND(DATA!A123,"AAAAAD/+f4k=")</f>
        <v>#VALUE!</v>
      </c>
      <c r="EI41" t="e">
        <f>AND(DATA!B123,"AAAAAD/+f4o=")</f>
        <v>#VALUE!</v>
      </c>
      <c r="EJ41" t="e">
        <f>AND(DATA!C123,"AAAAAD/+f4s=")</f>
        <v>#VALUE!</v>
      </c>
      <c r="EK41" t="e">
        <f>AND(DATA!D123,"AAAAAD/+f4w=")</f>
        <v>#VALUE!</v>
      </c>
      <c r="EL41" t="e">
        <f>AND(DATA!E123,"AAAAAD/+f40=")</f>
        <v>#VALUE!</v>
      </c>
      <c r="EM41" t="e">
        <f>AND(DATA!F123,"AAAAAD/+f44=")</f>
        <v>#VALUE!</v>
      </c>
      <c r="EN41" t="e">
        <f>AND(DATA!G123,"AAAAAD/+f48=")</f>
        <v>#VALUE!</v>
      </c>
      <c r="EO41" t="e">
        <f>AND(DATA!H123,"AAAAAD/+f5A=")</f>
        <v>#VALUE!</v>
      </c>
      <c r="EP41" t="e">
        <f>AND(DATA!I123,"AAAAAD/+f5E=")</f>
        <v>#VALUE!</v>
      </c>
      <c r="EQ41" t="e">
        <f>AND(DATA!J123,"AAAAAD/+f5I=")</f>
        <v>#VALUE!</v>
      </c>
      <c r="ER41" t="e">
        <f>AND(DATA!K123,"AAAAAD/+f5M=")</f>
        <v>#VALUE!</v>
      </c>
      <c r="ES41" t="b">
        <f>AND(DATA!L123,"AAAAAD/+f5Q=")</f>
        <v>1</v>
      </c>
      <c r="ET41" t="b">
        <f>AND(DATA!M123,"AAAAAD/+f5U=")</f>
        <v>1</v>
      </c>
      <c r="EU41" t="b">
        <f>AND(DATA!N123,"AAAAAD/+f5Y=")</f>
        <v>1</v>
      </c>
      <c r="EV41">
        <f>IF(DATA!124:124,"AAAAAD/+f5c=",0)</f>
        <v>0</v>
      </c>
      <c r="EW41" t="e">
        <f>AND(DATA!A124,"AAAAAD/+f5g=")</f>
        <v>#VALUE!</v>
      </c>
      <c r="EX41" t="e">
        <f>AND(DATA!B124,"AAAAAD/+f5k=")</f>
        <v>#VALUE!</v>
      </c>
      <c r="EY41" t="e">
        <f>AND(DATA!C124,"AAAAAD/+f5o=")</f>
        <v>#VALUE!</v>
      </c>
      <c r="EZ41" t="e">
        <f>AND(DATA!D124,"AAAAAD/+f5s=")</f>
        <v>#VALUE!</v>
      </c>
      <c r="FA41" t="e">
        <f>AND(DATA!E124,"AAAAAD/+f5w=")</f>
        <v>#VALUE!</v>
      </c>
      <c r="FB41" t="e">
        <f>AND(DATA!F124,"AAAAAD/+f50=")</f>
        <v>#VALUE!</v>
      </c>
      <c r="FC41" t="e">
        <f>AND(DATA!G124,"AAAAAD/+f54=")</f>
        <v>#VALUE!</v>
      </c>
      <c r="FD41" t="e">
        <f>AND(DATA!H124,"AAAAAD/+f58=")</f>
        <v>#VALUE!</v>
      </c>
      <c r="FE41" t="e">
        <f>AND(DATA!I124,"AAAAAD/+f6A=")</f>
        <v>#VALUE!</v>
      </c>
      <c r="FF41" t="e">
        <f>AND(DATA!J124,"AAAAAD/+f6E=")</f>
        <v>#VALUE!</v>
      </c>
      <c r="FG41" t="e">
        <f>AND(DATA!K124,"AAAAAD/+f6I=")</f>
        <v>#VALUE!</v>
      </c>
      <c r="FH41" t="b">
        <f>AND(DATA!L124,"AAAAAD/+f6M=")</f>
        <v>1</v>
      </c>
      <c r="FI41" t="b">
        <f>AND(DATA!M124,"AAAAAD/+f6Q=")</f>
        <v>1</v>
      </c>
      <c r="FJ41" t="b">
        <f>AND(DATA!N124,"AAAAAD/+f6U=")</f>
        <v>1</v>
      </c>
      <c r="FK41">
        <f>IF(DATA!125:125,"AAAAAD/+f6Y=",0)</f>
        <v>0</v>
      </c>
      <c r="FL41" t="e">
        <f>AND(DATA!A125,"AAAAAD/+f6c=")</f>
        <v>#VALUE!</v>
      </c>
      <c r="FM41" t="e">
        <f>AND(DATA!B125,"AAAAAD/+f6g=")</f>
        <v>#VALUE!</v>
      </c>
      <c r="FN41" t="e">
        <f>AND(DATA!C125,"AAAAAD/+f6k=")</f>
        <v>#VALUE!</v>
      </c>
      <c r="FO41" t="e">
        <f>AND(DATA!D125,"AAAAAD/+f6o=")</f>
        <v>#VALUE!</v>
      </c>
      <c r="FP41" t="e">
        <f>AND(DATA!E125,"AAAAAD/+f6s=")</f>
        <v>#VALUE!</v>
      </c>
      <c r="FQ41" t="e">
        <f>AND(DATA!F125,"AAAAAD/+f6w=")</f>
        <v>#VALUE!</v>
      </c>
      <c r="FR41" t="e">
        <f>AND(DATA!G125,"AAAAAD/+f60=")</f>
        <v>#VALUE!</v>
      </c>
      <c r="FS41" t="e">
        <f>AND(DATA!H125,"AAAAAD/+f64=")</f>
        <v>#VALUE!</v>
      </c>
      <c r="FT41" t="e">
        <f>AND(DATA!I125,"AAAAAD/+f68=")</f>
        <v>#VALUE!</v>
      </c>
      <c r="FU41" t="e">
        <f>AND(DATA!J125,"AAAAAD/+f7A=")</f>
        <v>#VALUE!</v>
      </c>
      <c r="FV41" t="e">
        <f>AND(DATA!K125,"AAAAAD/+f7E=")</f>
        <v>#VALUE!</v>
      </c>
      <c r="FW41" t="b">
        <f>AND(DATA!L125,"AAAAAD/+f7I=")</f>
        <v>1</v>
      </c>
      <c r="FX41" t="b">
        <f>AND(DATA!M125,"AAAAAD/+f7M=")</f>
        <v>1</v>
      </c>
      <c r="FY41" t="b">
        <f>AND(DATA!N125,"AAAAAD/+f7Q=")</f>
        <v>1</v>
      </c>
      <c r="FZ41">
        <f>IF(DATA!126:126,"AAAAAD/+f7U=",0)</f>
        <v>0</v>
      </c>
      <c r="GA41" t="e">
        <f>AND(DATA!A126,"AAAAAD/+f7Y=")</f>
        <v>#VALUE!</v>
      </c>
      <c r="GB41" t="e">
        <f>AND(DATA!B126,"AAAAAD/+f7c=")</f>
        <v>#VALUE!</v>
      </c>
      <c r="GC41" t="e">
        <f>AND(DATA!C126,"AAAAAD/+f7g=")</f>
        <v>#VALUE!</v>
      </c>
      <c r="GD41" t="e">
        <f>AND(DATA!D126,"AAAAAD/+f7k=")</f>
        <v>#VALUE!</v>
      </c>
      <c r="GE41" t="e">
        <f>AND(DATA!E126,"AAAAAD/+f7o=")</f>
        <v>#VALUE!</v>
      </c>
      <c r="GF41" t="e">
        <f>AND(DATA!F126,"AAAAAD/+f7s=")</f>
        <v>#VALUE!</v>
      </c>
      <c r="GG41" t="e">
        <f>AND(DATA!G126,"AAAAAD/+f7w=")</f>
        <v>#VALUE!</v>
      </c>
      <c r="GH41" t="e">
        <f>AND(DATA!H126,"AAAAAD/+f70=")</f>
        <v>#VALUE!</v>
      </c>
      <c r="GI41" t="e">
        <f>AND(DATA!I126,"AAAAAD/+f74=")</f>
        <v>#VALUE!</v>
      </c>
      <c r="GJ41" t="e">
        <f>AND(DATA!J126,"AAAAAD/+f78=")</f>
        <v>#VALUE!</v>
      </c>
      <c r="GK41" t="e">
        <f>AND(DATA!K126,"AAAAAD/+f8A=")</f>
        <v>#VALUE!</v>
      </c>
      <c r="GL41" t="b">
        <f>AND(DATA!L126,"AAAAAD/+f8E=")</f>
        <v>1</v>
      </c>
      <c r="GM41" t="b">
        <f>AND(DATA!M126,"AAAAAD/+f8I=")</f>
        <v>1</v>
      </c>
      <c r="GN41" t="b">
        <f>AND(DATA!N126,"AAAAAD/+f8M=")</f>
        <v>1</v>
      </c>
      <c r="GO41">
        <f>IF(DATA!127:127,"AAAAAD/+f8Q=",0)</f>
        <v>0</v>
      </c>
      <c r="GP41" t="e">
        <f>AND(DATA!A127,"AAAAAD/+f8U=")</f>
        <v>#VALUE!</v>
      </c>
      <c r="GQ41" t="e">
        <f>AND(DATA!B127,"AAAAAD/+f8Y=")</f>
        <v>#VALUE!</v>
      </c>
      <c r="GR41" t="e">
        <f>AND(DATA!C127,"AAAAAD/+f8c=")</f>
        <v>#VALUE!</v>
      </c>
      <c r="GS41" t="e">
        <f>AND(DATA!D127,"AAAAAD/+f8g=")</f>
        <v>#VALUE!</v>
      </c>
      <c r="GT41" t="e">
        <f>AND(DATA!E127,"AAAAAD/+f8k=")</f>
        <v>#VALUE!</v>
      </c>
      <c r="GU41" t="e">
        <f>AND(DATA!F127,"AAAAAD/+f8o=")</f>
        <v>#VALUE!</v>
      </c>
      <c r="GV41" t="e">
        <f>AND(DATA!G127,"AAAAAD/+f8s=")</f>
        <v>#VALUE!</v>
      </c>
      <c r="GW41" t="e">
        <f>AND(DATA!H127,"AAAAAD/+f8w=")</f>
        <v>#VALUE!</v>
      </c>
      <c r="GX41" t="e">
        <f>AND(DATA!I127,"AAAAAD/+f80=")</f>
        <v>#VALUE!</v>
      </c>
      <c r="GY41" t="e">
        <f>AND(DATA!J127,"AAAAAD/+f84=")</f>
        <v>#VALUE!</v>
      </c>
      <c r="GZ41" t="e">
        <f>AND(DATA!K127,"AAAAAD/+f88=")</f>
        <v>#VALUE!</v>
      </c>
      <c r="HA41" t="b">
        <f>AND(DATA!L127,"AAAAAD/+f9A=")</f>
        <v>1</v>
      </c>
      <c r="HB41" t="b">
        <f>AND(DATA!M127,"AAAAAD/+f9E=")</f>
        <v>1</v>
      </c>
      <c r="HC41" t="b">
        <f>AND(DATA!N127,"AAAAAD/+f9I=")</f>
        <v>1</v>
      </c>
      <c r="HD41">
        <f>IF(DATA!128:128,"AAAAAD/+f9M=",0)</f>
        <v>0</v>
      </c>
      <c r="HE41" t="e">
        <f>AND(DATA!A128,"AAAAAD/+f9Q=")</f>
        <v>#VALUE!</v>
      </c>
      <c r="HF41" t="e">
        <f>AND(DATA!B128,"AAAAAD/+f9U=")</f>
        <v>#VALUE!</v>
      </c>
      <c r="HG41" t="e">
        <f>AND(DATA!C128,"AAAAAD/+f9Y=")</f>
        <v>#VALUE!</v>
      </c>
      <c r="HH41" t="e">
        <f>AND(DATA!D128,"AAAAAD/+f9c=")</f>
        <v>#VALUE!</v>
      </c>
      <c r="HI41" t="e">
        <f>AND(DATA!E128,"AAAAAD/+f9g=")</f>
        <v>#VALUE!</v>
      </c>
      <c r="HJ41" t="e">
        <f>AND(DATA!F128,"AAAAAD/+f9k=")</f>
        <v>#VALUE!</v>
      </c>
      <c r="HK41" t="e">
        <f>AND(DATA!G128,"AAAAAD/+f9o=")</f>
        <v>#VALUE!</v>
      </c>
      <c r="HL41" t="e">
        <f>AND(DATA!H128,"AAAAAD/+f9s=")</f>
        <v>#VALUE!</v>
      </c>
      <c r="HM41" t="e">
        <f>AND(DATA!I128,"AAAAAD/+f9w=")</f>
        <v>#VALUE!</v>
      </c>
      <c r="HN41" t="e">
        <f>AND(DATA!J128,"AAAAAD/+f90=")</f>
        <v>#VALUE!</v>
      </c>
      <c r="HO41" t="e">
        <f>AND(DATA!K128,"AAAAAD/+f94=")</f>
        <v>#VALUE!</v>
      </c>
      <c r="HP41" t="b">
        <f>AND(DATA!L128,"AAAAAD/+f98=")</f>
        <v>1</v>
      </c>
      <c r="HQ41" t="b">
        <f>AND(DATA!M128,"AAAAAD/+f+A=")</f>
        <v>1</v>
      </c>
      <c r="HR41" t="b">
        <f>AND(DATA!N128,"AAAAAD/+f+E=")</f>
        <v>1</v>
      </c>
      <c r="HS41">
        <f>IF(DATA!129:129,"AAAAAD/+f+I=",0)</f>
        <v>0</v>
      </c>
      <c r="HT41" t="e">
        <f>AND(DATA!A129,"AAAAAD/+f+M=")</f>
        <v>#VALUE!</v>
      </c>
      <c r="HU41" t="e">
        <f>AND(DATA!B129,"AAAAAD/+f+Q=")</f>
        <v>#VALUE!</v>
      </c>
      <c r="HV41" t="e">
        <f>AND(DATA!C129,"AAAAAD/+f+U=")</f>
        <v>#VALUE!</v>
      </c>
      <c r="HW41" t="e">
        <f>AND(DATA!D129,"AAAAAD/+f+Y=")</f>
        <v>#VALUE!</v>
      </c>
      <c r="HX41" t="e">
        <f>AND(DATA!E129,"AAAAAD/+f+c=")</f>
        <v>#VALUE!</v>
      </c>
      <c r="HY41" t="e">
        <f>AND(DATA!F129,"AAAAAD/+f+g=")</f>
        <v>#VALUE!</v>
      </c>
      <c r="HZ41" t="e">
        <f>AND(DATA!G129,"AAAAAD/+f+k=")</f>
        <v>#VALUE!</v>
      </c>
      <c r="IA41" t="e">
        <f>AND(DATA!H129,"AAAAAD/+f+o=")</f>
        <v>#VALUE!</v>
      </c>
      <c r="IB41" t="e">
        <f>AND(DATA!I129,"AAAAAD/+f+s=")</f>
        <v>#VALUE!</v>
      </c>
      <c r="IC41" t="e">
        <f>AND(DATA!J129,"AAAAAD/+f+w=")</f>
        <v>#VALUE!</v>
      </c>
      <c r="ID41" t="e">
        <f>AND(DATA!K129,"AAAAAD/+f+0=")</f>
        <v>#VALUE!</v>
      </c>
      <c r="IE41" t="b">
        <f>AND(DATA!L129,"AAAAAD/+f+4=")</f>
        <v>1</v>
      </c>
      <c r="IF41" t="b">
        <f>AND(DATA!M129,"AAAAAD/+f+8=")</f>
        <v>1</v>
      </c>
      <c r="IG41" t="b">
        <f>AND(DATA!N129,"AAAAAD/+f/A=")</f>
        <v>1</v>
      </c>
      <c r="IH41">
        <f>IF(DATA!130:130,"AAAAAD/+f/E=",0)</f>
        <v>0</v>
      </c>
      <c r="II41" t="e">
        <f>AND(DATA!A130,"AAAAAD/+f/I=")</f>
        <v>#VALUE!</v>
      </c>
      <c r="IJ41" t="e">
        <f>AND(DATA!B130,"AAAAAD/+f/M=")</f>
        <v>#VALUE!</v>
      </c>
      <c r="IK41" t="e">
        <f>AND(DATA!C130,"AAAAAD/+f/Q=")</f>
        <v>#VALUE!</v>
      </c>
      <c r="IL41" t="e">
        <f>AND(DATA!D130,"AAAAAD/+f/U=")</f>
        <v>#VALUE!</v>
      </c>
      <c r="IM41" t="e">
        <f>AND(DATA!E130,"AAAAAD/+f/Y=")</f>
        <v>#VALUE!</v>
      </c>
      <c r="IN41" t="e">
        <f>AND(DATA!F130,"AAAAAD/+f/c=")</f>
        <v>#VALUE!</v>
      </c>
      <c r="IO41" t="e">
        <f>AND(DATA!G130,"AAAAAD/+f/g=")</f>
        <v>#VALUE!</v>
      </c>
      <c r="IP41" t="e">
        <f>AND(DATA!H130,"AAAAAD/+f/k=")</f>
        <v>#VALUE!</v>
      </c>
      <c r="IQ41" t="e">
        <f>AND(DATA!I130,"AAAAAD/+f/o=")</f>
        <v>#VALUE!</v>
      </c>
      <c r="IR41" t="e">
        <f>AND(DATA!J130,"AAAAAD/+f/s=")</f>
        <v>#VALUE!</v>
      </c>
      <c r="IS41" t="e">
        <f>AND(DATA!K130,"AAAAAD/+f/w=")</f>
        <v>#VALUE!</v>
      </c>
      <c r="IT41" t="b">
        <f>AND(DATA!L130,"AAAAAD/+f/0=")</f>
        <v>1</v>
      </c>
      <c r="IU41" t="b">
        <f>AND(DATA!M130,"AAAAAD/+f/4=")</f>
        <v>1</v>
      </c>
      <c r="IV41" t="b">
        <f>AND(DATA!N130,"AAAAAD/+f/8=")</f>
        <v>1</v>
      </c>
    </row>
    <row r="42" spans="1:256">
      <c r="A42">
        <f>IF(DATA!131:131,"AAAAAHfv/gA=",0)</f>
        <v>0</v>
      </c>
      <c r="B42" t="e">
        <f>AND(DATA!A131,"AAAAAHfv/gE=")</f>
        <v>#VALUE!</v>
      </c>
      <c r="C42" t="e">
        <f>AND(DATA!B131,"AAAAAHfv/gI=")</f>
        <v>#VALUE!</v>
      </c>
      <c r="D42" t="e">
        <f>AND(DATA!C131,"AAAAAHfv/gM=")</f>
        <v>#VALUE!</v>
      </c>
      <c r="E42" t="e">
        <f>AND(DATA!D131,"AAAAAHfv/gQ=")</f>
        <v>#VALUE!</v>
      </c>
      <c r="F42" t="e">
        <f>AND(DATA!E131,"AAAAAHfv/gU=")</f>
        <v>#VALUE!</v>
      </c>
      <c r="G42" t="e">
        <f>AND(DATA!F131,"AAAAAHfv/gY=")</f>
        <v>#VALUE!</v>
      </c>
      <c r="H42" t="e">
        <f>AND(DATA!G131,"AAAAAHfv/gc=")</f>
        <v>#VALUE!</v>
      </c>
      <c r="I42" t="e">
        <f>AND(DATA!H131,"AAAAAHfv/gg=")</f>
        <v>#VALUE!</v>
      </c>
      <c r="J42" t="e">
        <f>AND(DATA!I131,"AAAAAHfv/gk=")</f>
        <v>#VALUE!</v>
      </c>
      <c r="K42" t="e">
        <f>AND(DATA!J131,"AAAAAHfv/go=")</f>
        <v>#VALUE!</v>
      </c>
      <c r="L42" t="e">
        <f>AND(DATA!K131,"AAAAAHfv/gs=")</f>
        <v>#VALUE!</v>
      </c>
      <c r="M42" t="b">
        <f>AND(DATA!L131,"AAAAAHfv/gw=")</f>
        <v>1</v>
      </c>
      <c r="N42" t="b">
        <f>AND(DATA!M131,"AAAAAHfv/g0=")</f>
        <v>1</v>
      </c>
      <c r="O42" t="b">
        <f>AND(DATA!N131,"AAAAAHfv/g4=")</f>
        <v>1</v>
      </c>
      <c r="P42">
        <f>IF(DATA!132:132,"AAAAAHfv/g8=",0)</f>
        <v>0</v>
      </c>
      <c r="Q42" t="e">
        <f>AND(DATA!A132,"AAAAAHfv/hA=")</f>
        <v>#VALUE!</v>
      </c>
      <c r="R42" t="e">
        <f>AND(DATA!B132,"AAAAAHfv/hE=")</f>
        <v>#VALUE!</v>
      </c>
      <c r="S42" t="e">
        <f>AND(DATA!C132,"AAAAAHfv/hI=")</f>
        <v>#VALUE!</v>
      </c>
      <c r="T42" t="e">
        <f>AND(DATA!D132,"AAAAAHfv/hM=")</f>
        <v>#VALUE!</v>
      </c>
      <c r="U42" t="e">
        <f>AND(DATA!E132,"AAAAAHfv/hQ=")</f>
        <v>#VALUE!</v>
      </c>
      <c r="V42" t="e">
        <f>AND(DATA!F132,"AAAAAHfv/hU=")</f>
        <v>#VALUE!</v>
      </c>
      <c r="W42" t="e">
        <f>AND(DATA!G132,"AAAAAHfv/hY=")</f>
        <v>#VALUE!</v>
      </c>
      <c r="X42" t="e">
        <f>AND(DATA!H132,"AAAAAHfv/hc=")</f>
        <v>#VALUE!</v>
      </c>
      <c r="Y42" t="e">
        <f>AND(DATA!I132,"AAAAAHfv/hg=")</f>
        <v>#VALUE!</v>
      </c>
      <c r="Z42" t="e">
        <f>AND(DATA!J132,"AAAAAHfv/hk=")</f>
        <v>#VALUE!</v>
      </c>
      <c r="AA42" t="e">
        <f>AND(DATA!K132,"AAAAAHfv/ho=")</f>
        <v>#VALUE!</v>
      </c>
      <c r="AB42" t="b">
        <f>AND(DATA!L132,"AAAAAHfv/hs=")</f>
        <v>1</v>
      </c>
      <c r="AC42" t="b">
        <f>AND(DATA!M132,"AAAAAHfv/hw=")</f>
        <v>1</v>
      </c>
      <c r="AD42" t="b">
        <f>AND(DATA!N132,"AAAAAHfv/h0=")</f>
        <v>1</v>
      </c>
      <c r="AE42">
        <f>IF(DATA!133:133,"AAAAAHfv/h4=",0)</f>
        <v>0</v>
      </c>
      <c r="AF42" t="e">
        <f>AND(DATA!A133,"AAAAAHfv/h8=")</f>
        <v>#VALUE!</v>
      </c>
      <c r="AG42" t="e">
        <f>AND(DATA!B133,"AAAAAHfv/iA=")</f>
        <v>#VALUE!</v>
      </c>
      <c r="AH42" t="e">
        <f>AND(DATA!C133,"AAAAAHfv/iE=")</f>
        <v>#VALUE!</v>
      </c>
      <c r="AI42" t="e">
        <f>AND(DATA!D133,"AAAAAHfv/iI=")</f>
        <v>#VALUE!</v>
      </c>
      <c r="AJ42" t="e">
        <f>AND(DATA!E133,"AAAAAHfv/iM=")</f>
        <v>#VALUE!</v>
      </c>
      <c r="AK42" t="e">
        <f>AND(DATA!F133,"AAAAAHfv/iQ=")</f>
        <v>#VALUE!</v>
      </c>
      <c r="AL42" t="e">
        <f>AND(DATA!G133,"AAAAAHfv/iU=")</f>
        <v>#VALUE!</v>
      </c>
      <c r="AM42" t="e">
        <f>AND(DATA!H133,"AAAAAHfv/iY=")</f>
        <v>#VALUE!</v>
      </c>
      <c r="AN42" t="e">
        <f>AND(DATA!I133,"AAAAAHfv/ic=")</f>
        <v>#VALUE!</v>
      </c>
      <c r="AO42" t="e">
        <f>AND(DATA!J133,"AAAAAHfv/ig=")</f>
        <v>#VALUE!</v>
      </c>
      <c r="AP42" t="e">
        <f>AND(DATA!K133,"AAAAAHfv/ik=")</f>
        <v>#VALUE!</v>
      </c>
      <c r="AQ42" t="b">
        <f>AND(DATA!L133,"AAAAAHfv/io=")</f>
        <v>1</v>
      </c>
      <c r="AR42" t="b">
        <f>AND(DATA!M133,"AAAAAHfv/is=")</f>
        <v>1</v>
      </c>
      <c r="AS42" t="b">
        <f>AND(DATA!N133,"AAAAAHfv/iw=")</f>
        <v>1</v>
      </c>
      <c r="AT42">
        <f>IF(DATA!134:134,"AAAAAHfv/i0=",0)</f>
        <v>0</v>
      </c>
      <c r="AU42" t="e">
        <f>AND(DATA!A134,"AAAAAHfv/i4=")</f>
        <v>#VALUE!</v>
      </c>
      <c r="AV42" t="e">
        <f>AND(DATA!B134,"AAAAAHfv/i8=")</f>
        <v>#VALUE!</v>
      </c>
      <c r="AW42" t="e">
        <f>AND(DATA!C134,"AAAAAHfv/jA=")</f>
        <v>#VALUE!</v>
      </c>
      <c r="AX42" t="e">
        <f>AND(DATA!D134,"AAAAAHfv/jE=")</f>
        <v>#VALUE!</v>
      </c>
      <c r="AY42" t="e">
        <f>AND(DATA!E134,"AAAAAHfv/jI=")</f>
        <v>#VALUE!</v>
      </c>
      <c r="AZ42" t="e">
        <f>AND(DATA!F134,"AAAAAHfv/jM=")</f>
        <v>#VALUE!</v>
      </c>
      <c r="BA42" t="e">
        <f>AND(DATA!G134,"AAAAAHfv/jQ=")</f>
        <v>#VALUE!</v>
      </c>
      <c r="BB42" t="e">
        <f>AND(DATA!H134,"AAAAAHfv/jU=")</f>
        <v>#VALUE!</v>
      </c>
      <c r="BC42" t="e">
        <f>AND(DATA!I134,"AAAAAHfv/jY=")</f>
        <v>#VALUE!</v>
      </c>
      <c r="BD42" t="e">
        <f>AND(DATA!J134,"AAAAAHfv/jc=")</f>
        <v>#VALUE!</v>
      </c>
      <c r="BE42" t="e">
        <f>AND(DATA!K134,"AAAAAHfv/jg=")</f>
        <v>#VALUE!</v>
      </c>
      <c r="BF42" t="b">
        <f>AND(DATA!L134,"AAAAAHfv/jk=")</f>
        <v>1</v>
      </c>
      <c r="BG42" t="b">
        <f>AND(DATA!M134,"AAAAAHfv/jo=")</f>
        <v>1</v>
      </c>
      <c r="BH42" t="b">
        <f>AND(DATA!N134,"AAAAAHfv/js=")</f>
        <v>1</v>
      </c>
      <c r="BI42">
        <f>IF(DATA!135:135,"AAAAAHfv/jw=",0)</f>
        <v>0</v>
      </c>
      <c r="BJ42" t="e">
        <f>AND(DATA!A135,"AAAAAHfv/j0=")</f>
        <v>#VALUE!</v>
      </c>
      <c r="BK42" t="e">
        <f>AND(DATA!B135,"AAAAAHfv/j4=")</f>
        <v>#VALUE!</v>
      </c>
      <c r="BL42" t="e">
        <f>AND(DATA!C135,"AAAAAHfv/j8=")</f>
        <v>#VALUE!</v>
      </c>
      <c r="BM42" t="e">
        <f>AND(DATA!D135,"AAAAAHfv/kA=")</f>
        <v>#VALUE!</v>
      </c>
      <c r="BN42" t="e">
        <f>AND(DATA!E135,"AAAAAHfv/kE=")</f>
        <v>#VALUE!</v>
      </c>
      <c r="BO42" t="e">
        <f>AND(DATA!F135,"AAAAAHfv/kI=")</f>
        <v>#VALUE!</v>
      </c>
      <c r="BP42" t="e">
        <f>AND(DATA!G135,"AAAAAHfv/kM=")</f>
        <v>#VALUE!</v>
      </c>
      <c r="BQ42" t="e">
        <f>AND(DATA!H135,"AAAAAHfv/kQ=")</f>
        <v>#VALUE!</v>
      </c>
      <c r="BR42" t="e">
        <f>AND(DATA!I135,"AAAAAHfv/kU=")</f>
        <v>#VALUE!</v>
      </c>
      <c r="BS42" t="e">
        <f>AND(DATA!J135,"AAAAAHfv/kY=")</f>
        <v>#VALUE!</v>
      </c>
      <c r="BT42" t="e">
        <f>AND(DATA!K135,"AAAAAHfv/kc=")</f>
        <v>#VALUE!</v>
      </c>
      <c r="BU42" t="b">
        <f>AND(DATA!L135,"AAAAAHfv/kg=")</f>
        <v>1</v>
      </c>
      <c r="BV42" t="b">
        <f>AND(DATA!M135,"AAAAAHfv/kk=")</f>
        <v>1</v>
      </c>
      <c r="BW42" t="b">
        <f>AND(DATA!N135,"AAAAAHfv/ko=")</f>
        <v>1</v>
      </c>
      <c r="BX42">
        <f>IF(DATA!136:136,"AAAAAHfv/ks=",0)</f>
        <v>0</v>
      </c>
      <c r="BY42" t="e">
        <f>AND(DATA!A136,"AAAAAHfv/kw=")</f>
        <v>#VALUE!</v>
      </c>
      <c r="BZ42" t="e">
        <f>AND(DATA!B136,"AAAAAHfv/k0=")</f>
        <v>#VALUE!</v>
      </c>
      <c r="CA42" t="e">
        <f>AND(DATA!C136,"AAAAAHfv/k4=")</f>
        <v>#VALUE!</v>
      </c>
      <c r="CB42" t="e">
        <f>AND(DATA!D136,"AAAAAHfv/k8=")</f>
        <v>#VALUE!</v>
      </c>
      <c r="CC42" t="e">
        <f>AND(DATA!E136,"AAAAAHfv/lA=")</f>
        <v>#VALUE!</v>
      </c>
      <c r="CD42" t="e">
        <f>AND(DATA!F136,"AAAAAHfv/lE=")</f>
        <v>#VALUE!</v>
      </c>
      <c r="CE42" t="e">
        <f>AND(DATA!G136,"AAAAAHfv/lI=")</f>
        <v>#VALUE!</v>
      </c>
      <c r="CF42" t="e">
        <f>AND(DATA!H136,"AAAAAHfv/lM=")</f>
        <v>#VALUE!</v>
      </c>
      <c r="CG42" t="e">
        <f>AND(DATA!I136,"AAAAAHfv/lQ=")</f>
        <v>#VALUE!</v>
      </c>
      <c r="CH42" t="e">
        <f>AND(DATA!J136,"AAAAAHfv/lU=")</f>
        <v>#VALUE!</v>
      </c>
      <c r="CI42" t="e">
        <f>AND(DATA!K136,"AAAAAHfv/lY=")</f>
        <v>#VALUE!</v>
      </c>
      <c r="CJ42" t="b">
        <f>AND(DATA!L136,"AAAAAHfv/lc=")</f>
        <v>1</v>
      </c>
      <c r="CK42" t="b">
        <f>AND(DATA!M136,"AAAAAHfv/lg=")</f>
        <v>1</v>
      </c>
      <c r="CL42" t="b">
        <f>AND(DATA!N136,"AAAAAHfv/lk=")</f>
        <v>1</v>
      </c>
      <c r="CM42">
        <f>IF(DATA!137:137,"AAAAAHfv/lo=",0)</f>
        <v>0</v>
      </c>
      <c r="CN42" t="e">
        <f>AND(DATA!A137,"AAAAAHfv/ls=")</f>
        <v>#VALUE!</v>
      </c>
      <c r="CO42" t="e">
        <f>AND(DATA!B137,"AAAAAHfv/lw=")</f>
        <v>#VALUE!</v>
      </c>
      <c r="CP42" t="e">
        <f>AND(DATA!C137,"AAAAAHfv/l0=")</f>
        <v>#VALUE!</v>
      </c>
      <c r="CQ42" t="e">
        <f>AND(DATA!D137,"AAAAAHfv/l4=")</f>
        <v>#VALUE!</v>
      </c>
      <c r="CR42" t="e">
        <f>AND(DATA!E137,"AAAAAHfv/l8=")</f>
        <v>#VALUE!</v>
      </c>
      <c r="CS42" t="e">
        <f>AND(DATA!F137,"AAAAAHfv/mA=")</f>
        <v>#VALUE!</v>
      </c>
      <c r="CT42" t="e">
        <f>AND(DATA!G137,"AAAAAHfv/mE=")</f>
        <v>#VALUE!</v>
      </c>
      <c r="CU42" t="e">
        <f>AND(DATA!H137,"AAAAAHfv/mI=")</f>
        <v>#VALUE!</v>
      </c>
      <c r="CV42" t="e">
        <f>AND(DATA!I137,"AAAAAHfv/mM=")</f>
        <v>#VALUE!</v>
      </c>
      <c r="CW42" t="e">
        <f>AND(DATA!J137,"AAAAAHfv/mQ=")</f>
        <v>#VALUE!</v>
      </c>
      <c r="CX42" t="e">
        <f>AND(DATA!K137,"AAAAAHfv/mU=")</f>
        <v>#VALUE!</v>
      </c>
      <c r="CY42" t="b">
        <f>AND(DATA!L137,"AAAAAHfv/mY=")</f>
        <v>1</v>
      </c>
      <c r="CZ42" t="b">
        <f>AND(DATA!M137,"AAAAAHfv/mc=")</f>
        <v>1</v>
      </c>
      <c r="DA42" t="b">
        <f>AND(DATA!N137,"AAAAAHfv/mg=")</f>
        <v>1</v>
      </c>
      <c r="DB42">
        <f>IF(DATA!138:138,"AAAAAHfv/mk=",0)</f>
        <v>0</v>
      </c>
      <c r="DC42" t="e">
        <f>AND(DATA!A138,"AAAAAHfv/mo=")</f>
        <v>#VALUE!</v>
      </c>
      <c r="DD42" t="e">
        <f>AND(DATA!B138,"AAAAAHfv/ms=")</f>
        <v>#VALUE!</v>
      </c>
      <c r="DE42" t="e">
        <f>AND(DATA!C138,"AAAAAHfv/mw=")</f>
        <v>#VALUE!</v>
      </c>
      <c r="DF42" t="e">
        <f>AND(DATA!D138,"AAAAAHfv/m0=")</f>
        <v>#VALUE!</v>
      </c>
      <c r="DG42" t="e">
        <f>AND(DATA!E138,"AAAAAHfv/m4=")</f>
        <v>#VALUE!</v>
      </c>
      <c r="DH42" t="e">
        <f>AND(DATA!F138,"AAAAAHfv/m8=")</f>
        <v>#VALUE!</v>
      </c>
      <c r="DI42" t="e">
        <f>AND(DATA!G138,"AAAAAHfv/nA=")</f>
        <v>#VALUE!</v>
      </c>
      <c r="DJ42" t="e">
        <f>AND(DATA!H138,"AAAAAHfv/nE=")</f>
        <v>#VALUE!</v>
      </c>
      <c r="DK42" t="e">
        <f>AND(DATA!I138,"AAAAAHfv/nI=")</f>
        <v>#VALUE!</v>
      </c>
      <c r="DL42" t="e">
        <f>AND(DATA!J138,"AAAAAHfv/nM=")</f>
        <v>#VALUE!</v>
      </c>
      <c r="DM42" t="e">
        <f>AND(DATA!K138,"AAAAAHfv/nQ=")</f>
        <v>#VALUE!</v>
      </c>
      <c r="DN42" t="b">
        <f>AND(DATA!L138,"AAAAAHfv/nU=")</f>
        <v>1</v>
      </c>
      <c r="DO42" t="b">
        <f>AND(DATA!M138,"AAAAAHfv/nY=")</f>
        <v>1</v>
      </c>
      <c r="DP42" t="b">
        <f>AND(DATA!N138,"AAAAAHfv/nc=")</f>
        <v>1</v>
      </c>
      <c r="DQ42">
        <f>IF(DATA!139:139,"AAAAAHfv/ng=",0)</f>
        <v>0</v>
      </c>
      <c r="DR42" t="e">
        <f>AND(DATA!A139,"AAAAAHfv/nk=")</f>
        <v>#VALUE!</v>
      </c>
      <c r="DS42" t="e">
        <f>AND(DATA!B139,"AAAAAHfv/no=")</f>
        <v>#VALUE!</v>
      </c>
      <c r="DT42" t="e">
        <f>AND(DATA!C139,"AAAAAHfv/ns=")</f>
        <v>#VALUE!</v>
      </c>
      <c r="DU42" t="e">
        <f>AND(DATA!D139,"AAAAAHfv/nw=")</f>
        <v>#VALUE!</v>
      </c>
      <c r="DV42" t="e">
        <f>AND(DATA!E139,"AAAAAHfv/n0=")</f>
        <v>#VALUE!</v>
      </c>
      <c r="DW42" t="e">
        <f>AND(DATA!F139,"AAAAAHfv/n4=")</f>
        <v>#VALUE!</v>
      </c>
      <c r="DX42" t="e">
        <f>AND(DATA!G139,"AAAAAHfv/n8=")</f>
        <v>#VALUE!</v>
      </c>
      <c r="DY42" t="e">
        <f>AND(DATA!H139,"AAAAAHfv/oA=")</f>
        <v>#VALUE!</v>
      </c>
      <c r="DZ42" t="e">
        <f>AND(DATA!I139,"AAAAAHfv/oE=")</f>
        <v>#VALUE!</v>
      </c>
      <c r="EA42" t="e">
        <f>AND(DATA!J139,"AAAAAHfv/oI=")</f>
        <v>#VALUE!</v>
      </c>
      <c r="EB42" t="e">
        <f>AND(DATA!K139,"AAAAAHfv/oM=")</f>
        <v>#VALUE!</v>
      </c>
      <c r="EC42" t="b">
        <f>AND(DATA!L139,"AAAAAHfv/oQ=")</f>
        <v>1</v>
      </c>
      <c r="ED42" t="b">
        <f>AND(DATA!M139,"AAAAAHfv/oU=")</f>
        <v>1</v>
      </c>
      <c r="EE42" t="b">
        <f>AND(DATA!N139,"AAAAAHfv/oY=")</f>
        <v>1</v>
      </c>
      <c r="EF42">
        <f>IF(DATA!140:140,"AAAAAHfv/oc=",0)</f>
        <v>0</v>
      </c>
      <c r="EG42" t="e">
        <f>AND(DATA!A140,"AAAAAHfv/og=")</f>
        <v>#VALUE!</v>
      </c>
      <c r="EH42" t="e">
        <f>AND(DATA!B140,"AAAAAHfv/ok=")</f>
        <v>#VALUE!</v>
      </c>
      <c r="EI42" t="e">
        <f>AND(DATA!C140,"AAAAAHfv/oo=")</f>
        <v>#VALUE!</v>
      </c>
      <c r="EJ42" t="e">
        <f>AND(DATA!D140,"AAAAAHfv/os=")</f>
        <v>#VALUE!</v>
      </c>
      <c r="EK42" t="e">
        <f>AND(DATA!E140,"AAAAAHfv/ow=")</f>
        <v>#VALUE!</v>
      </c>
      <c r="EL42" t="e">
        <f>AND(DATA!F140,"AAAAAHfv/o0=")</f>
        <v>#VALUE!</v>
      </c>
      <c r="EM42" t="e">
        <f>AND(DATA!G140,"AAAAAHfv/o4=")</f>
        <v>#VALUE!</v>
      </c>
      <c r="EN42" t="e">
        <f>AND(DATA!H140,"AAAAAHfv/o8=")</f>
        <v>#VALUE!</v>
      </c>
      <c r="EO42" t="e">
        <f>AND(DATA!I140,"AAAAAHfv/pA=")</f>
        <v>#VALUE!</v>
      </c>
      <c r="EP42" t="e">
        <f>AND(DATA!J140,"AAAAAHfv/pE=")</f>
        <v>#VALUE!</v>
      </c>
      <c r="EQ42" t="e">
        <f>AND(DATA!K140,"AAAAAHfv/pI=")</f>
        <v>#VALUE!</v>
      </c>
      <c r="ER42" t="b">
        <f>AND(DATA!L140,"AAAAAHfv/pM=")</f>
        <v>1</v>
      </c>
      <c r="ES42" t="b">
        <f>AND(DATA!M140,"AAAAAHfv/pQ=")</f>
        <v>1</v>
      </c>
      <c r="ET42" t="b">
        <f>AND(DATA!N140,"AAAAAHfv/pU=")</f>
        <v>1</v>
      </c>
      <c r="EU42">
        <f>IF(DATA!141:141,"AAAAAHfv/pY=",0)</f>
        <v>0</v>
      </c>
      <c r="EV42" t="e">
        <f>AND(DATA!A141,"AAAAAHfv/pc=")</f>
        <v>#VALUE!</v>
      </c>
      <c r="EW42" t="e">
        <f>AND(DATA!B141,"AAAAAHfv/pg=")</f>
        <v>#VALUE!</v>
      </c>
      <c r="EX42" t="e">
        <f>AND(DATA!C141,"AAAAAHfv/pk=")</f>
        <v>#VALUE!</v>
      </c>
      <c r="EY42" t="e">
        <f>AND(DATA!D141,"AAAAAHfv/po=")</f>
        <v>#VALUE!</v>
      </c>
      <c r="EZ42" t="e">
        <f>AND(DATA!E141,"AAAAAHfv/ps=")</f>
        <v>#VALUE!</v>
      </c>
      <c r="FA42" t="e">
        <f>AND(DATA!F141,"AAAAAHfv/pw=")</f>
        <v>#VALUE!</v>
      </c>
      <c r="FB42" t="e">
        <f>AND(DATA!G141,"AAAAAHfv/p0=")</f>
        <v>#VALUE!</v>
      </c>
      <c r="FC42" t="e">
        <f>AND(DATA!H141,"AAAAAHfv/p4=")</f>
        <v>#VALUE!</v>
      </c>
      <c r="FD42" t="e">
        <f>AND(DATA!I141,"AAAAAHfv/p8=")</f>
        <v>#VALUE!</v>
      </c>
      <c r="FE42" t="e">
        <f>AND(DATA!J141,"AAAAAHfv/qA=")</f>
        <v>#VALUE!</v>
      </c>
      <c r="FF42" t="e">
        <f>AND(DATA!K141,"AAAAAHfv/qE=")</f>
        <v>#VALUE!</v>
      </c>
      <c r="FG42" t="b">
        <f>AND(DATA!L141,"AAAAAHfv/qI=")</f>
        <v>1</v>
      </c>
      <c r="FH42" t="b">
        <f>AND(DATA!M141,"AAAAAHfv/qM=")</f>
        <v>1</v>
      </c>
      <c r="FI42" t="b">
        <f>AND(DATA!N141,"AAAAAHfv/qQ=")</f>
        <v>1</v>
      </c>
      <c r="FJ42">
        <f>IF(DATA!142:142,"AAAAAHfv/qU=",0)</f>
        <v>0</v>
      </c>
      <c r="FK42" t="e">
        <f>AND(DATA!A142,"AAAAAHfv/qY=")</f>
        <v>#VALUE!</v>
      </c>
      <c r="FL42" t="e">
        <f>AND(DATA!B142,"AAAAAHfv/qc=")</f>
        <v>#VALUE!</v>
      </c>
      <c r="FM42" t="e">
        <f>AND(DATA!C142,"AAAAAHfv/qg=")</f>
        <v>#VALUE!</v>
      </c>
      <c r="FN42" t="e">
        <f>AND(DATA!D142,"AAAAAHfv/qk=")</f>
        <v>#VALUE!</v>
      </c>
      <c r="FO42" t="e">
        <f>AND(DATA!E142,"AAAAAHfv/qo=")</f>
        <v>#VALUE!</v>
      </c>
      <c r="FP42" t="e">
        <f>AND(DATA!F142,"AAAAAHfv/qs=")</f>
        <v>#VALUE!</v>
      </c>
      <c r="FQ42" t="e">
        <f>AND(DATA!G142,"AAAAAHfv/qw=")</f>
        <v>#VALUE!</v>
      </c>
      <c r="FR42" t="e">
        <f>AND(DATA!H142,"AAAAAHfv/q0=")</f>
        <v>#VALUE!</v>
      </c>
      <c r="FS42" t="e">
        <f>AND(DATA!I142,"AAAAAHfv/q4=")</f>
        <v>#VALUE!</v>
      </c>
      <c r="FT42" t="e">
        <f>AND(DATA!J142,"AAAAAHfv/q8=")</f>
        <v>#VALUE!</v>
      </c>
      <c r="FU42" t="e">
        <f>AND(DATA!K142,"AAAAAHfv/rA=")</f>
        <v>#VALUE!</v>
      </c>
      <c r="FV42" t="b">
        <f>AND(DATA!L142,"AAAAAHfv/rE=")</f>
        <v>1</v>
      </c>
      <c r="FW42" t="b">
        <f>AND(DATA!M142,"AAAAAHfv/rI=")</f>
        <v>1</v>
      </c>
      <c r="FX42" t="b">
        <f>AND(DATA!N142,"AAAAAHfv/rM=")</f>
        <v>1</v>
      </c>
      <c r="FY42">
        <f>IF(DATA!143:143,"AAAAAHfv/rQ=",0)</f>
        <v>0</v>
      </c>
      <c r="FZ42" t="e">
        <f>AND(DATA!A143,"AAAAAHfv/rU=")</f>
        <v>#VALUE!</v>
      </c>
      <c r="GA42" t="e">
        <f>AND(DATA!B143,"AAAAAHfv/rY=")</f>
        <v>#VALUE!</v>
      </c>
      <c r="GB42" t="e">
        <f>AND(DATA!C143,"AAAAAHfv/rc=")</f>
        <v>#VALUE!</v>
      </c>
      <c r="GC42" t="e">
        <f>AND(DATA!D143,"AAAAAHfv/rg=")</f>
        <v>#VALUE!</v>
      </c>
      <c r="GD42" t="e">
        <f>AND(DATA!E143,"AAAAAHfv/rk=")</f>
        <v>#VALUE!</v>
      </c>
      <c r="GE42" t="e">
        <f>AND(DATA!F143,"AAAAAHfv/ro=")</f>
        <v>#VALUE!</v>
      </c>
      <c r="GF42" t="e">
        <f>AND(DATA!G143,"AAAAAHfv/rs=")</f>
        <v>#VALUE!</v>
      </c>
      <c r="GG42" t="e">
        <f>AND(DATA!H143,"AAAAAHfv/rw=")</f>
        <v>#VALUE!</v>
      </c>
      <c r="GH42" t="e">
        <f>AND(DATA!I143,"AAAAAHfv/r0=")</f>
        <v>#VALUE!</v>
      </c>
      <c r="GI42" t="e">
        <f>AND(DATA!J143,"AAAAAHfv/r4=")</f>
        <v>#VALUE!</v>
      </c>
      <c r="GJ42" t="e">
        <f>AND(DATA!K143,"AAAAAHfv/r8=")</f>
        <v>#VALUE!</v>
      </c>
      <c r="GK42" t="b">
        <f>AND(DATA!L143,"AAAAAHfv/sA=")</f>
        <v>1</v>
      </c>
      <c r="GL42" t="b">
        <f>AND(DATA!M143,"AAAAAHfv/sE=")</f>
        <v>1</v>
      </c>
      <c r="GM42" t="b">
        <f>AND(DATA!N143,"AAAAAHfv/sI=")</f>
        <v>1</v>
      </c>
      <c r="GN42">
        <f>IF(DATA!144:144,"AAAAAHfv/sM=",0)</f>
        <v>0</v>
      </c>
      <c r="GO42" t="e">
        <f>AND(DATA!A144,"AAAAAHfv/sQ=")</f>
        <v>#VALUE!</v>
      </c>
      <c r="GP42" t="e">
        <f>AND(DATA!B144,"AAAAAHfv/sU=")</f>
        <v>#VALUE!</v>
      </c>
      <c r="GQ42" t="e">
        <f>AND(DATA!C144,"AAAAAHfv/sY=")</f>
        <v>#VALUE!</v>
      </c>
      <c r="GR42" t="e">
        <f>AND(DATA!D144,"AAAAAHfv/sc=")</f>
        <v>#VALUE!</v>
      </c>
      <c r="GS42" t="e">
        <f>AND(DATA!E144,"AAAAAHfv/sg=")</f>
        <v>#VALUE!</v>
      </c>
      <c r="GT42" t="e">
        <f>AND(DATA!F144,"AAAAAHfv/sk=")</f>
        <v>#VALUE!</v>
      </c>
      <c r="GU42" t="e">
        <f>AND(DATA!G144,"AAAAAHfv/so=")</f>
        <v>#VALUE!</v>
      </c>
      <c r="GV42" t="e">
        <f>AND(DATA!H144,"AAAAAHfv/ss=")</f>
        <v>#VALUE!</v>
      </c>
      <c r="GW42" t="e">
        <f>AND(DATA!I144,"AAAAAHfv/sw=")</f>
        <v>#VALUE!</v>
      </c>
      <c r="GX42" t="e">
        <f>AND(DATA!J144,"AAAAAHfv/s0=")</f>
        <v>#VALUE!</v>
      </c>
      <c r="GY42" t="e">
        <f>AND(DATA!K144,"AAAAAHfv/s4=")</f>
        <v>#VALUE!</v>
      </c>
      <c r="GZ42" t="b">
        <f>AND(DATA!L144,"AAAAAHfv/s8=")</f>
        <v>1</v>
      </c>
      <c r="HA42" t="b">
        <f>AND(DATA!M144,"AAAAAHfv/tA=")</f>
        <v>1</v>
      </c>
      <c r="HB42" t="b">
        <f>AND(DATA!N144,"AAAAAHfv/tE=")</f>
        <v>1</v>
      </c>
      <c r="HC42">
        <f>IF(DATA!145:145,"AAAAAHfv/tI=",0)</f>
        <v>0</v>
      </c>
      <c r="HD42" t="e">
        <f>AND(DATA!A145,"AAAAAHfv/tM=")</f>
        <v>#VALUE!</v>
      </c>
      <c r="HE42" t="e">
        <f>AND(DATA!B145,"AAAAAHfv/tQ=")</f>
        <v>#VALUE!</v>
      </c>
      <c r="HF42" t="e">
        <f>AND(DATA!C145,"AAAAAHfv/tU=")</f>
        <v>#VALUE!</v>
      </c>
      <c r="HG42" t="e">
        <f>AND(DATA!D145,"AAAAAHfv/tY=")</f>
        <v>#VALUE!</v>
      </c>
      <c r="HH42" t="e">
        <f>AND(DATA!E145,"AAAAAHfv/tc=")</f>
        <v>#VALUE!</v>
      </c>
      <c r="HI42" t="e">
        <f>AND(DATA!F145,"AAAAAHfv/tg=")</f>
        <v>#VALUE!</v>
      </c>
      <c r="HJ42" t="e">
        <f>AND(DATA!G145,"AAAAAHfv/tk=")</f>
        <v>#VALUE!</v>
      </c>
      <c r="HK42" t="e">
        <f>AND(DATA!H145,"AAAAAHfv/to=")</f>
        <v>#VALUE!</v>
      </c>
      <c r="HL42" t="e">
        <f>AND(DATA!I145,"AAAAAHfv/ts=")</f>
        <v>#VALUE!</v>
      </c>
      <c r="HM42" t="e">
        <f>AND(DATA!J145,"AAAAAHfv/tw=")</f>
        <v>#VALUE!</v>
      </c>
      <c r="HN42" t="e">
        <f>AND(DATA!K145,"AAAAAHfv/t0=")</f>
        <v>#VALUE!</v>
      </c>
      <c r="HO42" t="b">
        <f>AND(DATA!L145,"AAAAAHfv/t4=")</f>
        <v>1</v>
      </c>
      <c r="HP42" t="b">
        <f>AND(DATA!M145,"AAAAAHfv/t8=")</f>
        <v>1</v>
      </c>
      <c r="HQ42" t="b">
        <f>AND(DATA!N145,"AAAAAHfv/uA=")</f>
        <v>1</v>
      </c>
      <c r="HR42">
        <f>IF(DATA!146:146,"AAAAAHfv/uE=",0)</f>
        <v>0</v>
      </c>
      <c r="HS42" t="e">
        <f>AND(DATA!A146,"AAAAAHfv/uI=")</f>
        <v>#VALUE!</v>
      </c>
      <c r="HT42" t="e">
        <f>AND(DATA!B146,"AAAAAHfv/uM=")</f>
        <v>#VALUE!</v>
      </c>
      <c r="HU42" t="e">
        <f>AND(DATA!C146,"AAAAAHfv/uQ=")</f>
        <v>#VALUE!</v>
      </c>
      <c r="HV42" t="e">
        <f>AND(DATA!D146,"AAAAAHfv/uU=")</f>
        <v>#VALUE!</v>
      </c>
      <c r="HW42" t="e">
        <f>AND(DATA!E146,"AAAAAHfv/uY=")</f>
        <v>#VALUE!</v>
      </c>
      <c r="HX42" t="e">
        <f>AND(DATA!F146,"AAAAAHfv/uc=")</f>
        <v>#VALUE!</v>
      </c>
      <c r="HY42" t="e">
        <f>AND(DATA!G146,"AAAAAHfv/ug=")</f>
        <v>#VALUE!</v>
      </c>
      <c r="HZ42" t="e">
        <f>AND(DATA!H146,"AAAAAHfv/uk=")</f>
        <v>#VALUE!</v>
      </c>
      <c r="IA42" t="e">
        <f>AND(DATA!I146,"AAAAAHfv/uo=")</f>
        <v>#VALUE!</v>
      </c>
      <c r="IB42" t="e">
        <f>AND(DATA!J146,"AAAAAHfv/us=")</f>
        <v>#VALUE!</v>
      </c>
      <c r="IC42" t="e">
        <f>AND(DATA!K146,"AAAAAHfv/uw=")</f>
        <v>#VALUE!</v>
      </c>
      <c r="ID42" t="b">
        <f>AND(DATA!L146,"AAAAAHfv/u0=")</f>
        <v>1</v>
      </c>
      <c r="IE42" t="b">
        <f>AND(DATA!M146,"AAAAAHfv/u4=")</f>
        <v>1</v>
      </c>
      <c r="IF42" t="b">
        <f>AND(DATA!N146,"AAAAAHfv/u8=")</f>
        <v>1</v>
      </c>
      <c r="IG42">
        <f>IF(DATA!147:147,"AAAAAHfv/vA=",0)</f>
        <v>0</v>
      </c>
      <c r="IH42" t="e">
        <f>AND(DATA!A147,"AAAAAHfv/vE=")</f>
        <v>#VALUE!</v>
      </c>
      <c r="II42" t="e">
        <f>AND(DATA!B147,"AAAAAHfv/vI=")</f>
        <v>#VALUE!</v>
      </c>
      <c r="IJ42" t="e">
        <f>AND(DATA!C147,"AAAAAHfv/vM=")</f>
        <v>#VALUE!</v>
      </c>
      <c r="IK42" t="e">
        <f>AND(DATA!D147,"AAAAAHfv/vQ=")</f>
        <v>#VALUE!</v>
      </c>
      <c r="IL42" t="e">
        <f>AND(DATA!E147,"AAAAAHfv/vU=")</f>
        <v>#VALUE!</v>
      </c>
      <c r="IM42" t="e">
        <f>AND(DATA!F147,"AAAAAHfv/vY=")</f>
        <v>#VALUE!</v>
      </c>
      <c r="IN42" t="e">
        <f>AND(DATA!G147,"AAAAAHfv/vc=")</f>
        <v>#VALUE!</v>
      </c>
      <c r="IO42" t="e">
        <f>AND(DATA!H147,"AAAAAHfv/vg=")</f>
        <v>#VALUE!</v>
      </c>
      <c r="IP42" t="e">
        <f>AND(DATA!I147,"AAAAAHfv/vk=")</f>
        <v>#VALUE!</v>
      </c>
      <c r="IQ42" t="e">
        <f>AND(DATA!J147,"AAAAAHfv/vo=")</f>
        <v>#VALUE!</v>
      </c>
      <c r="IR42" t="e">
        <f>AND(DATA!K147,"AAAAAHfv/vs=")</f>
        <v>#VALUE!</v>
      </c>
      <c r="IS42" t="b">
        <f>AND(DATA!L147,"AAAAAHfv/vw=")</f>
        <v>1</v>
      </c>
      <c r="IT42" t="b">
        <f>AND(DATA!M147,"AAAAAHfv/v0=")</f>
        <v>1</v>
      </c>
      <c r="IU42" t="b">
        <f>AND(DATA!N147,"AAAAAHfv/v4=")</f>
        <v>1</v>
      </c>
      <c r="IV42">
        <f>IF(DATA!148:148,"AAAAAHfv/v8=",0)</f>
        <v>0</v>
      </c>
    </row>
    <row r="43" spans="1:256">
      <c r="A43" t="e">
        <f>AND(DATA!A148,"AAAAAHaqzwA=")</f>
        <v>#VALUE!</v>
      </c>
      <c r="B43" t="e">
        <f>AND(DATA!B148,"AAAAAHaqzwE=")</f>
        <v>#VALUE!</v>
      </c>
      <c r="C43" t="e">
        <f>AND(DATA!C148,"AAAAAHaqzwI=")</f>
        <v>#VALUE!</v>
      </c>
      <c r="D43" t="e">
        <f>AND(DATA!D148,"AAAAAHaqzwM=")</f>
        <v>#VALUE!</v>
      </c>
      <c r="E43" t="e">
        <f>AND(DATA!E148,"AAAAAHaqzwQ=")</f>
        <v>#VALUE!</v>
      </c>
      <c r="F43" t="e">
        <f>AND(DATA!F148,"AAAAAHaqzwU=")</f>
        <v>#VALUE!</v>
      </c>
      <c r="G43" t="e">
        <f>AND(DATA!G148,"AAAAAHaqzwY=")</f>
        <v>#VALUE!</v>
      </c>
      <c r="H43" t="e">
        <f>AND(DATA!H148,"AAAAAHaqzwc=")</f>
        <v>#VALUE!</v>
      </c>
      <c r="I43" t="e">
        <f>AND(DATA!I148,"AAAAAHaqzwg=")</f>
        <v>#VALUE!</v>
      </c>
      <c r="J43" t="e">
        <f>AND(DATA!J148,"AAAAAHaqzwk=")</f>
        <v>#VALUE!</v>
      </c>
      <c r="K43" t="e">
        <f>AND(DATA!K148,"AAAAAHaqzwo=")</f>
        <v>#VALUE!</v>
      </c>
      <c r="L43" t="b">
        <f>AND(DATA!L148,"AAAAAHaqzws=")</f>
        <v>1</v>
      </c>
      <c r="M43" t="b">
        <f>AND(DATA!M148,"AAAAAHaqzww=")</f>
        <v>1</v>
      </c>
      <c r="N43" t="b">
        <f>AND(DATA!N148,"AAAAAHaqzw0=")</f>
        <v>1</v>
      </c>
      <c r="O43">
        <f>IF(DATA!149:149,"AAAAAHaqzw4=",0)</f>
        <v>0</v>
      </c>
      <c r="P43" t="e">
        <f>AND(DATA!A149,"AAAAAHaqzw8=")</f>
        <v>#VALUE!</v>
      </c>
      <c r="Q43" t="e">
        <f>AND(DATA!B149,"AAAAAHaqzxA=")</f>
        <v>#VALUE!</v>
      </c>
      <c r="R43" t="e">
        <f>AND(DATA!C149,"AAAAAHaqzxE=")</f>
        <v>#VALUE!</v>
      </c>
      <c r="S43" t="e">
        <f>AND(DATA!D149,"AAAAAHaqzxI=")</f>
        <v>#VALUE!</v>
      </c>
      <c r="T43" t="e">
        <f>AND(DATA!E149,"AAAAAHaqzxM=")</f>
        <v>#VALUE!</v>
      </c>
      <c r="U43" t="e">
        <f>AND(DATA!F149,"AAAAAHaqzxQ=")</f>
        <v>#VALUE!</v>
      </c>
      <c r="V43" t="e">
        <f>AND(DATA!G149,"AAAAAHaqzxU=")</f>
        <v>#VALUE!</v>
      </c>
      <c r="W43" t="e">
        <f>AND(DATA!H149,"AAAAAHaqzxY=")</f>
        <v>#VALUE!</v>
      </c>
      <c r="X43" t="e">
        <f>AND(DATA!I149,"AAAAAHaqzxc=")</f>
        <v>#VALUE!</v>
      </c>
      <c r="Y43" t="e">
        <f>AND(DATA!J149,"AAAAAHaqzxg=")</f>
        <v>#VALUE!</v>
      </c>
      <c r="Z43" t="e">
        <f>AND(DATA!K149,"AAAAAHaqzxk=")</f>
        <v>#VALUE!</v>
      </c>
      <c r="AA43" t="b">
        <f>AND(DATA!L149,"AAAAAHaqzxo=")</f>
        <v>1</v>
      </c>
      <c r="AB43" t="b">
        <f>AND(DATA!M149,"AAAAAHaqzxs=")</f>
        <v>1</v>
      </c>
      <c r="AC43" t="b">
        <f>AND(DATA!N149,"AAAAAHaqzxw=")</f>
        <v>1</v>
      </c>
      <c r="AD43">
        <f>IF(DATA!150:150,"AAAAAHaqzx0=",0)</f>
        <v>0</v>
      </c>
      <c r="AE43" t="e">
        <f>AND(DATA!A150,"AAAAAHaqzx4=")</f>
        <v>#VALUE!</v>
      </c>
      <c r="AF43" t="e">
        <f>AND(DATA!B150,"AAAAAHaqzx8=")</f>
        <v>#VALUE!</v>
      </c>
      <c r="AG43" t="e">
        <f>AND(DATA!C150,"AAAAAHaqzyA=")</f>
        <v>#VALUE!</v>
      </c>
      <c r="AH43" t="e">
        <f>AND(DATA!D150,"AAAAAHaqzyE=")</f>
        <v>#VALUE!</v>
      </c>
      <c r="AI43" t="e">
        <f>AND(DATA!E150,"AAAAAHaqzyI=")</f>
        <v>#VALUE!</v>
      </c>
      <c r="AJ43" t="e">
        <f>AND(DATA!F150,"AAAAAHaqzyM=")</f>
        <v>#VALUE!</v>
      </c>
      <c r="AK43" t="e">
        <f>AND(DATA!G150,"AAAAAHaqzyQ=")</f>
        <v>#VALUE!</v>
      </c>
      <c r="AL43" t="e">
        <f>AND(DATA!H150,"AAAAAHaqzyU=")</f>
        <v>#VALUE!</v>
      </c>
      <c r="AM43" t="e">
        <f>AND(DATA!I150,"AAAAAHaqzyY=")</f>
        <v>#VALUE!</v>
      </c>
      <c r="AN43" t="e">
        <f>AND(DATA!J150,"AAAAAHaqzyc=")</f>
        <v>#VALUE!</v>
      </c>
      <c r="AO43" t="e">
        <f>AND(DATA!K150,"AAAAAHaqzyg=")</f>
        <v>#VALUE!</v>
      </c>
      <c r="AP43" t="b">
        <f>AND(DATA!L150,"AAAAAHaqzyk=")</f>
        <v>1</v>
      </c>
      <c r="AQ43" t="b">
        <f>AND(DATA!M150,"AAAAAHaqzyo=")</f>
        <v>1</v>
      </c>
      <c r="AR43" t="b">
        <f>AND(DATA!N150,"AAAAAHaqzys=")</f>
        <v>1</v>
      </c>
      <c r="AS43">
        <f>IF(DATA!151:151,"AAAAAHaqzyw=",0)</f>
        <v>0</v>
      </c>
      <c r="AT43" t="e">
        <f>AND(DATA!A151,"AAAAAHaqzy0=")</f>
        <v>#VALUE!</v>
      </c>
      <c r="AU43" t="e">
        <f>AND(DATA!B151,"AAAAAHaqzy4=")</f>
        <v>#VALUE!</v>
      </c>
      <c r="AV43" t="e">
        <f>AND(DATA!C151,"AAAAAHaqzy8=")</f>
        <v>#VALUE!</v>
      </c>
      <c r="AW43" t="e">
        <f>AND(DATA!D151,"AAAAAHaqzzA=")</f>
        <v>#VALUE!</v>
      </c>
      <c r="AX43" t="e">
        <f>AND(DATA!E151,"AAAAAHaqzzE=")</f>
        <v>#VALUE!</v>
      </c>
      <c r="AY43" t="e">
        <f>AND(DATA!F151,"AAAAAHaqzzI=")</f>
        <v>#VALUE!</v>
      </c>
      <c r="AZ43" t="e">
        <f>AND(DATA!G151,"AAAAAHaqzzM=")</f>
        <v>#VALUE!</v>
      </c>
      <c r="BA43" t="e">
        <f>AND(DATA!H151,"AAAAAHaqzzQ=")</f>
        <v>#VALUE!</v>
      </c>
      <c r="BB43" t="e">
        <f>AND(DATA!I151,"AAAAAHaqzzU=")</f>
        <v>#VALUE!</v>
      </c>
      <c r="BC43" t="e">
        <f>AND(DATA!J151,"AAAAAHaqzzY=")</f>
        <v>#VALUE!</v>
      </c>
      <c r="BD43" t="e">
        <f>AND(DATA!K151,"AAAAAHaqzzc=")</f>
        <v>#VALUE!</v>
      </c>
      <c r="BE43" t="b">
        <f>AND(DATA!L151,"AAAAAHaqzzg=")</f>
        <v>1</v>
      </c>
      <c r="BF43" t="b">
        <f>AND(DATA!M151,"AAAAAHaqzzk=")</f>
        <v>1</v>
      </c>
      <c r="BG43" t="b">
        <f>AND(DATA!N151,"AAAAAHaqzzo=")</f>
        <v>1</v>
      </c>
      <c r="BH43">
        <f>IF(DATA!152:152,"AAAAAHaqzzs=",0)</f>
        <v>0</v>
      </c>
      <c r="BI43" t="e">
        <f>AND(DATA!A152,"AAAAAHaqzzw=")</f>
        <v>#VALUE!</v>
      </c>
      <c r="BJ43" t="e">
        <f>AND(DATA!B152,"AAAAAHaqzz0=")</f>
        <v>#VALUE!</v>
      </c>
      <c r="BK43" t="e">
        <f>AND(DATA!C152,"AAAAAHaqzz4=")</f>
        <v>#VALUE!</v>
      </c>
      <c r="BL43" t="e">
        <f>AND(DATA!D152,"AAAAAHaqzz8=")</f>
        <v>#VALUE!</v>
      </c>
      <c r="BM43" t="e">
        <f>AND(DATA!E152,"AAAAAHaqz0A=")</f>
        <v>#VALUE!</v>
      </c>
      <c r="BN43" t="e">
        <f>AND(DATA!F152,"AAAAAHaqz0E=")</f>
        <v>#VALUE!</v>
      </c>
      <c r="BO43" t="e">
        <f>AND(DATA!G152,"AAAAAHaqz0I=")</f>
        <v>#VALUE!</v>
      </c>
      <c r="BP43" t="e">
        <f>AND(DATA!H152,"AAAAAHaqz0M=")</f>
        <v>#VALUE!</v>
      </c>
      <c r="BQ43" t="e">
        <f>AND(DATA!I152,"AAAAAHaqz0Q=")</f>
        <v>#VALUE!</v>
      </c>
      <c r="BR43" t="e">
        <f>AND(DATA!J152,"AAAAAHaqz0U=")</f>
        <v>#VALUE!</v>
      </c>
      <c r="BS43" t="e">
        <f>AND(DATA!K152,"AAAAAHaqz0Y=")</f>
        <v>#VALUE!</v>
      </c>
      <c r="BT43" t="b">
        <f>AND(DATA!L152,"AAAAAHaqz0c=")</f>
        <v>1</v>
      </c>
      <c r="BU43" t="b">
        <f>AND(DATA!M152,"AAAAAHaqz0g=")</f>
        <v>1</v>
      </c>
      <c r="BV43" t="b">
        <f>AND(DATA!N152,"AAAAAHaqz0k=")</f>
        <v>1</v>
      </c>
      <c r="BW43">
        <f>IF(DATA!153:153,"AAAAAHaqz0o=",0)</f>
        <v>0</v>
      </c>
      <c r="BX43" t="e">
        <f>AND(DATA!A153,"AAAAAHaqz0s=")</f>
        <v>#VALUE!</v>
      </c>
      <c r="BY43" t="e">
        <f>AND(DATA!B153,"AAAAAHaqz0w=")</f>
        <v>#VALUE!</v>
      </c>
      <c r="BZ43" t="e">
        <f>AND(DATA!C153,"AAAAAHaqz00=")</f>
        <v>#VALUE!</v>
      </c>
      <c r="CA43" t="e">
        <f>AND(DATA!D153,"AAAAAHaqz04=")</f>
        <v>#VALUE!</v>
      </c>
      <c r="CB43" t="e">
        <f>AND(DATA!E153,"AAAAAHaqz08=")</f>
        <v>#VALUE!</v>
      </c>
      <c r="CC43" t="e">
        <f>AND(DATA!F153,"AAAAAHaqz1A=")</f>
        <v>#VALUE!</v>
      </c>
      <c r="CD43" t="e">
        <f>AND(DATA!G153,"AAAAAHaqz1E=")</f>
        <v>#VALUE!</v>
      </c>
      <c r="CE43" t="e">
        <f>AND(DATA!H153,"AAAAAHaqz1I=")</f>
        <v>#VALUE!</v>
      </c>
      <c r="CF43" t="e">
        <f>AND(DATA!I153,"AAAAAHaqz1M=")</f>
        <v>#VALUE!</v>
      </c>
      <c r="CG43" t="e">
        <f>AND(DATA!J153,"AAAAAHaqz1Q=")</f>
        <v>#VALUE!</v>
      </c>
      <c r="CH43" t="e">
        <f>AND(DATA!K153,"AAAAAHaqz1U=")</f>
        <v>#VALUE!</v>
      </c>
      <c r="CI43" t="b">
        <f>AND(DATA!L153,"AAAAAHaqz1Y=")</f>
        <v>1</v>
      </c>
      <c r="CJ43" t="b">
        <f>AND(DATA!M153,"AAAAAHaqz1c=")</f>
        <v>1</v>
      </c>
      <c r="CK43" t="b">
        <f>AND(DATA!N153,"AAAAAHaqz1g=")</f>
        <v>1</v>
      </c>
      <c r="CL43">
        <f>IF(DATA!154:154,"AAAAAHaqz1k=",0)</f>
        <v>0</v>
      </c>
      <c r="CM43" t="e">
        <f>AND(DATA!A154,"AAAAAHaqz1o=")</f>
        <v>#VALUE!</v>
      </c>
      <c r="CN43" t="e">
        <f>AND(DATA!B154,"AAAAAHaqz1s=")</f>
        <v>#VALUE!</v>
      </c>
      <c r="CO43" t="e">
        <f>AND(DATA!C154,"AAAAAHaqz1w=")</f>
        <v>#VALUE!</v>
      </c>
      <c r="CP43" t="e">
        <f>AND(DATA!D154,"AAAAAHaqz10=")</f>
        <v>#VALUE!</v>
      </c>
      <c r="CQ43" t="e">
        <f>AND(DATA!E154,"AAAAAHaqz14=")</f>
        <v>#VALUE!</v>
      </c>
      <c r="CR43" t="e">
        <f>AND(DATA!F154,"AAAAAHaqz18=")</f>
        <v>#VALUE!</v>
      </c>
      <c r="CS43" t="e">
        <f>AND(DATA!G154,"AAAAAHaqz2A=")</f>
        <v>#VALUE!</v>
      </c>
      <c r="CT43" t="e">
        <f>AND(DATA!H154,"AAAAAHaqz2E=")</f>
        <v>#VALUE!</v>
      </c>
      <c r="CU43" t="e">
        <f>AND(DATA!I154,"AAAAAHaqz2I=")</f>
        <v>#VALUE!</v>
      </c>
      <c r="CV43" t="e">
        <f>AND(DATA!J154,"AAAAAHaqz2M=")</f>
        <v>#VALUE!</v>
      </c>
      <c r="CW43" t="e">
        <f>AND(DATA!K154,"AAAAAHaqz2Q=")</f>
        <v>#VALUE!</v>
      </c>
      <c r="CX43" t="b">
        <f>AND(DATA!L154,"AAAAAHaqz2U=")</f>
        <v>1</v>
      </c>
      <c r="CY43" t="b">
        <f>AND(DATA!M154,"AAAAAHaqz2Y=")</f>
        <v>1</v>
      </c>
      <c r="CZ43" t="b">
        <f>AND(DATA!N154,"AAAAAHaqz2c=")</f>
        <v>1</v>
      </c>
      <c r="DA43">
        <f>IF(DATA!155:155,"AAAAAHaqz2g=",0)</f>
        <v>0</v>
      </c>
      <c r="DB43" t="e">
        <f>AND(DATA!A155,"AAAAAHaqz2k=")</f>
        <v>#VALUE!</v>
      </c>
      <c r="DC43" t="e">
        <f>AND(DATA!B155,"AAAAAHaqz2o=")</f>
        <v>#VALUE!</v>
      </c>
      <c r="DD43" t="e">
        <f>AND(DATA!C155,"AAAAAHaqz2s=")</f>
        <v>#VALUE!</v>
      </c>
      <c r="DE43" t="e">
        <f>AND(DATA!D155,"AAAAAHaqz2w=")</f>
        <v>#VALUE!</v>
      </c>
      <c r="DF43" t="e">
        <f>AND(DATA!E155,"AAAAAHaqz20=")</f>
        <v>#VALUE!</v>
      </c>
      <c r="DG43" t="e">
        <f>AND(DATA!F155,"AAAAAHaqz24=")</f>
        <v>#VALUE!</v>
      </c>
      <c r="DH43" t="e">
        <f>AND(DATA!G155,"AAAAAHaqz28=")</f>
        <v>#VALUE!</v>
      </c>
      <c r="DI43" t="e">
        <f>AND(DATA!H155,"AAAAAHaqz3A=")</f>
        <v>#VALUE!</v>
      </c>
      <c r="DJ43" t="e">
        <f>AND(DATA!I155,"AAAAAHaqz3E=")</f>
        <v>#VALUE!</v>
      </c>
      <c r="DK43" t="e">
        <f>AND(DATA!J155,"AAAAAHaqz3I=")</f>
        <v>#VALUE!</v>
      </c>
      <c r="DL43" t="e">
        <f>AND(DATA!K155,"AAAAAHaqz3M=")</f>
        <v>#VALUE!</v>
      </c>
      <c r="DM43" t="b">
        <f>AND(DATA!L155,"AAAAAHaqz3Q=")</f>
        <v>1</v>
      </c>
      <c r="DN43" t="b">
        <f>AND(DATA!M155,"AAAAAHaqz3U=")</f>
        <v>1</v>
      </c>
      <c r="DO43" t="b">
        <f>AND(DATA!N155,"AAAAAHaqz3Y=")</f>
        <v>1</v>
      </c>
      <c r="DP43">
        <f>IF(DATA!156:156,"AAAAAHaqz3c=",0)</f>
        <v>0</v>
      </c>
      <c r="DQ43" t="e">
        <f>AND(DATA!A156,"AAAAAHaqz3g=")</f>
        <v>#VALUE!</v>
      </c>
      <c r="DR43" t="e">
        <f>AND(DATA!B156,"AAAAAHaqz3k=")</f>
        <v>#VALUE!</v>
      </c>
      <c r="DS43" t="e">
        <f>AND(DATA!C156,"AAAAAHaqz3o=")</f>
        <v>#VALUE!</v>
      </c>
      <c r="DT43" t="e">
        <f>AND(DATA!D156,"AAAAAHaqz3s=")</f>
        <v>#VALUE!</v>
      </c>
      <c r="DU43" t="e">
        <f>AND(DATA!E156,"AAAAAHaqz3w=")</f>
        <v>#VALUE!</v>
      </c>
      <c r="DV43" t="e">
        <f>AND(DATA!F156,"AAAAAHaqz30=")</f>
        <v>#VALUE!</v>
      </c>
      <c r="DW43" t="e">
        <f>AND(DATA!G156,"AAAAAHaqz34=")</f>
        <v>#VALUE!</v>
      </c>
      <c r="DX43" t="e">
        <f>AND(DATA!H156,"AAAAAHaqz38=")</f>
        <v>#VALUE!</v>
      </c>
      <c r="DY43" t="e">
        <f>AND(DATA!I156,"AAAAAHaqz4A=")</f>
        <v>#VALUE!</v>
      </c>
      <c r="DZ43" t="e">
        <f>AND(DATA!J156,"AAAAAHaqz4E=")</f>
        <v>#VALUE!</v>
      </c>
      <c r="EA43" t="e">
        <f>AND(DATA!K156,"AAAAAHaqz4I=")</f>
        <v>#VALUE!</v>
      </c>
      <c r="EB43" t="b">
        <f>AND(DATA!L156,"AAAAAHaqz4M=")</f>
        <v>1</v>
      </c>
      <c r="EC43" t="b">
        <f>AND(DATA!M156,"AAAAAHaqz4Q=")</f>
        <v>1</v>
      </c>
      <c r="ED43" t="b">
        <f>AND(DATA!N156,"AAAAAHaqz4U=")</f>
        <v>1</v>
      </c>
      <c r="EE43">
        <f>IF(DATA!157:157,"AAAAAHaqz4Y=",0)</f>
        <v>0</v>
      </c>
      <c r="EF43" t="e">
        <f>AND(DATA!A157,"AAAAAHaqz4c=")</f>
        <v>#VALUE!</v>
      </c>
      <c r="EG43" t="e">
        <f>AND(DATA!B157,"AAAAAHaqz4g=")</f>
        <v>#VALUE!</v>
      </c>
      <c r="EH43" t="e">
        <f>AND(DATA!C157,"AAAAAHaqz4k=")</f>
        <v>#VALUE!</v>
      </c>
      <c r="EI43" t="e">
        <f>AND(DATA!D157,"AAAAAHaqz4o=")</f>
        <v>#VALUE!</v>
      </c>
      <c r="EJ43" t="e">
        <f>AND(DATA!E157,"AAAAAHaqz4s=")</f>
        <v>#VALUE!</v>
      </c>
      <c r="EK43" t="e">
        <f>AND(DATA!F157,"AAAAAHaqz4w=")</f>
        <v>#VALUE!</v>
      </c>
      <c r="EL43" t="e">
        <f>AND(DATA!G157,"AAAAAHaqz40=")</f>
        <v>#VALUE!</v>
      </c>
      <c r="EM43" t="e">
        <f>AND(DATA!H157,"AAAAAHaqz44=")</f>
        <v>#VALUE!</v>
      </c>
      <c r="EN43" t="e">
        <f>AND(DATA!I157,"AAAAAHaqz48=")</f>
        <v>#VALUE!</v>
      </c>
      <c r="EO43" t="e">
        <f>AND(DATA!J157,"AAAAAHaqz5A=")</f>
        <v>#VALUE!</v>
      </c>
      <c r="EP43" t="e">
        <f>AND(DATA!K157,"AAAAAHaqz5E=")</f>
        <v>#VALUE!</v>
      </c>
      <c r="EQ43" t="b">
        <f>AND(DATA!L157,"AAAAAHaqz5I=")</f>
        <v>1</v>
      </c>
      <c r="ER43" t="b">
        <f>AND(DATA!M157,"AAAAAHaqz5M=")</f>
        <v>1</v>
      </c>
      <c r="ES43" t="b">
        <f>AND(DATA!N157,"AAAAAHaqz5Q=")</f>
        <v>1</v>
      </c>
      <c r="ET43">
        <f>IF(DATA!158:158,"AAAAAHaqz5U=",0)</f>
        <v>0</v>
      </c>
      <c r="EU43" t="e">
        <f>AND(DATA!A158,"AAAAAHaqz5Y=")</f>
        <v>#VALUE!</v>
      </c>
      <c r="EV43" t="e">
        <f>AND(DATA!B158,"AAAAAHaqz5c=")</f>
        <v>#VALUE!</v>
      </c>
      <c r="EW43" t="e">
        <f>AND(DATA!C158,"AAAAAHaqz5g=")</f>
        <v>#VALUE!</v>
      </c>
      <c r="EX43" t="e">
        <f>AND(DATA!D158,"AAAAAHaqz5k=")</f>
        <v>#VALUE!</v>
      </c>
      <c r="EY43" t="e">
        <f>AND(DATA!E158,"AAAAAHaqz5o=")</f>
        <v>#VALUE!</v>
      </c>
      <c r="EZ43" t="e">
        <f>AND(DATA!F158,"AAAAAHaqz5s=")</f>
        <v>#VALUE!</v>
      </c>
      <c r="FA43" t="e">
        <f>AND(DATA!G158,"AAAAAHaqz5w=")</f>
        <v>#VALUE!</v>
      </c>
      <c r="FB43" t="e">
        <f>AND(DATA!H158,"AAAAAHaqz50=")</f>
        <v>#VALUE!</v>
      </c>
      <c r="FC43" t="e">
        <f>AND(DATA!I158,"AAAAAHaqz54=")</f>
        <v>#VALUE!</v>
      </c>
      <c r="FD43" t="e">
        <f>AND(DATA!J158,"AAAAAHaqz58=")</f>
        <v>#VALUE!</v>
      </c>
      <c r="FE43" t="e">
        <f>AND(DATA!K158,"AAAAAHaqz6A=")</f>
        <v>#VALUE!</v>
      </c>
      <c r="FF43" t="b">
        <f>AND(DATA!L158,"AAAAAHaqz6E=")</f>
        <v>1</v>
      </c>
      <c r="FG43" t="b">
        <f>AND(DATA!M158,"AAAAAHaqz6I=")</f>
        <v>1</v>
      </c>
      <c r="FH43" t="b">
        <f>AND(DATA!N158,"AAAAAHaqz6M=")</f>
        <v>1</v>
      </c>
      <c r="FI43">
        <f>IF(DATA!159:159,"AAAAAHaqz6Q=",0)</f>
        <v>0</v>
      </c>
      <c r="FJ43" t="e">
        <f>AND(DATA!A159,"AAAAAHaqz6U=")</f>
        <v>#VALUE!</v>
      </c>
      <c r="FK43" t="e">
        <f>AND(DATA!B159,"AAAAAHaqz6Y=")</f>
        <v>#VALUE!</v>
      </c>
      <c r="FL43" t="e">
        <f>AND(DATA!C159,"AAAAAHaqz6c=")</f>
        <v>#VALUE!</v>
      </c>
      <c r="FM43" t="e">
        <f>AND(DATA!D159,"AAAAAHaqz6g=")</f>
        <v>#VALUE!</v>
      </c>
      <c r="FN43" t="e">
        <f>AND(DATA!E159,"AAAAAHaqz6k=")</f>
        <v>#VALUE!</v>
      </c>
      <c r="FO43" t="e">
        <f>AND(DATA!F159,"AAAAAHaqz6o=")</f>
        <v>#VALUE!</v>
      </c>
      <c r="FP43" t="e">
        <f>AND(DATA!G159,"AAAAAHaqz6s=")</f>
        <v>#VALUE!</v>
      </c>
      <c r="FQ43" t="e">
        <f>AND(DATA!H159,"AAAAAHaqz6w=")</f>
        <v>#VALUE!</v>
      </c>
      <c r="FR43" t="e">
        <f>AND(DATA!I159,"AAAAAHaqz60=")</f>
        <v>#VALUE!</v>
      </c>
      <c r="FS43" t="e">
        <f>AND(DATA!J159,"AAAAAHaqz64=")</f>
        <v>#VALUE!</v>
      </c>
      <c r="FT43" t="e">
        <f>AND(DATA!K159,"AAAAAHaqz68=")</f>
        <v>#VALUE!</v>
      </c>
      <c r="FU43" t="b">
        <f>AND(DATA!L159,"AAAAAHaqz7A=")</f>
        <v>1</v>
      </c>
      <c r="FV43" t="b">
        <f>AND(DATA!M159,"AAAAAHaqz7E=")</f>
        <v>1</v>
      </c>
      <c r="FW43" t="b">
        <f>AND(DATA!N159,"AAAAAHaqz7I=")</f>
        <v>1</v>
      </c>
      <c r="FX43">
        <f>IF(DATA!160:160,"AAAAAHaqz7M=",0)</f>
        <v>0</v>
      </c>
      <c r="FY43" t="e">
        <f>AND(DATA!A160,"AAAAAHaqz7Q=")</f>
        <v>#VALUE!</v>
      </c>
      <c r="FZ43" t="e">
        <f>AND(DATA!B160,"AAAAAHaqz7U=")</f>
        <v>#VALUE!</v>
      </c>
      <c r="GA43" t="e">
        <f>AND(DATA!C160,"AAAAAHaqz7Y=")</f>
        <v>#VALUE!</v>
      </c>
      <c r="GB43" t="e">
        <f>AND(DATA!D160,"AAAAAHaqz7c=")</f>
        <v>#VALUE!</v>
      </c>
      <c r="GC43" t="e">
        <f>AND(DATA!E160,"AAAAAHaqz7g=")</f>
        <v>#VALUE!</v>
      </c>
      <c r="GD43" t="e">
        <f>AND(DATA!F160,"AAAAAHaqz7k=")</f>
        <v>#VALUE!</v>
      </c>
      <c r="GE43" t="e">
        <f>AND(DATA!G160,"AAAAAHaqz7o=")</f>
        <v>#VALUE!</v>
      </c>
      <c r="GF43" t="e">
        <f>AND(DATA!H160,"AAAAAHaqz7s=")</f>
        <v>#VALUE!</v>
      </c>
      <c r="GG43" t="e">
        <f>AND(DATA!I160,"AAAAAHaqz7w=")</f>
        <v>#VALUE!</v>
      </c>
      <c r="GH43" t="e">
        <f>AND(DATA!J160,"AAAAAHaqz70=")</f>
        <v>#VALUE!</v>
      </c>
      <c r="GI43" t="e">
        <f>AND(DATA!K160,"AAAAAHaqz74=")</f>
        <v>#VALUE!</v>
      </c>
      <c r="GJ43" t="b">
        <f>AND(DATA!L160,"AAAAAHaqz78=")</f>
        <v>1</v>
      </c>
      <c r="GK43" t="b">
        <f>AND(DATA!M160,"AAAAAHaqz8A=")</f>
        <v>1</v>
      </c>
      <c r="GL43" t="b">
        <f>AND(DATA!N160,"AAAAAHaqz8E=")</f>
        <v>1</v>
      </c>
      <c r="GM43">
        <f>IF(DATA!161:161,"AAAAAHaqz8I=",0)</f>
        <v>0</v>
      </c>
      <c r="GN43" t="e">
        <f>AND(DATA!A161,"AAAAAHaqz8M=")</f>
        <v>#VALUE!</v>
      </c>
      <c r="GO43" t="e">
        <f>AND(DATA!B161,"AAAAAHaqz8Q=")</f>
        <v>#VALUE!</v>
      </c>
      <c r="GP43" t="e">
        <f>AND(DATA!C161,"AAAAAHaqz8U=")</f>
        <v>#VALUE!</v>
      </c>
      <c r="GQ43" t="e">
        <f>AND(DATA!D161,"AAAAAHaqz8Y=")</f>
        <v>#VALUE!</v>
      </c>
      <c r="GR43" t="e">
        <f>AND(DATA!E161,"AAAAAHaqz8c=")</f>
        <v>#VALUE!</v>
      </c>
      <c r="GS43" t="e">
        <f>AND(DATA!F161,"AAAAAHaqz8g=")</f>
        <v>#VALUE!</v>
      </c>
      <c r="GT43" t="e">
        <f>AND(DATA!G161,"AAAAAHaqz8k=")</f>
        <v>#VALUE!</v>
      </c>
      <c r="GU43" t="e">
        <f>AND(DATA!H161,"AAAAAHaqz8o=")</f>
        <v>#VALUE!</v>
      </c>
      <c r="GV43" t="e">
        <f>AND(DATA!I161,"AAAAAHaqz8s=")</f>
        <v>#VALUE!</v>
      </c>
      <c r="GW43" t="e">
        <f>AND(DATA!J161,"AAAAAHaqz8w=")</f>
        <v>#VALUE!</v>
      </c>
      <c r="GX43" t="e">
        <f>AND(DATA!K161,"AAAAAHaqz80=")</f>
        <v>#VALUE!</v>
      </c>
      <c r="GY43" t="b">
        <f>AND(DATA!L161,"AAAAAHaqz84=")</f>
        <v>1</v>
      </c>
      <c r="GZ43" t="b">
        <f>AND(DATA!M161,"AAAAAHaqz88=")</f>
        <v>1</v>
      </c>
      <c r="HA43" t="b">
        <f>AND(DATA!N161,"AAAAAHaqz9A=")</f>
        <v>1</v>
      </c>
      <c r="HB43">
        <f>IF(DATA!162:162,"AAAAAHaqz9E=",0)</f>
        <v>0</v>
      </c>
      <c r="HC43" t="e">
        <f>AND(DATA!A162,"AAAAAHaqz9I=")</f>
        <v>#VALUE!</v>
      </c>
      <c r="HD43" t="e">
        <f>AND(DATA!B162,"AAAAAHaqz9M=")</f>
        <v>#VALUE!</v>
      </c>
      <c r="HE43" t="e">
        <f>AND(DATA!C162,"AAAAAHaqz9Q=")</f>
        <v>#VALUE!</v>
      </c>
      <c r="HF43" t="e">
        <f>AND(DATA!D162,"AAAAAHaqz9U=")</f>
        <v>#VALUE!</v>
      </c>
      <c r="HG43" t="e">
        <f>AND(DATA!E162,"AAAAAHaqz9Y=")</f>
        <v>#VALUE!</v>
      </c>
      <c r="HH43" t="e">
        <f>AND(DATA!F162,"AAAAAHaqz9c=")</f>
        <v>#VALUE!</v>
      </c>
      <c r="HI43" t="e">
        <f>AND(DATA!G162,"AAAAAHaqz9g=")</f>
        <v>#VALUE!</v>
      </c>
      <c r="HJ43" t="e">
        <f>AND(DATA!H162,"AAAAAHaqz9k=")</f>
        <v>#VALUE!</v>
      </c>
      <c r="HK43" t="e">
        <f>AND(DATA!I162,"AAAAAHaqz9o=")</f>
        <v>#VALUE!</v>
      </c>
      <c r="HL43" t="e">
        <f>AND(DATA!J162,"AAAAAHaqz9s=")</f>
        <v>#VALUE!</v>
      </c>
      <c r="HM43" t="e">
        <f>AND(DATA!K162,"AAAAAHaqz9w=")</f>
        <v>#VALUE!</v>
      </c>
      <c r="HN43" t="b">
        <f>AND(DATA!L162,"AAAAAHaqz90=")</f>
        <v>1</v>
      </c>
      <c r="HO43" t="b">
        <f>AND(DATA!M162,"AAAAAHaqz94=")</f>
        <v>1</v>
      </c>
      <c r="HP43" t="b">
        <f>AND(DATA!N162,"AAAAAHaqz98=")</f>
        <v>1</v>
      </c>
      <c r="HQ43">
        <f>IF(DATA!163:163,"AAAAAHaqz+A=",0)</f>
        <v>0</v>
      </c>
      <c r="HR43" t="e">
        <f>AND(DATA!A163,"AAAAAHaqz+E=")</f>
        <v>#VALUE!</v>
      </c>
      <c r="HS43" t="e">
        <f>AND(DATA!B163,"AAAAAHaqz+I=")</f>
        <v>#VALUE!</v>
      </c>
      <c r="HT43" t="e">
        <f>AND(DATA!C163,"AAAAAHaqz+M=")</f>
        <v>#VALUE!</v>
      </c>
      <c r="HU43" t="e">
        <f>AND(DATA!D163,"AAAAAHaqz+Q=")</f>
        <v>#VALUE!</v>
      </c>
      <c r="HV43" t="e">
        <f>AND(DATA!E163,"AAAAAHaqz+U=")</f>
        <v>#VALUE!</v>
      </c>
      <c r="HW43" t="e">
        <f>AND(DATA!F163,"AAAAAHaqz+Y=")</f>
        <v>#VALUE!</v>
      </c>
      <c r="HX43" t="e">
        <f>AND(DATA!G163,"AAAAAHaqz+c=")</f>
        <v>#VALUE!</v>
      </c>
      <c r="HY43" t="e">
        <f>AND(DATA!H163,"AAAAAHaqz+g=")</f>
        <v>#VALUE!</v>
      </c>
      <c r="HZ43" t="e">
        <f>AND(DATA!I163,"AAAAAHaqz+k=")</f>
        <v>#VALUE!</v>
      </c>
      <c r="IA43" t="e">
        <f>AND(DATA!J163,"AAAAAHaqz+o=")</f>
        <v>#VALUE!</v>
      </c>
      <c r="IB43" t="e">
        <f>AND(DATA!K163,"AAAAAHaqz+s=")</f>
        <v>#VALUE!</v>
      </c>
      <c r="IC43" t="b">
        <f>AND(DATA!L163,"AAAAAHaqz+w=")</f>
        <v>1</v>
      </c>
      <c r="ID43" t="b">
        <f>AND(DATA!M163,"AAAAAHaqz+0=")</f>
        <v>1</v>
      </c>
      <c r="IE43" t="b">
        <f>AND(DATA!N163,"AAAAAHaqz+4=")</f>
        <v>1</v>
      </c>
      <c r="IF43">
        <f>IF(DATA!164:164,"AAAAAHaqz+8=",0)</f>
        <v>0</v>
      </c>
      <c r="IG43" t="e">
        <f>AND(DATA!A164,"AAAAAHaqz/A=")</f>
        <v>#VALUE!</v>
      </c>
      <c r="IH43" t="e">
        <f>AND(DATA!B164,"AAAAAHaqz/E=")</f>
        <v>#VALUE!</v>
      </c>
      <c r="II43" t="e">
        <f>AND(DATA!C164,"AAAAAHaqz/I=")</f>
        <v>#VALUE!</v>
      </c>
      <c r="IJ43" t="e">
        <f>AND(DATA!D164,"AAAAAHaqz/M=")</f>
        <v>#VALUE!</v>
      </c>
      <c r="IK43" t="e">
        <f>AND(DATA!E164,"AAAAAHaqz/Q=")</f>
        <v>#VALUE!</v>
      </c>
      <c r="IL43" t="e">
        <f>AND(DATA!F164,"AAAAAHaqz/U=")</f>
        <v>#VALUE!</v>
      </c>
      <c r="IM43" t="e">
        <f>AND(DATA!G164,"AAAAAHaqz/Y=")</f>
        <v>#VALUE!</v>
      </c>
      <c r="IN43" t="e">
        <f>AND(DATA!H164,"AAAAAHaqz/c=")</f>
        <v>#VALUE!</v>
      </c>
      <c r="IO43" t="e">
        <f>AND(DATA!I164,"AAAAAHaqz/g=")</f>
        <v>#VALUE!</v>
      </c>
      <c r="IP43" t="e">
        <f>AND(DATA!J164,"AAAAAHaqz/k=")</f>
        <v>#VALUE!</v>
      </c>
      <c r="IQ43" t="e">
        <f>AND(DATA!K164,"AAAAAHaqz/o=")</f>
        <v>#VALUE!</v>
      </c>
      <c r="IR43" t="b">
        <f>AND(DATA!L164,"AAAAAHaqz/s=")</f>
        <v>1</v>
      </c>
      <c r="IS43" t="b">
        <f>AND(DATA!M164,"AAAAAHaqz/w=")</f>
        <v>1</v>
      </c>
      <c r="IT43" t="b">
        <f>AND(DATA!N164,"AAAAAHaqz/0=")</f>
        <v>1</v>
      </c>
      <c r="IU43">
        <f>IF(DATA!165:165,"AAAAAHaqz/4=",0)</f>
        <v>0</v>
      </c>
      <c r="IV43" t="e">
        <f>AND(DATA!A165,"AAAAAHaqz/8=")</f>
        <v>#VALUE!</v>
      </c>
    </row>
    <row r="44" spans="1:256">
      <c r="A44" t="e">
        <f>AND(DATA!B165,"AAAAAHxcvAA=")</f>
        <v>#VALUE!</v>
      </c>
      <c r="B44" t="e">
        <f>AND(DATA!C165,"AAAAAHxcvAE=")</f>
        <v>#VALUE!</v>
      </c>
      <c r="C44" t="e">
        <f>AND(DATA!D165,"AAAAAHxcvAI=")</f>
        <v>#VALUE!</v>
      </c>
      <c r="D44" t="e">
        <f>AND(DATA!E165,"AAAAAHxcvAM=")</f>
        <v>#VALUE!</v>
      </c>
      <c r="E44" t="e">
        <f>AND(DATA!F165,"AAAAAHxcvAQ=")</f>
        <v>#VALUE!</v>
      </c>
      <c r="F44" t="e">
        <f>AND(DATA!G165,"AAAAAHxcvAU=")</f>
        <v>#VALUE!</v>
      </c>
      <c r="G44" t="e">
        <f>AND(DATA!H165,"AAAAAHxcvAY=")</f>
        <v>#VALUE!</v>
      </c>
      <c r="H44" t="e">
        <f>AND(DATA!I165,"AAAAAHxcvAc=")</f>
        <v>#VALUE!</v>
      </c>
      <c r="I44" t="e">
        <f>AND(DATA!J165,"AAAAAHxcvAg=")</f>
        <v>#VALUE!</v>
      </c>
      <c r="J44" t="e">
        <f>AND(DATA!K165,"AAAAAHxcvAk=")</f>
        <v>#VALUE!</v>
      </c>
      <c r="K44" t="b">
        <f>AND(DATA!L165,"AAAAAHxcvAo=")</f>
        <v>1</v>
      </c>
      <c r="L44" t="b">
        <f>AND(DATA!M165,"AAAAAHxcvAs=")</f>
        <v>1</v>
      </c>
      <c r="M44" t="b">
        <f>AND(DATA!N165,"AAAAAHxcvAw=")</f>
        <v>1</v>
      </c>
      <c r="N44" t="str">
        <f>IF(DATA!166:166,"AAAAAHxcvA0=",0)</f>
        <v>AAAAAHxcvA0=</v>
      </c>
      <c r="O44" t="e">
        <f>AND(DATA!A166,"AAAAAHxcvA4=")</f>
        <v>#VALUE!</v>
      </c>
      <c r="P44" t="e">
        <f>AND(DATA!B166,"AAAAAHxcvA8=")</f>
        <v>#VALUE!</v>
      </c>
      <c r="Q44" t="e">
        <f>AND(DATA!C166,"AAAAAHxcvBA=")</f>
        <v>#VALUE!</v>
      </c>
      <c r="R44" t="e">
        <f>AND(DATA!D166,"AAAAAHxcvBE=")</f>
        <v>#VALUE!</v>
      </c>
      <c r="S44" t="e">
        <f>AND(DATA!E166,"AAAAAHxcvBI=")</f>
        <v>#VALUE!</v>
      </c>
      <c r="T44" t="e">
        <f>AND(DATA!F166,"AAAAAHxcvBM=")</f>
        <v>#VALUE!</v>
      </c>
      <c r="U44" t="e">
        <f>AND(DATA!G166,"AAAAAHxcvBQ=")</f>
        <v>#VALUE!</v>
      </c>
      <c r="V44" t="e">
        <f>AND(DATA!H166,"AAAAAHxcvBU=")</f>
        <v>#VALUE!</v>
      </c>
      <c r="W44" t="e">
        <f>AND(DATA!I166,"AAAAAHxcvBY=")</f>
        <v>#VALUE!</v>
      </c>
      <c r="X44" t="e">
        <f>AND(DATA!J166,"AAAAAHxcvBc=")</f>
        <v>#VALUE!</v>
      </c>
      <c r="Y44" t="e">
        <f>AND(DATA!K166,"AAAAAHxcvBg=")</f>
        <v>#VALUE!</v>
      </c>
      <c r="Z44" t="b">
        <f>AND(DATA!L166,"AAAAAHxcvBk=")</f>
        <v>1</v>
      </c>
      <c r="AA44" t="b">
        <f>AND(DATA!M166,"AAAAAHxcvBo=")</f>
        <v>1</v>
      </c>
      <c r="AB44" t="b">
        <f>AND(DATA!N166,"AAAAAHxcvBs=")</f>
        <v>1</v>
      </c>
      <c r="AC44">
        <f>IF(DATA!167:167,"AAAAAHxcvBw=",0)</f>
        <v>0</v>
      </c>
      <c r="AD44" t="e">
        <f>AND(DATA!A167,"AAAAAHxcvB0=")</f>
        <v>#VALUE!</v>
      </c>
      <c r="AE44" t="e">
        <f>AND(DATA!B167,"AAAAAHxcvB4=")</f>
        <v>#VALUE!</v>
      </c>
      <c r="AF44" t="e">
        <f>AND(DATA!C167,"AAAAAHxcvB8=")</f>
        <v>#VALUE!</v>
      </c>
      <c r="AG44" t="e">
        <f>AND(DATA!D167,"AAAAAHxcvCA=")</f>
        <v>#VALUE!</v>
      </c>
      <c r="AH44" t="e">
        <f>AND(DATA!E167,"AAAAAHxcvCE=")</f>
        <v>#VALUE!</v>
      </c>
      <c r="AI44" t="e">
        <f>AND(DATA!F167,"AAAAAHxcvCI=")</f>
        <v>#VALUE!</v>
      </c>
      <c r="AJ44" t="e">
        <f>AND(DATA!G167,"AAAAAHxcvCM=")</f>
        <v>#VALUE!</v>
      </c>
      <c r="AK44" t="e">
        <f>AND(DATA!H167,"AAAAAHxcvCQ=")</f>
        <v>#VALUE!</v>
      </c>
      <c r="AL44" t="e">
        <f>AND(DATA!I167,"AAAAAHxcvCU=")</f>
        <v>#VALUE!</v>
      </c>
      <c r="AM44" t="e">
        <f>AND(DATA!J167,"AAAAAHxcvCY=")</f>
        <v>#VALUE!</v>
      </c>
      <c r="AN44" t="e">
        <f>AND(DATA!K167,"AAAAAHxcvCc=")</f>
        <v>#VALUE!</v>
      </c>
      <c r="AO44" t="b">
        <f>AND(DATA!L167,"AAAAAHxcvCg=")</f>
        <v>1</v>
      </c>
      <c r="AP44" t="b">
        <f>AND(DATA!M167,"AAAAAHxcvCk=")</f>
        <v>1</v>
      </c>
      <c r="AQ44" t="b">
        <f>AND(DATA!N167,"AAAAAHxcvCo=")</f>
        <v>1</v>
      </c>
      <c r="AR44">
        <f>IF(DATA!168:168,"AAAAAHxcvCs=",0)</f>
        <v>0</v>
      </c>
      <c r="AS44" t="e">
        <f>AND(DATA!A168,"AAAAAHxcvCw=")</f>
        <v>#VALUE!</v>
      </c>
      <c r="AT44" t="e">
        <f>AND(DATA!B168,"AAAAAHxcvC0=")</f>
        <v>#VALUE!</v>
      </c>
      <c r="AU44" t="e">
        <f>AND(DATA!C168,"AAAAAHxcvC4=")</f>
        <v>#VALUE!</v>
      </c>
      <c r="AV44" t="e">
        <f>AND(DATA!D168,"AAAAAHxcvC8=")</f>
        <v>#VALUE!</v>
      </c>
      <c r="AW44" t="e">
        <f>AND(DATA!E168,"AAAAAHxcvDA=")</f>
        <v>#VALUE!</v>
      </c>
      <c r="AX44" t="e">
        <f>AND(DATA!F168,"AAAAAHxcvDE=")</f>
        <v>#VALUE!</v>
      </c>
      <c r="AY44" t="e">
        <f>AND(DATA!G168,"AAAAAHxcvDI=")</f>
        <v>#VALUE!</v>
      </c>
      <c r="AZ44" t="e">
        <f>AND(DATA!H168,"AAAAAHxcvDM=")</f>
        <v>#VALUE!</v>
      </c>
      <c r="BA44" t="e">
        <f>AND(DATA!I168,"AAAAAHxcvDQ=")</f>
        <v>#VALUE!</v>
      </c>
      <c r="BB44" t="e">
        <f>AND(DATA!J168,"AAAAAHxcvDU=")</f>
        <v>#VALUE!</v>
      </c>
      <c r="BC44" t="e">
        <f>AND(DATA!K168,"AAAAAHxcvDY=")</f>
        <v>#VALUE!</v>
      </c>
      <c r="BD44" t="b">
        <f>AND(DATA!L168,"AAAAAHxcvDc=")</f>
        <v>1</v>
      </c>
      <c r="BE44" t="b">
        <f>AND(DATA!M168,"AAAAAHxcvDg=")</f>
        <v>1</v>
      </c>
      <c r="BF44" t="b">
        <f>AND(DATA!N168,"AAAAAHxcvDk=")</f>
        <v>1</v>
      </c>
      <c r="BG44">
        <f>IF(DATA!169:169,"AAAAAHxcvDo=",0)</f>
        <v>0</v>
      </c>
      <c r="BH44" t="e">
        <f>AND(DATA!A169,"AAAAAHxcvDs=")</f>
        <v>#VALUE!</v>
      </c>
      <c r="BI44" t="e">
        <f>AND(DATA!B169,"AAAAAHxcvDw=")</f>
        <v>#VALUE!</v>
      </c>
      <c r="BJ44" t="e">
        <f>AND(DATA!C169,"AAAAAHxcvD0=")</f>
        <v>#VALUE!</v>
      </c>
      <c r="BK44" t="e">
        <f>AND(DATA!D169,"AAAAAHxcvD4=")</f>
        <v>#VALUE!</v>
      </c>
      <c r="BL44" t="e">
        <f>AND(DATA!E169,"AAAAAHxcvD8=")</f>
        <v>#VALUE!</v>
      </c>
      <c r="BM44" t="e">
        <f>AND(DATA!F169,"AAAAAHxcvEA=")</f>
        <v>#VALUE!</v>
      </c>
      <c r="BN44" t="e">
        <f>AND(DATA!G169,"AAAAAHxcvEE=")</f>
        <v>#VALUE!</v>
      </c>
      <c r="BO44" t="e">
        <f>AND(DATA!H169,"AAAAAHxcvEI=")</f>
        <v>#VALUE!</v>
      </c>
      <c r="BP44" t="e">
        <f>AND(DATA!I169,"AAAAAHxcvEM=")</f>
        <v>#VALUE!</v>
      </c>
      <c r="BQ44" t="e">
        <f>AND(DATA!J169,"AAAAAHxcvEQ=")</f>
        <v>#VALUE!</v>
      </c>
      <c r="BR44" t="e">
        <f>AND(DATA!K169,"AAAAAHxcvEU=")</f>
        <v>#VALUE!</v>
      </c>
      <c r="BS44" t="b">
        <f>AND(DATA!L169,"AAAAAHxcvEY=")</f>
        <v>1</v>
      </c>
      <c r="BT44" t="b">
        <f>AND(DATA!M169,"AAAAAHxcvEc=")</f>
        <v>1</v>
      </c>
      <c r="BU44" t="b">
        <f>AND(DATA!N169,"AAAAAHxcvEg=")</f>
        <v>1</v>
      </c>
      <c r="BV44">
        <f>IF(DATA!170:170,"AAAAAHxcvEk=",0)</f>
        <v>0</v>
      </c>
      <c r="BW44" t="e">
        <f>AND(DATA!A170,"AAAAAHxcvEo=")</f>
        <v>#VALUE!</v>
      </c>
      <c r="BX44" t="e">
        <f>AND(DATA!B170,"AAAAAHxcvEs=")</f>
        <v>#VALUE!</v>
      </c>
      <c r="BY44" t="e">
        <f>AND(DATA!C170,"AAAAAHxcvEw=")</f>
        <v>#VALUE!</v>
      </c>
      <c r="BZ44" t="e">
        <f>AND(DATA!D170,"AAAAAHxcvE0=")</f>
        <v>#VALUE!</v>
      </c>
      <c r="CA44" t="e">
        <f>AND(DATA!E170,"AAAAAHxcvE4=")</f>
        <v>#VALUE!</v>
      </c>
      <c r="CB44" t="e">
        <f>AND(DATA!F170,"AAAAAHxcvE8=")</f>
        <v>#VALUE!</v>
      </c>
      <c r="CC44" t="e">
        <f>AND(DATA!G170,"AAAAAHxcvFA=")</f>
        <v>#VALUE!</v>
      </c>
      <c r="CD44" t="e">
        <f>AND(DATA!H170,"AAAAAHxcvFE=")</f>
        <v>#VALUE!</v>
      </c>
      <c r="CE44" t="e">
        <f>AND(DATA!I170,"AAAAAHxcvFI=")</f>
        <v>#VALUE!</v>
      </c>
      <c r="CF44" t="e">
        <f>AND(DATA!J170,"AAAAAHxcvFM=")</f>
        <v>#VALUE!</v>
      </c>
      <c r="CG44" t="e">
        <f>AND(DATA!K170,"AAAAAHxcvFQ=")</f>
        <v>#VALUE!</v>
      </c>
      <c r="CH44" t="b">
        <f>AND(DATA!L170,"AAAAAHxcvFU=")</f>
        <v>1</v>
      </c>
      <c r="CI44" t="b">
        <f>AND(DATA!M170,"AAAAAHxcvFY=")</f>
        <v>1</v>
      </c>
      <c r="CJ44" t="b">
        <f>AND(DATA!N170,"AAAAAHxcvFc=")</f>
        <v>1</v>
      </c>
      <c r="CK44">
        <f>IF(DATA!171:171,"AAAAAHxcvFg=",0)</f>
        <v>0</v>
      </c>
      <c r="CL44" t="e">
        <f>AND(DATA!A171,"AAAAAHxcvFk=")</f>
        <v>#VALUE!</v>
      </c>
      <c r="CM44" t="e">
        <f>AND(DATA!B171,"AAAAAHxcvFo=")</f>
        <v>#VALUE!</v>
      </c>
      <c r="CN44" t="e">
        <f>AND(DATA!C171,"AAAAAHxcvFs=")</f>
        <v>#VALUE!</v>
      </c>
      <c r="CO44" t="e">
        <f>AND(DATA!D171,"AAAAAHxcvFw=")</f>
        <v>#VALUE!</v>
      </c>
      <c r="CP44" t="e">
        <f>AND(DATA!E171,"AAAAAHxcvF0=")</f>
        <v>#VALUE!</v>
      </c>
      <c r="CQ44" t="e">
        <f>AND(DATA!F171,"AAAAAHxcvF4=")</f>
        <v>#VALUE!</v>
      </c>
      <c r="CR44" t="e">
        <f>AND(DATA!G171,"AAAAAHxcvF8=")</f>
        <v>#VALUE!</v>
      </c>
      <c r="CS44" t="e">
        <f>AND(DATA!H171,"AAAAAHxcvGA=")</f>
        <v>#VALUE!</v>
      </c>
      <c r="CT44" t="e">
        <f>AND(DATA!I171,"AAAAAHxcvGE=")</f>
        <v>#VALUE!</v>
      </c>
      <c r="CU44" t="e">
        <f>AND(DATA!J171,"AAAAAHxcvGI=")</f>
        <v>#VALUE!</v>
      </c>
      <c r="CV44" t="e">
        <f>AND(DATA!K171,"AAAAAHxcvGM=")</f>
        <v>#VALUE!</v>
      </c>
      <c r="CW44" t="b">
        <f>AND(DATA!L171,"AAAAAHxcvGQ=")</f>
        <v>1</v>
      </c>
      <c r="CX44" t="b">
        <f>AND(DATA!M171,"AAAAAHxcvGU=")</f>
        <v>1</v>
      </c>
      <c r="CY44" t="b">
        <f>AND(DATA!N171,"AAAAAHxcvGY=")</f>
        <v>1</v>
      </c>
      <c r="CZ44">
        <f>IF(DATA!172:172,"AAAAAHxcvGc=",0)</f>
        <v>0</v>
      </c>
      <c r="DA44" t="e">
        <f>AND(DATA!A172,"AAAAAHxcvGg=")</f>
        <v>#VALUE!</v>
      </c>
      <c r="DB44" t="e">
        <f>AND(DATA!B172,"AAAAAHxcvGk=")</f>
        <v>#VALUE!</v>
      </c>
      <c r="DC44" t="e">
        <f>AND(DATA!C172,"AAAAAHxcvGo=")</f>
        <v>#VALUE!</v>
      </c>
      <c r="DD44" t="e">
        <f>AND(DATA!D172,"AAAAAHxcvGs=")</f>
        <v>#VALUE!</v>
      </c>
      <c r="DE44" t="e">
        <f>AND(DATA!E172,"AAAAAHxcvGw=")</f>
        <v>#VALUE!</v>
      </c>
      <c r="DF44" t="e">
        <f>AND(DATA!F172,"AAAAAHxcvG0=")</f>
        <v>#VALUE!</v>
      </c>
      <c r="DG44" t="e">
        <f>AND(DATA!G172,"AAAAAHxcvG4=")</f>
        <v>#VALUE!</v>
      </c>
      <c r="DH44" t="e">
        <f>AND(DATA!H172,"AAAAAHxcvG8=")</f>
        <v>#VALUE!</v>
      </c>
      <c r="DI44" t="e">
        <f>AND(DATA!I172,"AAAAAHxcvHA=")</f>
        <v>#VALUE!</v>
      </c>
      <c r="DJ44" t="e">
        <f>AND(DATA!J172,"AAAAAHxcvHE=")</f>
        <v>#VALUE!</v>
      </c>
      <c r="DK44" t="e">
        <f>AND(DATA!K172,"AAAAAHxcvHI=")</f>
        <v>#VALUE!</v>
      </c>
      <c r="DL44" t="b">
        <f>AND(DATA!L172,"AAAAAHxcvHM=")</f>
        <v>1</v>
      </c>
      <c r="DM44" t="b">
        <f>AND(DATA!M172,"AAAAAHxcvHQ=")</f>
        <v>1</v>
      </c>
      <c r="DN44" t="b">
        <f>AND(DATA!N172,"AAAAAHxcvHU=")</f>
        <v>1</v>
      </c>
      <c r="DO44">
        <f>IF(DATA!173:173,"AAAAAHxcvHY=",0)</f>
        <v>0</v>
      </c>
      <c r="DP44" t="e">
        <f>AND(DATA!A173,"AAAAAHxcvHc=")</f>
        <v>#VALUE!</v>
      </c>
      <c r="DQ44" t="e">
        <f>AND(DATA!B173,"AAAAAHxcvHg=")</f>
        <v>#VALUE!</v>
      </c>
      <c r="DR44" t="e">
        <f>AND(DATA!C173,"AAAAAHxcvHk=")</f>
        <v>#VALUE!</v>
      </c>
      <c r="DS44" t="e">
        <f>AND(DATA!D173,"AAAAAHxcvHo=")</f>
        <v>#VALUE!</v>
      </c>
      <c r="DT44" t="e">
        <f>AND(DATA!E173,"AAAAAHxcvHs=")</f>
        <v>#VALUE!</v>
      </c>
      <c r="DU44" t="e">
        <f>AND(DATA!F173,"AAAAAHxcvHw=")</f>
        <v>#VALUE!</v>
      </c>
      <c r="DV44" t="e">
        <f>AND(DATA!G173,"AAAAAHxcvH0=")</f>
        <v>#VALUE!</v>
      </c>
      <c r="DW44" t="e">
        <f>AND(DATA!H173,"AAAAAHxcvH4=")</f>
        <v>#VALUE!</v>
      </c>
      <c r="DX44" t="e">
        <f>AND(DATA!I173,"AAAAAHxcvH8=")</f>
        <v>#VALUE!</v>
      </c>
      <c r="DY44" t="e">
        <f>AND(DATA!J173,"AAAAAHxcvIA=")</f>
        <v>#VALUE!</v>
      </c>
      <c r="DZ44" t="e">
        <f>AND(DATA!K173,"AAAAAHxcvIE=")</f>
        <v>#VALUE!</v>
      </c>
      <c r="EA44" t="b">
        <f>AND(DATA!L173,"AAAAAHxcvII=")</f>
        <v>1</v>
      </c>
      <c r="EB44" t="b">
        <f>AND(DATA!M173,"AAAAAHxcvIM=")</f>
        <v>1</v>
      </c>
      <c r="EC44" t="b">
        <f>AND(DATA!N173,"AAAAAHxcvIQ=")</f>
        <v>1</v>
      </c>
      <c r="ED44">
        <f>IF(DATA!174:174,"AAAAAHxcvIU=",0)</f>
        <v>0</v>
      </c>
      <c r="EE44" t="e">
        <f>AND(DATA!A174,"AAAAAHxcvIY=")</f>
        <v>#VALUE!</v>
      </c>
      <c r="EF44" t="e">
        <f>AND(DATA!B174,"AAAAAHxcvIc=")</f>
        <v>#VALUE!</v>
      </c>
      <c r="EG44" t="e">
        <f>AND(DATA!C174,"AAAAAHxcvIg=")</f>
        <v>#VALUE!</v>
      </c>
      <c r="EH44" t="e">
        <f>AND(DATA!D174,"AAAAAHxcvIk=")</f>
        <v>#VALUE!</v>
      </c>
      <c r="EI44" t="e">
        <f>AND(DATA!E174,"AAAAAHxcvIo=")</f>
        <v>#VALUE!</v>
      </c>
      <c r="EJ44" t="e">
        <f>AND(DATA!F174,"AAAAAHxcvIs=")</f>
        <v>#VALUE!</v>
      </c>
      <c r="EK44" t="e">
        <f>AND(DATA!G174,"AAAAAHxcvIw=")</f>
        <v>#VALUE!</v>
      </c>
      <c r="EL44" t="e">
        <f>AND(DATA!H174,"AAAAAHxcvI0=")</f>
        <v>#VALUE!</v>
      </c>
      <c r="EM44" t="e">
        <f>AND(DATA!I174,"AAAAAHxcvI4=")</f>
        <v>#VALUE!</v>
      </c>
      <c r="EN44" t="e">
        <f>AND(DATA!J174,"AAAAAHxcvI8=")</f>
        <v>#VALUE!</v>
      </c>
      <c r="EO44" t="e">
        <f>AND(DATA!K174,"AAAAAHxcvJA=")</f>
        <v>#VALUE!</v>
      </c>
      <c r="EP44" t="b">
        <f>AND(DATA!L174,"AAAAAHxcvJE=")</f>
        <v>1</v>
      </c>
      <c r="EQ44" t="b">
        <f>AND(DATA!M174,"AAAAAHxcvJI=")</f>
        <v>1</v>
      </c>
      <c r="ER44" t="b">
        <f>AND(DATA!N174,"AAAAAHxcvJM=")</f>
        <v>1</v>
      </c>
      <c r="ES44">
        <f>IF(DATA!175:175,"AAAAAHxcvJQ=",0)</f>
        <v>0</v>
      </c>
      <c r="ET44" t="e">
        <f>AND(DATA!A175,"AAAAAHxcvJU=")</f>
        <v>#VALUE!</v>
      </c>
      <c r="EU44" t="e">
        <f>AND(DATA!B175,"AAAAAHxcvJY=")</f>
        <v>#VALUE!</v>
      </c>
      <c r="EV44" t="e">
        <f>AND(DATA!C175,"AAAAAHxcvJc=")</f>
        <v>#VALUE!</v>
      </c>
      <c r="EW44" t="e">
        <f>AND(DATA!D175,"AAAAAHxcvJg=")</f>
        <v>#VALUE!</v>
      </c>
      <c r="EX44" t="e">
        <f>AND(DATA!E175,"AAAAAHxcvJk=")</f>
        <v>#VALUE!</v>
      </c>
      <c r="EY44" t="e">
        <f>AND(DATA!F175,"AAAAAHxcvJo=")</f>
        <v>#VALUE!</v>
      </c>
      <c r="EZ44" t="e">
        <f>AND(DATA!G175,"AAAAAHxcvJs=")</f>
        <v>#VALUE!</v>
      </c>
      <c r="FA44" t="e">
        <f>AND(DATA!H175,"AAAAAHxcvJw=")</f>
        <v>#VALUE!</v>
      </c>
      <c r="FB44" t="e">
        <f>AND(DATA!I175,"AAAAAHxcvJ0=")</f>
        <v>#VALUE!</v>
      </c>
      <c r="FC44" t="e">
        <f>AND(DATA!J175,"AAAAAHxcvJ4=")</f>
        <v>#VALUE!</v>
      </c>
      <c r="FD44" t="e">
        <f>AND(DATA!K175,"AAAAAHxcvJ8=")</f>
        <v>#VALUE!</v>
      </c>
      <c r="FE44" t="b">
        <f>AND(DATA!L175,"AAAAAHxcvKA=")</f>
        <v>1</v>
      </c>
      <c r="FF44" t="b">
        <f>AND(DATA!M175,"AAAAAHxcvKE=")</f>
        <v>1</v>
      </c>
      <c r="FG44" t="b">
        <f>AND(DATA!N175,"AAAAAHxcvKI=")</f>
        <v>1</v>
      </c>
      <c r="FH44">
        <f>IF(DATA!176:176,"AAAAAHxcvKM=",0)</f>
        <v>0</v>
      </c>
      <c r="FI44" t="e">
        <f>AND(DATA!A176,"AAAAAHxcvKQ=")</f>
        <v>#VALUE!</v>
      </c>
      <c r="FJ44" t="e">
        <f>AND(DATA!B176,"AAAAAHxcvKU=")</f>
        <v>#VALUE!</v>
      </c>
      <c r="FK44" t="e">
        <f>AND(DATA!C176,"AAAAAHxcvKY=")</f>
        <v>#VALUE!</v>
      </c>
      <c r="FL44" t="e">
        <f>AND(DATA!D176,"AAAAAHxcvKc=")</f>
        <v>#VALUE!</v>
      </c>
      <c r="FM44" t="e">
        <f>AND(DATA!E176,"AAAAAHxcvKg=")</f>
        <v>#VALUE!</v>
      </c>
      <c r="FN44" t="e">
        <f>AND(DATA!F176,"AAAAAHxcvKk=")</f>
        <v>#VALUE!</v>
      </c>
      <c r="FO44" t="e">
        <f>AND(DATA!G176,"AAAAAHxcvKo=")</f>
        <v>#VALUE!</v>
      </c>
      <c r="FP44" t="e">
        <f>AND(DATA!H176,"AAAAAHxcvKs=")</f>
        <v>#VALUE!</v>
      </c>
      <c r="FQ44" t="e">
        <f>AND(DATA!I176,"AAAAAHxcvKw=")</f>
        <v>#VALUE!</v>
      </c>
      <c r="FR44" t="e">
        <f>AND(DATA!J176,"AAAAAHxcvK0=")</f>
        <v>#VALUE!</v>
      </c>
      <c r="FS44" t="e">
        <f>AND(DATA!K176,"AAAAAHxcvK4=")</f>
        <v>#VALUE!</v>
      </c>
      <c r="FT44" t="b">
        <f>AND(DATA!L176,"AAAAAHxcvK8=")</f>
        <v>1</v>
      </c>
      <c r="FU44" t="b">
        <f>AND(DATA!M176,"AAAAAHxcvLA=")</f>
        <v>1</v>
      </c>
      <c r="FV44" t="b">
        <f>AND(DATA!N176,"AAAAAHxcvLE=")</f>
        <v>1</v>
      </c>
      <c r="FW44">
        <f>IF(DATA!177:177,"AAAAAHxcvLI=",0)</f>
        <v>0</v>
      </c>
      <c r="FX44" t="e">
        <f>AND(DATA!A177,"AAAAAHxcvLM=")</f>
        <v>#VALUE!</v>
      </c>
      <c r="FY44" t="e">
        <f>AND(DATA!B177,"AAAAAHxcvLQ=")</f>
        <v>#VALUE!</v>
      </c>
      <c r="FZ44" t="e">
        <f>AND(DATA!C177,"AAAAAHxcvLU=")</f>
        <v>#VALUE!</v>
      </c>
      <c r="GA44" t="e">
        <f>AND(DATA!D177,"AAAAAHxcvLY=")</f>
        <v>#VALUE!</v>
      </c>
      <c r="GB44" t="e">
        <f>AND(DATA!E177,"AAAAAHxcvLc=")</f>
        <v>#VALUE!</v>
      </c>
      <c r="GC44" t="e">
        <f>AND(DATA!F177,"AAAAAHxcvLg=")</f>
        <v>#VALUE!</v>
      </c>
      <c r="GD44" t="e">
        <f>AND(DATA!G177,"AAAAAHxcvLk=")</f>
        <v>#VALUE!</v>
      </c>
      <c r="GE44" t="e">
        <f>AND(DATA!H177,"AAAAAHxcvLo=")</f>
        <v>#VALUE!</v>
      </c>
      <c r="GF44" t="e">
        <f>AND(DATA!I177,"AAAAAHxcvLs=")</f>
        <v>#VALUE!</v>
      </c>
      <c r="GG44" t="e">
        <f>AND(DATA!J177,"AAAAAHxcvLw=")</f>
        <v>#VALUE!</v>
      </c>
      <c r="GH44" t="e">
        <f>AND(DATA!K177,"AAAAAHxcvL0=")</f>
        <v>#VALUE!</v>
      </c>
      <c r="GI44" t="b">
        <f>AND(DATA!L177,"AAAAAHxcvL4=")</f>
        <v>1</v>
      </c>
      <c r="GJ44" t="b">
        <f>AND(DATA!M177,"AAAAAHxcvL8=")</f>
        <v>1</v>
      </c>
      <c r="GK44" t="b">
        <f>AND(DATA!N177,"AAAAAHxcvMA=")</f>
        <v>1</v>
      </c>
      <c r="GL44">
        <f>IF(DATA!178:178,"AAAAAHxcvME=",0)</f>
        <v>0</v>
      </c>
      <c r="GM44" t="e">
        <f>AND(DATA!A178,"AAAAAHxcvMI=")</f>
        <v>#VALUE!</v>
      </c>
      <c r="GN44" t="e">
        <f>AND(DATA!B178,"AAAAAHxcvMM=")</f>
        <v>#VALUE!</v>
      </c>
      <c r="GO44" t="e">
        <f>AND(DATA!C178,"AAAAAHxcvMQ=")</f>
        <v>#VALUE!</v>
      </c>
      <c r="GP44" t="e">
        <f>AND(DATA!D178,"AAAAAHxcvMU=")</f>
        <v>#VALUE!</v>
      </c>
      <c r="GQ44" t="e">
        <f>AND(DATA!E178,"AAAAAHxcvMY=")</f>
        <v>#VALUE!</v>
      </c>
      <c r="GR44" t="e">
        <f>AND(DATA!F178,"AAAAAHxcvMc=")</f>
        <v>#VALUE!</v>
      </c>
      <c r="GS44" t="e">
        <f>AND(DATA!G178,"AAAAAHxcvMg=")</f>
        <v>#VALUE!</v>
      </c>
      <c r="GT44" t="e">
        <f>AND(DATA!H178,"AAAAAHxcvMk=")</f>
        <v>#VALUE!</v>
      </c>
      <c r="GU44" t="e">
        <f>AND(DATA!I178,"AAAAAHxcvMo=")</f>
        <v>#VALUE!</v>
      </c>
      <c r="GV44" t="e">
        <f>AND(DATA!J178,"AAAAAHxcvMs=")</f>
        <v>#VALUE!</v>
      </c>
      <c r="GW44" t="e">
        <f>AND(DATA!K178,"AAAAAHxcvMw=")</f>
        <v>#VALUE!</v>
      </c>
      <c r="GX44" t="b">
        <f>AND(DATA!L178,"AAAAAHxcvM0=")</f>
        <v>1</v>
      </c>
      <c r="GY44" t="b">
        <f>AND(DATA!M178,"AAAAAHxcvM4=")</f>
        <v>1</v>
      </c>
      <c r="GZ44" t="b">
        <f>AND(DATA!N178,"AAAAAHxcvM8=")</f>
        <v>1</v>
      </c>
      <c r="HA44">
        <f>IF(DATA!179:179,"AAAAAHxcvNA=",0)</f>
        <v>0</v>
      </c>
      <c r="HB44" t="e">
        <f>AND(DATA!A179,"AAAAAHxcvNE=")</f>
        <v>#VALUE!</v>
      </c>
      <c r="HC44" t="e">
        <f>AND(DATA!B179,"AAAAAHxcvNI=")</f>
        <v>#VALUE!</v>
      </c>
      <c r="HD44" t="e">
        <f>AND(DATA!C179,"AAAAAHxcvNM=")</f>
        <v>#VALUE!</v>
      </c>
      <c r="HE44" t="e">
        <f>AND(DATA!D179,"AAAAAHxcvNQ=")</f>
        <v>#VALUE!</v>
      </c>
      <c r="HF44" t="e">
        <f>AND(DATA!E179,"AAAAAHxcvNU=")</f>
        <v>#VALUE!</v>
      </c>
      <c r="HG44" t="e">
        <f>AND(DATA!F179,"AAAAAHxcvNY=")</f>
        <v>#VALUE!</v>
      </c>
      <c r="HH44" t="e">
        <f>AND(DATA!G179,"AAAAAHxcvNc=")</f>
        <v>#VALUE!</v>
      </c>
      <c r="HI44" t="e">
        <f>AND(DATA!H179,"AAAAAHxcvNg=")</f>
        <v>#VALUE!</v>
      </c>
      <c r="HJ44" t="e">
        <f>AND(DATA!I179,"AAAAAHxcvNk=")</f>
        <v>#VALUE!</v>
      </c>
      <c r="HK44" t="e">
        <f>AND(DATA!J179,"AAAAAHxcvNo=")</f>
        <v>#VALUE!</v>
      </c>
      <c r="HL44" t="e">
        <f>AND(DATA!K179,"AAAAAHxcvNs=")</f>
        <v>#VALUE!</v>
      </c>
      <c r="HM44" t="b">
        <f>AND(DATA!L179,"AAAAAHxcvNw=")</f>
        <v>1</v>
      </c>
      <c r="HN44" t="b">
        <f>AND(DATA!M179,"AAAAAHxcvN0=")</f>
        <v>1</v>
      </c>
      <c r="HO44" t="b">
        <f>AND(DATA!N179,"AAAAAHxcvN4=")</f>
        <v>1</v>
      </c>
      <c r="HP44">
        <f>IF(DATA!180:180,"AAAAAHxcvN8=",0)</f>
        <v>0</v>
      </c>
      <c r="HQ44" t="e">
        <f>AND(DATA!A180,"AAAAAHxcvOA=")</f>
        <v>#VALUE!</v>
      </c>
      <c r="HR44" t="e">
        <f>AND(DATA!B180,"AAAAAHxcvOE=")</f>
        <v>#VALUE!</v>
      </c>
      <c r="HS44" t="e">
        <f>AND(DATA!C180,"AAAAAHxcvOI=")</f>
        <v>#VALUE!</v>
      </c>
      <c r="HT44" t="e">
        <f>AND(DATA!D180,"AAAAAHxcvOM=")</f>
        <v>#VALUE!</v>
      </c>
      <c r="HU44" t="e">
        <f>AND(DATA!E180,"AAAAAHxcvOQ=")</f>
        <v>#VALUE!</v>
      </c>
      <c r="HV44" t="e">
        <f>AND(DATA!F180,"AAAAAHxcvOU=")</f>
        <v>#VALUE!</v>
      </c>
      <c r="HW44" t="e">
        <f>AND(DATA!G180,"AAAAAHxcvOY=")</f>
        <v>#VALUE!</v>
      </c>
      <c r="HX44" t="e">
        <f>AND(DATA!H180,"AAAAAHxcvOc=")</f>
        <v>#VALUE!</v>
      </c>
      <c r="HY44" t="e">
        <f>AND(DATA!I180,"AAAAAHxcvOg=")</f>
        <v>#VALUE!</v>
      </c>
      <c r="HZ44" t="e">
        <f>AND(DATA!J180,"AAAAAHxcvOk=")</f>
        <v>#VALUE!</v>
      </c>
      <c r="IA44" t="e">
        <f>AND(DATA!K180,"AAAAAHxcvOo=")</f>
        <v>#VALUE!</v>
      </c>
      <c r="IB44" t="b">
        <f>AND(DATA!L180,"AAAAAHxcvOs=")</f>
        <v>1</v>
      </c>
      <c r="IC44" t="b">
        <f>AND(DATA!M180,"AAAAAHxcvOw=")</f>
        <v>1</v>
      </c>
      <c r="ID44" t="b">
        <f>AND(DATA!N180,"AAAAAHxcvO0=")</f>
        <v>1</v>
      </c>
      <c r="IE44">
        <f>IF(DATA!181:181,"AAAAAHxcvO4=",0)</f>
        <v>0</v>
      </c>
      <c r="IF44" t="e">
        <f>AND(DATA!A181,"AAAAAHxcvO8=")</f>
        <v>#VALUE!</v>
      </c>
      <c r="IG44" t="e">
        <f>AND(DATA!B181,"AAAAAHxcvPA=")</f>
        <v>#VALUE!</v>
      </c>
      <c r="IH44" t="e">
        <f>AND(DATA!C181,"AAAAAHxcvPE=")</f>
        <v>#VALUE!</v>
      </c>
      <c r="II44" t="e">
        <f>AND(DATA!D181,"AAAAAHxcvPI=")</f>
        <v>#VALUE!</v>
      </c>
      <c r="IJ44" t="e">
        <f>AND(DATA!E181,"AAAAAHxcvPM=")</f>
        <v>#VALUE!</v>
      </c>
      <c r="IK44" t="e">
        <f>AND(DATA!F181,"AAAAAHxcvPQ=")</f>
        <v>#VALUE!</v>
      </c>
      <c r="IL44" t="e">
        <f>AND(DATA!G181,"AAAAAHxcvPU=")</f>
        <v>#VALUE!</v>
      </c>
      <c r="IM44" t="e">
        <f>AND(DATA!H181,"AAAAAHxcvPY=")</f>
        <v>#VALUE!</v>
      </c>
      <c r="IN44" t="e">
        <f>AND(DATA!I181,"AAAAAHxcvPc=")</f>
        <v>#VALUE!</v>
      </c>
      <c r="IO44" t="e">
        <f>AND(DATA!J181,"AAAAAHxcvPg=")</f>
        <v>#VALUE!</v>
      </c>
      <c r="IP44" t="e">
        <f>AND(DATA!K181,"AAAAAHxcvPk=")</f>
        <v>#VALUE!</v>
      </c>
      <c r="IQ44" t="b">
        <f>AND(DATA!L181,"AAAAAHxcvPo=")</f>
        <v>1</v>
      </c>
      <c r="IR44" t="b">
        <f>AND(DATA!M181,"AAAAAHxcvPs=")</f>
        <v>1</v>
      </c>
      <c r="IS44" t="b">
        <f>AND(DATA!N181,"AAAAAHxcvPw=")</f>
        <v>1</v>
      </c>
      <c r="IT44">
        <f>IF(DATA!182:182,"AAAAAHxcvP0=",0)</f>
        <v>0</v>
      </c>
      <c r="IU44" t="e">
        <f>AND(DATA!A182,"AAAAAHxcvP4=")</f>
        <v>#VALUE!</v>
      </c>
      <c r="IV44" t="e">
        <f>AND(DATA!B182,"AAAAAHxcvP8=")</f>
        <v>#VALUE!</v>
      </c>
    </row>
    <row r="45" spans="1:256">
      <c r="A45" t="e">
        <f>AND(DATA!C182,"AAAAABv9bQA=")</f>
        <v>#VALUE!</v>
      </c>
      <c r="B45" t="e">
        <f>AND(DATA!D182,"AAAAABv9bQE=")</f>
        <v>#VALUE!</v>
      </c>
      <c r="C45" t="e">
        <f>AND(DATA!E182,"AAAAABv9bQI=")</f>
        <v>#VALUE!</v>
      </c>
      <c r="D45" t="e">
        <f>AND(DATA!F182,"AAAAABv9bQM=")</f>
        <v>#VALUE!</v>
      </c>
      <c r="E45" t="e">
        <f>AND(DATA!G182,"AAAAABv9bQQ=")</f>
        <v>#VALUE!</v>
      </c>
      <c r="F45" t="e">
        <f>AND(DATA!H182,"AAAAABv9bQU=")</f>
        <v>#VALUE!</v>
      </c>
      <c r="G45" t="e">
        <f>AND(DATA!I182,"AAAAABv9bQY=")</f>
        <v>#VALUE!</v>
      </c>
      <c r="H45" t="e">
        <f>AND(DATA!J182,"AAAAABv9bQc=")</f>
        <v>#VALUE!</v>
      </c>
      <c r="I45" t="e">
        <f>AND(DATA!K182,"AAAAABv9bQg=")</f>
        <v>#VALUE!</v>
      </c>
      <c r="J45" t="b">
        <f>AND(DATA!L182,"AAAAABv9bQk=")</f>
        <v>1</v>
      </c>
      <c r="K45" t="b">
        <f>AND(DATA!M182,"AAAAABv9bQo=")</f>
        <v>1</v>
      </c>
      <c r="L45" t="b">
        <f>AND(DATA!N182,"AAAAABv9bQs=")</f>
        <v>1</v>
      </c>
      <c r="M45" t="str">
        <f>IF(DATA!183:183,"AAAAABv9bQw=",0)</f>
        <v>AAAAABv9bQw=</v>
      </c>
      <c r="N45" t="e">
        <f>AND(DATA!A183,"AAAAABv9bQ0=")</f>
        <v>#VALUE!</v>
      </c>
      <c r="O45" t="e">
        <f>AND(DATA!B183,"AAAAABv9bQ4=")</f>
        <v>#VALUE!</v>
      </c>
      <c r="P45" t="e">
        <f>AND(DATA!C183,"AAAAABv9bQ8=")</f>
        <v>#VALUE!</v>
      </c>
      <c r="Q45" t="e">
        <f>AND(DATA!D183,"AAAAABv9bRA=")</f>
        <v>#VALUE!</v>
      </c>
      <c r="R45" t="e">
        <f>AND(DATA!E183,"AAAAABv9bRE=")</f>
        <v>#VALUE!</v>
      </c>
      <c r="S45" t="e">
        <f>AND(DATA!F183,"AAAAABv9bRI=")</f>
        <v>#VALUE!</v>
      </c>
      <c r="T45" t="e">
        <f>AND(DATA!G183,"AAAAABv9bRM=")</f>
        <v>#VALUE!</v>
      </c>
      <c r="U45" t="e">
        <f>AND(DATA!H183,"AAAAABv9bRQ=")</f>
        <v>#VALUE!</v>
      </c>
      <c r="V45" t="e">
        <f>AND(DATA!I183,"AAAAABv9bRU=")</f>
        <v>#VALUE!</v>
      </c>
      <c r="W45" t="e">
        <f>AND(DATA!J183,"AAAAABv9bRY=")</f>
        <v>#VALUE!</v>
      </c>
      <c r="X45" t="e">
        <f>AND(DATA!K183,"AAAAABv9bRc=")</f>
        <v>#VALUE!</v>
      </c>
      <c r="Y45" t="b">
        <f>AND(DATA!L183,"AAAAABv9bRg=")</f>
        <v>1</v>
      </c>
      <c r="Z45" t="b">
        <f>AND(DATA!M183,"AAAAABv9bRk=")</f>
        <v>1</v>
      </c>
      <c r="AA45" t="b">
        <f>AND(DATA!N183,"AAAAABv9bRo=")</f>
        <v>1</v>
      </c>
      <c r="AB45">
        <f>IF(DATA!184:184,"AAAAABv9bRs=",0)</f>
        <v>0</v>
      </c>
      <c r="AC45" t="e">
        <f>AND(DATA!A184,"AAAAABv9bRw=")</f>
        <v>#VALUE!</v>
      </c>
      <c r="AD45" t="e">
        <f>AND(DATA!B184,"AAAAABv9bR0=")</f>
        <v>#VALUE!</v>
      </c>
      <c r="AE45" t="e">
        <f>AND(DATA!C184,"AAAAABv9bR4=")</f>
        <v>#VALUE!</v>
      </c>
      <c r="AF45" t="e">
        <f>AND(DATA!D184,"AAAAABv9bR8=")</f>
        <v>#VALUE!</v>
      </c>
      <c r="AG45" t="e">
        <f>AND(DATA!E184,"AAAAABv9bSA=")</f>
        <v>#VALUE!</v>
      </c>
      <c r="AH45" t="e">
        <f>AND(DATA!F184,"AAAAABv9bSE=")</f>
        <v>#VALUE!</v>
      </c>
      <c r="AI45" t="e">
        <f>AND(DATA!G184,"AAAAABv9bSI=")</f>
        <v>#VALUE!</v>
      </c>
      <c r="AJ45" t="e">
        <f>AND(DATA!H184,"AAAAABv9bSM=")</f>
        <v>#VALUE!</v>
      </c>
      <c r="AK45" t="e">
        <f>AND(DATA!I184,"AAAAABv9bSQ=")</f>
        <v>#VALUE!</v>
      </c>
      <c r="AL45" t="e">
        <f>AND(DATA!J184,"AAAAABv9bSU=")</f>
        <v>#VALUE!</v>
      </c>
      <c r="AM45" t="e">
        <f>AND(DATA!K184,"AAAAABv9bSY=")</f>
        <v>#VALUE!</v>
      </c>
      <c r="AN45" t="b">
        <f>AND(DATA!L184,"AAAAABv9bSc=")</f>
        <v>1</v>
      </c>
      <c r="AO45" t="b">
        <f>AND(DATA!M184,"AAAAABv9bSg=")</f>
        <v>1</v>
      </c>
      <c r="AP45" t="b">
        <f>AND(DATA!N184,"AAAAABv9bSk=")</f>
        <v>1</v>
      </c>
      <c r="AQ45">
        <f>IF(DATA!185:185,"AAAAABv9bSo=",0)</f>
        <v>0</v>
      </c>
      <c r="AR45" t="e">
        <f>AND(DATA!A185,"AAAAABv9bSs=")</f>
        <v>#VALUE!</v>
      </c>
      <c r="AS45" t="e">
        <f>AND(DATA!B185,"AAAAABv9bSw=")</f>
        <v>#VALUE!</v>
      </c>
      <c r="AT45" t="e">
        <f>AND(DATA!C185,"AAAAABv9bS0=")</f>
        <v>#VALUE!</v>
      </c>
      <c r="AU45" t="e">
        <f>AND(DATA!D185,"AAAAABv9bS4=")</f>
        <v>#VALUE!</v>
      </c>
      <c r="AV45" t="e">
        <f>AND(DATA!E185,"AAAAABv9bS8=")</f>
        <v>#VALUE!</v>
      </c>
      <c r="AW45" t="e">
        <f>AND(DATA!F185,"AAAAABv9bTA=")</f>
        <v>#VALUE!</v>
      </c>
      <c r="AX45" t="e">
        <f>AND(DATA!G185,"AAAAABv9bTE=")</f>
        <v>#VALUE!</v>
      </c>
      <c r="AY45" t="e">
        <f>AND(DATA!H185,"AAAAABv9bTI=")</f>
        <v>#VALUE!</v>
      </c>
      <c r="AZ45" t="e">
        <f>AND(DATA!I185,"AAAAABv9bTM=")</f>
        <v>#VALUE!</v>
      </c>
      <c r="BA45" t="e">
        <f>AND(DATA!J185,"AAAAABv9bTQ=")</f>
        <v>#VALUE!</v>
      </c>
      <c r="BB45" t="e">
        <f>AND(DATA!K185,"AAAAABv9bTU=")</f>
        <v>#VALUE!</v>
      </c>
      <c r="BC45" t="b">
        <f>AND(DATA!L185,"AAAAABv9bTY=")</f>
        <v>1</v>
      </c>
      <c r="BD45" t="b">
        <f>AND(DATA!M185,"AAAAABv9bTc=")</f>
        <v>1</v>
      </c>
      <c r="BE45" t="b">
        <f>AND(DATA!N185,"AAAAABv9bTg=")</f>
        <v>1</v>
      </c>
      <c r="BF45">
        <f>IF(DATA!186:186,"AAAAABv9bTk=",0)</f>
        <v>0</v>
      </c>
      <c r="BG45" t="e">
        <f>AND(DATA!A186,"AAAAABv9bTo=")</f>
        <v>#VALUE!</v>
      </c>
      <c r="BH45" t="e">
        <f>AND(DATA!B186,"AAAAABv9bTs=")</f>
        <v>#VALUE!</v>
      </c>
      <c r="BI45" t="e">
        <f>AND(DATA!C186,"AAAAABv9bTw=")</f>
        <v>#VALUE!</v>
      </c>
      <c r="BJ45" t="e">
        <f>AND(DATA!D186,"AAAAABv9bT0=")</f>
        <v>#VALUE!</v>
      </c>
      <c r="BK45" t="e">
        <f>AND(DATA!E186,"AAAAABv9bT4=")</f>
        <v>#VALUE!</v>
      </c>
      <c r="BL45" t="e">
        <f>AND(DATA!F186,"AAAAABv9bT8=")</f>
        <v>#VALUE!</v>
      </c>
      <c r="BM45" t="e">
        <f>AND(DATA!G186,"AAAAABv9bUA=")</f>
        <v>#VALUE!</v>
      </c>
      <c r="BN45" t="e">
        <f>AND(DATA!H186,"AAAAABv9bUE=")</f>
        <v>#VALUE!</v>
      </c>
      <c r="BO45" t="e">
        <f>AND(DATA!I186,"AAAAABv9bUI=")</f>
        <v>#VALUE!</v>
      </c>
      <c r="BP45" t="e">
        <f>AND(DATA!J186,"AAAAABv9bUM=")</f>
        <v>#VALUE!</v>
      </c>
      <c r="BQ45" t="e">
        <f>AND(DATA!K186,"AAAAABv9bUQ=")</f>
        <v>#VALUE!</v>
      </c>
      <c r="BR45" t="b">
        <f>AND(DATA!L186,"AAAAABv9bUU=")</f>
        <v>1</v>
      </c>
      <c r="BS45" t="b">
        <f>AND(DATA!M186,"AAAAABv9bUY=")</f>
        <v>1</v>
      </c>
      <c r="BT45" t="b">
        <f>AND(DATA!N186,"AAAAABv9bUc=")</f>
        <v>1</v>
      </c>
      <c r="BU45">
        <f>IF(DATA!187:187,"AAAAABv9bUg=",0)</f>
        <v>0</v>
      </c>
      <c r="BV45" t="e">
        <f>AND(DATA!A187,"AAAAABv9bUk=")</f>
        <v>#VALUE!</v>
      </c>
      <c r="BW45" t="e">
        <f>AND(DATA!B187,"AAAAABv9bUo=")</f>
        <v>#VALUE!</v>
      </c>
      <c r="BX45" t="e">
        <f>AND(DATA!C187,"AAAAABv9bUs=")</f>
        <v>#VALUE!</v>
      </c>
      <c r="BY45" t="e">
        <f>AND(DATA!D187,"AAAAABv9bUw=")</f>
        <v>#VALUE!</v>
      </c>
      <c r="BZ45" t="e">
        <f>AND(DATA!E187,"AAAAABv9bU0=")</f>
        <v>#VALUE!</v>
      </c>
      <c r="CA45" t="e">
        <f>AND(DATA!F187,"AAAAABv9bU4=")</f>
        <v>#VALUE!</v>
      </c>
      <c r="CB45" t="e">
        <f>AND(DATA!G187,"AAAAABv9bU8=")</f>
        <v>#VALUE!</v>
      </c>
      <c r="CC45" t="e">
        <f>AND(DATA!H187,"AAAAABv9bVA=")</f>
        <v>#VALUE!</v>
      </c>
      <c r="CD45" t="e">
        <f>AND(DATA!I187,"AAAAABv9bVE=")</f>
        <v>#VALUE!</v>
      </c>
      <c r="CE45" t="e">
        <f>AND(DATA!J187,"AAAAABv9bVI=")</f>
        <v>#VALUE!</v>
      </c>
      <c r="CF45" t="e">
        <f>AND(DATA!K187,"AAAAABv9bVM=")</f>
        <v>#VALUE!</v>
      </c>
      <c r="CG45" t="b">
        <f>AND(DATA!L187,"AAAAABv9bVQ=")</f>
        <v>1</v>
      </c>
      <c r="CH45" t="b">
        <f>AND(DATA!M187,"AAAAABv9bVU=")</f>
        <v>1</v>
      </c>
      <c r="CI45" t="b">
        <f>AND(DATA!N187,"AAAAABv9bVY=")</f>
        <v>1</v>
      </c>
      <c r="CJ45">
        <f>IF(DATA!188:188,"AAAAABv9bVc=",0)</f>
        <v>0</v>
      </c>
      <c r="CK45" t="e">
        <f>AND(DATA!A188,"AAAAABv9bVg=")</f>
        <v>#VALUE!</v>
      </c>
      <c r="CL45" t="e">
        <f>AND(DATA!B188,"AAAAABv9bVk=")</f>
        <v>#VALUE!</v>
      </c>
      <c r="CM45" t="e">
        <f>AND(DATA!C188,"AAAAABv9bVo=")</f>
        <v>#VALUE!</v>
      </c>
      <c r="CN45" t="e">
        <f>AND(DATA!D188,"AAAAABv9bVs=")</f>
        <v>#VALUE!</v>
      </c>
      <c r="CO45" t="e">
        <f>AND(DATA!E188,"AAAAABv9bVw=")</f>
        <v>#VALUE!</v>
      </c>
      <c r="CP45" t="e">
        <f>AND(DATA!F188,"AAAAABv9bV0=")</f>
        <v>#VALUE!</v>
      </c>
      <c r="CQ45" t="e">
        <f>AND(DATA!G188,"AAAAABv9bV4=")</f>
        <v>#VALUE!</v>
      </c>
      <c r="CR45" t="e">
        <f>AND(DATA!H188,"AAAAABv9bV8=")</f>
        <v>#VALUE!</v>
      </c>
      <c r="CS45" t="e">
        <f>AND(DATA!I188,"AAAAABv9bWA=")</f>
        <v>#VALUE!</v>
      </c>
      <c r="CT45" t="e">
        <f>AND(DATA!J188,"AAAAABv9bWE=")</f>
        <v>#VALUE!</v>
      </c>
      <c r="CU45" t="e">
        <f>AND(DATA!K188,"AAAAABv9bWI=")</f>
        <v>#VALUE!</v>
      </c>
      <c r="CV45" t="b">
        <f>AND(DATA!L188,"AAAAABv9bWM=")</f>
        <v>1</v>
      </c>
      <c r="CW45" t="b">
        <f>AND(DATA!M188,"AAAAABv9bWQ=")</f>
        <v>1</v>
      </c>
      <c r="CX45" t="b">
        <f>AND(DATA!N188,"AAAAABv9bWU=")</f>
        <v>1</v>
      </c>
      <c r="CY45">
        <f>IF(DATA!189:189,"AAAAABv9bWY=",0)</f>
        <v>0</v>
      </c>
      <c r="CZ45" t="e">
        <f>AND(DATA!A189,"AAAAABv9bWc=")</f>
        <v>#VALUE!</v>
      </c>
      <c r="DA45" t="e">
        <f>AND(DATA!B189,"AAAAABv9bWg=")</f>
        <v>#VALUE!</v>
      </c>
      <c r="DB45" t="e">
        <f>AND(DATA!C189,"AAAAABv9bWk=")</f>
        <v>#VALUE!</v>
      </c>
      <c r="DC45" t="e">
        <f>AND(DATA!D189,"AAAAABv9bWo=")</f>
        <v>#VALUE!</v>
      </c>
      <c r="DD45" t="e">
        <f>AND(DATA!E189,"AAAAABv9bWs=")</f>
        <v>#VALUE!</v>
      </c>
      <c r="DE45" t="e">
        <f>AND(DATA!F189,"AAAAABv9bWw=")</f>
        <v>#VALUE!</v>
      </c>
      <c r="DF45" t="e">
        <f>AND(DATA!G189,"AAAAABv9bW0=")</f>
        <v>#VALUE!</v>
      </c>
      <c r="DG45" t="e">
        <f>AND(DATA!H189,"AAAAABv9bW4=")</f>
        <v>#VALUE!</v>
      </c>
      <c r="DH45" t="e">
        <f>AND(DATA!I189,"AAAAABv9bW8=")</f>
        <v>#VALUE!</v>
      </c>
      <c r="DI45" t="e">
        <f>AND(DATA!J189,"AAAAABv9bXA=")</f>
        <v>#VALUE!</v>
      </c>
      <c r="DJ45" t="e">
        <f>AND(DATA!K189,"AAAAABv9bXE=")</f>
        <v>#VALUE!</v>
      </c>
      <c r="DK45" t="b">
        <f>AND(DATA!L189,"AAAAABv9bXI=")</f>
        <v>1</v>
      </c>
      <c r="DL45" t="b">
        <f>AND(DATA!M189,"AAAAABv9bXM=")</f>
        <v>1</v>
      </c>
      <c r="DM45" t="b">
        <f>AND(DATA!N189,"AAAAABv9bXQ=")</f>
        <v>1</v>
      </c>
      <c r="DN45">
        <f>IF(DATA!190:190,"AAAAABv9bXU=",0)</f>
        <v>0</v>
      </c>
      <c r="DO45" t="e">
        <f>AND(DATA!A190,"AAAAABv9bXY=")</f>
        <v>#VALUE!</v>
      </c>
      <c r="DP45" t="e">
        <f>AND(DATA!B190,"AAAAABv9bXc=")</f>
        <v>#VALUE!</v>
      </c>
      <c r="DQ45" t="e">
        <f>AND(DATA!C190,"AAAAABv9bXg=")</f>
        <v>#VALUE!</v>
      </c>
      <c r="DR45" t="e">
        <f>AND(DATA!D190,"AAAAABv9bXk=")</f>
        <v>#VALUE!</v>
      </c>
      <c r="DS45" t="e">
        <f>AND(DATA!E190,"AAAAABv9bXo=")</f>
        <v>#VALUE!</v>
      </c>
      <c r="DT45" t="e">
        <f>AND(DATA!F190,"AAAAABv9bXs=")</f>
        <v>#VALUE!</v>
      </c>
      <c r="DU45" t="e">
        <f>AND(DATA!G190,"AAAAABv9bXw=")</f>
        <v>#VALUE!</v>
      </c>
      <c r="DV45" t="e">
        <f>AND(DATA!H190,"AAAAABv9bX0=")</f>
        <v>#VALUE!</v>
      </c>
      <c r="DW45" t="e">
        <f>AND(DATA!I190,"AAAAABv9bX4=")</f>
        <v>#VALUE!</v>
      </c>
      <c r="DX45" t="e">
        <f>AND(DATA!J190,"AAAAABv9bX8=")</f>
        <v>#VALUE!</v>
      </c>
      <c r="DY45" t="e">
        <f>AND(DATA!K190,"AAAAABv9bYA=")</f>
        <v>#VALUE!</v>
      </c>
      <c r="DZ45" t="b">
        <f>AND(DATA!L190,"AAAAABv9bYE=")</f>
        <v>1</v>
      </c>
      <c r="EA45" t="b">
        <f>AND(DATA!M190,"AAAAABv9bYI=")</f>
        <v>1</v>
      </c>
      <c r="EB45" t="b">
        <f>AND(DATA!N190,"AAAAABv9bYM=")</f>
        <v>1</v>
      </c>
      <c r="EC45">
        <f>IF(DATA!191:191,"AAAAABv9bYQ=",0)</f>
        <v>0</v>
      </c>
      <c r="ED45" t="e">
        <f>AND(DATA!A191,"AAAAABv9bYU=")</f>
        <v>#VALUE!</v>
      </c>
      <c r="EE45" t="e">
        <f>AND(DATA!B191,"AAAAABv9bYY=")</f>
        <v>#VALUE!</v>
      </c>
      <c r="EF45" t="e">
        <f>AND(DATA!C191,"AAAAABv9bYc=")</f>
        <v>#VALUE!</v>
      </c>
      <c r="EG45" t="e">
        <f>AND(DATA!D191,"AAAAABv9bYg=")</f>
        <v>#VALUE!</v>
      </c>
      <c r="EH45" t="e">
        <f>AND(DATA!E191,"AAAAABv9bYk=")</f>
        <v>#VALUE!</v>
      </c>
      <c r="EI45" t="e">
        <f>AND(DATA!F191,"AAAAABv9bYo=")</f>
        <v>#VALUE!</v>
      </c>
      <c r="EJ45" t="e">
        <f>AND(DATA!G191,"AAAAABv9bYs=")</f>
        <v>#VALUE!</v>
      </c>
      <c r="EK45" t="e">
        <f>AND(DATA!H191,"AAAAABv9bYw=")</f>
        <v>#VALUE!</v>
      </c>
      <c r="EL45" t="e">
        <f>AND(DATA!I191,"AAAAABv9bY0=")</f>
        <v>#VALUE!</v>
      </c>
      <c r="EM45" t="e">
        <f>AND(DATA!J191,"AAAAABv9bY4=")</f>
        <v>#VALUE!</v>
      </c>
      <c r="EN45" t="e">
        <f>AND(DATA!K191,"AAAAABv9bY8=")</f>
        <v>#VALUE!</v>
      </c>
      <c r="EO45" t="b">
        <f>AND(DATA!L191,"AAAAABv9bZA=")</f>
        <v>1</v>
      </c>
      <c r="EP45" t="b">
        <f>AND(DATA!M191,"AAAAABv9bZE=")</f>
        <v>1</v>
      </c>
      <c r="EQ45" t="b">
        <f>AND(DATA!N191,"AAAAABv9bZI=")</f>
        <v>1</v>
      </c>
      <c r="ER45">
        <f>IF(DATA!192:192,"AAAAABv9bZM=",0)</f>
        <v>0</v>
      </c>
      <c r="ES45" t="e">
        <f>AND(DATA!A192,"AAAAABv9bZQ=")</f>
        <v>#VALUE!</v>
      </c>
      <c r="ET45" t="e">
        <f>AND(DATA!B192,"AAAAABv9bZU=")</f>
        <v>#VALUE!</v>
      </c>
      <c r="EU45" t="e">
        <f>AND(DATA!C192,"AAAAABv9bZY=")</f>
        <v>#VALUE!</v>
      </c>
      <c r="EV45" t="e">
        <f>AND(DATA!D192,"AAAAABv9bZc=")</f>
        <v>#VALUE!</v>
      </c>
      <c r="EW45" t="e">
        <f>AND(DATA!E192,"AAAAABv9bZg=")</f>
        <v>#VALUE!</v>
      </c>
      <c r="EX45" t="e">
        <f>AND(DATA!F192,"AAAAABv9bZk=")</f>
        <v>#VALUE!</v>
      </c>
      <c r="EY45" t="e">
        <f>AND(DATA!G192,"AAAAABv9bZo=")</f>
        <v>#VALUE!</v>
      </c>
      <c r="EZ45" t="e">
        <f>AND(DATA!H192,"AAAAABv9bZs=")</f>
        <v>#VALUE!</v>
      </c>
      <c r="FA45" t="e">
        <f>AND(DATA!I192,"AAAAABv9bZw=")</f>
        <v>#VALUE!</v>
      </c>
      <c r="FB45" t="e">
        <f>AND(DATA!J192,"AAAAABv9bZ0=")</f>
        <v>#VALUE!</v>
      </c>
      <c r="FC45" t="e">
        <f>AND(DATA!K192,"AAAAABv9bZ4=")</f>
        <v>#VALUE!</v>
      </c>
      <c r="FD45" t="b">
        <f>AND(DATA!L192,"AAAAABv9bZ8=")</f>
        <v>1</v>
      </c>
      <c r="FE45" t="b">
        <f>AND(DATA!M192,"AAAAABv9baA=")</f>
        <v>1</v>
      </c>
      <c r="FF45" t="b">
        <f>AND(DATA!N192,"AAAAABv9baE=")</f>
        <v>1</v>
      </c>
      <c r="FG45">
        <f>IF(DATA!193:193,"AAAAABv9baI=",0)</f>
        <v>0</v>
      </c>
      <c r="FH45" t="e">
        <f>AND(DATA!A193,"AAAAABv9baM=")</f>
        <v>#VALUE!</v>
      </c>
      <c r="FI45" t="e">
        <f>AND(DATA!B193,"AAAAABv9baQ=")</f>
        <v>#VALUE!</v>
      </c>
      <c r="FJ45" t="e">
        <f>AND(DATA!C193,"AAAAABv9baU=")</f>
        <v>#VALUE!</v>
      </c>
      <c r="FK45" t="e">
        <f>AND(DATA!D193,"AAAAABv9baY=")</f>
        <v>#VALUE!</v>
      </c>
      <c r="FL45" t="e">
        <f>AND(DATA!E193,"AAAAABv9bac=")</f>
        <v>#VALUE!</v>
      </c>
      <c r="FM45" t="e">
        <f>AND(DATA!F193,"AAAAABv9bag=")</f>
        <v>#VALUE!</v>
      </c>
      <c r="FN45" t="e">
        <f>AND(DATA!G193,"AAAAABv9bak=")</f>
        <v>#VALUE!</v>
      </c>
      <c r="FO45" t="e">
        <f>AND(DATA!H193,"AAAAABv9bao=")</f>
        <v>#VALUE!</v>
      </c>
      <c r="FP45" t="e">
        <f>AND(DATA!I193,"AAAAABv9bas=")</f>
        <v>#VALUE!</v>
      </c>
      <c r="FQ45" t="e">
        <f>AND(DATA!J193,"AAAAABv9baw=")</f>
        <v>#VALUE!</v>
      </c>
      <c r="FR45" t="e">
        <f>AND(DATA!K193,"AAAAABv9ba0=")</f>
        <v>#VALUE!</v>
      </c>
      <c r="FS45" t="b">
        <f>AND(DATA!L193,"AAAAABv9ba4=")</f>
        <v>1</v>
      </c>
      <c r="FT45" t="b">
        <f>AND(DATA!M193,"AAAAABv9ba8=")</f>
        <v>1</v>
      </c>
      <c r="FU45" t="b">
        <f>AND(DATA!N193,"AAAAABv9bbA=")</f>
        <v>1</v>
      </c>
      <c r="FV45">
        <f>IF(DATA!194:194,"AAAAABv9bbE=",0)</f>
        <v>0</v>
      </c>
      <c r="FW45" t="e">
        <f>AND(DATA!A194,"AAAAABv9bbI=")</f>
        <v>#VALUE!</v>
      </c>
      <c r="FX45" t="e">
        <f>AND(DATA!B194,"AAAAABv9bbM=")</f>
        <v>#VALUE!</v>
      </c>
      <c r="FY45" t="e">
        <f>AND(DATA!C194,"AAAAABv9bbQ=")</f>
        <v>#VALUE!</v>
      </c>
      <c r="FZ45" t="e">
        <f>AND(DATA!D194,"AAAAABv9bbU=")</f>
        <v>#VALUE!</v>
      </c>
      <c r="GA45" t="e">
        <f>AND(DATA!E194,"AAAAABv9bbY=")</f>
        <v>#VALUE!</v>
      </c>
      <c r="GB45" t="e">
        <f>AND(DATA!F194,"AAAAABv9bbc=")</f>
        <v>#VALUE!</v>
      </c>
      <c r="GC45" t="e">
        <f>AND(DATA!G194,"AAAAABv9bbg=")</f>
        <v>#VALUE!</v>
      </c>
      <c r="GD45" t="e">
        <f>AND(DATA!H194,"AAAAABv9bbk=")</f>
        <v>#VALUE!</v>
      </c>
      <c r="GE45" t="e">
        <f>AND(DATA!I194,"AAAAABv9bbo=")</f>
        <v>#VALUE!</v>
      </c>
      <c r="GF45" t="e">
        <f>AND(DATA!J194,"AAAAABv9bbs=")</f>
        <v>#VALUE!</v>
      </c>
      <c r="GG45" t="e">
        <f>AND(DATA!K194,"AAAAABv9bbw=")</f>
        <v>#VALUE!</v>
      </c>
      <c r="GH45" t="b">
        <f>AND(DATA!L194,"AAAAABv9bb0=")</f>
        <v>1</v>
      </c>
      <c r="GI45" t="b">
        <f>AND(DATA!M194,"AAAAABv9bb4=")</f>
        <v>1</v>
      </c>
      <c r="GJ45" t="b">
        <f>AND(DATA!N194,"AAAAABv9bb8=")</f>
        <v>1</v>
      </c>
      <c r="GK45">
        <f>IF(DATA!195:195,"AAAAABv9bcA=",0)</f>
        <v>0</v>
      </c>
      <c r="GL45" t="e">
        <f>AND(DATA!A195,"AAAAABv9bcE=")</f>
        <v>#VALUE!</v>
      </c>
      <c r="GM45" t="e">
        <f>AND(DATA!B195,"AAAAABv9bcI=")</f>
        <v>#VALUE!</v>
      </c>
      <c r="GN45" t="e">
        <f>AND(DATA!C195,"AAAAABv9bcM=")</f>
        <v>#VALUE!</v>
      </c>
      <c r="GO45" t="e">
        <f>AND(DATA!D195,"AAAAABv9bcQ=")</f>
        <v>#VALUE!</v>
      </c>
      <c r="GP45" t="e">
        <f>AND(DATA!E195,"AAAAABv9bcU=")</f>
        <v>#VALUE!</v>
      </c>
      <c r="GQ45" t="e">
        <f>AND(DATA!F195,"AAAAABv9bcY=")</f>
        <v>#VALUE!</v>
      </c>
      <c r="GR45" t="e">
        <f>AND(DATA!G195,"AAAAABv9bcc=")</f>
        <v>#VALUE!</v>
      </c>
      <c r="GS45" t="e">
        <f>AND(DATA!H195,"AAAAABv9bcg=")</f>
        <v>#VALUE!</v>
      </c>
      <c r="GT45" t="e">
        <f>AND(DATA!I195,"AAAAABv9bck=")</f>
        <v>#VALUE!</v>
      </c>
      <c r="GU45" t="e">
        <f>AND(DATA!J195,"AAAAABv9bco=")</f>
        <v>#VALUE!</v>
      </c>
      <c r="GV45" t="e">
        <f>AND(DATA!K195,"AAAAABv9bcs=")</f>
        <v>#VALUE!</v>
      </c>
      <c r="GW45" t="b">
        <f>AND(DATA!L195,"AAAAABv9bcw=")</f>
        <v>1</v>
      </c>
      <c r="GX45" t="b">
        <f>AND(DATA!M195,"AAAAABv9bc0=")</f>
        <v>1</v>
      </c>
      <c r="GY45" t="b">
        <f>AND(DATA!N195,"AAAAABv9bc4=")</f>
        <v>1</v>
      </c>
      <c r="GZ45">
        <f>IF(DATA!196:196,"AAAAABv9bc8=",0)</f>
        <v>0</v>
      </c>
      <c r="HA45" t="e">
        <f>AND(DATA!A196,"AAAAABv9bdA=")</f>
        <v>#VALUE!</v>
      </c>
      <c r="HB45" t="e">
        <f>AND(DATA!B196,"AAAAABv9bdE=")</f>
        <v>#VALUE!</v>
      </c>
      <c r="HC45" t="e">
        <f>AND(DATA!C196,"AAAAABv9bdI=")</f>
        <v>#VALUE!</v>
      </c>
      <c r="HD45" t="e">
        <f>AND(DATA!D196,"AAAAABv9bdM=")</f>
        <v>#VALUE!</v>
      </c>
      <c r="HE45" t="e">
        <f>AND(DATA!E196,"AAAAABv9bdQ=")</f>
        <v>#VALUE!</v>
      </c>
      <c r="HF45" t="e">
        <f>AND(DATA!F196,"AAAAABv9bdU=")</f>
        <v>#VALUE!</v>
      </c>
      <c r="HG45" t="e">
        <f>AND(DATA!G196,"AAAAABv9bdY=")</f>
        <v>#VALUE!</v>
      </c>
      <c r="HH45" t="e">
        <f>AND(DATA!H196,"AAAAABv9bdc=")</f>
        <v>#VALUE!</v>
      </c>
      <c r="HI45" t="e">
        <f>AND(DATA!I196,"AAAAABv9bdg=")</f>
        <v>#VALUE!</v>
      </c>
      <c r="HJ45" t="e">
        <f>AND(DATA!J196,"AAAAABv9bdk=")</f>
        <v>#VALUE!</v>
      </c>
      <c r="HK45" t="e">
        <f>AND(DATA!K196,"AAAAABv9bdo=")</f>
        <v>#VALUE!</v>
      </c>
      <c r="HL45" t="b">
        <f>AND(DATA!L196,"AAAAABv9bds=")</f>
        <v>1</v>
      </c>
      <c r="HM45" t="b">
        <f>AND(DATA!M196,"AAAAABv9bdw=")</f>
        <v>1</v>
      </c>
      <c r="HN45" t="b">
        <f>AND(DATA!N196,"AAAAABv9bd0=")</f>
        <v>1</v>
      </c>
      <c r="HO45">
        <f>IF(DATA!197:197,"AAAAABv9bd4=",0)</f>
        <v>0</v>
      </c>
      <c r="HP45" t="e">
        <f>AND(DATA!A197,"AAAAABv9bd8=")</f>
        <v>#VALUE!</v>
      </c>
      <c r="HQ45" t="e">
        <f>AND(DATA!B197,"AAAAABv9beA=")</f>
        <v>#VALUE!</v>
      </c>
      <c r="HR45" t="e">
        <f>AND(DATA!C197,"AAAAABv9beE=")</f>
        <v>#VALUE!</v>
      </c>
      <c r="HS45" t="e">
        <f>AND(DATA!D197,"AAAAABv9beI=")</f>
        <v>#VALUE!</v>
      </c>
      <c r="HT45" t="e">
        <f>AND(DATA!E197,"AAAAABv9beM=")</f>
        <v>#VALUE!</v>
      </c>
      <c r="HU45" t="e">
        <f>AND(DATA!F197,"AAAAABv9beQ=")</f>
        <v>#VALUE!</v>
      </c>
      <c r="HV45" t="e">
        <f>AND(DATA!G197,"AAAAABv9beU=")</f>
        <v>#VALUE!</v>
      </c>
      <c r="HW45" t="e">
        <f>AND(DATA!H197,"AAAAABv9beY=")</f>
        <v>#VALUE!</v>
      </c>
      <c r="HX45" t="e">
        <f>AND(DATA!I197,"AAAAABv9bec=")</f>
        <v>#VALUE!</v>
      </c>
      <c r="HY45" t="e">
        <f>AND(DATA!J197,"AAAAABv9beg=")</f>
        <v>#VALUE!</v>
      </c>
      <c r="HZ45" t="e">
        <f>AND(DATA!K197,"AAAAABv9bek=")</f>
        <v>#VALUE!</v>
      </c>
      <c r="IA45" t="b">
        <f>AND(DATA!L197,"AAAAABv9beo=")</f>
        <v>1</v>
      </c>
      <c r="IB45" t="b">
        <f>AND(DATA!M197,"AAAAABv9bes=")</f>
        <v>1</v>
      </c>
      <c r="IC45" t="b">
        <f>AND(DATA!N197,"AAAAABv9bew=")</f>
        <v>1</v>
      </c>
      <c r="ID45">
        <f>IF(DATA!198:198,"AAAAABv9be0=",0)</f>
        <v>0</v>
      </c>
      <c r="IE45" t="e">
        <f>AND(DATA!A198,"AAAAABv9be4=")</f>
        <v>#VALUE!</v>
      </c>
      <c r="IF45" t="e">
        <f>AND(DATA!B198,"AAAAABv9be8=")</f>
        <v>#VALUE!</v>
      </c>
      <c r="IG45" t="e">
        <f>AND(DATA!C198,"AAAAABv9bfA=")</f>
        <v>#VALUE!</v>
      </c>
      <c r="IH45" t="e">
        <f>AND(DATA!D198,"AAAAABv9bfE=")</f>
        <v>#VALUE!</v>
      </c>
      <c r="II45" t="e">
        <f>AND(DATA!E198,"AAAAABv9bfI=")</f>
        <v>#VALUE!</v>
      </c>
      <c r="IJ45" t="e">
        <f>AND(DATA!F198,"AAAAABv9bfM=")</f>
        <v>#VALUE!</v>
      </c>
      <c r="IK45" t="e">
        <f>AND(DATA!G198,"AAAAABv9bfQ=")</f>
        <v>#VALUE!</v>
      </c>
      <c r="IL45" t="e">
        <f>AND(DATA!H198,"AAAAABv9bfU=")</f>
        <v>#VALUE!</v>
      </c>
      <c r="IM45" t="e">
        <f>AND(DATA!I198,"AAAAABv9bfY=")</f>
        <v>#VALUE!</v>
      </c>
      <c r="IN45" t="e">
        <f>AND(DATA!J198,"AAAAABv9bfc=")</f>
        <v>#VALUE!</v>
      </c>
      <c r="IO45" t="e">
        <f>AND(DATA!K198,"AAAAABv9bfg=")</f>
        <v>#VALUE!</v>
      </c>
      <c r="IP45" t="b">
        <f>AND(DATA!L198,"AAAAABv9bfk=")</f>
        <v>1</v>
      </c>
      <c r="IQ45" t="b">
        <f>AND(DATA!M198,"AAAAABv9bfo=")</f>
        <v>1</v>
      </c>
      <c r="IR45" t="b">
        <f>AND(DATA!N198,"AAAAABv9bfs=")</f>
        <v>1</v>
      </c>
      <c r="IS45">
        <f>IF(DATA!199:199,"AAAAABv9bfw=",0)</f>
        <v>0</v>
      </c>
      <c r="IT45" t="e">
        <f>AND(DATA!A199,"AAAAABv9bf0=")</f>
        <v>#VALUE!</v>
      </c>
      <c r="IU45" t="e">
        <f>AND(DATA!B199,"AAAAABv9bf4=")</f>
        <v>#VALUE!</v>
      </c>
      <c r="IV45" t="e">
        <f>AND(DATA!C199,"AAAAABv9bf8=")</f>
        <v>#VALUE!</v>
      </c>
    </row>
    <row r="46" spans="1:256">
      <c r="A46" t="e">
        <f>AND(DATA!D199,"AAAAAHza/gA=")</f>
        <v>#VALUE!</v>
      </c>
      <c r="B46" t="e">
        <f>AND(DATA!E199,"AAAAAHza/gE=")</f>
        <v>#VALUE!</v>
      </c>
      <c r="C46" t="e">
        <f>AND(DATA!F199,"AAAAAHza/gI=")</f>
        <v>#VALUE!</v>
      </c>
      <c r="D46" t="e">
        <f>AND(DATA!G199,"AAAAAHza/gM=")</f>
        <v>#VALUE!</v>
      </c>
      <c r="E46" t="e">
        <f>AND(DATA!H199,"AAAAAHza/gQ=")</f>
        <v>#VALUE!</v>
      </c>
      <c r="F46" t="e">
        <f>AND(DATA!I199,"AAAAAHza/gU=")</f>
        <v>#VALUE!</v>
      </c>
      <c r="G46" t="e">
        <f>AND(DATA!J199,"AAAAAHza/gY=")</f>
        <v>#VALUE!</v>
      </c>
      <c r="H46" t="e">
        <f>AND(DATA!K199,"AAAAAHza/gc=")</f>
        <v>#VALUE!</v>
      </c>
      <c r="I46" t="b">
        <f>AND(DATA!L199,"AAAAAHza/gg=")</f>
        <v>1</v>
      </c>
      <c r="J46" t="b">
        <f>AND(DATA!M199,"AAAAAHza/gk=")</f>
        <v>1</v>
      </c>
      <c r="K46" t="b">
        <f>AND(DATA!N199,"AAAAAHza/go=")</f>
        <v>1</v>
      </c>
      <c r="L46" t="str">
        <f>IF(DATA!200:200,"AAAAAHza/gs=",0)</f>
        <v>AAAAAHza/gs=</v>
      </c>
      <c r="M46" t="e">
        <f>AND(DATA!A200,"AAAAAHza/gw=")</f>
        <v>#VALUE!</v>
      </c>
      <c r="N46" t="e">
        <f>AND(DATA!B200,"AAAAAHza/g0=")</f>
        <v>#VALUE!</v>
      </c>
      <c r="O46" t="e">
        <f>AND(DATA!C200,"AAAAAHza/g4=")</f>
        <v>#VALUE!</v>
      </c>
      <c r="P46" t="e">
        <f>AND(DATA!D200,"AAAAAHza/g8=")</f>
        <v>#VALUE!</v>
      </c>
      <c r="Q46" t="e">
        <f>AND(DATA!E200,"AAAAAHza/hA=")</f>
        <v>#VALUE!</v>
      </c>
      <c r="R46" t="e">
        <f>AND(DATA!F200,"AAAAAHza/hE=")</f>
        <v>#VALUE!</v>
      </c>
      <c r="S46" t="e">
        <f>AND(DATA!G200,"AAAAAHza/hI=")</f>
        <v>#VALUE!</v>
      </c>
      <c r="T46" t="e">
        <f>AND(DATA!H200,"AAAAAHza/hM=")</f>
        <v>#VALUE!</v>
      </c>
      <c r="U46" t="e">
        <f>AND(DATA!I200,"AAAAAHza/hQ=")</f>
        <v>#VALUE!</v>
      </c>
      <c r="V46" t="e">
        <f>AND(DATA!J200,"AAAAAHza/hU=")</f>
        <v>#VALUE!</v>
      </c>
      <c r="W46" t="e">
        <f>AND(DATA!K200,"AAAAAHza/hY=")</f>
        <v>#VALUE!</v>
      </c>
      <c r="X46" t="b">
        <f>AND(DATA!L200,"AAAAAHza/hc=")</f>
        <v>1</v>
      </c>
      <c r="Y46" t="b">
        <f>AND(DATA!M200,"AAAAAHza/hg=")</f>
        <v>1</v>
      </c>
      <c r="Z46" t="b">
        <f>AND(DATA!N200,"AAAAAHza/hk=")</f>
        <v>1</v>
      </c>
      <c r="AA46">
        <f>IF(DATA!201:201,"AAAAAHza/ho=",0)</f>
        <v>0</v>
      </c>
      <c r="AB46" t="e">
        <f>AND(DATA!A201,"AAAAAHza/hs=")</f>
        <v>#VALUE!</v>
      </c>
      <c r="AC46" t="e">
        <f>AND(DATA!B201,"AAAAAHza/hw=")</f>
        <v>#VALUE!</v>
      </c>
      <c r="AD46" t="e">
        <f>AND(DATA!C201,"AAAAAHza/h0=")</f>
        <v>#VALUE!</v>
      </c>
      <c r="AE46" t="e">
        <f>AND(DATA!D201,"AAAAAHza/h4=")</f>
        <v>#VALUE!</v>
      </c>
      <c r="AF46" t="e">
        <f>AND(DATA!E201,"AAAAAHza/h8=")</f>
        <v>#VALUE!</v>
      </c>
      <c r="AG46" t="e">
        <f>AND(DATA!F201,"AAAAAHza/iA=")</f>
        <v>#VALUE!</v>
      </c>
      <c r="AH46" t="e">
        <f>AND(DATA!G201,"AAAAAHza/iE=")</f>
        <v>#VALUE!</v>
      </c>
      <c r="AI46" t="e">
        <f>AND(DATA!H201,"AAAAAHza/iI=")</f>
        <v>#VALUE!</v>
      </c>
      <c r="AJ46" t="e">
        <f>AND(DATA!I201,"AAAAAHza/iM=")</f>
        <v>#VALUE!</v>
      </c>
      <c r="AK46" t="e">
        <f>AND(DATA!J201,"AAAAAHza/iQ=")</f>
        <v>#VALUE!</v>
      </c>
      <c r="AL46" t="e">
        <f>AND(DATA!K201,"AAAAAHza/iU=")</f>
        <v>#VALUE!</v>
      </c>
      <c r="AM46" t="b">
        <f>AND(DATA!L201,"AAAAAHza/iY=")</f>
        <v>1</v>
      </c>
      <c r="AN46" t="b">
        <f>AND(DATA!M201,"AAAAAHza/ic=")</f>
        <v>1</v>
      </c>
      <c r="AO46" t="b">
        <f>AND(DATA!N201,"AAAAAHza/ig=")</f>
        <v>1</v>
      </c>
      <c r="AP46">
        <f>IF(DATA!202:202,"AAAAAHza/ik=",0)</f>
        <v>0</v>
      </c>
      <c r="AQ46" t="e">
        <f>AND(DATA!A202,"AAAAAHza/io=")</f>
        <v>#VALUE!</v>
      </c>
      <c r="AR46" t="e">
        <f>AND(DATA!B202,"AAAAAHza/is=")</f>
        <v>#VALUE!</v>
      </c>
      <c r="AS46" t="e">
        <f>AND(DATA!C202,"AAAAAHza/iw=")</f>
        <v>#VALUE!</v>
      </c>
      <c r="AT46" t="e">
        <f>AND(DATA!D202,"AAAAAHza/i0=")</f>
        <v>#VALUE!</v>
      </c>
      <c r="AU46" t="e">
        <f>AND(DATA!E202,"AAAAAHza/i4=")</f>
        <v>#VALUE!</v>
      </c>
      <c r="AV46" t="e">
        <f>AND(DATA!F202,"AAAAAHza/i8=")</f>
        <v>#VALUE!</v>
      </c>
      <c r="AW46" t="e">
        <f>AND(DATA!G202,"AAAAAHza/jA=")</f>
        <v>#VALUE!</v>
      </c>
      <c r="AX46" t="e">
        <f>AND(DATA!H202,"AAAAAHza/jE=")</f>
        <v>#VALUE!</v>
      </c>
      <c r="AY46" t="e">
        <f>AND(DATA!I202,"AAAAAHza/jI=")</f>
        <v>#VALUE!</v>
      </c>
      <c r="AZ46" t="e">
        <f>AND(DATA!J202,"AAAAAHza/jM=")</f>
        <v>#VALUE!</v>
      </c>
      <c r="BA46" t="e">
        <f>AND(DATA!K202,"AAAAAHza/jQ=")</f>
        <v>#VALUE!</v>
      </c>
      <c r="BB46" t="b">
        <f>AND(DATA!L202,"AAAAAHza/jU=")</f>
        <v>1</v>
      </c>
      <c r="BC46" t="b">
        <f>AND(DATA!M202,"AAAAAHza/jY=")</f>
        <v>1</v>
      </c>
      <c r="BD46" t="b">
        <f>AND(DATA!N202,"AAAAAHza/jc=")</f>
        <v>1</v>
      </c>
      <c r="BE46">
        <f>IF(DATA!203:203,"AAAAAHza/jg=",0)</f>
        <v>0</v>
      </c>
      <c r="BF46" t="e">
        <f>AND(DATA!A203,"AAAAAHza/jk=")</f>
        <v>#VALUE!</v>
      </c>
      <c r="BG46" t="e">
        <f>AND(DATA!B203,"AAAAAHza/jo=")</f>
        <v>#VALUE!</v>
      </c>
      <c r="BH46" t="e">
        <f>AND(DATA!C203,"AAAAAHza/js=")</f>
        <v>#VALUE!</v>
      </c>
      <c r="BI46" t="e">
        <f>AND(DATA!D203,"AAAAAHza/jw=")</f>
        <v>#VALUE!</v>
      </c>
      <c r="BJ46" t="e">
        <f>AND(DATA!E203,"AAAAAHza/j0=")</f>
        <v>#VALUE!</v>
      </c>
      <c r="BK46" t="e">
        <f>AND(DATA!F203,"AAAAAHza/j4=")</f>
        <v>#VALUE!</v>
      </c>
      <c r="BL46" t="e">
        <f>AND(DATA!G203,"AAAAAHza/j8=")</f>
        <v>#VALUE!</v>
      </c>
      <c r="BM46" t="e">
        <f>AND(DATA!H203,"AAAAAHza/kA=")</f>
        <v>#VALUE!</v>
      </c>
      <c r="BN46" t="e">
        <f>AND(DATA!I203,"AAAAAHza/kE=")</f>
        <v>#VALUE!</v>
      </c>
      <c r="BO46" t="e">
        <f>AND(DATA!J203,"AAAAAHza/kI=")</f>
        <v>#VALUE!</v>
      </c>
      <c r="BP46" t="e">
        <f>AND(DATA!K203,"AAAAAHza/kM=")</f>
        <v>#VALUE!</v>
      </c>
      <c r="BQ46" t="b">
        <f>AND(DATA!L203,"AAAAAHza/kQ=")</f>
        <v>1</v>
      </c>
      <c r="BR46" t="b">
        <f>AND(DATA!M203,"AAAAAHza/kU=")</f>
        <v>1</v>
      </c>
      <c r="BS46" t="b">
        <f>AND(DATA!N203,"AAAAAHza/kY=")</f>
        <v>1</v>
      </c>
      <c r="BT46">
        <f>IF(DATA!204:204,"AAAAAHza/kc=",0)</f>
        <v>0</v>
      </c>
      <c r="BU46" t="e">
        <f>AND(DATA!A204,"AAAAAHza/kg=")</f>
        <v>#VALUE!</v>
      </c>
      <c r="BV46" t="e">
        <f>AND(DATA!B204,"AAAAAHza/kk=")</f>
        <v>#VALUE!</v>
      </c>
      <c r="BW46" t="e">
        <f>AND(DATA!C204,"AAAAAHza/ko=")</f>
        <v>#VALUE!</v>
      </c>
      <c r="BX46" t="e">
        <f>AND(DATA!D204,"AAAAAHza/ks=")</f>
        <v>#VALUE!</v>
      </c>
      <c r="BY46" t="e">
        <f>AND(DATA!E204,"AAAAAHza/kw=")</f>
        <v>#VALUE!</v>
      </c>
      <c r="BZ46" t="e">
        <f>AND(DATA!F204,"AAAAAHza/k0=")</f>
        <v>#VALUE!</v>
      </c>
      <c r="CA46" t="e">
        <f>AND(DATA!G204,"AAAAAHza/k4=")</f>
        <v>#VALUE!</v>
      </c>
      <c r="CB46" t="e">
        <f>AND(DATA!H204,"AAAAAHza/k8=")</f>
        <v>#VALUE!</v>
      </c>
      <c r="CC46" t="e">
        <f>AND(DATA!I204,"AAAAAHza/lA=")</f>
        <v>#VALUE!</v>
      </c>
      <c r="CD46" t="e">
        <f>AND(DATA!J204,"AAAAAHza/lE=")</f>
        <v>#VALUE!</v>
      </c>
      <c r="CE46" t="e">
        <f>AND(DATA!K204,"AAAAAHza/lI=")</f>
        <v>#VALUE!</v>
      </c>
      <c r="CF46" t="b">
        <f>AND(DATA!L204,"AAAAAHza/lM=")</f>
        <v>1</v>
      </c>
      <c r="CG46" t="b">
        <f>AND(DATA!M204,"AAAAAHza/lQ=")</f>
        <v>1</v>
      </c>
      <c r="CH46" t="b">
        <f>AND(DATA!N204,"AAAAAHza/lU=")</f>
        <v>1</v>
      </c>
      <c r="CI46">
        <f>IF(DATA!205:205,"AAAAAHza/lY=",0)</f>
        <v>0</v>
      </c>
      <c r="CJ46" t="e">
        <f>AND(DATA!A205,"AAAAAHza/lc=")</f>
        <v>#VALUE!</v>
      </c>
      <c r="CK46" t="e">
        <f>AND(DATA!B205,"AAAAAHza/lg=")</f>
        <v>#VALUE!</v>
      </c>
      <c r="CL46" t="e">
        <f>AND(DATA!C205,"AAAAAHza/lk=")</f>
        <v>#VALUE!</v>
      </c>
      <c r="CM46" t="e">
        <f>AND(DATA!D205,"AAAAAHza/lo=")</f>
        <v>#VALUE!</v>
      </c>
      <c r="CN46" t="e">
        <f>AND(DATA!E205,"AAAAAHza/ls=")</f>
        <v>#VALUE!</v>
      </c>
      <c r="CO46" t="e">
        <f>AND(DATA!F205,"AAAAAHza/lw=")</f>
        <v>#VALUE!</v>
      </c>
      <c r="CP46" t="e">
        <f>AND(DATA!G205,"AAAAAHza/l0=")</f>
        <v>#VALUE!</v>
      </c>
      <c r="CQ46" t="e">
        <f>AND(DATA!H205,"AAAAAHza/l4=")</f>
        <v>#VALUE!</v>
      </c>
      <c r="CR46" t="e">
        <f>AND(DATA!I205,"AAAAAHza/l8=")</f>
        <v>#VALUE!</v>
      </c>
      <c r="CS46" t="e">
        <f>AND(DATA!J205,"AAAAAHza/mA=")</f>
        <v>#VALUE!</v>
      </c>
      <c r="CT46" t="e">
        <f>AND(DATA!K205,"AAAAAHza/mE=")</f>
        <v>#VALUE!</v>
      </c>
      <c r="CU46" t="b">
        <f>AND(DATA!L205,"AAAAAHza/mI=")</f>
        <v>1</v>
      </c>
      <c r="CV46" t="b">
        <f>AND(DATA!M205,"AAAAAHza/mM=")</f>
        <v>1</v>
      </c>
      <c r="CW46" t="b">
        <f>AND(DATA!N205,"AAAAAHza/mQ=")</f>
        <v>1</v>
      </c>
      <c r="CX46">
        <f>IF(DATA!206:206,"AAAAAHza/mU=",0)</f>
        <v>0</v>
      </c>
      <c r="CY46" t="e">
        <f>AND(DATA!A206,"AAAAAHza/mY=")</f>
        <v>#VALUE!</v>
      </c>
      <c r="CZ46" t="e">
        <f>AND(DATA!B206,"AAAAAHza/mc=")</f>
        <v>#VALUE!</v>
      </c>
      <c r="DA46" t="e">
        <f>AND(DATA!C206,"AAAAAHza/mg=")</f>
        <v>#VALUE!</v>
      </c>
      <c r="DB46" t="e">
        <f>AND(DATA!D206,"AAAAAHza/mk=")</f>
        <v>#VALUE!</v>
      </c>
      <c r="DC46" t="e">
        <f>AND(DATA!E206,"AAAAAHza/mo=")</f>
        <v>#VALUE!</v>
      </c>
      <c r="DD46" t="e">
        <f>AND(DATA!F206,"AAAAAHza/ms=")</f>
        <v>#VALUE!</v>
      </c>
      <c r="DE46" t="e">
        <f>AND(DATA!G206,"AAAAAHza/mw=")</f>
        <v>#VALUE!</v>
      </c>
      <c r="DF46" t="e">
        <f>AND(DATA!H206,"AAAAAHza/m0=")</f>
        <v>#VALUE!</v>
      </c>
      <c r="DG46" t="e">
        <f>AND(DATA!I206,"AAAAAHza/m4=")</f>
        <v>#VALUE!</v>
      </c>
      <c r="DH46" t="e">
        <f>AND(DATA!J206,"AAAAAHza/m8=")</f>
        <v>#VALUE!</v>
      </c>
      <c r="DI46" t="e">
        <f>AND(DATA!K206,"AAAAAHza/nA=")</f>
        <v>#VALUE!</v>
      </c>
      <c r="DJ46" t="b">
        <f>AND(DATA!L206,"AAAAAHza/nE=")</f>
        <v>1</v>
      </c>
      <c r="DK46" t="b">
        <f>AND(DATA!M206,"AAAAAHza/nI=")</f>
        <v>1</v>
      </c>
      <c r="DL46" t="b">
        <f>AND(DATA!N206,"AAAAAHza/nM=")</f>
        <v>1</v>
      </c>
      <c r="DM46">
        <f>IF(DATA!207:207,"AAAAAHza/nQ=",0)</f>
        <v>0</v>
      </c>
      <c r="DN46" t="e">
        <f>AND(DATA!A207,"AAAAAHza/nU=")</f>
        <v>#VALUE!</v>
      </c>
      <c r="DO46" t="e">
        <f>AND(DATA!B207,"AAAAAHza/nY=")</f>
        <v>#VALUE!</v>
      </c>
      <c r="DP46" t="e">
        <f>AND(DATA!C207,"AAAAAHza/nc=")</f>
        <v>#VALUE!</v>
      </c>
      <c r="DQ46" t="e">
        <f>AND(DATA!D207,"AAAAAHza/ng=")</f>
        <v>#VALUE!</v>
      </c>
      <c r="DR46" t="e">
        <f>AND(DATA!E207,"AAAAAHza/nk=")</f>
        <v>#VALUE!</v>
      </c>
      <c r="DS46" t="e">
        <f>AND(DATA!F207,"AAAAAHza/no=")</f>
        <v>#VALUE!</v>
      </c>
      <c r="DT46" t="e">
        <f>AND(DATA!G207,"AAAAAHza/ns=")</f>
        <v>#VALUE!</v>
      </c>
      <c r="DU46" t="e">
        <f>AND(DATA!H207,"AAAAAHza/nw=")</f>
        <v>#VALUE!</v>
      </c>
      <c r="DV46" t="e">
        <f>AND(DATA!I207,"AAAAAHza/n0=")</f>
        <v>#VALUE!</v>
      </c>
      <c r="DW46" t="e">
        <f>AND(DATA!J207,"AAAAAHza/n4=")</f>
        <v>#VALUE!</v>
      </c>
      <c r="DX46" t="e">
        <f>AND(DATA!K207,"AAAAAHza/n8=")</f>
        <v>#VALUE!</v>
      </c>
      <c r="DY46" t="b">
        <f>AND(DATA!L207,"AAAAAHza/oA=")</f>
        <v>1</v>
      </c>
      <c r="DZ46" t="b">
        <f>AND(DATA!M207,"AAAAAHza/oE=")</f>
        <v>1</v>
      </c>
      <c r="EA46" t="b">
        <f>AND(DATA!N207,"AAAAAHza/oI=")</f>
        <v>1</v>
      </c>
      <c r="EB46">
        <f>IF(DATA!208:208,"AAAAAHza/oM=",0)</f>
        <v>0</v>
      </c>
      <c r="EC46" t="e">
        <f>AND(DATA!A208,"AAAAAHza/oQ=")</f>
        <v>#VALUE!</v>
      </c>
      <c r="ED46" t="e">
        <f>AND(DATA!B208,"AAAAAHza/oU=")</f>
        <v>#VALUE!</v>
      </c>
      <c r="EE46" t="e">
        <f>AND(DATA!C208,"AAAAAHza/oY=")</f>
        <v>#VALUE!</v>
      </c>
      <c r="EF46" t="e">
        <f>AND(DATA!D208,"AAAAAHza/oc=")</f>
        <v>#VALUE!</v>
      </c>
      <c r="EG46" t="e">
        <f>AND(DATA!E208,"AAAAAHza/og=")</f>
        <v>#VALUE!</v>
      </c>
      <c r="EH46" t="e">
        <f>AND(DATA!F208,"AAAAAHza/ok=")</f>
        <v>#VALUE!</v>
      </c>
      <c r="EI46" t="e">
        <f>AND(DATA!G208,"AAAAAHza/oo=")</f>
        <v>#VALUE!</v>
      </c>
      <c r="EJ46" t="e">
        <f>AND(DATA!H208,"AAAAAHza/os=")</f>
        <v>#VALUE!</v>
      </c>
      <c r="EK46" t="e">
        <f>AND(DATA!I208,"AAAAAHza/ow=")</f>
        <v>#VALUE!</v>
      </c>
      <c r="EL46" t="e">
        <f>AND(DATA!J208,"AAAAAHza/o0=")</f>
        <v>#VALUE!</v>
      </c>
      <c r="EM46" t="e">
        <f>AND(DATA!K208,"AAAAAHza/o4=")</f>
        <v>#VALUE!</v>
      </c>
      <c r="EN46" t="b">
        <f>AND(DATA!L208,"AAAAAHza/o8=")</f>
        <v>1</v>
      </c>
      <c r="EO46" t="b">
        <f>AND(DATA!M208,"AAAAAHza/pA=")</f>
        <v>1</v>
      </c>
      <c r="EP46" t="b">
        <f>AND(DATA!N208,"AAAAAHza/pE=")</f>
        <v>1</v>
      </c>
      <c r="EQ46">
        <f>IF(DATA!209:209,"AAAAAHza/pI=",0)</f>
        <v>0</v>
      </c>
      <c r="ER46" t="e">
        <f>AND(DATA!A209,"AAAAAHza/pM=")</f>
        <v>#VALUE!</v>
      </c>
      <c r="ES46" t="e">
        <f>AND(DATA!B209,"AAAAAHza/pQ=")</f>
        <v>#VALUE!</v>
      </c>
      <c r="ET46" t="e">
        <f>AND(DATA!C209,"AAAAAHza/pU=")</f>
        <v>#VALUE!</v>
      </c>
      <c r="EU46" t="e">
        <f>AND(DATA!D209,"AAAAAHza/pY=")</f>
        <v>#VALUE!</v>
      </c>
      <c r="EV46" t="e">
        <f>AND(DATA!E209,"AAAAAHza/pc=")</f>
        <v>#VALUE!</v>
      </c>
      <c r="EW46" t="e">
        <f>AND(DATA!F209,"AAAAAHza/pg=")</f>
        <v>#VALUE!</v>
      </c>
      <c r="EX46" t="e">
        <f>AND(DATA!G209,"AAAAAHza/pk=")</f>
        <v>#VALUE!</v>
      </c>
      <c r="EY46" t="e">
        <f>AND(DATA!H209,"AAAAAHza/po=")</f>
        <v>#VALUE!</v>
      </c>
      <c r="EZ46" t="e">
        <f>AND(DATA!I209,"AAAAAHza/ps=")</f>
        <v>#VALUE!</v>
      </c>
      <c r="FA46" t="e">
        <f>AND(DATA!J209,"AAAAAHza/pw=")</f>
        <v>#VALUE!</v>
      </c>
      <c r="FB46" t="e">
        <f>AND(DATA!K209,"AAAAAHza/p0=")</f>
        <v>#VALUE!</v>
      </c>
      <c r="FC46" t="b">
        <f>AND(DATA!L209,"AAAAAHza/p4=")</f>
        <v>1</v>
      </c>
      <c r="FD46" t="b">
        <f>AND(DATA!M209,"AAAAAHza/p8=")</f>
        <v>1</v>
      </c>
      <c r="FE46" t="b">
        <f>AND(DATA!N209,"AAAAAHza/qA=")</f>
        <v>1</v>
      </c>
      <c r="FF46">
        <f>IF(DATA!210:210,"AAAAAHza/qE=",0)</f>
        <v>0</v>
      </c>
      <c r="FG46" t="e">
        <f>AND(DATA!A210,"AAAAAHza/qI=")</f>
        <v>#VALUE!</v>
      </c>
      <c r="FH46" t="e">
        <f>AND(DATA!B210,"AAAAAHza/qM=")</f>
        <v>#VALUE!</v>
      </c>
      <c r="FI46" t="e">
        <f>AND(DATA!C210,"AAAAAHza/qQ=")</f>
        <v>#VALUE!</v>
      </c>
      <c r="FJ46" t="e">
        <f>AND(DATA!D210,"AAAAAHza/qU=")</f>
        <v>#VALUE!</v>
      </c>
      <c r="FK46" t="e">
        <f>AND(DATA!E210,"AAAAAHza/qY=")</f>
        <v>#VALUE!</v>
      </c>
      <c r="FL46" t="e">
        <f>AND(DATA!F210,"AAAAAHza/qc=")</f>
        <v>#VALUE!</v>
      </c>
      <c r="FM46" t="e">
        <f>AND(DATA!G210,"AAAAAHza/qg=")</f>
        <v>#VALUE!</v>
      </c>
      <c r="FN46" t="e">
        <f>AND(DATA!H210,"AAAAAHza/qk=")</f>
        <v>#VALUE!</v>
      </c>
      <c r="FO46" t="e">
        <f>AND(DATA!I210,"AAAAAHza/qo=")</f>
        <v>#VALUE!</v>
      </c>
      <c r="FP46" t="e">
        <f>AND(DATA!J210,"AAAAAHza/qs=")</f>
        <v>#VALUE!</v>
      </c>
      <c r="FQ46" t="e">
        <f>AND(DATA!K210,"AAAAAHza/qw=")</f>
        <v>#VALUE!</v>
      </c>
      <c r="FR46" t="b">
        <f>AND(DATA!L210,"AAAAAHza/q0=")</f>
        <v>1</v>
      </c>
      <c r="FS46" t="b">
        <f>AND(DATA!M210,"AAAAAHza/q4=")</f>
        <v>1</v>
      </c>
      <c r="FT46" t="b">
        <f>AND(DATA!N210,"AAAAAHza/q8=")</f>
        <v>1</v>
      </c>
      <c r="FU46">
        <f>IF(DATA!211:211,"AAAAAHza/rA=",0)</f>
        <v>0</v>
      </c>
      <c r="FV46" t="e">
        <f>AND(DATA!A211,"AAAAAHza/rE=")</f>
        <v>#VALUE!</v>
      </c>
      <c r="FW46" t="e">
        <f>AND(DATA!B211,"AAAAAHza/rI=")</f>
        <v>#VALUE!</v>
      </c>
      <c r="FX46" t="e">
        <f>AND(DATA!C211,"AAAAAHza/rM=")</f>
        <v>#VALUE!</v>
      </c>
      <c r="FY46" t="e">
        <f>AND(DATA!D211,"AAAAAHza/rQ=")</f>
        <v>#VALUE!</v>
      </c>
      <c r="FZ46" t="e">
        <f>AND(DATA!E211,"AAAAAHza/rU=")</f>
        <v>#VALUE!</v>
      </c>
      <c r="GA46" t="e">
        <f>AND(DATA!F211,"AAAAAHza/rY=")</f>
        <v>#VALUE!</v>
      </c>
      <c r="GB46" t="e">
        <f>AND(DATA!G211,"AAAAAHza/rc=")</f>
        <v>#VALUE!</v>
      </c>
      <c r="GC46" t="e">
        <f>AND(DATA!H211,"AAAAAHza/rg=")</f>
        <v>#VALUE!</v>
      </c>
      <c r="GD46" t="e">
        <f>AND(DATA!I211,"AAAAAHza/rk=")</f>
        <v>#VALUE!</v>
      </c>
      <c r="GE46" t="e">
        <f>AND(DATA!J211,"AAAAAHza/ro=")</f>
        <v>#VALUE!</v>
      </c>
      <c r="GF46" t="e">
        <f>AND(DATA!K211,"AAAAAHza/rs=")</f>
        <v>#VALUE!</v>
      </c>
      <c r="GG46" t="b">
        <f>AND(DATA!L211,"AAAAAHza/rw=")</f>
        <v>1</v>
      </c>
      <c r="GH46" t="b">
        <f>AND(DATA!M211,"AAAAAHza/r0=")</f>
        <v>1</v>
      </c>
      <c r="GI46" t="b">
        <f>AND(DATA!N211,"AAAAAHza/r4=")</f>
        <v>1</v>
      </c>
      <c r="GJ46">
        <f>IF(DATA!212:212,"AAAAAHza/r8=",0)</f>
        <v>0</v>
      </c>
      <c r="GK46" t="e">
        <f>AND(DATA!A212,"AAAAAHza/sA=")</f>
        <v>#VALUE!</v>
      </c>
      <c r="GL46" t="e">
        <f>AND(DATA!B212,"AAAAAHza/sE=")</f>
        <v>#VALUE!</v>
      </c>
      <c r="GM46" t="e">
        <f>AND(DATA!C212,"AAAAAHza/sI=")</f>
        <v>#VALUE!</v>
      </c>
      <c r="GN46" t="e">
        <f>AND(DATA!D212,"AAAAAHza/sM=")</f>
        <v>#VALUE!</v>
      </c>
      <c r="GO46" t="e">
        <f>AND(DATA!E212,"AAAAAHza/sQ=")</f>
        <v>#VALUE!</v>
      </c>
      <c r="GP46" t="e">
        <f>AND(DATA!F212,"AAAAAHza/sU=")</f>
        <v>#VALUE!</v>
      </c>
      <c r="GQ46" t="e">
        <f>AND(DATA!G212,"AAAAAHza/sY=")</f>
        <v>#VALUE!</v>
      </c>
      <c r="GR46" t="e">
        <f>AND(DATA!H212,"AAAAAHza/sc=")</f>
        <v>#VALUE!</v>
      </c>
      <c r="GS46" t="e">
        <f>AND(DATA!I212,"AAAAAHza/sg=")</f>
        <v>#VALUE!</v>
      </c>
      <c r="GT46" t="e">
        <f>AND(DATA!J212,"AAAAAHza/sk=")</f>
        <v>#VALUE!</v>
      </c>
      <c r="GU46" t="e">
        <f>AND(DATA!K212,"AAAAAHza/so=")</f>
        <v>#VALUE!</v>
      </c>
      <c r="GV46" t="b">
        <f>AND(DATA!L212,"AAAAAHza/ss=")</f>
        <v>1</v>
      </c>
      <c r="GW46" t="b">
        <f>AND(DATA!M212,"AAAAAHza/sw=")</f>
        <v>1</v>
      </c>
      <c r="GX46" t="b">
        <f>AND(DATA!N212,"AAAAAHza/s0=")</f>
        <v>1</v>
      </c>
      <c r="GY46">
        <f>IF(DATA!213:213,"AAAAAHza/s4=",0)</f>
        <v>0</v>
      </c>
      <c r="GZ46" t="e">
        <f>AND(DATA!A213,"AAAAAHza/s8=")</f>
        <v>#VALUE!</v>
      </c>
      <c r="HA46" t="e">
        <f>AND(DATA!B213,"AAAAAHza/tA=")</f>
        <v>#VALUE!</v>
      </c>
      <c r="HB46" t="e">
        <f>AND(DATA!C213,"AAAAAHza/tE=")</f>
        <v>#VALUE!</v>
      </c>
      <c r="HC46" t="e">
        <f>AND(DATA!D213,"AAAAAHza/tI=")</f>
        <v>#VALUE!</v>
      </c>
      <c r="HD46" t="e">
        <f>AND(DATA!E213,"AAAAAHza/tM=")</f>
        <v>#VALUE!</v>
      </c>
      <c r="HE46" t="e">
        <f>AND(DATA!F213,"AAAAAHza/tQ=")</f>
        <v>#VALUE!</v>
      </c>
      <c r="HF46" t="e">
        <f>AND(DATA!G213,"AAAAAHza/tU=")</f>
        <v>#VALUE!</v>
      </c>
      <c r="HG46" t="e">
        <f>AND(DATA!H213,"AAAAAHza/tY=")</f>
        <v>#VALUE!</v>
      </c>
      <c r="HH46" t="e">
        <f>AND(DATA!I213,"AAAAAHza/tc=")</f>
        <v>#VALUE!</v>
      </c>
      <c r="HI46" t="e">
        <f>AND(DATA!J213,"AAAAAHza/tg=")</f>
        <v>#VALUE!</v>
      </c>
      <c r="HJ46" t="e">
        <f>AND(DATA!K213,"AAAAAHza/tk=")</f>
        <v>#VALUE!</v>
      </c>
      <c r="HK46" t="b">
        <f>AND(DATA!L213,"AAAAAHza/to=")</f>
        <v>1</v>
      </c>
      <c r="HL46" t="b">
        <f>AND(DATA!M213,"AAAAAHza/ts=")</f>
        <v>1</v>
      </c>
      <c r="HM46" t="b">
        <f>AND(DATA!N213,"AAAAAHza/tw=")</f>
        <v>1</v>
      </c>
      <c r="HN46">
        <f>IF(DATA!214:214,"AAAAAHza/t0=",0)</f>
        <v>0</v>
      </c>
      <c r="HO46" t="e">
        <f>AND(DATA!A214,"AAAAAHza/t4=")</f>
        <v>#VALUE!</v>
      </c>
      <c r="HP46" t="e">
        <f>AND(DATA!B214,"AAAAAHza/t8=")</f>
        <v>#VALUE!</v>
      </c>
      <c r="HQ46" t="e">
        <f>AND(DATA!C214,"AAAAAHza/uA=")</f>
        <v>#VALUE!</v>
      </c>
      <c r="HR46" t="e">
        <f>AND(DATA!D214,"AAAAAHza/uE=")</f>
        <v>#VALUE!</v>
      </c>
      <c r="HS46" t="e">
        <f>AND(DATA!E214,"AAAAAHza/uI=")</f>
        <v>#VALUE!</v>
      </c>
      <c r="HT46" t="e">
        <f>AND(DATA!F214,"AAAAAHza/uM=")</f>
        <v>#VALUE!</v>
      </c>
      <c r="HU46" t="e">
        <f>AND(DATA!G214,"AAAAAHza/uQ=")</f>
        <v>#VALUE!</v>
      </c>
      <c r="HV46" t="e">
        <f>AND(DATA!H214,"AAAAAHza/uU=")</f>
        <v>#VALUE!</v>
      </c>
      <c r="HW46" t="e">
        <f>AND(DATA!I214,"AAAAAHza/uY=")</f>
        <v>#VALUE!</v>
      </c>
      <c r="HX46" t="e">
        <f>AND(DATA!J214,"AAAAAHza/uc=")</f>
        <v>#VALUE!</v>
      </c>
      <c r="HY46" t="e">
        <f>AND(DATA!K214,"AAAAAHza/ug=")</f>
        <v>#VALUE!</v>
      </c>
      <c r="HZ46" t="b">
        <f>AND(DATA!L214,"AAAAAHza/uk=")</f>
        <v>1</v>
      </c>
      <c r="IA46" t="b">
        <f>AND(DATA!M214,"AAAAAHza/uo=")</f>
        <v>1</v>
      </c>
      <c r="IB46" t="b">
        <f>AND(DATA!N214,"AAAAAHza/us=")</f>
        <v>1</v>
      </c>
      <c r="IC46">
        <f>IF(DATA!215:215,"AAAAAHza/uw=",0)</f>
        <v>0</v>
      </c>
      <c r="ID46" t="e">
        <f>AND(DATA!A215,"AAAAAHza/u0=")</f>
        <v>#VALUE!</v>
      </c>
      <c r="IE46" t="e">
        <f>AND(DATA!B215,"AAAAAHza/u4=")</f>
        <v>#VALUE!</v>
      </c>
      <c r="IF46" t="e">
        <f>AND(DATA!C215,"AAAAAHza/u8=")</f>
        <v>#VALUE!</v>
      </c>
      <c r="IG46" t="e">
        <f>AND(DATA!D215,"AAAAAHza/vA=")</f>
        <v>#VALUE!</v>
      </c>
      <c r="IH46" t="e">
        <f>AND(DATA!E215,"AAAAAHza/vE=")</f>
        <v>#VALUE!</v>
      </c>
      <c r="II46" t="e">
        <f>AND(DATA!F215,"AAAAAHza/vI=")</f>
        <v>#VALUE!</v>
      </c>
      <c r="IJ46" t="e">
        <f>AND(DATA!G215,"AAAAAHza/vM=")</f>
        <v>#VALUE!</v>
      </c>
      <c r="IK46" t="e">
        <f>AND(DATA!H215,"AAAAAHza/vQ=")</f>
        <v>#VALUE!</v>
      </c>
      <c r="IL46" t="e">
        <f>AND(DATA!I215,"AAAAAHza/vU=")</f>
        <v>#VALUE!</v>
      </c>
      <c r="IM46" t="e">
        <f>AND(DATA!J215,"AAAAAHza/vY=")</f>
        <v>#VALUE!</v>
      </c>
      <c r="IN46" t="e">
        <f>AND(DATA!K215,"AAAAAHza/vc=")</f>
        <v>#VALUE!</v>
      </c>
      <c r="IO46" t="b">
        <f>AND(DATA!L215,"AAAAAHza/vg=")</f>
        <v>1</v>
      </c>
      <c r="IP46" t="b">
        <f>AND(DATA!M215,"AAAAAHza/vk=")</f>
        <v>1</v>
      </c>
      <c r="IQ46" t="b">
        <f>AND(DATA!N215,"AAAAAHza/vo=")</f>
        <v>1</v>
      </c>
      <c r="IR46">
        <f>IF(DATA!216:216,"AAAAAHza/vs=",0)</f>
        <v>0</v>
      </c>
      <c r="IS46" t="e">
        <f>AND(DATA!A216,"AAAAAHza/vw=")</f>
        <v>#VALUE!</v>
      </c>
      <c r="IT46" t="e">
        <f>AND(DATA!B216,"AAAAAHza/v0=")</f>
        <v>#VALUE!</v>
      </c>
      <c r="IU46" t="e">
        <f>AND(DATA!C216,"AAAAAHza/v4=")</f>
        <v>#VALUE!</v>
      </c>
      <c r="IV46" t="e">
        <f>AND(DATA!D216,"AAAAAHza/v8=")</f>
        <v>#VALUE!</v>
      </c>
    </row>
    <row r="47" spans="1:256">
      <c r="A47" t="e">
        <f>AND(DATA!E216,"AAAAAH90/wA=")</f>
        <v>#VALUE!</v>
      </c>
      <c r="B47" t="e">
        <f>AND(DATA!F216,"AAAAAH90/wE=")</f>
        <v>#VALUE!</v>
      </c>
      <c r="C47" t="e">
        <f>AND(DATA!G216,"AAAAAH90/wI=")</f>
        <v>#VALUE!</v>
      </c>
      <c r="D47" t="e">
        <f>AND(DATA!H216,"AAAAAH90/wM=")</f>
        <v>#VALUE!</v>
      </c>
      <c r="E47" t="e">
        <f>AND(DATA!I216,"AAAAAH90/wQ=")</f>
        <v>#VALUE!</v>
      </c>
      <c r="F47" t="e">
        <f>AND(DATA!J216,"AAAAAH90/wU=")</f>
        <v>#VALUE!</v>
      </c>
      <c r="G47" t="e">
        <f>AND(DATA!K216,"AAAAAH90/wY=")</f>
        <v>#VALUE!</v>
      </c>
      <c r="H47" t="b">
        <f>AND(DATA!L216,"AAAAAH90/wc=")</f>
        <v>1</v>
      </c>
      <c r="I47" t="b">
        <f>AND(DATA!M216,"AAAAAH90/wg=")</f>
        <v>1</v>
      </c>
      <c r="J47" t="b">
        <f>AND(DATA!N216,"AAAAAH90/wk=")</f>
        <v>1</v>
      </c>
      <c r="K47">
        <f>IF(DATA!217:217,"AAAAAH90/wo=",0)</f>
        <v>0</v>
      </c>
      <c r="L47" t="e">
        <f>AND(DATA!A217,"AAAAAH90/ws=")</f>
        <v>#VALUE!</v>
      </c>
      <c r="M47" t="e">
        <f>AND(DATA!B217,"AAAAAH90/ww=")</f>
        <v>#VALUE!</v>
      </c>
      <c r="N47" t="e">
        <f>AND(DATA!C217,"AAAAAH90/w0=")</f>
        <v>#VALUE!</v>
      </c>
      <c r="O47" t="e">
        <f>AND(DATA!D217,"AAAAAH90/w4=")</f>
        <v>#VALUE!</v>
      </c>
      <c r="P47" t="e">
        <f>AND(DATA!E217,"AAAAAH90/w8=")</f>
        <v>#VALUE!</v>
      </c>
      <c r="Q47" t="e">
        <f>AND(DATA!F217,"AAAAAH90/xA=")</f>
        <v>#VALUE!</v>
      </c>
      <c r="R47" t="e">
        <f>AND(DATA!G217,"AAAAAH90/xE=")</f>
        <v>#VALUE!</v>
      </c>
      <c r="S47" t="e">
        <f>AND(DATA!H217,"AAAAAH90/xI=")</f>
        <v>#VALUE!</v>
      </c>
      <c r="T47" t="e">
        <f>AND(DATA!I217,"AAAAAH90/xM=")</f>
        <v>#VALUE!</v>
      </c>
      <c r="U47" t="e">
        <f>AND(DATA!J217,"AAAAAH90/xQ=")</f>
        <v>#VALUE!</v>
      </c>
      <c r="V47" t="e">
        <f>AND(DATA!K217,"AAAAAH90/xU=")</f>
        <v>#VALUE!</v>
      </c>
      <c r="W47" t="b">
        <f>AND(DATA!L217,"AAAAAH90/xY=")</f>
        <v>1</v>
      </c>
      <c r="X47" t="b">
        <f>AND(DATA!M217,"AAAAAH90/xc=")</f>
        <v>1</v>
      </c>
      <c r="Y47" t="b">
        <f>AND(DATA!N217,"AAAAAH90/xg=")</f>
        <v>1</v>
      </c>
      <c r="Z47">
        <f>IF(DATA!218:218,"AAAAAH90/xk=",0)</f>
        <v>0</v>
      </c>
      <c r="AA47" t="e">
        <f>AND(DATA!A218,"AAAAAH90/xo=")</f>
        <v>#VALUE!</v>
      </c>
      <c r="AB47" t="e">
        <f>AND(DATA!B218,"AAAAAH90/xs=")</f>
        <v>#VALUE!</v>
      </c>
      <c r="AC47" t="e">
        <f>AND(DATA!C218,"AAAAAH90/xw=")</f>
        <v>#VALUE!</v>
      </c>
      <c r="AD47" t="e">
        <f>AND(DATA!D218,"AAAAAH90/x0=")</f>
        <v>#VALUE!</v>
      </c>
      <c r="AE47" t="e">
        <f>AND(DATA!E218,"AAAAAH90/x4=")</f>
        <v>#VALUE!</v>
      </c>
      <c r="AF47" t="e">
        <f>AND(DATA!F218,"AAAAAH90/x8=")</f>
        <v>#VALUE!</v>
      </c>
      <c r="AG47" t="e">
        <f>AND(DATA!G218,"AAAAAH90/yA=")</f>
        <v>#VALUE!</v>
      </c>
      <c r="AH47" t="e">
        <f>AND(DATA!H218,"AAAAAH90/yE=")</f>
        <v>#VALUE!</v>
      </c>
      <c r="AI47" t="e">
        <f>AND(DATA!I218,"AAAAAH90/yI=")</f>
        <v>#VALUE!</v>
      </c>
      <c r="AJ47" t="e">
        <f>AND(DATA!J218,"AAAAAH90/yM=")</f>
        <v>#VALUE!</v>
      </c>
      <c r="AK47" t="e">
        <f>AND(DATA!K218,"AAAAAH90/yQ=")</f>
        <v>#VALUE!</v>
      </c>
      <c r="AL47" t="b">
        <f>AND(DATA!L218,"AAAAAH90/yU=")</f>
        <v>1</v>
      </c>
      <c r="AM47" t="b">
        <f>AND(DATA!M218,"AAAAAH90/yY=")</f>
        <v>1</v>
      </c>
      <c r="AN47" t="b">
        <f>AND(DATA!N218,"AAAAAH90/yc=")</f>
        <v>1</v>
      </c>
      <c r="AO47">
        <f>IF(DATA!219:219,"AAAAAH90/yg=",0)</f>
        <v>0</v>
      </c>
      <c r="AP47" t="e">
        <f>AND(DATA!A219,"AAAAAH90/yk=")</f>
        <v>#VALUE!</v>
      </c>
      <c r="AQ47" t="e">
        <f>AND(DATA!B219,"AAAAAH90/yo=")</f>
        <v>#VALUE!</v>
      </c>
      <c r="AR47" t="e">
        <f>AND(DATA!C219,"AAAAAH90/ys=")</f>
        <v>#VALUE!</v>
      </c>
      <c r="AS47" t="e">
        <f>AND(DATA!D219,"AAAAAH90/yw=")</f>
        <v>#VALUE!</v>
      </c>
      <c r="AT47" t="e">
        <f>AND(DATA!E219,"AAAAAH90/y0=")</f>
        <v>#VALUE!</v>
      </c>
      <c r="AU47" t="e">
        <f>AND(DATA!F219,"AAAAAH90/y4=")</f>
        <v>#VALUE!</v>
      </c>
      <c r="AV47" t="e">
        <f>AND(DATA!G219,"AAAAAH90/y8=")</f>
        <v>#VALUE!</v>
      </c>
      <c r="AW47" t="e">
        <f>AND(DATA!H219,"AAAAAH90/zA=")</f>
        <v>#VALUE!</v>
      </c>
      <c r="AX47" t="e">
        <f>AND(DATA!I219,"AAAAAH90/zE=")</f>
        <v>#VALUE!</v>
      </c>
      <c r="AY47" t="e">
        <f>AND(DATA!J219,"AAAAAH90/zI=")</f>
        <v>#VALUE!</v>
      </c>
      <c r="AZ47" t="e">
        <f>AND(DATA!K219,"AAAAAH90/zM=")</f>
        <v>#VALUE!</v>
      </c>
      <c r="BA47" t="b">
        <f>AND(DATA!L219,"AAAAAH90/zQ=")</f>
        <v>1</v>
      </c>
      <c r="BB47" t="b">
        <f>AND(DATA!M219,"AAAAAH90/zU=")</f>
        <v>1</v>
      </c>
      <c r="BC47" t="b">
        <f>AND(DATA!N219,"AAAAAH90/zY=")</f>
        <v>1</v>
      </c>
      <c r="BD47">
        <f>IF(DATA!220:220,"AAAAAH90/zc=",0)</f>
        <v>0</v>
      </c>
      <c r="BE47" t="e">
        <f>AND(DATA!A220,"AAAAAH90/zg=")</f>
        <v>#VALUE!</v>
      </c>
      <c r="BF47" t="e">
        <f>AND(DATA!B220,"AAAAAH90/zk=")</f>
        <v>#VALUE!</v>
      </c>
      <c r="BG47" t="e">
        <f>AND(DATA!C220,"AAAAAH90/zo=")</f>
        <v>#VALUE!</v>
      </c>
      <c r="BH47" t="e">
        <f>AND(DATA!D220,"AAAAAH90/zs=")</f>
        <v>#VALUE!</v>
      </c>
      <c r="BI47" t="e">
        <f>AND(DATA!E220,"AAAAAH90/zw=")</f>
        <v>#VALUE!</v>
      </c>
      <c r="BJ47" t="e">
        <f>AND(DATA!F220,"AAAAAH90/z0=")</f>
        <v>#VALUE!</v>
      </c>
      <c r="BK47" t="e">
        <f>AND(DATA!G220,"AAAAAH90/z4=")</f>
        <v>#VALUE!</v>
      </c>
      <c r="BL47" t="e">
        <f>AND(DATA!H220,"AAAAAH90/z8=")</f>
        <v>#VALUE!</v>
      </c>
      <c r="BM47" t="e">
        <f>AND(DATA!I220,"AAAAAH90/0A=")</f>
        <v>#VALUE!</v>
      </c>
      <c r="BN47" t="e">
        <f>AND(DATA!J220,"AAAAAH90/0E=")</f>
        <v>#VALUE!</v>
      </c>
      <c r="BO47" t="e">
        <f>AND(DATA!K220,"AAAAAH90/0I=")</f>
        <v>#VALUE!</v>
      </c>
      <c r="BP47" t="b">
        <f>AND(DATA!L220,"AAAAAH90/0M=")</f>
        <v>1</v>
      </c>
      <c r="BQ47" t="b">
        <f>AND(DATA!M220,"AAAAAH90/0Q=")</f>
        <v>1</v>
      </c>
      <c r="BR47" t="b">
        <f>AND(DATA!N220,"AAAAAH90/0U=")</f>
        <v>1</v>
      </c>
      <c r="BS47">
        <f>IF(DATA!221:221,"AAAAAH90/0Y=",0)</f>
        <v>0</v>
      </c>
      <c r="BT47" t="e">
        <f>AND(DATA!A221,"AAAAAH90/0c=")</f>
        <v>#VALUE!</v>
      </c>
      <c r="BU47" t="e">
        <f>AND(DATA!B221,"AAAAAH90/0g=")</f>
        <v>#VALUE!</v>
      </c>
      <c r="BV47" t="e">
        <f>AND(DATA!C221,"AAAAAH90/0k=")</f>
        <v>#VALUE!</v>
      </c>
      <c r="BW47" t="e">
        <f>AND(DATA!D221,"AAAAAH90/0o=")</f>
        <v>#VALUE!</v>
      </c>
      <c r="BX47" t="e">
        <f>AND(DATA!E221,"AAAAAH90/0s=")</f>
        <v>#VALUE!</v>
      </c>
      <c r="BY47" t="e">
        <f>AND(DATA!F221,"AAAAAH90/0w=")</f>
        <v>#VALUE!</v>
      </c>
      <c r="BZ47" t="e">
        <f>AND(DATA!G221,"AAAAAH90/00=")</f>
        <v>#VALUE!</v>
      </c>
      <c r="CA47" t="e">
        <f>AND(DATA!H221,"AAAAAH90/04=")</f>
        <v>#VALUE!</v>
      </c>
      <c r="CB47" t="e">
        <f>AND(DATA!I221,"AAAAAH90/08=")</f>
        <v>#VALUE!</v>
      </c>
      <c r="CC47" t="e">
        <f>AND(DATA!J221,"AAAAAH90/1A=")</f>
        <v>#VALUE!</v>
      </c>
      <c r="CD47" t="e">
        <f>AND(DATA!K221,"AAAAAH90/1E=")</f>
        <v>#VALUE!</v>
      </c>
      <c r="CE47" t="b">
        <f>AND(DATA!L221,"AAAAAH90/1I=")</f>
        <v>1</v>
      </c>
      <c r="CF47" t="b">
        <f>AND(DATA!M221,"AAAAAH90/1M=")</f>
        <v>1</v>
      </c>
      <c r="CG47" t="b">
        <f>AND(DATA!N221,"AAAAAH90/1Q=")</f>
        <v>1</v>
      </c>
      <c r="CH47">
        <f>IF(DATA!222:222,"AAAAAH90/1U=",0)</f>
        <v>0</v>
      </c>
      <c r="CI47" t="e">
        <f>AND(DATA!A222,"AAAAAH90/1Y=")</f>
        <v>#VALUE!</v>
      </c>
      <c r="CJ47" t="e">
        <f>AND(DATA!B222,"AAAAAH90/1c=")</f>
        <v>#VALUE!</v>
      </c>
      <c r="CK47" t="e">
        <f>AND(DATA!C222,"AAAAAH90/1g=")</f>
        <v>#VALUE!</v>
      </c>
      <c r="CL47" t="e">
        <f>AND(DATA!D222,"AAAAAH90/1k=")</f>
        <v>#VALUE!</v>
      </c>
      <c r="CM47" t="e">
        <f>AND(DATA!E222,"AAAAAH90/1o=")</f>
        <v>#VALUE!</v>
      </c>
      <c r="CN47" t="e">
        <f>AND(DATA!F222,"AAAAAH90/1s=")</f>
        <v>#VALUE!</v>
      </c>
      <c r="CO47" t="e">
        <f>AND(DATA!G222,"AAAAAH90/1w=")</f>
        <v>#VALUE!</v>
      </c>
      <c r="CP47" t="e">
        <f>AND(DATA!H222,"AAAAAH90/10=")</f>
        <v>#VALUE!</v>
      </c>
      <c r="CQ47" t="e">
        <f>AND(DATA!I222,"AAAAAH90/14=")</f>
        <v>#VALUE!</v>
      </c>
      <c r="CR47" t="e">
        <f>AND(DATA!J222,"AAAAAH90/18=")</f>
        <v>#VALUE!</v>
      </c>
      <c r="CS47" t="e">
        <f>AND(DATA!K222,"AAAAAH90/2A=")</f>
        <v>#VALUE!</v>
      </c>
      <c r="CT47" t="b">
        <f>AND(DATA!L222,"AAAAAH90/2E=")</f>
        <v>1</v>
      </c>
      <c r="CU47" t="b">
        <f>AND(DATA!M222,"AAAAAH90/2I=")</f>
        <v>1</v>
      </c>
      <c r="CV47" t="b">
        <f>AND(DATA!N222,"AAAAAH90/2M=")</f>
        <v>1</v>
      </c>
      <c r="CW47">
        <f>IF(DATA!223:223,"AAAAAH90/2Q=",0)</f>
        <v>0</v>
      </c>
      <c r="CX47" t="e">
        <f>AND(DATA!A223,"AAAAAH90/2U=")</f>
        <v>#VALUE!</v>
      </c>
      <c r="CY47" t="e">
        <f>AND(DATA!B223,"AAAAAH90/2Y=")</f>
        <v>#VALUE!</v>
      </c>
      <c r="CZ47" t="e">
        <f>AND(DATA!C223,"AAAAAH90/2c=")</f>
        <v>#VALUE!</v>
      </c>
      <c r="DA47" t="e">
        <f>AND(DATA!D223,"AAAAAH90/2g=")</f>
        <v>#VALUE!</v>
      </c>
      <c r="DB47" t="e">
        <f>AND(DATA!E223,"AAAAAH90/2k=")</f>
        <v>#VALUE!</v>
      </c>
      <c r="DC47" t="e">
        <f>AND(DATA!F223,"AAAAAH90/2o=")</f>
        <v>#VALUE!</v>
      </c>
      <c r="DD47" t="e">
        <f>AND(DATA!G223,"AAAAAH90/2s=")</f>
        <v>#VALUE!</v>
      </c>
      <c r="DE47" t="e">
        <f>AND(DATA!H223,"AAAAAH90/2w=")</f>
        <v>#VALUE!</v>
      </c>
      <c r="DF47" t="e">
        <f>AND(DATA!I223,"AAAAAH90/20=")</f>
        <v>#VALUE!</v>
      </c>
      <c r="DG47" t="e">
        <f>AND(DATA!J223,"AAAAAH90/24=")</f>
        <v>#VALUE!</v>
      </c>
      <c r="DH47" t="e">
        <f>AND(DATA!K223,"AAAAAH90/28=")</f>
        <v>#VALUE!</v>
      </c>
      <c r="DI47" t="b">
        <f>AND(DATA!L223,"AAAAAH90/3A=")</f>
        <v>1</v>
      </c>
      <c r="DJ47" t="b">
        <f>AND(DATA!M223,"AAAAAH90/3E=")</f>
        <v>1</v>
      </c>
      <c r="DK47" t="b">
        <f>AND(DATA!N223,"AAAAAH90/3I=")</f>
        <v>1</v>
      </c>
      <c r="DL47">
        <f>IF(DATA!224:224,"AAAAAH90/3M=",0)</f>
        <v>0</v>
      </c>
      <c r="DM47" t="e">
        <f>AND(DATA!A224,"AAAAAH90/3Q=")</f>
        <v>#VALUE!</v>
      </c>
      <c r="DN47" t="e">
        <f>AND(DATA!B224,"AAAAAH90/3U=")</f>
        <v>#VALUE!</v>
      </c>
      <c r="DO47" t="e">
        <f>AND(DATA!C224,"AAAAAH90/3Y=")</f>
        <v>#VALUE!</v>
      </c>
      <c r="DP47" t="e">
        <f>AND(DATA!D224,"AAAAAH90/3c=")</f>
        <v>#VALUE!</v>
      </c>
      <c r="DQ47" t="e">
        <f>AND(DATA!E224,"AAAAAH90/3g=")</f>
        <v>#VALUE!</v>
      </c>
      <c r="DR47" t="e">
        <f>AND(DATA!F224,"AAAAAH90/3k=")</f>
        <v>#VALUE!</v>
      </c>
      <c r="DS47" t="e">
        <f>AND(DATA!G224,"AAAAAH90/3o=")</f>
        <v>#VALUE!</v>
      </c>
      <c r="DT47" t="e">
        <f>AND(DATA!H224,"AAAAAH90/3s=")</f>
        <v>#VALUE!</v>
      </c>
      <c r="DU47" t="e">
        <f>AND(DATA!I224,"AAAAAH90/3w=")</f>
        <v>#VALUE!</v>
      </c>
      <c r="DV47" t="e">
        <f>AND(DATA!J224,"AAAAAH90/30=")</f>
        <v>#VALUE!</v>
      </c>
      <c r="DW47" t="e">
        <f>AND(DATA!K224,"AAAAAH90/34=")</f>
        <v>#VALUE!</v>
      </c>
      <c r="DX47" t="b">
        <f>AND(DATA!L224,"AAAAAH90/38=")</f>
        <v>1</v>
      </c>
      <c r="DY47" t="b">
        <f>AND(DATA!M224,"AAAAAH90/4A=")</f>
        <v>1</v>
      </c>
      <c r="DZ47" t="b">
        <f>AND(DATA!N224,"AAAAAH90/4E=")</f>
        <v>1</v>
      </c>
      <c r="EA47">
        <f>IF(DATA!225:225,"AAAAAH90/4I=",0)</f>
        <v>0</v>
      </c>
      <c r="EB47" t="e">
        <f>AND(DATA!A225,"AAAAAH90/4M=")</f>
        <v>#VALUE!</v>
      </c>
      <c r="EC47" t="e">
        <f>AND(DATA!B225,"AAAAAH90/4Q=")</f>
        <v>#VALUE!</v>
      </c>
      <c r="ED47" t="e">
        <f>AND(DATA!C225,"AAAAAH90/4U=")</f>
        <v>#VALUE!</v>
      </c>
      <c r="EE47" t="e">
        <f>AND(DATA!D225,"AAAAAH90/4Y=")</f>
        <v>#VALUE!</v>
      </c>
      <c r="EF47" t="e">
        <f>AND(DATA!E225,"AAAAAH90/4c=")</f>
        <v>#VALUE!</v>
      </c>
      <c r="EG47" t="e">
        <f>AND(DATA!F225,"AAAAAH90/4g=")</f>
        <v>#VALUE!</v>
      </c>
      <c r="EH47" t="e">
        <f>AND(DATA!G225,"AAAAAH90/4k=")</f>
        <v>#VALUE!</v>
      </c>
      <c r="EI47" t="e">
        <f>AND(DATA!H225,"AAAAAH90/4o=")</f>
        <v>#VALUE!</v>
      </c>
      <c r="EJ47" t="e">
        <f>AND(DATA!I225,"AAAAAH90/4s=")</f>
        <v>#VALUE!</v>
      </c>
      <c r="EK47" t="e">
        <f>AND(DATA!J225,"AAAAAH90/4w=")</f>
        <v>#VALUE!</v>
      </c>
      <c r="EL47" t="e">
        <f>AND(DATA!K225,"AAAAAH90/40=")</f>
        <v>#VALUE!</v>
      </c>
      <c r="EM47" t="b">
        <f>AND(DATA!L225,"AAAAAH90/44=")</f>
        <v>1</v>
      </c>
      <c r="EN47" t="b">
        <f>AND(DATA!M225,"AAAAAH90/48=")</f>
        <v>1</v>
      </c>
      <c r="EO47" t="b">
        <f>AND(DATA!N225,"AAAAAH90/5A=")</f>
        <v>1</v>
      </c>
      <c r="EP47">
        <f>IF(DATA!226:226,"AAAAAH90/5E=",0)</f>
        <v>0</v>
      </c>
      <c r="EQ47" t="e">
        <f>AND(DATA!A226,"AAAAAH90/5I=")</f>
        <v>#VALUE!</v>
      </c>
      <c r="ER47" t="e">
        <f>AND(DATA!B226,"AAAAAH90/5M=")</f>
        <v>#VALUE!</v>
      </c>
      <c r="ES47" t="e">
        <f>AND(DATA!C226,"AAAAAH90/5Q=")</f>
        <v>#VALUE!</v>
      </c>
      <c r="ET47" t="e">
        <f>AND(DATA!D226,"AAAAAH90/5U=")</f>
        <v>#VALUE!</v>
      </c>
      <c r="EU47" t="e">
        <f>AND(DATA!E226,"AAAAAH90/5Y=")</f>
        <v>#VALUE!</v>
      </c>
      <c r="EV47" t="e">
        <f>AND(DATA!F226,"AAAAAH90/5c=")</f>
        <v>#VALUE!</v>
      </c>
      <c r="EW47" t="e">
        <f>AND(DATA!G226,"AAAAAH90/5g=")</f>
        <v>#VALUE!</v>
      </c>
      <c r="EX47" t="e">
        <f>AND(DATA!H226,"AAAAAH90/5k=")</f>
        <v>#VALUE!</v>
      </c>
      <c r="EY47" t="e">
        <f>AND(DATA!I226,"AAAAAH90/5o=")</f>
        <v>#VALUE!</v>
      </c>
      <c r="EZ47" t="e">
        <f>AND(DATA!J226,"AAAAAH90/5s=")</f>
        <v>#VALUE!</v>
      </c>
      <c r="FA47" t="e">
        <f>AND(DATA!K226,"AAAAAH90/5w=")</f>
        <v>#VALUE!</v>
      </c>
      <c r="FB47" t="b">
        <f>AND(DATA!L226,"AAAAAH90/50=")</f>
        <v>1</v>
      </c>
      <c r="FC47" t="b">
        <f>AND(DATA!M226,"AAAAAH90/54=")</f>
        <v>1</v>
      </c>
      <c r="FD47" t="b">
        <f>AND(DATA!N226,"AAAAAH90/58=")</f>
        <v>1</v>
      </c>
      <c r="FE47">
        <f>IF(DATA!227:227,"AAAAAH90/6A=",0)</f>
        <v>0</v>
      </c>
      <c r="FF47" t="e">
        <f>AND(DATA!A227,"AAAAAH90/6E=")</f>
        <v>#VALUE!</v>
      </c>
      <c r="FG47" t="e">
        <f>AND(DATA!B227,"AAAAAH90/6I=")</f>
        <v>#VALUE!</v>
      </c>
      <c r="FH47" t="e">
        <f>AND(DATA!C227,"AAAAAH90/6M=")</f>
        <v>#VALUE!</v>
      </c>
      <c r="FI47" t="e">
        <f>AND(DATA!D227,"AAAAAH90/6Q=")</f>
        <v>#VALUE!</v>
      </c>
      <c r="FJ47" t="e">
        <f>AND(DATA!E227,"AAAAAH90/6U=")</f>
        <v>#VALUE!</v>
      </c>
      <c r="FK47" t="e">
        <f>AND(DATA!F227,"AAAAAH90/6Y=")</f>
        <v>#VALUE!</v>
      </c>
      <c r="FL47" t="e">
        <f>AND(DATA!G227,"AAAAAH90/6c=")</f>
        <v>#VALUE!</v>
      </c>
      <c r="FM47" t="e">
        <f>AND(DATA!H227,"AAAAAH90/6g=")</f>
        <v>#VALUE!</v>
      </c>
      <c r="FN47" t="e">
        <f>AND(DATA!I227,"AAAAAH90/6k=")</f>
        <v>#VALUE!</v>
      </c>
      <c r="FO47" t="e">
        <f>AND(DATA!J227,"AAAAAH90/6o=")</f>
        <v>#VALUE!</v>
      </c>
      <c r="FP47" t="e">
        <f>AND(DATA!K227,"AAAAAH90/6s=")</f>
        <v>#VALUE!</v>
      </c>
      <c r="FQ47" t="b">
        <f>AND(DATA!L227,"AAAAAH90/6w=")</f>
        <v>1</v>
      </c>
      <c r="FR47" t="b">
        <f>AND(DATA!M227,"AAAAAH90/60=")</f>
        <v>1</v>
      </c>
      <c r="FS47" t="b">
        <f>AND(DATA!N227,"AAAAAH90/64=")</f>
        <v>1</v>
      </c>
      <c r="FT47">
        <f>IF(DATA!228:228,"AAAAAH90/68=",0)</f>
        <v>0</v>
      </c>
      <c r="FU47" t="e">
        <f>AND(DATA!A228,"AAAAAH90/7A=")</f>
        <v>#VALUE!</v>
      </c>
      <c r="FV47" t="e">
        <f>AND(DATA!B228,"AAAAAH90/7E=")</f>
        <v>#VALUE!</v>
      </c>
      <c r="FW47" t="e">
        <f>AND(DATA!C228,"AAAAAH90/7I=")</f>
        <v>#VALUE!</v>
      </c>
      <c r="FX47" t="e">
        <f>AND(DATA!D228,"AAAAAH90/7M=")</f>
        <v>#VALUE!</v>
      </c>
      <c r="FY47" t="e">
        <f>AND(DATA!E228,"AAAAAH90/7Q=")</f>
        <v>#VALUE!</v>
      </c>
      <c r="FZ47" t="e">
        <f>AND(DATA!F228,"AAAAAH90/7U=")</f>
        <v>#VALUE!</v>
      </c>
      <c r="GA47" t="e">
        <f>AND(DATA!G228,"AAAAAH90/7Y=")</f>
        <v>#VALUE!</v>
      </c>
      <c r="GB47" t="e">
        <f>AND(DATA!H228,"AAAAAH90/7c=")</f>
        <v>#VALUE!</v>
      </c>
      <c r="GC47" t="e">
        <f>AND(DATA!I228,"AAAAAH90/7g=")</f>
        <v>#VALUE!</v>
      </c>
      <c r="GD47" t="e">
        <f>AND(DATA!J228,"AAAAAH90/7k=")</f>
        <v>#VALUE!</v>
      </c>
      <c r="GE47" t="e">
        <f>AND(DATA!K228,"AAAAAH90/7o=")</f>
        <v>#VALUE!</v>
      </c>
      <c r="GF47" t="b">
        <f>AND(DATA!L228,"AAAAAH90/7s=")</f>
        <v>1</v>
      </c>
      <c r="GG47" t="b">
        <f>AND(DATA!M228,"AAAAAH90/7w=")</f>
        <v>1</v>
      </c>
      <c r="GH47" t="b">
        <f>AND(DATA!N228,"AAAAAH90/70=")</f>
        <v>1</v>
      </c>
      <c r="GI47">
        <f>IF(DATA!229:229,"AAAAAH90/74=",0)</f>
        <v>0</v>
      </c>
      <c r="GJ47" t="e">
        <f>AND(DATA!A229,"AAAAAH90/78=")</f>
        <v>#VALUE!</v>
      </c>
      <c r="GK47" t="e">
        <f>AND(DATA!B229,"AAAAAH90/8A=")</f>
        <v>#VALUE!</v>
      </c>
      <c r="GL47" t="e">
        <f>AND(DATA!C229,"AAAAAH90/8E=")</f>
        <v>#VALUE!</v>
      </c>
      <c r="GM47" t="e">
        <f>AND(DATA!D229,"AAAAAH90/8I=")</f>
        <v>#VALUE!</v>
      </c>
      <c r="GN47" t="e">
        <f>AND(DATA!E229,"AAAAAH90/8M=")</f>
        <v>#VALUE!</v>
      </c>
      <c r="GO47" t="e">
        <f>AND(DATA!F229,"AAAAAH90/8Q=")</f>
        <v>#VALUE!</v>
      </c>
      <c r="GP47" t="e">
        <f>AND(DATA!G229,"AAAAAH90/8U=")</f>
        <v>#VALUE!</v>
      </c>
      <c r="GQ47" t="e">
        <f>AND(DATA!H229,"AAAAAH90/8Y=")</f>
        <v>#VALUE!</v>
      </c>
      <c r="GR47" t="e">
        <f>AND(DATA!I229,"AAAAAH90/8c=")</f>
        <v>#VALUE!</v>
      </c>
      <c r="GS47" t="e">
        <f>AND(DATA!J229,"AAAAAH90/8g=")</f>
        <v>#VALUE!</v>
      </c>
      <c r="GT47" t="e">
        <f>AND(DATA!K229,"AAAAAH90/8k=")</f>
        <v>#VALUE!</v>
      </c>
      <c r="GU47" t="b">
        <f>AND(DATA!L229,"AAAAAH90/8o=")</f>
        <v>1</v>
      </c>
      <c r="GV47" t="b">
        <f>AND(DATA!M229,"AAAAAH90/8s=")</f>
        <v>1</v>
      </c>
      <c r="GW47" t="b">
        <f>AND(DATA!N229,"AAAAAH90/8w=")</f>
        <v>1</v>
      </c>
      <c r="GX47">
        <f>IF(DATA!230:230,"AAAAAH90/80=",0)</f>
        <v>0</v>
      </c>
      <c r="GY47" t="e">
        <f>AND(DATA!A230,"AAAAAH90/84=")</f>
        <v>#VALUE!</v>
      </c>
      <c r="GZ47" t="e">
        <f>AND(DATA!B230,"AAAAAH90/88=")</f>
        <v>#VALUE!</v>
      </c>
      <c r="HA47" t="e">
        <f>AND(DATA!C230,"AAAAAH90/9A=")</f>
        <v>#VALUE!</v>
      </c>
      <c r="HB47" t="e">
        <f>AND(DATA!D230,"AAAAAH90/9E=")</f>
        <v>#VALUE!</v>
      </c>
      <c r="HC47" t="e">
        <f>AND(DATA!E230,"AAAAAH90/9I=")</f>
        <v>#VALUE!</v>
      </c>
      <c r="HD47" t="e">
        <f>AND(DATA!F230,"AAAAAH90/9M=")</f>
        <v>#VALUE!</v>
      </c>
      <c r="HE47" t="e">
        <f>AND(DATA!G230,"AAAAAH90/9Q=")</f>
        <v>#VALUE!</v>
      </c>
      <c r="HF47" t="e">
        <f>AND(DATA!H230,"AAAAAH90/9U=")</f>
        <v>#VALUE!</v>
      </c>
      <c r="HG47" t="e">
        <f>AND(DATA!I230,"AAAAAH90/9Y=")</f>
        <v>#VALUE!</v>
      </c>
      <c r="HH47" t="e">
        <f>AND(DATA!J230,"AAAAAH90/9c=")</f>
        <v>#VALUE!</v>
      </c>
      <c r="HI47" t="e">
        <f>AND(DATA!K230,"AAAAAH90/9g=")</f>
        <v>#VALUE!</v>
      </c>
      <c r="HJ47" t="b">
        <f>AND(DATA!L230,"AAAAAH90/9k=")</f>
        <v>1</v>
      </c>
      <c r="HK47" t="b">
        <f>AND(DATA!M230,"AAAAAH90/9o=")</f>
        <v>1</v>
      </c>
      <c r="HL47" t="b">
        <f>AND(DATA!N230,"AAAAAH90/9s=")</f>
        <v>1</v>
      </c>
      <c r="HM47">
        <f>IF(DATA!231:231,"AAAAAH90/9w=",0)</f>
        <v>0</v>
      </c>
      <c r="HN47" t="e">
        <f>AND(DATA!A231,"AAAAAH90/90=")</f>
        <v>#VALUE!</v>
      </c>
      <c r="HO47" t="e">
        <f>AND(DATA!B231,"AAAAAH90/94=")</f>
        <v>#VALUE!</v>
      </c>
      <c r="HP47" t="e">
        <f>AND(DATA!C231,"AAAAAH90/98=")</f>
        <v>#VALUE!</v>
      </c>
      <c r="HQ47" t="e">
        <f>AND(DATA!D231,"AAAAAH90/+A=")</f>
        <v>#VALUE!</v>
      </c>
      <c r="HR47" t="e">
        <f>AND(DATA!E231,"AAAAAH90/+E=")</f>
        <v>#VALUE!</v>
      </c>
      <c r="HS47" t="e">
        <f>AND(DATA!F231,"AAAAAH90/+I=")</f>
        <v>#VALUE!</v>
      </c>
      <c r="HT47" t="e">
        <f>AND(DATA!G231,"AAAAAH90/+M=")</f>
        <v>#VALUE!</v>
      </c>
      <c r="HU47" t="e">
        <f>AND(DATA!H231,"AAAAAH90/+Q=")</f>
        <v>#VALUE!</v>
      </c>
      <c r="HV47" t="e">
        <f>AND(DATA!I231,"AAAAAH90/+U=")</f>
        <v>#VALUE!</v>
      </c>
      <c r="HW47" t="e">
        <f>AND(DATA!J231,"AAAAAH90/+Y=")</f>
        <v>#VALUE!</v>
      </c>
      <c r="HX47" t="e">
        <f>AND(DATA!K231,"AAAAAH90/+c=")</f>
        <v>#VALUE!</v>
      </c>
      <c r="HY47" t="b">
        <f>AND(DATA!L231,"AAAAAH90/+g=")</f>
        <v>1</v>
      </c>
      <c r="HZ47" t="b">
        <f>AND(DATA!M231,"AAAAAH90/+k=")</f>
        <v>1</v>
      </c>
      <c r="IA47" t="b">
        <f>AND(DATA!N231,"AAAAAH90/+o=")</f>
        <v>1</v>
      </c>
      <c r="IB47">
        <f>IF(DATA!232:232,"AAAAAH90/+s=",0)</f>
        <v>0</v>
      </c>
      <c r="IC47" t="e">
        <f>AND(DATA!A232,"AAAAAH90/+w=")</f>
        <v>#VALUE!</v>
      </c>
      <c r="ID47" t="e">
        <f>AND(DATA!B232,"AAAAAH90/+0=")</f>
        <v>#VALUE!</v>
      </c>
      <c r="IE47" t="e">
        <f>AND(DATA!C232,"AAAAAH90/+4=")</f>
        <v>#VALUE!</v>
      </c>
      <c r="IF47" t="e">
        <f>AND(DATA!D232,"AAAAAH90/+8=")</f>
        <v>#VALUE!</v>
      </c>
      <c r="IG47" t="e">
        <f>AND(DATA!E232,"AAAAAH90//A=")</f>
        <v>#VALUE!</v>
      </c>
      <c r="IH47" t="e">
        <f>AND(DATA!F232,"AAAAAH90//E=")</f>
        <v>#VALUE!</v>
      </c>
      <c r="II47" t="e">
        <f>AND(DATA!G232,"AAAAAH90//I=")</f>
        <v>#VALUE!</v>
      </c>
      <c r="IJ47" t="e">
        <f>AND(DATA!H232,"AAAAAH90//M=")</f>
        <v>#VALUE!</v>
      </c>
      <c r="IK47" t="e">
        <f>AND(DATA!I232,"AAAAAH90//Q=")</f>
        <v>#VALUE!</v>
      </c>
      <c r="IL47" t="e">
        <f>AND(DATA!J232,"AAAAAH90//U=")</f>
        <v>#VALUE!</v>
      </c>
      <c r="IM47" t="e">
        <f>AND(DATA!K232,"AAAAAH90//Y=")</f>
        <v>#VALUE!</v>
      </c>
      <c r="IN47" t="b">
        <f>AND(DATA!L232,"AAAAAH90//c=")</f>
        <v>1</v>
      </c>
      <c r="IO47" t="b">
        <f>AND(DATA!M232,"AAAAAH90//g=")</f>
        <v>1</v>
      </c>
      <c r="IP47" t="b">
        <f>AND(DATA!N232,"AAAAAH90//k=")</f>
        <v>1</v>
      </c>
      <c r="IQ47">
        <f>IF(DATA!233:233,"AAAAAH90//o=",0)</f>
        <v>0</v>
      </c>
      <c r="IR47" t="e">
        <f>AND(DATA!A233,"AAAAAH90//s=")</f>
        <v>#VALUE!</v>
      </c>
      <c r="IS47" t="e">
        <f>AND(DATA!B233,"AAAAAH90//w=")</f>
        <v>#VALUE!</v>
      </c>
      <c r="IT47" t="e">
        <f>AND(DATA!C233,"AAAAAH90//0=")</f>
        <v>#VALUE!</v>
      </c>
      <c r="IU47" t="e">
        <f>AND(DATA!D233,"AAAAAH90//4=")</f>
        <v>#VALUE!</v>
      </c>
      <c r="IV47" t="e">
        <f>AND(DATA!E233,"AAAAAH90//8=")</f>
        <v>#VALUE!</v>
      </c>
    </row>
    <row r="48" spans="1:256">
      <c r="A48" t="e">
        <f>AND(DATA!F233,"AAAAACvviwA=")</f>
        <v>#VALUE!</v>
      </c>
      <c r="B48" t="e">
        <f>AND(DATA!G233,"AAAAACvviwE=")</f>
        <v>#VALUE!</v>
      </c>
      <c r="C48" t="e">
        <f>AND(DATA!H233,"AAAAACvviwI=")</f>
        <v>#VALUE!</v>
      </c>
      <c r="D48" t="e">
        <f>AND(DATA!I233,"AAAAACvviwM=")</f>
        <v>#VALUE!</v>
      </c>
      <c r="E48" t="e">
        <f>AND(DATA!J233,"AAAAACvviwQ=")</f>
        <v>#VALUE!</v>
      </c>
      <c r="F48" t="e">
        <f>AND(DATA!K233,"AAAAACvviwU=")</f>
        <v>#VALUE!</v>
      </c>
      <c r="G48" t="b">
        <f>AND(DATA!L233,"AAAAACvviwY=")</f>
        <v>1</v>
      </c>
      <c r="H48" t="b">
        <f>AND(DATA!M233,"AAAAACvviwc=")</f>
        <v>1</v>
      </c>
      <c r="I48" t="b">
        <f>AND(DATA!N233,"AAAAACvviwg=")</f>
        <v>1</v>
      </c>
      <c r="J48">
        <f>IF(DATA!234:234,"AAAAACvviwk=",0)</f>
        <v>0</v>
      </c>
      <c r="K48" t="e">
        <f>AND(DATA!A234,"AAAAACvviwo=")</f>
        <v>#VALUE!</v>
      </c>
      <c r="L48" t="e">
        <f>AND(DATA!B234,"AAAAACvviws=")</f>
        <v>#VALUE!</v>
      </c>
      <c r="M48" t="e">
        <f>AND(DATA!C234,"AAAAACvviww=")</f>
        <v>#VALUE!</v>
      </c>
      <c r="N48" t="e">
        <f>AND(DATA!D234,"AAAAACvviw0=")</f>
        <v>#VALUE!</v>
      </c>
      <c r="O48" t="e">
        <f>AND(DATA!E234,"AAAAACvviw4=")</f>
        <v>#VALUE!</v>
      </c>
      <c r="P48" t="e">
        <f>AND(DATA!F234,"AAAAACvviw8=")</f>
        <v>#VALUE!</v>
      </c>
      <c r="Q48" t="e">
        <f>AND(DATA!G234,"AAAAACvvixA=")</f>
        <v>#VALUE!</v>
      </c>
      <c r="R48" t="e">
        <f>AND(DATA!H234,"AAAAACvvixE=")</f>
        <v>#VALUE!</v>
      </c>
      <c r="S48" t="e">
        <f>AND(DATA!I234,"AAAAACvvixI=")</f>
        <v>#VALUE!</v>
      </c>
      <c r="T48" t="e">
        <f>AND(DATA!J234,"AAAAACvvixM=")</f>
        <v>#VALUE!</v>
      </c>
      <c r="U48" t="e">
        <f>AND(DATA!K234,"AAAAACvvixQ=")</f>
        <v>#VALUE!</v>
      </c>
      <c r="V48" t="b">
        <f>AND(DATA!L234,"AAAAACvvixU=")</f>
        <v>1</v>
      </c>
      <c r="W48" t="b">
        <f>AND(DATA!M234,"AAAAACvvixY=")</f>
        <v>1</v>
      </c>
      <c r="X48" t="b">
        <f>AND(DATA!N234,"AAAAACvvixc=")</f>
        <v>1</v>
      </c>
      <c r="Y48">
        <f>IF(DATA!235:235,"AAAAACvvixg=",0)</f>
        <v>0</v>
      </c>
      <c r="Z48" t="e">
        <f>AND(DATA!A235,"AAAAACvvixk=")</f>
        <v>#VALUE!</v>
      </c>
      <c r="AA48" t="e">
        <f>AND(DATA!B235,"AAAAACvvixo=")</f>
        <v>#VALUE!</v>
      </c>
      <c r="AB48" t="e">
        <f>AND(DATA!C235,"AAAAACvvixs=")</f>
        <v>#VALUE!</v>
      </c>
      <c r="AC48" t="e">
        <f>AND(DATA!D235,"AAAAACvvixw=")</f>
        <v>#VALUE!</v>
      </c>
      <c r="AD48" t="e">
        <f>AND(DATA!E235,"AAAAACvvix0=")</f>
        <v>#VALUE!</v>
      </c>
      <c r="AE48" t="e">
        <f>AND(DATA!F235,"AAAAACvvix4=")</f>
        <v>#VALUE!</v>
      </c>
      <c r="AF48" t="e">
        <f>AND(DATA!G235,"AAAAACvvix8=")</f>
        <v>#VALUE!</v>
      </c>
      <c r="AG48" t="e">
        <f>AND(DATA!H235,"AAAAACvviyA=")</f>
        <v>#VALUE!</v>
      </c>
      <c r="AH48" t="e">
        <f>AND(DATA!I235,"AAAAACvviyE=")</f>
        <v>#VALUE!</v>
      </c>
      <c r="AI48" t="e">
        <f>AND(DATA!J235,"AAAAACvviyI=")</f>
        <v>#VALUE!</v>
      </c>
      <c r="AJ48" t="e">
        <f>AND(DATA!K235,"AAAAACvviyM=")</f>
        <v>#VALUE!</v>
      </c>
      <c r="AK48" t="b">
        <f>AND(DATA!L235,"AAAAACvviyQ=")</f>
        <v>1</v>
      </c>
      <c r="AL48" t="b">
        <f>AND(DATA!M235,"AAAAACvviyU=")</f>
        <v>1</v>
      </c>
      <c r="AM48" t="b">
        <f>AND(DATA!N235,"AAAAACvviyY=")</f>
        <v>1</v>
      </c>
      <c r="AN48">
        <f>IF(DATA!236:236,"AAAAACvviyc=",0)</f>
        <v>0</v>
      </c>
      <c r="AO48" t="e">
        <f>AND(DATA!A236,"AAAAACvviyg=")</f>
        <v>#VALUE!</v>
      </c>
      <c r="AP48" t="e">
        <f>AND(DATA!B236,"AAAAACvviyk=")</f>
        <v>#VALUE!</v>
      </c>
      <c r="AQ48" t="e">
        <f>AND(DATA!C236,"AAAAACvviyo=")</f>
        <v>#VALUE!</v>
      </c>
      <c r="AR48" t="e">
        <f>AND(DATA!D236,"AAAAACvviys=")</f>
        <v>#VALUE!</v>
      </c>
      <c r="AS48" t="e">
        <f>AND(DATA!E236,"AAAAACvviyw=")</f>
        <v>#VALUE!</v>
      </c>
      <c r="AT48" t="e">
        <f>AND(DATA!F236,"AAAAACvviy0=")</f>
        <v>#VALUE!</v>
      </c>
      <c r="AU48" t="e">
        <f>AND(DATA!G236,"AAAAACvviy4=")</f>
        <v>#VALUE!</v>
      </c>
      <c r="AV48" t="e">
        <f>AND(DATA!H236,"AAAAACvviy8=")</f>
        <v>#VALUE!</v>
      </c>
      <c r="AW48" t="e">
        <f>AND(DATA!I236,"AAAAACvvizA=")</f>
        <v>#VALUE!</v>
      </c>
      <c r="AX48" t="e">
        <f>AND(DATA!J236,"AAAAACvvizE=")</f>
        <v>#VALUE!</v>
      </c>
      <c r="AY48" t="e">
        <f>AND(DATA!K236,"AAAAACvvizI=")</f>
        <v>#VALUE!</v>
      </c>
      <c r="AZ48" t="b">
        <f>AND(DATA!L236,"AAAAACvvizM=")</f>
        <v>1</v>
      </c>
      <c r="BA48" t="b">
        <f>AND(DATA!M236,"AAAAACvvizQ=")</f>
        <v>1</v>
      </c>
      <c r="BB48" t="b">
        <f>AND(DATA!N236,"AAAAACvvizU=")</f>
        <v>1</v>
      </c>
      <c r="BC48">
        <f>IF(DATA!237:237,"AAAAACvvizY=",0)</f>
        <v>0</v>
      </c>
      <c r="BD48" t="e">
        <f>AND(DATA!A237,"AAAAACvvizc=")</f>
        <v>#VALUE!</v>
      </c>
      <c r="BE48" t="e">
        <f>AND(DATA!B237,"AAAAACvvizg=")</f>
        <v>#VALUE!</v>
      </c>
      <c r="BF48" t="e">
        <f>AND(DATA!C237,"AAAAACvvizk=")</f>
        <v>#VALUE!</v>
      </c>
      <c r="BG48" t="e">
        <f>AND(DATA!D237,"AAAAACvvizo=")</f>
        <v>#VALUE!</v>
      </c>
      <c r="BH48" t="e">
        <f>AND(DATA!E237,"AAAAACvvizs=")</f>
        <v>#VALUE!</v>
      </c>
      <c r="BI48" t="e">
        <f>AND(DATA!F237,"AAAAACvvizw=")</f>
        <v>#VALUE!</v>
      </c>
      <c r="BJ48" t="e">
        <f>AND(DATA!G237,"AAAAACvviz0=")</f>
        <v>#VALUE!</v>
      </c>
      <c r="BK48" t="e">
        <f>AND(DATA!H237,"AAAAACvviz4=")</f>
        <v>#VALUE!</v>
      </c>
      <c r="BL48" t="e">
        <f>AND(DATA!I237,"AAAAACvviz8=")</f>
        <v>#VALUE!</v>
      </c>
      <c r="BM48" t="e">
        <f>AND(DATA!J237,"AAAAACvvi0A=")</f>
        <v>#VALUE!</v>
      </c>
      <c r="BN48" t="e">
        <f>AND(DATA!K237,"AAAAACvvi0E=")</f>
        <v>#VALUE!</v>
      </c>
      <c r="BO48" t="b">
        <f>AND(DATA!L237,"AAAAACvvi0I=")</f>
        <v>1</v>
      </c>
      <c r="BP48" t="b">
        <f>AND(DATA!M237,"AAAAACvvi0M=")</f>
        <v>1</v>
      </c>
      <c r="BQ48" t="b">
        <f>AND(DATA!N237,"AAAAACvvi0Q=")</f>
        <v>1</v>
      </c>
      <c r="BR48">
        <f>IF(DATA!238:238,"AAAAACvvi0U=",0)</f>
        <v>0</v>
      </c>
      <c r="BS48" t="e">
        <f>AND(DATA!A238,"AAAAACvvi0Y=")</f>
        <v>#VALUE!</v>
      </c>
      <c r="BT48" t="e">
        <f>AND(DATA!B238,"AAAAACvvi0c=")</f>
        <v>#VALUE!</v>
      </c>
      <c r="BU48" t="e">
        <f>AND(DATA!C238,"AAAAACvvi0g=")</f>
        <v>#VALUE!</v>
      </c>
      <c r="BV48" t="e">
        <f>AND(DATA!D238,"AAAAACvvi0k=")</f>
        <v>#VALUE!</v>
      </c>
      <c r="BW48" t="e">
        <f>AND(DATA!E238,"AAAAACvvi0o=")</f>
        <v>#VALUE!</v>
      </c>
      <c r="BX48" t="e">
        <f>AND(DATA!F238,"AAAAACvvi0s=")</f>
        <v>#VALUE!</v>
      </c>
      <c r="BY48" t="e">
        <f>AND(DATA!G238,"AAAAACvvi0w=")</f>
        <v>#VALUE!</v>
      </c>
      <c r="BZ48" t="e">
        <f>AND(DATA!H238,"AAAAACvvi00=")</f>
        <v>#VALUE!</v>
      </c>
      <c r="CA48" t="e">
        <f>AND(DATA!I238,"AAAAACvvi04=")</f>
        <v>#VALUE!</v>
      </c>
      <c r="CB48" t="e">
        <f>AND(DATA!J238,"AAAAACvvi08=")</f>
        <v>#VALUE!</v>
      </c>
      <c r="CC48" t="e">
        <f>AND(DATA!K238,"AAAAACvvi1A=")</f>
        <v>#VALUE!</v>
      </c>
      <c r="CD48" t="b">
        <f>AND(DATA!L238,"AAAAACvvi1E=")</f>
        <v>1</v>
      </c>
      <c r="CE48" t="b">
        <f>AND(DATA!M238,"AAAAACvvi1I=")</f>
        <v>1</v>
      </c>
      <c r="CF48" t="b">
        <f>AND(DATA!N238,"AAAAACvvi1M=")</f>
        <v>1</v>
      </c>
      <c r="CG48">
        <f>IF(DATA!239:239,"AAAAACvvi1Q=",0)</f>
        <v>0</v>
      </c>
      <c r="CH48" t="e">
        <f>AND(DATA!A239,"AAAAACvvi1U=")</f>
        <v>#VALUE!</v>
      </c>
      <c r="CI48" t="e">
        <f>AND(DATA!B239,"AAAAACvvi1Y=")</f>
        <v>#VALUE!</v>
      </c>
      <c r="CJ48" t="e">
        <f>AND(DATA!C239,"AAAAACvvi1c=")</f>
        <v>#VALUE!</v>
      </c>
      <c r="CK48" t="e">
        <f>AND(DATA!D239,"AAAAACvvi1g=")</f>
        <v>#VALUE!</v>
      </c>
      <c r="CL48" t="e">
        <f>AND(DATA!E239,"AAAAACvvi1k=")</f>
        <v>#VALUE!</v>
      </c>
      <c r="CM48" t="e">
        <f>AND(DATA!F239,"AAAAACvvi1o=")</f>
        <v>#VALUE!</v>
      </c>
      <c r="CN48" t="e">
        <f>AND(DATA!G239,"AAAAACvvi1s=")</f>
        <v>#VALUE!</v>
      </c>
      <c r="CO48" t="e">
        <f>AND(DATA!H239,"AAAAACvvi1w=")</f>
        <v>#VALUE!</v>
      </c>
      <c r="CP48" t="e">
        <f>AND(DATA!I239,"AAAAACvvi10=")</f>
        <v>#VALUE!</v>
      </c>
      <c r="CQ48" t="e">
        <f>AND(DATA!J239,"AAAAACvvi14=")</f>
        <v>#VALUE!</v>
      </c>
      <c r="CR48" t="e">
        <f>AND(DATA!K239,"AAAAACvvi18=")</f>
        <v>#VALUE!</v>
      </c>
      <c r="CS48" t="b">
        <f>AND(DATA!L239,"AAAAACvvi2A=")</f>
        <v>1</v>
      </c>
      <c r="CT48" t="b">
        <f>AND(DATA!M239,"AAAAACvvi2E=")</f>
        <v>1</v>
      </c>
      <c r="CU48" t="b">
        <f>AND(DATA!N239,"AAAAACvvi2I=")</f>
        <v>1</v>
      </c>
      <c r="CV48">
        <f>IF(DATA!240:240,"AAAAACvvi2M=",0)</f>
        <v>0</v>
      </c>
      <c r="CW48" t="e">
        <f>AND(DATA!A240,"AAAAACvvi2Q=")</f>
        <v>#VALUE!</v>
      </c>
      <c r="CX48" t="e">
        <f>AND(DATA!B240,"AAAAACvvi2U=")</f>
        <v>#VALUE!</v>
      </c>
      <c r="CY48" t="e">
        <f>AND(DATA!C240,"AAAAACvvi2Y=")</f>
        <v>#VALUE!</v>
      </c>
      <c r="CZ48" t="e">
        <f>AND(DATA!D240,"AAAAACvvi2c=")</f>
        <v>#VALUE!</v>
      </c>
      <c r="DA48" t="e">
        <f>AND(DATA!E240,"AAAAACvvi2g=")</f>
        <v>#VALUE!</v>
      </c>
      <c r="DB48" t="e">
        <f>AND(DATA!F240,"AAAAACvvi2k=")</f>
        <v>#VALUE!</v>
      </c>
      <c r="DC48" t="e">
        <f>AND(DATA!G240,"AAAAACvvi2o=")</f>
        <v>#VALUE!</v>
      </c>
      <c r="DD48" t="e">
        <f>AND(DATA!H240,"AAAAACvvi2s=")</f>
        <v>#VALUE!</v>
      </c>
      <c r="DE48" t="e">
        <f>AND(DATA!I240,"AAAAACvvi2w=")</f>
        <v>#VALUE!</v>
      </c>
      <c r="DF48" t="e">
        <f>AND(DATA!J240,"AAAAACvvi20=")</f>
        <v>#VALUE!</v>
      </c>
      <c r="DG48" t="e">
        <f>AND(DATA!K240,"AAAAACvvi24=")</f>
        <v>#VALUE!</v>
      </c>
      <c r="DH48" t="b">
        <f>AND(DATA!L240,"AAAAACvvi28=")</f>
        <v>1</v>
      </c>
      <c r="DI48" t="b">
        <f>AND(DATA!M240,"AAAAACvvi3A=")</f>
        <v>1</v>
      </c>
      <c r="DJ48" t="b">
        <f>AND(DATA!N240,"AAAAACvvi3E=")</f>
        <v>1</v>
      </c>
      <c r="DK48">
        <f>IF(DATA!241:241,"AAAAACvvi3I=",0)</f>
        <v>0</v>
      </c>
      <c r="DL48" t="e">
        <f>AND(DATA!A241,"AAAAACvvi3M=")</f>
        <v>#VALUE!</v>
      </c>
      <c r="DM48" t="e">
        <f>AND(DATA!B241,"AAAAACvvi3Q=")</f>
        <v>#VALUE!</v>
      </c>
      <c r="DN48" t="e">
        <f>AND(DATA!C241,"AAAAACvvi3U=")</f>
        <v>#VALUE!</v>
      </c>
      <c r="DO48" t="e">
        <f>AND(DATA!D241,"AAAAACvvi3Y=")</f>
        <v>#VALUE!</v>
      </c>
      <c r="DP48" t="e">
        <f>AND(DATA!E241,"AAAAACvvi3c=")</f>
        <v>#VALUE!</v>
      </c>
      <c r="DQ48" t="e">
        <f>AND(DATA!F241,"AAAAACvvi3g=")</f>
        <v>#VALUE!</v>
      </c>
      <c r="DR48" t="e">
        <f>AND(DATA!G241,"AAAAACvvi3k=")</f>
        <v>#VALUE!</v>
      </c>
      <c r="DS48" t="e">
        <f>AND(DATA!H241,"AAAAACvvi3o=")</f>
        <v>#VALUE!</v>
      </c>
      <c r="DT48" t="e">
        <f>AND(DATA!I241,"AAAAACvvi3s=")</f>
        <v>#VALUE!</v>
      </c>
      <c r="DU48" t="e">
        <f>AND(DATA!J241,"AAAAACvvi3w=")</f>
        <v>#VALUE!</v>
      </c>
      <c r="DV48" t="e">
        <f>AND(DATA!K241,"AAAAACvvi30=")</f>
        <v>#VALUE!</v>
      </c>
      <c r="DW48" t="b">
        <f>AND(DATA!L241,"AAAAACvvi34=")</f>
        <v>1</v>
      </c>
      <c r="DX48" t="b">
        <f>AND(DATA!M241,"AAAAACvvi38=")</f>
        <v>1</v>
      </c>
      <c r="DY48" t="b">
        <f>AND(DATA!N241,"AAAAACvvi4A=")</f>
        <v>1</v>
      </c>
      <c r="DZ48">
        <f>IF(DATA!242:242,"AAAAACvvi4E=",0)</f>
        <v>0</v>
      </c>
      <c r="EA48" t="e">
        <f>AND(DATA!A242,"AAAAACvvi4I=")</f>
        <v>#VALUE!</v>
      </c>
      <c r="EB48" t="e">
        <f>AND(DATA!B242,"AAAAACvvi4M=")</f>
        <v>#VALUE!</v>
      </c>
      <c r="EC48" t="e">
        <f>AND(DATA!C242,"AAAAACvvi4Q=")</f>
        <v>#VALUE!</v>
      </c>
      <c r="ED48" t="e">
        <f>AND(DATA!D242,"AAAAACvvi4U=")</f>
        <v>#VALUE!</v>
      </c>
      <c r="EE48" t="e">
        <f>AND(DATA!E242,"AAAAACvvi4Y=")</f>
        <v>#VALUE!</v>
      </c>
      <c r="EF48" t="e">
        <f>AND(DATA!F242,"AAAAACvvi4c=")</f>
        <v>#VALUE!</v>
      </c>
      <c r="EG48" t="e">
        <f>AND(DATA!G242,"AAAAACvvi4g=")</f>
        <v>#VALUE!</v>
      </c>
      <c r="EH48" t="e">
        <f>AND(DATA!H242,"AAAAACvvi4k=")</f>
        <v>#VALUE!</v>
      </c>
      <c r="EI48" t="e">
        <f>AND(DATA!I242,"AAAAACvvi4o=")</f>
        <v>#VALUE!</v>
      </c>
      <c r="EJ48" t="e">
        <f>AND(DATA!J242,"AAAAACvvi4s=")</f>
        <v>#VALUE!</v>
      </c>
      <c r="EK48" t="e">
        <f>AND(DATA!K242,"AAAAACvvi4w=")</f>
        <v>#VALUE!</v>
      </c>
      <c r="EL48" t="b">
        <f>AND(DATA!L242,"AAAAACvvi40=")</f>
        <v>1</v>
      </c>
      <c r="EM48" t="b">
        <f>AND(DATA!M242,"AAAAACvvi44=")</f>
        <v>1</v>
      </c>
      <c r="EN48" t="b">
        <f>AND(DATA!N242,"AAAAACvvi48=")</f>
        <v>1</v>
      </c>
      <c r="EO48">
        <f>IF(DATA!243:243,"AAAAACvvi5A=",0)</f>
        <v>0</v>
      </c>
      <c r="EP48" t="e">
        <f>AND(DATA!A243,"AAAAACvvi5E=")</f>
        <v>#VALUE!</v>
      </c>
      <c r="EQ48" t="e">
        <f>AND(DATA!B243,"AAAAACvvi5I=")</f>
        <v>#VALUE!</v>
      </c>
      <c r="ER48" t="e">
        <f>AND(DATA!C243,"AAAAACvvi5M=")</f>
        <v>#VALUE!</v>
      </c>
      <c r="ES48" t="e">
        <f>AND(DATA!D243,"AAAAACvvi5Q=")</f>
        <v>#VALUE!</v>
      </c>
      <c r="ET48" t="e">
        <f>AND(DATA!E243,"AAAAACvvi5U=")</f>
        <v>#VALUE!</v>
      </c>
      <c r="EU48" t="e">
        <f>AND(DATA!F243,"AAAAACvvi5Y=")</f>
        <v>#VALUE!</v>
      </c>
      <c r="EV48" t="e">
        <f>AND(DATA!G243,"AAAAACvvi5c=")</f>
        <v>#VALUE!</v>
      </c>
      <c r="EW48" t="e">
        <f>AND(DATA!H243,"AAAAACvvi5g=")</f>
        <v>#VALUE!</v>
      </c>
      <c r="EX48" t="e">
        <f>AND(DATA!I243,"AAAAACvvi5k=")</f>
        <v>#VALUE!</v>
      </c>
      <c r="EY48" t="e">
        <f>AND(DATA!J243,"AAAAACvvi5o=")</f>
        <v>#VALUE!</v>
      </c>
      <c r="EZ48" t="e">
        <f>AND(DATA!K243,"AAAAACvvi5s=")</f>
        <v>#VALUE!</v>
      </c>
      <c r="FA48" t="b">
        <f>AND(DATA!L243,"AAAAACvvi5w=")</f>
        <v>1</v>
      </c>
      <c r="FB48" t="b">
        <f>AND(DATA!M243,"AAAAACvvi50=")</f>
        <v>1</v>
      </c>
      <c r="FC48" t="b">
        <f>AND(DATA!N243,"AAAAACvvi54=")</f>
        <v>1</v>
      </c>
      <c r="FD48">
        <f>IF(DATA!244:244,"AAAAACvvi58=",0)</f>
        <v>0</v>
      </c>
      <c r="FE48" t="e">
        <f>AND(DATA!A244,"AAAAACvvi6A=")</f>
        <v>#VALUE!</v>
      </c>
      <c r="FF48" t="e">
        <f>AND(DATA!B244,"AAAAACvvi6E=")</f>
        <v>#VALUE!</v>
      </c>
      <c r="FG48" t="e">
        <f>AND(DATA!C244,"AAAAACvvi6I=")</f>
        <v>#VALUE!</v>
      </c>
      <c r="FH48" t="e">
        <f>AND(DATA!D244,"AAAAACvvi6M=")</f>
        <v>#VALUE!</v>
      </c>
      <c r="FI48" t="e">
        <f>AND(DATA!E244,"AAAAACvvi6Q=")</f>
        <v>#VALUE!</v>
      </c>
      <c r="FJ48" t="e">
        <f>AND(DATA!F244,"AAAAACvvi6U=")</f>
        <v>#VALUE!</v>
      </c>
      <c r="FK48" t="e">
        <f>AND(DATA!G244,"AAAAACvvi6Y=")</f>
        <v>#VALUE!</v>
      </c>
      <c r="FL48" t="e">
        <f>AND(DATA!H244,"AAAAACvvi6c=")</f>
        <v>#VALUE!</v>
      </c>
      <c r="FM48" t="e">
        <f>AND(DATA!I244,"AAAAACvvi6g=")</f>
        <v>#VALUE!</v>
      </c>
      <c r="FN48" t="e">
        <f>AND(DATA!J244,"AAAAACvvi6k=")</f>
        <v>#VALUE!</v>
      </c>
      <c r="FO48" t="e">
        <f>AND(DATA!K244,"AAAAACvvi6o=")</f>
        <v>#VALUE!</v>
      </c>
      <c r="FP48" t="b">
        <f>AND(DATA!L244,"AAAAACvvi6s=")</f>
        <v>1</v>
      </c>
      <c r="FQ48" t="b">
        <f>AND(DATA!M244,"AAAAACvvi6w=")</f>
        <v>1</v>
      </c>
      <c r="FR48" t="b">
        <f>AND(DATA!N244,"AAAAACvvi60=")</f>
        <v>1</v>
      </c>
      <c r="FS48">
        <f>IF(DATA!245:245,"AAAAACvvi64=",0)</f>
        <v>0</v>
      </c>
      <c r="FT48" t="e">
        <f>AND(DATA!A245,"AAAAACvvi68=")</f>
        <v>#VALUE!</v>
      </c>
      <c r="FU48" t="e">
        <f>AND(DATA!B245,"AAAAACvvi7A=")</f>
        <v>#VALUE!</v>
      </c>
      <c r="FV48" t="e">
        <f>AND(DATA!C245,"AAAAACvvi7E=")</f>
        <v>#VALUE!</v>
      </c>
      <c r="FW48" t="e">
        <f>AND(DATA!D245,"AAAAACvvi7I=")</f>
        <v>#VALUE!</v>
      </c>
      <c r="FX48" t="e">
        <f>AND(DATA!E245,"AAAAACvvi7M=")</f>
        <v>#VALUE!</v>
      </c>
      <c r="FY48" t="e">
        <f>AND(DATA!F245,"AAAAACvvi7Q=")</f>
        <v>#VALUE!</v>
      </c>
      <c r="FZ48" t="e">
        <f>AND(DATA!G245,"AAAAACvvi7U=")</f>
        <v>#VALUE!</v>
      </c>
      <c r="GA48" t="e">
        <f>AND(DATA!H245,"AAAAACvvi7Y=")</f>
        <v>#VALUE!</v>
      </c>
      <c r="GB48" t="e">
        <f>AND(DATA!I245,"AAAAACvvi7c=")</f>
        <v>#VALUE!</v>
      </c>
      <c r="GC48" t="e">
        <f>AND(DATA!J245,"AAAAACvvi7g=")</f>
        <v>#VALUE!</v>
      </c>
      <c r="GD48" t="e">
        <f>AND(DATA!K245,"AAAAACvvi7k=")</f>
        <v>#VALUE!</v>
      </c>
      <c r="GE48" t="b">
        <f>AND(DATA!L245,"AAAAACvvi7o=")</f>
        <v>1</v>
      </c>
      <c r="GF48" t="b">
        <f>AND(DATA!M245,"AAAAACvvi7s=")</f>
        <v>1</v>
      </c>
      <c r="GG48" t="b">
        <f>AND(DATA!N245,"AAAAACvvi7w=")</f>
        <v>1</v>
      </c>
      <c r="GH48">
        <f>IF(DATA!246:246,"AAAAACvvi70=",0)</f>
        <v>0</v>
      </c>
      <c r="GI48" t="e">
        <f>AND(DATA!A246,"AAAAACvvi74=")</f>
        <v>#VALUE!</v>
      </c>
      <c r="GJ48" t="e">
        <f>AND(DATA!B246,"AAAAACvvi78=")</f>
        <v>#VALUE!</v>
      </c>
      <c r="GK48" t="e">
        <f>AND(DATA!C246,"AAAAACvvi8A=")</f>
        <v>#VALUE!</v>
      </c>
      <c r="GL48" t="e">
        <f>AND(DATA!D246,"AAAAACvvi8E=")</f>
        <v>#VALUE!</v>
      </c>
      <c r="GM48" t="e">
        <f>AND(DATA!E246,"AAAAACvvi8I=")</f>
        <v>#VALUE!</v>
      </c>
      <c r="GN48" t="e">
        <f>AND(DATA!F246,"AAAAACvvi8M=")</f>
        <v>#VALUE!</v>
      </c>
      <c r="GO48" t="e">
        <f>AND(DATA!G246,"AAAAACvvi8Q=")</f>
        <v>#VALUE!</v>
      </c>
      <c r="GP48" t="e">
        <f>AND(DATA!H246,"AAAAACvvi8U=")</f>
        <v>#VALUE!</v>
      </c>
      <c r="GQ48" t="e">
        <f>AND(DATA!I246,"AAAAACvvi8Y=")</f>
        <v>#VALUE!</v>
      </c>
      <c r="GR48" t="e">
        <f>AND(DATA!J246,"AAAAACvvi8c=")</f>
        <v>#VALUE!</v>
      </c>
      <c r="GS48" t="e">
        <f>AND(DATA!K246,"AAAAACvvi8g=")</f>
        <v>#VALUE!</v>
      </c>
      <c r="GT48" t="b">
        <f>AND(DATA!L246,"AAAAACvvi8k=")</f>
        <v>1</v>
      </c>
      <c r="GU48" t="b">
        <f>AND(DATA!M246,"AAAAACvvi8o=")</f>
        <v>1</v>
      </c>
      <c r="GV48" t="b">
        <f>AND(DATA!N246,"AAAAACvvi8s=")</f>
        <v>1</v>
      </c>
      <c r="GW48">
        <f>IF(DATA!247:247,"AAAAACvvi8w=",0)</f>
        <v>0</v>
      </c>
      <c r="GX48" t="e">
        <f>AND(DATA!A247,"AAAAACvvi80=")</f>
        <v>#VALUE!</v>
      </c>
      <c r="GY48" t="e">
        <f>AND(DATA!B247,"AAAAACvvi84=")</f>
        <v>#VALUE!</v>
      </c>
      <c r="GZ48" t="e">
        <f>AND(DATA!C247,"AAAAACvvi88=")</f>
        <v>#VALUE!</v>
      </c>
      <c r="HA48" t="e">
        <f>AND(DATA!D247,"AAAAACvvi9A=")</f>
        <v>#VALUE!</v>
      </c>
      <c r="HB48" t="e">
        <f>AND(DATA!E247,"AAAAACvvi9E=")</f>
        <v>#VALUE!</v>
      </c>
      <c r="HC48" t="e">
        <f>AND(DATA!F247,"AAAAACvvi9I=")</f>
        <v>#VALUE!</v>
      </c>
      <c r="HD48" t="e">
        <f>AND(DATA!G247,"AAAAACvvi9M=")</f>
        <v>#VALUE!</v>
      </c>
      <c r="HE48" t="e">
        <f>AND(DATA!H247,"AAAAACvvi9Q=")</f>
        <v>#VALUE!</v>
      </c>
      <c r="HF48" t="e">
        <f>AND(DATA!I247,"AAAAACvvi9U=")</f>
        <v>#VALUE!</v>
      </c>
      <c r="HG48" t="e">
        <f>AND(DATA!J247,"AAAAACvvi9Y=")</f>
        <v>#VALUE!</v>
      </c>
      <c r="HH48" t="e">
        <f>AND(DATA!K247,"AAAAACvvi9c=")</f>
        <v>#VALUE!</v>
      </c>
      <c r="HI48" t="b">
        <f>AND(DATA!L247,"AAAAACvvi9g=")</f>
        <v>1</v>
      </c>
      <c r="HJ48" t="b">
        <f>AND(DATA!M247,"AAAAACvvi9k=")</f>
        <v>1</v>
      </c>
      <c r="HK48" t="b">
        <f>AND(DATA!N247,"AAAAACvvi9o=")</f>
        <v>1</v>
      </c>
      <c r="HL48">
        <f>IF(DATA!248:248,"AAAAACvvi9s=",0)</f>
        <v>0</v>
      </c>
      <c r="HM48" t="e">
        <f>AND(DATA!A248,"AAAAACvvi9w=")</f>
        <v>#VALUE!</v>
      </c>
      <c r="HN48" t="e">
        <f>AND(DATA!B248,"AAAAACvvi90=")</f>
        <v>#VALUE!</v>
      </c>
      <c r="HO48" t="e">
        <f>AND(DATA!C248,"AAAAACvvi94=")</f>
        <v>#VALUE!</v>
      </c>
      <c r="HP48" t="e">
        <f>AND(DATA!D248,"AAAAACvvi98=")</f>
        <v>#VALUE!</v>
      </c>
      <c r="HQ48" t="e">
        <f>AND(DATA!E248,"AAAAACvvi+A=")</f>
        <v>#VALUE!</v>
      </c>
      <c r="HR48" t="e">
        <f>AND(DATA!F248,"AAAAACvvi+E=")</f>
        <v>#VALUE!</v>
      </c>
      <c r="HS48" t="e">
        <f>AND(DATA!G248,"AAAAACvvi+I=")</f>
        <v>#VALUE!</v>
      </c>
      <c r="HT48" t="e">
        <f>AND(DATA!H248,"AAAAACvvi+M=")</f>
        <v>#VALUE!</v>
      </c>
      <c r="HU48" t="e">
        <f>AND(DATA!I248,"AAAAACvvi+Q=")</f>
        <v>#VALUE!</v>
      </c>
      <c r="HV48" t="e">
        <f>AND(DATA!J248,"AAAAACvvi+U=")</f>
        <v>#VALUE!</v>
      </c>
      <c r="HW48" t="e">
        <f>AND(DATA!K248,"AAAAACvvi+Y=")</f>
        <v>#VALUE!</v>
      </c>
      <c r="HX48" t="b">
        <f>AND(DATA!L248,"AAAAACvvi+c=")</f>
        <v>1</v>
      </c>
      <c r="HY48" t="b">
        <f>AND(DATA!M248,"AAAAACvvi+g=")</f>
        <v>1</v>
      </c>
      <c r="HZ48" t="b">
        <f>AND(DATA!N248,"AAAAACvvi+k=")</f>
        <v>1</v>
      </c>
      <c r="IA48">
        <f>IF(DATA!249:249,"AAAAACvvi+o=",0)</f>
        <v>0</v>
      </c>
      <c r="IB48" t="e">
        <f>AND(DATA!A249,"AAAAACvvi+s=")</f>
        <v>#VALUE!</v>
      </c>
      <c r="IC48" t="e">
        <f>AND(DATA!B249,"AAAAACvvi+w=")</f>
        <v>#VALUE!</v>
      </c>
      <c r="ID48" t="e">
        <f>AND(DATA!C249,"AAAAACvvi+0=")</f>
        <v>#VALUE!</v>
      </c>
      <c r="IE48" t="e">
        <f>AND(DATA!D249,"AAAAACvvi+4=")</f>
        <v>#VALUE!</v>
      </c>
      <c r="IF48" t="e">
        <f>AND(DATA!E249,"AAAAACvvi+8=")</f>
        <v>#VALUE!</v>
      </c>
      <c r="IG48" t="e">
        <f>AND(DATA!F249,"AAAAACvvi/A=")</f>
        <v>#VALUE!</v>
      </c>
      <c r="IH48" t="e">
        <f>AND(DATA!G249,"AAAAACvvi/E=")</f>
        <v>#VALUE!</v>
      </c>
      <c r="II48" t="e">
        <f>AND(DATA!H249,"AAAAACvvi/I=")</f>
        <v>#VALUE!</v>
      </c>
      <c r="IJ48" t="e">
        <f>AND(DATA!I249,"AAAAACvvi/M=")</f>
        <v>#VALUE!</v>
      </c>
      <c r="IK48" t="e">
        <f>AND(DATA!J249,"AAAAACvvi/Q=")</f>
        <v>#VALUE!</v>
      </c>
      <c r="IL48" t="e">
        <f>AND(DATA!K249,"AAAAACvvi/U=")</f>
        <v>#VALUE!</v>
      </c>
      <c r="IM48" t="b">
        <f>AND(DATA!L249,"AAAAACvvi/Y=")</f>
        <v>1</v>
      </c>
      <c r="IN48" t="b">
        <f>AND(DATA!M249,"AAAAACvvi/c=")</f>
        <v>1</v>
      </c>
      <c r="IO48" t="b">
        <f>AND(DATA!N249,"AAAAACvvi/g=")</f>
        <v>1</v>
      </c>
      <c r="IP48">
        <f>IF(DATA!250:250,"AAAAACvvi/k=",0)</f>
        <v>0</v>
      </c>
      <c r="IQ48" t="e">
        <f>AND(DATA!A250,"AAAAACvvi/o=")</f>
        <v>#VALUE!</v>
      </c>
      <c r="IR48" t="e">
        <f>AND(DATA!B250,"AAAAACvvi/s=")</f>
        <v>#VALUE!</v>
      </c>
      <c r="IS48" t="e">
        <f>AND(DATA!C250,"AAAAACvvi/w=")</f>
        <v>#VALUE!</v>
      </c>
      <c r="IT48" t="e">
        <f>AND(DATA!D250,"AAAAACvvi/0=")</f>
        <v>#VALUE!</v>
      </c>
      <c r="IU48" t="e">
        <f>AND(DATA!E250,"AAAAACvvi/4=")</f>
        <v>#VALUE!</v>
      </c>
      <c r="IV48" t="e">
        <f>AND(DATA!F250,"AAAAACvvi/8=")</f>
        <v>#VALUE!</v>
      </c>
    </row>
    <row r="49" spans="1:256">
      <c r="A49" t="e">
        <f>AND(DATA!G250,"AAAAAH29zgA=")</f>
        <v>#VALUE!</v>
      </c>
      <c r="B49" t="e">
        <f>AND(DATA!H250,"AAAAAH29zgE=")</f>
        <v>#VALUE!</v>
      </c>
      <c r="C49" t="e">
        <f>AND(DATA!I250,"AAAAAH29zgI=")</f>
        <v>#VALUE!</v>
      </c>
      <c r="D49" t="e">
        <f>AND(DATA!J250,"AAAAAH29zgM=")</f>
        <v>#VALUE!</v>
      </c>
      <c r="E49" t="e">
        <f>AND(DATA!K250,"AAAAAH29zgQ=")</f>
        <v>#VALUE!</v>
      </c>
      <c r="F49" t="b">
        <f>AND(DATA!L250,"AAAAAH29zgU=")</f>
        <v>1</v>
      </c>
      <c r="G49" t="b">
        <f>AND(DATA!M250,"AAAAAH29zgY=")</f>
        <v>1</v>
      </c>
      <c r="H49" t="b">
        <f>AND(DATA!N250,"AAAAAH29zgc=")</f>
        <v>1</v>
      </c>
      <c r="I49">
        <f>IF(DATA!251:251,"AAAAAH29zgg=",0)</f>
        <v>0</v>
      </c>
      <c r="J49" t="e">
        <f>AND(DATA!A251,"AAAAAH29zgk=")</f>
        <v>#VALUE!</v>
      </c>
      <c r="K49" t="e">
        <f>AND(DATA!B251,"AAAAAH29zgo=")</f>
        <v>#VALUE!</v>
      </c>
      <c r="L49" t="e">
        <f>AND(DATA!C251,"AAAAAH29zgs=")</f>
        <v>#VALUE!</v>
      </c>
      <c r="M49" t="e">
        <f>AND(DATA!D251,"AAAAAH29zgw=")</f>
        <v>#VALUE!</v>
      </c>
      <c r="N49" t="e">
        <f>AND(DATA!E251,"AAAAAH29zg0=")</f>
        <v>#VALUE!</v>
      </c>
      <c r="O49" t="e">
        <f>AND(DATA!F251,"AAAAAH29zg4=")</f>
        <v>#VALUE!</v>
      </c>
      <c r="P49" t="e">
        <f>AND(DATA!G251,"AAAAAH29zg8=")</f>
        <v>#VALUE!</v>
      </c>
      <c r="Q49" t="e">
        <f>AND(DATA!H251,"AAAAAH29zhA=")</f>
        <v>#VALUE!</v>
      </c>
      <c r="R49" t="e">
        <f>AND(DATA!I251,"AAAAAH29zhE=")</f>
        <v>#VALUE!</v>
      </c>
      <c r="S49" t="e">
        <f>AND(DATA!J251,"AAAAAH29zhI=")</f>
        <v>#VALUE!</v>
      </c>
      <c r="T49" t="e">
        <f>AND(DATA!K251,"AAAAAH29zhM=")</f>
        <v>#VALUE!</v>
      </c>
      <c r="U49" t="b">
        <f>AND(DATA!L251,"AAAAAH29zhQ=")</f>
        <v>1</v>
      </c>
      <c r="V49" t="b">
        <f>AND(DATA!M251,"AAAAAH29zhU=")</f>
        <v>1</v>
      </c>
      <c r="W49" t="b">
        <f>AND(DATA!N251,"AAAAAH29zhY=")</f>
        <v>1</v>
      </c>
      <c r="X49">
        <f>IF(DATA!252:252,"AAAAAH29zhc=",0)</f>
        <v>0</v>
      </c>
      <c r="Y49" t="e">
        <f>AND(DATA!A252,"AAAAAH29zhg=")</f>
        <v>#VALUE!</v>
      </c>
      <c r="Z49" t="e">
        <f>AND(DATA!B252,"AAAAAH29zhk=")</f>
        <v>#VALUE!</v>
      </c>
      <c r="AA49" t="e">
        <f>AND(DATA!C252,"AAAAAH29zho=")</f>
        <v>#VALUE!</v>
      </c>
      <c r="AB49" t="e">
        <f>AND(DATA!D252,"AAAAAH29zhs=")</f>
        <v>#VALUE!</v>
      </c>
      <c r="AC49" t="e">
        <f>AND(DATA!E252,"AAAAAH29zhw=")</f>
        <v>#VALUE!</v>
      </c>
      <c r="AD49" t="e">
        <f>AND(DATA!F252,"AAAAAH29zh0=")</f>
        <v>#VALUE!</v>
      </c>
      <c r="AE49" t="e">
        <f>AND(DATA!G252,"AAAAAH29zh4=")</f>
        <v>#VALUE!</v>
      </c>
      <c r="AF49" t="e">
        <f>AND(DATA!H252,"AAAAAH29zh8=")</f>
        <v>#VALUE!</v>
      </c>
      <c r="AG49" t="e">
        <f>AND(DATA!I252,"AAAAAH29ziA=")</f>
        <v>#VALUE!</v>
      </c>
      <c r="AH49" t="e">
        <f>AND(DATA!J252,"AAAAAH29ziE=")</f>
        <v>#VALUE!</v>
      </c>
      <c r="AI49" t="e">
        <f>AND(DATA!K252,"AAAAAH29ziI=")</f>
        <v>#VALUE!</v>
      </c>
      <c r="AJ49" t="b">
        <f>AND(DATA!L252,"AAAAAH29ziM=")</f>
        <v>1</v>
      </c>
      <c r="AK49" t="b">
        <f>AND(DATA!M252,"AAAAAH29ziQ=")</f>
        <v>1</v>
      </c>
      <c r="AL49" t="b">
        <f>AND(DATA!N252,"AAAAAH29ziU=")</f>
        <v>1</v>
      </c>
      <c r="AM49">
        <f>IF(DATA!253:253,"AAAAAH29ziY=",0)</f>
        <v>0</v>
      </c>
      <c r="AN49" t="e">
        <f>AND(DATA!A253,"AAAAAH29zic=")</f>
        <v>#VALUE!</v>
      </c>
      <c r="AO49" t="e">
        <f>AND(DATA!B253,"AAAAAH29zig=")</f>
        <v>#VALUE!</v>
      </c>
      <c r="AP49" t="e">
        <f>AND(DATA!C253,"AAAAAH29zik=")</f>
        <v>#VALUE!</v>
      </c>
      <c r="AQ49" t="e">
        <f>AND(DATA!D253,"AAAAAH29zio=")</f>
        <v>#VALUE!</v>
      </c>
      <c r="AR49" t="e">
        <f>AND(DATA!E253,"AAAAAH29zis=")</f>
        <v>#VALUE!</v>
      </c>
      <c r="AS49" t="e">
        <f>AND(DATA!F253,"AAAAAH29ziw=")</f>
        <v>#VALUE!</v>
      </c>
      <c r="AT49" t="e">
        <f>AND(DATA!G253,"AAAAAH29zi0=")</f>
        <v>#VALUE!</v>
      </c>
      <c r="AU49" t="e">
        <f>AND(DATA!H253,"AAAAAH29zi4=")</f>
        <v>#VALUE!</v>
      </c>
      <c r="AV49" t="e">
        <f>AND(DATA!I253,"AAAAAH29zi8=")</f>
        <v>#VALUE!</v>
      </c>
      <c r="AW49" t="e">
        <f>AND(DATA!J253,"AAAAAH29zjA=")</f>
        <v>#VALUE!</v>
      </c>
      <c r="AX49" t="e">
        <f>AND(DATA!K253,"AAAAAH29zjE=")</f>
        <v>#VALUE!</v>
      </c>
      <c r="AY49" t="b">
        <f>AND(DATA!L253,"AAAAAH29zjI=")</f>
        <v>1</v>
      </c>
      <c r="AZ49" t="b">
        <f>AND(DATA!M253,"AAAAAH29zjM=")</f>
        <v>1</v>
      </c>
      <c r="BA49" t="b">
        <f>AND(DATA!N253,"AAAAAH29zjQ=")</f>
        <v>1</v>
      </c>
      <c r="BB49">
        <f>IF(DATA!254:254,"AAAAAH29zjU=",0)</f>
        <v>0</v>
      </c>
      <c r="BC49" t="e">
        <f>AND(DATA!A254,"AAAAAH29zjY=")</f>
        <v>#VALUE!</v>
      </c>
      <c r="BD49" t="e">
        <f>AND(DATA!B254,"AAAAAH29zjc=")</f>
        <v>#VALUE!</v>
      </c>
      <c r="BE49" t="e">
        <f>AND(DATA!C254,"AAAAAH29zjg=")</f>
        <v>#VALUE!</v>
      </c>
      <c r="BF49" t="e">
        <f>AND(DATA!D254,"AAAAAH29zjk=")</f>
        <v>#VALUE!</v>
      </c>
      <c r="BG49" t="e">
        <f>AND(DATA!E254,"AAAAAH29zjo=")</f>
        <v>#VALUE!</v>
      </c>
      <c r="BH49" t="e">
        <f>AND(DATA!F254,"AAAAAH29zjs=")</f>
        <v>#VALUE!</v>
      </c>
      <c r="BI49" t="e">
        <f>AND(DATA!G254,"AAAAAH29zjw=")</f>
        <v>#VALUE!</v>
      </c>
      <c r="BJ49" t="e">
        <f>AND(DATA!H254,"AAAAAH29zj0=")</f>
        <v>#VALUE!</v>
      </c>
      <c r="BK49" t="e">
        <f>AND(DATA!I254,"AAAAAH29zj4=")</f>
        <v>#VALUE!</v>
      </c>
      <c r="BL49" t="e">
        <f>AND(DATA!J254,"AAAAAH29zj8=")</f>
        <v>#VALUE!</v>
      </c>
      <c r="BM49" t="e">
        <f>AND(DATA!K254,"AAAAAH29zkA=")</f>
        <v>#VALUE!</v>
      </c>
      <c r="BN49" t="b">
        <f>AND(DATA!L254,"AAAAAH29zkE=")</f>
        <v>1</v>
      </c>
      <c r="BO49" t="b">
        <f>AND(DATA!M254,"AAAAAH29zkI=")</f>
        <v>1</v>
      </c>
      <c r="BP49" t="b">
        <f>AND(DATA!N254,"AAAAAH29zkM=")</f>
        <v>1</v>
      </c>
      <c r="BQ49">
        <f>IF(DATA!255:255,"AAAAAH29zkQ=",0)</f>
        <v>0</v>
      </c>
      <c r="BR49" t="e">
        <f>AND(DATA!A255,"AAAAAH29zkU=")</f>
        <v>#VALUE!</v>
      </c>
      <c r="BS49" t="e">
        <f>AND(DATA!B255,"AAAAAH29zkY=")</f>
        <v>#VALUE!</v>
      </c>
      <c r="BT49" t="e">
        <f>AND(DATA!C255,"AAAAAH29zkc=")</f>
        <v>#VALUE!</v>
      </c>
      <c r="BU49" t="e">
        <f>AND(DATA!D255,"AAAAAH29zkg=")</f>
        <v>#VALUE!</v>
      </c>
      <c r="BV49" t="e">
        <f>AND(DATA!E255,"AAAAAH29zkk=")</f>
        <v>#VALUE!</v>
      </c>
      <c r="BW49" t="e">
        <f>AND(DATA!F255,"AAAAAH29zko=")</f>
        <v>#VALUE!</v>
      </c>
      <c r="BX49" t="e">
        <f>AND(DATA!G255,"AAAAAH29zks=")</f>
        <v>#VALUE!</v>
      </c>
      <c r="BY49" t="e">
        <f>AND(DATA!H255,"AAAAAH29zkw=")</f>
        <v>#VALUE!</v>
      </c>
      <c r="BZ49" t="e">
        <f>AND(DATA!I255,"AAAAAH29zk0=")</f>
        <v>#VALUE!</v>
      </c>
      <c r="CA49" t="e">
        <f>AND(DATA!J255,"AAAAAH29zk4=")</f>
        <v>#VALUE!</v>
      </c>
      <c r="CB49" t="e">
        <f>AND(DATA!K255,"AAAAAH29zk8=")</f>
        <v>#VALUE!</v>
      </c>
      <c r="CC49" t="b">
        <f>AND(DATA!L255,"AAAAAH29zlA=")</f>
        <v>1</v>
      </c>
      <c r="CD49" t="b">
        <f>AND(DATA!M255,"AAAAAH29zlE=")</f>
        <v>1</v>
      </c>
      <c r="CE49" t="b">
        <f>AND(DATA!N255,"AAAAAH29zlI=")</f>
        <v>1</v>
      </c>
      <c r="CF49">
        <f>IF(DATA!256:256,"AAAAAH29zlM=",0)</f>
        <v>0</v>
      </c>
      <c r="CG49" t="e">
        <f>AND(DATA!A256,"AAAAAH29zlQ=")</f>
        <v>#VALUE!</v>
      </c>
      <c r="CH49" t="e">
        <f>AND(DATA!B256,"AAAAAH29zlU=")</f>
        <v>#VALUE!</v>
      </c>
      <c r="CI49" t="e">
        <f>AND(DATA!C256,"AAAAAH29zlY=")</f>
        <v>#VALUE!</v>
      </c>
      <c r="CJ49" t="e">
        <f>AND(DATA!D256,"AAAAAH29zlc=")</f>
        <v>#VALUE!</v>
      </c>
      <c r="CK49" t="e">
        <f>AND(DATA!E256,"AAAAAH29zlg=")</f>
        <v>#VALUE!</v>
      </c>
      <c r="CL49" t="e">
        <f>AND(DATA!F256,"AAAAAH29zlk=")</f>
        <v>#VALUE!</v>
      </c>
      <c r="CM49" t="e">
        <f>AND(DATA!G256,"AAAAAH29zlo=")</f>
        <v>#VALUE!</v>
      </c>
      <c r="CN49" t="e">
        <f>AND(DATA!H256,"AAAAAH29zls=")</f>
        <v>#VALUE!</v>
      </c>
      <c r="CO49" t="e">
        <f>AND(DATA!I256,"AAAAAH29zlw=")</f>
        <v>#VALUE!</v>
      </c>
      <c r="CP49" t="e">
        <f>AND(DATA!J256,"AAAAAH29zl0=")</f>
        <v>#VALUE!</v>
      </c>
      <c r="CQ49" t="e">
        <f>AND(DATA!K256,"AAAAAH29zl4=")</f>
        <v>#VALUE!</v>
      </c>
      <c r="CR49" t="b">
        <f>AND(DATA!L256,"AAAAAH29zl8=")</f>
        <v>1</v>
      </c>
      <c r="CS49" t="b">
        <f>AND(DATA!M256,"AAAAAH29zmA=")</f>
        <v>1</v>
      </c>
      <c r="CT49" t="b">
        <f>AND(DATA!N256,"AAAAAH29zmE=")</f>
        <v>1</v>
      </c>
      <c r="CU49">
        <f>IF(DATA!257:257,"AAAAAH29zmI=",0)</f>
        <v>0</v>
      </c>
      <c r="CV49" t="e">
        <f>AND(DATA!A257,"AAAAAH29zmM=")</f>
        <v>#VALUE!</v>
      </c>
      <c r="CW49" t="e">
        <f>AND(DATA!B257,"AAAAAH29zmQ=")</f>
        <v>#VALUE!</v>
      </c>
      <c r="CX49" t="e">
        <f>AND(DATA!C257,"AAAAAH29zmU=")</f>
        <v>#VALUE!</v>
      </c>
      <c r="CY49" t="e">
        <f>AND(DATA!D257,"AAAAAH29zmY=")</f>
        <v>#VALUE!</v>
      </c>
      <c r="CZ49" t="e">
        <f>AND(DATA!E257,"AAAAAH29zmc=")</f>
        <v>#VALUE!</v>
      </c>
      <c r="DA49" t="e">
        <f>AND(DATA!F257,"AAAAAH29zmg=")</f>
        <v>#VALUE!</v>
      </c>
      <c r="DB49" t="e">
        <f>AND(DATA!G257,"AAAAAH29zmk=")</f>
        <v>#VALUE!</v>
      </c>
      <c r="DC49" t="e">
        <f>AND(DATA!H257,"AAAAAH29zmo=")</f>
        <v>#VALUE!</v>
      </c>
      <c r="DD49" t="e">
        <f>AND(DATA!I257,"AAAAAH29zms=")</f>
        <v>#VALUE!</v>
      </c>
      <c r="DE49" t="e">
        <f>AND(DATA!J257,"AAAAAH29zmw=")</f>
        <v>#VALUE!</v>
      </c>
      <c r="DF49" t="e">
        <f>AND(DATA!K257,"AAAAAH29zm0=")</f>
        <v>#VALUE!</v>
      </c>
      <c r="DG49" t="b">
        <f>AND(DATA!L257,"AAAAAH29zm4=")</f>
        <v>1</v>
      </c>
      <c r="DH49" t="b">
        <f>AND(DATA!M257,"AAAAAH29zm8=")</f>
        <v>1</v>
      </c>
      <c r="DI49" t="b">
        <f>AND(DATA!N257,"AAAAAH29znA=")</f>
        <v>1</v>
      </c>
      <c r="DJ49">
        <f>IF(DATA!258:258,"AAAAAH29znE=",0)</f>
        <v>0</v>
      </c>
      <c r="DK49" t="e">
        <f>AND(DATA!A258,"AAAAAH29znI=")</f>
        <v>#VALUE!</v>
      </c>
      <c r="DL49" t="e">
        <f>AND(DATA!B258,"AAAAAH29znM=")</f>
        <v>#VALUE!</v>
      </c>
      <c r="DM49" t="e">
        <f>AND(DATA!C258,"AAAAAH29znQ=")</f>
        <v>#VALUE!</v>
      </c>
      <c r="DN49" t="e">
        <f>AND(DATA!D258,"AAAAAH29znU=")</f>
        <v>#VALUE!</v>
      </c>
      <c r="DO49" t="e">
        <f>AND(DATA!E258,"AAAAAH29znY=")</f>
        <v>#VALUE!</v>
      </c>
      <c r="DP49" t="e">
        <f>AND(DATA!F258,"AAAAAH29znc=")</f>
        <v>#VALUE!</v>
      </c>
      <c r="DQ49" t="e">
        <f>AND(DATA!G258,"AAAAAH29zng=")</f>
        <v>#VALUE!</v>
      </c>
      <c r="DR49" t="e">
        <f>AND(DATA!H258,"AAAAAH29znk=")</f>
        <v>#VALUE!</v>
      </c>
      <c r="DS49" t="e">
        <f>AND(DATA!I258,"AAAAAH29zno=")</f>
        <v>#VALUE!</v>
      </c>
      <c r="DT49" t="e">
        <f>AND(DATA!J258,"AAAAAH29zns=")</f>
        <v>#VALUE!</v>
      </c>
      <c r="DU49" t="e">
        <f>AND(DATA!K258,"AAAAAH29znw=")</f>
        <v>#VALUE!</v>
      </c>
      <c r="DV49" t="b">
        <f>AND(DATA!L258,"AAAAAH29zn0=")</f>
        <v>1</v>
      </c>
      <c r="DW49" t="b">
        <f>AND(DATA!M258,"AAAAAH29zn4=")</f>
        <v>1</v>
      </c>
      <c r="DX49" t="b">
        <f>AND(DATA!N258,"AAAAAH29zn8=")</f>
        <v>1</v>
      </c>
      <c r="DY49">
        <f>IF(DATA!259:259,"AAAAAH29zoA=",0)</f>
        <v>0</v>
      </c>
      <c r="DZ49" t="e">
        <f>AND(DATA!A259,"AAAAAH29zoE=")</f>
        <v>#VALUE!</v>
      </c>
      <c r="EA49" t="e">
        <f>AND(DATA!B259,"AAAAAH29zoI=")</f>
        <v>#VALUE!</v>
      </c>
      <c r="EB49" t="e">
        <f>AND(DATA!C259,"AAAAAH29zoM=")</f>
        <v>#VALUE!</v>
      </c>
      <c r="EC49" t="e">
        <f>AND(DATA!D259,"AAAAAH29zoQ=")</f>
        <v>#VALUE!</v>
      </c>
      <c r="ED49" t="e">
        <f>AND(DATA!E259,"AAAAAH29zoU=")</f>
        <v>#VALUE!</v>
      </c>
      <c r="EE49" t="e">
        <f>AND(DATA!F259,"AAAAAH29zoY=")</f>
        <v>#VALUE!</v>
      </c>
      <c r="EF49" t="e">
        <f>AND(DATA!G259,"AAAAAH29zoc=")</f>
        <v>#VALUE!</v>
      </c>
      <c r="EG49" t="e">
        <f>AND(DATA!H259,"AAAAAH29zog=")</f>
        <v>#VALUE!</v>
      </c>
      <c r="EH49" t="e">
        <f>AND(DATA!I259,"AAAAAH29zok=")</f>
        <v>#VALUE!</v>
      </c>
      <c r="EI49" t="e">
        <f>AND(DATA!J259,"AAAAAH29zoo=")</f>
        <v>#VALUE!</v>
      </c>
      <c r="EJ49" t="e">
        <f>AND(DATA!K259,"AAAAAH29zos=")</f>
        <v>#VALUE!</v>
      </c>
      <c r="EK49" t="b">
        <f>AND(DATA!L259,"AAAAAH29zow=")</f>
        <v>1</v>
      </c>
      <c r="EL49" t="b">
        <f>AND(DATA!M259,"AAAAAH29zo0=")</f>
        <v>1</v>
      </c>
      <c r="EM49" t="b">
        <f>AND(DATA!N259,"AAAAAH29zo4=")</f>
        <v>1</v>
      </c>
      <c r="EN49">
        <f>IF(DATA!260:260,"AAAAAH29zo8=",0)</f>
        <v>0</v>
      </c>
      <c r="EO49" t="e">
        <f>AND(DATA!A260,"AAAAAH29zpA=")</f>
        <v>#VALUE!</v>
      </c>
      <c r="EP49" t="e">
        <f>AND(DATA!B260,"AAAAAH29zpE=")</f>
        <v>#VALUE!</v>
      </c>
      <c r="EQ49" t="e">
        <f>AND(DATA!C260,"AAAAAH29zpI=")</f>
        <v>#VALUE!</v>
      </c>
      <c r="ER49" t="e">
        <f>AND(DATA!D260,"AAAAAH29zpM=")</f>
        <v>#VALUE!</v>
      </c>
      <c r="ES49" t="e">
        <f>AND(DATA!E260,"AAAAAH29zpQ=")</f>
        <v>#VALUE!</v>
      </c>
      <c r="ET49" t="e">
        <f>AND(DATA!F260,"AAAAAH29zpU=")</f>
        <v>#VALUE!</v>
      </c>
      <c r="EU49" t="e">
        <f>AND(DATA!G260,"AAAAAH29zpY=")</f>
        <v>#VALUE!</v>
      </c>
      <c r="EV49" t="e">
        <f>AND(DATA!H260,"AAAAAH29zpc=")</f>
        <v>#VALUE!</v>
      </c>
      <c r="EW49" t="e">
        <f>AND(DATA!I260,"AAAAAH29zpg=")</f>
        <v>#VALUE!</v>
      </c>
      <c r="EX49" t="e">
        <f>AND(DATA!J260,"AAAAAH29zpk=")</f>
        <v>#VALUE!</v>
      </c>
      <c r="EY49" t="e">
        <f>AND(DATA!K260,"AAAAAH29zpo=")</f>
        <v>#VALUE!</v>
      </c>
      <c r="EZ49" t="b">
        <f>AND(DATA!L260,"AAAAAH29zps=")</f>
        <v>1</v>
      </c>
      <c r="FA49" t="b">
        <f>AND(DATA!M260,"AAAAAH29zpw=")</f>
        <v>1</v>
      </c>
      <c r="FB49" t="b">
        <f>AND(DATA!N260,"AAAAAH29zp0=")</f>
        <v>1</v>
      </c>
      <c r="FC49">
        <f>IF(DATA!261:261,"AAAAAH29zp4=",0)</f>
        <v>0</v>
      </c>
      <c r="FD49" t="e">
        <f>AND(DATA!A261,"AAAAAH29zp8=")</f>
        <v>#VALUE!</v>
      </c>
      <c r="FE49" t="e">
        <f>AND(DATA!B261,"AAAAAH29zqA=")</f>
        <v>#VALUE!</v>
      </c>
      <c r="FF49" t="e">
        <f>AND(DATA!C261,"AAAAAH29zqE=")</f>
        <v>#VALUE!</v>
      </c>
      <c r="FG49" t="e">
        <f>AND(DATA!D261,"AAAAAH29zqI=")</f>
        <v>#VALUE!</v>
      </c>
      <c r="FH49" t="e">
        <f>AND(DATA!E261,"AAAAAH29zqM=")</f>
        <v>#VALUE!</v>
      </c>
      <c r="FI49" t="e">
        <f>AND(DATA!F261,"AAAAAH29zqQ=")</f>
        <v>#VALUE!</v>
      </c>
      <c r="FJ49" t="e">
        <f>AND(DATA!G261,"AAAAAH29zqU=")</f>
        <v>#VALUE!</v>
      </c>
      <c r="FK49" t="e">
        <f>AND(DATA!H261,"AAAAAH29zqY=")</f>
        <v>#VALUE!</v>
      </c>
      <c r="FL49" t="e">
        <f>AND(DATA!I261,"AAAAAH29zqc=")</f>
        <v>#VALUE!</v>
      </c>
      <c r="FM49" t="e">
        <f>AND(DATA!J261,"AAAAAH29zqg=")</f>
        <v>#VALUE!</v>
      </c>
      <c r="FN49" t="e">
        <f>AND(DATA!K261,"AAAAAH29zqk=")</f>
        <v>#VALUE!</v>
      </c>
      <c r="FO49" t="b">
        <f>AND(DATA!L261,"AAAAAH29zqo=")</f>
        <v>1</v>
      </c>
      <c r="FP49" t="b">
        <f>AND(DATA!M261,"AAAAAH29zqs=")</f>
        <v>1</v>
      </c>
      <c r="FQ49" t="b">
        <f>AND(DATA!N261,"AAAAAH29zqw=")</f>
        <v>1</v>
      </c>
      <c r="FR49">
        <f>IF(DATA!262:262,"AAAAAH29zq0=",0)</f>
        <v>0</v>
      </c>
      <c r="FS49" t="e">
        <f>AND(DATA!A262,"AAAAAH29zq4=")</f>
        <v>#VALUE!</v>
      </c>
      <c r="FT49" t="e">
        <f>AND(DATA!B262,"AAAAAH29zq8=")</f>
        <v>#VALUE!</v>
      </c>
      <c r="FU49" t="e">
        <f>AND(DATA!C262,"AAAAAH29zrA=")</f>
        <v>#VALUE!</v>
      </c>
      <c r="FV49" t="e">
        <f>AND(DATA!D262,"AAAAAH29zrE=")</f>
        <v>#VALUE!</v>
      </c>
      <c r="FW49" t="e">
        <f>AND(DATA!E262,"AAAAAH29zrI=")</f>
        <v>#VALUE!</v>
      </c>
      <c r="FX49" t="e">
        <f>AND(DATA!F262,"AAAAAH29zrM=")</f>
        <v>#VALUE!</v>
      </c>
      <c r="FY49" t="e">
        <f>AND(DATA!G262,"AAAAAH29zrQ=")</f>
        <v>#VALUE!</v>
      </c>
      <c r="FZ49" t="e">
        <f>AND(DATA!H262,"AAAAAH29zrU=")</f>
        <v>#VALUE!</v>
      </c>
      <c r="GA49" t="e">
        <f>AND(DATA!I262,"AAAAAH29zrY=")</f>
        <v>#VALUE!</v>
      </c>
      <c r="GB49" t="e">
        <f>AND(DATA!J262,"AAAAAH29zrc=")</f>
        <v>#VALUE!</v>
      </c>
      <c r="GC49" t="e">
        <f>AND(DATA!K262,"AAAAAH29zrg=")</f>
        <v>#VALUE!</v>
      </c>
      <c r="GD49" t="b">
        <f>AND(DATA!L262,"AAAAAH29zrk=")</f>
        <v>1</v>
      </c>
      <c r="GE49" t="b">
        <f>AND(DATA!M262,"AAAAAH29zro=")</f>
        <v>1</v>
      </c>
      <c r="GF49" t="b">
        <f>AND(DATA!N262,"AAAAAH29zrs=")</f>
        <v>1</v>
      </c>
      <c r="GG49">
        <f>IF(DATA!263:263,"AAAAAH29zrw=",0)</f>
        <v>0</v>
      </c>
      <c r="GH49" t="e">
        <f>AND(DATA!A263,"AAAAAH29zr0=")</f>
        <v>#VALUE!</v>
      </c>
      <c r="GI49" t="e">
        <f>AND(DATA!B263,"AAAAAH29zr4=")</f>
        <v>#VALUE!</v>
      </c>
      <c r="GJ49" t="e">
        <f>AND(DATA!C263,"AAAAAH29zr8=")</f>
        <v>#VALUE!</v>
      </c>
      <c r="GK49" t="e">
        <f>AND(DATA!D263,"AAAAAH29zsA=")</f>
        <v>#VALUE!</v>
      </c>
      <c r="GL49" t="e">
        <f>AND(DATA!E263,"AAAAAH29zsE=")</f>
        <v>#VALUE!</v>
      </c>
      <c r="GM49" t="e">
        <f>AND(DATA!F263,"AAAAAH29zsI=")</f>
        <v>#VALUE!</v>
      </c>
      <c r="GN49" t="e">
        <f>AND(DATA!G263,"AAAAAH29zsM=")</f>
        <v>#VALUE!</v>
      </c>
      <c r="GO49" t="e">
        <f>AND(DATA!H263,"AAAAAH29zsQ=")</f>
        <v>#VALUE!</v>
      </c>
      <c r="GP49" t="e">
        <f>AND(DATA!I263,"AAAAAH29zsU=")</f>
        <v>#VALUE!</v>
      </c>
      <c r="GQ49" t="e">
        <f>AND(DATA!J263,"AAAAAH29zsY=")</f>
        <v>#VALUE!</v>
      </c>
      <c r="GR49" t="e">
        <f>AND(DATA!K263,"AAAAAH29zsc=")</f>
        <v>#VALUE!</v>
      </c>
      <c r="GS49" t="b">
        <f>AND(DATA!L263,"AAAAAH29zsg=")</f>
        <v>1</v>
      </c>
      <c r="GT49" t="b">
        <f>AND(DATA!M263,"AAAAAH29zsk=")</f>
        <v>1</v>
      </c>
      <c r="GU49" t="b">
        <f>AND(DATA!N263,"AAAAAH29zso=")</f>
        <v>1</v>
      </c>
      <c r="GV49">
        <f>IF(DATA!264:264,"AAAAAH29zss=",0)</f>
        <v>0</v>
      </c>
      <c r="GW49" t="e">
        <f>AND(DATA!A264,"AAAAAH29zsw=")</f>
        <v>#VALUE!</v>
      </c>
      <c r="GX49" t="e">
        <f>AND(DATA!B264,"AAAAAH29zs0=")</f>
        <v>#VALUE!</v>
      </c>
      <c r="GY49" t="e">
        <f>AND(DATA!C264,"AAAAAH29zs4=")</f>
        <v>#VALUE!</v>
      </c>
      <c r="GZ49" t="e">
        <f>AND(DATA!D264,"AAAAAH29zs8=")</f>
        <v>#VALUE!</v>
      </c>
      <c r="HA49" t="e">
        <f>AND(DATA!E264,"AAAAAH29ztA=")</f>
        <v>#VALUE!</v>
      </c>
      <c r="HB49" t="e">
        <f>AND(DATA!F264,"AAAAAH29ztE=")</f>
        <v>#VALUE!</v>
      </c>
      <c r="HC49" t="e">
        <f>AND(DATA!G264,"AAAAAH29ztI=")</f>
        <v>#VALUE!</v>
      </c>
      <c r="HD49" t="e">
        <f>AND(DATA!H264,"AAAAAH29ztM=")</f>
        <v>#VALUE!</v>
      </c>
      <c r="HE49" t="e">
        <f>AND(DATA!I264,"AAAAAH29ztQ=")</f>
        <v>#VALUE!</v>
      </c>
      <c r="HF49" t="e">
        <f>AND(DATA!J264,"AAAAAH29ztU=")</f>
        <v>#VALUE!</v>
      </c>
      <c r="HG49" t="e">
        <f>AND(DATA!K264,"AAAAAH29ztY=")</f>
        <v>#VALUE!</v>
      </c>
      <c r="HH49" t="b">
        <f>AND(DATA!L264,"AAAAAH29ztc=")</f>
        <v>1</v>
      </c>
      <c r="HI49" t="b">
        <f>AND(DATA!M264,"AAAAAH29ztg=")</f>
        <v>1</v>
      </c>
      <c r="HJ49" t="b">
        <f>AND(DATA!N264,"AAAAAH29ztk=")</f>
        <v>1</v>
      </c>
      <c r="HK49">
        <f>IF(DATA!265:265,"AAAAAH29zto=",0)</f>
        <v>0</v>
      </c>
      <c r="HL49" t="e">
        <f>AND(DATA!A265,"AAAAAH29zts=")</f>
        <v>#VALUE!</v>
      </c>
      <c r="HM49" t="e">
        <f>AND(DATA!B265,"AAAAAH29ztw=")</f>
        <v>#VALUE!</v>
      </c>
      <c r="HN49" t="e">
        <f>AND(DATA!C265,"AAAAAH29zt0=")</f>
        <v>#VALUE!</v>
      </c>
      <c r="HO49" t="e">
        <f>AND(DATA!D265,"AAAAAH29zt4=")</f>
        <v>#VALUE!</v>
      </c>
      <c r="HP49" t="e">
        <f>AND(DATA!E265,"AAAAAH29zt8=")</f>
        <v>#VALUE!</v>
      </c>
      <c r="HQ49" t="e">
        <f>AND(DATA!F265,"AAAAAH29zuA=")</f>
        <v>#VALUE!</v>
      </c>
      <c r="HR49" t="e">
        <f>AND(DATA!G265,"AAAAAH29zuE=")</f>
        <v>#VALUE!</v>
      </c>
      <c r="HS49" t="e">
        <f>AND(DATA!H265,"AAAAAH29zuI=")</f>
        <v>#VALUE!</v>
      </c>
      <c r="HT49" t="e">
        <f>AND(DATA!I265,"AAAAAH29zuM=")</f>
        <v>#VALUE!</v>
      </c>
      <c r="HU49" t="e">
        <f>AND(DATA!J265,"AAAAAH29zuQ=")</f>
        <v>#VALUE!</v>
      </c>
      <c r="HV49" t="e">
        <f>AND(DATA!K265,"AAAAAH29zuU=")</f>
        <v>#VALUE!</v>
      </c>
      <c r="HW49" t="b">
        <f>AND(DATA!L265,"AAAAAH29zuY=")</f>
        <v>1</v>
      </c>
      <c r="HX49" t="b">
        <f>AND(DATA!M265,"AAAAAH29zuc=")</f>
        <v>1</v>
      </c>
      <c r="HY49" t="b">
        <f>AND(DATA!N265,"AAAAAH29zug=")</f>
        <v>1</v>
      </c>
      <c r="HZ49">
        <f>IF(DATA!266:266,"AAAAAH29zuk=",0)</f>
        <v>0</v>
      </c>
      <c r="IA49" t="e">
        <f>AND(DATA!A266,"AAAAAH29zuo=")</f>
        <v>#VALUE!</v>
      </c>
      <c r="IB49" t="e">
        <f>AND(DATA!B266,"AAAAAH29zus=")</f>
        <v>#VALUE!</v>
      </c>
      <c r="IC49" t="e">
        <f>AND(DATA!C266,"AAAAAH29zuw=")</f>
        <v>#VALUE!</v>
      </c>
      <c r="ID49" t="e">
        <f>AND(DATA!D266,"AAAAAH29zu0=")</f>
        <v>#VALUE!</v>
      </c>
      <c r="IE49" t="e">
        <f>AND(DATA!E266,"AAAAAH29zu4=")</f>
        <v>#VALUE!</v>
      </c>
      <c r="IF49" t="e">
        <f>AND(DATA!F266,"AAAAAH29zu8=")</f>
        <v>#VALUE!</v>
      </c>
      <c r="IG49" t="e">
        <f>AND(DATA!G266,"AAAAAH29zvA=")</f>
        <v>#VALUE!</v>
      </c>
      <c r="IH49" t="e">
        <f>AND(DATA!H266,"AAAAAH29zvE=")</f>
        <v>#VALUE!</v>
      </c>
      <c r="II49" t="e">
        <f>AND(DATA!I266,"AAAAAH29zvI=")</f>
        <v>#VALUE!</v>
      </c>
      <c r="IJ49" t="e">
        <f>AND(DATA!J266,"AAAAAH29zvM=")</f>
        <v>#VALUE!</v>
      </c>
      <c r="IK49" t="e">
        <f>AND(DATA!K266,"AAAAAH29zvQ=")</f>
        <v>#VALUE!</v>
      </c>
      <c r="IL49" t="b">
        <f>AND(DATA!L266,"AAAAAH29zvU=")</f>
        <v>1</v>
      </c>
      <c r="IM49" t="b">
        <f>AND(DATA!M266,"AAAAAH29zvY=")</f>
        <v>1</v>
      </c>
      <c r="IN49" t="b">
        <f>AND(DATA!N266,"AAAAAH29zvc=")</f>
        <v>1</v>
      </c>
      <c r="IO49">
        <f>IF(DATA!267:267,"AAAAAH29zvg=",0)</f>
        <v>0</v>
      </c>
      <c r="IP49" t="e">
        <f>AND(DATA!A267,"AAAAAH29zvk=")</f>
        <v>#VALUE!</v>
      </c>
      <c r="IQ49" t="e">
        <f>AND(DATA!B267,"AAAAAH29zvo=")</f>
        <v>#VALUE!</v>
      </c>
      <c r="IR49" t="e">
        <f>AND(DATA!C267,"AAAAAH29zvs=")</f>
        <v>#VALUE!</v>
      </c>
      <c r="IS49" t="e">
        <f>AND(DATA!D267,"AAAAAH29zvw=")</f>
        <v>#VALUE!</v>
      </c>
      <c r="IT49" t="e">
        <f>AND(DATA!E267,"AAAAAH29zv0=")</f>
        <v>#VALUE!</v>
      </c>
      <c r="IU49" t="e">
        <f>AND(DATA!F267,"AAAAAH29zv4=")</f>
        <v>#VALUE!</v>
      </c>
      <c r="IV49" t="e">
        <f>AND(DATA!G267,"AAAAAH29zv8=")</f>
        <v>#VALUE!</v>
      </c>
    </row>
    <row r="50" spans="1:256">
      <c r="A50" t="e">
        <f>AND(DATA!H267,"AAAAAFP/rwA=")</f>
        <v>#VALUE!</v>
      </c>
      <c r="B50" t="e">
        <f>AND(DATA!I267,"AAAAAFP/rwE=")</f>
        <v>#VALUE!</v>
      </c>
      <c r="C50" t="e">
        <f>AND(DATA!J267,"AAAAAFP/rwI=")</f>
        <v>#VALUE!</v>
      </c>
      <c r="D50" t="e">
        <f>AND(DATA!K267,"AAAAAFP/rwM=")</f>
        <v>#VALUE!</v>
      </c>
      <c r="E50" t="b">
        <f>AND(DATA!L267,"AAAAAFP/rwQ=")</f>
        <v>1</v>
      </c>
      <c r="F50" t="b">
        <f>AND(DATA!M267,"AAAAAFP/rwU=")</f>
        <v>1</v>
      </c>
      <c r="G50" t="b">
        <f>AND(DATA!N267,"AAAAAFP/rwY=")</f>
        <v>1</v>
      </c>
      <c r="H50">
        <f>IF(DATA!268:268,"AAAAAFP/rwc=",0)</f>
        <v>0</v>
      </c>
      <c r="I50" t="e">
        <f>AND(DATA!A268,"AAAAAFP/rwg=")</f>
        <v>#VALUE!</v>
      </c>
      <c r="J50" t="e">
        <f>AND(DATA!B268,"AAAAAFP/rwk=")</f>
        <v>#VALUE!</v>
      </c>
      <c r="K50" t="e">
        <f>AND(DATA!C268,"AAAAAFP/rwo=")</f>
        <v>#VALUE!</v>
      </c>
      <c r="L50" t="e">
        <f>AND(DATA!D268,"AAAAAFP/rws=")</f>
        <v>#VALUE!</v>
      </c>
      <c r="M50" t="e">
        <f>AND(DATA!E268,"AAAAAFP/rww=")</f>
        <v>#VALUE!</v>
      </c>
      <c r="N50" t="e">
        <f>AND(DATA!F268,"AAAAAFP/rw0=")</f>
        <v>#VALUE!</v>
      </c>
      <c r="O50" t="e">
        <f>AND(DATA!G268,"AAAAAFP/rw4=")</f>
        <v>#VALUE!</v>
      </c>
      <c r="P50" t="e">
        <f>AND(DATA!H268,"AAAAAFP/rw8=")</f>
        <v>#VALUE!</v>
      </c>
      <c r="Q50" t="e">
        <f>AND(DATA!I268,"AAAAAFP/rxA=")</f>
        <v>#VALUE!</v>
      </c>
      <c r="R50" t="e">
        <f>AND(DATA!J268,"AAAAAFP/rxE=")</f>
        <v>#VALUE!</v>
      </c>
      <c r="S50" t="e">
        <f>AND(DATA!K268,"AAAAAFP/rxI=")</f>
        <v>#VALUE!</v>
      </c>
      <c r="T50" t="b">
        <f>AND(DATA!L268,"AAAAAFP/rxM=")</f>
        <v>1</v>
      </c>
      <c r="U50" t="b">
        <f>AND(DATA!M268,"AAAAAFP/rxQ=")</f>
        <v>1</v>
      </c>
      <c r="V50" t="b">
        <f>AND(DATA!N268,"AAAAAFP/rxU=")</f>
        <v>1</v>
      </c>
      <c r="W50">
        <f>IF(DATA!269:269,"AAAAAFP/rxY=",0)</f>
        <v>0</v>
      </c>
      <c r="X50" t="e">
        <f>AND(DATA!A269,"AAAAAFP/rxc=")</f>
        <v>#VALUE!</v>
      </c>
      <c r="Y50" t="e">
        <f>AND(DATA!B269,"AAAAAFP/rxg=")</f>
        <v>#VALUE!</v>
      </c>
      <c r="Z50" t="e">
        <f>AND(DATA!C269,"AAAAAFP/rxk=")</f>
        <v>#VALUE!</v>
      </c>
      <c r="AA50" t="e">
        <f>AND(DATA!D269,"AAAAAFP/rxo=")</f>
        <v>#VALUE!</v>
      </c>
      <c r="AB50" t="e">
        <f>AND(DATA!E269,"AAAAAFP/rxs=")</f>
        <v>#VALUE!</v>
      </c>
      <c r="AC50" t="e">
        <f>AND(DATA!F269,"AAAAAFP/rxw=")</f>
        <v>#VALUE!</v>
      </c>
      <c r="AD50" t="e">
        <f>AND(DATA!G269,"AAAAAFP/rx0=")</f>
        <v>#VALUE!</v>
      </c>
      <c r="AE50" t="e">
        <f>AND(DATA!H269,"AAAAAFP/rx4=")</f>
        <v>#VALUE!</v>
      </c>
      <c r="AF50" t="e">
        <f>AND(DATA!I269,"AAAAAFP/rx8=")</f>
        <v>#VALUE!</v>
      </c>
      <c r="AG50" t="e">
        <f>AND(DATA!J269,"AAAAAFP/ryA=")</f>
        <v>#VALUE!</v>
      </c>
      <c r="AH50" t="e">
        <f>AND(DATA!K269,"AAAAAFP/ryE=")</f>
        <v>#VALUE!</v>
      </c>
      <c r="AI50" t="b">
        <f>AND(DATA!L269,"AAAAAFP/ryI=")</f>
        <v>1</v>
      </c>
      <c r="AJ50" t="b">
        <f>AND(DATA!M269,"AAAAAFP/ryM=")</f>
        <v>1</v>
      </c>
      <c r="AK50" t="b">
        <f>AND(DATA!N269,"AAAAAFP/ryQ=")</f>
        <v>1</v>
      </c>
      <c r="AL50">
        <f>IF(DATA!270:270,"AAAAAFP/ryU=",0)</f>
        <v>0</v>
      </c>
      <c r="AM50" t="e">
        <f>AND(DATA!A270,"AAAAAFP/ryY=")</f>
        <v>#VALUE!</v>
      </c>
      <c r="AN50" t="e">
        <f>AND(DATA!B270,"AAAAAFP/ryc=")</f>
        <v>#VALUE!</v>
      </c>
      <c r="AO50" t="e">
        <f>AND(DATA!C270,"AAAAAFP/ryg=")</f>
        <v>#VALUE!</v>
      </c>
      <c r="AP50" t="e">
        <f>AND(DATA!D270,"AAAAAFP/ryk=")</f>
        <v>#VALUE!</v>
      </c>
      <c r="AQ50" t="e">
        <f>AND(DATA!E270,"AAAAAFP/ryo=")</f>
        <v>#VALUE!</v>
      </c>
      <c r="AR50" t="e">
        <f>AND(DATA!F270,"AAAAAFP/rys=")</f>
        <v>#VALUE!</v>
      </c>
      <c r="AS50" t="e">
        <f>AND(DATA!G270,"AAAAAFP/ryw=")</f>
        <v>#VALUE!</v>
      </c>
      <c r="AT50" t="e">
        <f>AND(DATA!H270,"AAAAAFP/ry0=")</f>
        <v>#VALUE!</v>
      </c>
      <c r="AU50" t="e">
        <f>AND(DATA!I270,"AAAAAFP/ry4=")</f>
        <v>#VALUE!</v>
      </c>
      <c r="AV50" t="e">
        <f>AND(DATA!J270,"AAAAAFP/ry8=")</f>
        <v>#VALUE!</v>
      </c>
      <c r="AW50" t="e">
        <f>AND(DATA!K270,"AAAAAFP/rzA=")</f>
        <v>#VALUE!</v>
      </c>
      <c r="AX50" t="b">
        <f>AND(DATA!L270,"AAAAAFP/rzE=")</f>
        <v>1</v>
      </c>
      <c r="AY50" t="b">
        <f>AND(DATA!M270,"AAAAAFP/rzI=")</f>
        <v>1</v>
      </c>
      <c r="AZ50" t="b">
        <f>AND(DATA!N270,"AAAAAFP/rzM=")</f>
        <v>1</v>
      </c>
      <c r="BA50">
        <f>IF(DATA!271:271,"AAAAAFP/rzQ=",0)</f>
        <v>0</v>
      </c>
      <c r="BB50" t="e">
        <f>AND(DATA!A271,"AAAAAFP/rzU=")</f>
        <v>#VALUE!</v>
      </c>
      <c r="BC50" t="e">
        <f>AND(DATA!B271,"AAAAAFP/rzY=")</f>
        <v>#VALUE!</v>
      </c>
      <c r="BD50" t="e">
        <f>AND(DATA!C271,"AAAAAFP/rzc=")</f>
        <v>#VALUE!</v>
      </c>
      <c r="BE50" t="e">
        <f>AND(DATA!D271,"AAAAAFP/rzg=")</f>
        <v>#VALUE!</v>
      </c>
      <c r="BF50" t="e">
        <f>AND(DATA!E271,"AAAAAFP/rzk=")</f>
        <v>#VALUE!</v>
      </c>
      <c r="BG50" t="e">
        <f>AND(DATA!F271,"AAAAAFP/rzo=")</f>
        <v>#VALUE!</v>
      </c>
      <c r="BH50" t="e">
        <f>AND(DATA!G271,"AAAAAFP/rzs=")</f>
        <v>#VALUE!</v>
      </c>
      <c r="BI50" t="e">
        <f>AND(DATA!H271,"AAAAAFP/rzw=")</f>
        <v>#VALUE!</v>
      </c>
      <c r="BJ50" t="e">
        <f>AND(DATA!I271,"AAAAAFP/rz0=")</f>
        <v>#VALUE!</v>
      </c>
      <c r="BK50" t="e">
        <f>AND(DATA!J271,"AAAAAFP/rz4=")</f>
        <v>#VALUE!</v>
      </c>
      <c r="BL50" t="e">
        <f>AND(DATA!K271,"AAAAAFP/rz8=")</f>
        <v>#VALUE!</v>
      </c>
      <c r="BM50" t="b">
        <f>AND(DATA!L271,"AAAAAFP/r0A=")</f>
        <v>1</v>
      </c>
      <c r="BN50" t="b">
        <f>AND(DATA!M271,"AAAAAFP/r0E=")</f>
        <v>1</v>
      </c>
      <c r="BO50" t="b">
        <f>AND(DATA!N271,"AAAAAFP/r0I=")</f>
        <v>1</v>
      </c>
      <c r="BP50">
        <f>IF(DATA!272:272,"AAAAAFP/r0M=",0)</f>
        <v>0</v>
      </c>
      <c r="BQ50" t="e">
        <f>AND(DATA!A272,"AAAAAFP/r0Q=")</f>
        <v>#VALUE!</v>
      </c>
      <c r="BR50" t="e">
        <f>AND(DATA!B272,"AAAAAFP/r0U=")</f>
        <v>#VALUE!</v>
      </c>
      <c r="BS50" t="e">
        <f>AND(DATA!C272,"AAAAAFP/r0Y=")</f>
        <v>#VALUE!</v>
      </c>
      <c r="BT50" t="e">
        <f>AND(DATA!D272,"AAAAAFP/r0c=")</f>
        <v>#VALUE!</v>
      </c>
      <c r="BU50" t="e">
        <f>AND(DATA!E272,"AAAAAFP/r0g=")</f>
        <v>#VALUE!</v>
      </c>
      <c r="BV50" t="e">
        <f>AND(DATA!F272,"AAAAAFP/r0k=")</f>
        <v>#VALUE!</v>
      </c>
      <c r="BW50" t="e">
        <f>AND(DATA!G272,"AAAAAFP/r0o=")</f>
        <v>#VALUE!</v>
      </c>
      <c r="BX50" t="e">
        <f>AND(DATA!H272,"AAAAAFP/r0s=")</f>
        <v>#VALUE!</v>
      </c>
      <c r="BY50" t="e">
        <f>AND(DATA!I272,"AAAAAFP/r0w=")</f>
        <v>#VALUE!</v>
      </c>
      <c r="BZ50" t="e">
        <f>AND(DATA!J272,"AAAAAFP/r00=")</f>
        <v>#VALUE!</v>
      </c>
      <c r="CA50" t="e">
        <f>AND(DATA!K272,"AAAAAFP/r04=")</f>
        <v>#VALUE!</v>
      </c>
      <c r="CB50" t="b">
        <f>AND(DATA!L272,"AAAAAFP/r08=")</f>
        <v>1</v>
      </c>
      <c r="CC50" t="b">
        <f>AND(DATA!M272,"AAAAAFP/r1A=")</f>
        <v>1</v>
      </c>
      <c r="CD50" t="b">
        <f>AND(DATA!N272,"AAAAAFP/r1E=")</f>
        <v>1</v>
      </c>
      <c r="CE50">
        <f>IF(DATA!273:273,"AAAAAFP/r1I=",0)</f>
        <v>0</v>
      </c>
      <c r="CF50" t="e">
        <f>AND(DATA!A273,"AAAAAFP/r1M=")</f>
        <v>#VALUE!</v>
      </c>
      <c r="CG50" t="e">
        <f>AND(DATA!B273,"AAAAAFP/r1Q=")</f>
        <v>#VALUE!</v>
      </c>
      <c r="CH50" t="e">
        <f>AND(DATA!C273,"AAAAAFP/r1U=")</f>
        <v>#VALUE!</v>
      </c>
      <c r="CI50" t="e">
        <f>AND(DATA!D273,"AAAAAFP/r1Y=")</f>
        <v>#VALUE!</v>
      </c>
      <c r="CJ50" t="e">
        <f>AND(DATA!E273,"AAAAAFP/r1c=")</f>
        <v>#VALUE!</v>
      </c>
      <c r="CK50" t="e">
        <f>AND(DATA!F273,"AAAAAFP/r1g=")</f>
        <v>#VALUE!</v>
      </c>
      <c r="CL50" t="e">
        <f>AND(DATA!G273,"AAAAAFP/r1k=")</f>
        <v>#VALUE!</v>
      </c>
      <c r="CM50" t="e">
        <f>AND(DATA!H273,"AAAAAFP/r1o=")</f>
        <v>#VALUE!</v>
      </c>
      <c r="CN50" t="e">
        <f>AND(DATA!I273,"AAAAAFP/r1s=")</f>
        <v>#VALUE!</v>
      </c>
      <c r="CO50" t="e">
        <f>AND(DATA!J273,"AAAAAFP/r1w=")</f>
        <v>#VALUE!</v>
      </c>
      <c r="CP50" t="e">
        <f>AND(DATA!K273,"AAAAAFP/r10=")</f>
        <v>#VALUE!</v>
      </c>
      <c r="CQ50" t="b">
        <f>AND(DATA!L273,"AAAAAFP/r14=")</f>
        <v>1</v>
      </c>
      <c r="CR50" t="b">
        <f>AND(DATA!M273,"AAAAAFP/r18=")</f>
        <v>1</v>
      </c>
      <c r="CS50" t="b">
        <f>AND(DATA!N273,"AAAAAFP/r2A=")</f>
        <v>1</v>
      </c>
      <c r="CT50">
        <f>IF(DATA!274:274,"AAAAAFP/r2E=",0)</f>
        <v>0</v>
      </c>
      <c r="CU50" t="e">
        <f>AND(DATA!A274,"AAAAAFP/r2I=")</f>
        <v>#VALUE!</v>
      </c>
      <c r="CV50" t="e">
        <f>AND(DATA!B274,"AAAAAFP/r2M=")</f>
        <v>#VALUE!</v>
      </c>
      <c r="CW50" t="e">
        <f>AND(DATA!C274,"AAAAAFP/r2Q=")</f>
        <v>#VALUE!</v>
      </c>
      <c r="CX50" t="e">
        <f>AND(DATA!D274,"AAAAAFP/r2U=")</f>
        <v>#VALUE!</v>
      </c>
      <c r="CY50" t="e">
        <f>AND(DATA!E274,"AAAAAFP/r2Y=")</f>
        <v>#VALUE!</v>
      </c>
      <c r="CZ50" t="e">
        <f>AND(DATA!F274,"AAAAAFP/r2c=")</f>
        <v>#VALUE!</v>
      </c>
      <c r="DA50" t="e">
        <f>AND(DATA!G274,"AAAAAFP/r2g=")</f>
        <v>#VALUE!</v>
      </c>
      <c r="DB50" t="e">
        <f>AND(DATA!H274,"AAAAAFP/r2k=")</f>
        <v>#VALUE!</v>
      </c>
      <c r="DC50" t="e">
        <f>AND(DATA!I274,"AAAAAFP/r2o=")</f>
        <v>#VALUE!</v>
      </c>
      <c r="DD50" t="e">
        <f>AND(DATA!J274,"AAAAAFP/r2s=")</f>
        <v>#VALUE!</v>
      </c>
      <c r="DE50" t="e">
        <f>AND(DATA!K274,"AAAAAFP/r2w=")</f>
        <v>#VALUE!</v>
      </c>
      <c r="DF50" t="b">
        <f>AND(DATA!L274,"AAAAAFP/r20=")</f>
        <v>1</v>
      </c>
      <c r="DG50" t="b">
        <f>AND(DATA!M274,"AAAAAFP/r24=")</f>
        <v>1</v>
      </c>
      <c r="DH50" t="b">
        <f>AND(DATA!N274,"AAAAAFP/r28=")</f>
        <v>1</v>
      </c>
      <c r="DI50">
        <f>IF(DATA!275:275,"AAAAAFP/r3A=",0)</f>
        <v>0</v>
      </c>
      <c r="DJ50" t="e">
        <f>AND(DATA!A275,"AAAAAFP/r3E=")</f>
        <v>#VALUE!</v>
      </c>
      <c r="DK50" t="e">
        <f>AND(DATA!B275,"AAAAAFP/r3I=")</f>
        <v>#VALUE!</v>
      </c>
      <c r="DL50" t="e">
        <f>AND(DATA!C275,"AAAAAFP/r3M=")</f>
        <v>#VALUE!</v>
      </c>
      <c r="DM50" t="e">
        <f>AND(DATA!D275,"AAAAAFP/r3Q=")</f>
        <v>#VALUE!</v>
      </c>
      <c r="DN50" t="e">
        <f>AND(DATA!E275,"AAAAAFP/r3U=")</f>
        <v>#VALUE!</v>
      </c>
      <c r="DO50" t="e">
        <f>AND(DATA!F275,"AAAAAFP/r3Y=")</f>
        <v>#VALUE!</v>
      </c>
      <c r="DP50" t="e">
        <f>AND(DATA!G275,"AAAAAFP/r3c=")</f>
        <v>#VALUE!</v>
      </c>
      <c r="DQ50" t="e">
        <f>AND(DATA!H275,"AAAAAFP/r3g=")</f>
        <v>#VALUE!</v>
      </c>
      <c r="DR50" t="e">
        <f>AND(DATA!I275,"AAAAAFP/r3k=")</f>
        <v>#VALUE!</v>
      </c>
      <c r="DS50" t="e">
        <f>AND(DATA!J275,"AAAAAFP/r3o=")</f>
        <v>#VALUE!</v>
      </c>
      <c r="DT50" t="e">
        <f>AND(DATA!K275,"AAAAAFP/r3s=")</f>
        <v>#VALUE!</v>
      </c>
      <c r="DU50" t="b">
        <f>AND(DATA!L275,"AAAAAFP/r3w=")</f>
        <v>1</v>
      </c>
      <c r="DV50" t="b">
        <f>AND(DATA!M275,"AAAAAFP/r30=")</f>
        <v>1</v>
      </c>
      <c r="DW50" t="b">
        <f>AND(DATA!N275,"AAAAAFP/r34=")</f>
        <v>1</v>
      </c>
      <c r="DX50">
        <f>IF(DATA!276:276,"AAAAAFP/r38=",0)</f>
        <v>0</v>
      </c>
      <c r="DY50" t="e">
        <f>AND(DATA!A276,"AAAAAFP/r4A=")</f>
        <v>#VALUE!</v>
      </c>
      <c r="DZ50" t="e">
        <f>AND(DATA!B276,"AAAAAFP/r4E=")</f>
        <v>#VALUE!</v>
      </c>
      <c r="EA50" t="e">
        <f>AND(DATA!C276,"AAAAAFP/r4I=")</f>
        <v>#VALUE!</v>
      </c>
      <c r="EB50" t="e">
        <f>AND(DATA!D276,"AAAAAFP/r4M=")</f>
        <v>#VALUE!</v>
      </c>
      <c r="EC50" t="e">
        <f>AND(DATA!E276,"AAAAAFP/r4Q=")</f>
        <v>#VALUE!</v>
      </c>
      <c r="ED50" t="e">
        <f>AND(DATA!F276,"AAAAAFP/r4U=")</f>
        <v>#VALUE!</v>
      </c>
      <c r="EE50" t="e">
        <f>AND(DATA!G276,"AAAAAFP/r4Y=")</f>
        <v>#VALUE!</v>
      </c>
      <c r="EF50" t="e">
        <f>AND(DATA!H276,"AAAAAFP/r4c=")</f>
        <v>#VALUE!</v>
      </c>
      <c r="EG50" t="e">
        <f>AND(DATA!I276,"AAAAAFP/r4g=")</f>
        <v>#VALUE!</v>
      </c>
      <c r="EH50" t="e">
        <f>AND(DATA!J276,"AAAAAFP/r4k=")</f>
        <v>#VALUE!</v>
      </c>
      <c r="EI50" t="e">
        <f>AND(DATA!K276,"AAAAAFP/r4o=")</f>
        <v>#VALUE!</v>
      </c>
      <c r="EJ50" t="b">
        <f>AND(DATA!L276,"AAAAAFP/r4s=")</f>
        <v>1</v>
      </c>
      <c r="EK50" t="b">
        <f>AND(DATA!M276,"AAAAAFP/r4w=")</f>
        <v>1</v>
      </c>
      <c r="EL50" t="b">
        <f>AND(DATA!N276,"AAAAAFP/r40=")</f>
        <v>1</v>
      </c>
      <c r="EM50">
        <f>IF(DATA!277:277,"AAAAAFP/r44=",0)</f>
        <v>0</v>
      </c>
      <c r="EN50" t="e">
        <f>AND(DATA!A277,"AAAAAFP/r48=")</f>
        <v>#VALUE!</v>
      </c>
      <c r="EO50" t="e">
        <f>AND(DATA!B277,"AAAAAFP/r5A=")</f>
        <v>#VALUE!</v>
      </c>
      <c r="EP50" t="e">
        <f>AND(DATA!C277,"AAAAAFP/r5E=")</f>
        <v>#VALUE!</v>
      </c>
      <c r="EQ50" t="e">
        <f>AND(DATA!D277,"AAAAAFP/r5I=")</f>
        <v>#VALUE!</v>
      </c>
      <c r="ER50" t="e">
        <f>AND(DATA!E277,"AAAAAFP/r5M=")</f>
        <v>#VALUE!</v>
      </c>
      <c r="ES50" t="e">
        <f>AND(DATA!F277,"AAAAAFP/r5Q=")</f>
        <v>#VALUE!</v>
      </c>
      <c r="ET50" t="e">
        <f>AND(DATA!G277,"AAAAAFP/r5U=")</f>
        <v>#VALUE!</v>
      </c>
      <c r="EU50" t="e">
        <f>AND(DATA!H277,"AAAAAFP/r5Y=")</f>
        <v>#VALUE!</v>
      </c>
      <c r="EV50" t="e">
        <f>AND(DATA!I277,"AAAAAFP/r5c=")</f>
        <v>#VALUE!</v>
      </c>
      <c r="EW50" t="e">
        <f>AND(DATA!J277,"AAAAAFP/r5g=")</f>
        <v>#VALUE!</v>
      </c>
      <c r="EX50" t="e">
        <f>AND(DATA!K277,"AAAAAFP/r5k=")</f>
        <v>#VALUE!</v>
      </c>
      <c r="EY50" t="b">
        <f>AND(DATA!L277,"AAAAAFP/r5o=")</f>
        <v>1</v>
      </c>
      <c r="EZ50" t="b">
        <f>AND(DATA!M277,"AAAAAFP/r5s=")</f>
        <v>1</v>
      </c>
      <c r="FA50" t="b">
        <f>AND(DATA!N277,"AAAAAFP/r5w=")</f>
        <v>1</v>
      </c>
      <c r="FB50">
        <f>IF(DATA!278:278,"AAAAAFP/r50=",0)</f>
        <v>0</v>
      </c>
      <c r="FC50" t="e">
        <f>AND(DATA!A278,"AAAAAFP/r54=")</f>
        <v>#VALUE!</v>
      </c>
      <c r="FD50" t="e">
        <f>AND(DATA!B278,"AAAAAFP/r58=")</f>
        <v>#VALUE!</v>
      </c>
      <c r="FE50" t="e">
        <f>AND(DATA!C278,"AAAAAFP/r6A=")</f>
        <v>#VALUE!</v>
      </c>
      <c r="FF50" t="e">
        <f>AND(DATA!D278,"AAAAAFP/r6E=")</f>
        <v>#VALUE!</v>
      </c>
      <c r="FG50" t="e">
        <f>AND(DATA!E278,"AAAAAFP/r6I=")</f>
        <v>#VALUE!</v>
      </c>
      <c r="FH50" t="e">
        <f>AND(DATA!F278,"AAAAAFP/r6M=")</f>
        <v>#VALUE!</v>
      </c>
      <c r="FI50" t="e">
        <f>AND(DATA!G278,"AAAAAFP/r6Q=")</f>
        <v>#VALUE!</v>
      </c>
      <c r="FJ50" t="e">
        <f>AND(DATA!H278,"AAAAAFP/r6U=")</f>
        <v>#VALUE!</v>
      </c>
      <c r="FK50" t="e">
        <f>AND(DATA!I278,"AAAAAFP/r6Y=")</f>
        <v>#VALUE!</v>
      </c>
      <c r="FL50" t="e">
        <f>AND(DATA!J278,"AAAAAFP/r6c=")</f>
        <v>#VALUE!</v>
      </c>
      <c r="FM50" t="e">
        <f>AND(DATA!K278,"AAAAAFP/r6g=")</f>
        <v>#VALUE!</v>
      </c>
      <c r="FN50" t="b">
        <f>AND(DATA!L278,"AAAAAFP/r6k=")</f>
        <v>1</v>
      </c>
      <c r="FO50" t="b">
        <f>AND(DATA!M278,"AAAAAFP/r6o=")</f>
        <v>1</v>
      </c>
      <c r="FP50" t="b">
        <f>AND(DATA!N278,"AAAAAFP/r6s=")</f>
        <v>1</v>
      </c>
      <c r="FQ50">
        <f>IF(DATA!279:279,"AAAAAFP/r6w=",0)</f>
        <v>0</v>
      </c>
      <c r="FR50" t="e">
        <f>AND(DATA!A279,"AAAAAFP/r60=")</f>
        <v>#VALUE!</v>
      </c>
      <c r="FS50" t="e">
        <f>AND(DATA!B279,"AAAAAFP/r64=")</f>
        <v>#VALUE!</v>
      </c>
      <c r="FT50" t="e">
        <f>AND(DATA!C279,"AAAAAFP/r68=")</f>
        <v>#VALUE!</v>
      </c>
      <c r="FU50" t="e">
        <f>AND(DATA!D279,"AAAAAFP/r7A=")</f>
        <v>#VALUE!</v>
      </c>
      <c r="FV50" t="e">
        <f>AND(DATA!E279,"AAAAAFP/r7E=")</f>
        <v>#VALUE!</v>
      </c>
      <c r="FW50" t="e">
        <f>AND(DATA!F279,"AAAAAFP/r7I=")</f>
        <v>#VALUE!</v>
      </c>
      <c r="FX50" t="e">
        <f>AND(DATA!G279,"AAAAAFP/r7M=")</f>
        <v>#VALUE!</v>
      </c>
      <c r="FY50" t="e">
        <f>AND(DATA!H279,"AAAAAFP/r7Q=")</f>
        <v>#VALUE!</v>
      </c>
      <c r="FZ50" t="e">
        <f>AND(DATA!I279,"AAAAAFP/r7U=")</f>
        <v>#VALUE!</v>
      </c>
      <c r="GA50" t="e">
        <f>AND(DATA!J279,"AAAAAFP/r7Y=")</f>
        <v>#VALUE!</v>
      </c>
      <c r="GB50" t="e">
        <f>AND(DATA!K279,"AAAAAFP/r7c=")</f>
        <v>#VALUE!</v>
      </c>
      <c r="GC50" t="b">
        <f>AND(DATA!L279,"AAAAAFP/r7g=")</f>
        <v>1</v>
      </c>
      <c r="GD50" t="b">
        <f>AND(DATA!M279,"AAAAAFP/r7k=")</f>
        <v>1</v>
      </c>
      <c r="GE50" t="b">
        <f>AND(DATA!N279,"AAAAAFP/r7o=")</f>
        <v>1</v>
      </c>
      <c r="GF50">
        <f>IF(DATA!280:280,"AAAAAFP/r7s=",0)</f>
        <v>0</v>
      </c>
      <c r="GG50" t="e">
        <f>AND(DATA!A280,"AAAAAFP/r7w=")</f>
        <v>#VALUE!</v>
      </c>
      <c r="GH50" t="e">
        <f>AND(DATA!B280,"AAAAAFP/r70=")</f>
        <v>#VALUE!</v>
      </c>
      <c r="GI50" t="e">
        <f>AND(DATA!C280,"AAAAAFP/r74=")</f>
        <v>#VALUE!</v>
      </c>
      <c r="GJ50" t="e">
        <f>AND(DATA!D280,"AAAAAFP/r78=")</f>
        <v>#VALUE!</v>
      </c>
      <c r="GK50" t="e">
        <f>AND(DATA!E280,"AAAAAFP/r8A=")</f>
        <v>#VALUE!</v>
      </c>
      <c r="GL50" t="e">
        <f>AND(DATA!F280,"AAAAAFP/r8E=")</f>
        <v>#VALUE!</v>
      </c>
      <c r="GM50" t="e">
        <f>AND(DATA!G280,"AAAAAFP/r8I=")</f>
        <v>#VALUE!</v>
      </c>
      <c r="GN50" t="e">
        <f>AND(DATA!H280,"AAAAAFP/r8M=")</f>
        <v>#VALUE!</v>
      </c>
      <c r="GO50" t="e">
        <f>AND(DATA!I280,"AAAAAFP/r8Q=")</f>
        <v>#VALUE!</v>
      </c>
      <c r="GP50" t="e">
        <f>AND(DATA!J280,"AAAAAFP/r8U=")</f>
        <v>#VALUE!</v>
      </c>
      <c r="GQ50" t="e">
        <f>AND(DATA!K280,"AAAAAFP/r8Y=")</f>
        <v>#VALUE!</v>
      </c>
      <c r="GR50" t="b">
        <f>AND(DATA!L280,"AAAAAFP/r8c=")</f>
        <v>1</v>
      </c>
      <c r="GS50" t="b">
        <f>AND(DATA!M280,"AAAAAFP/r8g=")</f>
        <v>1</v>
      </c>
      <c r="GT50" t="b">
        <f>AND(DATA!N280,"AAAAAFP/r8k=")</f>
        <v>1</v>
      </c>
      <c r="GU50">
        <f>IF(DATA!281:281,"AAAAAFP/r8o=",0)</f>
        <v>0</v>
      </c>
      <c r="GV50" t="e">
        <f>AND(DATA!A281,"AAAAAFP/r8s=")</f>
        <v>#VALUE!</v>
      </c>
      <c r="GW50" t="e">
        <f>AND(DATA!B281,"AAAAAFP/r8w=")</f>
        <v>#VALUE!</v>
      </c>
      <c r="GX50" t="e">
        <f>AND(DATA!C281,"AAAAAFP/r80=")</f>
        <v>#VALUE!</v>
      </c>
      <c r="GY50" t="e">
        <f>AND(DATA!D281,"AAAAAFP/r84=")</f>
        <v>#VALUE!</v>
      </c>
      <c r="GZ50" t="e">
        <f>AND(DATA!E281,"AAAAAFP/r88=")</f>
        <v>#VALUE!</v>
      </c>
      <c r="HA50" t="e">
        <f>AND(DATA!F281,"AAAAAFP/r9A=")</f>
        <v>#VALUE!</v>
      </c>
      <c r="HB50" t="e">
        <f>AND(DATA!G281,"AAAAAFP/r9E=")</f>
        <v>#VALUE!</v>
      </c>
      <c r="HC50" t="e">
        <f>AND(DATA!H281,"AAAAAFP/r9I=")</f>
        <v>#VALUE!</v>
      </c>
      <c r="HD50" t="e">
        <f>AND(DATA!I281,"AAAAAFP/r9M=")</f>
        <v>#VALUE!</v>
      </c>
      <c r="HE50" t="e">
        <f>AND(DATA!J281,"AAAAAFP/r9Q=")</f>
        <v>#VALUE!</v>
      </c>
      <c r="HF50" t="e">
        <f>AND(DATA!K281,"AAAAAFP/r9U=")</f>
        <v>#VALUE!</v>
      </c>
      <c r="HG50" t="b">
        <f>AND(DATA!L281,"AAAAAFP/r9Y=")</f>
        <v>1</v>
      </c>
      <c r="HH50" t="b">
        <f>AND(DATA!M281,"AAAAAFP/r9c=")</f>
        <v>1</v>
      </c>
      <c r="HI50" t="b">
        <f>AND(DATA!N281,"AAAAAFP/r9g=")</f>
        <v>1</v>
      </c>
      <c r="HJ50">
        <f>IF(DATA!282:282,"AAAAAFP/r9k=",0)</f>
        <v>0</v>
      </c>
      <c r="HK50" t="e">
        <f>AND(DATA!A282,"AAAAAFP/r9o=")</f>
        <v>#VALUE!</v>
      </c>
      <c r="HL50" t="e">
        <f>AND(DATA!B282,"AAAAAFP/r9s=")</f>
        <v>#VALUE!</v>
      </c>
      <c r="HM50" t="e">
        <f>AND(DATA!C282,"AAAAAFP/r9w=")</f>
        <v>#VALUE!</v>
      </c>
      <c r="HN50" t="e">
        <f>AND(DATA!D282,"AAAAAFP/r90=")</f>
        <v>#VALUE!</v>
      </c>
      <c r="HO50" t="e">
        <f>AND(DATA!E282,"AAAAAFP/r94=")</f>
        <v>#VALUE!</v>
      </c>
      <c r="HP50" t="e">
        <f>AND(DATA!F282,"AAAAAFP/r98=")</f>
        <v>#VALUE!</v>
      </c>
      <c r="HQ50" t="e">
        <f>AND(DATA!G282,"AAAAAFP/r+A=")</f>
        <v>#VALUE!</v>
      </c>
      <c r="HR50" t="e">
        <f>AND(DATA!H282,"AAAAAFP/r+E=")</f>
        <v>#VALUE!</v>
      </c>
      <c r="HS50" t="e">
        <f>AND(DATA!I282,"AAAAAFP/r+I=")</f>
        <v>#VALUE!</v>
      </c>
      <c r="HT50" t="e">
        <f>AND(DATA!J282,"AAAAAFP/r+M=")</f>
        <v>#VALUE!</v>
      </c>
      <c r="HU50" t="e">
        <f>AND(DATA!K282,"AAAAAFP/r+Q=")</f>
        <v>#VALUE!</v>
      </c>
      <c r="HV50" t="b">
        <f>AND(DATA!L282,"AAAAAFP/r+U=")</f>
        <v>1</v>
      </c>
      <c r="HW50" t="b">
        <f>AND(DATA!M282,"AAAAAFP/r+Y=")</f>
        <v>1</v>
      </c>
      <c r="HX50" t="b">
        <f>AND(DATA!N282,"AAAAAFP/r+c=")</f>
        <v>1</v>
      </c>
      <c r="HY50">
        <f>IF(DATA!283:283,"AAAAAFP/r+g=",0)</f>
        <v>0</v>
      </c>
      <c r="HZ50" t="e">
        <f>AND(DATA!A283,"AAAAAFP/r+k=")</f>
        <v>#VALUE!</v>
      </c>
      <c r="IA50" t="e">
        <f>AND(DATA!B283,"AAAAAFP/r+o=")</f>
        <v>#VALUE!</v>
      </c>
      <c r="IB50" t="e">
        <f>AND(DATA!C283,"AAAAAFP/r+s=")</f>
        <v>#VALUE!</v>
      </c>
      <c r="IC50" t="e">
        <f>AND(DATA!D283,"AAAAAFP/r+w=")</f>
        <v>#VALUE!</v>
      </c>
      <c r="ID50" t="e">
        <f>AND(DATA!E283,"AAAAAFP/r+0=")</f>
        <v>#VALUE!</v>
      </c>
      <c r="IE50" t="e">
        <f>AND(DATA!F283,"AAAAAFP/r+4=")</f>
        <v>#VALUE!</v>
      </c>
      <c r="IF50" t="e">
        <f>AND(DATA!G283,"AAAAAFP/r+8=")</f>
        <v>#VALUE!</v>
      </c>
      <c r="IG50" t="e">
        <f>AND(DATA!H283,"AAAAAFP/r/A=")</f>
        <v>#VALUE!</v>
      </c>
      <c r="IH50" t="e">
        <f>AND(DATA!I283,"AAAAAFP/r/E=")</f>
        <v>#VALUE!</v>
      </c>
      <c r="II50" t="e">
        <f>AND(DATA!J283,"AAAAAFP/r/I=")</f>
        <v>#VALUE!</v>
      </c>
      <c r="IJ50" t="e">
        <f>AND(DATA!K283,"AAAAAFP/r/M=")</f>
        <v>#VALUE!</v>
      </c>
      <c r="IK50" t="b">
        <f>AND(DATA!L283,"AAAAAFP/r/Q=")</f>
        <v>1</v>
      </c>
      <c r="IL50" t="b">
        <f>AND(DATA!M283,"AAAAAFP/r/U=")</f>
        <v>1</v>
      </c>
      <c r="IM50" t="b">
        <f>AND(DATA!N283,"AAAAAFP/r/Y=")</f>
        <v>1</v>
      </c>
      <c r="IN50">
        <f>IF(DATA!284:284,"AAAAAFP/r/c=",0)</f>
        <v>0</v>
      </c>
      <c r="IO50" t="e">
        <f>AND(DATA!A284,"AAAAAFP/r/g=")</f>
        <v>#VALUE!</v>
      </c>
      <c r="IP50" t="e">
        <f>AND(DATA!B284,"AAAAAFP/r/k=")</f>
        <v>#VALUE!</v>
      </c>
      <c r="IQ50" t="e">
        <f>AND(DATA!C284,"AAAAAFP/r/o=")</f>
        <v>#VALUE!</v>
      </c>
      <c r="IR50" t="e">
        <f>AND(DATA!D284,"AAAAAFP/r/s=")</f>
        <v>#VALUE!</v>
      </c>
      <c r="IS50" t="e">
        <f>AND(DATA!E284,"AAAAAFP/r/w=")</f>
        <v>#VALUE!</v>
      </c>
      <c r="IT50" t="e">
        <f>AND(DATA!F284,"AAAAAFP/r/0=")</f>
        <v>#VALUE!</v>
      </c>
      <c r="IU50" t="e">
        <f>AND(DATA!G284,"AAAAAFP/r/4=")</f>
        <v>#VALUE!</v>
      </c>
      <c r="IV50" t="e">
        <f>AND(DATA!H284,"AAAAAFP/r/8=")</f>
        <v>#VALUE!</v>
      </c>
    </row>
    <row r="51" spans="1:256">
      <c r="A51" t="e">
        <f>AND(DATA!I284,"AAAAAG57/QA=")</f>
        <v>#VALUE!</v>
      </c>
      <c r="B51" t="e">
        <f>AND(DATA!J284,"AAAAAG57/QE=")</f>
        <v>#VALUE!</v>
      </c>
      <c r="C51" t="e">
        <f>AND(DATA!K284,"AAAAAG57/QI=")</f>
        <v>#VALUE!</v>
      </c>
      <c r="D51" t="b">
        <f>AND(DATA!L284,"AAAAAG57/QM=")</f>
        <v>1</v>
      </c>
      <c r="E51" t="b">
        <f>AND(DATA!M284,"AAAAAG57/QQ=")</f>
        <v>1</v>
      </c>
      <c r="F51" t="b">
        <f>AND(DATA!N284,"AAAAAG57/QU=")</f>
        <v>1</v>
      </c>
      <c r="G51">
        <f>IF(DATA!285:285,"AAAAAG57/QY=",0)</f>
        <v>0</v>
      </c>
      <c r="H51" t="e">
        <f>AND(DATA!A285,"AAAAAG57/Qc=")</f>
        <v>#VALUE!</v>
      </c>
      <c r="I51" t="e">
        <f>AND(DATA!B285,"AAAAAG57/Qg=")</f>
        <v>#VALUE!</v>
      </c>
      <c r="J51" t="e">
        <f>AND(DATA!C285,"AAAAAG57/Qk=")</f>
        <v>#VALUE!</v>
      </c>
      <c r="K51" t="e">
        <f>AND(DATA!D285,"AAAAAG57/Qo=")</f>
        <v>#VALUE!</v>
      </c>
      <c r="L51" t="e">
        <f>AND(DATA!E285,"AAAAAG57/Qs=")</f>
        <v>#VALUE!</v>
      </c>
      <c r="M51" t="e">
        <f>AND(DATA!F285,"AAAAAG57/Qw=")</f>
        <v>#VALUE!</v>
      </c>
      <c r="N51" t="e">
        <f>AND(DATA!G285,"AAAAAG57/Q0=")</f>
        <v>#VALUE!</v>
      </c>
      <c r="O51" t="e">
        <f>AND(DATA!H285,"AAAAAG57/Q4=")</f>
        <v>#VALUE!</v>
      </c>
      <c r="P51" t="e">
        <f>AND(DATA!I285,"AAAAAG57/Q8=")</f>
        <v>#VALUE!</v>
      </c>
      <c r="Q51" t="e">
        <f>AND(DATA!J285,"AAAAAG57/RA=")</f>
        <v>#VALUE!</v>
      </c>
      <c r="R51" t="e">
        <f>AND(DATA!K285,"AAAAAG57/RE=")</f>
        <v>#VALUE!</v>
      </c>
      <c r="S51" t="b">
        <f>AND(DATA!L285,"AAAAAG57/RI=")</f>
        <v>1</v>
      </c>
      <c r="T51" t="b">
        <f>AND(DATA!M285,"AAAAAG57/RM=")</f>
        <v>1</v>
      </c>
      <c r="U51" t="b">
        <f>AND(DATA!N285,"AAAAAG57/RQ=")</f>
        <v>1</v>
      </c>
      <c r="V51">
        <f>IF(DATA!286:286,"AAAAAG57/RU=",0)</f>
        <v>0</v>
      </c>
      <c r="W51" t="e">
        <f>AND(DATA!A286,"AAAAAG57/RY=")</f>
        <v>#VALUE!</v>
      </c>
      <c r="X51" t="e">
        <f>AND(DATA!B286,"AAAAAG57/Rc=")</f>
        <v>#VALUE!</v>
      </c>
      <c r="Y51" t="e">
        <f>AND(DATA!C286,"AAAAAG57/Rg=")</f>
        <v>#VALUE!</v>
      </c>
      <c r="Z51" t="e">
        <f>AND(DATA!D286,"AAAAAG57/Rk=")</f>
        <v>#VALUE!</v>
      </c>
      <c r="AA51" t="e">
        <f>AND(DATA!E286,"AAAAAG57/Ro=")</f>
        <v>#VALUE!</v>
      </c>
      <c r="AB51" t="e">
        <f>AND(DATA!F286,"AAAAAG57/Rs=")</f>
        <v>#VALUE!</v>
      </c>
      <c r="AC51" t="e">
        <f>AND(DATA!G286,"AAAAAG57/Rw=")</f>
        <v>#VALUE!</v>
      </c>
      <c r="AD51" t="e">
        <f>AND(DATA!H286,"AAAAAG57/R0=")</f>
        <v>#VALUE!</v>
      </c>
      <c r="AE51" t="e">
        <f>AND(DATA!I286,"AAAAAG57/R4=")</f>
        <v>#VALUE!</v>
      </c>
      <c r="AF51" t="e">
        <f>AND(DATA!J286,"AAAAAG57/R8=")</f>
        <v>#VALUE!</v>
      </c>
      <c r="AG51" t="e">
        <f>AND(DATA!K286,"AAAAAG57/SA=")</f>
        <v>#VALUE!</v>
      </c>
      <c r="AH51" t="b">
        <f>AND(DATA!L286,"AAAAAG57/SE=")</f>
        <v>1</v>
      </c>
      <c r="AI51" t="b">
        <f>AND(DATA!M286,"AAAAAG57/SI=")</f>
        <v>1</v>
      </c>
      <c r="AJ51" t="b">
        <f>AND(DATA!N286,"AAAAAG57/SM=")</f>
        <v>1</v>
      </c>
      <c r="AK51">
        <f>IF(DATA!287:287,"AAAAAG57/SQ=",0)</f>
        <v>0</v>
      </c>
      <c r="AL51" t="e">
        <f>AND(DATA!A287,"AAAAAG57/SU=")</f>
        <v>#VALUE!</v>
      </c>
      <c r="AM51" t="e">
        <f>AND(DATA!B287,"AAAAAG57/SY=")</f>
        <v>#VALUE!</v>
      </c>
      <c r="AN51" t="e">
        <f>AND(DATA!C287,"AAAAAG57/Sc=")</f>
        <v>#VALUE!</v>
      </c>
      <c r="AO51" t="e">
        <f>AND(DATA!D287,"AAAAAG57/Sg=")</f>
        <v>#VALUE!</v>
      </c>
      <c r="AP51" t="e">
        <f>AND(DATA!E287,"AAAAAG57/Sk=")</f>
        <v>#VALUE!</v>
      </c>
      <c r="AQ51" t="e">
        <f>AND(DATA!F287,"AAAAAG57/So=")</f>
        <v>#VALUE!</v>
      </c>
      <c r="AR51" t="e">
        <f>AND(DATA!G287,"AAAAAG57/Ss=")</f>
        <v>#VALUE!</v>
      </c>
      <c r="AS51" t="e">
        <f>AND(DATA!H287,"AAAAAG57/Sw=")</f>
        <v>#VALUE!</v>
      </c>
      <c r="AT51" t="e">
        <f>AND(DATA!I287,"AAAAAG57/S0=")</f>
        <v>#VALUE!</v>
      </c>
      <c r="AU51" t="e">
        <f>AND(DATA!J287,"AAAAAG57/S4=")</f>
        <v>#VALUE!</v>
      </c>
      <c r="AV51" t="e">
        <f>AND(DATA!K287,"AAAAAG57/S8=")</f>
        <v>#VALUE!</v>
      </c>
      <c r="AW51" t="b">
        <f>AND(DATA!L287,"AAAAAG57/TA=")</f>
        <v>1</v>
      </c>
      <c r="AX51" t="b">
        <f>AND(DATA!M287,"AAAAAG57/TE=")</f>
        <v>1</v>
      </c>
      <c r="AY51" t="b">
        <f>AND(DATA!N287,"AAAAAG57/TI=")</f>
        <v>1</v>
      </c>
      <c r="AZ51">
        <f>IF(DATA!288:288,"AAAAAG57/TM=",0)</f>
        <v>0</v>
      </c>
      <c r="BA51" t="e">
        <f>AND(DATA!A288,"AAAAAG57/TQ=")</f>
        <v>#VALUE!</v>
      </c>
      <c r="BB51" t="e">
        <f>AND(DATA!B288,"AAAAAG57/TU=")</f>
        <v>#VALUE!</v>
      </c>
      <c r="BC51" t="e">
        <f>AND(DATA!C288,"AAAAAG57/TY=")</f>
        <v>#VALUE!</v>
      </c>
      <c r="BD51" t="e">
        <f>AND(DATA!D288,"AAAAAG57/Tc=")</f>
        <v>#VALUE!</v>
      </c>
      <c r="BE51" t="e">
        <f>AND(DATA!E288,"AAAAAG57/Tg=")</f>
        <v>#VALUE!</v>
      </c>
      <c r="BF51" t="e">
        <f>AND(DATA!F288,"AAAAAG57/Tk=")</f>
        <v>#VALUE!</v>
      </c>
      <c r="BG51" t="e">
        <f>AND(DATA!G288,"AAAAAG57/To=")</f>
        <v>#VALUE!</v>
      </c>
      <c r="BH51" t="e">
        <f>AND(DATA!H288,"AAAAAG57/Ts=")</f>
        <v>#VALUE!</v>
      </c>
      <c r="BI51" t="e">
        <f>AND(DATA!I288,"AAAAAG57/Tw=")</f>
        <v>#VALUE!</v>
      </c>
      <c r="BJ51" t="e">
        <f>AND(DATA!J288,"AAAAAG57/T0=")</f>
        <v>#VALUE!</v>
      </c>
      <c r="BK51" t="e">
        <f>AND(DATA!K288,"AAAAAG57/T4=")</f>
        <v>#VALUE!</v>
      </c>
      <c r="BL51" t="b">
        <f>AND(DATA!L288,"AAAAAG57/T8=")</f>
        <v>1</v>
      </c>
      <c r="BM51" t="b">
        <f>AND(DATA!M288,"AAAAAG57/UA=")</f>
        <v>1</v>
      </c>
      <c r="BN51" t="b">
        <f>AND(DATA!N288,"AAAAAG57/UE=")</f>
        <v>1</v>
      </c>
      <c r="BO51">
        <f>IF(DATA!289:289,"AAAAAG57/UI=",0)</f>
        <v>0</v>
      </c>
      <c r="BP51" t="e">
        <f>AND(DATA!A289,"AAAAAG57/UM=")</f>
        <v>#VALUE!</v>
      </c>
      <c r="BQ51" t="e">
        <f>AND(DATA!B289,"AAAAAG57/UQ=")</f>
        <v>#VALUE!</v>
      </c>
      <c r="BR51" t="e">
        <f>AND(DATA!C289,"AAAAAG57/UU=")</f>
        <v>#VALUE!</v>
      </c>
      <c r="BS51" t="e">
        <f>AND(DATA!D289,"AAAAAG57/UY=")</f>
        <v>#VALUE!</v>
      </c>
      <c r="BT51" t="e">
        <f>AND(DATA!E289,"AAAAAG57/Uc=")</f>
        <v>#VALUE!</v>
      </c>
      <c r="BU51" t="e">
        <f>AND(DATA!F289,"AAAAAG57/Ug=")</f>
        <v>#VALUE!</v>
      </c>
      <c r="BV51" t="e">
        <f>AND(DATA!G289,"AAAAAG57/Uk=")</f>
        <v>#VALUE!</v>
      </c>
      <c r="BW51" t="e">
        <f>AND(DATA!H289,"AAAAAG57/Uo=")</f>
        <v>#VALUE!</v>
      </c>
      <c r="BX51" t="e">
        <f>AND(DATA!I289,"AAAAAG57/Us=")</f>
        <v>#VALUE!</v>
      </c>
      <c r="BY51" t="e">
        <f>AND(DATA!J289,"AAAAAG57/Uw=")</f>
        <v>#VALUE!</v>
      </c>
      <c r="BZ51" t="e">
        <f>AND(DATA!K289,"AAAAAG57/U0=")</f>
        <v>#VALUE!</v>
      </c>
      <c r="CA51" t="b">
        <f>AND(DATA!L289,"AAAAAG57/U4=")</f>
        <v>1</v>
      </c>
      <c r="CB51" t="b">
        <f>AND(DATA!M289,"AAAAAG57/U8=")</f>
        <v>1</v>
      </c>
      <c r="CC51" t="b">
        <f>AND(DATA!N289,"AAAAAG57/VA=")</f>
        <v>1</v>
      </c>
      <c r="CD51">
        <f>IF(DATA!290:290,"AAAAAG57/VE=",0)</f>
        <v>0</v>
      </c>
      <c r="CE51" t="e">
        <f>AND(DATA!A290,"AAAAAG57/VI=")</f>
        <v>#VALUE!</v>
      </c>
      <c r="CF51" t="e">
        <f>AND(DATA!B290,"AAAAAG57/VM=")</f>
        <v>#VALUE!</v>
      </c>
      <c r="CG51" t="e">
        <f>AND(DATA!C290,"AAAAAG57/VQ=")</f>
        <v>#VALUE!</v>
      </c>
      <c r="CH51" t="e">
        <f>AND(DATA!D290,"AAAAAG57/VU=")</f>
        <v>#VALUE!</v>
      </c>
      <c r="CI51" t="e">
        <f>AND(DATA!E290,"AAAAAG57/VY=")</f>
        <v>#VALUE!</v>
      </c>
      <c r="CJ51" t="e">
        <f>AND(DATA!F290,"AAAAAG57/Vc=")</f>
        <v>#VALUE!</v>
      </c>
      <c r="CK51" t="e">
        <f>AND(DATA!G290,"AAAAAG57/Vg=")</f>
        <v>#VALUE!</v>
      </c>
      <c r="CL51" t="e">
        <f>AND(DATA!H290,"AAAAAG57/Vk=")</f>
        <v>#VALUE!</v>
      </c>
      <c r="CM51" t="e">
        <f>AND(DATA!I290,"AAAAAG57/Vo=")</f>
        <v>#VALUE!</v>
      </c>
      <c r="CN51" t="e">
        <f>AND(DATA!J290,"AAAAAG57/Vs=")</f>
        <v>#VALUE!</v>
      </c>
      <c r="CO51" t="e">
        <f>AND(DATA!K290,"AAAAAG57/Vw=")</f>
        <v>#VALUE!</v>
      </c>
      <c r="CP51" t="b">
        <f>AND(DATA!L290,"AAAAAG57/V0=")</f>
        <v>1</v>
      </c>
      <c r="CQ51" t="b">
        <f>AND(DATA!M290,"AAAAAG57/V4=")</f>
        <v>1</v>
      </c>
      <c r="CR51" t="b">
        <f>AND(DATA!N290,"AAAAAG57/V8=")</f>
        <v>1</v>
      </c>
      <c r="CS51">
        <f>IF(DATA!291:291,"AAAAAG57/WA=",0)</f>
        <v>0</v>
      </c>
      <c r="CT51" t="e">
        <f>AND(DATA!A291,"AAAAAG57/WE=")</f>
        <v>#VALUE!</v>
      </c>
      <c r="CU51" t="e">
        <f>AND(DATA!B291,"AAAAAG57/WI=")</f>
        <v>#VALUE!</v>
      </c>
      <c r="CV51" t="e">
        <f>AND(DATA!C291,"AAAAAG57/WM=")</f>
        <v>#VALUE!</v>
      </c>
      <c r="CW51" t="e">
        <f>AND(DATA!D291,"AAAAAG57/WQ=")</f>
        <v>#VALUE!</v>
      </c>
      <c r="CX51" t="e">
        <f>AND(DATA!E291,"AAAAAG57/WU=")</f>
        <v>#VALUE!</v>
      </c>
      <c r="CY51" t="e">
        <f>AND(DATA!F291,"AAAAAG57/WY=")</f>
        <v>#VALUE!</v>
      </c>
      <c r="CZ51" t="e">
        <f>AND(DATA!G291,"AAAAAG57/Wc=")</f>
        <v>#VALUE!</v>
      </c>
      <c r="DA51" t="e">
        <f>AND(DATA!H291,"AAAAAG57/Wg=")</f>
        <v>#VALUE!</v>
      </c>
      <c r="DB51" t="e">
        <f>AND(DATA!I291,"AAAAAG57/Wk=")</f>
        <v>#VALUE!</v>
      </c>
      <c r="DC51" t="e">
        <f>AND(DATA!J291,"AAAAAG57/Wo=")</f>
        <v>#VALUE!</v>
      </c>
      <c r="DD51" t="e">
        <f>AND(DATA!K291,"AAAAAG57/Ws=")</f>
        <v>#VALUE!</v>
      </c>
      <c r="DE51" t="b">
        <f>AND(DATA!L291,"AAAAAG57/Ww=")</f>
        <v>1</v>
      </c>
      <c r="DF51" t="b">
        <f>AND(DATA!M291,"AAAAAG57/W0=")</f>
        <v>1</v>
      </c>
      <c r="DG51" t="b">
        <f>AND(DATA!N291,"AAAAAG57/W4=")</f>
        <v>1</v>
      </c>
      <c r="DH51">
        <f>IF(DATA!292:292,"AAAAAG57/W8=",0)</f>
        <v>0</v>
      </c>
      <c r="DI51" t="e">
        <f>AND(DATA!A292,"AAAAAG57/XA=")</f>
        <v>#VALUE!</v>
      </c>
      <c r="DJ51" t="e">
        <f>AND(DATA!B292,"AAAAAG57/XE=")</f>
        <v>#VALUE!</v>
      </c>
      <c r="DK51" t="e">
        <f>AND(DATA!C292,"AAAAAG57/XI=")</f>
        <v>#VALUE!</v>
      </c>
      <c r="DL51" t="e">
        <f>AND(DATA!D292,"AAAAAG57/XM=")</f>
        <v>#VALUE!</v>
      </c>
      <c r="DM51" t="e">
        <f>AND(DATA!E292,"AAAAAG57/XQ=")</f>
        <v>#VALUE!</v>
      </c>
      <c r="DN51" t="e">
        <f>AND(DATA!F292,"AAAAAG57/XU=")</f>
        <v>#VALUE!</v>
      </c>
      <c r="DO51" t="e">
        <f>AND(DATA!G292,"AAAAAG57/XY=")</f>
        <v>#VALUE!</v>
      </c>
      <c r="DP51" t="e">
        <f>AND(DATA!H292,"AAAAAG57/Xc=")</f>
        <v>#VALUE!</v>
      </c>
      <c r="DQ51" t="e">
        <f>AND(DATA!I292,"AAAAAG57/Xg=")</f>
        <v>#VALUE!</v>
      </c>
      <c r="DR51" t="e">
        <f>AND(DATA!J292,"AAAAAG57/Xk=")</f>
        <v>#VALUE!</v>
      </c>
      <c r="DS51" t="e">
        <f>AND(DATA!K292,"AAAAAG57/Xo=")</f>
        <v>#VALUE!</v>
      </c>
      <c r="DT51" t="b">
        <f>AND(DATA!L292,"AAAAAG57/Xs=")</f>
        <v>1</v>
      </c>
      <c r="DU51" t="b">
        <f>AND(DATA!M292,"AAAAAG57/Xw=")</f>
        <v>1</v>
      </c>
      <c r="DV51" t="b">
        <f>AND(DATA!N292,"AAAAAG57/X0=")</f>
        <v>1</v>
      </c>
      <c r="DW51">
        <f>IF(DATA!293:293,"AAAAAG57/X4=",0)</f>
        <v>0</v>
      </c>
      <c r="DX51" t="e">
        <f>AND(DATA!A293,"AAAAAG57/X8=")</f>
        <v>#VALUE!</v>
      </c>
      <c r="DY51" t="e">
        <f>AND(DATA!B293,"AAAAAG57/YA=")</f>
        <v>#VALUE!</v>
      </c>
      <c r="DZ51" t="e">
        <f>AND(DATA!C293,"AAAAAG57/YE=")</f>
        <v>#VALUE!</v>
      </c>
      <c r="EA51" t="e">
        <f>AND(DATA!D293,"AAAAAG57/YI=")</f>
        <v>#VALUE!</v>
      </c>
      <c r="EB51" t="e">
        <f>AND(DATA!E293,"AAAAAG57/YM=")</f>
        <v>#VALUE!</v>
      </c>
      <c r="EC51" t="e">
        <f>AND(DATA!F293,"AAAAAG57/YQ=")</f>
        <v>#VALUE!</v>
      </c>
      <c r="ED51" t="e">
        <f>AND(DATA!G293,"AAAAAG57/YU=")</f>
        <v>#VALUE!</v>
      </c>
      <c r="EE51" t="e">
        <f>AND(DATA!H293,"AAAAAG57/YY=")</f>
        <v>#VALUE!</v>
      </c>
      <c r="EF51" t="e">
        <f>AND(DATA!I293,"AAAAAG57/Yc=")</f>
        <v>#VALUE!</v>
      </c>
      <c r="EG51" t="e">
        <f>AND(DATA!J293,"AAAAAG57/Yg=")</f>
        <v>#VALUE!</v>
      </c>
      <c r="EH51" t="e">
        <f>AND(DATA!K293,"AAAAAG57/Yk=")</f>
        <v>#VALUE!</v>
      </c>
      <c r="EI51" t="b">
        <f>AND(DATA!L293,"AAAAAG57/Yo=")</f>
        <v>1</v>
      </c>
      <c r="EJ51" t="b">
        <f>AND(DATA!M293,"AAAAAG57/Ys=")</f>
        <v>1</v>
      </c>
      <c r="EK51" t="b">
        <f>AND(DATA!N293,"AAAAAG57/Yw=")</f>
        <v>1</v>
      </c>
      <c r="EL51">
        <f>IF(DATA!294:294,"AAAAAG57/Y0=",0)</f>
        <v>0</v>
      </c>
      <c r="EM51" t="e">
        <f>AND(DATA!A294,"AAAAAG57/Y4=")</f>
        <v>#VALUE!</v>
      </c>
      <c r="EN51" t="e">
        <f>AND(DATA!B294,"AAAAAG57/Y8=")</f>
        <v>#VALUE!</v>
      </c>
      <c r="EO51" t="e">
        <f>AND(DATA!C294,"AAAAAG57/ZA=")</f>
        <v>#VALUE!</v>
      </c>
      <c r="EP51" t="e">
        <f>AND(DATA!D294,"AAAAAG57/ZE=")</f>
        <v>#VALUE!</v>
      </c>
      <c r="EQ51" t="e">
        <f>AND(DATA!E294,"AAAAAG57/ZI=")</f>
        <v>#VALUE!</v>
      </c>
      <c r="ER51" t="e">
        <f>AND(DATA!F294,"AAAAAG57/ZM=")</f>
        <v>#VALUE!</v>
      </c>
      <c r="ES51" t="e">
        <f>AND(DATA!G294,"AAAAAG57/ZQ=")</f>
        <v>#VALUE!</v>
      </c>
      <c r="ET51" t="e">
        <f>AND(DATA!H294,"AAAAAG57/ZU=")</f>
        <v>#VALUE!</v>
      </c>
      <c r="EU51" t="e">
        <f>AND(DATA!I294,"AAAAAG57/ZY=")</f>
        <v>#VALUE!</v>
      </c>
      <c r="EV51" t="e">
        <f>AND(DATA!J294,"AAAAAG57/Zc=")</f>
        <v>#VALUE!</v>
      </c>
      <c r="EW51" t="e">
        <f>AND(DATA!K294,"AAAAAG57/Zg=")</f>
        <v>#VALUE!</v>
      </c>
      <c r="EX51" t="b">
        <f>AND(DATA!L294,"AAAAAG57/Zk=")</f>
        <v>1</v>
      </c>
      <c r="EY51" t="b">
        <f>AND(DATA!M294,"AAAAAG57/Zo=")</f>
        <v>1</v>
      </c>
      <c r="EZ51" t="b">
        <f>AND(DATA!N294,"AAAAAG57/Zs=")</f>
        <v>1</v>
      </c>
      <c r="FA51">
        <f>IF(DATA!295:295,"AAAAAG57/Zw=",0)</f>
        <v>0</v>
      </c>
      <c r="FB51" t="e">
        <f>AND(DATA!A295,"AAAAAG57/Z0=")</f>
        <v>#VALUE!</v>
      </c>
      <c r="FC51" t="e">
        <f>AND(DATA!B295,"AAAAAG57/Z4=")</f>
        <v>#VALUE!</v>
      </c>
      <c r="FD51" t="e">
        <f>AND(DATA!C295,"AAAAAG57/Z8=")</f>
        <v>#VALUE!</v>
      </c>
      <c r="FE51" t="e">
        <f>AND(DATA!D295,"AAAAAG57/aA=")</f>
        <v>#VALUE!</v>
      </c>
      <c r="FF51" t="e">
        <f>AND(DATA!E295,"AAAAAG57/aE=")</f>
        <v>#VALUE!</v>
      </c>
      <c r="FG51" t="e">
        <f>AND(DATA!F295,"AAAAAG57/aI=")</f>
        <v>#VALUE!</v>
      </c>
      <c r="FH51" t="e">
        <f>AND(DATA!G295,"AAAAAG57/aM=")</f>
        <v>#VALUE!</v>
      </c>
      <c r="FI51" t="e">
        <f>AND(DATA!H295,"AAAAAG57/aQ=")</f>
        <v>#VALUE!</v>
      </c>
      <c r="FJ51" t="e">
        <f>AND(DATA!I295,"AAAAAG57/aU=")</f>
        <v>#VALUE!</v>
      </c>
      <c r="FK51" t="e">
        <f>AND(DATA!J295,"AAAAAG57/aY=")</f>
        <v>#VALUE!</v>
      </c>
      <c r="FL51" t="e">
        <f>AND(DATA!K295,"AAAAAG57/ac=")</f>
        <v>#VALUE!</v>
      </c>
      <c r="FM51" t="b">
        <f>AND(DATA!L295,"AAAAAG57/ag=")</f>
        <v>1</v>
      </c>
      <c r="FN51" t="b">
        <f>AND(DATA!M295,"AAAAAG57/ak=")</f>
        <v>1</v>
      </c>
      <c r="FO51" t="b">
        <f>AND(DATA!N295,"AAAAAG57/ao=")</f>
        <v>1</v>
      </c>
      <c r="FP51">
        <f>IF(DATA!296:296,"AAAAAG57/as=",0)</f>
        <v>0</v>
      </c>
      <c r="FQ51" t="e">
        <f>AND(DATA!A296,"AAAAAG57/aw=")</f>
        <v>#VALUE!</v>
      </c>
      <c r="FR51" t="e">
        <f>AND(DATA!B296,"AAAAAG57/a0=")</f>
        <v>#VALUE!</v>
      </c>
      <c r="FS51" t="e">
        <f>AND(DATA!C296,"AAAAAG57/a4=")</f>
        <v>#VALUE!</v>
      </c>
      <c r="FT51" t="e">
        <f>AND(DATA!D296,"AAAAAG57/a8=")</f>
        <v>#VALUE!</v>
      </c>
      <c r="FU51" t="e">
        <f>AND(DATA!E296,"AAAAAG57/bA=")</f>
        <v>#VALUE!</v>
      </c>
      <c r="FV51" t="e">
        <f>AND(DATA!F296,"AAAAAG57/bE=")</f>
        <v>#VALUE!</v>
      </c>
      <c r="FW51" t="e">
        <f>AND(DATA!G296,"AAAAAG57/bI=")</f>
        <v>#VALUE!</v>
      </c>
      <c r="FX51" t="e">
        <f>AND(DATA!H296,"AAAAAG57/bM=")</f>
        <v>#VALUE!</v>
      </c>
      <c r="FY51" t="e">
        <f>AND(DATA!I296,"AAAAAG57/bQ=")</f>
        <v>#VALUE!</v>
      </c>
      <c r="FZ51" t="e">
        <f>AND(DATA!J296,"AAAAAG57/bU=")</f>
        <v>#VALUE!</v>
      </c>
      <c r="GA51" t="e">
        <f>AND(DATA!K296,"AAAAAG57/bY=")</f>
        <v>#VALUE!</v>
      </c>
      <c r="GB51" t="b">
        <f>AND(DATA!L296,"AAAAAG57/bc=")</f>
        <v>1</v>
      </c>
      <c r="GC51" t="b">
        <f>AND(DATA!M296,"AAAAAG57/bg=")</f>
        <v>1</v>
      </c>
      <c r="GD51" t="b">
        <f>AND(DATA!N296,"AAAAAG57/bk=")</f>
        <v>1</v>
      </c>
      <c r="GE51">
        <f>IF(DATA!297:297,"AAAAAG57/bo=",0)</f>
        <v>0</v>
      </c>
      <c r="GF51" t="e">
        <f>AND(DATA!A297,"AAAAAG57/bs=")</f>
        <v>#VALUE!</v>
      </c>
      <c r="GG51" t="e">
        <f>AND(DATA!B297,"AAAAAG57/bw=")</f>
        <v>#VALUE!</v>
      </c>
      <c r="GH51" t="e">
        <f>AND(DATA!C297,"AAAAAG57/b0=")</f>
        <v>#VALUE!</v>
      </c>
      <c r="GI51" t="e">
        <f>AND(DATA!D297,"AAAAAG57/b4=")</f>
        <v>#VALUE!</v>
      </c>
      <c r="GJ51" t="e">
        <f>AND(DATA!E297,"AAAAAG57/b8=")</f>
        <v>#VALUE!</v>
      </c>
      <c r="GK51" t="e">
        <f>AND(DATA!F297,"AAAAAG57/cA=")</f>
        <v>#VALUE!</v>
      </c>
      <c r="GL51" t="e">
        <f>AND(DATA!G297,"AAAAAG57/cE=")</f>
        <v>#VALUE!</v>
      </c>
      <c r="GM51" t="e">
        <f>AND(DATA!H297,"AAAAAG57/cI=")</f>
        <v>#VALUE!</v>
      </c>
      <c r="GN51" t="e">
        <f>AND(DATA!I297,"AAAAAG57/cM=")</f>
        <v>#VALUE!</v>
      </c>
      <c r="GO51" t="e">
        <f>AND(DATA!J297,"AAAAAG57/cQ=")</f>
        <v>#VALUE!</v>
      </c>
      <c r="GP51" t="e">
        <f>AND(DATA!K297,"AAAAAG57/cU=")</f>
        <v>#VALUE!</v>
      </c>
      <c r="GQ51" t="b">
        <f>AND(DATA!L297,"AAAAAG57/cY=")</f>
        <v>1</v>
      </c>
      <c r="GR51" t="b">
        <f>AND(DATA!M297,"AAAAAG57/cc=")</f>
        <v>1</v>
      </c>
      <c r="GS51" t="b">
        <f>AND(DATA!N297,"AAAAAG57/cg=")</f>
        <v>1</v>
      </c>
      <c r="GT51">
        <f>IF(DATA!298:298,"AAAAAG57/ck=",0)</f>
        <v>0</v>
      </c>
      <c r="GU51" t="e">
        <f>AND(DATA!A298,"AAAAAG57/co=")</f>
        <v>#VALUE!</v>
      </c>
      <c r="GV51" t="e">
        <f>AND(DATA!B298,"AAAAAG57/cs=")</f>
        <v>#VALUE!</v>
      </c>
      <c r="GW51" t="e">
        <f>AND(DATA!C298,"AAAAAG57/cw=")</f>
        <v>#VALUE!</v>
      </c>
      <c r="GX51" t="e">
        <f>AND(DATA!D298,"AAAAAG57/c0=")</f>
        <v>#VALUE!</v>
      </c>
      <c r="GY51" t="e">
        <f>AND(DATA!E298,"AAAAAG57/c4=")</f>
        <v>#VALUE!</v>
      </c>
      <c r="GZ51" t="e">
        <f>AND(DATA!F298,"AAAAAG57/c8=")</f>
        <v>#VALUE!</v>
      </c>
      <c r="HA51" t="e">
        <f>AND(DATA!G298,"AAAAAG57/dA=")</f>
        <v>#VALUE!</v>
      </c>
      <c r="HB51" t="e">
        <f>AND(DATA!H298,"AAAAAG57/dE=")</f>
        <v>#VALUE!</v>
      </c>
      <c r="HC51" t="e">
        <f>AND(DATA!I298,"AAAAAG57/dI=")</f>
        <v>#VALUE!</v>
      </c>
      <c r="HD51" t="e">
        <f>AND(DATA!J298,"AAAAAG57/dM=")</f>
        <v>#VALUE!</v>
      </c>
      <c r="HE51" t="e">
        <f>AND(DATA!K298,"AAAAAG57/dQ=")</f>
        <v>#VALUE!</v>
      </c>
      <c r="HF51" t="b">
        <f>AND(DATA!L298,"AAAAAG57/dU=")</f>
        <v>1</v>
      </c>
      <c r="HG51" t="b">
        <f>AND(DATA!M298,"AAAAAG57/dY=")</f>
        <v>1</v>
      </c>
      <c r="HH51" t="b">
        <f>AND(DATA!N298,"AAAAAG57/dc=")</f>
        <v>1</v>
      </c>
      <c r="HI51">
        <f>IF(DATA!299:299,"AAAAAG57/dg=",0)</f>
        <v>0</v>
      </c>
      <c r="HJ51" t="e">
        <f>AND(DATA!A299,"AAAAAG57/dk=")</f>
        <v>#VALUE!</v>
      </c>
      <c r="HK51" t="e">
        <f>AND(DATA!B299,"AAAAAG57/do=")</f>
        <v>#VALUE!</v>
      </c>
      <c r="HL51" t="e">
        <f>AND(DATA!C299,"AAAAAG57/ds=")</f>
        <v>#VALUE!</v>
      </c>
      <c r="HM51" t="e">
        <f>AND(DATA!D299,"AAAAAG57/dw=")</f>
        <v>#VALUE!</v>
      </c>
      <c r="HN51" t="e">
        <f>AND(DATA!E299,"AAAAAG57/d0=")</f>
        <v>#VALUE!</v>
      </c>
      <c r="HO51" t="e">
        <f>AND(DATA!F299,"AAAAAG57/d4=")</f>
        <v>#VALUE!</v>
      </c>
      <c r="HP51" t="e">
        <f>AND(DATA!G299,"AAAAAG57/d8=")</f>
        <v>#VALUE!</v>
      </c>
      <c r="HQ51" t="e">
        <f>AND(DATA!H299,"AAAAAG57/eA=")</f>
        <v>#VALUE!</v>
      </c>
      <c r="HR51" t="e">
        <f>AND(DATA!I299,"AAAAAG57/eE=")</f>
        <v>#VALUE!</v>
      </c>
      <c r="HS51" t="e">
        <f>AND(DATA!J299,"AAAAAG57/eI=")</f>
        <v>#VALUE!</v>
      </c>
      <c r="HT51" t="e">
        <f>AND(DATA!K299,"AAAAAG57/eM=")</f>
        <v>#VALUE!</v>
      </c>
      <c r="HU51" t="b">
        <f>AND(DATA!L299,"AAAAAG57/eQ=")</f>
        <v>1</v>
      </c>
      <c r="HV51" t="b">
        <f>AND(DATA!M299,"AAAAAG57/eU=")</f>
        <v>1</v>
      </c>
      <c r="HW51" t="b">
        <f>AND(DATA!N299,"AAAAAG57/eY=")</f>
        <v>1</v>
      </c>
      <c r="HX51">
        <f>IF(DATA!300:300,"AAAAAG57/ec=",0)</f>
        <v>0</v>
      </c>
      <c r="HY51" t="e">
        <f>AND(DATA!A300,"AAAAAG57/eg=")</f>
        <v>#VALUE!</v>
      </c>
      <c r="HZ51" t="e">
        <f>AND(DATA!B300,"AAAAAG57/ek=")</f>
        <v>#VALUE!</v>
      </c>
      <c r="IA51" t="e">
        <f>AND(DATA!C300,"AAAAAG57/eo=")</f>
        <v>#VALUE!</v>
      </c>
      <c r="IB51" t="e">
        <f>AND(DATA!D300,"AAAAAG57/es=")</f>
        <v>#VALUE!</v>
      </c>
      <c r="IC51" t="e">
        <f>AND(DATA!E300,"AAAAAG57/ew=")</f>
        <v>#VALUE!</v>
      </c>
      <c r="ID51" t="e">
        <f>AND(DATA!F300,"AAAAAG57/e0=")</f>
        <v>#VALUE!</v>
      </c>
      <c r="IE51" t="e">
        <f>AND(DATA!G300,"AAAAAG57/e4=")</f>
        <v>#VALUE!</v>
      </c>
      <c r="IF51" t="e">
        <f>AND(DATA!H300,"AAAAAG57/e8=")</f>
        <v>#VALUE!</v>
      </c>
      <c r="IG51" t="e">
        <f>AND(DATA!I300,"AAAAAG57/fA=")</f>
        <v>#VALUE!</v>
      </c>
      <c r="IH51" t="e">
        <f>AND(DATA!J300,"AAAAAG57/fE=")</f>
        <v>#VALUE!</v>
      </c>
      <c r="II51" t="e">
        <f>AND(DATA!K300,"AAAAAG57/fI=")</f>
        <v>#VALUE!</v>
      </c>
      <c r="IJ51" t="b">
        <f>AND(DATA!L300,"AAAAAG57/fM=")</f>
        <v>1</v>
      </c>
      <c r="IK51" t="b">
        <f>AND(DATA!M300,"AAAAAG57/fQ=")</f>
        <v>1</v>
      </c>
      <c r="IL51" t="b">
        <f>AND(DATA!N300,"AAAAAG57/fU=")</f>
        <v>1</v>
      </c>
      <c r="IM51">
        <f>IF(DATA!301:301,"AAAAAG57/fY=",0)</f>
        <v>0</v>
      </c>
      <c r="IN51" t="e">
        <f>AND(DATA!A301,"AAAAAG57/fc=")</f>
        <v>#VALUE!</v>
      </c>
      <c r="IO51" t="e">
        <f>AND(DATA!B301,"AAAAAG57/fg=")</f>
        <v>#VALUE!</v>
      </c>
      <c r="IP51" t="e">
        <f>AND(DATA!C301,"AAAAAG57/fk=")</f>
        <v>#VALUE!</v>
      </c>
      <c r="IQ51" t="e">
        <f>AND(DATA!D301,"AAAAAG57/fo=")</f>
        <v>#VALUE!</v>
      </c>
      <c r="IR51" t="e">
        <f>AND(DATA!E301,"AAAAAG57/fs=")</f>
        <v>#VALUE!</v>
      </c>
      <c r="IS51" t="e">
        <f>AND(DATA!F301,"AAAAAG57/fw=")</f>
        <v>#VALUE!</v>
      </c>
      <c r="IT51" t="e">
        <f>AND(DATA!G301,"AAAAAG57/f0=")</f>
        <v>#VALUE!</v>
      </c>
      <c r="IU51" t="e">
        <f>AND(DATA!H301,"AAAAAG57/f4=")</f>
        <v>#VALUE!</v>
      </c>
      <c r="IV51" t="e">
        <f>AND(DATA!I301,"AAAAAG57/f8=")</f>
        <v>#VALUE!</v>
      </c>
    </row>
    <row r="52" spans="1:256">
      <c r="A52" t="e">
        <f>AND(DATA!J301,"AAAAAH4V7QA=")</f>
        <v>#VALUE!</v>
      </c>
      <c r="B52" t="e">
        <f>AND(DATA!K301,"AAAAAH4V7QE=")</f>
        <v>#VALUE!</v>
      </c>
      <c r="C52" t="b">
        <f>AND(DATA!L301,"AAAAAH4V7QI=")</f>
        <v>1</v>
      </c>
      <c r="D52" t="b">
        <f>AND(DATA!M301,"AAAAAH4V7QM=")</f>
        <v>1</v>
      </c>
      <c r="E52" t="b">
        <f>AND(DATA!N301,"AAAAAH4V7QQ=")</f>
        <v>1</v>
      </c>
      <c r="F52">
        <f>IF(DATA!302:302,"AAAAAH4V7QU=",0)</f>
        <v>0</v>
      </c>
      <c r="G52" t="e">
        <f>AND(DATA!A302,"AAAAAH4V7QY=")</f>
        <v>#VALUE!</v>
      </c>
      <c r="H52" t="e">
        <f>AND(DATA!B302,"AAAAAH4V7Qc=")</f>
        <v>#VALUE!</v>
      </c>
      <c r="I52" t="e">
        <f>AND(DATA!C302,"AAAAAH4V7Qg=")</f>
        <v>#VALUE!</v>
      </c>
      <c r="J52" t="e">
        <f>AND(DATA!D302,"AAAAAH4V7Qk=")</f>
        <v>#VALUE!</v>
      </c>
      <c r="K52" t="e">
        <f>AND(DATA!E302,"AAAAAH4V7Qo=")</f>
        <v>#VALUE!</v>
      </c>
      <c r="L52" t="e">
        <f>AND(DATA!F302,"AAAAAH4V7Qs=")</f>
        <v>#VALUE!</v>
      </c>
      <c r="M52" t="e">
        <f>AND(DATA!G302,"AAAAAH4V7Qw=")</f>
        <v>#VALUE!</v>
      </c>
      <c r="N52" t="e">
        <f>AND(DATA!H302,"AAAAAH4V7Q0=")</f>
        <v>#VALUE!</v>
      </c>
      <c r="O52" t="e">
        <f>AND(DATA!I302,"AAAAAH4V7Q4=")</f>
        <v>#VALUE!</v>
      </c>
      <c r="P52" t="e">
        <f>AND(DATA!J302,"AAAAAH4V7Q8=")</f>
        <v>#VALUE!</v>
      </c>
      <c r="Q52" t="e">
        <f>AND(DATA!K302,"AAAAAH4V7RA=")</f>
        <v>#VALUE!</v>
      </c>
      <c r="R52" t="b">
        <f>AND(DATA!L302,"AAAAAH4V7RE=")</f>
        <v>1</v>
      </c>
      <c r="S52" t="b">
        <f>AND(DATA!M302,"AAAAAH4V7RI=")</f>
        <v>1</v>
      </c>
      <c r="T52" t="b">
        <f>AND(DATA!N302,"AAAAAH4V7RM=")</f>
        <v>1</v>
      </c>
      <c r="U52">
        <f>IF(DATA!303:303,"AAAAAH4V7RQ=",0)</f>
        <v>0</v>
      </c>
      <c r="V52" t="e">
        <f>AND(DATA!A303,"AAAAAH4V7RU=")</f>
        <v>#VALUE!</v>
      </c>
      <c r="W52" t="e">
        <f>AND(DATA!B303,"AAAAAH4V7RY=")</f>
        <v>#VALUE!</v>
      </c>
      <c r="X52" t="e">
        <f>AND(DATA!C303,"AAAAAH4V7Rc=")</f>
        <v>#VALUE!</v>
      </c>
      <c r="Y52" t="e">
        <f>AND(DATA!D303,"AAAAAH4V7Rg=")</f>
        <v>#VALUE!</v>
      </c>
      <c r="Z52" t="e">
        <f>AND(DATA!E303,"AAAAAH4V7Rk=")</f>
        <v>#VALUE!</v>
      </c>
      <c r="AA52" t="e">
        <f>AND(DATA!F303,"AAAAAH4V7Ro=")</f>
        <v>#VALUE!</v>
      </c>
      <c r="AB52" t="e">
        <f>AND(DATA!G303,"AAAAAH4V7Rs=")</f>
        <v>#VALUE!</v>
      </c>
      <c r="AC52" t="e">
        <f>AND(DATA!H303,"AAAAAH4V7Rw=")</f>
        <v>#VALUE!</v>
      </c>
      <c r="AD52" t="e">
        <f>AND(DATA!I303,"AAAAAH4V7R0=")</f>
        <v>#VALUE!</v>
      </c>
      <c r="AE52" t="e">
        <f>AND(DATA!J303,"AAAAAH4V7R4=")</f>
        <v>#VALUE!</v>
      </c>
      <c r="AF52" t="e">
        <f>AND(DATA!K303,"AAAAAH4V7R8=")</f>
        <v>#VALUE!</v>
      </c>
      <c r="AG52" t="b">
        <f>AND(DATA!L303,"AAAAAH4V7SA=")</f>
        <v>1</v>
      </c>
      <c r="AH52" t="b">
        <f>AND(DATA!M303,"AAAAAH4V7SE=")</f>
        <v>1</v>
      </c>
      <c r="AI52" t="b">
        <f>AND(DATA!N303,"AAAAAH4V7SI=")</f>
        <v>1</v>
      </c>
      <c r="AJ52">
        <f>IF(DATA!304:304,"AAAAAH4V7SM=",0)</f>
        <v>0</v>
      </c>
      <c r="AK52" t="e">
        <f>AND(DATA!A304,"AAAAAH4V7SQ=")</f>
        <v>#VALUE!</v>
      </c>
      <c r="AL52" t="e">
        <f>AND(DATA!B304,"AAAAAH4V7SU=")</f>
        <v>#VALUE!</v>
      </c>
      <c r="AM52" t="e">
        <f>AND(DATA!C304,"AAAAAH4V7SY=")</f>
        <v>#VALUE!</v>
      </c>
      <c r="AN52" t="e">
        <f>AND(DATA!D304,"AAAAAH4V7Sc=")</f>
        <v>#VALUE!</v>
      </c>
      <c r="AO52" t="e">
        <f>AND(DATA!E304,"AAAAAH4V7Sg=")</f>
        <v>#VALUE!</v>
      </c>
      <c r="AP52" t="e">
        <f>AND(DATA!F304,"AAAAAH4V7Sk=")</f>
        <v>#VALUE!</v>
      </c>
      <c r="AQ52" t="e">
        <f>AND(DATA!G304,"AAAAAH4V7So=")</f>
        <v>#VALUE!</v>
      </c>
      <c r="AR52" t="e">
        <f>AND(DATA!H304,"AAAAAH4V7Ss=")</f>
        <v>#VALUE!</v>
      </c>
      <c r="AS52" t="e">
        <f>AND(DATA!I304,"AAAAAH4V7Sw=")</f>
        <v>#VALUE!</v>
      </c>
      <c r="AT52" t="e">
        <f>AND(DATA!J304,"AAAAAH4V7S0=")</f>
        <v>#VALUE!</v>
      </c>
      <c r="AU52" t="e">
        <f>AND(DATA!K304,"AAAAAH4V7S4=")</f>
        <v>#VALUE!</v>
      </c>
      <c r="AV52" t="b">
        <f>AND(DATA!L304,"AAAAAH4V7S8=")</f>
        <v>1</v>
      </c>
      <c r="AW52" t="b">
        <f>AND(DATA!M304,"AAAAAH4V7TA=")</f>
        <v>1</v>
      </c>
      <c r="AX52" t="b">
        <f>AND(DATA!N304,"AAAAAH4V7TE=")</f>
        <v>1</v>
      </c>
      <c r="AY52">
        <f>IF(DATA!305:305,"AAAAAH4V7TI=",0)</f>
        <v>0</v>
      </c>
      <c r="AZ52" t="e">
        <f>AND(DATA!A305,"AAAAAH4V7TM=")</f>
        <v>#VALUE!</v>
      </c>
      <c r="BA52" t="e">
        <f>AND(DATA!B305,"AAAAAH4V7TQ=")</f>
        <v>#VALUE!</v>
      </c>
      <c r="BB52" t="e">
        <f>AND(DATA!C305,"AAAAAH4V7TU=")</f>
        <v>#VALUE!</v>
      </c>
      <c r="BC52" t="e">
        <f>AND(DATA!D305,"AAAAAH4V7TY=")</f>
        <v>#VALUE!</v>
      </c>
      <c r="BD52" t="e">
        <f>AND(DATA!E305,"AAAAAH4V7Tc=")</f>
        <v>#VALUE!</v>
      </c>
      <c r="BE52" t="e">
        <f>AND(DATA!F305,"AAAAAH4V7Tg=")</f>
        <v>#VALUE!</v>
      </c>
      <c r="BF52" t="e">
        <f>AND(DATA!G305,"AAAAAH4V7Tk=")</f>
        <v>#VALUE!</v>
      </c>
      <c r="BG52" t="e">
        <f>AND(DATA!H305,"AAAAAH4V7To=")</f>
        <v>#VALUE!</v>
      </c>
      <c r="BH52" t="e">
        <f>AND(DATA!I305,"AAAAAH4V7Ts=")</f>
        <v>#VALUE!</v>
      </c>
      <c r="BI52" t="e">
        <f>AND(DATA!J305,"AAAAAH4V7Tw=")</f>
        <v>#VALUE!</v>
      </c>
      <c r="BJ52" t="e">
        <f>AND(DATA!K305,"AAAAAH4V7T0=")</f>
        <v>#VALUE!</v>
      </c>
      <c r="BK52" t="b">
        <f>AND(DATA!L305,"AAAAAH4V7T4=")</f>
        <v>1</v>
      </c>
      <c r="BL52" t="b">
        <f>AND(DATA!M305,"AAAAAH4V7T8=")</f>
        <v>1</v>
      </c>
      <c r="BM52" t="b">
        <f>AND(DATA!N305,"AAAAAH4V7UA=")</f>
        <v>1</v>
      </c>
      <c r="BN52">
        <f>IF(DATA!306:306,"AAAAAH4V7UE=",0)</f>
        <v>0</v>
      </c>
      <c r="BO52" t="e">
        <f>AND(DATA!A306,"AAAAAH4V7UI=")</f>
        <v>#VALUE!</v>
      </c>
      <c r="BP52" t="e">
        <f>AND(DATA!B306,"AAAAAH4V7UM=")</f>
        <v>#VALUE!</v>
      </c>
      <c r="BQ52" t="e">
        <f>AND(DATA!C306,"AAAAAH4V7UQ=")</f>
        <v>#VALUE!</v>
      </c>
      <c r="BR52" t="e">
        <f>AND(DATA!D306,"AAAAAH4V7UU=")</f>
        <v>#VALUE!</v>
      </c>
      <c r="BS52" t="e">
        <f>AND(DATA!E306,"AAAAAH4V7UY=")</f>
        <v>#VALUE!</v>
      </c>
      <c r="BT52" t="e">
        <f>AND(DATA!F306,"AAAAAH4V7Uc=")</f>
        <v>#VALUE!</v>
      </c>
      <c r="BU52" t="e">
        <f>AND(DATA!G306,"AAAAAH4V7Ug=")</f>
        <v>#VALUE!</v>
      </c>
      <c r="BV52" t="e">
        <f>AND(DATA!H306,"AAAAAH4V7Uk=")</f>
        <v>#VALUE!</v>
      </c>
      <c r="BW52" t="e">
        <f>AND(DATA!I306,"AAAAAH4V7Uo=")</f>
        <v>#VALUE!</v>
      </c>
      <c r="BX52" t="e">
        <f>AND(DATA!J306,"AAAAAH4V7Us=")</f>
        <v>#VALUE!</v>
      </c>
      <c r="BY52" t="e">
        <f>AND(DATA!K306,"AAAAAH4V7Uw=")</f>
        <v>#VALUE!</v>
      </c>
      <c r="BZ52" t="b">
        <f>AND(DATA!L306,"AAAAAH4V7U0=")</f>
        <v>1</v>
      </c>
      <c r="CA52" t="b">
        <f>AND(DATA!M306,"AAAAAH4V7U4=")</f>
        <v>1</v>
      </c>
      <c r="CB52" t="b">
        <f>AND(DATA!N306,"AAAAAH4V7U8=")</f>
        <v>1</v>
      </c>
      <c r="CC52">
        <f>IF(DATA!307:307,"AAAAAH4V7VA=",0)</f>
        <v>0</v>
      </c>
      <c r="CD52" t="e">
        <f>AND(DATA!A307,"AAAAAH4V7VE=")</f>
        <v>#VALUE!</v>
      </c>
      <c r="CE52" t="e">
        <f>AND(DATA!B307,"AAAAAH4V7VI=")</f>
        <v>#VALUE!</v>
      </c>
      <c r="CF52" t="e">
        <f>AND(DATA!C307,"AAAAAH4V7VM=")</f>
        <v>#VALUE!</v>
      </c>
      <c r="CG52" t="e">
        <f>AND(DATA!D307,"AAAAAH4V7VQ=")</f>
        <v>#VALUE!</v>
      </c>
      <c r="CH52" t="e">
        <f>AND(DATA!E307,"AAAAAH4V7VU=")</f>
        <v>#VALUE!</v>
      </c>
      <c r="CI52" t="e">
        <f>AND(DATA!F307,"AAAAAH4V7VY=")</f>
        <v>#VALUE!</v>
      </c>
      <c r="CJ52" t="e">
        <f>AND(DATA!G307,"AAAAAH4V7Vc=")</f>
        <v>#VALUE!</v>
      </c>
      <c r="CK52" t="e">
        <f>AND(DATA!H307,"AAAAAH4V7Vg=")</f>
        <v>#VALUE!</v>
      </c>
      <c r="CL52" t="e">
        <f>AND(DATA!I307,"AAAAAH4V7Vk=")</f>
        <v>#VALUE!</v>
      </c>
      <c r="CM52" t="e">
        <f>AND(DATA!J307,"AAAAAH4V7Vo=")</f>
        <v>#VALUE!</v>
      </c>
      <c r="CN52" t="e">
        <f>AND(DATA!K307,"AAAAAH4V7Vs=")</f>
        <v>#VALUE!</v>
      </c>
      <c r="CO52" t="b">
        <f>AND(DATA!L307,"AAAAAH4V7Vw=")</f>
        <v>1</v>
      </c>
      <c r="CP52" t="b">
        <f>AND(DATA!M307,"AAAAAH4V7V0=")</f>
        <v>1</v>
      </c>
      <c r="CQ52" t="b">
        <f>AND(DATA!N307,"AAAAAH4V7V4=")</f>
        <v>1</v>
      </c>
      <c r="CR52">
        <f>IF(DATA!308:308,"AAAAAH4V7V8=",0)</f>
        <v>0</v>
      </c>
      <c r="CS52" t="e">
        <f>AND(DATA!A308,"AAAAAH4V7WA=")</f>
        <v>#VALUE!</v>
      </c>
      <c r="CT52" t="e">
        <f>AND(DATA!B308,"AAAAAH4V7WE=")</f>
        <v>#VALUE!</v>
      </c>
      <c r="CU52" t="e">
        <f>AND(DATA!C308,"AAAAAH4V7WI=")</f>
        <v>#VALUE!</v>
      </c>
      <c r="CV52" t="e">
        <f>AND(DATA!D308,"AAAAAH4V7WM=")</f>
        <v>#VALUE!</v>
      </c>
      <c r="CW52" t="e">
        <f>AND(DATA!E308,"AAAAAH4V7WQ=")</f>
        <v>#VALUE!</v>
      </c>
      <c r="CX52" t="e">
        <f>AND(DATA!F308,"AAAAAH4V7WU=")</f>
        <v>#VALUE!</v>
      </c>
      <c r="CY52" t="e">
        <f>AND(DATA!G308,"AAAAAH4V7WY=")</f>
        <v>#VALUE!</v>
      </c>
      <c r="CZ52" t="e">
        <f>AND(DATA!H308,"AAAAAH4V7Wc=")</f>
        <v>#VALUE!</v>
      </c>
      <c r="DA52" t="e">
        <f>AND(DATA!I308,"AAAAAH4V7Wg=")</f>
        <v>#VALUE!</v>
      </c>
      <c r="DB52" t="e">
        <f>AND(DATA!J308,"AAAAAH4V7Wk=")</f>
        <v>#VALUE!</v>
      </c>
      <c r="DC52" t="e">
        <f>AND(DATA!K308,"AAAAAH4V7Wo=")</f>
        <v>#VALUE!</v>
      </c>
      <c r="DD52" t="b">
        <f>AND(DATA!L308,"AAAAAH4V7Ws=")</f>
        <v>1</v>
      </c>
      <c r="DE52" t="b">
        <f>AND(DATA!M308,"AAAAAH4V7Ww=")</f>
        <v>1</v>
      </c>
      <c r="DF52" t="b">
        <f>AND(DATA!N308,"AAAAAH4V7W0=")</f>
        <v>1</v>
      </c>
      <c r="DG52">
        <f>IF(DATA!309:309,"AAAAAH4V7W4=",0)</f>
        <v>0</v>
      </c>
      <c r="DH52" t="e">
        <f>AND(DATA!A309,"AAAAAH4V7W8=")</f>
        <v>#VALUE!</v>
      </c>
      <c r="DI52" t="e">
        <f>AND(DATA!B309,"AAAAAH4V7XA=")</f>
        <v>#VALUE!</v>
      </c>
      <c r="DJ52" t="e">
        <f>AND(DATA!C309,"AAAAAH4V7XE=")</f>
        <v>#VALUE!</v>
      </c>
      <c r="DK52" t="e">
        <f>AND(DATA!D309,"AAAAAH4V7XI=")</f>
        <v>#VALUE!</v>
      </c>
      <c r="DL52" t="e">
        <f>AND(DATA!E309,"AAAAAH4V7XM=")</f>
        <v>#VALUE!</v>
      </c>
      <c r="DM52" t="e">
        <f>AND(DATA!F309,"AAAAAH4V7XQ=")</f>
        <v>#VALUE!</v>
      </c>
      <c r="DN52" t="e">
        <f>AND(DATA!G309,"AAAAAH4V7XU=")</f>
        <v>#VALUE!</v>
      </c>
      <c r="DO52" t="e">
        <f>AND(DATA!H309,"AAAAAH4V7XY=")</f>
        <v>#VALUE!</v>
      </c>
      <c r="DP52" t="e">
        <f>AND(DATA!I309,"AAAAAH4V7Xc=")</f>
        <v>#VALUE!</v>
      </c>
      <c r="DQ52" t="e">
        <f>AND(DATA!J309,"AAAAAH4V7Xg=")</f>
        <v>#VALUE!</v>
      </c>
      <c r="DR52" t="e">
        <f>AND(DATA!K309,"AAAAAH4V7Xk=")</f>
        <v>#VALUE!</v>
      </c>
      <c r="DS52" t="b">
        <f>AND(DATA!L309,"AAAAAH4V7Xo=")</f>
        <v>1</v>
      </c>
      <c r="DT52" t="b">
        <f>AND(DATA!M309,"AAAAAH4V7Xs=")</f>
        <v>1</v>
      </c>
      <c r="DU52" t="b">
        <f>AND(DATA!N309,"AAAAAH4V7Xw=")</f>
        <v>1</v>
      </c>
      <c r="DV52">
        <f>IF(DATA!310:310,"AAAAAH4V7X0=",0)</f>
        <v>0</v>
      </c>
      <c r="DW52" t="e">
        <f>AND(DATA!A310,"AAAAAH4V7X4=")</f>
        <v>#VALUE!</v>
      </c>
      <c r="DX52" t="e">
        <f>AND(DATA!B310,"AAAAAH4V7X8=")</f>
        <v>#VALUE!</v>
      </c>
      <c r="DY52" t="e">
        <f>AND(DATA!C310,"AAAAAH4V7YA=")</f>
        <v>#VALUE!</v>
      </c>
      <c r="DZ52" t="e">
        <f>AND(DATA!D310,"AAAAAH4V7YE=")</f>
        <v>#VALUE!</v>
      </c>
      <c r="EA52" t="e">
        <f>AND(DATA!E310,"AAAAAH4V7YI=")</f>
        <v>#VALUE!</v>
      </c>
      <c r="EB52" t="e">
        <f>AND(DATA!F310,"AAAAAH4V7YM=")</f>
        <v>#VALUE!</v>
      </c>
      <c r="EC52" t="e">
        <f>AND(DATA!G310,"AAAAAH4V7YQ=")</f>
        <v>#VALUE!</v>
      </c>
      <c r="ED52" t="e">
        <f>AND(DATA!H310,"AAAAAH4V7YU=")</f>
        <v>#VALUE!</v>
      </c>
      <c r="EE52" t="e">
        <f>AND(DATA!I310,"AAAAAH4V7YY=")</f>
        <v>#VALUE!</v>
      </c>
      <c r="EF52" t="e">
        <f>AND(DATA!J310,"AAAAAH4V7Yc=")</f>
        <v>#VALUE!</v>
      </c>
      <c r="EG52" t="e">
        <f>AND(DATA!K310,"AAAAAH4V7Yg=")</f>
        <v>#VALUE!</v>
      </c>
      <c r="EH52" t="b">
        <f>AND(DATA!L310,"AAAAAH4V7Yk=")</f>
        <v>1</v>
      </c>
      <c r="EI52" t="b">
        <f>AND(DATA!M310,"AAAAAH4V7Yo=")</f>
        <v>1</v>
      </c>
      <c r="EJ52" t="b">
        <f>AND(DATA!N310,"AAAAAH4V7Ys=")</f>
        <v>1</v>
      </c>
      <c r="EK52">
        <f>IF(DATA!311:311,"AAAAAH4V7Yw=",0)</f>
        <v>0</v>
      </c>
      <c r="EL52" t="e">
        <f>AND(DATA!A311,"AAAAAH4V7Y0=")</f>
        <v>#VALUE!</v>
      </c>
      <c r="EM52" t="e">
        <f>AND(DATA!B311,"AAAAAH4V7Y4=")</f>
        <v>#VALUE!</v>
      </c>
      <c r="EN52" t="e">
        <f>AND(DATA!C311,"AAAAAH4V7Y8=")</f>
        <v>#VALUE!</v>
      </c>
      <c r="EO52" t="e">
        <f>AND(DATA!D311,"AAAAAH4V7ZA=")</f>
        <v>#VALUE!</v>
      </c>
      <c r="EP52" t="e">
        <f>AND(DATA!E311,"AAAAAH4V7ZE=")</f>
        <v>#VALUE!</v>
      </c>
      <c r="EQ52" t="e">
        <f>AND(DATA!F311,"AAAAAH4V7ZI=")</f>
        <v>#VALUE!</v>
      </c>
      <c r="ER52" t="e">
        <f>AND(DATA!G311,"AAAAAH4V7ZM=")</f>
        <v>#VALUE!</v>
      </c>
      <c r="ES52" t="e">
        <f>AND(DATA!H311,"AAAAAH4V7ZQ=")</f>
        <v>#VALUE!</v>
      </c>
      <c r="ET52" t="e">
        <f>AND(DATA!I311,"AAAAAH4V7ZU=")</f>
        <v>#VALUE!</v>
      </c>
      <c r="EU52" t="e">
        <f>AND(DATA!J311,"AAAAAH4V7ZY=")</f>
        <v>#VALUE!</v>
      </c>
      <c r="EV52" t="e">
        <f>AND(DATA!K311,"AAAAAH4V7Zc=")</f>
        <v>#VALUE!</v>
      </c>
      <c r="EW52" t="b">
        <f>AND(DATA!L311,"AAAAAH4V7Zg=")</f>
        <v>1</v>
      </c>
      <c r="EX52" t="b">
        <f>AND(DATA!M311,"AAAAAH4V7Zk=")</f>
        <v>1</v>
      </c>
      <c r="EY52" t="b">
        <f>AND(DATA!N311,"AAAAAH4V7Zo=")</f>
        <v>1</v>
      </c>
      <c r="EZ52">
        <f>IF(DATA!312:312,"AAAAAH4V7Zs=",0)</f>
        <v>0</v>
      </c>
      <c r="FA52" t="e">
        <f>AND(DATA!A312,"AAAAAH4V7Zw=")</f>
        <v>#VALUE!</v>
      </c>
      <c r="FB52" t="e">
        <f>AND(DATA!B312,"AAAAAH4V7Z0=")</f>
        <v>#VALUE!</v>
      </c>
      <c r="FC52" t="e">
        <f>AND(DATA!C312,"AAAAAH4V7Z4=")</f>
        <v>#VALUE!</v>
      </c>
      <c r="FD52" t="e">
        <f>AND(DATA!D312,"AAAAAH4V7Z8=")</f>
        <v>#VALUE!</v>
      </c>
      <c r="FE52" t="e">
        <f>AND(DATA!E312,"AAAAAH4V7aA=")</f>
        <v>#VALUE!</v>
      </c>
      <c r="FF52" t="e">
        <f>AND(DATA!F312,"AAAAAH4V7aE=")</f>
        <v>#VALUE!</v>
      </c>
      <c r="FG52" t="e">
        <f>AND(DATA!G312,"AAAAAH4V7aI=")</f>
        <v>#VALUE!</v>
      </c>
      <c r="FH52" t="e">
        <f>AND(DATA!H312,"AAAAAH4V7aM=")</f>
        <v>#VALUE!</v>
      </c>
      <c r="FI52" t="e">
        <f>AND(DATA!I312,"AAAAAH4V7aQ=")</f>
        <v>#VALUE!</v>
      </c>
      <c r="FJ52" t="e">
        <f>AND(DATA!J312,"AAAAAH4V7aU=")</f>
        <v>#VALUE!</v>
      </c>
      <c r="FK52" t="e">
        <f>AND(DATA!K312,"AAAAAH4V7aY=")</f>
        <v>#VALUE!</v>
      </c>
      <c r="FL52" t="b">
        <f>AND(DATA!L312,"AAAAAH4V7ac=")</f>
        <v>1</v>
      </c>
      <c r="FM52" t="b">
        <f>AND(DATA!M312,"AAAAAH4V7ag=")</f>
        <v>1</v>
      </c>
      <c r="FN52" t="b">
        <f>AND(DATA!N312,"AAAAAH4V7ak=")</f>
        <v>1</v>
      </c>
      <c r="FO52">
        <f>IF(DATA!313:313,"AAAAAH4V7ao=",0)</f>
        <v>0</v>
      </c>
      <c r="FP52" t="e">
        <f>AND(DATA!A313,"AAAAAH4V7as=")</f>
        <v>#VALUE!</v>
      </c>
      <c r="FQ52" t="e">
        <f>AND(DATA!B313,"AAAAAH4V7aw=")</f>
        <v>#VALUE!</v>
      </c>
      <c r="FR52" t="e">
        <f>AND(DATA!C313,"AAAAAH4V7a0=")</f>
        <v>#VALUE!</v>
      </c>
      <c r="FS52" t="e">
        <f>AND(DATA!D313,"AAAAAH4V7a4=")</f>
        <v>#VALUE!</v>
      </c>
      <c r="FT52" t="e">
        <f>AND(DATA!E313,"AAAAAH4V7a8=")</f>
        <v>#VALUE!</v>
      </c>
      <c r="FU52" t="e">
        <f>AND(DATA!F313,"AAAAAH4V7bA=")</f>
        <v>#VALUE!</v>
      </c>
      <c r="FV52" t="e">
        <f>AND(DATA!G313,"AAAAAH4V7bE=")</f>
        <v>#VALUE!</v>
      </c>
      <c r="FW52" t="e">
        <f>AND(DATA!H313,"AAAAAH4V7bI=")</f>
        <v>#VALUE!</v>
      </c>
      <c r="FX52" t="e">
        <f>AND(DATA!I313,"AAAAAH4V7bM=")</f>
        <v>#VALUE!</v>
      </c>
      <c r="FY52" t="e">
        <f>AND(DATA!J313,"AAAAAH4V7bQ=")</f>
        <v>#VALUE!</v>
      </c>
      <c r="FZ52" t="e">
        <f>AND(DATA!K313,"AAAAAH4V7bU=")</f>
        <v>#VALUE!</v>
      </c>
      <c r="GA52" t="b">
        <f>AND(DATA!L313,"AAAAAH4V7bY=")</f>
        <v>1</v>
      </c>
      <c r="GB52" t="b">
        <f>AND(DATA!M313,"AAAAAH4V7bc=")</f>
        <v>1</v>
      </c>
      <c r="GC52" t="b">
        <f>AND(DATA!N313,"AAAAAH4V7bg=")</f>
        <v>1</v>
      </c>
      <c r="GD52">
        <f>IF(DATA!314:314,"AAAAAH4V7bk=",0)</f>
        <v>0</v>
      </c>
      <c r="GE52" t="e">
        <f>AND(DATA!A314,"AAAAAH4V7bo=")</f>
        <v>#VALUE!</v>
      </c>
      <c r="GF52" t="e">
        <f>AND(DATA!B314,"AAAAAH4V7bs=")</f>
        <v>#VALUE!</v>
      </c>
      <c r="GG52" t="e">
        <f>AND(DATA!C314,"AAAAAH4V7bw=")</f>
        <v>#VALUE!</v>
      </c>
      <c r="GH52" t="e">
        <f>AND(DATA!D314,"AAAAAH4V7b0=")</f>
        <v>#VALUE!</v>
      </c>
      <c r="GI52" t="e">
        <f>AND(DATA!E314,"AAAAAH4V7b4=")</f>
        <v>#VALUE!</v>
      </c>
      <c r="GJ52" t="e">
        <f>AND(DATA!F314,"AAAAAH4V7b8=")</f>
        <v>#VALUE!</v>
      </c>
      <c r="GK52" t="e">
        <f>AND(DATA!G314,"AAAAAH4V7cA=")</f>
        <v>#VALUE!</v>
      </c>
      <c r="GL52" t="e">
        <f>AND(DATA!H314,"AAAAAH4V7cE=")</f>
        <v>#VALUE!</v>
      </c>
      <c r="GM52" t="e">
        <f>AND(DATA!I314,"AAAAAH4V7cI=")</f>
        <v>#VALUE!</v>
      </c>
      <c r="GN52" t="e">
        <f>AND(DATA!J314,"AAAAAH4V7cM=")</f>
        <v>#VALUE!</v>
      </c>
      <c r="GO52" t="e">
        <f>AND(DATA!K314,"AAAAAH4V7cQ=")</f>
        <v>#VALUE!</v>
      </c>
      <c r="GP52" t="b">
        <f>AND(DATA!L314,"AAAAAH4V7cU=")</f>
        <v>1</v>
      </c>
      <c r="GQ52" t="b">
        <f>AND(DATA!M314,"AAAAAH4V7cY=")</f>
        <v>1</v>
      </c>
      <c r="GR52" t="b">
        <f>AND(DATA!N314,"AAAAAH4V7cc=")</f>
        <v>1</v>
      </c>
      <c r="GS52">
        <f>IF(DATA!315:315,"AAAAAH4V7cg=",0)</f>
        <v>0</v>
      </c>
      <c r="GT52" t="e">
        <f>AND(DATA!A315,"AAAAAH4V7ck=")</f>
        <v>#VALUE!</v>
      </c>
      <c r="GU52" t="e">
        <f>AND(DATA!B315,"AAAAAH4V7co=")</f>
        <v>#VALUE!</v>
      </c>
      <c r="GV52" t="e">
        <f>AND(DATA!C315,"AAAAAH4V7cs=")</f>
        <v>#VALUE!</v>
      </c>
      <c r="GW52" t="e">
        <f>AND(DATA!D315,"AAAAAH4V7cw=")</f>
        <v>#VALUE!</v>
      </c>
      <c r="GX52" t="e">
        <f>AND(DATA!E315,"AAAAAH4V7c0=")</f>
        <v>#VALUE!</v>
      </c>
      <c r="GY52" t="e">
        <f>AND(DATA!F315,"AAAAAH4V7c4=")</f>
        <v>#VALUE!</v>
      </c>
      <c r="GZ52" t="e">
        <f>AND(DATA!G315,"AAAAAH4V7c8=")</f>
        <v>#VALUE!</v>
      </c>
      <c r="HA52" t="e">
        <f>AND(DATA!H315,"AAAAAH4V7dA=")</f>
        <v>#VALUE!</v>
      </c>
      <c r="HB52" t="e">
        <f>AND(DATA!I315,"AAAAAH4V7dE=")</f>
        <v>#VALUE!</v>
      </c>
      <c r="HC52" t="e">
        <f>AND(DATA!J315,"AAAAAH4V7dI=")</f>
        <v>#VALUE!</v>
      </c>
      <c r="HD52" t="e">
        <f>AND(DATA!K315,"AAAAAH4V7dM=")</f>
        <v>#VALUE!</v>
      </c>
      <c r="HE52" t="b">
        <f>AND(DATA!L315,"AAAAAH4V7dQ=")</f>
        <v>1</v>
      </c>
      <c r="HF52" t="b">
        <f>AND(DATA!M315,"AAAAAH4V7dU=")</f>
        <v>1</v>
      </c>
      <c r="HG52" t="b">
        <f>AND(DATA!N315,"AAAAAH4V7dY=")</f>
        <v>1</v>
      </c>
      <c r="HH52">
        <f>IF(DATA!316:316,"AAAAAH4V7dc=",0)</f>
        <v>0</v>
      </c>
      <c r="HI52" t="e">
        <f>AND(DATA!A316,"AAAAAH4V7dg=")</f>
        <v>#VALUE!</v>
      </c>
      <c r="HJ52" t="e">
        <f>AND(DATA!B316,"AAAAAH4V7dk=")</f>
        <v>#VALUE!</v>
      </c>
      <c r="HK52" t="e">
        <f>AND(DATA!C316,"AAAAAH4V7do=")</f>
        <v>#VALUE!</v>
      </c>
      <c r="HL52" t="e">
        <f>AND(DATA!D316,"AAAAAH4V7ds=")</f>
        <v>#VALUE!</v>
      </c>
      <c r="HM52" t="e">
        <f>AND(DATA!E316,"AAAAAH4V7dw=")</f>
        <v>#VALUE!</v>
      </c>
      <c r="HN52" t="e">
        <f>AND(DATA!F316,"AAAAAH4V7d0=")</f>
        <v>#VALUE!</v>
      </c>
      <c r="HO52" t="e">
        <f>AND(DATA!G316,"AAAAAH4V7d4=")</f>
        <v>#VALUE!</v>
      </c>
      <c r="HP52" t="e">
        <f>AND(DATA!H316,"AAAAAH4V7d8=")</f>
        <v>#VALUE!</v>
      </c>
      <c r="HQ52" t="e">
        <f>AND(DATA!I316,"AAAAAH4V7eA=")</f>
        <v>#VALUE!</v>
      </c>
      <c r="HR52" t="e">
        <f>AND(DATA!J316,"AAAAAH4V7eE=")</f>
        <v>#VALUE!</v>
      </c>
      <c r="HS52" t="e">
        <f>AND(DATA!K316,"AAAAAH4V7eI=")</f>
        <v>#VALUE!</v>
      </c>
      <c r="HT52" t="b">
        <f>AND(DATA!L316,"AAAAAH4V7eM=")</f>
        <v>1</v>
      </c>
      <c r="HU52" t="b">
        <f>AND(DATA!M316,"AAAAAH4V7eQ=")</f>
        <v>1</v>
      </c>
      <c r="HV52" t="b">
        <f>AND(DATA!N316,"AAAAAH4V7eU=")</f>
        <v>1</v>
      </c>
      <c r="HW52">
        <f>IF(DATA!317:317,"AAAAAH4V7eY=",0)</f>
        <v>0</v>
      </c>
      <c r="HX52" t="e">
        <f>AND(DATA!A317,"AAAAAH4V7ec=")</f>
        <v>#VALUE!</v>
      </c>
      <c r="HY52" t="e">
        <f>AND(DATA!B317,"AAAAAH4V7eg=")</f>
        <v>#VALUE!</v>
      </c>
      <c r="HZ52" t="e">
        <f>AND(DATA!C317,"AAAAAH4V7ek=")</f>
        <v>#VALUE!</v>
      </c>
      <c r="IA52" t="e">
        <f>AND(DATA!D317,"AAAAAH4V7eo=")</f>
        <v>#VALUE!</v>
      </c>
      <c r="IB52" t="e">
        <f>AND(DATA!E317,"AAAAAH4V7es=")</f>
        <v>#VALUE!</v>
      </c>
      <c r="IC52" t="e">
        <f>AND(DATA!F317,"AAAAAH4V7ew=")</f>
        <v>#VALUE!</v>
      </c>
      <c r="ID52" t="e">
        <f>AND(DATA!G317,"AAAAAH4V7e0=")</f>
        <v>#VALUE!</v>
      </c>
      <c r="IE52" t="e">
        <f>AND(DATA!H317,"AAAAAH4V7e4=")</f>
        <v>#VALUE!</v>
      </c>
      <c r="IF52" t="e">
        <f>AND(DATA!I317,"AAAAAH4V7e8=")</f>
        <v>#VALUE!</v>
      </c>
      <c r="IG52" t="e">
        <f>AND(DATA!J317,"AAAAAH4V7fA=")</f>
        <v>#VALUE!</v>
      </c>
      <c r="IH52" t="e">
        <f>AND(DATA!K317,"AAAAAH4V7fE=")</f>
        <v>#VALUE!</v>
      </c>
      <c r="II52" t="b">
        <f>AND(DATA!L317,"AAAAAH4V7fI=")</f>
        <v>1</v>
      </c>
      <c r="IJ52" t="b">
        <f>AND(DATA!M317,"AAAAAH4V7fM=")</f>
        <v>1</v>
      </c>
      <c r="IK52" t="b">
        <f>AND(DATA!N317,"AAAAAH4V7fQ=")</f>
        <v>1</v>
      </c>
      <c r="IL52">
        <f>IF(DATA!318:318,"AAAAAH4V7fU=",0)</f>
        <v>0</v>
      </c>
      <c r="IM52" t="e">
        <f>AND(DATA!A318,"AAAAAH4V7fY=")</f>
        <v>#VALUE!</v>
      </c>
      <c r="IN52" t="e">
        <f>AND(DATA!B318,"AAAAAH4V7fc=")</f>
        <v>#VALUE!</v>
      </c>
      <c r="IO52" t="e">
        <f>AND(DATA!C318,"AAAAAH4V7fg=")</f>
        <v>#VALUE!</v>
      </c>
      <c r="IP52" t="e">
        <f>AND(DATA!D318,"AAAAAH4V7fk=")</f>
        <v>#VALUE!</v>
      </c>
      <c r="IQ52" t="e">
        <f>AND(DATA!E318,"AAAAAH4V7fo=")</f>
        <v>#VALUE!</v>
      </c>
      <c r="IR52" t="e">
        <f>AND(DATA!F318,"AAAAAH4V7fs=")</f>
        <v>#VALUE!</v>
      </c>
      <c r="IS52" t="e">
        <f>AND(DATA!G318,"AAAAAH4V7fw=")</f>
        <v>#VALUE!</v>
      </c>
      <c r="IT52" t="e">
        <f>AND(DATA!H318,"AAAAAH4V7f0=")</f>
        <v>#VALUE!</v>
      </c>
      <c r="IU52" t="e">
        <f>AND(DATA!I318,"AAAAAH4V7f4=")</f>
        <v>#VALUE!</v>
      </c>
      <c r="IV52" t="e">
        <f>AND(DATA!J318,"AAAAAH4V7f8=")</f>
        <v>#VALUE!</v>
      </c>
    </row>
    <row r="53" spans="1:256">
      <c r="A53" t="e">
        <f>AND(DATA!K318,"AAAAAE+2vgA=")</f>
        <v>#VALUE!</v>
      </c>
      <c r="B53" t="b">
        <f>AND(DATA!L318,"AAAAAE+2vgE=")</f>
        <v>1</v>
      </c>
      <c r="C53" t="b">
        <f>AND(DATA!M318,"AAAAAE+2vgI=")</f>
        <v>1</v>
      </c>
      <c r="D53" t="b">
        <f>AND(DATA!N318,"AAAAAE+2vgM=")</f>
        <v>1</v>
      </c>
      <c r="E53">
        <f>IF(DATA!319:319,"AAAAAE+2vgQ=",0)</f>
        <v>0</v>
      </c>
      <c r="F53" t="e">
        <f>AND(DATA!A319,"AAAAAE+2vgU=")</f>
        <v>#VALUE!</v>
      </c>
      <c r="G53" t="e">
        <f>AND(DATA!B319,"AAAAAE+2vgY=")</f>
        <v>#VALUE!</v>
      </c>
      <c r="H53" t="e">
        <f>AND(DATA!C319,"AAAAAE+2vgc=")</f>
        <v>#VALUE!</v>
      </c>
      <c r="I53" t="e">
        <f>AND(DATA!D319,"AAAAAE+2vgg=")</f>
        <v>#VALUE!</v>
      </c>
      <c r="J53" t="e">
        <f>AND(DATA!E319,"AAAAAE+2vgk=")</f>
        <v>#VALUE!</v>
      </c>
      <c r="K53" t="e">
        <f>AND(DATA!F319,"AAAAAE+2vgo=")</f>
        <v>#VALUE!</v>
      </c>
      <c r="L53" t="e">
        <f>AND(DATA!G319,"AAAAAE+2vgs=")</f>
        <v>#VALUE!</v>
      </c>
      <c r="M53" t="e">
        <f>AND(DATA!H319,"AAAAAE+2vgw=")</f>
        <v>#VALUE!</v>
      </c>
      <c r="N53" t="e">
        <f>AND(DATA!I319,"AAAAAE+2vg0=")</f>
        <v>#VALUE!</v>
      </c>
      <c r="O53" t="e">
        <f>AND(DATA!J319,"AAAAAE+2vg4=")</f>
        <v>#VALUE!</v>
      </c>
      <c r="P53" t="e">
        <f>AND(DATA!K319,"AAAAAE+2vg8=")</f>
        <v>#VALUE!</v>
      </c>
      <c r="Q53" t="b">
        <f>AND(DATA!L319,"AAAAAE+2vhA=")</f>
        <v>1</v>
      </c>
      <c r="R53" t="b">
        <f>AND(DATA!M319,"AAAAAE+2vhE=")</f>
        <v>1</v>
      </c>
      <c r="S53" t="b">
        <f>AND(DATA!N319,"AAAAAE+2vhI=")</f>
        <v>1</v>
      </c>
      <c r="T53">
        <f>IF(DATA!320:320,"AAAAAE+2vhM=",0)</f>
        <v>0</v>
      </c>
      <c r="U53" t="e">
        <f>AND(DATA!A320,"AAAAAE+2vhQ=")</f>
        <v>#VALUE!</v>
      </c>
      <c r="V53" t="e">
        <f>AND(DATA!B320,"AAAAAE+2vhU=")</f>
        <v>#VALUE!</v>
      </c>
      <c r="W53" t="e">
        <f>AND(DATA!C320,"AAAAAE+2vhY=")</f>
        <v>#VALUE!</v>
      </c>
      <c r="X53" t="e">
        <f>AND(DATA!D320,"AAAAAE+2vhc=")</f>
        <v>#VALUE!</v>
      </c>
      <c r="Y53" t="e">
        <f>AND(DATA!E320,"AAAAAE+2vhg=")</f>
        <v>#VALUE!</v>
      </c>
      <c r="Z53" t="e">
        <f>AND(DATA!F320,"AAAAAE+2vhk=")</f>
        <v>#VALUE!</v>
      </c>
      <c r="AA53" t="e">
        <f>AND(DATA!G320,"AAAAAE+2vho=")</f>
        <v>#VALUE!</v>
      </c>
      <c r="AB53" t="e">
        <f>AND(DATA!H320,"AAAAAE+2vhs=")</f>
        <v>#VALUE!</v>
      </c>
      <c r="AC53" t="e">
        <f>AND(DATA!I320,"AAAAAE+2vhw=")</f>
        <v>#VALUE!</v>
      </c>
      <c r="AD53" t="e">
        <f>AND(DATA!J320,"AAAAAE+2vh0=")</f>
        <v>#VALUE!</v>
      </c>
      <c r="AE53" t="e">
        <f>AND(DATA!K320,"AAAAAE+2vh4=")</f>
        <v>#VALUE!</v>
      </c>
      <c r="AF53" t="b">
        <f>AND(DATA!L320,"AAAAAE+2vh8=")</f>
        <v>1</v>
      </c>
      <c r="AG53" t="b">
        <f>AND(DATA!M320,"AAAAAE+2viA=")</f>
        <v>1</v>
      </c>
      <c r="AH53" t="b">
        <f>AND(DATA!N320,"AAAAAE+2viE=")</f>
        <v>1</v>
      </c>
      <c r="AI53">
        <f>IF(DATA!321:321,"AAAAAE+2viI=",0)</f>
        <v>0</v>
      </c>
      <c r="AJ53" t="e">
        <f>AND(DATA!A321,"AAAAAE+2viM=")</f>
        <v>#VALUE!</v>
      </c>
      <c r="AK53" t="e">
        <f>AND(DATA!B321,"AAAAAE+2viQ=")</f>
        <v>#VALUE!</v>
      </c>
      <c r="AL53" t="e">
        <f>AND(DATA!C321,"AAAAAE+2viU=")</f>
        <v>#VALUE!</v>
      </c>
      <c r="AM53" t="e">
        <f>AND(DATA!D321,"AAAAAE+2viY=")</f>
        <v>#VALUE!</v>
      </c>
      <c r="AN53" t="e">
        <f>AND(DATA!E321,"AAAAAE+2vic=")</f>
        <v>#VALUE!</v>
      </c>
      <c r="AO53" t="e">
        <f>AND(DATA!F321,"AAAAAE+2vig=")</f>
        <v>#VALUE!</v>
      </c>
      <c r="AP53" t="e">
        <f>AND(DATA!G321,"AAAAAE+2vik=")</f>
        <v>#VALUE!</v>
      </c>
      <c r="AQ53" t="e">
        <f>AND(DATA!H321,"AAAAAE+2vio=")</f>
        <v>#VALUE!</v>
      </c>
      <c r="AR53" t="e">
        <f>AND(DATA!I321,"AAAAAE+2vis=")</f>
        <v>#VALUE!</v>
      </c>
      <c r="AS53" t="e">
        <f>AND(DATA!J321,"AAAAAE+2viw=")</f>
        <v>#VALUE!</v>
      </c>
      <c r="AT53" t="e">
        <f>AND(DATA!K321,"AAAAAE+2vi0=")</f>
        <v>#VALUE!</v>
      </c>
      <c r="AU53" t="b">
        <f>AND(DATA!L321,"AAAAAE+2vi4=")</f>
        <v>1</v>
      </c>
      <c r="AV53" t="b">
        <f>AND(DATA!M321,"AAAAAE+2vi8=")</f>
        <v>1</v>
      </c>
      <c r="AW53" t="b">
        <f>AND(DATA!N321,"AAAAAE+2vjA=")</f>
        <v>1</v>
      </c>
      <c r="AX53">
        <f>IF(DATA!322:322,"AAAAAE+2vjE=",0)</f>
        <v>0</v>
      </c>
      <c r="AY53" t="e">
        <f>AND(DATA!A322,"AAAAAE+2vjI=")</f>
        <v>#VALUE!</v>
      </c>
      <c r="AZ53" t="e">
        <f>AND(DATA!B322,"AAAAAE+2vjM=")</f>
        <v>#VALUE!</v>
      </c>
      <c r="BA53" t="e">
        <f>AND(DATA!C322,"AAAAAE+2vjQ=")</f>
        <v>#VALUE!</v>
      </c>
      <c r="BB53" t="e">
        <f>AND(DATA!D322,"AAAAAE+2vjU=")</f>
        <v>#VALUE!</v>
      </c>
      <c r="BC53" t="e">
        <f>AND(DATA!E322,"AAAAAE+2vjY=")</f>
        <v>#VALUE!</v>
      </c>
      <c r="BD53" t="e">
        <f>AND(DATA!F322,"AAAAAE+2vjc=")</f>
        <v>#VALUE!</v>
      </c>
      <c r="BE53" t="e">
        <f>AND(DATA!G322,"AAAAAE+2vjg=")</f>
        <v>#VALUE!</v>
      </c>
      <c r="BF53" t="e">
        <f>AND(DATA!H322,"AAAAAE+2vjk=")</f>
        <v>#VALUE!</v>
      </c>
      <c r="BG53" t="e">
        <f>AND(DATA!I322,"AAAAAE+2vjo=")</f>
        <v>#VALUE!</v>
      </c>
      <c r="BH53" t="e">
        <f>AND(DATA!J322,"AAAAAE+2vjs=")</f>
        <v>#VALUE!</v>
      </c>
      <c r="BI53" t="e">
        <f>AND(DATA!K322,"AAAAAE+2vjw=")</f>
        <v>#VALUE!</v>
      </c>
      <c r="BJ53" t="b">
        <f>AND(DATA!L322,"AAAAAE+2vj0=")</f>
        <v>1</v>
      </c>
      <c r="BK53" t="b">
        <f>AND(DATA!M322,"AAAAAE+2vj4=")</f>
        <v>1</v>
      </c>
      <c r="BL53" t="b">
        <f>AND(DATA!N322,"AAAAAE+2vj8=")</f>
        <v>1</v>
      </c>
      <c r="BM53">
        <f>IF(DATA!323:323,"AAAAAE+2vkA=",0)</f>
        <v>0</v>
      </c>
      <c r="BN53" t="e">
        <f>AND(DATA!A323,"AAAAAE+2vkE=")</f>
        <v>#VALUE!</v>
      </c>
      <c r="BO53" t="e">
        <f>AND(DATA!B323,"AAAAAE+2vkI=")</f>
        <v>#VALUE!</v>
      </c>
      <c r="BP53" t="e">
        <f>AND(DATA!C323,"AAAAAE+2vkM=")</f>
        <v>#VALUE!</v>
      </c>
      <c r="BQ53" t="e">
        <f>AND(DATA!D323,"AAAAAE+2vkQ=")</f>
        <v>#VALUE!</v>
      </c>
      <c r="BR53" t="e">
        <f>AND(DATA!E323,"AAAAAE+2vkU=")</f>
        <v>#VALUE!</v>
      </c>
      <c r="BS53" t="e">
        <f>AND(DATA!F323,"AAAAAE+2vkY=")</f>
        <v>#VALUE!</v>
      </c>
      <c r="BT53" t="e">
        <f>AND(DATA!G323,"AAAAAE+2vkc=")</f>
        <v>#VALUE!</v>
      </c>
      <c r="BU53" t="e">
        <f>AND(DATA!H323,"AAAAAE+2vkg=")</f>
        <v>#VALUE!</v>
      </c>
      <c r="BV53" t="e">
        <f>AND(DATA!I323,"AAAAAE+2vkk=")</f>
        <v>#VALUE!</v>
      </c>
      <c r="BW53" t="e">
        <f>AND(DATA!J323,"AAAAAE+2vko=")</f>
        <v>#VALUE!</v>
      </c>
      <c r="BX53" t="e">
        <f>AND(DATA!K323,"AAAAAE+2vks=")</f>
        <v>#VALUE!</v>
      </c>
      <c r="BY53" t="b">
        <f>AND(DATA!L323,"AAAAAE+2vkw=")</f>
        <v>1</v>
      </c>
      <c r="BZ53" t="b">
        <f>AND(DATA!M323,"AAAAAE+2vk0=")</f>
        <v>1</v>
      </c>
      <c r="CA53" t="b">
        <f>AND(DATA!N323,"AAAAAE+2vk4=")</f>
        <v>1</v>
      </c>
      <c r="CB53">
        <f>IF(DATA!324:324,"AAAAAE+2vk8=",0)</f>
        <v>0</v>
      </c>
      <c r="CC53" t="e">
        <f>AND(DATA!A324,"AAAAAE+2vlA=")</f>
        <v>#VALUE!</v>
      </c>
      <c r="CD53" t="e">
        <f>AND(DATA!B324,"AAAAAE+2vlE=")</f>
        <v>#VALUE!</v>
      </c>
      <c r="CE53" t="e">
        <f>AND(DATA!C324,"AAAAAE+2vlI=")</f>
        <v>#VALUE!</v>
      </c>
      <c r="CF53" t="e">
        <f>AND(DATA!D324,"AAAAAE+2vlM=")</f>
        <v>#VALUE!</v>
      </c>
      <c r="CG53" t="e">
        <f>AND(DATA!E324,"AAAAAE+2vlQ=")</f>
        <v>#VALUE!</v>
      </c>
      <c r="CH53" t="e">
        <f>AND(DATA!F324,"AAAAAE+2vlU=")</f>
        <v>#VALUE!</v>
      </c>
      <c r="CI53" t="e">
        <f>AND(DATA!G324,"AAAAAE+2vlY=")</f>
        <v>#VALUE!</v>
      </c>
      <c r="CJ53" t="e">
        <f>AND(DATA!H324,"AAAAAE+2vlc=")</f>
        <v>#VALUE!</v>
      </c>
      <c r="CK53" t="e">
        <f>AND(DATA!I324,"AAAAAE+2vlg=")</f>
        <v>#VALUE!</v>
      </c>
      <c r="CL53" t="e">
        <f>AND(DATA!J324,"AAAAAE+2vlk=")</f>
        <v>#VALUE!</v>
      </c>
      <c r="CM53" t="e">
        <f>AND(DATA!K324,"AAAAAE+2vlo=")</f>
        <v>#VALUE!</v>
      </c>
      <c r="CN53" t="b">
        <f>AND(DATA!L324,"AAAAAE+2vls=")</f>
        <v>1</v>
      </c>
      <c r="CO53" t="b">
        <f>AND(DATA!M324,"AAAAAE+2vlw=")</f>
        <v>1</v>
      </c>
      <c r="CP53" t="b">
        <f>AND(DATA!N324,"AAAAAE+2vl0=")</f>
        <v>1</v>
      </c>
      <c r="CQ53">
        <f>IF(DATA!325:325,"AAAAAE+2vl4=",0)</f>
        <v>0</v>
      </c>
      <c r="CR53" t="e">
        <f>AND(DATA!A325,"AAAAAE+2vl8=")</f>
        <v>#VALUE!</v>
      </c>
      <c r="CS53" t="e">
        <f>AND(DATA!B325,"AAAAAE+2vmA=")</f>
        <v>#VALUE!</v>
      </c>
      <c r="CT53" t="e">
        <f>AND(DATA!C325,"AAAAAE+2vmE=")</f>
        <v>#VALUE!</v>
      </c>
      <c r="CU53" t="e">
        <f>AND(DATA!D325,"AAAAAE+2vmI=")</f>
        <v>#VALUE!</v>
      </c>
      <c r="CV53" t="e">
        <f>AND(DATA!E325,"AAAAAE+2vmM=")</f>
        <v>#VALUE!</v>
      </c>
      <c r="CW53" t="e">
        <f>AND(DATA!F325,"AAAAAE+2vmQ=")</f>
        <v>#VALUE!</v>
      </c>
      <c r="CX53" t="e">
        <f>AND(DATA!G325,"AAAAAE+2vmU=")</f>
        <v>#VALUE!</v>
      </c>
      <c r="CY53" t="e">
        <f>AND(DATA!H325,"AAAAAE+2vmY=")</f>
        <v>#VALUE!</v>
      </c>
      <c r="CZ53" t="e">
        <f>AND(DATA!I325,"AAAAAE+2vmc=")</f>
        <v>#VALUE!</v>
      </c>
      <c r="DA53" t="e">
        <f>AND(DATA!J325,"AAAAAE+2vmg=")</f>
        <v>#VALUE!</v>
      </c>
      <c r="DB53" t="e">
        <f>AND(DATA!K325,"AAAAAE+2vmk=")</f>
        <v>#VALUE!</v>
      </c>
      <c r="DC53" t="b">
        <f>AND(DATA!L325,"AAAAAE+2vmo=")</f>
        <v>1</v>
      </c>
      <c r="DD53" t="b">
        <f>AND(DATA!M325,"AAAAAE+2vms=")</f>
        <v>1</v>
      </c>
      <c r="DE53" t="b">
        <f>AND(DATA!N325,"AAAAAE+2vmw=")</f>
        <v>1</v>
      </c>
      <c r="DF53">
        <f>IF(DATA!326:326,"AAAAAE+2vm0=",0)</f>
        <v>0</v>
      </c>
      <c r="DG53" t="e">
        <f>AND(DATA!A326,"AAAAAE+2vm4=")</f>
        <v>#VALUE!</v>
      </c>
      <c r="DH53" t="e">
        <f>AND(DATA!B326,"AAAAAE+2vm8=")</f>
        <v>#VALUE!</v>
      </c>
      <c r="DI53" t="e">
        <f>AND(DATA!C326,"AAAAAE+2vnA=")</f>
        <v>#VALUE!</v>
      </c>
      <c r="DJ53" t="e">
        <f>AND(DATA!D326,"AAAAAE+2vnE=")</f>
        <v>#VALUE!</v>
      </c>
      <c r="DK53" t="e">
        <f>AND(DATA!E326,"AAAAAE+2vnI=")</f>
        <v>#VALUE!</v>
      </c>
      <c r="DL53" t="e">
        <f>AND(DATA!F326,"AAAAAE+2vnM=")</f>
        <v>#VALUE!</v>
      </c>
      <c r="DM53" t="e">
        <f>AND(DATA!G326,"AAAAAE+2vnQ=")</f>
        <v>#VALUE!</v>
      </c>
      <c r="DN53" t="e">
        <f>AND(DATA!H326,"AAAAAE+2vnU=")</f>
        <v>#VALUE!</v>
      </c>
      <c r="DO53" t="e">
        <f>AND(DATA!I326,"AAAAAE+2vnY=")</f>
        <v>#VALUE!</v>
      </c>
      <c r="DP53" t="e">
        <f>AND(DATA!J326,"AAAAAE+2vnc=")</f>
        <v>#VALUE!</v>
      </c>
      <c r="DQ53" t="e">
        <f>AND(DATA!K326,"AAAAAE+2vng=")</f>
        <v>#VALUE!</v>
      </c>
      <c r="DR53" t="b">
        <f>AND(DATA!L326,"AAAAAE+2vnk=")</f>
        <v>1</v>
      </c>
      <c r="DS53" t="b">
        <f>AND(DATA!M326,"AAAAAE+2vno=")</f>
        <v>1</v>
      </c>
      <c r="DT53" t="b">
        <f>AND(DATA!N326,"AAAAAE+2vns=")</f>
        <v>1</v>
      </c>
      <c r="DU53">
        <f>IF(DATA!327:327,"AAAAAE+2vnw=",0)</f>
        <v>0</v>
      </c>
      <c r="DV53" t="e">
        <f>AND(DATA!A327,"AAAAAE+2vn0=")</f>
        <v>#VALUE!</v>
      </c>
      <c r="DW53" t="e">
        <f>AND(DATA!B327,"AAAAAE+2vn4=")</f>
        <v>#VALUE!</v>
      </c>
      <c r="DX53" t="e">
        <f>AND(DATA!C327,"AAAAAE+2vn8=")</f>
        <v>#VALUE!</v>
      </c>
      <c r="DY53" t="e">
        <f>AND(DATA!D327,"AAAAAE+2voA=")</f>
        <v>#VALUE!</v>
      </c>
      <c r="DZ53" t="e">
        <f>AND(DATA!E327,"AAAAAE+2voE=")</f>
        <v>#VALUE!</v>
      </c>
      <c r="EA53" t="e">
        <f>AND(DATA!F327,"AAAAAE+2voI=")</f>
        <v>#VALUE!</v>
      </c>
      <c r="EB53" t="e">
        <f>AND(DATA!G327,"AAAAAE+2voM=")</f>
        <v>#VALUE!</v>
      </c>
      <c r="EC53" t="e">
        <f>AND(DATA!H327,"AAAAAE+2voQ=")</f>
        <v>#VALUE!</v>
      </c>
      <c r="ED53" t="e">
        <f>AND(DATA!I327,"AAAAAE+2voU=")</f>
        <v>#VALUE!</v>
      </c>
      <c r="EE53" t="e">
        <f>AND(DATA!J327,"AAAAAE+2voY=")</f>
        <v>#VALUE!</v>
      </c>
      <c r="EF53" t="e">
        <f>AND(DATA!K327,"AAAAAE+2voc=")</f>
        <v>#VALUE!</v>
      </c>
      <c r="EG53" t="b">
        <f>AND(DATA!L327,"AAAAAE+2vog=")</f>
        <v>1</v>
      </c>
      <c r="EH53" t="b">
        <f>AND(DATA!M327,"AAAAAE+2vok=")</f>
        <v>1</v>
      </c>
      <c r="EI53" t="b">
        <f>AND(DATA!N327,"AAAAAE+2voo=")</f>
        <v>1</v>
      </c>
      <c r="EJ53">
        <f>IF(DATA!328:328,"AAAAAE+2vos=",0)</f>
        <v>0</v>
      </c>
      <c r="EK53" t="e">
        <f>AND(DATA!A328,"AAAAAE+2vow=")</f>
        <v>#VALUE!</v>
      </c>
      <c r="EL53" t="e">
        <f>AND(DATA!B328,"AAAAAE+2vo0=")</f>
        <v>#VALUE!</v>
      </c>
      <c r="EM53" t="e">
        <f>AND(DATA!C328,"AAAAAE+2vo4=")</f>
        <v>#VALUE!</v>
      </c>
      <c r="EN53" t="e">
        <f>AND(DATA!D328,"AAAAAE+2vo8=")</f>
        <v>#VALUE!</v>
      </c>
      <c r="EO53" t="e">
        <f>AND(DATA!E328,"AAAAAE+2vpA=")</f>
        <v>#VALUE!</v>
      </c>
      <c r="EP53" t="e">
        <f>AND(DATA!F328,"AAAAAE+2vpE=")</f>
        <v>#VALUE!</v>
      </c>
      <c r="EQ53" t="e">
        <f>AND(DATA!G328,"AAAAAE+2vpI=")</f>
        <v>#VALUE!</v>
      </c>
      <c r="ER53" t="e">
        <f>AND(DATA!H328,"AAAAAE+2vpM=")</f>
        <v>#VALUE!</v>
      </c>
      <c r="ES53" t="e">
        <f>AND(DATA!I328,"AAAAAE+2vpQ=")</f>
        <v>#VALUE!</v>
      </c>
      <c r="ET53" t="e">
        <f>AND(DATA!J328,"AAAAAE+2vpU=")</f>
        <v>#VALUE!</v>
      </c>
      <c r="EU53" t="e">
        <f>AND(DATA!K328,"AAAAAE+2vpY=")</f>
        <v>#VALUE!</v>
      </c>
      <c r="EV53" t="b">
        <f>AND(DATA!L328,"AAAAAE+2vpc=")</f>
        <v>1</v>
      </c>
      <c r="EW53" t="b">
        <f>AND(DATA!M328,"AAAAAE+2vpg=")</f>
        <v>1</v>
      </c>
      <c r="EX53" t="b">
        <f>AND(DATA!N328,"AAAAAE+2vpk=")</f>
        <v>1</v>
      </c>
      <c r="EY53">
        <f>IF(DATA!329:329,"AAAAAE+2vpo=",0)</f>
        <v>0</v>
      </c>
      <c r="EZ53" t="e">
        <f>AND(DATA!A329,"AAAAAE+2vps=")</f>
        <v>#VALUE!</v>
      </c>
      <c r="FA53" t="e">
        <f>AND(DATA!B329,"AAAAAE+2vpw=")</f>
        <v>#VALUE!</v>
      </c>
      <c r="FB53" t="e">
        <f>AND(DATA!C329,"AAAAAE+2vp0=")</f>
        <v>#VALUE!</v>
      </c>
      <c r="FC53" t="e">
        <f>AND(DATA!D329,"AAAAAE+2vp4=")</f>
        <v>#VALUE!</v>
      </c>
      <c r="FD53" t="e">
        <f>AND(DATA!E329,"AAAAAE+2vp8=")</f>
        <v>#VALUE!</v>
      </c>
      <c r="FE53" t="e">
        <f>AND(DATA!F329,"AAAAAE+2vqA=")</f>
        <v>#VALUE!</v>
      </c>
      <c r="FF53" t="e">
        <f>AND(DATA!G329,"AAAAAE+2vqE=")</f>
        <v>#VALUE!</v>
      </c>
      <c r="FG53" t="e">
        <f>AND(DATA!H329,"AAAAAE+2vqI=")</f>
        <v>#VALUE!</v>
      </c>
      <c r="FH53" t="e">
        <f>AND(DATA!I329,"AAAAAE+2vqM=")</f>
        <v>#VALUE!</v>
      </c>
      <c r="FI53" t="e">
        <f>AND(DATA!J329,"AAAAAE+2vqQ=")</f>
        <v>#VALUE!</v>
      </c>
      <c r="FJ53" t="e">
        <f>AND(DATA!K329,"AAAAAE+2vqU=")</f>
        <v>#VALUE!</v>
      </c>
      <c r="FK53" t="b">
        <f>AND(DATA!L329,"AAAAAE+2vqY=")</f>
        <v>1</v>
      </c>
      <c r="FL53" t="b">
        <f>AND(DATA!M329,"AAAAAE+2vqc=")</f>
        <v>1</v>
      </c>
      <c r="FM53" t="b">
        <f>AND(DATA!N329,"AAAAAE+2vqg=")</f>
        <v>1</v>
      </c>
      <c r="FN53">
        <f>IF(DATA!330:330,"AAAAAE+2vqk=",0)</f>
        <v>0</v>
      </c>
      <c r="FO53" t="e">
        <f>AND(DATA!A330,"AAAAAE+2vqo=")</f>
        <v>#VALUE!</v>
      </c>
      <c r="FP53" t="e">
        <f>AND(DATA!B330,"AAAAAE+2vqs=")</f>
        <v>#VALUE!</v>
      </c>
      <c r="FQ53" t="e">
        <f>AND(DATA!C330,"AAAAAE+2vqw=")</f>
        <v>#VALUE!</v>
      </c>
      <c r="FR53" t="e">
        <f>AND(DATA!D330,"AAAAAE+2vq0=")</f>
        <v>#VALUE!</v>
      </c>
      <c r="FS53" t="e">
        <f>AND(DATA!E330,"AAAAAE+2vq4=")</f>
        <v>#VALUE!</v>
      </c>
      <c r="FT53" t="e">
        <f>AND(DATA!F330,"AAAAAE+2vq8=")</f>
        <v>#VALUE!</v>
      </c>
      <c r="FU53" t="e">
        <f>AND(DATA!G330,"AAAAAE+2vrA=")</f>
        <v>#VALUE!</v>
      </c>
      <c r="FV53" t="e">
        <f>AND(DATA!H330,"AAAAAE+2vrE=")</f>
        <v>#VALUE!</v>
      </c>
      <c r="FW53" t="e">
        <f>AND(DATA!I330,"AAAAAE+2vrI=")</f>
        <v>#VALUE!</v>
      </c>
      <c r="FX53" t="e">
        <f>AND(DATA!J330,"AAAAAE+2vrM=")</f>
        <v>#VALUE!</v>
      </c>
      <c r="FY53" t="e">
        <f>AND(DATA!K330,"AAAAAE+2vrQ=")</f>
        <v>#VALUE!</v>
      </c>
      <c r="FZ53" t="b">
        <f>AND(DATA!L330,"AAAAAE+2vrU=")</f>
        <v>1</v>
      </c>
      <c r="GA53" t="b">
        <f>AND(DATA!M330,"AAAAAE+2vrY=")</f>
        <v>1</v>
      </c>
      <c r="GB53" t="b">
        <f>AND(DATA!N330,"AAAAAE+2vrc=")</f>
        <v>1</v>
      </c>
      <c r="GC53">
        <f>IF(DATA!331:331,"AAAAAE+2vrg=",0)</f>
        <v>0</v>
      </c>
      <c r="GD53" t="e">
        <f>AND(DATA!A331,"AAAAAE+2vrk=")</f>
        <v>#VALUE!</v>
      </c>
      <c r="GE53" t="e">
        <f>AND(DATA!B331,"AAAAAE+2vro=")</f>
        <v>#VALUE!</v>
      </c>
      <c r="GF53" t="e">
        <f>AND(DATA!C331,"AAAAAE+2vrs=")</f>
        <v>#VALUE!</v>
      </c>
      <c r="GG53" t="e">
        <f>AND(DATA!D331,"AAAAAE+2vrw=")</f>
        <v>#VALUE!</v>
      </c>
      <c r="GH53" t="e">
        <f>AND(DATA!E331,"AAAAAE+2vr0=")</f>
        <v>#VALUE!</v>
      </c>
      <c r="GI53" t="e">
        <f>AND(DATA!F331,"AAAAAE+2vr4=")</f>
        <v>#VALUE!</v>
      </c>
      <c r="GJ53" t="e">
        <f>AND(DATA!G331,"AAAAAE+2vr8=")</f>
        <v>#VALUE!</v>
      </c>
      <c r="GK53" t="e">
        <f>AND(DATA!H331,"AAAAAE+2vsA=")</f>
        <v>#VALUE!</v>
      </c>
      <c r="GL53" t="e">
        <f>AND(DATA!I331,"AAAAAE+2vsE=")</f>
        <v>#VALUE!</v>
      </c>
      <c r="GM53" t="e">
        <f>AND(DATA!J331,"AAAAAE+2vsI=")</f>
        <v>#VALUE!</v>
      </c>
      <c r="GN53" t="e">
        <f>AND(DATA!K331,"AAAAAE+2vsM=")</f>
        <v>#VALUE!</v>
      </c>
      <c r="GO53" t="b">
        <f>AND(DATA!L331,"AAAAAE+2vsQ=")</f>
        <v>1</v>
      </c>
      <c r="GP53" t="b">
        <f>AND(DATA!M331,"AAAAAE+2vsU=")</f>
        <v>1</v>
      </c>
      <c r="GQ53" t="b">
        <f>AND(DATA!N331,"AAAAAE+2vsY=")</f>
        <v>1</v>
      </c>
      <c r="GR53">
        <f>IF(DATA!332:332,"AAAAAE+2vsc=",0)</f>
        <v>0</v>
      </c>
      <c r="GS53" t="e">
        <f>AND(DATA!A332,"AAAAAE+2vsg=")</f>
        <v>#VALUE!</v>
      </c>
      <c r="GT53" t="e">
        <f>AND(DATA!B332,"AAAAAE+2vsk=")</f>
        <v>#VALUE!</v>
      </c>
      <c r="GU53" t="e">
        <f>AND(DATA!C332,"AAAAAE+2vso=")</f>
        <v>#VALUE!</v>
      </c>
      <c r="GV53" t="e">
        <f>AND(DATA!D332,"AAAAAE+2vss=")</f>
        <v>#VALUE!</v>
      </c>
      <c r="GW53" t="e">
        <f>AND(DATA!E332,"AAAAAE+2vsw=")</f>
        <v>#VALUE!</v>
      </c>
      <c r="GX53" t="e">
        <f>AND(DATA!F332,"AAAAAE+2vs0=")</f>
        <v>#VALUE!</v>
      </c>
      <c r="GY53" t="e">
        <f>AND(DATA!G332,"AAAAAE+2vs4=")</f>
        <v>#VALUE!</v>
      </c>
      <c r="GZ53" t="e">
        <f>AND(DATA!H332,"AAAAAE+2vs8=")</f>
        <v>#VALUE!</v>
      </c>
      <c r="HA53" t="e">
        <f>AND(DATA!I332,"AAAAAE+2vtA=")</f>
        <v>#VALUE!</v>
      </c>
      <c r="HB53" t="e">
        <f>AND(DATA!J332,"AAAAAE+2vtE=")</f>
        <v>#VALUE!</v>
      </c>
      <c r="HC53" t="e">
        <f>AND(DATA!K332,"AAAAAE+2vtI=")</f>
        <v>#VALUE!</v>
      </c>
      <c r="HD53" t="b">
        <f>AND(DATA!L332,"AAAAAE+2vtM=")</f>
        <v>1</v>
      </c>
      <c r="HE53" t="b">
        <f>AND(DATA!M332,"AAAAAE+2vtQ=")</f>
        <v>1</v>
      </c>
      <c r="HF53" t="b">
        <f>AND(DATA!N332,"AAAAAE+2vtU=")</f>
        <v>1</v>
      </c>
      <c r="HG53">
        <f>IF(DATA!333:333,"AAAAAE+2vtY=",0)</f>
        <v>0</v>
      </c>
      <c r="HH53" t="e">
        <f>AND(DATA!A333,"AAAAAE+2vtc=")</f>
        <v>#VALUE!</v>
      </c>
      <c r="HI53" t="e">
        <f>AND(DATA!B333,"AAAAAE+2vtg=")</f>
        <v>#VALUE!</v>
      </c>
      <c r="HJ53" t="e">
        <f>AND(DATA!C333,"AAAAAE+2vtk=")</f>
        <v>#VALUE!</v>
      </c>
      <c r="HK53" t="e">
        <f>AND(DATA!D333,"AAAAAE+2vto=")</f>
        <v>#VALUE!</v>
      </c>
      <c r="HL53" t="e">
        <f>AND(DATA!E333,"AAAAAE+2vts=")</f>
        <v>#VALUE!</v>
      </c>
      <c r="HM53" t="e">
        <f>AND(DATA!F333,"AAAAAE+2vtw=")</f>
        <v>#VALUE!</v>
      </c>
      <c r="HN53" t="e">
        <f>AND(DATA!G333,"AAAAAE+2vt0=")</f>
        <v>#VALUE!</v>
      </c>
      <c r="HO53" t="e">
        <f>AND(DATA!H333,"AAAAAE+2vt4=")</f>
        <v>#VALUE!</v>
      </c>
      <c r="HP53" t="e">
        <f>AND(DATA!I333,"AAAAAE+2vt8=")</f>
        <v>#VALUE!</v>
      </c>
      <c r="HQ53" t="e">
        <f>AND(DATA!J333,"AAAAAE+2vuA=")</f>
        <v>#VALUE!</v>
      </c>
      <c r="HR53" t="e">
        <f>AND(DATA!K333,"AAAAAE+2vuE=")</f>
        <v>#VALUE!</v>
      </c>
      <c r="HS53" t="b">
        <f>AND(DATA!L333,"AAAAAE+2vuI=")</f>
        <v>1</v>
      </c>
      <c r="HT53" t="b">
        <f>AND(DATA!M333,"AAAAAE+2vuM=")</f>
        <v>1</v>
      </c>
      <c r="HU53" t="b">
        <f>AND(DATA!N333,"AAAAAE+2vuQ=")</f>
        <v>1</v>
      </c>
      <c r="HV53">
        <f>IF(DATA!334:334,"AAAAAE+2vuU=",0)</f>
        <v>0</v>
      </c>
      <c r="HW53" t="e">
        <f>AND(DATA!A334,"AAAAAE+2vuY=")</f>
        <v>#VALUE!</v>
      </c>
      <c r="HX53" t="e">
        <f>AND(DATA!B334,"AAAAAE+2vuc=")</f>
        <v>#VALUE!</v>
      </c>
      <c r="HY53" t="e">
        <f>AND(DATA!C334,"AAAAAE+2vug=")</f>
        <v>#VALUE!</v>
      </c>
      <c r="HZ53" t="e">
        <f>AND(DATA!D334,"AAAAAE+2vuk=")</f>
        <v>#VALUE!</v>
      </c>
      <c r="IA53" t="e">
        <f>AND(DATA!E334,"AAAAAE+2vuo=")</f>
        <v>#VALUE!</v>
      </c>
      <c r="IB53" t="e">
        <f>AND(DATA!F334,"AAAAAE+2vus=")</f>
        <v>#VALUE!</v>
      </c>
      <c r="IC53" t="e">
        <f>AND(DATA!G334,"AAAAAE+2vuw=")</f>
        <v>#VALUE!</v>
      </c>
      <c r="ID53" t="e">
        <f>AND(DATA!H334,"AAAAAE+2vu0=")</f>
        <v>#VALUE!</v>
      </c>
      <c r="IE53" t="e">
        <f>AND(DATA!I334,"AAAAAE+2vu4=")</f>
        <v>#VALUE!</v>
      </c>
      <c r="IF53" t="e">
        <f>AND(DATA!J334,"AAAAAE+2vu8=")</f>
        <v>#VALUE!</v>
      </c>
      <c r="IG53" t="e">
        <f>AND(DATA!K334,"AAAAAE+2vvA=")</f>
        <v>#VALUE!</v>
      </c>
      <c r="IH53" t="b">
        <f>AND(DATA!L334,"AAAAAE+2vvE=")</f>
        <v>1</v>
      </c>
      <c r="II53" t="b">
        <f>AND(DATA!M334,"AAAAAE+2vvI=")</f>
        <v>1</v>
      </c>
      <c r="IJ53" t="b">
        <f>AND(DATA!N334,"AAAAAE+2vvM=")</f>
        <v>1</v>
      </c>
      <c r="IK53">
        <f>IF(DATA!335:335,"AAAAAE+2vvQ=",0)</f>
        <v>0</v>
      </c>
      <c r="IL53" t="e">
        <f>AND(DATA!A335,"AAAAAE+2vvU=")</f>
        <v>#VALUE!</v>
      </c>
      <c r="IM53" t="e">
        <f>AND(DATA!B335,"AAAAAE+2vvY=")</f>
        <v>#VALUE!</v>
      </c>
      <c r="IN53" t="e">
        <f>AND(DATA!C335,"AAAAAE+2vvc=")</f>
        <v>#VALUE!</v>
      </c>
      <c r="IO53" t="e">
        <f>AND(DATA!D335,"AAAAAE+2vvg=")</f>
        <v>#VALUE!</v>
      </c>
      <c r="IP53" t="e">
        <f>AND(DATA!E335,"AAAAAE+2vvk=")</f>
        <v>#VALUE!</v>
      </c>
      <c r="IQ53" t="e">
        <f>AND(DATA!F335,"AAAAAE+2vvo=")</f>
        <v>#VALUE!</v>
      </c>
      <c r="IR53" t="e">
        <f>AND(DATA!G335,"AAAAAE+2vvs=")</f>
        <v>#VALUE!</v>
      </c>
      <c r="IS53" t="e">
        <f>AND(DATA!H335,"AAAAAE+2vvw=")</f>
        <v>#VALUE!</v>
      </c>
      <c r="IT53" t="e">
        <f>AND(DATA!I335,"AAAAAE+2vv0=")</f>
        <v>#VALUE!</v>
      </c>
      <c r="IU53" t="e">
        <f>AND(DATA!J335,"AAAAAE+2vv4=")</f>
        <v>#VALUE!</v>
      </c>
      <c r="IV53" t="e">
        <f>AND(DATA!K335,"AAAAAE+2vv8=")</f>
        <v>#VALUE!</v>
      </c>
    </row>
    <row r="54" spans="1:256">
      <c r="A54" t="b">
        <f>AND(DATA!L335,"AAAAAD//7gA=")</f>
        <v>1</v>
      </c>
      <c r="B54" t="b">
        <f>AND(DATA!M335,"AAAAAD//7gE=")</f>
        <v>1</v>
      </c>
      <c r="C54" t="b">
        <f>AND(DATA!N335,"AAAAAD//7gI=")</f>
        <v>1</v>
      </c>
      <c r="D54">
        <f>IF(DATA!336:336,"AAAAAD//7gM=",0)</f>
        <v>0</v>
      </c>
      <c r="E54" t="e">
        <f>AND(DATA!A336,"AAAAAD//7gQ=")</f>
        <v>#VALUE!</v>
      </c>
      <c r="F54" t="e">
        <f>AND(DATA!B336,"AAAAAD//7gU=")</f>
        <v>#VALUE!</v>
      </c>
      <c r="G54" t="e">
        <f>AND(DATA!C336,"AAAAAD//7gY=")</f>
        <v>#VALUE!</v>
      </c>
      <c r="H54" t="e">
        <f>AND(DATA!D336,"AAAAAD//7gc=")</f>
        <v>#VALUE!</v>
      </c>
      <c r="I54" t="e">
        <f>AND(DATA!E336,"AAAAAD//7gg=")</f>
        <v>#VALUE!</v>
      </c>
      <c r="J54" t="e">
        <f>AND(DATA!F336,"AAAAAD//7gk=")</f>
        <v>#VALUE!</v>
      </c>
      <c r="K54" t="e">
        <f>AND(DATA!G336,"AAAAAD//7go=")</f>
        <v>#VALUE!</v>
      </c>
      <c r="L54" t="e">
        <f>AND(DATA!H336,"AAAAAD//7gs=")</f>
        <v>#VALUE!</v>
      </c>
      <c r="M54" t="e">
        <f>AND(DATA!I336,"AAAAAD//7gw=")</f>
        <v>#VALUE!</v>
      </c>
      <c r="N54" t="e">
        <f>AND(DATA!J336,"AAAAAD//7g0=")</f>
        <v>#VALUE!</v>
      </c>
      <c r="O54" t="e">
        <f>AND(DATA!K336,"AAAAAD//7g4=")</f>
        <v>#VALUE!</v>
      </c>
      <c r="P54" t="b">
        <f>AND(DATA!L336,"AAAAAD//7g8=")</f>
        <v>1</v>
      </c>
      <c r="Q54" t="b">
        <f>AND(DATA!M336,"AAAAAD//7hA=")</f>
        <v>1</v>
      </c>
      <c r="R54" t="b">
        <f>AND(DATA!N336,"AAAAAD//7hE=")</f>
        <v>1</v>
      </c>
      <c r="S54">
        <f>IF(DATA!337:337,"AAAAAD//7hI=",0)</f>
        <v>0</v>
      </c>
      <c r="T54" t="e">
        <f>AND(DATA!A337,"AAAAAD//7hM=")</f>
        <v>#VALUE!</v>
      </c>
      <c r="U54" t="e">
        <f>AND(DATA!B337,"AAAAAD//7hQ=")</f>
        <v>#VALUE!</v>
      </c>
      <c r="V54" t="e">
        <f>AND(DATA!C337,"AAAAAD//7hU=")</f>
        <v>#VALUE!</v>
      </c>
      <c r="W54" t="e">
        <f>AND(DATA!D337,"AAAAAD//7hY=")</f>
        <v>#VALUE!</v>
      </c>
      <c r="X54" t="e">
        <f>AND(DATA!E337,"AAAAAD//7hc=")</f>
        <v>#VALUE!</v>
      </c>
      <c r="Y54" t="e">
        <f>AND(DATA!F337,"AAAAAD//7hg=")</f>
        <v>#VALUE!</v>
      </c>
      <c r="Z54" t="e">
        <f>AND(DATA!G337,"AAAAAD//7hk=")</f>
        <v>#VALUE!</v>
      </c>
      <c r="AA54" t="e">
        <f>AND(DATA!H337,"AAAAAD//7ho=")</f>
        <v>#VALUE!</v>
      </c>
      <c r="AB54" t="e">
        <f>AND(DATA!I337,"AAAAAD//7hs=")</f>
        <v>#VALUE!</v>
      </c>
      <c r="AC54" t="e">
        <f>AND(DATA!J337,"AAAAAD//7hw=")</f>
        <v>#VALUE!</v>
      </c>
      <c r="AD54" t="e">
        <f>AND(DATA!K337,"AAAAAD//7h0=")</f>
        <v>#VALUE!</v>
      </c>
      <c r="AE54" t="b">
        <f>AND(DATA!L337,"AAAAAD//7h4=")</f>
        <v>1</v>
      </c>
      <c r="AF54" t="b">
        <f>AND(DATA!M337,"AAAAAD//7h8=")</f>
        <v>1</v>
      </c>
      <c r="AG54" t="b">
        <f>AND(DATA!N337,"AAAAAD//7iA=")</f>
        <v>1</v>
      </c>
      <c r="AH54">
        <f>IF(DATA!338:338,"AAAAAD//7iE=",0)</f>
        <v>0</v>
      </c>
      <c r="AI54" t="e">
        <f>AND(DATA!A338,"AAAAAD//7iI=")</f>
        <v>#VALUE!</v>
      </c>
      <c r="AJ54" t="e">
        <f>AND(DATA!B338,"AAAAAD//7iM=")</f>
        <v>#VALUE!</v>
      </c>
      <c r="AK54" t="e">
        <f>AND(DATA!C338,"AAAAAD//7iQ=")</f>
        <v>#VALUE!</v>
      </c>
      <c r="AL54" t="e">
        <f>AND(DATA!D338,"AAAAAD//7iU=")</f>
        <v>#VALUE!</v>
      </c>
      <c r="AM54" t="e">
        <f>AND(DATA!E338,"AAAAAD//7iY=")</f>
        <v>#VALUE!</v>
      </c>
      <c r="AN54" t="e">
        <f>AND(DATA!F338,"AAAAAD//7ic=")</f>
        <v>#VALUE!</v>
      </c>
      <c r="AO54" t="e">
        <f>AND(DATA!G338,"AAAAAD//7ig=")</f>
        <v>#VALUE!</v>
      </c>
      <c r="AP54" t="e">
        <f>AND(DATA!H338,"AAAAAD//7ik=")</f>
        <v>#VALUE!</v>
      </c>
      <c r="AQ54" t="e">
        <f>AND(DATA!I338,"AAAAAD//7io=")</f>
        <v>#VALUE!</v>
      </c>
      <c r="AR54" t="e">
        <f>AND(DATA!J338,"AAAAAD//7is=")</f>
        <v>#VALUE!</v>
      </c>
      <c r="AS54" t="e">
        <f>AND(DATA!K338,"AAAAAD//7iw=")</f>
        <v>#VALUE!</v>
      </c>
      <c r="AT54" t="b">
        <f>AND(DATA!L338,"AAAAAD//7i0=")</f>
        <v>1</v>
      </c>
      <c r="AU54" t="b">
        <f>AND(DATA!M338,"AAAAAD//7i4=")</f>
        <v>1</v>
      </c>
      <c r="AV54" t="b">
        <f>AND(DATA!N338,"AAAAAD//7i8=")</f>
        <v>1</v>
      </c>
      <c r="AW54">
        <f>IF(DATA!339:339,"AAAAAD//7jA=",0)</f>
        <v>0</v>
      </c>
      <c r="AX54" t="e">
        <f>AND(DATA!A339,"AAAAAD//7jE=")</f>
        <v>#VALUE!</v>
      </c>
      <c r="AY54" t="e">
        <f>AND(DATA!B339,"AAAAAD//7jI=")</f>
        <v>#VALUE!</v>
      </c>
      <c r="AZ54" t="e">
        <f>AND(DATA!C339,"AAAAAD//7jM=")</f>
        <v>#VALUE!</v>
      </c>
      <c r="BA54" t="e">
        <f>AND(DATA!D339,"AAAAAD//7jQ=")</f>
        <v>#VALUE!</v>
      </c>
      <c r="BB54" t="e">
        <f>AND(DATA!E339,"AAAAAD//7jU=")</f>
        <v>#VALUE!</v>
      </c>
      <c r="BC54" t="e">
        <f>AND(DATA!F339,"AAAAAD//7jY=")</f>
        <v>#VALUE!</v>
      </c>
      <c r="BD54" t="e">
        <f>AND(DATA!G339,"AAAAAD//7jc=")</f>
        <v>#VALUE!</v>
      </c>
      <c r="BE54" t="e">
        <f>AND(DATA!H339,"AAAAAD//7jg=")</f>
        <v>#VALUE!</v>
      </c>
      <c r="BF54" t="e">
        <f>AND(DATA!I339,"AAAAAD//7jk=")</f>
        <v>#VALUE!</v>
      </c>
      <c r="BG54" t="e">
        <f>AND(DATA!J339,"AAAAAD//7jo=")</f>
        <v>#VALUE!</v>
      </c>
      <c r="BH54" t="e">
        <f>AND(DATA!K339,"AAAAAD//7js=")</f>
        <v>#VALUE!</v>
      </c>
      <c r="BI54" t="b">
        <f>AND(DATA!L339,"AAAAAD//7jw=")</f>
        <v>1</v>
      </c>
      <c r="BJ54" t="b">
        <f>AND(DATA!M339,"AAAAAD//7j0=")</f>
        <v>1</v>
      </c>
      <c r="BK54" t="b">
        <f>AND(DATA!N339,"AAAAAD//7j4=")</f>
        <v>1</v>
      </c>
      <c r="BL54">
        <f>IF(DATA!340:340,"AAAAAD//7j8=",0)</f>
        <v>0</v>
      </c>
      <c r="BM54" t="e">
        <f>AND(DATA!A340,"AAAAAD//7kA=")</f>
        <v>#VALUE!</v>
      </c>
      <c r="BN54" t="e">
        <f>AND(DATA!B340,"AAAAAD//7kE=")</f>
        <v>#VALUE!</v>
      </c>
      <c r="BO54" t="e">
        <f>AND(DATA!C340,"AAAAAD//7kI=")</f>
        <v>#VALUE!</v>
      </c>
      <c r="BP54" t="e">
        <f>AND(DATA!D340,"AAAAAD//7kM=")</f>
        <v>#VALUE!</v>
      </c>
      <c r="BQ54" t="e">
        <f>AND(DATA!E340,"AAAAAD//7kQ=")</f>
        <v>#VALUE!</v>
      </c>
      <c r="BR54" t="e">
        <f>AND(DATA!F340,"AAAAAD//7kU=")</f>
        <v>#VALUE!</v>
      </c>
      <c r="BS54" t="e">
        <f>AND(DATA!G340,"AAAAAD//7kY=")</f>
        <v>#VALUE!</v>
      </c>
      <c r="BT54" t="e">
        <f>AND(DATA!H340,"AAAAAD//7kc=")</f>
        <v>#VALUE!</v>
      </c>
      <c r="BU54" t="e">
        <f>AND(DATA!I340,"AAAAAD//7kg=")</f>
        <v>#VALUE!</v>
      </c>
      <c r="BV54" t="e">
        <f>AND(DATA!J340,"AAAAAD//7kk=")</f>
        <v>#VALUE!</v>
      </c>
      <c r="BW54" t="e">
        <f>AND(DATA!K340,"AAAAAD//7ko=")</f>
        <v>#VALUE!</v>
      </c>
      <c r="BX54" t="b">
        <f>AND(DATA!L340,"AAAAAD//7ks=")</f>
        <v>1</v>
      </c>
      <c r="BY54" t="b">
        <f>AND(DATA!M340,"AAAAAD//7kw=")</f>
        <v>1</v>
      </c>
      <c r="BZ54" t="b">
        <f>AND(DATA!N340,"AAAAAD//7k0=")</f>
        <v>1</v>
      </c>
      <c r="CA54">
        <f>IF(DATA!341:341,"AAAAAD//7k4=",0)</f>
        <v>0</v>
      </c>
      <c r="CB54" t="e">
        <f>AND(DATA!A341,"AAAAAD//7k8=")</f>
        <v>#VALUE!</v>
      </c>
      <c r="CC54" t="e">
        <f>AND(DATA!B341,"AAAAAD//7lA=")</f>
        <v>#VALUE!</v>
      </c>
      <c r="CD54" t="e">
        <f>AND(DATA!C341,"AAAAAD//7lE=")</f>
        <v>#VALUE!</v>
      </c>
      <c r="CE54" t="e">
        <f>AND(DATA!D341,"AAAAAD//7lI=")</f>
        <v>#VALUE!</v>
      </c>
      <c r="CF54" t="e">
        <f>AND(DATA!E341,"AAAAAD//7lM=")</f>
        <v>#VALUE!</v>
      </c>
      <c r="CG54" t="e">
        <f>AND(DATA!F341,"AAAAAD//7lQ=")</f>
        <v>#VALUE!</v>
      </c>
      <c r="CH54" t="e">
        <f>AND(DATA!G341,"AAAAAD//7lU=")</f>
        <v>#VALUE!</v>
      </c>
      <c r="CI54" t="e">
        <f>AND(DATA!H341,"AAAAAD//7lY=")</f>
        <v>#VALUE!</v>
      </c>
      <c r="CJ54" t="e">
        <f>AND(DATA!I341,"AAAAAD//7lc=")</f>
        <v>#VALUE!</v>
      </c>
      <c r="CK54" t="e">
        <f>AND(DATA!J341,"AAAAAD//7lg=")</f>
        <v>#VALUE!</v>
      </c>
      <c r="CL54" t="e">
        <f>AND(DATA!K341,"AAAAAD//7lk=")</f>
        <v>#VALUE!</v>
      </c>
      <c r="CM54" t="b">
        <f>AND(DATA!L341,"AAAAAD//7lo=")</f>
        <v>1</v>
      </c>
      <c r="CN54" t="b">
        <f>AND(DATA!M341,"AAAAAD//7ls=")</f>
        <v>1</v>
      </c>
      <c r="CO54" t="b">
        <f>AND(DATA!N341,"AAAAAD//7lw=")</f>
        <v>1</v>
      </c>
      <c r="CP54">
        <f>IF(DATA!342:342,"AAAAAD//7l0=",0)</f>
        <v>0</v>
      </c>
      <c r="CQ54" t="e">
        <f>AND(DATA!A342,"AAAAAD//7l4=")</f>
        <v>#VALUE!</v>
      </c>
      <c r="CR54" t="e">
        <f>AND(DATA!B342,"AAAAAD//7l8=")</f>
        <v>#VALUE!</v>
      </c>
      <c r="CS54" t="e">
        <f>AND(DATA!C342,"AAAAAD//7mA=")</f>
        <v>#VALUE!</v>
      </c>
      <c r="CT54" t="e">
        <f>AND(DATA!D342,"AAAAAD//7mE=")</f>
        <v>#VALUE!</v>
      </c>
      <c r="CU54" t="e">
        <f>AND(DATA!E342,"AAAAAD//7mI=")</f>
        <v>#VALUE!</v>
      </c>
      <c r="CV54" t="e">
        <f>AND(DATA!F342,"AAAAAD//7mM=")</f>
        <v>#VALUE!</v>
      </c>
      <c r="CW54" t="e">
        <f>AND(DATA!G342,"AAAAAD//7mQ=")</f>
        <v>#VALUE!</v>
      </c>
      <c r="CX54" t="e">
        <f>AND(DATA!H342,"AAAAAD//7mU=")</f>
        <v>#VALUE!</v>
      </c>
      <c r="CY54" t="e">
        <f>AND(DATA!I342,"AAAAAD//7mY=")</f>
        <v>#VALUE!</v>
      </c>
      <c r="CZ54" t="e">
        <f>AND(DATA!J342,"AAAAAD//7mc=")</f>
        <v>#VALUE!</v>
      </c>
      <c r="DA54" t="e">
        <f>AND(DATA!K342,"AAAAAD//7mg=")</f>
        <v>#VALUE!</v>
      </c>
      <c r="DB54" t="b">
        <f>AND(DATA!L342,"AAAAAD//7mk=")</f>
        <v>1</v>
      </c>
      <c r="DC54" t="b">
        <f>AND(DATA!M342,"AAAAAD//7mo=")</f>
        <v>1</v>
      </c>
      <c r="DD54" t="b">
        <f>AND(DATA!N342,"AAAAAD//7ms=")</f>
        <v>1</v>
      </c>
      <c r="DE54">
        <f>IF(DATA!343:343,"AAAAAD//7mw=",0)</f>
        <v>0</v>
      </c>
      <c r="DF54" t="e">
        <f>AND(DATA!A343,"AAAAAD//7m0=")</f>
        <v>#VALUE!</v>
      </c>
      <c r="DG54" t="e">
        <f>AND(DATA!B343,"AAAAAD//7m4=")</f>
        <v>#VALUE!</v>
      </c>
      <c r="DH54" t="e">
        <f>AND(DATA!C343,"AAAAAD//7m8=")</f>
        <v>#VALUE!</v>
      </c>
      <c r="DI54" t="e">
        <f>AND(DATA!D343,"AAAAAD//7nA=")</f>
        <v>#VALUE!</v>
      </c>
      <c r="DJ54" t="e">
        <f>AND(DATA!E343,"AAAAAD//7nE=")</f>
        <v>#VALUE!</v>
      </c>
      <c r="DK54" t="e">
        <f>AND(DATA!F343,"AAAAAD//7nI=")</f>
        <v>#VALUE!</v>
      </c>
      <c r="DL54" t="e">
        <f>AND(DATA!G343,"AAAAAD//7nM=")</f>
        <v>#VALUE!</v>
      </c>
      <c r="DM54" t="e">
        <f>AND(DATA!H343,"AAAAAD//7nQ=")</f>
        <v>#VALUE!</v>
      </c>
      <c r="DN54" t="e">
        <f>AND(DATA!I343,"AAAAAD//7nU=")</f>
        <v>#VALUE!</v>
      </c>
      <c r="DO54" t="e">
        <f>AND(DATA!J343,"AAAAAD//7nY=")</f>
        <v>#VALUE!</v>
      </c>
      <c r="DP54" t="e">
        <f>AND(DATA!K343,"AAAAAD//7nc=")</f>
        <v>#VALUE!</v>
      </c>
      <c r="DQ54" t="b">
        <f>AND(DATA!L343,"AAAAAD//7ng=")</f>
        <v>1</v>
      </c>
      <c r="DR54" t="b">
        <f>AND(DATA!M343,"AAAAAD//7nk=")</f>
        <v>1</v>
      </c>
      <c r="DS54" t="b">
        <f>AND(DATA!N343,"AAAAAD//7no=")</f>
        <v>1</v>
      </c>
      <c r="DT54">
        <f>IF(DATA!344:344,"AAAAAD//7ns=",0)</f>
        <v>0</v>
      </c>
      <c r="DU54" t="e">
        <f>AND(DATA!A344,"AAAAAD//7nw=")</f>
        <v>#VALUE!</v>
      </c>
      <c r="DV54" t="e">
        <f>AND(DATA!B344,"AAAAAD//7n0=")</f>
        <v>#VALUE!</v>
      </c>
      <c r="DW54" t="e">
        <f>AND(DATA!C344,"AAAAAD//7n4=")</f>
        <v>#VALUE!</v>
      </c>
      <c r="DX54" t="e">
        <f>AND(DATA!D344,"AAAAAD//7n8=")</f>
        <v>#VALUE!</v>
      </c>
      <c r="DY54" t="e">
        <f>AND(DATA!E344,"AAAAAD//7oA=")</f>
        <v>#VALUE!</v>
      </c>
      <c r="DZ54" t="e">
        <f>AND(DATA!F344,"AAAAAD//7oE=")</f>
        <v>#VALUE!</v>
      </c>
      <c r="EA54" t="e">
        <f>AND(DATA!G344,"AAAAAD//7oI=")</f>
        <v>#VALUE!</v>
      </c>
      <c r="EB54" t="e">
        <f>AND(DATA!H344,"AAAAAD//7oM=")</f>
        <v>#VALUE!</v>
      </c>
      <c r="EC54" t="e">
        <f>AND(DATA!I344,"AAAAAD//7oQ=")</f>
        <v>#VALUE!</v>
      </c>
      <c r="ED54" t="e">
        <f>AND(DATA!J344,"AAAAAD//7oU=")</f>
        <v>#VALUE!</v>
      </c>
      <c r="EE54" t="e">
        <f>AND(DATA!K344,"AAAAAD//7oY=")</f>
        <v>#VALUE!</v>
      </c>
      <c r="EF54" t="b">
        <f>AND(DATA!L344,"AAAAAD//7oc=")</f>
        <v>1</v>
      </c>
      <c r="EG54" t="b">
        <f>AND(DATA!M344,"AAAAAD//7og=")</f>
        <v>1</v>
      </c>
      <c r="EH54" t="b">
        <f>AND(DATA!N344,"AAAAAD//7ok=")</f>
        <v>1</v>
      </c>
      <c r="EI54">
        <f>IF(DATA!345:345,"AAAAAD//7oo=",0)</f>
        <v>0</v>
      </c>
      <c r="EJ54" t="e">
        <f>AND(DATA!A345,"AAAAAD//7os=")</f>
        <v>#VALUE!</v>
      </c>
      <c r="EK54" t="e">
        <f>AND(DATA!B345,"AAAAAD//7ow=")</f>
        <v>#VALUE!</v>
      </c>
      <c r="EL54" t="e">
        <f>AND(DATA!C345,"AAAAAD//7o0=")</f>
        <v>#VALUE!</v>
      </c>
      <c r="EM54" t="e">
        <f>AND(DATA!D345,"AAAAAD//7o4=")</f>
        <v>#VALUE!</v>
      </c>
      <c r="EN54" t="e">
        <f>AND(DATA!E345,"AAAAAD//7o8=")</f>
        <v>#VALUE!</v>
      </c>
      <c r="EO54" t="e">
        <f>AND(DATA!F345,"AAAAAD//7pA=")</f>
        <v>#VALUE!</v>
      </c>
      <c r="EP54" t="e">
        <f>AND(DATA!G345,"AAAAAD//7pE=")</f>
        <v>#VALUE!</v>
      </c>
      <c r="EQ54" t="e">
        <f>AND(DATA!H345,"AAAAAD//7pI=")</f>
        <v>#VALUE!</v>
      </c>
      <c r="ER54" t="e">
        <f>AND(DATA!I345,"AAAAAD//7pM=")</f>
        <v>#VALUE!</v>
      </c>
      <c r="ES54" t="e">
        <f>AND(DATA!J345,"AAAAAD//7pQ=")</f>
        <v>#VALUE!</v>
      </c>
      <c r="ET54" t="e">
        <f>AND(DATA!K345,"AAAAAD//7pU=")</f>
        <v>#VALUE!</v>
      </c>
      <c r="EU54" t="b">
        <f>AND(DATA!L345,"AAAAAD//7pY=")</f>
        <v>1</v>
      </c>
      <c r="EV54" t="b">
        <f>AND(DATA!M345,"AAAAAD//7pc=")</f>
        <v>1</v>
      </c>
      <c r="EW54" t="b">
        <f>AND(DATA!N345,"AAAAAD//7pg=")</f>
        <v>1</v>
      </c>
      <c r="EX54">
        <f>IF(DATA!346:346,"AAAAAD//7pk=",0)</f>
        <v>0</v>
      </c>
      <c r="EY54" t="e">
        <f>AND(DATA!A346,"AAAAAD//7po=")</f>
        <v>#VALUE!</v>
      </c>
      <c r="EZ54" t="e">
        <f>AND(DATA!B346,"AAAAAD//7ps=")</f>
        <v>#VALUE!</v>
      </c>
      <c r="FA54" t="e">
        <f>AND(DATA!C346,"AAAAAD//7pw=")</f>
        <v>#VALUE!</v>
      </c>
      <c r="FB54" t="e">
        <f>AND(DATA!D346,"AAAAAD//7p0=")</f>
        <v>#VALUE!</v>
      </c>
      <c r="FC54" t="e">
        <f>AND(DATA!E346,"AAAAAD//7p4=")</f>
        <v>#VALUE!</v>
      </c>
      <c r="FD54" t="e">
        <f>AND(DATA!F346,"AAAAAD//7p8=")</f>
        <v>#VALUE!</v>
      </c>
      <c r="FE54" t="e">
        <f>AND(DATA!G346,"AAAAAD//7qA=")</f>
        <v>#VALUE!</v>
      </c>
      <c r="FF54" t="e">
        <f>AND(DATA!H346,"AAAAAD//7qE=")</f>
        <v>#VALUE!</v>
      </c>
      <c r="FG54" t="e">
        <f>AND(DATA!I346,"AAAAAD//7qI=")</f>
        <v>#VALUE!</v>
      </c>
      <c r="FH54" t="e">
        <f>AND(DATA!J346,"AAAAAD//7qM=")</f>
        <v>#VALUE!</v>
      </c>
      <c r="FI54" t="e">
        <f>AND(DATA!K346,"AAAAAD//7qQ=")</f>
        <v>#VALUE!</v>
      </c>
      <c r="FJ54" t="b">
        <f>AND(DATA!L346,"AAAAAD//7qU=")</f>
        <v>1</v>
      </c>
      <c r="FK54" t="b">
        <f>AND(DATA!M346,"AAAAAD//7qY=")</f>
        <v>1</v>
      </c>
      <c r="FL54" t="b">
        <f>AND(DATA!N346,"AAAAAD//7qc=")</f>
        <v>1</v>
      </c>
      <c r="FM54">
        <f>IF(DATA!347:347,"AAAAAD//7qg=",0)</f>
        <v>0</v>
      </c>
      <c r="FN54" t="e">
        <f>AND(DATA!A347,"AAAAAD//7qk=")</f>
        <v>#VALUE!</v>
      </c>
      <c r="FO54" t="e">
        <f>AND(DATA!B347,"AAAAAD//7qo=")</f>
        <v>#VALUE!</v>
      </c>
      <c r="FP54" t="e">
        <f>AND(DATA!C347,"AAAAAD//7qs=")</f>
        <v>#VALUE!</v>
      </c>
      <c r="FQ54" t="e">
        <f>AND(DATA!D347,"AAAAAD//7qw=")</f>
        <v>#VALUE!</v>
      </c>
      <c r="FR54" t="e">
        <f>AND(DATA!E347,"AAAAAD//7q0=")</f>
        <v>#VALUE!</v>
      </c>
      <c r="FS54" t="e">
        <f>AND(DATA!F347,"AAAAAD//7q4=")</f>
        <v>#VALUE!</v>
      </c>
      <c r="FT54" t="e">
        <f>AND(DATA!G347,"AAAAAD//7q8=")</f>
        <v>#VALUE!</v>
      </c>
      <c r="FU54" t="e">
        <f>AND(DATA!H347,"AAAAAD//7rA=")</f>
        <v>#VALUE!</v>
      </c>
      <c r="FV54" t="e">
        <f>AND(DATA!I347,"AAAAAD//7rE=")</f>
        <v>#VALUE!</v>
      </c>
      <c r="FW54" t="e">
        <f>AND(DATA!J347,"AAAAAD//7rI=")</f>
        <v>#VALUE!</v>
      </c>
      <c r="FX54" t="e">
        <f>AND(DATA!K347,"AAAAAD//7rM=")</f>
        <v>#VALUE!</v>
      </c>
      <c r="FY54" t="b">
        <f>AND(DATA!L347,"AAAAAD//7rQ=")</f>
        <v>1</v>
      </c>
      <c r="FZ54" t="b">
        <f>AND(DATA!M347,"AAAAAD//7rU=")</f>
        <v>1</v>
      </c>
      <c r="GA54" t="b">
        <f>AND(DATA!N347,"AAAAAD//7rY=")</f>
        <v>1</v>
      </c>
      <c r="GB54">
        <f>IF(DATA!348:348,"AAAAAD//7rc=",0)</f>
        <v>0</v>
      </c>
      <c r="GC54" t="e">
        <f>AND(DATA!A348,"AAAAAD//7rg=")</f>
        <v>#VALUE!</v>
      </c>
      <c r="GD54" t="e">
        <f>AND(DATA!B348,"AAAAAD//7rk=")</f>
        <v>#VALUE!</v>
      </c>
      <c r="GE54" t="e">
        <f>AND(DATA!C348,"AAAAAD//7ro=")</f>
        <v>#VALUE!</v>
      </c>
      <c r="GF54" t="e">
        <f>AND(DATA!D348,"AAAAAD//7rs=")</f>
        <v>#VALUE!</v>
      </c>
      <c r="GG54" t="e">
        <f>AND(DATA!E348,"AAAAAD//7rw=")</f>
        <v>#VALUE!</v>
      </c>
      <c r="GH54" t="e">
        <f>AND(DATA!F348,"AAAAAD//7r0=")</f>
        <v>#VALUE!</v>
      </c>
      <c r="GI54" t="e">
        <f>AND(DATA!G348,"AAAAAD//7r4=")</f>
        <v>#VALUE!</v>
      </c>
      <c r="GJ54" t="e">
        <f>AND(DATA!H348,"AAAAAD//7r8=")</f>
        <v>#VALUE!</v>
      </c>
      <c r="GK54" t="e">
        <f>AND(DATA!I348,"AAAAAD//7sA=")</f>
        <v>#VALUE!</v>
      </c>
      <c r="GL54" t="e">
        <f>AND(DATA!J348,"AAAAAD//7sE=")</f>
        <v>#VALUE!</v>
      </c>
      <c r="GM54" t="e">
        <f>AND(DATA!K348,"AAAAAD//7sI=")</f>
        <v>#VALUE!</v>
      </c>
      <c r="GN54" t="b">
        <f>AND(DATA!L348,"AAAAAD//7sM=")</f>
        <v>1</v>
      </c>
      <c r="GO54" t="b">
        <f>AND(DATA!M348,"AAAAAD//7sQ=")</f>
        <v>1</v>
      </c>
      <c r="GP54" t="b">
        <f>AND(DATA!N348,"AAAAAD//7sU=")</f>
        <v>1</v>
      </c>
      <c r="GQ54">
        <f>IF(DATA!349:349,"AAAAAD//7sY=",0)</f>
        <v>0</v>
      </c>
      <c r="GR54" t="e">
        <f>AND(DATA!A349,"AAAAAD//7sc=")</f>
        <v>#VALUE!</v>
      </c>
      <c r="GS54" t="e">
        <f>AND(DATA!B349,"AAAAAD//7sg=")</f>
        <v>#VALUE!</v>
      </c>
      <c r="GT54" t="e">
        <f>AND(DATA!C349,"AAAAAD//7sk=")</f>
        <v>#VALUE!</v>
      </c>
      <c r="GU54" t="e">
        <f>AND(DATA!D349,"AAAAAD//7so=")</f>
        <v>#VALUE!</v>
      </c>
      <c r="GV54" t="e">
        <f>AND(DATA!E349,"AAAAAD//7ss=")</f>
        <v>#VALUE!</v>
      </c>
      <c r="GW54" t="e">
        <f>AND(DATA!F349,"AAAAAD//7sw=")</f>
        <v>#VALUE!</v>
      </c>
      <c r="GX54" t="e">
        <f>AND(DATA!G349,"AAAAAD//7s0=")</f>
        <v>#VALUE!</v>
      </c>
      <c r="GY54" t="e">
        <f>AND(DATA!H349,"AAAAAD//7s4=")</f>
        <v>#VALUE!</v>
      </c>
      <c r="GZ54" t="e">
        <f>AND(DATA!I349,"AAAAAD//7s8=")</f>
        <v>#VALUE!</v>
      </c>
      <c r="HA54" t="e">
        <f>AND(DATA!J349,"AAAAAD//7tA=")</f>
        <v>#VALUE!</v>
      </c>
      <c r="HB54" t="e">
        <f>AND(DATA!K349,"AAAAAD//7tE=")</f>
        <v>#VALUE!</v>
      </c>
      <c r="HC54" t="b">
        <f>AND(DATA!L349,"AAAAAD//7tI=")</f>
        <v>1</v>
      </c>
      <c r="HD54" t="b">
        <f>AND(DATA!M349,"AAAAAD//7tM=")</f>
        <v>1</v>
      </c>
      <c r="HE54" t="b">
        <f>AND(DATA!N349,"AAAAAD//7tQ=")</f>
        <v>1</v>
      </c>
      <c r="HF54">
        <f>IF(DATA!350:350,"AAAAAD//7tU=",0)</f>
        <v>0</v>
      </c>
      <c r="HG54" t="e">
        <f>AND(DATA!A350,"AAAAAD//7tY=")</f>
        <v>#VALUE!</v>
      </c>
      <c r="HH54" t="e">
        <f>AND(DATA!B350,"AAAAAD//7tc=")</f>
        <v>#VALUE!</v>
      </c>
      <c r="HI54" t="e">
        <f>AND(DATA!C350,"AAAAAD//7tg=")</f>
        <v>#VALUE!</v>
      </c>
      <c r="HJ54" t="e">
        <f>AND(DATA!D350,"AAAAAD//7tk=")</f>
        <v>#VALUE!</v>
      </c>
      <c r="HK54" t="e">
        <f>AND(DATA!E350,"AAAAAD//7to=")</f>
        <v>#VALUE!</v>
      </c>
      <c r="HL54" t="e">
        <f>AND(DATA!F350,"AAAAAD//7ts=")</f>
        <v>#VALUE!</v>
      </c>
      <c r="HM54" t="e">
        <f>AND(DATA!G350,"AAAAAD//7tw=")</f>
        <v>#VALUE!</v>
      </c>
      <c r="HN54" t="e">
        <f>AND(DATA!H350,"AAAAAD//7t0=")</f>
        <v>#VALUE!</v>
      </c>
      <c r="HO54" t="e">
        <f>AND(DATA!I350,"AAAAAD//7t4=")</f>
        <v>#VALUE!</v>
      </c>
      <c r="HP54" t="e">
        <f>AND(DATA!J350,"AAAAAD//7t8=")</f>
        <v>#VALUE!</v>
      </c>
      <c r="HQ54" t="e">
        <f>AND(DATA!K350,"AAAAAD//7uA=")</f>
        <v>#VALUE!</v>
      </c>
      <c r="HR54" t="b">
        <f>AND(DATA!L350,"AAAAAD//7uE=")</f>
        <v>1</v>
      </c>
      <c r="HS54" t="b">
        <f>AND(DATA!M350,"AAAAAD//7uI=")</f>
        <v>1</v>
      </c>
      <c r="HT54" t="b">
        <f>AND(DATA!N350,"AAAAAD//7uM=")</f>
        <v>1</v>
      </c>
      <c r="HU54">
        <f>IF(DATA!351:351,"AAAAAD//7uQ=",0)</f>
        <v>0</v>
      </c>
      <c r="HV54" t="e">
        <f>AND(DATA!A351,"AAAAAD//7uU=")</f>
        <v>#VALUE!</v>
      </c>
      <c r="HW54" t="e">
        <f>AND(DATA!B351,"AAAAAD//7uY=")</f>
        <v>#VALUE!</v>
      </c>
      <c r="HX54" t="e">
        <f>AND(DATA!C351,"AAAAAD//7uc=")</f>
        <v>#VALUE!</v>
      </c>
      <c r="HY54" t="e">
        <f>AND(DATA!D351,"AAAAAD//7ug=")</f>
        <v>#VALUE!</v>
      </c>
      <c r="HZ54" t="e">
        <f>AND(DATA!E351,"AAAAAD//7uk=")</f>
        <v>#VALUE!</v>
      </c>
      <c r="IA54" t="e">
        <f>AND(DATA!F351,"AAAAAD//7uo=")</f>
        <v>#VALUE!</v>
      </c>
      <c r="IB54" t="e">
        <f>AND(DATA!G351,"AAAAAD//7us=")</f>
        <v>#VALUE!</v>
      </c>
      <c r="IC54" t="e">
        <f>AND(DATA!H351,"AAAAAD//7uw=")</f>
        <v>#VALUE!</v>
      </c>
      <c r="ID54" t="e">
        <f>AND(DATA!I351,"AAAAAD//7u0=")</f>
        <v>#VALUE!</v>
      </c>
      <c r="IE54" t="e">
        <f>AND(DATA!J351,"AAAAAD//7u4=")</f>
        <v>#VALUE!</v>
      </c>
      <c r="IF54" t="e">
        <f>AND(DATA!K351,"AAAAAD//7u8=")</f>
        <v>#VALUE!</v>
      </c>
      <c r="IG54" t="b">
        <f>AND(DATA!L351,"AAAAAD//7vA=")</f>
        <v>1</v>
      </c>
      <c r="IH54" t="b">
        <f>AND(DATA!M351,"AAAAAD//7vE=")</f>
        <v>1</v>
      </c>
      <c r="II54" t="b">
        <f>AND(DATA!N351,"AAAAAD//7vI=")</f>
        <v>1</v>
      </c>
      <c r="IJ54">
        <f>IF(DATA!352:352,"AAAAAD//7vM=",0)</f>
        <v>0</v>
      </c>
      <c r="IK54" t="e">
        <f>AND(DATA!A352,"AAAAAD//7vQ=")</f>
        <v>#VALUE!</v>
      </c>
      <c r="IL54" t="e">
        <f>AND(DATA!B352,"AAAAAD//7vU=")</f>
        <v>#VALUE!</v>
      </c>
      <c r="IM54" t="e">
        <f>AND(DATA!C352,"AAAAAD//7vY=")</f>
        <v>#VALUE!</v>
      </c>
      <c r="IN54" t="e">
        <f>AND(DATA!D352,"AAAAAD//7vc=")</f>
        <v>#VALUE!</v>
      </c>
      <c r="IO54" t="e">
        <f>AND(DATA!E352,"AAAAAD//7vg=")</f>
        <v>#VALUE!</v>
      </c>
      <c r="IP54" t="e">
        <f>AND(DATA!F352,"AAAAAD//7vk=")</f>
        <v>#VALUE!</v>
      </c>
      <c r="IQ54" t="e">
        <f>AND(DATA!G352,"AAAAAD//7vo=")</f>
        <v>#VALUE!</v>
      </c>
      <c r="IR54" t="e">
        <f>AND(DATA!H352,"AAAAAD//7vs=")</f>
        <v>#VALUE!</v>
      </c>
      <c r="IS54" t="e">
        <f>AND(DATA!I352,"AAAAAD//7vw=")</f>
        <v>#VALUE!</v>
      </c>
      <c r="IT54" t="e">
        <f>AND(DATA!J352,"AAAAAD//7v0=")</f>
        <v>#VALUE!</v>
      </c>
      <c r="IU54" t="e">
        <f>AND(DATA!K352,"AAAAAD//7v4=")</f>
        <v>#VALUE!</v>
      </c>
      <c r="IV54" t="b">
        <f>AND(DATA!L352,"AAAAAD//7v8=")</f>
        <v>1</v>
      </c>
    </row>
    <row r="55" spans="1:256">
      <c r="A55" t="b">
        <f>AND(DATA!M352,"AAAAAFx9PQA=")</f>
        <v>1</v>
      </c>
      <c r="B55" t="b">
        <f>AND(DATA!N352,"AAAAAFx9PQE=")</f>
        <v>1</v>
      </c>
      <c r="C55">
        <f>IF(DATA!353:353,"AAAAAFx9PQI=",0)</f>
        <v>0</v>
      </c>
      <c r="D55" t="e">
        <f>AND(DATA!A353,"AAAAAFx9PQM=")</f>
        <v>#VALUE!</v>
      </c>
      <c r="E55" t="e">
        <f>AND(DATA!B353,"AAAAAFx9PQQ=")</f>
        <v>#VALUE!</v>
      </c>
      <c r="F55" t="e">
        <f>AND(DATA!C353,"AAAAAFx9PQU=")</f>
        <v>#VALUE!</v>
      </c>
      <c r="G55" t="e">
        <f>AND(DATA!D353,"AAAAAFx9PQY=")</f>
        <v>#VALUE!</v>
      </c>
      <c r="H55" t="e">
        <f>AND(DATA!E353,"AAAAAFx9PQc=")</f>
        <v>#VALUE!</v>
      </c>
      <c r="I55" t="e">
        <f>AND(DATA!F353,"AAAAAFx9PQg=")</f>
        <v>#VALUE!</v>
      </c>
      <c r="J55" t="e">
        <f>AND(DATA!G353,"AAAAAFx9PQk=")</f>
        <v>#VALUE!</v>
      </c>
      <c r="K55" t="e">
        <f>AND(DATA!H353,"AAAAAFx9PQo=")</f>
        <v>#VALUE!</v>
      </c>
      <c r="L55" t="e">
        <f>AND(DATA!I353,"AAAAAFx9PQs=")</f>
        <v>#VALUE!</v>
      </c>
      <c r="M55" t="e">
        <f>AND(DATA!J353,"AAAAAFx9PQw=")</f>
        <v>#VALUE!</v>
      </c>
      <c r="N55" t="e">
        <f>AND(DATA!K353,"AAAAAFx9PQ0=")</f>
        <v>#VALUE!</v>
      </c>
      <c r="O55" t="b">
        <f>AND(DATA!L353,"AAAAAFx9PQ4=")</f>
        <v>1</v>
      </c>
      <c r="P55" t="b">
        <f>AND(DATA!M353,"AAAAAFx9PQ8=")</f>
        <v>1</v>
      </c>
      <c r="Q55" t="b">
        <f>AND(DATA!N353,"AAAAAFx9PRA=")</f>
        <v>1</v>
      </c>
      <c r="R55">
        <f>IF(DATA!354:354,"AAAAAFx9PRE=",0)</f>
        <v>0</v>
      </c>
      <c r="S55" t="e">
        <f>AND(DATA!A354,"AAAAAFx9PRI=")</f>
        <v>#VALUE!</v>
      </c>
      <c r="T55" t="e">
        <f>AND(DATA!B354,"AAAAAFx9PRM=")</f>
        <v>#VALUE!</v>
      </c>
      <c r="U55" t="e">
        <f>AND(DATA!C354,"AAAAAFx9PRQ=")</f>
        <v>#VALUE!</v>
      </c>
      <c r="V55" t="e">
        <f>AND(DATA!D354,"AAAAAFx9PRU=")</f>
        <v>#VALUE!</v>
      </c>
      <c r="W55" t="e">
        <f>AND(DATA!E354,"AAAAAFx9PRY=")</f>
        <v>#VALUE!</v>
      </c>
      <c r="X55" t="e">
        <f>AND(DATA!F354,"AAAAAFx9PRc=")</f>
        <v>#VALUE!</v>
      </c>
      <c r="Y55" t="e">
        <f>AND(DATA!G354,"AAAAAFx9PRg=")</f>
        <v>#VALUE!</v>
      </c>
      <c r="Z55" t="e">
        <f>AND(DATA!H354,"AAAAAFx9PRk=")</f>
        <v>#VALUE!</v>
      </c>
      <c r="AA55" t="e">
        <f>AND(DATA!I354,"AAAAAFx9PRo=")</f>
        <v>#VALUE!</v>
      </c>
      <c r="AB55" t="e">
        <f>AND(DATA!J354,"AAAAAFx9PRs=")</f>
        <v>#VALUE!</v>
      </c>
      <c r="AC55" t="e">
        <f>AND(DATA!K354,"AAAAAFx9PRw=")</f>
        <v>#VALUE!</v>
      </c>
      <c r="AD55" t="b">
        <f>AND(DATA!L354,"AAAAAFx9PR0=")</f>
        <v>1</v>
      </c>
      <c r="AE55" t="b">
        <f>AND(DATA!M354,"AAAAAFx9PR4=")</f>
        <v>1</v>
      </c>
      <c r="AF55" t="b">
        <f>AND(DATA!N354,"AAAAAFx9PR8=")</f>
        <v>1</v>
      </c>
      <c r="AG55">
        <f>IF(DATA!355:355,"AAAAAFx9PSA=",0)</f>
        <v>0</v>
      </c>
      <c r="AH55" t="e">
        <f>AND(DATA!A355,"AAAAAFx9PSE=")</f>
        <v>#VALUE!</v>
      </c>
      <c r="AI55" t="e">
        <f>AND(DATA!B355,"AAAAAFx9PSI=")</f>
        <v>#VALUE!</v>
      </c>
      <c r="AJ55" t="e">
        <f>AND(DATA!C355,"AAAAAFx9PSM=")</f>
        <v>#VALUE!</v>
      </c>
      <c r="AK55" t="e">
        <f>AND(DATA!D355,"AAAAAFx9PSQ=")</f>
        <v>#VALUE!</v>
      </c>
      <c r="AL55" t="e">
        <f>AND(DATA!E355,"AAAAAFx9PSU=")</f>
        <v>#VALUE!</v>
      </c>
      <c r="AM55" t="e">
        <f>AND(DATA!F355,"AAAAAFx9PSY=")</f>
        <v>#VALUE!</v>
      </c>
      <c r="AN55" t="e">
        <f>AND(DATA!G355,"AAAAAFx9PSc=")</f>
        <v>#VALUE!</v>
      </c>
      <c r="AO55" t="e">
        <f>AND(DATA!H355,"AAAAAFx9PSg=")</f>
        <v>#VALUE!</v>
      </c>
      <c r="AP55" t="e">
        <f>AND(DATA!I355,"AAAAAFx9PSk=")</f>
        <v>#VALUE!</v>
      </c>
      <c r="AQ55" t="e">
        <f>AND(DATA!J355,"AAAAAFx9PSo=")</f>
        <v>#VALUE!</v>
      </c>
      <c r="AR55" t="e">
        <f>AND(DATA!K355,"AAAAAFx9PSs=")</f>
        <v>#VALUE!</v>
      </c>
      <c r="AS55" t="b">
        <f>AND(DATA!L355,"AAAAAFx9PSw=")</f>
        <v>1</v>
      </c>
      <c r="AT55" t="b">
        <f>AND(DATA!M355,"AAAAAFx9PS0=")</f>
        <v>1</v>
      </c>
      <c r="AU55" t="b">
        <f>AND(DATA!N355,"AAAAAFx9PS4=")</f>
        <v>1</v>
      </c>
      <c r="AV55">
        <f>IF(DATA!356:356,"AAAAAFx9PS8=",0)</f>
        <v>0</v>
      </c>
      <c r="AW55" t="e">
        <f>AND(DATA!A356,"AAAAAFx9PTA=")</f>
        <v>#VALUE!</v>
      </c>
      <c r="AX55" t="e">
        <f>AND(DATA!B356,"AAAAAFx9PTE=")</f>
        <v>#VALUE!</v>
      </c>
      <c r="AY55" t="e">
        <f>AND(DATA!C356,"AAAAAFx9PTI=")</f>
        <v>#VALUE!</v>
      </c>
      <c r="AZ55" t="e">
        <f>AND(DATA!D356,"AAAAAFx9PTM=")</f>
        <v>#VALUE!</v>
      </c>
      <c r="BA55" t="e">
        <f>AND(DATA!E356,"AAAAAFx9PTQ=")</f>
        <v>#VALUE!</v>
      </c>
      <c r="BB55" t="e">
        <f>AND(DATA!F356,"AAAAAFx9PTU=")</f>
        <v>#VALUE!</v>
      </c>
      <c r="BC55" t="e">
        <f>AND(DATA!G356,"AAAAAFx9PTY=")</f>
        <v>#VALUE!</v>
      </c>
      <c r="BD55" t="e">
        <f>AND(DATA!H356,"AAAAAFx9PTc=")</f>
        <v>#VALUE!</v>
      </c>
      <c r="BE55" t="e">
        <f>AND(DATA!I356,"AAAAAFx9PTg=")</f>
        <v>#VALUE!</v>
      </c>
      <c r="BF55" t="e">
        <f>AND(DATA!J356,"AAAAAFx9PTk=")</f>
        <v>#VALUE!</v>
      </c>
      <c r="BG55" t="e">
        <f>AND(DATA!K356,"AAAAAFx9PTo=")</f>
        <v>#VALUE!</v>
      </c>
      <c r="BH55" t="b">
        <f>AND(DATA!L356,"AAAAAFx9PTs=")</f>
        <v>1</v>
      </c>
      <c r="BI55" t="b">
        <f>AND(DATA!M356,"AAAAAFx9PTw=")</f>
        <v>1</v>
      </c>
      <c r="BJ55" t="b">
        <f>AND(DATA!N356,"AAAAAFx9PT0=")</f>
        <v>1</v>
      </c>
      <c r="BK55">
        <f>IF(DATA!357:357,"AAAAAFx9PT4=",0)</f>
        <v>0</v>
      </c>
      <c r="BL55" t="e">
        <f>AND(DATA!A357,"AAAAAFx9PT8=")</f>
        <v>#VALUE!</v>
      </c>
      <c r="BM55" t="e">
        <f>AND(DATA!B357,"AAAAAFx9PUA=")</f>
        <v>#VALUE!</v>
      </c>
      <c r="BN55" t="e">
        <f>AND(DATA!C357,"AAAAAFx9PUE=")</f>
        <v>#VALUE!</v>
      </c>
      <c r="BO55" t="e">
        <f>AND(DATA!D357,"AAAAAFx9PUI=")</f>
        <v>#VALUE!</v>
      </c>
      <c r="BP55" t="e">
        <f>AND(DATA!E357,"AAAAAFx9PUM=")</f>
        <v>#VALUE!</v>
      </c>
      <c r="BQ55" t="e">
        <f>AND(DATA!F357,"AAAAAFx9PUQ=")</f>
        <v>#VALUE!</v>
      </c>
      <c r="BR55" t="e">
        <f>AND(DATA!G357,"AAAAAFx9PUU=")</f>
        <v>#VALUE!</v>
      </c>
      <c r="BS55" t="e">
        <f>AND(DATA!H357,"AAAAAFx9PUY=")</f>
        <v>#VALUE!</v>
      </c>
      <c r="BT55" t="e">
        <f>AND(DATA!I357,"AAAAAFx9PUc=")</f>
        <v>#VALUE!</v>
      </c>
      <c r="BU55" t="e">
        <f>AND(DATA!J357,"AAAAAFx9PUg=")</f>
        <v>#VALUE!</v>
      </c>
      <c r="BV55" t="e">
        <f>AND(DATA!K357,"AAAAAFx9PUk=")</f>
        <v>#VALUE!</v>
      </c>
      <c r="BW55" t="b">
        <f>AND(DATA!L357,"AAAAAFx9PUo=")</f>
        <v>1</v>
      </c>
      <c r="BX55" t="b">
        <f>AND(DATA!M357,"AAAAAFx9PUs=")</f>
        <v>1</v>
      </c>
      <c r="BY55" t="b">
        <f>AND(DATA!N357,"AAAAAFx9PUw=")</f>
        <v>1</v>
      </c>
      <c r="BZ55">
        <f>IF(DATA!358:358,"AAAAAFx9PU0=",0)</f>
        <v>0</v>
      </c>
      <c r="CA55" t="e">
        <f>AND(DATA!A358,"AAAAAFx9PU4=")</f>
        <v>#VALUE!</v>
      </c>
      <c r="CB55" t="e">
        <f>AND(DATA!B358,"AAAAAFx9PU8=")</f>
        <v>#VALUE!</v>
      </c>
      <c r="CC55" t="e">
        <f>AND(DATA!C358,"AAAAAFx9PVA=")</f>
        <v>#VALUE!</v>
      </c>
      <c r="CD55" t="e">
        <f>AND(DATA!D358,"AAAAAFx9PVE=")</f>
        <v>#VALUE!</v>
      </c>
      <c r="CE55" t="e">
        <f>AND(DATA!E358,"AAAAAFx9PVI=")</f>
        <v>#VALUE!</v>
      </c>
      <c r="CF55" t="e">
        <f>AND(DATA!F358,"AAAAAFx9PVM=")</f>
        <v>#VALUE!</v>
      </c>
      <c r="CG55" t="e">
        <f>AND(DATA!G358,"AAAAAFx9PVQ=")</f>
        <v>#VALUE!</v>
      </c>
      <c r="CH55" t="e">
        <f>AND(DATA!H358,"AAAAAFx9PVU=")</f>
        <v>#VALUE!</v>
      </c>
      <c r="CI55" t="e">
        <f>AND(DATA!I358,"AAAAAFx9PVY=")</f>
        <v>#VALUE!</v>
      </c>
      <c r="CJ55" t="e">
        <f>AND(DATA!J358,"AAAAAFx9PVc=")</f>
        <v>#VALUE!</v>
      </c>
      <c r="CK55" t="e">
        <f>AND(DATA!K358,"AAAAAFx9PVg=")</f>
        <v>#VALUE!</v>
      </c>
      <c r="CL55" t="b">
        <f>AND(DATA!L358,"AAAAAFx9PVk=")</f>
        <v>1</v>
      </c>
      <c r="CM55" t="b">
        <f>AND(DATA!M358,"AAAAAFx9PVo=")</f>
        <v>1</v>
      </c>
      <c r="CN55" t="b">
        <f>AND(DATA!N358,"AAAAAFx9PVs=")</f>
        <v>1</v>
      </c>
      <c r="CO55">
        <f>IF(DATA!359:359,"AAAAAFx9PVw=",0)</f>
        <v>0</v>
      </c>
      <c r="CP55" t="e">
        <f>AND(DATA!A359,"AAAAAFx9PV0=")</f>
        <v>#VALUE!</v>
      </c>
      <c r="CQ55" t="e">
        <f>AND(DATA!B359,"AAAAAFx9PV4=")</f>
        <v>#VALUE!</v>
      </c>
      <c r="CR55" t="e">
        <f>AND(DATA!C359,"AAAAAFx9PV8=")</f>
        <v>#VALUE!</v>
      </c>
      <c r="CS55" t="e">
        <f>AND(DATA!D359,"AAAAAFx9PWA=")</f>
        <v>#VALUE!</v>
      </c>
      <c r="CT55" t="e">
        <f>AND(DATA!E359,"AAAAAFx9PWE=")</f>
        <v>#VALUE!</v>
      </c>
      <c r="CU55" t="e">
        <f>AND(DATA!F359,"AAAAAFx9PWI=")</f>
        <v>#VALUE!</v>
      </c>
      <c r="CV55" t="e">
        <f>AND(DATA!G359,"AAAAAFx9PWM=")</f>
        <v>#VALUE!</v>
      </c>
      <c r="CW55" t="e">
        <f>AND(DATA!H359,"AAAAAFx9PWQ=")</f>
        <v>#VALUE!</v>
      </c>
      <c r="CX55" t="e">
        <f>AND(DATA!I359,"AAAAAFx9PWU=")</f>
        <v>#VALUE!</v>
      </c>
      <c r="CY55" t="e">
        <f>AND(DATA!J359,"AAAAAFx9PWY=")</f>
        <v>#VALUE!</v>
      </c>
      <c r="CZ55" t="e">
        <f>AND(DATA!K359,"AAAAAFx9PWc=")</f>
        <v>#VALUE!</v>
      </c>
      <c r="DA55" t="b">
        <f>AND(DATA!L359,"AAAAAFx9PWg=")</f>
        <v>1</v>
      </c>
      <c r="DB55" t="b">
        <f>AND(DATA!M359,"AAAAAFx9PWk=")</f>
        <v>1</v>
      </c>
      <c r="DC55" t="b">
        <f>AND(DATA!N359,"AAAAAFx9PWo=")</f>
        <v>1</v>
      </c>
      <c r="DD55">
        <f>IF(DATA!360:360,"AAAAAFx9PWs=",0)</f>
        <v>0</v>
      </c>
      <c r="DE55" t="e">
        <f>AND(DATA!A360,"AAAAAFx9PWw=")</f>
        <v>#VALUE!</v>
      </c>
      <c r="DF55" t="e">
        <f>AND(DATA!B360,"AAAAAFx9PW0=")</f>
        <v>#VALUE!</v>
      </c>
      <c r="DG55" t="e">
        <f>AND(DATA!C360,"AAAAAFx9PW4=")</f>
        <v>#VALUE!</v>
      </c>
      <c r="DH55" t="e">
        <f>AND(DATA!D360,"AAAAAFx9PW8=")</f>
        <v>#VALUE!</v>
      </c>
      <c r="DI55" t="e">
        <f>AND(DATA!E360,"AAAAAFx9PXA=")</f>
        <v>#VALUE!</v>
      </c>
      <c r="DJ55" t="e">
        <f>AND(DATA!F360,"AAAAAFx9PXE=")</f>
        <v>#VALUE!</v>
      </c>
      <c r="DK55" t="e">
        <f>AND(DATA!G360,"AAAAAFx9PXI=")</f>
        <v>#VALUE!</v>
      </c>
      <c r="DL55" t="e">
        <f>AND(DATA!H360,"AAAAAFx9PXM=")</f>
        <v>#VALUE!</v>
      </c>
      <c r="DM55" t="e">
        <f>AND(DATA!I360,"AAAAAFx9PXQ=")</f>
        <v>#VALUE!</v>
      </c>
      <c r="DN55" t="e">
        <f>AND(DATA!J360,"AAAAAFx9PXU=")</f>
        <v>#VALUE!</v>
      </c>
      <c r="DO55" t="e">
        <f>AND(DATA!K360,"AAAAAFx9PXY=")</f>
        <v>#VALUE!</v>
      </c>
      <c r="DP55" t="b">
        <f>AND(DATA!L360,"AAAAAFx9PXc=")</f>
        <v>1</v>
      </c>
      <c r="DQ55" t="b">
        <f>AND(DATA!M360,"AAAAAFx9PXg=")</f>
        <v>1</v>
      </c>
      <c r="DR55" t="b">
        <f>AND(DATA!N360,"AAAAAFx9PXk=")</f>
        <v>1</v>
      </c>
      <c r="DS55">
        <f>IF(DATA!361:361,"AAAAAFx9PXo=",0)</f>
        <v>0</v>
      </c>
      <c r="DT55" t="e">
        <f>AND(DATA!A361,"AAAAAFx9PXs=")</f>
        <v>#VALUE!</v>
      </c>
      <c r="DU55" t="e">
        <f>AND(DATA!B361,"AAAAAFx9PXw=")</f>
        <v>#VALUE!</v>
      </c>
      <c r="DV55" t="e">
        <f>AND(DATA!C361,"AAAAAFx9PX0=")</f>
        <v>#VALUE!</v>
      </c>
      <c r="DW55" t="e">
        <f>AND(DATA!D361,"AAAAAFx9PX4=")</f>
        <v>#VALUE!</v>
      </c>
      <c r="DX55" t="e">
        <f>AND(DATA!E361,"AAAAAFx9PX8=")</f>
        <v>#VALUE!</v>
      </c>
      <c r="DY55" t="e">
        <f>AND(DATA!F361,"AAAAAFx9PYA=")</f>
        <v>#VALUE!</v>
      </c>
      <c r="DZ55" t="e">
        <f>AND(DATA!G361,"AAAAAFx9PYE=")</f>
        <v>#VALUE!</v>
      </c>
      <c r="EA55" t="e">
        <f>AND(DATA!H361,"AAAAAFx9PYI=")</f>
        <v>#VALUE!</v>
      </c>
      <c r="EB55" t="e">
        <f>AND(DATA!I361,"AAAAAFx9PYM=")</f>
        <v>#VALUE!</v>
      </c>
      <c r="EC55" t="e">
        <f>AND(DATA!J361,"AAAAAFx9PYQ=")</f>
        <v>#VALUE!</v>
      </c>
      <c r="ED55" t="e">
        <f>AND(DATA!K361,"AAAAAFx9PYU=")</f>
        <v>#VALUE!</v>
      </c>
      <c r="EE55" t="b">
        <f>AND(DATA!L361,"AAAAAFx9PYY=")</f>
        <v>1</v>
      </c>
      <c r="EF55" t="b">
        <f>AND(DATA!M361,"AAAAAFx9PYc=")</f>
        <v>1</v>
      </c>
      <c r="EG55" t="b">
        <f>AND(DATA!N361,"AAAAAFx9PYg=")</f>
        <v>1</v>
      </c>
      <c r="EH55">
        <f>IF(DATA!362:362,"AAAAAFx9PYk=",0)</f>
        <v>0</v>
      </c>
      <c r="EI55" t="e">
        <f>AND(DATA!A362,"AAAAAFx9PYo=")</f>
        <v>#VALUE!</v>
      </c>
      <c r="EJ55" t="e">
        <f>AND(DATA!B362,"AAAAAFx9PYs=")</f>
        <v>#VALUE!</v>
      </c>
      <c r="EK55" t="e">
        <f>AND(DATA!C362,"AAAAAFx9PYw=")</f>
        <v>#VALUE!</v>
      </c>
      <c r="EL55" t="e">
        <f>AND(DATA!D362,"AAAAAFx9PY0=")</f>
        <v>#VALUE!</v>
      </c>
      <c r="EM55" t="e">
        <f>AND(DATA!E362,"AAAAAFx9PY4=")</f>
        <v>#VALUE!</v>
      </c>
      <c r="EN55" t="e">
        <f>AND(DATA!F362,"AAAAAFx9PY8=")</f>
        <v>#VALUE!</v>
      </c>
      <c r="EO55" t="e">
        <f>AND(DATA!G362,"AAAAAFx9PZA=")</f>
        <v>#VALUE!</v>
      </c>
      <c r="EP55" t="e">
        <f>AND(DATA!H362,"AAAAAFx9PZE=")</f>
        <v>#VALUE!</v>
      </c>
      <c r="EQ55" t="e">
        <f>AND(DATA!I362,"AAAAAFx9PZI=")</f>
        <v>#VALUE!</v>
      </c>
      <c r="ER55" t="e">
        <f>AND(DATA!J362,"AAAAAFx9PZM=")</f>
        <v>#VALUE!</v>
      </c>
      <c r="ES55" t="e">
        <f>AND(DATA!K362,"AAAAAFx9PZQ=")</f>
        <v>#VALUE!</v>
      </c>
      <c r="ET55" t="b">
        <f>AND(DATA!L362,"AAAAAFx9PZU=")</f>
        <v>1</v>
      </c>
      <c r="EU55" t="b">
        <f>AND(DATA!M362,"AAAAAFx9PZY=")</f>
        <v>1</v>
      </c>
      <c r="EV55" t="b">
        <f>AND(DATA!N362,"AAAAAFx9PZc=")</f>
        <v>1</v>
      </c>
      <c r="EW55">
        <f>IF(DATA!363:363,"AAAAAFx9PZg=",0)</f>
        <v>0</v>
      </c>
      <c r="EX55" t="e">
        <f>AND(DATA!A363,"AAAAAFx9PZk=")</f>
        <v>#VALUE!</v>
      </c>
      <c r="EY55" t="e">
        <f>AND(DATA!B363,"AAAAAFx9PZo=")</f>
        <v>#VALUE!</v>
      </c>
      <c r="EZ55" t="e">
        <f>AND(DATA!C363,"AAAAAFx9PZs=")</f>
        <v>#VALUE!</v>
      </c>
      <c r="FA55" t="e">
        <f>AND(DATA!D363,"AAAAAFx9PZw=")</f>
        <v>#VALUE!</v>
      </c>
      <c r="FB55" t="e">
        <f>AND(DATA!E363,"AAAAAFx9PZ0=")</f>
        <v>#VALUE!</v>
      </c>
      <c r="FC55" t="e">
        <f>AND(DATA!F363,"AAAAAFx9PZ4=")</f>
        <v>#VALUE!</v>
      </c>
      <c r="FD55" t="e">
        <f>AND(DATA!G363,"AAAAAFx9PZ8=")</f>
        <v>#VALUE!</v>
      </c>
      <c r="FE55" t="e">
        <f>AND(DATA!H363,"AAAAAFx9PaA=")</f>
        <v>#VALUE!</v>
      </c>
      <c r="FF55" t="e">
        <f>AND(DATA!I363,"AAAAAFx9PaE=")</f>
        <v>#VALUE!</v>
      </c>
      <c r="FG55" t="e">
        <f>AND(DATA!J363,"AAAAAFx9PaI=")</f>
        <v>#VALUE!</v>
      </c>
      <c r="FH55" t="e">
        <f>AND(DATA!K363,"AAAAAFx9PaM=")</f>
        <v>#VALUE!</v>
      </c>
      <c r="FI55" t="b">
        <f>AND(DATA!L363,"AAAAAFx9PaQ=")</f>
        <v>1</v>
      </c>
      <c r="FJ55" t="b">
        <f>AND(DATA!M363,"AAAAAFx9PaU=")</f>
        <v>1</v>
      </c>
      <c r="FK55" t="b">
        <f>AND(DATA!N363,"AAAAAFx9PaY=")</f>
        <v>1</v>
      </c>
      <c r="FL55">
        <f>IF(DATA!364:364,"AAAAAFx9Pac=",0)</f>
        <v>0</v>
      </c>
      <c r="FM55" t="e">
        <f>AND(DATA!A364,"AAAAAFx9Pag=")</f>
        <v>#VALUE!</v>
      </c>
      <c r="FN55" t="e">
        <f>AND(DATA!B364,"AAAAAFx9Pak=")</f>
        <v>#VALUE!</v>
      </c>
      <c r="FO55" t="e">
        <f>AND(DATA!C364,"AAAAAFx9Pao=")</f>
        <v>#VALUE!</v>
      </c>
      <c r="FP55" t="e">
        <f>AND(DATA!D364,"AAAAAFx9Pas=")</f>
        <v>#VALUE!</v>
      </c>
      <c r="FQ55" t="e">
        <f>AND(DATA!E364,"AAAAAFx9Paw=")</f>
        <v>#VALUE!</v>
      </c>
      <c r="FR55" t="e">
        <f>AND(DATA!F364,"AAAAAFx9Pa0=")</f>
        <v>#VALUE!</v>
      </c>
      <c r="FS55" t="e">
        <f>AND(DATA!G364,"AAAAAFx9Pa4=")</f>
        <v>#VALUE!</v>
      </c>
      <c r="FT55" t="e">
        <f>AND(DATA!H364,"AAAAAFx9Pa8=")</f>
        <v>#VALUE!</v>
      </c>
      <c r="FU55" t="e">
        <f>AND(DATA!I364,"AAAAAFx9PbA=")</f>
        <v>#VALUE!</v>
      </c>
      <c r="FV55" t="e">
        <f>AND(DATA!J364,"AAAAAFx9PbE=")</f>
        <v>#VALUE!</v>
      </c>
      <c r="FW55" t="e">
        <f>AND(DATA!K364,"AAAAAFx9PbI=")</f>
        <v>#VALUE!</v>
      </c>
      <c r="FX55" t="b">
        <f>AND(DATA!L364,"AAAAAFx9PbM=")</f>
        <v>1</v>
      </c>
      <c r="FY55" t="b">
        <f>AND(DATA!M364,"AAAAAFx9PbQ=")</f>
        <v>1</v>
      </c>
      <c r="FZ55" t="b">
        <f>AND(DATA!N364,"AAAAAFx9PbU=")</f>
        <v>1</v>
      </c>
      <c r="GA55">
        <f>IF(DATA!365:365,"AAAAAFx9PbY=",0)</f>
        <v>0</v>
      </c>
      <c r="GB55" t="e">
        <f>AND(DATA!A365,"AAAAAFx9Pbc=")</f>
        <v>#VALUE!</v>
      </c>
      <c r="GC55" t="e">
        <f>AND(DATA!B365,"AAAAAFx9Pbg=")</f>
        <v>#VALUE!</v>
      </c>
      <c r="GD55" t="e">
        <f>AND(DATA!C365,"AAAAAFx9Pbk=")</f>
        <v>#VALUE!</v>
      </c>
      <c r="GE55" t="e">
        <f>AND(DATA!D365,"AAAAAFx9Pbo=")</f>
        <v>#VALUE!</v>
      </c>
      <c r="GF55" t="e">
        <f>AND(DATA!E365,"AAAAAFx9Pbs=")</f>
        <v>#VALUE!</v>
      </c>
      <c r="GG55" t="e">
        <f>AND(DATA!F365,"AAAAAFx9Pbw=")</f>
        <v>#VALUE!</v>
      </c>
      <c r="GH55" t="e">
        <f>AND(DATA!G365,"AAAAAFx9Pb0=")</f>
        <v>#VALUE!</v>
      </c>
      <c r="GI55" t="e">
        <f>AND(DATA!H365,"AAAAAFx9Pb4=")</f>
        <v>#VALUE!</v>
      </c>
      <c r="GJ55" t="e">
        <f>AND(DATA!I365,"AAAAAFx9Pb8=")</f>
        <v>#VALUE!</v>
      </c>
      <c r="GK55" t="e">
        <f>AND(DATA!J365,"AAAAAFx9PcA=")</f>
        <v>#VALUE!</v>
      </c>
      <c r="GL55" t="e">
        <f>AND(DATA!K365,"AAAAAFx9PcE=")</f>
        <v>#VALUE!</v>
      </c>
      <c r="GM55" t="b">
        <f>AND(DATA!L365,"AAAAAFx9PcI=")</f>
        <v>1</v>
      </c>
      <c r="GN55" t="b">
        <f>AND(DATA!M365,"AAAAAFx9PcM=")</f>
        <v>1</v>
      </c>
      <c r="GO55" t="b">
        <f>AND(DATA!N365,"AAAAAFx9PcQ=")</f>
        <v>1</v>
      </c>
      <c r="GP55">
        <f>IF(DATA!366:366,"AAAAAFx9PcU=",0)</f>
        <v>0</v>
      </c>
      <c r="GQ55" t="e">
        <f>AND(DATA!A366,"AAAAAFx9PcY=")</f>
        <v>#VALUE!</v>
      </c>
      <c r="GR55" t="e">
        <f>AND(DATA!B366,"AAAAAFx9Pcc=")</f>
        <v>#VALUE!</v>
      </c>
      <c r="GS55" t="e">
        <f>AND(DATA!C366,"AAAAAFx9Pcg=")</f>
        <v>#VALUE!</v>
      </c>
      <c r="GT55" t="e">
        <f>AND(DATA!D366,"AAAAAFx9Pck=")</f>
        <v>#VALUE!</v>
      </c>
      <c r="GU55" t="e">
        <f>AND(DATA!E366,"AAAAAFx9Pco=")</f>
        <v>#VALUE!</v>
      </c>
      <c r="GV55" t="e">
        <f>AND(DATA!F366,"AAAAAFx9Pcs=")</f>
        <v>#VALUE!</v>
      </c>
      <c r="GW55" t="e">
        <f>AND(DATA!G366,"AAAAAFx9Pcw=")</f>
        <v>#VALUE!</v>
      </c>
      <c r="GX55" t="e">
        <f>AND(DATA!H366,"AAAAAFx9Pc0=")</f>
        <v>#VALUE!</v>
      </c>
      <c r="GY55" t="e">
        <f>AND(DATA!I366,"AAAAAFx9Pc4=")</f>
        <v>#VALUE!</v>
      </c>
      <c r="GZ55" t="e">
        <f>AND(DATA!J366,"AAAAAFx9Pc8=")</f>
        <v>#VALUE!</v>
      </c>
      <c r="HA55" t="e">
        <f>AND(DATA!K366,"AAAAAFx9PdA=")</f>
        <v>#VALUE!</v>
      </c>
      <c r="HB55" t="b">
        <f>AND(DATA!L366,"AAAAAFx9PdE=")</f>
        <v>1</v>
      </c>
      <c r="HC55" t="b">
        <f>AND(DATA!M366,"AAAAAFx9PdI=")</f>
        <v>1</v>
      </c>
      <c r="HD55" t="b">
        <f>AND(DATA!N366,"AAAAAFx9PdM=")</f>
        <v>1</v>
      </c>
      <c r="HE55">
        <f>IF(DATA!367:367,"AAAAAFx9PdQ=",0)</f>
        <v>0</v>
      </c>
      <c r="HF55" t="e">
        <f>AND(DATA!A367,"AAAAAFx9PdU=")</f>
        <v>#VALUE!</v>
      </c>
      <c r="HG55" t="e">
        <f>AND(DATA!B367,"AAAAAFx9PdY=")</f>
        <v>#VALUE!</v>
      </c>
      <c r="HH55" t="e">
        <f>AND(DATA!C367,"AAAAAFx9Pdc=")</f>
        <v>#VALUE!</v>
      </c>
      <c r="HI55" t="e">
        <f>AND(DATA!D367,"AAAAAFx9Pdg=")</f>
        <v>#VALUE!</v>
      </c>
      <c r="HJ55" t="e">
        <f>AND(DATA!E367,"AAAAAFx9Pdk=")</f>
        <v>#VALUE!</v>
      </c>
      <c r="HK55" t="e">
        <f>AND(DATA!F367,"AAAAAFx9Pdo=")</f>
        <v>#VALUE!</v>
      </c>
      <c r="HL55" t="e">
        <f>AND(DATA!G367,"AAAAAFx9Pds=")</f>
        <v>#VALUE!</v>
      </c>
      <c r="HM55" t="e">
        <f>AND(DATA!H367,"AAAAAFx9Pdw=")</f>
        <v>#VALUE!</v>
      </c>
      <c r="HN55" t="e">
        <f>AND(DATA!I367,"AAAAAFx9Pd0=")</f>
        <v>#VALUE!</v>
      </c>
      <c r="HO55" t="e">
        <f>AND(DATA!J367,"AAAAAFx9Pd4=")</f>
        <v>#VALUE!</v>
      </c>
      <c r="HP55" t="e">
        <f>AND(DATA!K367,"AAAAAFx9Pd8=")</f>
        <v>#VALUE!</v>
      </c>
      <c r="HQ55" t="b">
        <f>AND(DATA!L367,"AAAAAFx9PeA=")</f>
        <v>1</v>
      </c>
      <c r="HR55" t="b">
        <f>AND(DATA!M367,"AAAAAFx9PeE=")</f>
        <v>1</v>
      </c>
      <c r="HS55" t="b">
        <f>AND(DATA!N367,"AAAAAFx9PeI=")</f>
        <v>1</v>
      </c>
      <c r="HT55">
        <f>IF(DATA!368:368,"AAAAAFx9PeM=",0)</f>
        <v>0</v>
      </c>
      <c r="HU55" t="e">
        <f>AND(DATA!A368,"AAAAAFx9PeQ=")</f>
        <v>#VALUE!</v>
      </c>
      <c r="HV55" t="e">
        <f>AND(DATA!B368,"AAAAAFx9PeU=")</f>
        <v>#VALUE!</v>
      </c>
      <c r="HW55" t="e">
        <f>AND(DATA!C368,"AAAAAFx9PeY=")</f>
        <v>#VALUE!</v>
      </c>
      <c r="HX55" t="e">
        <f>AND(DATA!D368,"AAAAAFx9Pec=")</f>
        <v>#VALUE!</v>
      </c>
      <c r="HY55" t="e">
        <f>AND(DATA!E368,"AAAAAFx9Peg=")</f>
        <v>#VALUE!</v>
      </c>
      <c r="HZ55" t="e">
        <f>AND(DATA!F368,"AAAAAFx9Pek=")</f>
        <v>#VALUE!</v>
      </c>
      <c r="IA55" t="e">
        <f>AND(DATA!G368,"AAAAAFx9Peo=")</f>
        <v>#VALUE!</v>
      </c>
      <c r="IB55" t="e">
        <f>AND(DATA!H368,"AAAAAFx9Pes=")</f>
        <v>#VALUE!</v>
      </c>
      <c r="IC55" t="e">
        <f>AND(DATA!I368,"AAAAAFx9Pew=")</f>
        <v>#VALUE!</v>
      </c>
      <c r="ID55" t="e">
        <f>AND(DATA!J368,"AAAAAFx9Pe0=")</f>
        <v>#VALUE!</v>
      </c>
      <c r="IE55" t="e">
        <f>AND(DATA!K368,"AAAAAFx9Pe4=")</f>
        <v>#VALUE!</v>
      </c>
      <c r="IF55" t="b">
        <f>AND(DATA!L368,"AAAAAFx9Pe8=")</f>
        <v>1</v>
      </c>
      <c r="IG55" t="b">
        <f>AND(DATA!M368,"AAAAAFx9PfA=")</f>
        <v>1</v>
      </c>
      <c r="IH55" t="b">
        <f>AND(DATA!N368,"AAAAAFx9PfE=")</f>
        <v>1</v>
      </c>
      <c r="II55">
        <f>IF(DATA!369:369,"AAAAAFx9PfI=",0)</f>
        <v>0</v>
      </c>
      <c r="IJ55" t="e">
        <f>AND(DATA!A369,"AAAAAFx9PfM=")</f>
        <v>#VALUE!</v>
      </c>
      <c r="IK55" t="e">
        <f>AND(DATA!B369,"AAAAAFx9PfQ=")</f>
        <v>#VALUE!</v>
      </c>
      <c r="IL55" t="e">
        <f>AND(DATA!C369,"AAAAAFx9PfU=")</f>
        <v>#VALUE!</v>
      </c>
      <c r="IM55" t="e">
        <f>AND(DATA!D369,"AAAAAFx9PfY=")</f>
        <v>#VALUE!</v>
      </c>
      <c r="IN55" t="e">
        <f>AND(DATA!E369,"AAAAAFx9Pfc=")</f>
        <v>#VALUE!</v>
      </c>
      <c r="IO55" t="e">
        <f>AND(DATA!F369,"AAAAAFx9Pfg=")</f>
        <v>#VALUE!</v>
      </c>
      <c r="IP55" t="e">
        <f>AND(DATA!G369,"AAAAAFx9Pfk=")</f>
        <v>#VALUE!</v>
      </c>
      <c r="IQ55" t="e">
        <f>AND(DATA!H369,"AAAAAFx9Pfo=")</f>
        <v>#VALUE!</v>
      </c>
      <c r="IR55" t="e">
        <f>AND(DATA!I369,"AAAAAFx9Pfs=")</f>
        <v>#VALUE!</v>
      </c>
      <c r="IS55" t="e">
        <f>AND(DATA!J369,"AAAAAFx9Pfw=")</f>
        <v>#VALUE!</v>
      </c>
      <c r="IT55" t="e">
        <f>AND(DATA!K369,"AAAAAFx9Pf0=")</f>
        <v>#VALUE!</v>
      </c>
      <c r="IU55" t="b">
        <f>AND(DATA!L369,"AAAAAFx9Pf4=")</f>
        <v>1</v>
      </c>
      <c r="IV55" t="b">
        <f>AND(DATA!M369,"AAAAAFx9Pf8=")</f>
        <v>1</v>
      </c>
    </row>
    <row r="56" spans="1:256">
      <c r="A56" t="b">
        <f>AND(DATA!N369,"AAAAAD7+1wA=")</f>
        <v>1</v>
      </c>
      <c r="B56">
        <f>IF(DATA!370:370,"AAAAAD7+1wE=",0)</f>
        <v>0</v>
      </c>
      <c r="C56" t="e">
        <f>AND(DATA!A370,"AAAAAD7+1wI=")</f>
        <v>#VALUE!</v>
      </c>
      <c r="D56" t="e">
        <f>AND(DATA!B370,"AAAAAD7+1wM=")</f>
        <v>#VALUE!</v>
      </c>
      <c r="E56" t="e">
        <f>AND(DATA!C370,"AAAAAD7+1wQ=")</f>
        <v>#VALUE!</v>
      </c>
      <c r="F56" t="e">
        <f>AND(DATA!D370,"AAAAAD7+1wU=")</f>
        <v>#VALUE!</v>
      </c>
      <c r="G56" t="e">
        <f>AND(DATA!E370,"AAAAAD7+1wY=")</f>
        <v>#VALUE!</v>
      </c>
      <c r="H56" t="e">
        <f>AND(DATA!F370,"AAAAAD7+1wc=")</f>
        <v>#VALUE!</v>
      </c>
      <c r="I56" t="e">
        <f>AND(DATA!G370,"AAAAAD7+1wg=")</f>
        <v>#VALUE!</v>
      </c>
      <c r="J56" t="e">
        <f>AND(DATA!H370,"AAAAAD7+1wk=")</f>
        <v>#VALUE!</v>
      </c>
      <c r="K56" t="e">
        <f>AND(DATA!I370,"AAAAAD7+1wo=")</f>
        <v>#VALUE!</v>
      </c>
      <c r="L56" t="e">
        <f>AND(DATA!J370,"AAAAAD7+1ws=")</f>
        <v>#VALUE!</v>
      </c>
      <c r="M56" t="e">
        <f>AND(DATA!K370,"AAAAAD7+1ww=")</f>
        <v>#VALUE!</v>
      </c>
      <c r="N56" t="b">
        <f>AND(DATA!L370,"AAAAAD7+1w0=")</f>
        <v>1</v>
      </c>
      <c r="O56" t="b">
        <f>AND(DATA!M370,"AAAAAD7+1w4=")</f>
        <v>1</v>
      </c>
      <c r="P56" t="b">
        <f>AND(DATA!N370,"AAAAAD7+1w8=")</f>
        <v>1</v>
      </c>
      <c r="Q56">
        <f>IF(DATA!371:371,"AAAAAD7+1xA=",0)</f>
        <v>0</v>
      </c>
      <c r="R56" t="e">
        <f>AND(DATA!A371,"AAAAAD7+1xE=")</f>
        <v>#VALUE!</v>
      </c>
      <c r="S56" t="e">
        <f>AND(DATA!B371,"AAAAAD7+1xI=")</f>
        <v>#VALUE!</v>
      </c>
      <c r="T56" t="e">
        <f>AND(DATA!C371,"AAAAAD7+1xM=")</f>
        <v>#VALUE!</v>
      </c>
      <c r="U56" t="e">
        <f>AND(DATA!D371,"AAAAAD7+1xQ=")</f>
        <v>#VALUE!</v>
      </c>
      <c r="V56" t="e">
        <f>AND(DATA!E371,"AAAAAD7+1xU=")</f>
        <v>#VALUE!</v>
      </c>
      <c r="W56" t="e">
        <f>AND(DATA!F371,"AAAAAD7+1xY=")</f>
        <v>#VALUE!</v>
      </c>
      <c r="X56" t="e">
        <f>AND(DATA!G371,"AAAAAD7+1xc=")</f>
        <v>#VALUE!</v>
      </c>
      <c r="Y56" t="e">
        <f>AND(DATA!H371,"AAAAAD7+1xg=")</f>
        <v>#VALUE!</v>
      </c>
      <c r="Z56" t="e">
        <f>AND(DATA!I371,"AAAAAD7+1xk=")</f>
        <v>#VALUE!</v>
      </c>
      <c r="AA56" t="e">
        <f>AND(DATA!J371,"AAAAAD7+1xo=")</f>
        <v>#VALUE!</v>
      </c>
      <c r="AB56" t="e">
        <f>AND(DATA!K371,"AAAAAD7+1xs=")</f>
        <v>#VALUE!</v>
      </c>
      <c r="AC56" t="b">
        <f>AND(DATA!L371,"AAAAAD7+1xw=")</f>
        <v>1</v>
      </c>
      <c r="AD56" t="b">
        <f>AND(DATA!M371,"AAAAAD7+1x0=")</f>
        <v>1</v>
      </c>
      <c r="AE56" t="b">
        <f>AND(DATA!N371,"AAAAAD7+1x4=")</f>
        <v>1</v>
      </c>
      <c r="AF56">
        <f>IF(DATA!372:372,"AAAAAD7+1x8=",0)</f>
        <v>0</v>
      </c>
      <c r="AG56" t="e">
        <f>AND(DATA!A372,"AAAAAD7+1yA=")</f>
        <v>#VALUE!</v>
      </c>
      <c r="AH56" t="e">
        <f>AND(DATA!B372,"AAAAAD7+1yE=")</f>
        <v>#VALUE!</v>
      </c>
      <c r="AI56" t="e">
        <f>AND(DATA!C372,"AAAAAD7+1yI=")</f>
        <v>#VALUE!</v>
      </c>
      <c r="AJ56" t="e">
        <f>AND(DATA!D372,"AAAAAD7+1yM=")</f>
        <v>#VALUE!</v>
      </c>
      <c r="AK56" t="e">
        <f>AND(DATA!E372,"AAAAAD7+1yQ=")</f>
        <v>#VALUE!</v>
      </c>
      <c r="AL56" t="e">
        <f>AND(DATA!F372,"AAAAAD7+1yU=")</f>
        <v>#VALUE!</v>
      </c>
      <c r="AM56" t="e">
        <f>AND(DATA!G372,"AAAAAD7+1yY=")</f>
        <v>#VALUE!</v>
      </c>
      <c r="AN56" t="e">
        <f>AND(DATA!H372,"AAAAAD7+1yc=")</f>
        <v>#VALUE!</v>
      </c>
      <c r="AO56" t="e">
        <f>AND(DATA!I372,"AAAAAD7+1yg=")</f>
        <v>#VALUE!</v>
      </c>
      <c r="AP56" t="e">
        <f>AND(DATA!J372,"AAAAAD7+1yk=")</f>
        <v>#VALUE!</v>
      </c>
      <c r="AQ56" t="e">
        <f>AND(DATA!K372,"AAAAAD7+1yo=")</f>
        <v>#VALUE!</v>
      </c>
      <c r="AR56" t="b">
        <f>AND(DATA!L372,"AAAAAD7+1ys=")</f>
        <v>1</v>
      </c>
      <c r="AS56" t="b">
        <f>AND(DATA!M372,"AAAAAD7+1yw=")</f>
        <v>1</v>
      </c>
      <c r="AT56" t="b">
        <f>AND(DATA!N372,"AAAAAD7+1y0=")</f>
        <v>1</v>
      </c>
      <c r="AU56">
        <f>IF(DATA!373:373,"AAAAAD7+1y4=",0)</f>
        <v>0</v>
      </c>
      <c r="AV56" t="e">
        <f>AND(DATA!A373,"AAAAAD7+1y8=")</f>
        <v>#VALUE!</v>
      </c>
      <c r="AW56" t="e">
        <f>AND(DATA!B373,"AAAAAD7+1zA=")</f>
        <v>#VALUE!</v>
      </c>
      <c r="AX56" t="e">
        <f>AND(DATA!C373,"AAAAAD7+1zE=")</f>
        <v>#VALUE!</v>
      </c>
      <c r="AY56" t="e">
        <f>AND(DATA!D373,"AAAAAD7+1zI=")</f>
        <v>#VALUE!</v>
      </c>
      <c r="AZ56" t="e">
        <f>AND(DATA!E373,"AAAAAD7+1zM=")</f>
        <v>#VALUE!</v>
      </c>
      <c r="BA56" t="e">
        <f>AND(DATA!F373,"AAAAAD7+1zQ=")</f>
        <v>#VALUE!</v>
      </c>
      <c r="BB56" t="e">
        <f>AND(DATA!G373,"AAAAAD7+1zU=")</f>
        <v>#VALUE!</v>
      </c>
      <c r="BC56" t="e">
        <f>AND(DATA!H373,"AAAAAD7+1zY=")</f>
        <v>#VALUE!</v>
      </c>
      <c r="BD56" t="e">
        <f>AND(DATA!I373,"AAAAAD7+1zc=")</f>
        <v>#VALUE!</v>
      </c>
      <c r="BE56" t="e">
        <f>AND(DATA!J373,"AAAAAD7+1zg=")</f>
        <v>#VALUE!</v>
      </c>
      <c r="BF56" t="e">
        <f>AND(DATA!K373,"AAAAAD7+1zk=")</f>
        <v>#VALUE!</v>
      </c>
      <c r="BG56" t="b">
        <f>AND(DATA!L373,"AAAAAD7+1zo=")</f>
        <v>1</v>
      </c>
      <c r="BH56" t="b">
        <f>AND(DATA!M373,"AAAAAD7+1zs=")</f>
        <v>1</v>
      </c>
      <c r="BI56" t="b">
        <f>AND(DATA!N373,"AAAAAD7+1zw=")</f>
        <v>1</v>
      </c>
      <c r="BJ56">
        <f>IF(DATA!374:374,"AAAAAD7+1z0=",0)</f>
        <v>0</v>
      </c>
      <c r="BK56" t="e">
        <f>AND(DATA!A374,"AAAAAD7+1z4=")</f>
        <v>#VALUE!</v>
      </c>
      <c r="BL56" t="e">
        <f>AND(DATA!B374,"AAAAAD7+1z8=")</f>
        <v>#VALUE!</v>
      </c>
      <c r="BM56" t="e">
        <f>AND(DATA!C374,"AAAAAD7+10A=")</f>
        <v>#VALUE!</v>
      </c>
      <c r="BN56" t="e">
        <f>AND(DATA!D374,"AAAAAD7+10E=")</f>
        <v>#VALUE!</v>
      </c>
      <c r="BO56" t="e">
        <f>AND(DATA!E374,"AAAAAD7+10I=")</f>
        <v>#VALUE!</v>
      </c>
      <c r="BP56" t="e">
        <f>AND(DATA!F374,"AAAAAD7+10M=")</f>
        <v>#VALUE!</v>
      </c>
      <c r="BQ56" t="e">
        <f>AND(DATA!G374,"AAAAAD7+10Q=")</f>
        <v>#VALUE!</v>
      </c>
      <c r="BR56" t="e">
        <f>AND(DATA!H374,"AAAAAD7+10U=")</f>
        <v>#VALUE!</v>
      </c>
      <c r="BS56" t="e">
        <f>AND(DATA!I374,"AAAAAD7+10Y=")</f>
        <v>#VALUE!</v>
      </c>
      <c r="BT56" t="e">
        <f>AND(DATA!J374,"AAAAAD7+10c=")</f>
        <v>#VALUE!</v>
      </c>
      <c r="BU56" t="e">
        <f>AND(DATA!K374,"AAAAAD7+10g=")</f>
        <v>#VALUE!</v>
      </c>
      <c r="BV56" t="b">
        <f>AND(DATA!L374,"AAAAAD7+10k=")</f>
        <v>1</v>
      </c>
      <c r="BW56" t="b">
        <f>AND(DATA!M374,"AAAAAD7+10o=")</f>
        <v>1</v>
      </c>
      <c r="BX56" t="b">
        <f>AND(DATA!N374,"AAAAAD7+10s=")</f>
        <v>1</v>
      </c>
      <c r="BY56">
        <f>IF(DATA!375:375,"AAAAAD7+10w=",0)</f>
        <v>0</v>
      </c>
      <c r="BZ56" t="e">
        <f>AND(DATA!A375,"AAAAAD7+100=")</f>
        <v>#VALUE!</v>
      </c>
      <c r="CA56" t="e">
        <f>AND(DATA!B375,"AAAAAD7+104=")</f>
        <v>#VALUE!</v>
      </c>
      <c r="CB56" t="e">
        <f>AND(DATA!C375,"AAAAAD7+108=")</f>
        <v>#VALUE!</v>
      </c>
      <c r="CC56" t="e">
        <f>AND(DATA!D375,"AAAAAD7+11A=")</f>
        <v>#VALUE!</v>
      </c>
      <c r="CD56" t="e">
        <f>AND(DATA!E375,"AAAAAD7+11E=")</f>
        <v>#VALUE!</v>
      </c>
      <c r="CE56" t="e">
        <f>AND(DATA!F375,"AAAAAD7+11I=")</f>
        <v>#VALUE!</v>
      </c>
      <c r="CF56" t="e">
        <f>AND(DATA!G375,"AAAAAD7+11M=")</f>
        <v>#VALUE!</v>
      </c>
      <c r="CG56" t="e">
        <f>AND(DATA!H375,"AAAAAD7+11Q=")</f>
        <v>#VALUE!</v>
      </c>
      <c r="CH56" t="e">
        <f>AND(DATA!I375,"AAAAAD7+11U=")</f>
        <v>#VALUE!</v>
      </c>
      <c r="CI56" t="e">
        <f>AND(DATA!J375,"AAAAAD7+11Y=")</f>
        <v>#VALUE!</v>
      </c>
      <c r="CJ56" t="e">
        <f>AND(DATA!K375,"AAAAAD7+11c=")</f>
        <v>#VALUE!</v>
      </c>
      <c r="CK56" t="b">
        <f>AND(DATA!L375,"AAAAAD7+11g=")</f>
        <v>1</v>
      </c>
      <c r="CL56" t="b">
        <f>AND(DATA!M375,"AAAAAD7+11k=")</f>
        <v>1</v>
      </c>
      <c r="CM56" t="b">
        <f>AND(DATA!N375,"AAAAAD7+11o=")</f>
        <v>1</v>
      </c>
      <c r="CN56">
        <f>IF(DATA!376:376,"AAAAAD7+11s=",0)</f>
        <v>0</v>
      </c>
      <c r="CO56" t="e">
        <f>AND(DATA!A376,"AAAAAD7+11w=")</f>
        <v>#VALUE!</v>
      </c>
      <c r="CP56" t="e">
        <f>AND(DATA!B376,"AAAAAD7+110=")</f>
        <v>#VALUE!</v>
      </c>
      <c r="CQ56" t="e">
        <f>AND(DATA!C376,"AAAAAD7+114=")</f>
        <v>#VALUE!</v>
      </c>
      <c r="CR56" t="e">
        <f>AND(DATA!D376,"AAAAAD7+118=")</f>
        <v>#VALUE!</v>
      </c>
      <c r="CS56" t="e">
        <f>AND(DATA!E376,"AAAAAD7+12A=")</f>
        <v>#VALUE!</v>
      </c>
      <c r="CT56" t="e">
        <f>AND(DATA!F376,"AAAAAD7+12E=")</f>
        <v>#VALUE!</v>
      </c>
      <c r="CU56" t="e">
        <f>AND(DATA!G376,"AAAAAD7+12I=")</f>
        <v>#VALUE!</v>
      </c>
      <c r="CV56" t="e">
        <f>AND(DATA!H376,"AAAAAD7+12M=")</f>
        <v>#VALUE!</v>
      </c>
      <c r="CW56" t="e">
        <f>AND(DATA!I376,"AAAAAD7+12Q=")</f>
        <v>#VALUE!</v>
      </c>
      <c r="CX56" t="e">
        <f>AND(DATA!J376,"AAAAAD7+12U=")</f>
        <v>#VALUE!</v>
      </c>
      <c r="CY56" t="e">
        <f>AND(DATA!K376,"AAAAAD7+12Y=")</f>
        <v>#VALUE!</v>
      </c>
      <c r="CZ56" t="b">
        <f>AND(DATA!L376,"AAAAAD7+12c=")</f>
        <v>1</v>
      </c>
      <c r="DA56" t="b">
        <f>AND(DATA!M376,"AAAAAD7+12g=")</f>
        <v>1</v>
      </c>
      <c r="DB56" t="b">
        <f>AND(DATA!N376,"AAAAAD7+12k=")</f>
        <v>1</v>
      </c>
      <c r="DC56">
        <f>IF(DATA!377:377,"AAAAAD7+12o=",0)</f>
        <v>0</v>
      </c>
      <c r="DD56" t="e">
        <f>AND(DATA!A377,"AAAAAD7+12s=")</f>
        <v>#VALUE!</v>
      </c>
      <c r="DE56" t="e">
        <f>AND(DATA!B377,"AAAAAD7+12w=")</f>
        <v>#VALUE!</v>
      </c>
      <c r="DF56" t="e">
        <f>AND(DATA!C377,"AAAAAD7+120=")</f>
        <v>#VALUE!</v>
      </c>
      <c r="DG56" t="e">
        <f>AND(DATA!D377,"AAAAAD7+124=")</f>
        <v>#VALUE!</v>
      </c>
      <c r="DH56" t="e">
        <f>AND(DATA!E377,"AAAAAD7+128=")</f>
        <v>#VALUE!</v>
      </c>
      <c r="DI56" t="e">
        <f>AND(DATA!F377,"AAAAAD7+13A=")</f>
        <v>#VALUE!</v>
      </c>
      <c r="DJ56" t="e">
        <f>AND(DATA!G377,"AAAAAD7+13E=")</f>
        <v>#VALUE!</v>
      </c>
      <c r="DK56" t="e">
        <f>AND(DATA!H377,"AAAAAD7+13I=")</f>
        <v>#VALUE!</v>
      </c>
      <c r="DL56" t="e">
        <f>AND(DATA!I377,"AAAAAD7+13M=")</f>
        <v>#VALUE!</v>
      </c>
      <c r="DM56" t="e">
        <f>AND(DATA!J377,"AAAAAD7+13Q=")</f>
        <v>#VALUE!</v>
      </c>
      <c r="DN56" t="e">
        <f>AND(DATA!K377,"AAAAAD7+13U=")</f>
        <v>#VALUE!</v>
      </c>
      <c r="DO56" t="b">
        <f>AND(DATA!L377,"AAAAAD7+13Y=")</f>
        <v>1</v>
      </c>
      <c r="DP56" t="b">
        <f>AND(DATA!M377,"AAAAAD7+13c=")</f>
        <v>1</v>
      </c>
      <c r="DQ56" t="b">
        <f>AND(DATA!N377,"AAAAAD7+13g=")</f>
        <v>1</v>
      </c>
      <c r="DR56">
        <f>IF(DATA!378:378,"AAAAAD7+13k=",0)</f>
        <v>0</v>
      </c>
      <c r="DS56" t="e">
        <f>AND(DATA!A378,"AAAAAD7+13o=")</f>
        <v>#VALUE!</v>
      </c>
      <c r="DT56" t="e">
        <f>AND(DATA!B378,"AAAAAD7+13s=")</f>
        <v>#VALUE!</v>
      </c>
      <c r="DU56" t="e">
        <f>AND(DATA!C378,"AAAAAD7+13w=")</f>
        <v>#VALUE!</v>
      </c>
      <c r="DV56" t="e">
        <f>AND(DATA!D378,"AAAAAD7+130=")</f>
        <v>#VALUE!</v>
      </c>
      <c r="DW56" t="e">
        <f>AND(DATA!E378,"AAAAAD7+134=")</f>
        <v>#VALUE!</v>
      </c>
      <c r="DX56" t="e">
        <f>AND(DATA!F378,"AAAAAD7+138=")</f>
        <v>#VALUE!</v>
      </c>
      <c r="DY56" t="e">
        <f>AND(DATA!G378,"AAAAAD7+14A=")</f>
        <v>#VALUE!</v>
      </c>
      <c r="DZ56" t="e">
        <f>AND(DATA!H378,"AAAAAD7+14E=")</f>
        <v>#VALUE!</v>
      </c>
      <c r="EA56" t="e">
        <f>AND(DATA!I378,"AAAAAD7+14I=")</f>
        <v>#VALUE!</v>
      </c>
      <c r="EB56" t="e">
        <f>AND(DATA!J378,"AAAAAD7+14M=")</f>
        <v>#VALUE!</v>
      </c>
      <c r="EC56" t="e">
        <f>AND(DATA!K378,"AAAAAD7+14Q=")</f>
        <v>#VALUE!</v>
      </c>
      <c r="ED56" t="b">
        <f>AND(DATA!L378,"AAAAAD7+14U=")</f>
        <v>1</v>
      </c>
      <c r="EE56" t="b">
        <f>AND(DATA!M378,"AAAAAD7+14Y=")</f>
        <v>1</v>
      </c>
      <c r="EF56" t="b">
        <f>AND(DATA!N378,"AAAAAD7+14c=")</f>
        <v>1</v>
      </c>
      <c r="EG56">
        <f>IF(DATA!379:379,"AAAAAD7+14g=",0)</f>
        <v>0</v>
      </c>
      <c r="EH56" t="e">
        <f>AND(DATA!A379,"AAAAAD7+14k=")</f>
        <v>#VALUE!</v>
      </c>
      <c r="EI56" t="e">
        <f>AND(DATA!B379,"AAAAAD7+14o=")</f>
        <v>#VALUE!</v>
      </c>
      <c r="EJ56" t="e">
        <f>AND(DATA!C379,"AAAAAD7+14s=")</f>
        <v>#VALUE!</v>
      </c>
      <c r="EK56" t="e">
        <f>AND(DATA!D379,"AAAAAD7+14w=")</f>
        <v>#VALUE!</v>
      </c>
      <c r="EL56" t="e">
        <f>AND(DATA!E379,"AAAAAD7+140=")</f>
        <v>#VALUE!</v>
      </c>
      <c r="EM56" t="e">
        <f>AND(DATA!F379,"AAAAAD7+144=")</f>
        <v>#VALUE!</v>
      </c>
      <c r="EN56" t="e">
        <f>AND(DATA!G379,"AAAAAD7+148=")</f>
        <v>#VALUE!</v>
      </c>
      <c r="EO56" t="e">
        <f>AND(DATA!H379,"AAAAAD7+15A=")</f>
        <v>#VALUE!</v>
      </c>
      <c r="EP56" t="e">
        <f>AND(DATA!I379,"AAAAAD7+15E=")</f>
        <v>#VALUE!</v>
      </c>
      <c r="EQ56" t="e">
        <f>AND(DATA!J379,"AAAAAD7+15I=")</f>
        <v>#VALUE!</v>
      </c>
      <c r="ER56" t="e">
        <f>AND(DATA!K379,"AAAAAD7+15M=")</f>
        <v>#VALUE!</v>
      </c>
      <c r="ES56" t="b">
        <f>AND(DATA!L379,"AAAAAD7+15Q=")</f>
        <v>1</v>
      </c>
      <c r="ET56" t="b">
        <f>AND(DATA!M379,"AAAAAD7+15U=")</f>
        <v>1</v>
      </c>
      <c r="EU56" t="b">
        <f>AND(DATA!N379,"AAAAAD7+15Y=")</f>
        <v>1</v>
      </c>
      <c r="EV56">
        <f>IF(DATA!380:380,"AAAAAD7+15c=",0)</f>
        <v>0</v>
      </c>
      <c r="EW56" t="e">
        <f>AND(DATA!A380,"AAAAAD7+15g=")</f>
        <v>#VALUE!</v>
      </c>
      <c r="EX56" t="e">
        <f>AND(DATA!B380,"AAAAAD7+15k=")</f>
        <v>#VALUE!</v>
      </c>
      <c r="EY56" t="e">
        <f>AND(DATA!C380,"AAAAAD7+15o=")</f>
        <v>#VALUE!</v>
      </c>
      <c r="EZ56" t="e">
        <f>AND(DATA!D380,"AAAAAD7+15s=")</f>
        <v>#VALUE!</v>
      </c>
      <c r="FA56" t="e">
        <f>AND(DATA!E380,"AAAAAD7+15w=")</f>
        <v>#VALUE!</v>
      </c>
      <c r="FB56" t="e">
        <f>AND(DATA!F380,"AAAAAD7+150=")</f>
        <v>#VALUE!</v>
      </c>
      <c r="FC56" t="e">
        <f>AND(DATA!G380,"AAAAAD7+154=")</f>
        <v>#VALUE!</v>
      </c>
      <c r="FD56" t="e">
        <f>AND(DATA!H380,"AAAAAD7+158=")</f>
        <v>#VALUE!</v>
      </c>
      <c r="FE56" t="e">
        <f>AND(DATA!I380,"AAAAAD7+16A=")</f>
        <v>#VALUE!</v>
      </c>
      <c r="FF56" t="e">
        <f>AND(DATA!J380,"AAAAAD7+16E=")</f>
        <v>#VALUE!</v>
      </c>
      <c r="FG56" t="e">
        <f>AND(DATA!K380,"AAAAAD7+16I=")</f>
        <v>#VALUE!</v>
      </c>
      <c r="FH56" t="b">
        <f>AND(DATA!L380,"AAAAAD7+16M=")</f>
        <v>1</v>
      </c>
      <c r="FI56" t="b">
        <f>AND(DATA!M380,"AAAAAD7+16Q=")</f>
        <v>1</v>
      </c>
      <c r="FJ56" t="b">
        <f>AND(DATA!N380,"AAAAAD7+16U=")</f>
        <v>1</v>
      </c>
      <c r="FK56">
        <f>IF(DATA!381:381,"AAAAAD7+16Y=",0)</f>
        <v>0</v>
      </c>
      <c r="FL56" t="e">
        <f>AND(DATA!A381,"AAAAAD7+16c=")</f>
        <v>#VALUE!</v>
      </c>
      <c r="FM56" t="e">
        <f>AND(DATA!B381,"AAAAAD7+16g=")</f>
        <v>#VALUE!</v>
      </c>
      <c r="FN56" t="e">
        <f>AND(DATA!C381,"AAAAAD7+16k=")</f>
        <v>#VALUE!</v>
      </c>
      <c r="FO56" t="e">
        <f>AND(DATA!D381,"AAAAAD7+16o=")</f>
        <v>#VALUE!</v>
      </c>
      <c r="FP56" t="e">
        <f>AND(DATA!E381,"AAAAAD7+16s=")</f>
        <v>#VALUE!</v>
      </c>
      <c r="FQ56" t="e">
        <f>AND(DATA!F381,"AAAAAD7+16w=")</f>
        <v>#VALUE!</v>
      </c>
      <c r="FR56" t="e">
        <f>AND(DATA!G381,"AAAAAD7+160=")</f>
        <v>#VALUE!</v>
      </c>
      <c r="FS56" t="e">
        <f>AND(DATA!H381,"AAAAAD7+164=")</f>
        <v>#VALUE!</v>
      </c>
      <c r="FT56" t="e">
        <f>AND(DATA!I381,"AAAAAD7+168=")</f>
        <v>#VALUE!</v>
      </c>
      <c r="FU56" t="e">
        <f>AND(DATA!J381,"AAAAAD7+17A=")</f>
        <v>#VALUE!</v>
      </c>
      <c r="FV56" t="e">
        <f>AND(DATA!K381,"AAAAAD7+17E=")</f>
        <v>#VALUE!</v>
      </c>
      <c r="FW56" t="b">
        <f>AND(DATA!L381,"AAAAAD7+17I=")</f>
        <v>1</v>
      </c>
      <c r="FX56" t="b">
        <f>AND(DATA!M381,"AAAAAD7+17M=")</f>
        <v>1</v>
      </c>
      <c r="FY56" t="b">
        <f>AND(DATA!N381,"AAAAAD7+17Q=")</f>
        <v>1</v>
      </c>
      <c r="FZ56">
        <f>IF(DATA!382:382,"AAAAAD7+17U=",0)</f>
        <v>0</v>
      </c>
      <c r="GA56" t="e">
        <f>AND(DATA!A382,"AAAAAD7+17Y=")</f>
        <v>#VALUE!</v>
      </c>
      <c r="GB56" t="e">
        <f>AND(DATA!B382,"AAAAAD7+17c=")</f>
        <v>#VALUE!</v>
      </c>
      <c r="GC56" t="e">
        <f>AND(DATA!C382,"AAAAAD7+17g=")</f>
        <v>#VALUE!</v>
      </c>
      <c r="GD56" t="e">
        <f>AND(DATA!D382,"AAAAAD7+17k=")</f>
        <v>#VALUE!</v>
      </c>
      <c r="GE56" t="e">
        <f>AND(DATA!E382,"AAAAAD7+17o=")</f>
        <v>#VALUE!</v>
      </c>
      <c r="GF56" t="e">
        <f>AND(DATA!F382,"AAAAAD7+17s=")</f>
        <v>#VALUE!</v>
      </c>
      <c r="GG56" t="e">
        <f>AND(DATA!G382,"AAAAAD7+17w=")</f>
        <v>#VALUE!</v>
      </c>
      <c r="GH56" t="e">
        <f>AND(DATA!H382,"AAAAAD7+170=")</f>
        <v>#VALUE!</v>
      </c>
      <c r="GI56" t="e">
        <f>AND(DATA!I382,"AAAAAD7+174=")</f>
        <v>#VALUE!</v>
      </c>
      <c r="GJ56" t="e">
        <f>AND(DATA!J382,"AAAAAD7+178=")</f>
        <v>#VALUE!</v>
      </c>
      <c r="GK56" t="e">
        <f>AND(DATA!K382,"AAAAAD7+18A=")</f>
        <v>#VALUE!</v>
      </c>
      <c r="GL56" t="b">
        <f>AND(DATA!L382,"AAAAAD7+18E=")</f>
        <v>1</v>
      </c>
      <c r="GM56" t="b">
        <f>AND(DATA!M382,"AAAAAD7+18I=")</f>
        <v>1</v>
      </c>
      <c r="GN56" t="b">
        <f>AND(DATA!N382,"AAAAAD7+18M=")</f>
        <v>1</v>
      </c>
      <c r="GO56">
        <f>IF(DATA!383:383,"AAAAAD7+18Q=",0)</f>
        <v>0</v>
      </c>
      <c r="GP56" t="e">
        <f>AND(DATA!A383,"AAAAAD7+18U=")</f>
        <v>#VALUE!</v>
      </c>
      <c r="GQ56" t="e">
        <f>AND(DATA!B383,"AAAAAD7+18Y=")</f>
        <v>#VALUE!</v>
      </c>
      <c r="GR56" t="e">
        <f>AND(DATA!C383,"AAAAAD7+18c=")</f>
        <v>#VALUE!</v>
      </c>
      <c r="GS56" t="e">
        <f>AND(DATA!D383,"AAAAAD7+18g=")</f>
        <v>#VALUE!</v>
      </c>
      <c r="GT56" t="e">
        <f>AND(DATA!E383,"AAAAAD7+18k=")</f>
        <v>#VALUE!</v>
      </c>
      <c r="GU56" t="e">
        <f>AND(DATA!F383,"AAAAAD7+18o=")</f>
        <v>#VALUE!</v>
      </c>
      <c r="GV56" t="e">
        <f>AND(DATA!G383,"AAAAAD7+18s=")</f>
        <v>#VALUE!</v>
      </c>
      <c r="GW56" t="e">
        <f>AND(DATA!H383,"AAAAAD7+18w=")</f>
        <v>#VALUE!</v>
      </c>
      <c r="GX56" t="e">
        <f>AND(DATA!I383,"AAAAAD7+180=")</f>
        <v>#VALUE!</v>
      </c>
      <c r="GY56" t="e">
        <f>AND(DATA!J383,"AAAAAD7+184=")</f>
        <v>#VALUE!</v>
      </c>
      <c r="GZ56" t="e">
        <f>AND(DATA!K383,"AAAAAD7+188=")</f>
        <v>#VALUE!</v>
      </c>
      <c r="HA56" t="b">
        <f>AND(DATA!L383,"AAAAAD7+19A=")</f>
        <v>1</v>
      </c>
      <c r="HB56" t="b">
        <f>AND(DATA!M383,"AAAAAD7+19E=")</f>
        <v>1</v>
      </c>
      <c r="HC56" t="b">
        <f>AND(DATA!N383,"AAAAAD7+19I=")</f>
        <v>1</v>
      </c>
      <c r="HD56">
        <f>IF(DATA!384:384,"AAAAAD7+19M=",0)</f>
        <v>0</v>
      </c>
      <c r="HE56" t="e">
        <f>AND(DATA!A384,"AAAAAD7+19Q=")</f>
        <v>#VALUE!</v>
      </c>
      <c r="HF56" t="e">
        <f>AND(DATA!B384,"AAAAAD7+19U=")</f>
        <v>#VALUE!</v>
      </c>
      <c r="HG56" t="e">
        <f>AND(DATA!C384,"AAAAAD7+19Y=")</f>
        <v>#VALUE!</v>
      </c>
      <c r="HH56" t="e">
        <f>AND(DATA!D384,"AAAAAD7+19c=")</f>
        <v>#VALUE!</v>
      </c>
      <c r="HI56" t="e">
        <f>AND(DATA!E384,"AAAAAD7+19g=")</f>
        <v>#VALUE!</v>
      </c>
      <c r="HJ56" t="e">
        <f>AND(DATA!F384,"AAAAAD7+19k=")</f>
        <v>#VALUE!</v>
      </c>
      <c r="HK56" t="e">
        <f>AND(DATA!G384,"AAAAAD7+19o=")</f>
        <v>#VALUE!</v>
      </c>
      <c r="HL56" t="e">
        <f>AND(DATA!H384,"AAAAAD7+19s=")</f>
        <v>#VALUE!</v>
      </c>
      <c r="HM56" t="e">
        <f>AND(DATA!I384,"AAAAAD7+19w=")</f>
        <v>#VALUE!</v>
      </c>
      <c r="HN56" t="e">
        <f>AND(DATA!J384,"AAAAAD7+190=")</f>
        <v>#VALUE!</v>
      </c>
      <c r="HO56" t="e">
        <f>AND(DATA!K384,"AAAAAD7+194=")</f>
        <v>#VALUE!</v>
      </c>
      <c r="HP56" t="b">
        <f>AND(DATA!L384,"AAAAAD7+198=")</f>
        <v>1</v>
      </c>
      <c r="HQ56" t="b">
        <f>AND(DATA!M384,"AAAAAD7+1+A=")</f>
        <v>1</v>
      </c>
      <c r="HR56" t="b">
        <f>AND(DATA!N384,"AAAAAD7+1+E=")</f>
        <v>1</v>
      </c>
      <c r="HS56">
        <f>IF(DATA!385:385,"AAAAAD7+1+I=",0)</f>
        <v>0</v>
      </c>
      <c r="HT56" t="e">
        <f>AND(DATA!A385,"AAAAAD7+1+M=")</f>
        <v>#VALUE!</v>
      </c>
      <c r="HU56" t="e">
        <f>AND(DATA!B385,"AAAAAD7+1+Q=")</f>
        <v>#VALUE!</v>
      </c>
      <c r="HV56" t="e">
        <f>AND(DATA!C385,"AAAAAD7+1+U=")</f>
        <v>#VALUE!</v>
      </c>
      <c r="HW56" t="e">
        <f>AND(DATA!D385,"AAAAAD7+1+Y=")</f>
        <v>#VALUE!</v>
      </c>
      <c r="HX56" t="e">
        <f>AND(DATA!E385,"AAAAAD7+1+c=")</f>
        <v>#VALUE!</v>
      </c>
      <c r="HY56" t="e">
        <f>AND(DATA!F385,"AAAAAD7+1+g=")</f>
        <v>#VALUE!</v>
      </c>
      <c r="HZ56" t="e">
        <f>AND(DATA!G385,"AAAAAD7+1+k=")</f>
        <v>#VALUE!</v>
      </c>
      <c r="IA56" t="e">
        <f>AND(DATA!H385,"AAAAAD7+1+o=")</f>
        <v>#VALUE!</v>
      </c>
      <c r="IB56" t="e">
        <f>AND(DATA!I385,"AAAAAD7+1+s=")</f>
        <v>#VALUE!</v>
      </c>
      <c r="IC56" t="e">
        <f>AND(DATA!J385,"AAAAAD7+1+w=")</f>
        <v>#VALUE!</v>
      </c>
      <c r="ID56" t="e">
        <f>AND(DATA!K385,"AAAAAD7+1+0=")</f>
        <v>#VALUE!</v>
      </c>
      <c r="IE56" t="b">
        <f>AND(DATA!L385,"AAAAAD7+1+4=")</f>
        <v>1</v>
      </c>
      <c r="IF56" t="b">
        <f>AND(DATA!M385,"AAAAAD7+1+8=")</f>
        <v>1</v>
      </c>
      <c r="IG56" t="b">
        <f>AND(DATA!N385,"AAAAAD7+1/A=")</f>
        <v>1</v>
      </c>
      <c r="IH56">
        <f>IF(DATA!386:386,"AAAAAD7+1/E=",0)</f>
        <v>0</v>
      </c>
      <c r="II56" t="e">
        <f>AND(DATA!A386,"AAAAAD7+1/I=")</f>
        <v>#VALUE!</v>
      </c>
      <c r="IJ56" t="e">
        <f>AND(DATA!B386,"AAAAAD7+1/M=")</f>
        <v>#VALUE!</v>
      </c>
      <c r="IK56" t="e">
        <f>AND(DATA!C386,"AAAAAD7+1/Q=")</f>
        <v>#VALUE!</v>
      </c>
      <c r="IL56" t="e">
        <f>AND(DATA!D386,"AAAAAD7+1/U=")</f>
        <v>#VALUE!</v>
      </c>
      <c r="IM56" t="e">
        <f>AND(DATA!E386,"AAAAAD7+1/Y=")</f>
        <v>#VALUE!</v>
      </c>
      <c r="IN56" t="e">
        <f>AND(DATA!F386,"AAAAAD7+1/c=")</f>
        <v>#VALUE!</v>
      </c>
      <c r="IO56" t="e">
        <f>AND(DATA!G386,"AAAAAD7+1/g=")</f>
        <v>#VALUE!</v>
      </c>
      <c r="IP56" t="e">
        <f>AND(DATA!H386,"AAAAAD7+1/k=")</f>
        <v>#VALUE!</v>
      </c>
      <c r="IQ56" t="e">
        <f>AND(DATA!I386,"AAAAAD7+1/o=")</f>
        <v>#VALUE!</v>
      </c>
      <c r="IR56" t="e">
        <f>AND(DATA!J386,"AAAAAD7+1/s=")</f>
        <v>#VALUE!</v>
      </c>
      <c r="IS56" t="e">
        <f>AND(DATA!K386,"AAAAAD7+1/w=")</f>
        <v>#VALUE!</v>
      </c>
      <c r="IT56" t="b">
        <f>AND(DATA!L386,"AAAAAD7+1/0=")</f>
        <v>1</v>
      </c>
      <c r="IU56" t="b">
        <f>AND(DATA!M386,"AAAAAD7+1/4=")</f>
        <v>1</v>
      </c>
      <c r="IV56" t="b">
        <f>AND(DATA!N386,"AAAAAD7+1/8=")</f>
        <v>1</v>
      </c>
    </row>
    <row r="57" spans="1:256">
      <c r="A57">
        <f>IF(DATA!387:387,"AAAAAHTv/AA=",0)</f>
        <v>0</v>
      </c>
      <c r="B57" t="e">
        <f>AND(DATA!A387,"AAAAAHTv/AE=")</f>
        <v>#VALUE!</v>
      </c>
      <c r="C57" t="e">
        <f>AND(DATA!B387,"AAAAAHTv/AI=")</f>
        <v>#VALUE!</v>
      </c>
      <c r="D57" t="e">
        <f>AND(DATA!C387,"AAAAAHTv/AM=")</f>
        <v>#VALUE!</v>
      </c>
      <c r="E57" t="e">
        <f>AND(DATA!D387,"AAAAAHTv/AQ=")</f>
        <v>#VALUE!</v>
      </c>
      <c r="F57" t="e">
        <f>AND(DATA!E387,"AAAAAHTv/AU=")</f>
        <v>#VALUE!</v>
      </c>
      <c r="G57" t="e">
        <f>AND(DATA!F387,"AAAAAHTv/AY=")</f>
        <v>#VALUE!</v>
      </c>
      <c r="H57" t="e">
        <f>AND(DATA!G387,"AAAAAHTv/Ac=")</f>
        <v>#VALUE!</v>
      </c>
      <c r="I57" t="e">
        <f>AND(DATA!H387,"AAAAAHTv/Ag=")</f>
        <v>#VALUE!</v>
      </c>
      <c r="J57" t="e">
        <f>AND(DATA!I387,"AAAAAHTv/Ak=")</f>
        <v>#VALUE!</v>
      </c>
      <c r="K57" t="e">
        <f>AND(DATA!J387,"AAAAAHTv/Ao=")</f>
        <v>#VALUE!</v>
      </c>
      <c r="L57" t="e">
        <f>AND(DATA!K387,"AAAAAHTv/As=")</f>
        <v>#VALUE!</v>
      </c>
      <c r="M57" t="b">
        <f>AND(DATA!L387,"AAAAAHTv/Aw=")</f>
        <v>1</v>
      </c>
      <c r="N57" t="b">
        <f>AND(DATA!M387,"AAAAAHTv/A0=")</f>
        <v>1</v>
      </c>
      <c r="O57" t="b">
        <f>AND(DATA!N387,"AAAAAHTv/A4=")</f>
        <v>1</v>
      </c>
      <c r="P57">
        <f>IF(DATA!388:388,"AAAAAHTv/A8=",0)</f>
        <v>0</v>
      </c>
      <c r="Q57" t="e">
        <f>AND(DATA!A388,"AAAAAHTv/BA=")</f>
        <v>#VALUE!</v>
      </c>
      <c r="R57" t="e">
        <f>AND(DATA!B388,"AAAAAHTv/BE=")</f>
        <v>#VALUE!</v>
      </c>
      <c r="S57" t="e">
        <f>AND(DATA!C388,"AAAAAHTv/BI=")</f>
        <v>#VALUE!</v>
      </c>
      <c r="T57" t="e">
        <f>AND(DATA!D388,"AAAAAHTv/BM=")</f>
        <v>#VALUE!</v>
      </c>
      <c r="U57" t="e">
        <f>AND(DATA!E388,"AAAAAHTv/BQ=")</f>
        <v>#VALUE!</v>
      </c>
      <c r="V57" t="e">
        <f>AND(DATA!F388,"AAAAAHTv/BU=")</f>
        <v>#VALUE!</v>
      </c>
      <c r="W57" t="e">
        <f>AND(DATA!G388,"AAAAAHTv/BY=")</f>
        <v>#VALUE!</v>
      </c>
      <c r="X57" t="e">
        <f>AND(DATA!H388,"AAAAAHTv/Bc=")</f>
        <v>#VALUE!</v>
      </c>
      <c r="Y57" t="e">
        <f>AND(DATA!I388,"AAAAAHTv/Bg=")</f>
        <v>#VALUE!</v>
      </c>
      <c r="Z57" t="e">
        <f>AND(DATA!J388,"AAAAAHTv/Bk=")</f>
        <v>#VALUE!</v>
      </c>
      <c r="AA57" t="e">
        <f>AND(DATA!K388,"AAAAAHTv/Bo=")</f>
        <v>#VALUE!</v>
      </c>
      <c r="AB57" t="b">
        <f>AND(DATA!L388,"AAAAAHTv/Bs=")</f>
        <v>1</v>
      </c>
      <c r="AC57" t="b">
        <f>AND(DATA!M388,"AAAAAHTv/Bw=")</f>
        <v>1</v>
      </c>
      <c r="AD57" t="b">
        <f>AND(DATA!N388,"AAAAAHTv/B0=")</f>
        <v>1</v>
      </c>
      <c r="AE57">
        <f>IF(DATA!389:389,"AAAAAHTv/B4=",0)</f>
        <v>0</v>
      </c>
      <c r="AF57" t="e">
        <f>AND(DATA!A389,"AAAAAHTv/B8=")</f>
        <v>#VALUE!</v>
      </c>
      <c r="AG57" t="e">
        <f>AND(DATA!B389,"AAAAAHTv/CA=")</f>
        <v>#VALUE!</v>
      </c>
      <c r="AH57" t="e">
        <f>AND(DATA!C389,"AAAAAHTv/CE=")</f>
        <v>#VALUE!</v>
      </c>
      <c r="AI57" t="e">
        <f>AND(DATA!D389,"AAAAAHTv/CI=")</f>
        <v>#VALUE!</v>
      </c>
      <c r="AJ57" t="e">
        <f>AND(DATA!E389,"AAAAAHTv/CM=")</f>
        <v>#VALUE!</v>
      </c>
      <c r="AK57" t="e">
        <f>AND(DATA!F389,"AAAAAHTv/CQ=")</f>
        <v>#VALUE!</v>
      </c>
      <c r="AL57" t="e">
        <f>AND(DATA!G389,"AAAAAHTv/CU=")</f>
        <v>#VALUE!</v>
      </c>
      <c r="AM57" t="e">
        <f>AND(DATA!H389,"AAAAAHTv/CY=")</f>
        <v>#VALUE!</v>
      </c>
      <c r="AN57" t="e">
        <f>AND(DATA!I389,"AAAAAHTv/Cc=")</f>
        <v>#VALUE!</v>
      </c>
      <c r="AO57" t="e">
        <f>AND(DATA!J389,"AAAAAHTv/Cg=")</f>
        <v>#VALUE!</v>
      </c>
      <c r="AP57" t="e">
        <f>AND(DATA!K389,"AAAAAHTv/Ck=")</f>
        <v>#VALUE!</v>
      </c>
      <c r="AQ57" t="b">
        <f>AND(DATA!L389,"AAAAAHTv/Co=")</f>
        <v>1</v>
      </c>
      <c r="AR57" t="b">
        <f>AND(DATA!M389,"AAAAAHTv/Cs=")</f>
        <v>1</v>
      </c>
      <c r="AS57" t="b">
        <f>AND(DATA!N389,"AAAAAHTv/Cw=")</f>
        <v>1</v>
      </c>
      <c r="AT57">
        <f>IF(DATA!390:390,"AAAAAHTv/C0=",0)</f>
        <v>0</v>
      </c>
      <c r="AU57" t="e">
        <f>AND(DATA!A390,"AAAAAHTv/C4=")</f>
        <v>#VALUE!</v>
      </c>
      <c r="AV57" t="e">
        <f>AND(DATA!B390,"AAAAAHTv/C8=")</f>
        <v>#VALUE!</v>
      </c>
      <c r="AW57" t="e">
        <f>AND(DATA!C390,"AAAAAHTv/DA=")</f>
        <v>#VALUE!</v>
      </c>
      <c r="AX57" t="e">
        <f>AND(DATA!D390,"AAAAAHTv/DE=")</f>
        <v>#VALUE!</v>
      </c>
      <c r="AY57" t="e">
        <f>AND(DATA!E390,"AAAAAHTv/DI=")</f>
        <v>#VALUE!</v>
      </c>
      <c r="AZ57" t="e">
        <f>AND(DATA!F390,"AAAAAHTv/DM=")</f>
        <v>#VALUE!</v>
      </c>
      <c r="BA57" t="e">
        <f>AND(DATA!G390,"AAAAAHTv/DQ=")</f>
        <v>#VALUE!</v>
      </c>
      <c r="BB57" t="e">
        <f>AND(DATA!H390,"AAAAAHTv/DU=")</f>
        <v>#VALUE!</v>
      </c>
      <c r="BC57" t="e">
        <f>AND(DATA!I390,"AAAAAHTv/DY=")</f>
        <v>#VALUE!</v>
      </c>
      <c r="BD57" t="e">
        <f>AND(DATA!J390,"AAAAAHTv/Dc=")</f>
        <v>#VALUE!</v>
      </c>
      <c r="BE57" t="e">
        <f>AND(DATA!K390,"AAAAAHTv/Dg=")</f>
        <v>#VALUE!</v>
      </c>
      <c r="BF57" t="b">
        <f>AND(DATA!L390,"AAAAAHTv/Dk=")</f>
        <v>1</v>
      </c>
      <c r="BG57" t="b">
        <f>AND(DATA!M390,"AAAAAHTv/Do=")</f>
        <v>1</v>
      </c>
      <c r="BH57" t="b">
        <f>AND(DATA!N390,"AAAAAHTv/Ds=")</f>
        <v>1</v>
      </c>
      <c r="BI57">
        <f>IF(DATA!391:391,"AAAAAHTv/Dw=",0)</f>
        <v>0</v>
      </c>
      <c r="BJ57" t="e">
        <f>AND(DATA!A391,"AAAAAHTv/D0=")</f>
        <v>#VALUE!</v>
      </c>
      <c r="BK57" t="e">
        <f>AND(DATA!B391,"AAAAAHTv/D4=")</f>
        <v>#VALUE!</v>
      </c>
      <c r="BL57" t="e">
        <f>AND(DATA!C391,"AAAAAHTv/D8=")</f>
        <v>#VALUE!</v>
      </c>
      <c r="BM57" t="e">
        <f>AND(DATA!D391,"AAAAAHTv/EA=")</f>
        <v>#VALUE!</v>
      </c>
      <c r="BN57" t="e">
        <f>AND(DATA!E391,"AAAAAHTv/EE=")</f>
        <v>#VALUE!</v>
      </c>
      <c r="BO57" t="e">
        <f>AND(DATA!F391,"AAAAAHTv/EI=")</f>
        <v>#VALUE!</v>
      </c>
      <c r="BP57" t="e">
        <f>AND(DATA!G391,"AAAAAHTv/EM=")</f>
        <v>#VALUE!</v>
      </c>
      <c r="BQ57" t="e">
        <f>AND(DATA!H391,"AAAAAHTv/EQ=")</f>
        <v>#VALUE!</v>
      </c>
      <c r="BR57" t="e">
        <f>AND(DATA!I391,"AAAAAHTv/EU=")</f>
        <v>#VALUE!</v>
      </c>
      <c r="BS57" t="e">
        <f>AND(DATA!J391,"AAAAAHTv/EY=")</f>
        <v>#VALUE!</v>
      </c>
      <c r="BT57" t="e">
        <f>AND(DATA!K391,"AAAAAHTv/Ec=")</f>
        <v>#VALUE!</v>
      </c>
      <c r="BU57" t="b">
        <f>AND(DATA!L391,"AAAAAHTv/Eg=")</f>
        <v>1</v>
      </c>
      <c r="BV57" t="b">
        <f>AND(DATA!M391,"AAAAAHTv/Ek=")</f>
        <v>1</v>
      </c>
      <c r="BW57" t="b">
        <f>AND(DATA!N391,"AAAAAHTv/Eo=")</f>
        <v>1</v>
      </c>
      <c r="BX57">
        <f>IF(DATA!392:392,"AAAAAHTv/Es=",0)</f>
        <v>0</v>
      </c>
      <c r="BY57" t="e">
        <f>AND(DATA!A392,"AAAAAHTv/Ew=")</f>
        <v>#VALUE!</v>
      </c>
      <c r="BZ57" t="e">
        <f>AND(DATA!B392,"AAAAAHTv/E0=")</f>
        <v>#VALUE!</v>
      </c>
      <c r="CA57" t="e">
        <f>AND(DATA!C392,"AAAAAHTv/E4=")</f>
        <v>#VALUE!</v>
      </c>
      <c r="CB57" t="e">
        <f>AND(DATA!D392,"AAAAAHTv/E8=")</f>
        <v>#VALUE!</v>
      </c>
      <c r="CC57" t="e">
        <f>AND(DATA!E392,"AAAAAHTv/FA=")</f>
        <v>#VALUE!</v>
      </c>
      <c r="CD57" t="e">
        <f>AND(DATA!F392,"AAAAAHTv/FE=")</f>
        <v>#VALUE!</v>
      </c>
      <c r="CE57" t="e">
        <f>AND(DATA!G392,"AAAAAHTv/FI=")</f>
        <v>#VALUE!</v>
      </c>
      <c r="CF57" t="e">
        <f>AND(DATA!H392,"AAAAAHTv/FM=")</f>
        <v>#VALUE!</v>
      </c>
      <c r="CG57" t="e">
        <f>AND(DATA!I392,"AAAAAHTv/FQ=")</f>
        <v>#VALUE!</v>
      </c>
      <c r="CH57" t="e">
        <f>AND(DATA!J392,"AAAAAHTv/FU=")</f>
        <v>#VALUE!</v>
      </c>
      <c r="CI57" t="e">
        <f>AND(DATA!K392,"AAAAAHTv/FY=")</f>
        <v>#VALUE!</v>
      </c>
      <c r="CJ57" t="b">
        <f>AND(DATA!L392,"AAAAAHTv/Fc=")</f>
        <v>1</v>
      </c>
      <c r="CK57" t="b">
        <f>AND(DATA!M392,"AAAAAHTv/Fg=")</f>
        <v>1</v>
      </c>
      <c r="CL57" t="b">
        <f>AND(DATA!N392,"AAAAAHTv/Fk=")</f>
        <v>1</v>
      </c>
      <c r="CM57">
        <f>IF(DATA!393:393,"AAAAAHTv/Fo=",0)</f>
        <v>0</v>
      </c>
      <c r="CN57" t="e">
        <f>AND(DATA!A393,"AAAAAHTv/Fs=")</f>
        <v>#VALUE!</v>
      </c>
      <c r="CO57" t="e">
        <f>AND(DATA!B393,"AAAAAHTv/Fw=")</f>
        <v>#VALUE!</v>
      </c>
      <c r="CP57" t="e">
        <f>AND(DATA!C393,"AAAAAHTv/F0=")</f>
        <v>#VALUE!</v>
      </c>
      <c r="CQ57" t="e">
        <f>AND(DATA!D393,"AAAAAHTv/F4=")</f>
        <v>#VALUE!</v>
      </c>
      <c r="CR57" t="e">
        <f>AND(DATA!E393,"AAAAAHTv/F8=")</f>
        <v>#VALUE!</v>
      </c>
      <c r="CS57" t="e">
        <f>AND(DATA!F393,"AAAAAHTv/GA=")</f>
        <v>#VALUE!</v>
      </c>
      <c r="CT57" t="e">
        <f>AND(DATA!G393,"AAAAAHTv/GE=")</f>
        <v>#VALUE!</v>
      </c>
      <c r="CU57" t="e">
        <f>AND(DATA!H393,"AAAAAHTv/GI=")</f>
        <v>#VALUE!</v>
      </c>
      <c r="CV57" t="e">
        <f>AND(DATA!I393,"AAAAAHTv/GM=")</f>
        <v>#VALUE!</v>
      </c>
      <c r="CW57" t="e">
        <f>AND(DATA!J393,"AAAAAHTv/GQ=")</f>
        <v>#VALUE!</v>
      </c>
      <c r="CX57" t="e">
        <f>AND(DATA!K393,"AAAAAHTv/GU=")</f>
        <v>#VALUE!</v>
      </c>
      <c r="CY57" t="b">
        <f>AND(DATA!L393,"AAAAAHTv/GY=")</f>
        <v>1</v>
      </c>
      <c r="CZ57" t="b">
        <f>AND(DATA!M393,"AAAAAHTv/Gc=")</f>
        <v>1</v>
      </c>
      <c r="DA57" t="b">
        <f>AND(DATA!N393,"AAAAAHTv/Gg=")</f>
        <v>1</v>
      </c>
      <c r="DB57">
        <f>IF(DATA!394:394,"AAAAAHTv/Gk=",0)</f>
        <v>0</v>
      </c>
      <c r="DC57" t="e">
        <f>AND(DATA!A394,"AAAAAHTv/Go=")</f>
        <v>#VALUE!</v>
      </c>
      <c r="DD57" t="e">
        <f>AND(DATA!B394,"AAAAAHTv/Gs=")</f>
        <v>#VALUE!</v>
      </c>
      <c r="DE57" t="e">
        <f>AND(DATA!C394,"AAAAAHTv/Gw=")</f>
        <v>#VALUE!</v>
      </c>
      <c r="DF57" t="e">
        <f>AND(DATA!D394,"AAAAAHTv/G0=")</f>
        <v>#VALUE!</v>
      </c>
      <c r="DG57" t="e">
        <f>AND(DATA!E394,"AAAAAHTv/G4=")</f>
        <v>#VALUE!</v>
      </c>
      <c r="DH57" t="e">
        <f>AND(DATA!F394,"AAAAAHTv/G8=")</f>
        <v>#VALUE!</v>
      </c>
      <c r="DI57" t="e">
        <f>AND(DATA!G394,"AAAAAHTv/HA=")</f>
        <v>#VALUE!</v>
      </c>
      <c r="DJ57" t="e">
        <f>AND(DATA!H394,"AAAAAHTv/HE=")</f>
        <v>#VALUE!</v>
      </c>
      <c r="DK57" t="e">
        <f>AND(DATA!I394,"AAAAAHTv/HI=")</f>
        <v>#VALUE!</v>
      </c>
      <c r="DL57" t="e">
        <f>AND(DATA!J394,"AAAAAHTv/HM=")</f>
        <v>#VALUE!</v>
      </c>
      <c r="DM57" t="e">
        <f>AND(DATA!K394,"AAAAAHTv/HQ=")</f>
        <v>#VALUE!</v>
      </c>
      <c r="DN57" t="b">
        <f>AND(DATA!L394,"AAAAAHTv/HU=")</f>
        <v>1</v>
      </c>
      <c r="DO57" t="b">
        <f>AND(DATA!M394,"AAAAAHTv/HY=")</f>
        <v>1</v>
      </c>
      <c r="DP57" t="b">
        <f>AND(DATA!N394,"AAAAAHTv/Hc=")</f>
        <v>1</v>
      </c>
      <c r="DQ57">
        <f>IF(DATA!395:395,"AAAAAHTv/Hg=",0)</f>
        <v>0</v>
      </c>
      <c r="DR57" t="e">
        <f>AND(DATA!A395,"AAAAAHTv/Hk=")</f>
        <v>#VALUE!</v>
      </c>
      <c r="DS57" t="e">
        <f>AND(DATA!B395,"AAAAAHTv/Ho=")</f>
        <v>#VALUE!</v>
      </c>
      <c r="DT57" t="e">
        <f>AND(DATA!C395,"AAAAAHTv/Hs=")</f>
        <v>#VALUE!</v>
      </c>
      <c r="DU57" t="e">
        <f>AND(DATA!D395,"AAAAAHTv/Hw=")</f>
        <v>#VALUE!</v>
      </c>
      <c r="DV57" t="e">
        <f>AND(DATA!E395,"AAAAAHTv/H0=")</f>
        <v>#VALUE!</v>
      </c>
      <c r="DW57" t="e">
        <f>AND(DATA!F395,"AAAAAHTv/H4=")</f>
        <v>#VALUE!</v>
      </c>
      <c r="DX57" t="e">
        <f>AND(DATA!G395,"AAAAAHTv/H8=")</f>
        <v>#VALUE!</v>
      </c>
      <c r="DY57" t="e">
        <f>AND(DATA!H395,"AAAAAHTv/IA=")</f>
        <v>#VALUE!</v>
      </c>
      <c r="DZ57" t="e">
        <f>AND(DATA!I395,"AAAAAHTv/IE=")</f>
        <v>#VALUE!</v>
      </c>
      <c r="EA57" t="e">
        <f>AND(DATA!J395,"AAAAAHTv/II=")</f>
        <v>#VALUE!</v>
      </c>
      <c r="EB57" t="e">
        <f>AND(DATA!K395,"AAAAAHTv/IM=")</f>
        <v>#VALUE!</v>
      </c>
      <c r="EC57" t="b">
        <f>AND(DATA!L395,"AAAAAHTv/IQ=")</f>
        <v>1</v>
      </c>
      <c r="ED57" t="b">
        <f>AND(DATA!M395,"AAAAAHTv/IU=")</f>
        <v>1</v>
      </c>
      <c r="EE57" t="b">
        <f>AND(DATA!N395,"AAAAAHTv/IY=")</f>
        <v>1</v>
      </c>
      <c r="EF57">
        <f>IF(DATA!396:396,"AAAAAHTv/Ic=",0)</f>
        <v>0</v>
      </c>
      <c r="EG57" t="e">
        <f>AND(DATA!A396,"AAAAAHTv/Ig=")</f>
        <v>#VALUE!</v>
      </c>
      <c r="EH57" t="e">
        <f>AND(DATA!B396,"AAAAAHTv/Ik=")</f>
        <v>#VALUE!</v>
      </c>
      <c r="EI57" t="e">
        <f>AND(DATA!C396,"AAAAAHTv/Io=")</f>
        <v>#VALUE!</v>
      </c>
      <c r="EJ57" t="e">
        <f>AND(DATA!D396,"AAAAAHTv/Is=")</f>
        <v>#VALUE!</v>
      </c>
      <c r="EK57" t="e">
        <f>AND(DATA!E396,"AAAAAHTv/Iw=")</f>
        <v>#VALUE!</v>
      </c>
      <c r="EL57" t="e">
        <f>AND(DATA!F396,"AAAAAHTv/I0=")</f>
        <v>#VALUE!</v>
      </c>
      <c r="EM57" t="e">
        <f>AND(DATA!G396,"AAAAAHTv/I4=")</f>
        <v>#VALUE!</v>
      </c>
      <c r="EN57" t="e">
        <f>AND(DATA!H396,"AAAAAHTv/I8=")</f>
        <v>#VALUE!</v>
      </c>
      <c r="EO57" t="e">
        <f>AND(DATA!I396,"AAAAAHTv/JA=")</f>
        <v>#VALUE!</v>
      </c>
      <c r="EP57" t="e">
        <f>AND(DATA!J396,"AAAAAHTv/JE=")</f>
        <v>#VALUE!</v>
      </c>
      <c r="EQ57" t="e">
        <f>AND(DATA!K396,"AAAAAHTv/JI=")</f>
        <v>#VALUE!</v>
      </c>
      <c r="ER57" t="b">
        <f>AND(DATA!L396,"AAAAAHTv/JM=")</f>
        <v>1</v>
      </c>
      <c r="ES57" t="b">
        <f>AND(DATA!M396,"AAAAAHTv/JQ=")</f>
        <v>1</v>
      </c>
      <c r="ET57" t="b">
        <f>AND(DATA!N396,"AAAAAHTv/JU=")</f>
        <v>1</v>
      </c>
      <c r="EU57">
        <f>IF(DATA!397:397,"AAAAAHTv/JY=",0)</f>
        <v>0</v>
      </c>
      <c r="EV57" t="e">
        <f>AND(DATA!A397,"AAAAAHTv/Jc=")</f>
        <v>#VALUE!</v>
      </c>
      <c r="EW57" t="e">
        <f>AND(DATA!B397,"AAAAAHTv/Jg=")</f>
        <v>#VALUE!</v>
      </c>
      <c r="EX57" t="e">
        <f>AND(DATA!C397,"AAAAAHTv/Jk=")</f>
        <v>#VALUE!</v>
      </c>
      <c r="EY57" t="e">
        <f>AND(DATA!D397,"AAAAAHTv/Jo=")</f>
        <v>#VALUE!</v>
      </c>
      <c r="EZ57" t="e">
        <f>AND(DATA!E397,"AAAAAHTv/Js=")</f>
        <v>#VALUE!</v>
      </c>
      <c r="FA57" t="e">
        <f>AND(DATA!F397,"AAAAAHTv/Jw=")</f>
        <v>#VALUE!</v>
      </c>
      <c r="FB57" t="e">
        <f>AND(DATA!G397,"AAAAAHTv/J0=")</f>
        <v>#VALUE!</v>
      </c>
      <c r="FC57" t="e">
        <f>AND(DATA!H397,"AAAAAHTv/J4=")</f>
        <v>#VALUE!</v>
      </c>
      <c r="FD57" t="e">
        <f>AND(DATA!I397,"AAAAAHTv/J8=")</f>
        <v>#VALUE!</v>
      </c>
      <c r="FE57" t="e">
        <f>AND(DATA!J397,"AAAAAHTv/KA=")</f>
        <v>#VALUE!</v>
      </c>
      <c r="FF57" t="e">
        <f>AND(DATA!K397,"AAAAAHTv/KE=")</f>
        <v>#VALUE!</v>
      </c>
      <c r="FG57" t="b">
        <f>AND(DATA!L397,"AAAAAHTv/KI=")</f>
        <v>1</v>
      </c>
      <c r="FH57" t="b">
        <f>AND(DATA!M397,"AAAAAHTv/KM=")</f>
        <v>1</v>
      </c>
      <c r="FI57" t="b">
        <f>AND(DATA!N397,"AAAAAHTv/KQ=")</f>
        <v>1</v>
      </c>
      <c r="FJ57">
        <f>IF(DATA!398:398,"AAAAAHTv/KU=",0)</f>
        <v>0</v>
      </c>
      <c r="FK57" t="e">
        <f>AND(DATA!A398,"AAAAAHTv/KY=")</f>
        <v>#VALUE!</v>
      </c>
      <c r="FL57" t="e">
        <f>AND(DATA!B398,"AAAAAHTv/Kc=")</f>
        <v>#VALUE!</v>
      </c>
      <c r="FM57" t="e">
        <f>AND(DATA!C398,"AAAAAHTv/Kg=")</f>
        <v>#VALUE!</v>
      </c>
      <c r="FN57" t="e">
        <f>AND(DATA!D398,"AAAAAHTv/Kk=")</f>
        <v>#VALUE!</v>
      </c>
      <c r="FO57" t="e">
        <f>AND(DATA!E398,"AAAAAHTv/Ko=")</f>
        <v>#VALUE!</v>
      </c>
      <c r="FP57" t="e">
        <f>AND(DATA!F398,"AAAAAHTv/Ks=")</f>
        <v>#VALUE!</v>
      </c>
      <c r="FQ57" t="e">
        <f>AND(DATA!G398,"AAAAAHTv/Kw=")</f>
        <v>#VALUE!</v>
      </c>
      <c r="FR57" t="e">
        <f>AND(DATA!H398,"AAAAAHTv/K0=")</f>
        <v>#VALUE!</v>
      </c>
      <c r="FS57" t="e">
        <f>AND(DATA!I398,"AAAAAHTv/K4=")</f>
        <v>#VALUE!</v>
      </c>
      <c r="FT57" t="e">
        <f>AND(DATA!J398,"AAAAAHTv/K8=")</f>
        <v>#VALUE!</v>
      </c>
      <c r="FU57" t="e">
        <f>AND(DATA!K398,"AAAAAHTv/LA=")</f>
        <v>#VALUE!</v>
      </c>
      <c r="FV57" t="b">
        <f>AND(DATA!L398,"AAAAAHTv/LE=")</f>
        <v>1</v>
      </c>
      <c r="FW57" t="b">
        <f>AND(DATA!M398,"AAAAAHTv/LI=")</f>
        <v>1</v>
      </c>
      <c r="FX57" t="b">
        <f>AND(DATA!N398,"AAAAAHTv/LM=")</f>
        <v>1</v>
      </c>
      <c r="FY57">
        <f>IF(DATA!399:399,"AAAAAHTv/LQ=",0)</f>
        <v>0</v>
      </c>
      <c r="FZ57" t="e">
        <f>AND(DATA!A399,"AAAAAHTv/LU=")</f>
        <v>#VALUE!</v>
      </c>
      <c r="GA57" t="e">
        <f>AND(DATA!B399,"AAAAAHTv/LY=")</f>
        <v>#VALUE!</v>
      </c>
      <c r="GB57" t="e">
        <f>AND(DATA!C399,"AAAAAHTv/Lc=")</f>
        <v>#VALUE!</v>
      </c>
      <c r="GC57" t="e">
        <f>AND(DATA!D399,"AAAAAHTv/Lg=")</f>
        <v>#VALUE!</v>
      </c>
      <c r="GD57" t="e">
        <f>AND(DATA!E399,"AAAAAHTv/Lk=")</f>
        <v>#VALUE!</v>
      </c>
      <c r="GE57" t="e">
        <f>AND(DATA!F399,"AAAAAHTv/Lo=")</f>
        <v>#VALUE!</v>
      </c>
      <c r="GF57" t="e">
        <f>AND(DATA!G399,"AAAAAHTv/Ls=")</f>
        <v>#VALUE!</v>
      </c>
      <c r="GG57" t="e">
        <f>AND(DATA!H399,"AAAAAHTv/Lw=")</f>
        <v>#VALUE!</v>
      </c>
      <c r="GH57" t="e">
        <f>AND(DATA!I399,"AAAAAHTv/L0=")</f>
        <v>#VALUE!</v>
      </c>
      <c r="GI57" t="e">
        <f>AND(DATA!J399,"AAAAAHTv/L4=")</f>
        <v>#VALUE!</v>
      </c>
      <c r="GJ57" t="e">
        <f>AND(DATA!K399,"AAAAAHTv/L8=")</f>
        <v>#VALUE!</v>
      </c>
      <c r="GK57" t="b">
        <f>AND(DATA!L399,"AAAAAHTv/MA=")</f>
        <v>1</v>
      </c>
      <c r="GL57" t="b">
        <f>AND(DATA!M399,"AAAAAHTv/ME=")</f>
        <v>1</v>
      </c>
      <c r="GM57" t="b">
        <f>AND(DATA!N399,"AAAAAHTv/MI=")</f>
        <v>1</v>
      </c>
      <c r="GN57">
        <f>IF(DATA!400:400,"AAAAAHTv/MM=",0)</f>
        <v>0</v>
      </c>
      <c r="GO57" t="e">
        <f>AND(DATA!A400,"AAAAAHTv/MQ=")</f>
        <v>#VALUE!</v>
      </c>
      <c r="GP57" t="e">
        <f>AND(DATA!B400,"AAAAAHTv/MU=")</f>
        <v>#VALUE!</v>
      </c>
      <c r="GQ57" t="e">
        <f>AND(DATA!C400,"AAAAAHTv/MY=")</f>
        <v>#VALUE!</v>
      </c>
      <c r="GR57" t="e">
        <f>AND(DATA!D400,"AAAAAHTv/Mc=")</f>
        <v>#VALUE!</v>
      </c>
      <c r="GS57" t="e">
        <f>AND(DATA!E400,"AAAAAHTv/Mg=")</f>
        <v>#VALUE!</v>
      </c>
      <c r="GT57" t="e">
        <f>AND(DATA!F400,"AAAAAHTv/Mk=")</f>
        <v>#VALUE!</v>
      </c>
      <c r="GU57" t="e">
        <f>AND(DATA!G400,"AAAAAHTv/Mo=")</f>
        <v>#VALUE!</v>
      </c>
      <c r="GV57" t="e">
        <f>AND(DATA!H400,"AAAAAHTv/Ms=")</f>
        <v>#VALUE!</v>
      </c>
      <c r="GW57" t="e">
        <f>AND(DATA!I400,"AAAAAHTv/Mw=")</f>
        <v>#VALUE!</v>
      </c>
      <c r="GX57" t="e">
        <f>AND(DATA!J400,"AAAAAHTv/M0=")</f>
        <v>#VALUE!</v>
      </c>
      <c r="GY57" t="e">
        <f>AND(DATA!K400,"AAAAAHTv/M4=")</f>
        <v>#VALUE!</v>
      </c>
      <c r="GZ57" t="b">
        <f>AND(DATA!L400,"AAAAAHTv/M8=")</f>
        <v>1</v>
      </c>
      <c r="HA57" t="b">
        <f>AND(DATA!M400,"AAAAAHTv/NA=")</f>
        <v>1</v>
      </c>
      <c r="HB57" t="b">
        <f>AND(DATA!N400,"AAAAAHTv/NE=")</f>
        <v>1</v>
      </c>
      <c r="HC57">
        <f>IF(DATA!401:401,"AAAAAHTv/NI=",0)</f>
        <v>0</v>
      </c>
      <c r="HD57" t="e">
        <f>AND(DATA!A401,"AAAAAHTv/NM=")</f>
        <v>#VALUE!</v>
      </c>
      <c r="HE57" t="e">
        <f>AND(DATA!B401,"AAAAAHTv/NQ=")</f>
        <v>#VALUE!</v>
      </c>
      <c r="HF57" t="e">
        <f>AND(DATA!C401,"AAAAAHTv/NU=")</f>
        <v>#VALUE!</v>
      </c>
      <c r="HG57" t="e">
        <f>AND(DATA!D401,"AAAAAHTv/NY=")</f>
        <v>#VALUE!</v>
      </c>
      <c r="HH57" t="e">
        <f>AND(DATA!E401,"AAAAAHTv/Nc=")</f>
        <v>#VALUE!</v>
      </c>
      <c r="HI57" t="e">
        <f>AND(DATA!F401,"AAAAAHTv/Ng=")</f>
        <v>#VALUE!</v>
      </c>
      <c r="HJ57" t="e">
        <f>AND(DATA!G401,"AAAAAHTv/Nk=")</f>
        <v>#VALUE!</v>
      </c>
      <c r="HK57" t="e">
        <f>AND(DATA!H401,"AAAAAHTv/No=")</f>
        <v>#VALUE!</v>
      </c>
      <c r="HL57" t="e">
        <f>AND(DATA!I401,"AAAAAHTv/Ns=")</f>
        <v>#VALUE!</v>
      </c>
      <c r="HM57" t="e">
        <f>AND(DATA!J401,"AAAAAHTv/Nw=")</f>
        <v>#VALUE!</v>
      </c>
      <c r="HN57" t="e">
        <f>AND(DATA!K401,"AAAAAHTv/N0=")</f>
        <v>#VALUE!</v>
      </c>
      <c r="HO57" t="b">
        <f>AND(DATA!L401,"AAAAAHTv/N4=")</f>
        <v>1</v>
      </c>
      <c r="HP57" t="b">
        <f>AND(DATA!M401,"AAAAAHTv/N8=")</f>
        <v>1</v>
      </c>
      <c r="HQ57" t="b">
        <f>AND(DATA!N401,"AAAAAHTv/OA=")</f>
        <v>1</v>
      </c>
      <c r="HR57">
        <f>IF(DATA!402:402,"AAAAAHTv/OE=",0)</f>
        <v>0</v>
      </c>
      <c r="HS57" t="e">
        <f>AND(DATA!A402,"AAAAAHTv/OI=")</f>
        <v>#VALUE!</v>
      </c>
      <c r="HT57" t="e">
        <f>AND(DATA!B402,"AAAAAHTv/OM=")</f>
        <v>#VALUE!</v>
      </c>
      <c r="HU57" t="e">
        <f>AND(DATA!C402,"AAAAAHTv/OQ=")</f>
        <v>#VALUE!</v>
      </c>
      <c r="HV57" t="e">
        <f>AND(DATA!D402,"AAAAAHTv/OU=")</f>
        <v>#VALUE!</v>
      </c>
      <c r="HW57" t="e">
        <f>AND(DATA!E402,"AAAAAHTv/OY=")</f>
        <v>#VALUE!</v>
      </c>
      <c r="HX57" t="e">
        <f>AND(DATA!F402,"AAAAAHTv/Oc=")</f>
        <v>#VALUE!</v>
      </c>
      <c r="HY57" t="e">
        <f>AND(DATA!G402,"AAAAAHTv/Og=")</f>
        <v>#VALUE!</v>
      </c>
      <c r="HZ57" t="e">
        <f>AND(DATA!H402,"AAAAAHTv/Ok=")</f>
        <v>#VALUE!</v>
      </c>
      <c r="IA57" t="e">
        <f>AND(DATA!I402,"AAAAAHTv/Oo=")</f>
        <v>#VALUE!</v>
      </c>
      <c r="IB57" t="e">
        <f>AND(DATA!J402,"AAAAAHTv/Os=")</f>
        <v>#VALUE!</v>
      </c>
      <c r="IC57" t="e">
        <f>AND(DATA!K402,"AAAAAHTv/Ow=")</f>
        <v>#VALUE!</v>
      </c>
      <c r="ID57" t="b">
        <f>AND(DATA!L402,"AAAAAHTv/O0=")</f>
        <v>1</v>
      </c>
      <c r="IE57" t="b">
        <f>AND(DATA!M402,"AAAAAHTv/O4=")</f>
        <v>1</v>
      </c>
      <c r="IF57" t="b">
        <f>AND(DATA!N402,"AAAAAHTv/O8=")</f>
        <v>1</v>
      </c>
      <c r="IG57">
        <f>IF(DATA!403:403,"AAAAAHTv/PA=",0)</f>
        <v>0</v>
      </c>
      <c r="IH57" t="e">
        <f>AND(DATA!A403,"AAAAAHTv/PE=")</f>
        <v>#VALUE!</v>
      </c>
      <c r="II57" t="e">
        <f>AND(DATA!B403,"AAAAAHTv/PI=")</f>
        <v>#VALUE!</v>
      </c>
      <c r="IJ57" t="e">
        <f>AND(DATA!C403,"AAAAAHTv/PM=")</f>
        <v>#VALUE!</v>
      </c>
      <c r="IK57" t="e">
        <f>AND(DATA!D403,"AAAAAHTv/PQ=")</f>
        <v>#VALUE!</v>
      </c>
      <c r="IL57" t="e">
        <f>AND(DATA!E403,"AAAAAHTv/PU=")</f>
        <v>#VALUE!</v>
      </c>
      <c r="IM57" t="e">
        <f>AND(DATA!F403,"AAAAAHTv/PY=")</f>
        <v>#VALUE!</v>
      </c>
      <c r="IN57" t="e">
        <f>AND(DATA!G403,"AAAAAHTv/Pc=")</f>
        <v>#VALUE!</v>
      </c>
      <c r="IO57" t="e">
        <f>AND(DATA!H403,"AAAAAHTv/Pg=")</f>
        <v>#VALUE!</v>
      </c>
      <c r="IP57" t="e">
        <f>AND(DATA!I403,"AAAAAHTv/Pk=")</f>
        <v>#VALUE!</v>
      </c>
      <c r="IQ57" t="e">
        <f>AND(DATA!J403,"AAAAAHTv/Po=")</f>
        <v>#VALUE!</v>
      </c>
      <c r="IR57" t="e">
        <f>AND(DATA!K403,"AAAAAHTv/Ps=")</f>
        <v>#VALUE!</v>
      </c>
      <c r="IS57" t="b">
        <f>AND(DATA!L403,"AAAAAHTv/Pw=")</f>
        <v>1</v>
      </c>
      <c r="IT57" t="b">
        <f>AND(DATA!M403,"AAAAAHTv/P0=")</f>
        <v>1</v>
      </c>
      <c r="IU57" t="b">
        <f>AND(DATA!N403,"AAAAAHTv/P4=")</f>
        <v>1</v>
      </c>
      <c r="IV57">
        <f>IF(DATA!404:404,"AAAAAHTv/P8=",0)</f>
        <v>0</v>
      </c>
    </row>
    <row r="58" spans="1:256">
      <c r="A58" t="e">
        <f>AND(DATA!A404,"AAAAAG/9fAA=")</f>
        <v>#VALUE!</v>
      </c>
      <c r="B58" t="e">
        <f>AND(DATA!B404,"AAAAAG/9fAE=")</f>
        <v>#VALUE!</v>
      </c>
      <c r="C58" t="e">
        <f>AND(DATA!C404,"AAAAAG/9fAI=")</f>
        <v>#VALUE!</v>
      </c>
      <c r="D58" t="e">
        <f>AND(DATA!D404,"AAAAAG/9fAM=")</f>
        <v>#VALUE!</v>
      </c>
      <c r="E58" t="e">
        <f>AND(DATA!E404,"AAAAAG/9fAQ=")</f>
        <v>#VALUE!</v>
      </c>
      <c r="F58" t="e">
        <f>AND(DATA!F404,"AAAAAG/9fAU=")</f>
        <v>#VALUE!</v>
      </c>
      <c r="G58" t="e">
        <f>AND(DATA!G404,"AAAAAG/9fAY=")</f>
        <v>#VALUE!</v>
      </c>
      <c r="H58" t="e">
        <f>AND(DATA!H404,"AAAAAG/9fAc=")</f>
        <v>#VALUE!</v>
      </c>
      <c r="I58" t="e">
        <f>AND(DATA!I404,"AAAAAG/9fAg=")</f>
        <v>#VALUE!</v>
      </c>
      <c r="J58" t="e">
        <f>AND(DATA!J404,"AAAAAG/9fAk=")</f>
        <v>#VALUE!</v>
      </c>
      <c r="K58" t="e">
        <f>AND(DATA!K404,"AAAAAG/9fAo=")</f>
        <v>#VALUE!</v>
      </c>
      <c r="L58" t="b">
        <f>AND(DATA!L404,"AAAAAG/9fAs=")</f>
        <v>1</v>
      </c>
      <c r="M58" t="b">
        <f>AND(DATA!M404,"AAAAAG/9fAw=")</f>
        <v>1</v>
      </c>
      <c r="N58" t="b">
        <f>AND(DATA!N404,"AAAAAG/9fA0=")</f>
        <v>1</v>
      </c>
      <c r="O58">
        <f>IF(DATA!405:405,"AAAAAG/9fA4=",0)</f>
        <v>0</v>
      </c>
      <c r="P58" t="e">
        <f>AND(DATA!A405,"AAAAAG/9fA8=")</f>
        <v>#VALUE!</v>
      </c>
      <c r="Q58" t="e">
        <f>AND(DATA!B405,"AAAAAG/9fBA=")</f>
        <v>#VALUE!</v>
      </c>
      <c r="R58" t="e">
        <f>AND(DATA!C405,"AAAAAG/9fBE=")</f>
        <v>#VALUE!</v>
      </c>
      <c r="S58" t="e">
        <f>AND(DATA!D405,"AAAAAG/9fBI=")</f>
        <v>#VALUE!</v>
      </c>
      <c r="T58" t="e">
        <f>AND(DATA!E405,"AAAAAG/9fBM=")</f>
        <v>#VALUE!</v>
      </c>
      <c r="U58" t="e">
        <f>AND(DATA!F405,"AAAAAG/9fBQ=")</f>
        <v>#VALUE!</v>
      </c>
      <c r="V58" t="e">
        <f>AND(DATA!G405,"AAAAAG/9fBU=")</f>
        <v>#VALUE!</v>
      </c>
      <c r="W58" t="e">
        <f>AND(DATA!H405,"AAAAAG/9fBY=")</f>
        <v>#VALUE!</v>
      </c>
      <c r="X58" t="e">
        <f>AND(DATA!I405,"AAAAAG/9fBc=")</f>
        <v>#VALUE!</v>
      </c>
      <c r="Y58" t="e">
        <f>AND(DATA!J405,"AAAAAG/9fBg=")</f>
        <v>#VALUE!</v>
      </c>
      <c r="Z58" t="e">
        <f>AND(DATA!K405,"AAAAAG/9fBk=")</f>
        <v>#VALUE!</v>
      </c>
      <c r="AA58" t="b">
        <f>AND(DATA!L405,"AAAAAG/9fBo=")</f>
        <v>1</v>
      </c>
      <c r="AB58" t="b">
        <f>AND(DATA!M405,"AAAAAG/9fBs=")</f>
        <v>1</v>
      </c>
      <c r="AC58" t="b">
        <f>AND(DATA!N405,"AAAAAG/9fBw=")</f>
        <v>1</v>
      </c>
      <c r="AD58">
        <f>IF(DATA!406:406,"AAAAAG/9fB0=",0)</f>
        <v>0</v>
      </c>
      <c r="AE58" t="e">
        <f>AND(DATA!A406,"AAAAAG/9fB4=")</f>
        <v>#VALUE!</v>
      </c>
      <c r="AF58" t="e">
        <f>AND(DATA!B406,"AAAAAG/9fB8=")</f>
        <v>#VALUE!</v>
      </c>
      <c r="AG58" t="e">
        <f>AND(DATA!C406,"AAAAAG/9fCA=")</f>
        <v>#VALUE!</v>
      </c>
      <c r="AH58" t="e">
        <f>AND(DATA!D406,"AAAAAG/9fCE=")</f>
        <v>#VALUE!</v>
      </c>
      <c r="AI58" t="e">
        <f>AND(DATA!E406,"AAAAAG/9fCI=")</f>
        <v>#VALUE!</v>
      </c>
      <c r="AJ58" t="e">
        <f>AND(DATA!F406,"AAAAAG/9fCM=")</f>
        <v>#VALUE!</v>
      </c>
      <c r="AK58" t="e">
        <f>AND(DATA!G406,"AAAAAG/9fCQ=")</f>
        <v>#VALUE!</v>
      </c>
      <c r="AL58" t="e">
        <f>AND(DATA!H406,"AAAAAG/9fCU=")</f>
        <v>#VALUE!</v>
      </c>
      <c r="AM58" t="e">
        <f>AND(DATA!I406,"AAAAAG/9fCY=")</f>
        <v>#VALUE!</v>
      </c>
      <c r="AN58" t="e">
        <f>AND(DATA!J406,"AAAAAG/9fCc=")</f>
        <v>#VALUE!</v>
      </c>
      <c r="AO58" t="e">
        <f>AND(DATA!K406,"AAAAAG/9fCg=")</f>
        <v>#VALUE!</v>
      </c>
      <c r="AP58" t="b">
        <f>AND(DATA!L406,"AAAAAG/9fCk=")</f>
        <v>1</v>
      </c>
      <c r="AQ58" t="b">
        <f>AND(DATA!M406,"AAAAAG/9fCo=")</f>
        <v>1</v>
      </c>
      <c r="AR58" t="b">
        <f>AND(DATA!N406,"AAAAAG/9fCs=")</f>
        <v>1</v>
      </c>
      <c r="AS58">
        <f>IF(DATA!407:407,"AAAAAG/9fCw=",0)</f>
        <v>0</v>
      </c>
      <c r="AT58" t="e">
        <f>AND(DATA!A407,"AAAAAG/9fC0=")</f>
        <v>#VALUE!</v>
      </c>
      <c r="AU58" t="e">
        <f>AND(DATA!B407,"AAAAAG/9fC4=")</f>
        <v>#VALUE!</v>
      </c>
      <c r="AV58" t="e">
        <f>AND(DATA!C407,"AAAAAG/9fC8=")</f>
        <v>#VALUE!</v>
      </c>
      <c r="AW58" t="e">
        <f>AND(DATA!D407,"AAAAAG/9fDA=")</f>
        <v>#VALUE!</v>
      </c>
      <c r="AX58" t="e">
        <f>AND(DATA!E407,"AAAAAG/9fDE=")</f>
        <v>#VALUE!</v>
      </c>
      <c r="AY58" t="e">
        <f>AND(DATA!F407,"AAAAAG/9fDI=")</f>
        <v>#VALUE!</v>
      </c>
      <c r="AZ58" t="e">
        <f>AND(DATA!G407,"AAAAAG/9fDM=")</f>
        <v>#VALUE!</v>
      </c>
      <c r="BA58" t="e">
        <f>AND(DATA!H407,"AAAAAG/9fDQ=")</f>
        <v>#VALUE!</v>
      </c>
      <c r="BB58" t="e">
        <f>AND(DATA!I407,"AAAAAG/9fDU=")</f>
        <v>#VALUE!</v>
      </c>
      <c r="BC58" t="e">
        <f>AND(DATA!J407,"AAAAAG/9fDY=")</f>
        <v>#VALUE!</v>
      </c>
      <c r="BD58" t="e">
        <f>AND(DATA!K407,"AAAAAG/9fDc=")</f>
        <v>#VALUE!</v>
      </c>
      <c r="BE58" t="b">
        <f>AND(DATA!L407,"AAAAAG/9fDg=")</f>
        <v>1</v>
      </c>
      <c r="BF58" t="b">
        <f>AND(DATA!M407,"AAAAAG/9fDk=")</f>
        <v>1</v>
      </c>
      <c r="BG58" t="b">
        <f>AND(DATA!N407,"AAAAAG/9fDo=")</f>
        <v>1</v>
      </c>
      <c r="BH58">
        <f>IF(DATA!408:408,"AAAAAG/9fDs=",0)</f>
        <v>0</v>
      </c>
      <c r="BI58" t="e">
        <f>AND(DATA!A408,"AAAAAG/9fDw=")</f>
        <v>#VALUE!</v>
      </c>
      <c r="BJ58" t="e">
        <f>AND(DATA!B408,"AAAAAG/9fD0=")</f>
        <v>#VALUE!</v>
      </c>
      <c r="BK58" t="e">
        <f>AND(DATA!C408,"AAAAAG/9fD4=")</f>
        <v>#VALUE!</v>
      </c>
      <c r="BL58" t="e">
        <f>AND(DATA!D408,"AAAAAG/9fD8=")</f>
        <v>#VALUE!</v>
      </c>
      <c r="BM58" t="e">
        <f>AND(DATA!E408,"AAAAAG/9fEA=")</f>
        <v>#VALUE!</v>
      </c>
      <c r="BN58" t="e">
        <f>AND(DATA!F408,"AAAAAG/9fEE=")</f>
        <v>#VALUE!</v>
      </c>
      <c r="BO58" t="e">
        <f>AND(DATA!G408,"AAAAAG/9fEI=")</f>
        <v>#VALUE!</v>
      </c>
      <c r="BP58" t="e">
        <f>AND(DATA!H408,"AAAAAG/9fEM=")</f>
        <v>#VALUE!</v>
      </c>
      <c r="BQ58" t="e">
        <f>AND(DATA!I408,"AAAAAG/9fEQ=")</f>
        <v>#VALUE!</v>
      </c>
      <c r="BR58" t="e">
        <f>AND(DATA!J408,"AAAAAG/9fEU=")</f>
        <v>#VALUE!</v>
      </c>
      <c r="BS58" t="e">
        <f>AND(DATA!K408,"AAAAAG/9fEY=")</f>
        <v>#VALUE!</v>
      </c>
      <c r="BT58" t="b">
        <f>AND(DATA!L408,"AAAAAG/9fEc=")</f>
        <v>1</v>
      </c>
      <c r="BU58" t="b">
        <f>AND(DATA!M408,"AAAAAG/9fEg=")</f>
        <v>1</v>
      </c>
      <c r="BV58" t="b">
        <f>AND(DATA!N408,"AAAAAG/9fEk=")</f>
        <v>1</v>
      </c>
      <c r="BW58">
        <f>IF(DATA!409:409,"AAAAAG/9fEo=",0)</f>
        <v>0</v>
      </c>
      <c r="BX58" t="e">
        <f>AND(DATA!A409,"AAAAAG/9fEs=")</f>
        <v>#VALUE!</v>
      </c>
      <c r="BY58" t="e">
        <f>AND(DATA!B409,"AAAAAG/9fEw=")</f>
        <v>#VALUE!</v>
      </c>
      <c r="BZ58" t="e">
        <f>AND(DATA!C409,"AAAAAG/9fE0=")</f>
        <v>#VALUE!</v>
      </c>
      <c r="CA58" t="e">
        <f>AND(DATA!D409,"AAAAAG/9fE4=")</f>
        <v>#VALUE!</v>
      </c>
      <c r="CB58" t="e">
        <f>AND(DATA!E409,"AAAAAG/9fE8=")</f>
        <v>#VALUE!</v>
      </c>
      <c r="CC58" t="e">
        <f>AND(DATA!F409,"AAAAAG/9fFA=")</f>
        <v>#VALUE!</v>
      </c>
      <c r="CD58" t="e">
        <f>AND(DATA!G409,"AAAAAG/9fFE=")</f>
        <v>#VALUE!</v>
      </c>
      <c r="CE58" t="e">
        <f>AND(DATA!H409,"AAAAAG/9fFI=")</f>
        <v>#VALUE!</v>
      </c>
      <c r="CF58" t="e">
        <f>AND(DATA!I409,"AAAAAG/9fFM=")</f>
        <v>#VALUE!</v>
      </c>
      <c r="CG58" t="e">
        <f>AND(DATA!J409,"AAAAAG/9fFQ=")</f>
        <v>#VALUE!</v>
      </c>
      <c r="CH58" t="e">
        <f>AND(DATA!K409,"AAAAAG/9fFU=")</f>
        <v>#VALUE!</v>
      </c>
      <c r="CI58" t="b">
        <f>AND(DATA!L409,"AAAAAG/9fFY=")</f>
        <v>1</v>
      </c>
      <c r="CJ58" t="b">
        <f>AND(DATA!M409,"AAAAAG/9fFc=")</f>
        <v>1</v>
      </c>
      <c r="CK58" t="b">
        <f>AND(DATA!N409,"AAAAAG/9fFg=")</f>
        <v>1</v>
      </c>
      <c r="CL58">
        <f>IF(DATA!410:410,"AAAAAG/9fFk=",0)</f>
        <v>0</v>
      </c>
      <c r="CM58" t="e">
        <f>AND(DATA!A410,"AAAAAG/9fFo=")</f>
        <v>#VALUE!</v>
      </c>
      <c r="CN58" t="e">
        <f>AND(DATA!B410,"AAAAAG/9fFs=")</f>
        <v>#VALUE!</v>
      </c>
      <c r="CO58" t="e">
        <f>AND(DATA!C410,"AAAAAG/9fFw=")</f>
        <v>#VALUE!</v>
      </c>
      <c r="CP58" t="e">
        <f>AND(DATA!D410,"AAAAAG/9fF0=")</f>
        <v>#VALUE!</v>
      </c>
      <c r="CQ58" t="e">
        <f>AND(DATA!E410,"AAAAAG/9fF4=")</f>
        <v>#VALUE!</v>
      </c>
      <c r="CR58" t="e">
        <f>AND(DATA!F410,"AAAAAG/9fF8=")</f>
        <v>#VALUE!</v>
      </c>
      <c r="CS58" t="e">
        <f>AND(DATA!G410,"AAAAAG/9fGA=")</f>
        <v>#VALUE!</v>
      </c>
      <c r="CT58" t="e">
        <f>AND(DATA!H410,"AAAAAG/9fGE=")</f>
        <v>#VALUE!</v>
      </c>
      <c r="CU58" t="e">
        <f>AND(DATA!I410,"AAAAAG/9fGI=")</f>
        <v>#VALUE!</v>
      </c>
      <c r="CV58" t="e">
        <f>AND(DATA!J410,"AAAAAG/9fGM=")</f>
        <v>#VALUE!</v>
      </c>
      <c r="CW58" t="e">
        <f>AND(DATA!K410,"AAAAAG/9fGQ=")</f>
        <v>#VALUE!</v>
      </c>
      <c r="CX58" t="b">
        <f>AND(DATA!L410,"AAAAAG/9fGU=")</f>
        <v>1</v>
      </c>
      <c r="CY58" t="b">
        <f>AND(DATA!M410,"AAAAAG/9fGY=")</f>
        <v>1</v>
      </c>
      <c r="CZ58" t="b">
        <f>AND(DATA!N410,"AAAAAG/9fGc=")</f>
        <v>1</v>
      </c>
      <c r="DA58">
        <f>IF(DATA!411:411,"AAAAAG/9fGg=",0)</f>
        <v>0</v>
      </c>
      <c r="DB58" t="e">
        <f>AND(DATA!A411,"AAAAAG/9fGk=")</f>
        <v>#VALUE!</v>
      </c>
      <c r="DC58" t="e">
        <f>AND(DATA!B411,"AAAAAG/9fGo=")</f>
        <v>#VALUE!</v>
      </c>
      <c r="DD58" t="e">
        <f>AND(DATA!C411,"AAAAAG/9fGs=")</f>
        <v>#VALUE!</v>
      </c>
      <c r="DE58" t="e">
        <f>AND(DATA!D411,"AAAAAG/9fGw=")</f>
        <v>#VALUE!</v>
      </c>
      <c r="DF58" t="e">
        <f>AND(DATA!E411,"AAAAAG/9fG0=")</f>
        <v>#VALUE!</v>
      </c>
      <c r="DG58" t="e">
        <f>AND(DATA!F411,"AAAAAG/9fG4=")</f>
        <v>#VALUE!</v>
      </c>
      <c r="DH58" t="e">
        <f>AND(DATA!G411,"AAAAAG/9fG8=")</f>
        <v>#VALUE!</v>
      </c>
      <c r="DI58" t="e">
        <f>AND(DATA!H411,"AAAAAG/9fHA=")</f>
        <v>#VALUE!</v>
      </c>
      <c r="DJ58" t="e">
        <f>AND(DATA!I411,"AAAAAG/9fHE=")</f>
        <v>#VALUE!</v>
      </c>
      <c r="DK58" t="e">
        <f>AND(DATA!J411,"AAAAAG/9fHI=")</f>
        <v>#VALUE!</v>
      </c>
      <c r="DL58" t="e">
        <f>AND(DATA!K411,"AAAAAG/9fHM=")</f>
        <v>#VALUE!</v>
      </c>
      <c r="DM58" t="b">
        <f>AND(DATA!L411,"AAAAAG/9fHQ=")</f>
        <v>1</v>
      </c>
      <c r="DN58" t="b">
        <f>AND(DATA!M411,"AAAAAG/9fHU=")</f>
        <v>1</v>
      </c>
      <c r="DO58" t="b">
        <f>AND(DATA!N411,"AAAAAG/9fHY=")</f>
        <v>1</v>
      </c>
      <c r="DP58">
        <f>IF(DATA!412:412,"AAAAAG/9fHc=",0)</f>
        <v>0</v>
      </c>
      <c r="DQ58" t="e">
        <f>AND(DATA!A412,"AAAAAG/9fHg=")</f>
        <v>#VALUE!</v>
      </c>
      <c r="DR58" t="e">
        <f>AND(DATA!B412,"AAAAAG/9fHk=")</f>
        <v>#VALUE!</v>
      </c>
      <c r="DS58" t="e">
        <f>AND(DATA!C412,"AAAAAG/9fHo=")</f>
        <v>#VALUE!</v>
      </c>
      <c r="DT58" t="e">
        <f>AND(DATA!D412,"AAAAAG/9fHs=")</f>
        <v>#VALUE!</v>
      </c>
      <c r="DU58" t="e">
        <f>AND(DATA!E412,"AAAAAG/9fHw=")</f>
        <v>#VALUE!</v>
      </c>
      <c r="DV58" t="e">
        <f>AND(DATA!F412,"AAAAAG/9fH0=")</f>
        <v>#VALUE!</v>
      </c>
      <c r="DW58" t="e">
        <f>AND(DATA!G412,"AAAAAG/9fH4=")</f>
        <v>#VALUE!</v>
      </c>
      <c r="DX58" t="e">
        <f>AND(DATA!H412,"AAAAAG/9fH8=")</f>
        <v>#VALUE!</v>
      </c>
      <c r="DY58" t="e">
        <f>AND(DATA!I412,"AAAAAG/9fIA=")</f>
        <v>#VALUE!</v>
      </c>
      <c r="DZ58" t="e">
        <f>AND(DATA!J412,"AAAAAG/9fIE=")</f>
        <v>#VALUE!</v>
      </c>
      <c r="EA58" t="e">
        <f>AND(DATA!K412,"AAAAAG/9fII=")</f>
        <v>#VALUE!</v>
      </c>
      <c r="EB58" t="b">
        <f>AND(DATA!L412,"AAAAAG/9fIM=")</f>
        <v>1</v>
      </c>
      <c r="EC58" t="b">
        <f>AND(DATA!M412,"AAAAAG/9fIQ=")</f>
        <v>1</v>
      </c>
      <c r="ED58" t="b">
        <f>AND(DATA!N412,"AAAAAG/9fIU=")</f>
        <v>1</v>
      </c>
      <c r="EE58">
        <f>IF(DATA!413:413,"AAAAAG/9fIY=",0)</f>
        <v>0</v>
      </c>
      <c r="EF58" t="e">
        <f>AND(DATA!A413,"AAAAAG/9fIc=")</f>
        <v>#VALUE!</v>
      </c>
      <c r="EG58" t="e">
        <f>AND(DATA!B413,"AAAAAG/9fIg=")</f>
        <v>#VALUE!</v>
      </c>
      <c r="EH58" t="e">
        <f>AND(DATA!C413,"AAAAAG/9fIk=")</f>
        <v>#VALUE!</v>
      </c>
      <c r="EI58" t="e">
        <f>AND(DATA!D413,"AAAAAG/9fIo=")</f>
        <v>#VALUE!</v>
      </c>
      <c r="EJ58" t="e">
        <f>AND(DATA!E413,"AAAAAG/9fIs=")</f>
        <v>#VALUE!</v>
      </c>
      <c r="EK58" t="e">
        <f>AND(DATA!F413,"AAAAAG/9fIw=")</f>
        <v>#VALUE!</v>
      </c>
      <c r="EL58" t="e">
        <f>AND(DATA!G413,"AAAAAG/9fI0=")</f>
        <v>#VALUE!</v>
      </c>
      <c r="EM58" t="e">
        <f>AND(DATA!H413,"AAAAAG/9fI4=")</f>
        <v>#VALUE!</v>
      </c>
      <c r="EN58" t="e">
        <f>AND(DATA!I413,"AAAAAG/9fI8=")</f>
        <v>#VALUE!</v>
      </c>
      <c r="EO58" t="e">
        <f>AND(DATA!J413,"AAAAAG/9fJA=")</f>
        <v>#VALUE!</v>
      </c>
      <c r="EP58" t="e">
        <f>AND(DATA!K413,"AAAAAG/9fJE=")</f>
        <v>#VALUE!</v>
      </c>
      <c r="EQ58" t="b">
        <f>AND(DATA!L413,"AAAAAG/9fJI=")</f>
        <v>1</v>
      </c>
      <c r="ER58" t="b">
        <f>AND(DATA!M413,"AAAAAG/9fJM=")</f>
        <v>1</v>
      </c>
      <c r="ES58" t="b">
        <f>AND(DATA!N413,"AAAAAG/9fJQ=")</f>
        <v>1</v>
      </c>
      <c r="ET58">
        <f>IF(DATA!414:414,"AAAAAG/9fJU=",0)</f>
        <v>0</v>
      </c>
      <c r="EU58" t="e">
        <f>AND(DATA!A414,"AAAAAG/9fJY=")</f>
        <v>#VALUE!</v>
      </c>
      <c r="EV58" t="e">
        <f>AND(DATA!B414,"AAAAAG/9fJc=")</f>
        <v>#VALUE!</v>
      </c>
      <c r="EW58" t="e">
        <f>AND(DATA!C414,"AAAAAG/9fJg=")</f>
        <v>#VALUE!</v>
      </c>
      <c r="EX58" t="e">
        <f>AND(DATA!D414,"AAAAAG/9fJk=")</f>
        <v>#VALUE!</v>
      </c>
      <c r="EY58" t="e">
        <f>AND(DATA!E414,"AAAAAG/9fJo=")</f>
        <v>#VALUE!</v>
      </c>
      <c r="EZ58" t="e">
        <f>AND(DATA!F414,"AAAAAG/9fJs=")</f>
        <v>#VALUE!</v>
      </c>
      <c r="FA58" t="e">
        <f>AND(DATA!G414,"AAAAAG/9fJw=")</f>
        <v>#VALUE!</v>
      </c>
      <c r="FB58" t="e">
        <f>AND(DATA!H414,"AAAAAG/9fJ0=")</f>
        <v>#VALUE!</v>
      </c>
      <c r="FC58" t="e">
        <f>AND(DATA!I414,"AAAAAG/9fJ4=")</f>
        <v>#VALUE!</v>
      </c>
      <c r="FD58" t="e">
        <f>AND(DATA!J414,"AAAAAG/9fJ8=")</f>
        <v>#VALUE!</v>
      </c>
      <c r="FE58" t="e">
        <f>AND(DATA!K414,"AAAAAG/9fKA=")</f>
        <v>#VALUE!</v>
      </c>
      <c r="FF58" t="b">
        <f>AND(DATA!L414,"AAAAAG/9fKE=")</f>
        <v>1</v>
      </c>
      <c r="FG58" t="b">
        <f>AND(DATA!M414,"AAAAAG/9fKI=")</f>
        <v>1</v>
      </c>
      <c r="FH58" t="b">
        <f>AND(DATA!N414,"AAAAAG/9fKM=")</f>
        <v>1</v>
      </c>
      <c r="FI58">
        <f>IF(DATA!415:415,"AAAAAG/9fKQ=",0)</f>
        <v>0</v>
      </c>
      <c r="FJ58" t="e">
        <f>AND(DATA!A415,"AAAAAG/9fKU=")</f>
        <v>#VALUE!</v>
      </c>
      <c r="FK58" t="e">
        <f>AND(DATA!B415,"AAAAAG/9fKY=")</f>
        <v>#VALUE!</v>
      </c>
      <c r="FL58" t="e">
        <f>AND(DATA!C415,"AAAAAG/9fKc=")</f>
        <v>#VALUE!</v>
      </c>
      <c r="FM58" t="e">
        <f>AND(DATA!D415,"AAAAAG/9fKg=")</f>
        <v>#VALUE!</v>
      </c>
      <c r="FN58" t="e">
        <f>AND(DATA!E415,"AAAAAG/9fKk=")</f>
        <v>#VALUE!</v>
      </c>
      <c r="FO58" t="e">
        <f>AND(DATA!F415,"AAAAAG/9fKo=")</f>
        <v>#VALUE!</v>
      </c>
      <c r="FP58" t="e">
        <f>AND(DATA!G415,"AAAAAG/9fKs=")</f>
        <v>#VALUE!</v>
      </c>
      <c r="FQ58" t="e">
        <f>AND(DATA!H415,"AAAAAG/9fKw=")</f>
        <v>#VALUE!</v>
      </c>
      <c r="FR58" t="e">
        <f>AND(DATA!I415,"AAAAAG/9fK0=")</f>
        <v>#VALUE!</v>
      </c>
      <c r="FS58" t="e">
        <f>AND(DATA!J415,"AAAAAG/9fK4=")</f>
        <v>#VALUE!</v>
      </c>
      <c r="FT58" t="e">
        <f>AND(DATA!K415,"AAAAAG/9fK8=")</f>
        <v>#VALUE!</v>
      </c>
      <c r="FU58" t="b">
        <f>AND(DATA!L415,"AAAAAG/9fLA=")</f>
        <v>1</v>
      </c>
      <c r="FV58" t="b">
        <f>AND(DATA!M415,"AAAAAG/9fLE=")</f>
        <v>1</v>
      </c>
      <c r="FW58" t="b">
        <f>AND(DATA!N415,"AAAAAG/9fLI=")</f>
        <v>1</v>
      </c>
      <c r="FX58">
        <f>IF(DATA!416:416,"AAAAAG/9fLM=",0)</f>
        <v>0</v>
      </c>
      <c r="FY58" t="e">
        <f>AND(DATA!A416,"AAAAAG/9fLQ=")</f>
        <v>#VALUE!</v>
      </c>
      <c r="FZ58" t="e">
        <f>AND(DATA!B416,"AAAAAG/9fLU=")</f>
        <v>#VALUE!</v>
      </c>
      <c r="GA58" t="e">
        <f>AND(DATA!C416,"AAAAAG/9fLY=")</f>
        <v>#VALUE!</v>
      </c>
      <c r="GB58" t="e">
        <f>AND(DATA!D416,"AAAAAG/9fLc=")</f>
        <v>#VALUE!</v>
      </c>
      <c r="GC58" t="e">
        <f>AND(DATA!E416,"AAAAAG/9fLg=")</f>
        <v>#VALUE!</v>
      </c>
      <c r="GD58" t="e">
        <f>AND(DATA!F416,"AAAAAG/9fLk=")</f>
        <v>#VALUE!</v>
      </c>
      <c r="GE58" t="e">
        <f>AND(DATA!G416,"AAAAAG/9fLo=")</f>
        <v>#VALUE!</v>
      </c>
      <c r="GF58" t="e">
        <f>AND(DATA!H416,"AAAAAG/9fLs=")</f>
        <v>#VALUE!</v>
      </c>
      <c r="GG58" t="e">
        <f>AND(DATA!I416,"AAAAAG/9fLw=")</f>
        <v>#VALUE!</v>
      </c>
      <c r="GH58" t="e">
        <f>AND(DATA!J416,"AAAAAG/9fL0=")</f>
        <v>#VALUE!</v>
      </c>
      <c r="GI58" t="e">
        <f>AND(DATA!K416,"AAAAAG/9fL4=")</f>
        <v>#VALUE!</v>
      </c>
      <c r="GJ58" t="b">
        <f>AND(DATA!L416,"AAAAAG/9fL8=")</f>
        <v>1</v>
      </c>
      <c r="GK58" t="b">
        <f>AND(DATA!M416,"AAAAAG/9fMA=")</f>
        <v>1</v>
      </c>
      <c r="GL58" t="b">
        <f>AND(DATA!N416,"AAAAAG/9fME=")</f>
        <v>1</v>
      </c>
      <c r="GM58">
        <f>IF(DATA!417:417,"AAAAAG/9fMI=",0)</f>
        <v>0</v>
      </c>
      <c r="GN58" t="e">
        <f>AND(DATA!A417,"AAAAAG/9fMM=")</f>
        <v>#VALUE!</v>
      </c>
      <c r="GO58" t="e">
        <f>AND(DATA!B417,"AAAAAG/9fMQ=")</f>
        <v>#VALUE!</v>
      </c>
      <c r="GP58" t="e">
        <f>AND(DATA!C417,"AAAAAG/9fMU=")</f>
        <v>#VALUE!</v>
      </c>
      <c r="GQ58" t="e">
        <f>AND(DATA!D417,"AAAAAG/9fMY=")</f>
        <v>#VALUE!</v>
      </c>
      <c r="GR58" t="e">
        <f>AND(DATA!E417,"AAAAAG/9fMc=")</f>
        <v>#VALUE!</v>
      </c>
      <c r="GS58" t="e">
        <f>AND(DATA!F417,"AAAAAG/9fMg=")</f>
        <v>#VALUE!</v>
      </c>
      <c r="GT58" t="e">
        <f>AND(DATA!G417,"AAAAAG/9fMk=")</f>
        <v>#VALUE!</v>
      </c>
      <c r="GU58" t="e">
        <f>AND(DATA!H417,"AAAAAG/9fMo=")</f>
        <v>#VALUE!</v>
      </c>
      <c r="GV58" t="e">
        <f>AND(DATA!I417,"AAAAAG/9fMs=")</f>
        <v>#VALUE!</v>
      </c>
      <c r="GW58" t="e">
        <f>AND(DATA!J417,"AAAAAG/9fMw=")</f>
        <v>#VALUE!</v>
      </c>
      <c r="GX58" t="e">
        <f>AND(DATA!K417,"AAAAAG/9fM0=")</f>
        <v>#VALUE!</v>
      </c>
      <c r="GY58" t="b">
        <f>AND(DATA!L417,"AAAAAG/9fM4=")</f>
        <v>1</v>
      </c>
      <c r="GZ58" t="b">
        <f>AND(DATA!M417,"AAAAAG/9fM8=")</f>
        <v>1</v>
      </c>
      <c r="HA58" t="b">
        <f>AND(DATA!N417,"AAAAAG/9fNA=")</f>
        <v>1</v>
      </c>
      <c r="HB58">
        <f>IF(DATA!418:418,"AAAAAG/9fNE=",0)</f>
        <v>0</v>
      </c>
      <c r="HC58" t="e">
        <f>AND(DATA!A418,"AAAAAG/9fNI=")</f>
        <v>#VALUE!</v>
      </c>
      <c r="HD58" t="e">
        <f>AND(DATA!B418,"AAAAAG/9fNM=")</f>
        <v>#VALUE!</v>
      </c>
      <c r="HE58" t="e">
        <f>AND(DATA!C418,"AAAAAG/9fNQ=")</f>
        <v>#VALUE!</v>
      </c>
      <c r="HF58" t="e">
        <f>AND(DATA!D418,"AAAAAG/9fNU=")</f>
        <v>#VALUE!</v>
      </c>
      <c r="HG58" t="e">
        <f>AND(DATA!E418,"AAAAAG/9fNY=")</f>
        <v>#VALUE!</v>
      </c>
      <c r="HH58" t="e">
        <f>AND(DATA!F418,"AAAAAG/9fNc=")</f>
        <v>#VALUE!</v>
      </c>
      <c r="HI58" t="e">
        <f>AND(DATA!G418,"AAAAAG/9fNg=")</f>
        <v>#VALUE!</v>
      </c>
      <c r="HJ58" t="e">
        <f>AND(DATA!H418,"AAAAAG/9fNk=")</f>
        <v>#VALUE!</v>
      </c>
      <c r="HK58" t="e">
        <f>AND(DATA!I418,"AAAAAG/9fNo=")</f>
        <v>#VALUE!</v>
      </c>
      <c r="HL58" t="e">
        <f>AND(DATA!J418,"AAAAAG/9fNs=")</f>
        <v>#VALUE!</v>
      </c>
      <c r="HM58" t="e">
        <f>AND(DATA!K418,"AAAAAG/9fNw=")</f>
        <v>#VALUE!</v>
      </c>
      <c r="HN58" t="b">
        <f>AND(DATA!L418,"AAAAAG/9fN0=")</f>
        <v>1</v>
      </c>
      <c r="HO58" t="b">
        <f>AND(DATA!M418,"AAAAAG/9fN4=")</f>
        <v>1</v>
      </c>
      <c r="HP58" t="b">
        <f>AND(DATA!N418,"AAAAAG/9fN8=")</f>
        <v>1</v>
      </c>
      <c r="HQ58">
        <f>IF(DATA!419:419,"AAAAAG/9fOA=",0)</f>
        <v>0</v>
      </c>
      <c r="HR58" t="e">
        <f>AND(DATA!A419,"AAAAAG/9fOE=")</f>
        <v>#VALUE!</v>
      </c>
      <c r="HS58" t="e">
        <f>AND(DATA!B419,"AAAAAG/9fOI=")</f>
        <v>#VALUE!</v>
      </c>
      <c r="HT58" t="e">
        <f>AND(DATA!C419,"AAAAAG/9fOM=")</f>
        <v>#VALUE!</v>
      </c>
      <c r="HU58" t="e">
        <f>AND(DATA!D419,"AAAAAG/9fOQ=")</f>
        <v>#VALUE!</v>
      </c>
      <c r="HV58" t="e">
        <f>AND(DATA!E419,"AAAAAG/9fOU=")</f>
        <v>#VALUE!</v>
      </c>
      <c r="HW58" t="e">
        <f>AND(DATA!F419,"AAAAAG/9fOY=")</f>
        <v>#VALUE!</v>
      </c>
      <c r="HX58" t="e">
        <f>AND(DATA!G419,"AAAAAG/9fOc=")</f>
        <v>#VALUE!</v>
      </c>
      <c r="HY58" t="e">
        <f>AND(DATA!H419,"AAAAAG/9fOg=")</f>
        <v>#VALUE!</v>
      </c>
      <c r="HZ58" t="e">
        <f>AND(DATA!I419,"AAAAAG/9fOk=")</f>
        <v>#VALUE!</v>
      </c>
      <c r="IA58" t="e">
        <f>AND(DATA!J419,"AAAAAG/9fOo=")</f>
        <v>#VALUE!</v>
      </c>
      <c r="IB58" t="e">
        <f>AND(DATA!K419,"AAAAAG/9fOs=")</f>
        <v>#VALUE!</v>
      </c>
      <c r="IC58" t="b">
        <f>AND(DATA!L419,"AAAAAG/9fOw=")</f>
        <v>1</v>
      </c>
      <c r="ID58" t="b">
        <f>AND(DATA!M419,"AAAAAG/9fO0=")</f>
        <v>1</v>
      </c>
      <c r="IE58" t="b">
        <f>AND(DATA!N419,"AAAAAG/9fO4=")</f>
        <v>1</v>
      </c>
      <c r="IF58">
        <f>IF(DATA!420:420,"AAAAAG/9fO8=",0)</f>
        <v>0</v>
      </c>
      <c r="IG58" t="e">
        <f>AND(DATA!A420,"AAAAAG/9fPA=")</f>
        <v>#VALUE!</v>
      </c>
      <c r="IH58" t="e">
        <f>AND(DATA!B420,"AAAAAG/9fPE=")</f>
        <v>#VALUE!</v>
      </c>
      <c r="II58" t="e">
        <f>AND(DATA!C420,"AAAAAG/9fPI=")</f>
        <v>#VALUE!</v>
      </c>
      <c r="IJ58" t="e">
        <f>AND(DATA!D420,"AAAAAG/9fPM=")</f>
        <v>#VALUE!</v>
      </c>
      <c r="IK58" t="e">
        <f>AND(DATA!E420,"AAAAAG/9fPQ=")</f>
        <v>#VALUE!</v>
      </c>
      <c r="IL58" t="e">
        <f>AND(DATA!F420,"AAAAAG/9fPU=")</f>
        <v>#VALUE!</v>
      </c>
      <c r="IM58" t="e">
        <f>AND(DATA!G420,"AAAAAG/9fPY=")</f>
        <v>#VALUE!</v>
      </c>
      <c r="IN58" t="e">
        <f>AND(DATA!H420,"AAAAAG/9fPc=")</f>
        <v>#VALUE!</v>
      </c>
      <c r="IO58" t="e">
        <f>AND(DATA!I420,"AAAAAG/9fPg=")</f>
        <v>#VALUE!</v>
      </c>
      <c r="IP58" t="e">
        <f>AND(DATA!J420,"AAAAAG/9fPk=")</f>
        <v>#VALUE!</v>
      </c>
      <c r="IQ58" t="e">
        <f>AND(DATA!K420,"AAAAAG/9fPo=")</f>
        <v>#VALUE!</v>
      </c>
      <c r="IR58" t="b">
        <f>AND(DATA!L420,"AAAAAG/9fPs=")</f>
        <v>1</v>
      </c>
      <c r="IS58" t="b">
        <f>AND(DATA!M420,"AAAAAG/9fPw=")</f>
        <v>1</v>
      </c>
      <c r="IT58" t="b">
        <f>AND(DATA!N420,"AAAAAG/9fP0=")</f>
        <v>1</v>
      </c>
      <c r="IU58">
        <f>IF(DATA!421:421,"AAAAAG/9fP4=",0)</f>
        <v>0</v>
      </c>
      <c r="IV58" t="e">
        <f>AND(DATA!A421,"AAAAAG/9fP8=")</f>
        <v>#VALUE!</v>
      </c>
    </row>
    <row r="59" spans="1:256">
      <c r="A59" t="e">
        <f>AND(DATA!B421,"AAAAAHt5lgA=")</f>
        <v>#VALUE!</v>
      </c>
      <c r="B59" t="e">
        <f>AND(DATA!C421,"AAAAAHt5lgE=")</f>
        <v>#VALUE!</v>
      </c>
      <c r="C59" t="e">
        <f>AND(DATA!D421,"AAAAAHt5lgI=")</f>
        <v>#VALUE!</v>
      </c>
      <c r="D59" t="e">
        <f>AND(DATA!E421,"AAAAAHt5lgM=")</f>
        <v>#VALUE!</v>
      </c>
      <c r="E59" t="e">
        <f>AND(DATA!F421,"AAAAAHt5lgQ=")</f>
        <v>#VALUE!</v>
      </c>
      <c r="F59" t="e">
        <f>AND(DATA!G421,"AAAAAHt5lgU=")</f>
        <v>#VALUE!</v>
      </c>
      <c r="G59" t="e">
        <f>AND(DATA!H421,"AAAAAHt5lgY=")</f>
        <v>#VALUE!</v>
      </c>
      <c r="H59" t="e">
        <f>AND(DATA!I421,"AAAAAHt5lgc=")</f>
        <v>#VALUE!</v>
      </c>
      <c r="I59" t="e">
        <f>AND(DATA!J421,"AAAAAHt5lgg=")</f>
        <v>#VALUE!</v>
      </c>
      <c r="J59" t="e">
        <f>AND(DATA!K421,"AAAAAHt5lgk=")</f>
        <v>#VALUE!</v>
      </c>
      <c r="K59" t="b">
        <f>AND(DATA!L421,"AAAAAHt5lgo=")</f>
        <v>1</v>
      </c>
      <c r="L59" t="b">
        <f>AND(DATA!M421,"AAAAAHt5lgs=")</f>
        <v>1</v>
      </c>
      <c r="M59" t="b">
        <f>AND(DATA!N421,"AAAAAHt5lgw=")</f>
        <v>1</v>
      </c>
      <c r="N59" t="str">
        <f>IF(DATA!422:422,"AAAAAHt5lg0=",0)</f>
        <v>AAAAAHt5lg0=</v>
      </c>
      <c r="O59" t="e">
        <f>AND(DATA!A422,"AAAAAHt5lg4=")</f>
        <v>#VALUE!</v>
      </c>
      <c r="P59" t="e">
        <f>AND(DATA!B422,"AAAAAHt5lg8=")</f>
        <v>#VALUE!</v>
      </c>
      <c r="Q59" t="e">
        <f>AND(DATA!C422,"AAAAAHt5lhA=")</f>
        <v>#VALUE!</v>
      </c>
      <c r="R59" t="e">
        <f>AND(DATA!D422,"AAAAAHt5lhE=")</f>
        <v>#VALUE!</v>
      </c>
      <c r="S59" t="e">
        <f>AND(DATA!E422,"AAAAAHt5lhI=")</f>
        <v>#VALUE!</v>
      </c>
      <c r="T59" t="e">
        <f>AND(DATA!F422,"AAAAAHt5lhM=")</f>
        <v>#VALUE!</v>
      </c>
      <c r="U59" t="e">
        <f>AND(DATA!G422,"AAAAAHt5lhQ=")</f>
        <v>#VALUE!</v>
      </c>
      <c r="V59" t="e">
        <f>AND(DATA!H422,"AAAAAHt5lhU=")</f>
        <v>#VALUE!</v>
      </c>
      <c r="W59" t="e">
        <f>AND(DATA!I422,"AAAAAHt5lhY=")</f>
        <v>#VALUE!</v>
      </c>
      <c r="X59" t="e">
        <f>AND(DATA!J422,"AAAAAHt5lhc=")</f>
        <v>#VALUE!</v>
      </c>
      <c r="Y59" t="e">
        <f>AND(DATA!K422,"AAAAAHt5lhg=")</f>
        <v>#VALUE!</v>
      </c>
      <c r="Z59" t="b">
        <f>AND(DATA!L422,"AAAAAHt5lhk=")</f>
        <v>1</v>
      </c>
      <c r="AA59" t="b">
        <f>AND(DATA!M422,"AAAAAHt5lho=")</f>
        <v>1</v>
      </c>
      <c r="AB59" t="b">
        <f>AND(DATA!N422,"AAAAAHt5lhs=")</f>
        <v>1</v>
      </c>
      <c r="AC59">
        <f>IF(DATA!423:423,"AAAAAHt5lhw=",0)</f>
        <v>0</v>
      </c>
      <c r="AD59" t="e">
        <f>AND(DATA!A423,"AAAAAHt5lh0=")</f>
        <v>#VALUE!</v>
      </c>
      <c r="AE59" t="e">
        <f>AND(DATA!B423,"AAAAAHt5lh4=")</f>
        <v>#VALUE!</v>
      </c>
      <c r="AF59" t="e">
        <f>AND(DATA!C423,"AAAAAHt5lh8=")</f>
        <v>#VALUE!</v>
      </c>
      <c r="AG59" t="e">
        <f>AND(DATA!D423,"AAAAAHt5liA=")</f>
        <v>#VALUE!</v>
      </c>
      <c r="AH59" t="e">
        <f>AND(DATA!E423,"AAAAAHt5liE=")</f>
        <v>#VALUE!</v>
      </c>
      <c r="AI59" t="e">
        <f>AND(DATA!F423,"AAAAAHt5liI=")</f>
        <v>#VALUE!</v>
      </c>
      <c r="AJ59" t="e">
        <f>AND(DATA!G423,"AAAAAHt5liM=")</f>
        <v>#VALUE!</v>
      </c>
      <c r="AK59" t="e">
        <f>AND(DATA!H423,"AAAAAHt5liQ=")</f>
        <v>#VALUE!</v>
      </c>
      <c r="AL59" t="e">
        <f>AND(DATA!I423,"AAAAAHt5liU=")</f>
        <v>#VALUE!</v>
      </c>
      <c r="AM59" t="e">
        <f>AND(DATA!J423,"AAAAAHt5liY=")</f>
        <v>#VALUE!</v>
      </c>
      <c r="AN59" t="e">
        <f>AND(DATA!K423,"AAAAAHt5lic=")</f>
        <v>#VALUE!</v>
      </c>
      <c r="AO59" t="b">
        <f>AND(DATA!L423,"AAAAAHt5lig=")</f>
        <v>1</v>
      </c>
      <c r="AP59" t="b">
        <f>AND(DATA!M423,"AAAAAHt5lik=")</f>
        <v>1</v>
      </c>
      <c r="AQ59" t="b">
        <f>AND(DATA!N423,"AAAAAHt5lio=")</f>
        <v>1</v>
      </c>
      <c r="AR59">
        <f>IF(DATA!424:424,"AAAAAHt5lis=",0)</f>
        <v>0</v>
      </c>
      <c r="AS59" t="e">
        <f>AND(DATA!A424,"AAAAAHt5liw=")</f>
        <v>#VALUE!</v>
      </c>
      <c r="AT59" t="e">
        <f>AND(DATA!B424,"AAAAAHt5li0=")</f>
        <v>#VALUE!</v>
      </c>
      <c r="AU59" t="e">
        <f>AND(DATA!C424,"AAAAAHt5li4=")</f>
        <v>#VALUE!</v>
      </c>
      <c r="AV59" t="e">
        <f>AND(DATA!D424,"AAAAAHt5li8=")</f>
        <v>#VALUE!</v>
      </c>
      <c r="AW59" t="e">
        <f>AND(DATA!E424,"AAAAAHt5ljA=")</f>
        <v>#VALUE!</v>
      </c>
      <c r="AX59" t="e">
        <f>AND(DATA!F424,"AAAAAHt5ljE=")</f>
        <v>#VALUE!</v>
      </c>
      <c r="AY59" t="e">
        <f>AND(DATA!G424,"AAAAAHt5ljI=")</f>
        <v>#VALUE!</v>
      </c>
      <c r="AZ59" t="e">
        <f>AND(DATA!H424,"AAAAAHt5ljM=")</f>
        <v>#VALUE!</v>
      </c>
      <c r="BA59" t="e">
        <f>AND(DATA!I424,"AAAAAHt5ljQ=")</f>
        <v>#VALUE!</v>
      </c>
      <c r="BB59" t="e">
        <f>AND(DATA!J424,"AAAAAHt5ljU=")</f>
        <v>#VALUE!</v>
      </c>
      <c r="BC59" t="e">
        <f>AND(DATA!K424,"AAAAAHt5ljY=")</f>
        <v>#VALUE!</v>
      </c>
      <c r="BD59" t="b">
        <f>AND(DATA!L424,"AAAAAHt5ljc=")</f>
        <v>1</v>
      </c>
      <c r="BE59" t="b">
        <f>AND(DATA!M424,"AAAAAHt5ljg=")</f>
        <v>1</v>
      </c>
      <c r="BF59" t="b">
        <f>AND(DATA!N424,"AAAAAHt5ljk=")</f>
        <v>1</v>
      </c>
      <c r="BG59">
        <f>IF(DATA!425:425,"AAAAAHt5ljo=",0)</f>
        <v>0</v>
      </c>
      <c r="BH59" t="e">
        <f>AND(DATA!A425,"AAAAAHt5ljs=")</f>
        <v>#VALUE!</v>
      </c>
      <c r="BI59" t="e">
        <f>AND(DATA!B425,"AAAAAHt5ljw=")</f>
        <v>#VALUE!</v>
      </c>
      <c r="BJ59" t="e">
        <f>AND(DATA!C425,"AAAAAHt5lj0=")</f>
        <v>#VALUE!</v>
      </c>
      <c r="BK59" t="e">
        <f>AND(DATA!D425,"AAAAAHt5lj4=")</f>
        <v>#VALUE!</v>
      </c>
      <c r="BL59" t="e">
        <f>AND(DATA!E425,"AAAAAHt5lj8=")</f>
        <v>#VALUE!</v>
      </c>
      <c r="BM59" t="e">
        <f>AND(DATA!F425,"AAAAAHt5lkA=")</f>
        <v>#VALUE!</v>
      </c>
      <c r="BN59" t="e">
        <f>AND(DATA!G425,"AAAAAHt5lkE=")</f>
        <v>#VALUE!</v>
      </c>
      <c r="BO59" t="e">
        <f>AND(DATA!H425,"AAAAAHt5lkI=")</f>
        <v>#VALUE!</v>
      </c>
      <c r="BP59" t="e">
        <f>AND(DATA!I425,"AAAAAHt5lkM=")</f>
        <v>#VALUE!</v>
      </c>
      <c r="BQ59" t="e">
        <f>AND(DATA!J425,"AAAAAHt5lkQ=")</f>
        <v>#VALUE!</v>
      </c>
      <c r="BR59" t="e">
        <f>AND(DATA!K425,"AAAAAHt5lkU=")</f>
        <v>#VALUE!</v>
      </c>
      <c r="BS59" t="b">
        <f>AND(DATA!L425,"AAAAAHt5lkY=")</f>
        <v>1</v>
      </c>
      <c r="BT59" t="b">
        <f>AND(DATA!M425,"AAAAAHt5lkc=")</f>
        <v>1</v>
      </c>
      <c r="BU59" t="b">
        <f>AND(DATA!N425,"AAAAAHt5lkg=")</f>
        <v>1</v>
      </c>
      <c r="BV59">
        <f>IF(DATA!426:426,"AAAAAHt5lkk=",0)</f>
        <v>0</v>
      </c>
      <c r="BW59" t="e">
        <f>AND(DATA!A426,"AAAAAHt5lko=")</f>
        <v>#VALUE!</v>
      </c>
      <c r="BX59" t="e">
        <f>AND(DATA!B426,"AAAAAHt5lks=")</f>
        <v>#VALUE!</v>
      </c>
      <c r="BY59" t="e">
        <f>AND(DATA!C426,"AAAAAHt5lkw=")</f>
        <v>#VALUE!</v>
      </c>
      <c r="BZ59" t="e">
        <f>AND(DATA!D426,"AAAAAHt5lk0=")</f>
        <v>#VALUE!</v>
      </c>
      <c r="CA59" t="e">
        <f>AND(DATA!E426,"AAAAAHt5lk4=")</f>
        <v>#VALUE!</v>
      </c>
      <c r="CB59" t="e">
        <f>AND(DATA!F426,"AAAAAHt5lk8=")</f>
        <v>#VALUE!</v>
      </c>
      <c r="CC59" t="e">
        <f>AND(DATA!G426,"AAAAAHt5llA=")</f>
        <v>#VALUE!</v>
      </c>
      <c r="CD59" t="e">
        <f>AND(DATA!H426,"AAAAAHt5llE=")</f>
        <v>#VALUE!</v>
      </c>
      <c r="CE59" t="e">
        <f>AND(DATA!I426,"AAAAAHt5llI=")</f>
        <v>#VALUE!</v>
      </c>
      <c r="CF59" t="e">
        <f>AND(DATA!J426,"AAAAAHt5llM=")</f>
        <v>#VALUE!</v>
      </c>
      <c r="CG59" t="e">
        <f>AND(DATA!K426,"AAAAAHt5llQ=")</f>
        <v>#VALUE!</v>
      </c>
      <c r="CH59" t="b">
        <f>AND(DATA!L426,"AAAAAHt5llU=")</f>
        <v>1</v>
      </c>
      <c r="CI59" t="b">
        <f>AND(DATA!M426,"AAAAAHt5llY=")</f>
        <v>1</v>
      </c>
      <c r="CJ59" t="b">
        <f>AND(DATA!N426,"AAAAAHt5llc=")</f>
        <v>1</v>
      </c>
      <c r="CK59">
        <f>IF(DATA!427:427,"AAAAAHt5llg=",0)</f>
        <v>0</v>
      </c>
      <c r="CL59" t="e">
        <f>AND(DATA!A427,"AAAAAHt5llk=")</f>
        <v>#VALUE!</v>
      </c>
      <c r="CM59" t="e">
        <f>AND(DATA!B427,"AAAAAHt5llo=")</f>
        <v>#VALUE!</v>
      </c>
      <c r="CN59" t="e">
        <f>AND(DATA!C427,"AAAAAHt5lls=")</f>
        <v>#VALUE!</v>
      </c>
      <c r="CO59" t="e">
        <f>AND(DATA!D427,"AAAAAHt5llw=")</f>
        <v>#VALUE!</v>
      </c>
      <c r="CP59" t="e">
        <f>AND(DATA!E427,"AAAAAHt5ll0=")</f>
        <v>#VALUE!</v>
      </c>
      <c r="CQ59" t="e">
        <f>AND(DATA!F427,"AAAAAHt5ll4=")</f>
        <v>#VALUE!</v>
      </c>
      <c r="CR59" t="e">
        <f>AND(DATA!G427,"AAAAAHt5ll8=")</f>
        <v>#VALUE!</v>
      </c>
      <c r="CS59" t="e">
        <f>AND(DATA!H427,"AAAAAHt5lmA=")</f>
        <v>#VALUE!</v>
      </c>
      <c r="CT59" t="e">
        <f>AND(DATA!I427,"AAAAAHt5lmE=")</f>
        <v>#VALUE!</v>
      </c>
      <c r="CU59" t="e">
        <f>AND(DATA!J427,"AAAAAHt5lmI=")</f>
        <v>#VALUE!</v>
      </c>
      <c r="CV59" t="e">
        <f>AND(DATA!K427,"AAAAAHt5lmM=")</f>
        <v>#VALUE!</v>
      </c>
      <c r="CW59" t="b">
        <f>AND(DATA!L427,"AAAAAHt5lmQ=")</f>
        <v>1</v>
      </c>
      <c r="CX59" t="b">
        <f>AND(DATA!M427,"AAAAAHt5lmU=")</f>
        <v>1</v>
      </c>
      <c r="CY59" t="b">
        <f>AND(DATA!N427,"AAAAAHt5lmY=")</f>
        <v>1</v>
      </c>
      <c r="CZ59">
        <f>IF(DATA!428:428,"AAAAAHt5lmc=",0)</f>
        <v>0</v>
      </c>
      <c r="DA59" t="e">
        <f>AND(DATA!A428,"AAAAAHt5lmg=")</f>
        <v>#VALUE!</v>
      </c>
      <c r="DB59" t="e">
        <f>AND(DATA!B428,"AAAAAHt5lmk=")</f>
        <v>#VALUE!</v>
      </c>
      <c r="DC59" t="e">
        <f>AND(DATA!C428,"AAAAAHt5lmo=")</f>
        <v>#VALUE!</v>
      </c>
      <c r="DD59" t="e">
        <f>AND(DATA!D428,"AAAAAHt5lms=")</f>
        <v>#VALUE!</v>
      </c>
      <c r="DE59" t="e">
        <f>AND(DATA!E428,"AAAAAHt5lmw=")</f>
        <v>#VALUE!</v>
      </c>
      <c r="DF59" t="e">
        <f>AND(DATA!F428,"AAAAAHt5lm0=")</f>
        <v>#VALUE!</v>
      </c>
      <c r="DG59" t="e">
        <f>AND(DATA!G428,"AAAAAHt5lm4=")</f>
        <v>#VALUE!</v>
      </c>
      <c r="DH59" t="e">
        <f>AND(DATA!H428,"AAAAAHt5lm8=")</f>
        <v>#VALUE!</v>
      </c>
      <c r="DI59" t="e">
        <f>AND(DATA!I428,"AAAAAHt5lnA=")</f>
        <v>#VALUE!</v>
      </c>
      <c r="DJ59" t="e">
        <f>AND(DATA!J428,"AAAAAHt5lnE=")</f>
        <v>#VALUE!</v>
      </c>
      <c r="DK59" t="e">
        <f>AND(DATA!K428,"AAAAAHt5lnI=")</f>
        <v>#VALUE!</v>
      </c>
      <c r="DL59" t="b">
        <f>AND(DATA!L428,"AAAAAHt5lnM=")</f>
        <v>1</v>
      </c>
      <c r="DM59" t="b">
        <f>AND(DATA!M428,"AAAAAHt5lnQ=")</f>
        <v>1</v>
      </c>
      <c r="DN59" t="b">
        <f>AND(DATA!N428,"AAAAAHt5lnU=")</f>
        <v>1</v>
      </c>
      <c r="DO59">
        <f>IF(DATA!429:429,"AAAAAHt5lnY=",0)</f>
        <v>0</v>
      </c>
      <c r="DP59" t="e">
        <f>AND(DATA!A429,"AAAAAHt5lnc=")</f>
        <v>#VALUE!</v>
      </c>
      <c r="DQ59" t="e">
        <f>AND(DATA!B429,"AAAAAHt5lng=")</f>
        <v>#VALUE!</v>
      </c>
      <c r="DR59" t="e">
        <f>AND(DATA!C429,"AAAAAHt5lnk=")</f>
        <v>#VALUE!</v>
      </c>
      <c r="DS59" t="e">
        <f>AND(DATA!D429,"AAAAAHt5lno=")</f>
        <v>#VALUE!</v>
      </c>
      <c r="DT59" t="e">
        <f>AND(DATA!E429,"AAAAAHt5lns=")</f>
        <v>#VALUE!</v>
      </c>
      <c r="DU59" t="e">
        <f>AND(DATA!F429,"AAAAAHt5lnw=")</f>
        <v>#VALUE!</v>
      </c>
      <c r="DV59" t="e">
        <f>AND(DATA!G429,"AAAAAHt5ln0=")</f>
        <v>#VALUE!</v>
      </c>
      <c r="DW59" t="e">
        <f>AND(DATA!H429,"AAAAAHt5ln4=")</f>
        <v>#VALUE!</v>
      </c>
      <c r="DX59" t="e">
        <f>AND(DATA!I429,"AAAAAHt5ln8=")</f>
        <v>#VALUE!</v>
      </c>
      <c r="DY59" t="e">
        <f>AND(DATA!J429,"AAAAAHt5loA=")</f>
        <v>#VALUE!</v>
      </c>
      <c r="DZ59" t="e">
        <f>AND(DATA!K429,"AAAAAHt5loE=")</f>
        <v>#VALUE!</v>
      </c>
      <c r="EA59" t="b">
        <f>AND(DATA!L429,"AAAAAHt5loI=")</f>
        <v>1</v>
      </c>
      <c r="EB59" t="b">
        <f>AND(DATA!M429,"AAAAAHt5loM=")</f>
        <v>1</v>
      </c>
      <c r="EC59" t="b">
        <f>AND(DATA!N429,"AAAAAHt5loQ=")</f>
        <v>1</v>
      </c>
      <c r="ED59">
        <f>IF(DATA!430:430,"AAAAAHt5loU=",0)</f>
        <v>0</v>
      </c>
      <c r="EE59" t="e">
        <f>AND(DATA!A430,"AAAAAHt5loY=")</f>
        <v>#VALUE!</v>
      </c>
      <c r="EF59" t="e">
        <f>AND(DATA!B430,"AAAAAHt5loc=")</f>
        <v>#VALUE!</v>
      </c>
      <c r="EG59" t="e">
        <f>AND(DATA!C430,"AAAAAHt5log=")</f>
        <v>#VALUE!</v>
      </c>
      <c r="EH59" t="e">
        <f>AND(DATA!D430,"AAAAAHt5lok=")</f>
        <v>#VALUE!</v>
      </c>
      <c r="EI59" t="e">
        <f>AND(DATA!E430,"AAAAAHt5loo=")</f>
        <v>#VALUE!</v>
      </c>
      <c r="EJ59" t="e">
        <f>AND(DATA!F430,"AAAAAHt5los=")</f>
        <v>#VALUE!</v>
      </c>
      <c r="EK59" t="e">
        <f>AND(DATA!G430,"AAAAAHt5low=")</f>
        <v>#VALUE!</v>
      </c>
      <c r="EL59" t="e">
        <f>AND(DATA!H430,"AAAAAHt5lo0=")</f>
        <v>#VALUE!</v>
      </c>
      <c r="EM59" t="e">
        <f>AND(DATA!I430,"AAAAAHt5lo4=")</f>
        <v>#VALUE!</v>
      </c>
      <c r="EN59" t="e">
        <f>AND(DATA!J430,"AAAAAHt5lo8=")</f>
        <v>#VALUE!</v>
      </c>
      <c r="EO59" t="e">
        <f>AND(DATA!K430,"AAAAAHt5lpA=")</f>
        <v>#VALUE!</v>
      </c>
      <c r="EP59" t="b">
        <f>AND(DATA!L430,"AAAAAHt5lpE=")</f>
        <v>1</v>
      </c>
      <c r="EQ59" t="b">
        <f>AND(DATA!M430,"AAAAAHt5lpI=")</f>
        <v>1</v>
      </c>
      <c r="ER59" t="b">
        <f>AND(DATA!N430,"AAAAAHt5lpM=")</f>
        <v>1</v>
      </c>
      <c r="ES59">
        <f>IF(DATA!431:431,"AAAAAHt5lpQ=",0)</f>
        <v>0</v>
      </c>
      <c r="ET59" t="e">
        <f>AND(DATA!A431,"AAAAAHt5lpU=")</f>
        <v>#VALUE!</v>
      </c>
      <c r="EU59" t="e">
        <f>AND(DATA!B431,"AAAAAHt5lpY=")</f>
        <v>#VALUE!</v>
      </c>
      <c r="EV59" t="e">
        <f>AND(DATA!C431,"AAAAAHt5lpc=")</f>
        <v>#VALUE!</v>
      </c>
      <c r="EW59" t="e">
        <f>AND(DATA!D431,"AAAAAHt5lpg=")</f>
        <v>#VALUE!</v>
      </c>
      <c r="EX59" t="e">
        <f>AND(DATA!E431,"AAAAAHt5lpk=")</f>
        <v>#VALUE!</v>
      </c>
      <c r="EY59" t="e">
        <f>AND(DATA!F431,"AAAAAHt5lpo=")</f>
        <v>#VALUE!</v>
      </c>
      <c r="EZ59" t="e">
        <f>AND(DATA!G431,"AAAAAHt5lps=")</f>
        <v>#VALUE!</v>
      </c>
      <c r="FA59" t="e">
        <f>AND(DATA!H431,"AAAAAHt5lpw=")</f>
        <v>#VALUE!</v>
      </c>
      <c r="FB59" t="e">
        <f>AND(DATA!I431,"AAAAAHt5lp0=")</f>
        <v>#VALUE!</v>
      </c>
      <c r="FC59" t="e">
        <f>AND(DATA!J431,"AAAAAHt5lp4=")</f>
        <v>#VALUE!</v>
      </c>
      <c r="FD59" t="e">
        <f>AND(DATA!K431,"AAAAAHt5lp8=")</f>
        <v>#VALUE!</v>
      </c>
      <c r="FE59" t="b">
        <f>AND(DATA!L431,"AAAAAHt5lqA=")</f>
        <v>1</v>
      </c>
      <c r="FF59" t="b">
        <f>AND(DATA!M431,"AAAAAHt5lqE=")</f>
        <v>1</v>
      </c>
      <c r="FG59" t="b">
        <f>AND(DATA!N431,"AAAAAHt5lqI=")</f>
        <v>1</v>
      </c>
      <c r="FH59">
        <f>IF(DATA!432:432,"AAAAAHt5lqM=",0)</f>
        <v>0</v>
      </c>
      <c r="FI59" t="e">
        <f>AND(DATA!A432,"AAAAAHt5lqQ=")</f>
        <v>#VALUE!</v>
      </c>
      <c r="FJ59" t="e">
        <f>AND(DATA!B432,"AAAAAHt5lqU=")</f>
        <v>#VALUE!</v>
      </c>
      <c r="FK59" t="e">
        <f>AND(DATA!C432,"AAAAAHt5lqY=")</f>
        <v>#VALUE!</v>
      </c>
      <c r="FL59" t="e">
        <f>AND(DATA!D432,"AAAAAHt5lqc=")</f>
        <v>#VALUE!</v>
      </c>
      <c r="FM59" t="e">
        <f>AND(DATA!E432,"AAAAAHt5lqg=")</f>
        <v>#VALUE!</v>
      </c>
      <c r="FN59" t="e">
        <f>AND(DATA!F432,"AAAAAHt5lqk=")</f>
        <v>#VALUE!</v>
      </c>
      <c r="FO59" t="e">
        <f>AND(DATA!G432,"AAAAAHt5lqo=")</f>
        <v>#VALUE!</v>
      </c>
      <c r="FP59" t="e">
        <f>AND(DATA!H432,"AAAAAHt5lqs=")</f>
        <v>#VALUE!</v>
      </c>
      <c r="FQ59" t="e">
        <f>AND(DATA!I432,"AAAAAHt5lqw=")</f>
        <v>#VALUE!</v>
      </c>
      <c r="FR59" t="e">
        <f>AND(DATA!J432,"AAAAAHt5lq0=")</f>
        <v>#VALUE!</v>
      </c>
      <c r="FS59" t="e">
        <f>AND(DATA!K432,"AAAAAHt5lq4=")</f>
        <v>#VALUE!</v>
      </c>
      <c r="FT59" t="b">
        <f>AND(DATA!L432,"AAAAAHt5lq8=")</f>
        <v>1</v>
      </c>
      <c r="FU59" t="b">
        <f>AND(DATA!M432,"AAAAAHt5lrA=")</f>
        <v>1</v>
      </c>
      <c r="FV59" t="b">
        <f>AND(DATA!N432,"AAAAAHt5lrE=")</f>
        <v>1</v>
      </c>
      <c r="FW59">
        <f>IF(DATA!433:433,"AAAAAHt5lrI=",0)</f>
        <v>0</v>
      </c>
      <c r="FX59" t="e">
        <f>AND(DATA!A433,"AAAAAHt5lrM=")</f>
        <v>#VALUE!</v>
      </c>
      <c r="FY59" t="e">
        <f>AND(DATA!B433,"AAAAAHt5lrQ=")</f>
        <v>#VALUE!</v>
      </c>
      <c r="FZ59" t="e">
        <f>AND(DATA!C433,"AAAAAHt5lrU=")</f>
        <v>#VALUE!</v>
      </c>
      <c r="GA59" t="e">
        <f>AND(DATA!D433,"AAAAAHt5lrY=")</f>
        <v>#VALUE!</v>
      </c>
      <c r="GB59" t="e">
        <f>AND(DATA!E433,"AAAAAHt5lrc=")</f>
        <v>#VALUE!</v>
      </c>
      <c r="GC59" t="e">
        <f>AND(DATA!F433,"AAAAAHt5lrg=")</f>
        <v>#VALUE!</v>
      </c>
      <c r="GD59" t="e">
        <f>AND(DATA!G433,"AAAAAHt5lrk=")</f>
        <v>#VALUE!</v>
      </c>
      <c r="GE59" t="e">
        <f>AND(DATA!H433,"AAAAAHt5lro=")</f>
        <v>#VALUE!</v>
      </c>
      <c r="GF59" t="e">
        <f>AND(DATA!I433,"AAAAAHt5lrs=")</f>
        <v>#VALUE!</v>
      </c>
      <c r="GG59" t="e">
        <f>AND(DATA!J433,"AAAAAHt5lrw=")</f>
        <v>#VALUE!</v>
      </c>
      <c r="GH59" t="e">
        <f>AND(DATA!K433,"AAAAAHt5lr0=")</f>
        <v>#VALUE!</v>
      </c>
      <c r="GI59" t="b">
        <f>AND(DATA!L433,"AAAAAHt5lr4=")</f>
        <v>1</v>
      </c>
      <c r="GJ59" t="b">
        <f>AND(DATA!M433,"AAAAAHt5lr8=")</f>
        <v>1</v>
      </c>
      <c r="GK59" t="b">
        <f>AND(DATA!N433,"AAAAAHt5lsA=")</f>
        <v>1</v>
      </c>
      <c r="GL59">
        <f>IF(DATA!434:434,"AAAAAHt5lsE=",0)</f>
        <v>0</v>
      </c>
      <c r="GM59" t="e">
        <f>AND(DATA!A434,"AAAAAHt5lsI=")</f>
        <v>#VALUE!</v>
      </c>
      <c r="GN59" t="e">
        <f>AND(DATA!B434,"AAAAAHt5lsM=")</f>
        <v>#VALUE!</v>
      </c>
      <c r="GO59" t="e">
        <f>AND(DATA!C434,"AAAAAHt5lsQ=")</f>
        <v>#VALUE!</v>
      </c>
      <c r="GP59" t="e">
        <f>AND(DATA!D434,"AAAAAHt5lsU=")</f>
        <v>#VALUE!</v>
      </c>
      <c r="GQ59" t="e">
        <f>AND(DATA!E434,"AAAAAHt5lsY=")</f>
        <v>#VALUE!</v>
      </c>
      <c r="GR59" t="e">
        <f>AND(DATA!F434,"AAAAAHt5lsc=")</f>
        <v>#VALUE!</v>
      </c>
      <c r="GS59" t="e">
        <f>AND(DATA!G434,"AAAAAHt5lsg=")</f>
        <v>#VALUE!</v>
      </c>
      <c r="GT59" t="e">
        <f>AND(DATA!H434,"AAAAAHt5lsk=")</f>
        <v>#VALUE!</v>
      </c>
      <c r="GU59" t="e">
        <f>AND(DATA!I434,"AAAAAHt5lso=")</f>
        <v>#VALUE!</v>
      </c>
      <c r="GV59" t="e">
        <f>AND(DATA!J434,"AAAAAHt5lss=")</f>
        <v>#VALUE!</v>
      </c>
      <c r="GW59" t="e">
        <f>AND(DATA!K434,"AAAAAHt5lsw=")</f>
        <v>#VALUE!</v>
      </c>
      <c r="GX59" t="b">
        <f>AND(DATA!L434,"AAAAAHt5ls0=")</f>
        <v>1</v>
      </c>
      <c r="GY59" t="b">
        <f>AND(DATA!M434,"AAAAAHt5ls4=")</f>
        <v>1</v>
      </c>
      <c r="GZ59" t="b">
        <f>AND(DATA!N434,"AAAAAHt5ls8=")</f>
        <v>1</v>
      </c>
      <c r="HA59">
        <f>IF(DATA!435:435,"AAAAAHt5ltA=",0)</f>
        <v>0</v>
      </c>
      <c r="HB59" t="e">
        <f>AND(DATA!A435,"AAAAAHt5ltE=")</f>
        <v>#VALUE!</v>
      </c>
      <c r="HC59" t="e">
        <f>AND(DATA!B435,"AAAAAHt5ltI=")</f>
        <v>#VALUE!</v>
      </c>
      <c r="HD59" t="e">
        <f>AND(DATA!C435,"AAAAAHt5ltM=")</f>
        <v>#VALUE!</v>
      </c>
      <c r="HE59" t="e">
        <f>AND(DATA!D435,"AAAAAHt5ltQ=")</f>
        <v>#VALUE!</v>
      </c>
      <c r="HF59" t="e">
        <f>AND(DATA!E435,"AAAAAHt5ltU=")</f>
        <v>#VALUE!</v>
      </c>
      <c r="HG59" t="e">
        <f>AND(DATA!F435,"AAAAAHt5ltY=")</f>
        <v>#VALUE!</v>
      </c>
      <c r="HH59" t="e">
        <f>AND(DATA!G435,"AAAAAHt5ltc=")</f>
        <v>#VALUE!</v>
      </c>
      <c r="HI59" t="e">
        <f>AND(DATA!H435,"AAAAAHt5ltg=")</f>
        <v>#VALUE!</v>
      </c>
      <c r="HJ59" t="e">
        <f>AND(DATA!I435,"AAAAAHt5ltk=")</f>
        <v>#VALUE!</v>
      </c>
      <c r="HK59" t="e">
        <f>AND(DATA!J435,"AAAAAHt5lto=")</f>
        <v>#VALUE!</v>
      </c>
      <c r="HL59" t="e">
        <f>AND(DATA!K435,"AAAAAHt5lts=")</f>
        <v>#VALUE!</v>
      </c>
      <c r="HM59" t="b">
        <f>AND(DATA!L435,"AAAAAHt5ltw=")</f>
        <v>1</v>
      </c>
      <c r="HN59" t="b">
        <f>AND(DATA!M435,"AAAAAHt5lt0=")</f>
        <v>1</v>
      </c>
      <c r="HO59" t="b">
        <f>AND(DATA!N435,"AAAAAHt5lt4=")</f>
        <v>1</v>
      </c>
      <c r="HP59">
        <f>IF(DATA!436:436,"AAAAAHt5lt8=",0)</f>
        <v>0</v>
      </c>
      <c r="HQ59" t="e">
        <f>AND(DATA!A436,"AAAAAHt5luA=")</f>
        <v>#VALUE!</v>
      </c>
      <c r="HR59" t="e">
        <f>AND(DATA!B436,"AAAAAHt5luE=")</f>
        <v>#VALUE!</v>
      </c>
      <c r="HS59" t="e">
        <f>AND(DATA!C436,"AAAAAHt5luI=")</f>
        <v>#VALUE!</v>
      </c>
      <c r="HT59" t="e">
        <f>AND(DATA!D436,"AAAAAHt5luM=")</f>
        <v>#VALUE!</v>
      </c>
      <c r="HU59" t="e">
        <f>AND(DATA!E436,"AAAAAHt5luQ=")</f>
        <v>#VALUE!</v>
      </c>
      <c r="HV59" t="e">
        <f>AND(DATA!F436,"AAAAAHt5luU=")</f>
        <v>#VALUE!</v>
      </c>
      <c r="HW59" t="e">
        <f>AND(DATA!G436,"AAAAAHt5luY=")</f>
        <v>#VALUE!</v>
      </c>
      <c r="HX59" t="e">
        <f>AND(DATA!H436,"AAAAAHt5luc=")</f>
        <v>#VALUE!</v>
      </c>
      <c r="HY59" t="e">
        <f>AND(DATA!I436,"AAAAAHt5lug=")</f>
        <v>#VALUE!</v>
      </c>
      <c r="HZ59" t="e">
        <f>AND(DATA!J436,"AAAAAHt5luk=")</f>
        <v>#VALUE!</v>
      </c>
      <c r="IA59" t="e">
        <f>AND(DATA!K436,"AAAAAHt5luo=")</f>
        <v>#VALUE!</v>
      </c>
      <c r="IB59" t="b">
        <f>AND(DATA!L436,"AAAAAHt5lus=")</f>
        <v>1</v>
      </c>
      <c r="IC59" t="b">
        <f>AND(DATA!M436,"AAAAAHt5luw=")</f>
        <v>1</v>
      </c>
      <c r="ID59" t="b">
        <f>AND(DATA!N436,"AAAAAHt5lu0=")</f>
        <v>1</v>
      </c>
      <c r="IE59">
        <f>IF(DATA!437:437,"AAAAAHt5lu4=",0)</f>
        <v>0</v>
      </c>
      <c r="IF59" t="e">
        <f>AND(DATA!A437,"AAAAAHt5lu8=")</f>
        <v>#VALUE!</v>
      </c>
      <c r="IG59" t="e">
        <f>AND(DATA!B437,"AAAAAHt5lvA=")</f>
        <v>#VALUE!</v>
      </c>
      <c r="IH59" t="e">
        <f>AND(DATA!C437,"AAAAAHt5lvE=")</f>
        <v>#VALUE!</v>
      </c>
      <c r="II59" t="e">
        <f>AND(DATA!D437,"AAAAAHt5lvI=")</f>
        <v>#VALUE!</v>
      </c>
      <c r="IJ59" t="e">
        <f>AND(DATA!E437,"AAAAAHt5lvM=")</f>
        <v>#VALUE!</v>
      </c>
      <c r="IK59" t="e">
        <f>AND(DATA!F437,"AAAAAHt5lvQ=")</f>
        <v>#VALUE!</v>
      </c>
      <c r="IL59" t="e">
        <f>AND(DATA!G437,"AAAAAHt5lvU=")</f>
        <v>#VALUE!</v>
      </c>
      <c r="IM59" t="e">
        <f>AND(DATA!H437,"AAAAAHt5lvY=")</f>
        <v>#VALUE!</v>
      </c>
      <c r="IN59" t="e">
        <f>AND(DATA!I437,"AAAAAHt5lvc=")</f>
        <v>#VALUE!</v>
      </c>
      <c r="IO59" t="e">
        <f>AND(DATA!J437,"AAAAAHt5lvg=")</f>
        <v>#VALUE!</v>
      </c>
      <c r="IP59" t="e">
        <f>AND(DATA!K437,"AAAAAHt5lvk=")</f>
        <v>#VALUE!</v>
      </c>
      <c r="IQ59" t="b">
        <f>AND(DATA!L437,"AAAAAHt5lvo=")</f>
        <v>1</v>
      </c>
      <c r="IR59" t="b">
        <f>AND(DATA!M437,"AAAAAHt5lvs=")</f>
        <v>1</v>
      </c>
      <c r="IS59" t="b">
        <f>AND(DATA!N437,"AAAAAHt5lvw=")</f>
        <v>1</v>
      </c>
      <c r="IT59">
        <f>IF(DATA!438:438,"AAAAAHt5lv0=",0)</f>
        <v>0</v>
      </c>
      <c r="IU59" t="e">
        <f>AND(DATA!A438,"AAAAAHt5lv4=")</f>
        <v>#VALUE!</v>
      </c>
      <c r="IV59" t="e">
        <f>AND(DATA!B438,"AAAAAHt5lv8=")</f>
        <v>#VALUE!</v>
      </c>
    </row>
    <row r="60" spans="1:256">
      <c r="A60" t="e">
        <f>AND(DATA!C438,"AAAAABs6XQA=")</f>
        <v>#VALUE!</v>
      </c>
      <c r="B60" t="e">
        <f>AND(DATA!D438,"AAAAABs6XQE=")</f>
        <v>#VALUE!</v>
      </c>
      <c r="C60" t="e">
        <f>AND(DATA!E438,"AAAAABs6XQI=")</f>
        <v>#VALUE!</v>
      </c>
      <c r="D60" t="e">
        <f>AND(DATA!F438,"AAAAABs6XQM=")</f>
        <v>#VALUE!</v>
      </c>
      <c r="E60" t="e">
        <f>AND(DATA!G438,"AAAAABs6XQQ=")</f>
        <v>#VALUE!</v>
      </c>
      <c r="F60" t="e">
        <f>AND(DATA!H438,"AAAAABs6XQU=")</f>
        <v>#VALUE!</v>
      </c>
      <c r="G60" t="e">
        <f>AND(DATA!I438,"AAAAABs6XQY=")</f>
        <v>#VALUE!</v>
      </c>
      <c r="H60" t="e">
        <f>AND(DATA!J438,"AAAAABs6XQc=")</f>
        <v>#VALUE!</v>
      </c>
      <c r="I60" t="e">
        <f>AND(DATA!K438,"AAAAABs6XQg=")</f>
        <v>#VALUE!</v>
      </c>
      <c r="J60" t="b">
        <f>AND(DATA!L438,"AAAAABs6XQk=")</f>
        <v>1</v>
      </c>
      <c r="K60" t="b">
        <f>AND(DATA!M438,"AAAAABs6XQo=")</f>
        <v>1</v>
      </c>
      <c r="L60" t="b">
        <f>AND(DATA!N438,"AAAAABs6XQs=")</f>
        <v>1</v>
      </c>
      <c r="M60" t="str">
        <f>IF(DATA!439:439,"AAAAABs6XQw=",0)</f>
        <v>AAAAABs6XQw=</v>
      </c>
      <c r="N60" t="e">
        <f>AND(DATA!A439,"AAAAABs6XQ0=")</f>
        <v>#VALUE!</v>
      </c>
      <c r="O60" t="e">
        <f>AND(DATA!B439,"AAAAABs6XQ4=")</f>
        <v>#VALUE!</v>
      </c>
      <c r="P60" t="e">
        <f>AND(DATA!C439,"AAAAABs6XQ8=")</f>
        <v>#VALUE!</v>
      </c>
      <c r="Q60" t="e">
        <f>AND(DATA!D439,"AAAAABs6XRA=")</f>
        <v>#VALUE!</v>
      </c>
      <c r="R60" t="e">
        <f>AND(DATA!E439,"AAAAABs6XRE=")</f>
        <v>#VALUE!</v>
      </c>
      <c r="S60" t="e">
        <f>AND(DATA!F439,"AAAAABs6XRI=")</f>
        <v>#VALUE!</v>
      </c>
      <c r="T60" t="e">
        <f>AND(DATA!G439,"AAAAABs6XRM=")</f>
        <v>#VALUE!</v>
      </c>
      <c r="U60" t="e">
        <f>AND(DATA!H439,"AAAAABs6XRQ=")</f>
        <v>#VALUE!</v>
      </c>
      <c r="V60" t="e">
        <f>AND(DATA!I439,"AAAAABs6XRU=")</f>
        <v>#VALUE!</v>
      </c>
      <c r="W60" t="e">
        <f>AND(DATA!J439,"AAAAABs6XRY=")</f>
        <v>#VALUE!</v>
      </c>
      <c r="X60" t="e">
        <f>AND(DATA!K439,"AAAAABs6XRc=")</f>
        <v>#VALUE!</v>
      </c>
      <c r="Y60" t="b">
        <f>AND(DATA!L439,"AAAAABs6XRg=")</f>
        <v>1</v>
      </c>
      <c r="Z60" t="b">
        <f>AND(DATA!M439,"AAAAABs6XRk=")</f>
        <v>1</v>
      </c>
      <c r="AA60" t="b">
        <f>AND(DATA!N439,"AAAAABs6XRo=")</f>
        <v>1</v>
      </c>
      <c r="AB60">
        <f>IF(DATA!440:440,"AAAAABs6XRs=",0)</f>
        <v>0</v>
      </c>
      <c r="AC60" t="e">
        <f>AND(DATA!A440,"AAAAABs6XRw=")</f>
        <v>#VALUE!</v>
      </c>
      <c r="AD60" t="e">
        <f>AND(DATA!B440,"AAAAABs6XR0=")</f>
        <v>#VALUE!</v>
      </c>
      <c r="AE60" t="e">
        <f>AND(DATA!C440,"AAAAABs6XR4=")</f>
        <v>#VALUE!</v>
      </c>
      <c r="AF60" t="e">
        <f>AND(DATA!D440,"AAAAABs6XR8=")</f>
        <v>#VALUE!</v>
      </c>
      <c r="AG60" t="e">
        <f>AND(DATA!E440,"AAAAABs6XSA=")</f>
        <v>#VALUE!</v>
      </c>
      <c r="AH60" t="e">
        <f>AND(DATA!F440,"AAAAABs6XSE=")</f>
        <v>#VALUE!</v>
      </c>
      <c r="AI60" t="e">
        <f>AND(DATA!G440,"AAAAABs6XSI=")</f>
        <v>#VALUE!</v>
      </c>
      <c r="AJ60" t="e">
        <f>AND(DATA!H440,"AAAAABs6XSM=")</f>
        <v>#VALUE!</v>
      </c>
      <c r="AK60" t="e">
        <f>AND(DATA!I440,"AAAAABs6XSQ=")</f>
        <v>#VALUE!</v>
      </c>
      <c r="AL60" t="e">
        <f>AND(DATA!J440,"AAAAABs6XSU=")</f>
        <v>#VALUE!</v>
      </c>
      <c r="AM60" t="e">
        <f>AND(DATA!K440,"AAAAABs6XSY=")</f>
        <v>#VALUE!</v>
      </c>
      <c r="AN60" t="b">
        <f>AND(DATA!L440,"AAAAABs6XSc=")</f>
        <v>1</v>
      </c>
      <c r="AO60" t="b">
        <f>AND(DATA!M440,"AAAAABs6XSg=")</f>
        <v>1</v>
      </c>
      <c r="AP60" t="b">
        <f>AND(DATA!N440,"AAAAABs6XSk=")</f>
        <v>1</v>
      </c>
      <c r="AQ60">
        <f>IF(DATA!441:441,"AAAAABs6XSo=",0)</f>
        <v>0</v>
      </c>
      <c r="AR60" t="e">
        <f>AND(DATA!A441,"AAAAABs6XSs=")</f>
        <v>#VALUE!</v>
      </c>
      <c r="AS60" t="e">
        <f>AND(DATA!B441,"AAAAABs6XSw=")</f>
        <v>#VALUE!</v>
      </c>
      <c r="AT60" t="e">
        <f>AND(DATA!C441,"AAAAABs6XS0=")</f>
        <v>#VALUE!</v>
      </c>
      <c r="AU60" t="e">
        <f>AND(DATA!D441,"AAAAABs6XS4=")</f>
        <v>#VALUE!</v>
      </c>
      <c r="AV60" t="e">
        <f>AND(DATA!E441,"AAAAABs6XS8=")</f>
        <v>#VALUE!</v>
      </c>
      <c r="AW60" t="e">
        <f>AND(DATA!F441,"AAAAABs6XTA=")</f>
        <v>#VALUE!</v>
      </c>
      <c r="AX60" t="e">
        <f>AND(DATA!G441,"AAAAABs6XTE=")</f>
        <v>#VALUE!</v>
      </c>
      <c r="AY60" t="e">
        <f>AND(DATA!H441,"AAAAABs6XTI=")</f>
        <v>#VALUE!</v>
      </c>
      <c r="AZ60" t="e">
        <f>AND(DATA!I441,"AAAAABs6XTM=")</f>
        <v>#VALUE!</v>
      </c>
      <c r="BA60" t="e">
        <f>AND(DATA!J441,"AAAAABs6XTQ=")</f>
        <v>#VALUE!</v>
      </c>
      <c r="BB60" t="e">
        <f>AND(DATA!K441,"AAAAABs6XTU=")</f>
        <v>#VALUE!</v>
      </c>
      <c r="BC60" t="b">
        <f>AND(DATA!L441,"AAAAABs6XTY=")</f>
        <v>1</v>
      </c>
      <c r="BD60" t="b">
        <f>AND(DATA!M441,"AAAAABs6XTc=")</f>
        <v>1</v>
      </c>
      <c r="BE60" t="b">
        <f>AND(DATA!N441,"AAAAABs6XTg=")</f>
        <v>1</v>
      </c>
      <c r="BF60">
        <f>IF(DATA!442:442,"AAAAABs6XTk=",0)</f>
        <v>0</v>
      </c>
      <c r="BG60" t="e">
        <f>AND(DATA!A442,"AAAAABs6XTo=")</f>
        <v>#VALUE!</v>
      </c>
      <c r="BH60" t="e">
        <f>AND(DATA!B442,"AAAAABs6XTs=")</f>
        <v>#VALUE!</v>
      </c>
      <c r="BI60" t="e">
        <f>AND(DATA!C442,"AAAAABs6XTw=")</f>
        <v>#VALUE!</v>
      </c>
      <c r="BJ60" t="e">
        <f>AND(DATA!D442,"AAAAABs6XT0=")</f>
        <v>#VALUE!</v>
      </c>
      <c r="BK60" t="e">
        <f>AND(DATA!E442,"AAAAABs6XT4=")</f>
        <v>#VALUE!</v>
      </c>
      <c r="BL60" t="e">
        <f>AND(DATA!F442,"AAAAABs6XT8=")</f>
        <v>#VALUE!</v>
      </c>
      <c r="BM60" t="e">
        <f>AND(DATA!G442,"AAAAABs6XUA=")</f>
        <v>#VALUE!</v>
      </c>
      <c r="BN60" t="e">
        <f>AND(DATA!H442,"AAAAABs6XUE=")</f>
        <v>#VALUE!</v>
      </c>
      <c r="BO60" t="e">
        <f>AND(DATA!I442,"AAAAABs6XUI=")</f>
        <v>#VALUE!</v>
      </c>
      <c r="BP60" t="e">
        <f>AND(DATA!J442,"AAAAABs6XUM=")</f>
        <v>#VALUE!</v>
      </c>
      <c r="BQ60" t="e">
        <f>AND(DATA!K442,"AAAAABs6XUQ=")</f>
        <v>#VALUE!</v>
      </c>
      <c r="BR60" t="b">
        <f>AND(DATA!L442,"AAAAABs6XUU=")</f>
        <v>1</v>
      </c>
      <c r="BS60" t="b">
        <f>AND(DATA!M442,"AAAAABs6XUY=")</f>
        <v>1</v>
      </c>
      <c r="BT60" t="b">
        <f>AND(DATA!N442,"AAAAABs6XUc=")</f>
        <v>1</v>
      </c>
      <c r="BU60">
        <f>IF(DATA!443:443,"AAAAABs6XUg=",0)</f>
        <v>0</v>
      </c>
      <c r="BV60" t="e">
        <f>AND(DATA!A443,"AAAAABs6XUk=")</f>
        <v>#VALUE!</v>
      </c>
      <c r="BW60" t="e">
        <f>AND(DATA!B443,"AAAAABs6XUo=")</f>
        <v>#VALUE!</v>
      </c>
      <c r="BX60" t="e">
        <f>AND(DATA!C443,"AAAAABs6XUs=")</f>
        <v>#VALUE!</v>
      </c>
      <c r="BY60" t="e">
        <f>AND(DATA!D443,"AAAAABs6XUw=")</f>
        <v>#VALUE!</v>
      </c>
      <c r="BZ60" t="e">
        <f>AND(DATA!E443,"AAAAABs6XU0=")</f>
        <v>#VALUE!</v>
      </c>
      <c r="CA60" t="e">
        <f>AND(DATA!F443,"AAAAABs6XU4=")</f>
        <v>#VALUE!</v>
      </c>
      <c r="CB60" t="e">
        <f>AND(DATA!G443,"AAAAABs6XU8=")</f>
        <v>#VALUE!</v>
      </c>
      <c r="CC60" t="e">
        <f>AND(DATA!H443,"AAAAABs6XVA=")</f>
        <v>#VALUE!</v>
      </c>
      <c r="CD60" t="e">
        <f>AND(DATA!I443,"AAAAABs6XVE=")</f>
        <v>#VALUE!</v>
      </c>
      <c r="CE60" t="e">
        <f>AND(DATA!J443,"AAAAABs6XVI=")</f>
        <v>#VALUE!</v>
      </c>
      <c r="CF60" t="e">
        <f>AND(DATA!K443,"AAAAABs6XVM=")</f>
        <v>#VALUE!</v>
      </c>
      <c r="CG60" t="b">
        <f>AND(DATA!L443,"AAAAABs6XVQ=")</f>
        <v>1</v>
      </c>
      <c r="CH60" t="b">
        <f>AND(DATA!M443,"AAAAABs6XVU=")</f>
        <v>1</v>
      </c>
      <c r="CI60" t="b">
        <f>AND(DATA!N443,"AAAAABs6XVY=")</f>
        <v>1</v>
      </c>
      <c r="CJ60">
        <f>IF(DATA!444:444,"AAAAABs6XVc=",0)</f>
        <v>0</v>
      </c>
      <c r="CK60" t="e">
        <f>AND(DATA!A444,"AAAAABs6XVg=")</f>
        <v>#VALUE!</v>
      </c>
      <c r="CL60" t="e">
        <f>AND(DATA!B444,"AAAAABs6XVk=")</f>
        <v>#VALUE!</v>
      </c>
      <c r="CM60" t="e">
        <f>AND(DATA!C444,"AAAAABs6XVo=")</f>
        <v>#VALUE!</v>
      </c>
      <c r="CN60" t="e">
        <f>AND(DATA!D444,"AAAAABs6XVs=")</f>
        <v>#VALUE!</v>
      </c>
      <c r="CO60" t="e">
        <f>AND(DATA!E444,"AAAAABs6XVw=")</f>
        <v>#VALUE!</v>
      </c>
      <c r="CP60" t="e">
        <f>AND(DATA!F444,"AAAAABs6XV0=")</f>
        <v>#VALUE!</v>
      </c>
      <c r="CQ60" t="e">
        <f>AND(DATA!G444,"AAAAABs6XV4=")</f>
        <v>#VALUE!</v>
      </c>
      <c r="CR60" t="e">
        <f>AND(DATA!H444,"AAAAABs6XV8=")</f>
        <v>#VALUE!</v>
      </c>
      <c r="CS60" t="e">
        <f>AND(DATA!I444,"AAAAABs6XWA=")</f>
        <v>#VALUE!</v>
      </c>
      <c r="CT60" t="e">
        <f>AND(DATA!J444,"AAAAABs6XWE=")</f>
        <v>#VALUE!</v>
      </c>
      <c r="CU60" t="e">
        <f>AND(DATA!K444,"AAAAABs6XWI=")</f>
        <v>#VALUE!</v>
      </c>
      <c r="CV60" t="b">
        <f>AND(DATA!L444,"AAAAABs6XWM=")</f>
        <v>1</v>
      </c>
      <c r="CW60" t="b">
        <f>AND(DATA!M444,"AAAAABs6XWQ=")</f>
        <v>1</v>
      </c>
      <c r="CX60" t="b">
        <f>AND(DATA!N444,"AAAAABs6XWU=")</f>
        <v>1</v>
      </c>
      <c r="CY60">
        <f>IF(DATA!445:445,"AAAAABs6XWY=",0)</f>
        <v>0</v>
      </c>
      <c r="CZ60" t="e">
        <f>AND(DATA!A445,"AAAAABs6XWc=")</f>
        <v>#VALUE!</v>
      </c>
      <c r="DA60" t="e">
        <f>AND(DATA!B445,"AAAAABs6XWg=")</f>
        <v>#VALUE!</v>
      </c>
      <c r="DB60" t="e">
        <f>AND(DATA!C445,"AAAAABs6XWk=")</f>
        <v>#VALUE!</v>
      </c>
      <c r="DC60" t="e">
        <f>AND(DATA!D445,"AAAAABs6XWo=")</f>
        <v>#VALUE!</v>
      </c>
      <c r="DD60" t="e">
        <f>AND(DATA!E445,"AAAAABs6XWs=")</f>
        <v>#VALUE!</v>
      </c>
      <c r="DE60" t="e">
        <f>AND(DATA!F445,"AAAAABs6XWw=")</f>
        <v>#VALUE!</v>
      </c>
      <c r="DF60" t="e">
        <f>AND(DATA!G445,"AAAAABs6XW0=")</f>
        <v>#VALUE!</v>
      </c>
      <c r="DG60" t="e">
        <f>AND(DATA!H445,"AAAAABs6XW4=")</f>
        <v>#VALUE!</v>
      </c>
      <c r="DH60" t="e">
        <f>AND(DATA!I445,"AAAAABs6XW8=")</f>
        <v>#VALUE!</v>
      </c>
      <c r="DI60" t="e">
        <f>AND(DATA!J445,"AAAAABs6XXA=")</f>
        <v>#VALUE!</v>
      </c>
      <c r="DJ60" t="e">
        <f>AND(DATA!K445,"AAAAABs6XXE=")</f>
        <v>#VALUE!</v>
      </c>
      <c r="DK60" t="b">
        <f>AND(DATA!L445,"AAAAABs6XXI=")</f>
        <v>1</v>
      </c>
      <c r="DL60" t="b">
        <f>AND(DATA!M445,"AAAAABs6XXM=")</f>
        <v>1</v>
      </c>
      <c r="DM60" t="b">
        <f>AND(DATA!N445,"AAAAABs6XXQ=")</f>
        <v>1</v>
      </c>
      <c r="DN60">
        <f>IF(DATA!446:446,"AAAAABs6XXU=",0)</f>
        <v>0</v>
      </c>
      <c r="DO60" t="e">
        <f>AND(DATA!A446,"AAAAABs6XXY=")</f>
        <v>#VALUE!</v>
      </c>
      <c r="DP60" t="e">
        <f>AND(DATA!B446,"AAAAABs6XXc=")</f>
        <v>#VALUE!</v>
      </c>
      <c r="DQ60" t="e">
        <f>AND(DATA!C446,"AAAAABs6XXg=")</f>
        <v>#VALUE!</v>
      </c>
      <c r="DR60" t="e">
        <f>AND(DATA!D446,"AAAAABs6XXk=")</f>
        <v>#VALUE!</v>
      </c>
      <c r="DS60" t="e">
        <f>AND(DATA!E446,"AAAAABs6XXo=")</f>
        <v>#VALUE!</v>
      </c>
      <c r="DT60" t="e">
        <f>AND(DATA!F446,"AAAAABs6XXs=")</f>
        <v>#VALUE!</v>
      </c>
      <c r="DU60" t="e">
        <f>AND(DATA!G446,"AAAAABs6XXw=")</f>
        <v>#VALUE!</v>
      </c>
      <c r="DV60" t="e">
        <f>AND(DATA!H446,"AAAAABs6XX0=")</f>
        <v>#VALUE!</v>
      </c>
      <c r="DW60" t="e">
        <f>AND(DATA!I446,"AAAAABs6XX4=")</f>
        <v>#VALUE!</v>
      </c>
      <c r="DX60" t="e">
        <f>AND(DATA!J446,"AAAAABs6XX8=")</f>
        <v>#VALUE!</v>
      </c>
      <c r="DY60" t="e">
        <f>AND(DATA!K446,"AAAAABs6XYA=")</f>
        <v>#VALUE!</v>
      </c>
      <c r="DZ60" t="b">
        <f>AND(DATA!L446,"AAAAABs6XYE=")</f>
        <v>1</v>
      </c>
      <c r="EA60" t="b">
        <f>AND(DATA!M446,"AAAAABs6XYI=")</f>
        <v>1</v>
      </c>
      <c r="EB60" t="b">
        <f>AND(DATA!N446,"AAAAABs6XYM=")</f>
        <v>1</v>
      </c>
      <c r="EC60">
        <f>IF(DATA!447:447,"AAAAABs6XYQ=",0)</f>
        <v>0</v>
      </c>
      <c r="ED60" t="e">
        <f>AND(DATA!A447,"AAAAABs6XYU=")</f>
        <v>#VALUE!</v>
      </c>
      <c r="EE60" t="e">
        <f>AND(DATA!B447,"AAAAABs6XYY=")</f>
        <v>#VALUE!</v>
      </c>
      <c r="EF60" t="e">
        <f>AND(DATA!C447,"AAAAABs6XYc=")</f>
        <v>#VALUE!</v>
      </c>
      <c r="EG60" t="e">
        <f>AND(DATA!D447,"AAAAABs6XYg=")</f>
        <v>#VALUE!</v>
      </c>
      <c r="EH60" t="e">
        <f>AND(DATA!E447,"AAAAABs6XYk=")</f>
        <v>#VALUE!</v>
      </c>
      <c r="EI60" t="e">
        <f>AND(DATA!F447,"AAAAABs6XYo=")</f>
        <v>#VALUE!</v>
      </c>
      <c r="EJ60" t="e">
        <f>AND(DATA!G447,"AAAAABs6XYs=")</f>
        <v>#VALUE!</v>
      </c>
      <c r="EK60" t="e">
        <f>AND(DATA!H447,"AAAAABs6XYw=")</f>
        <v>#VALUE!</v>
      </c>
      <c r="EL60" t="e">
        <f>AND(DATA!I447,"AAAAABs6XY0=")</f>
        <v>#VALUE!</v>
      </c>
      <c r="EM60" t="e">
        <f>AND(DATA!J447,"AAAAABs6XY4=")</f>
        <v>#VALUE!</v>
      </c>
      <c r="EN60" t="e">
        <f>AND(DATA!K447,"AAAAABs6XY8=")</f>
        <v>#VALUE!</v>
      </c>
      <c r="EO60" t="b">
        <f>AND(DATA!L447,"AAAAABs6XZA=")</f>
        <v>1</v>
      </c>
      <c r="EP60" t="b">
        <f>AND(DATA!M447,"AAAAABs6XZE=")</f>
        <v>1</v>
      </c>
      <c r="EQ60" t="b">
        <f>AND(DATA!N447,"AAAAABs6XZI=")</f>
        <v>1</v>
      </c>
      <c r="ER60">
        <f>IF(DATA!448:448,"AAAAABs6XZM=",0)</f>
        <v>0</v>
      </c>
      <c r="ES60" t="e">
        <f>AND(DATA!A448,"AAAAABs6XZQ=")</f>
        <v>#VALUE!</v>
      </c>
      <c r="ET60" t="e">
        <f>AND(DATA!B448,"AAAAABs6XZU=")</f>
        <v>#VALUE!</v>
      </c>
      <c r="EU60" t="e">
        <f>AND(DATA!C448,"AAAAABs6XZY=")</f>
        <v>#VALUE!</v>
      </c>
      <c r="EV60" t="e">
        <f>AND(DATA!D448,"AAAAABs6XZc=")</f>
        <v>#VALUE!</v>
      </c>
      <c r="EW60" t="e">
        <f>AND(DATA!E448,"AAAAABs6XZg=")</f>
        <v>#VALUE!</v>
      </c>
      <c r="EX60" t="e">
        <f>AND(DATA!F448,"AAAAABs6XZk=")</f>
        <v>#VALUE!</v>
      </c>
      <c r="EY60" t="e">
        <f>AND(DATA!G448,"AAAAABs6XZo=")</f>
        <v>#VALUE!</v>
      </c>
      <c r="EZ60" t="e">
        <f>AND(DATA!H448,"AAAAABs6XZs=")</f>
        <v>#VALUE!</v>
      </c>
      <c r="FA60" t="e">
        <f>AND(DATA!I448,"AAAAABs6XZw=")</f>
        <v>#VALUE!</v>
      </c>
      <c r="FB60" t="e">
        <f>AND(DATA!J448,"AAAAABs6XZ0=")</f>
        <v>#VALUE!</v>
      </c>
      <c r="FC60" t="e">
        <f>AND(DATA!K448,"AAAAABs6XZ4=")</f>
        <v>#VALUE!</v>
      </c>
      <c r="FD60" t="b">
        <f>AND(DATA!L448,"AAAAABs6XZ8=")</f>
        <v>1</v>
      </c>
      <c r="FE60" t="b">
        <f>AND(DATA!M448,"AAAAABs6XaA=")</f>
        <v>1</v>
      </c>
      <c r="FF60" t="b">
        <f>AND(DATA!N448,"AAAAABs6XaE=")</f>
        <v>1</v>
      </c>
      <c r="FG60">
        <f>IF(DATA!449:449,"AAAAABs6XaI=",0)</f>
        <v>0</v>
      </c>
      <c r="FH60" t="e">
        <f>AND(DATA!A449,"AAAAABs6XaM=")</f>
        <v>#VALUE!</v>
      </c>
      <c r="FI60" t="e">
        <f>AND(DATA!B449,"AAAAABs6XaQ=")</f>
        <v>#VALUE!</v>
      </c>
      <c r="FJ60" t="e">
        <f>AND(DATA!C449,"AAAAABs6XaU=")</f>
        <v>#VALUE!</v>
      </c>
      <c r="FK60" t="e">
        <f>AND(DATA!D449,"AAAAABs6XaY=")</f>
        <v>#VALUE!</v>
      </c>
      <c r="FL60" t="e">
        <f>AND(DATA!E449,"AAAAABs6Xac=")</f>
        <v>#VALUE!</v>
      </c>
      <c r="FM60" t="e">
        <f>AND(DATA!F449,"AAAAABs6Xag=")</f>
        <v>#VALUE!</v>
      </c>
      <c r="FN60" t="e">
        <f>AND(DATA!G449,"AAAAABs6Xak=")</f>
        <v>#VALUE!</v>
      </c>
      <c r="FO60" t="e">
        <f>AND(DATA!H449,"AAAAABs6Xao=")</f>
        <v>#VALUE!</v>
      </c>
      <c r="FP60" t="e">
        <f>AND(DATA!I449,"AAAAABs6Xas=")</f>
        <v>#VALUE!</v>
      </c>
      <c r="FQ60" t="e">
        <f>AND(DATA!J449,"AAAAABs6Xaw=")</f>
        <v>#VALUE!</v>
      </c>
      <c r="FR60" t="e">
        <f>AND(DATA!K449,"AAAAABs6Xa0=")</f>
        <v>#VALUE!</v>
      </c>
      <c r="FS60" t="b">
        <f>AND(DATA!L449,"AAAAABs6Xa4=")</f>
        <v>1</v>
      </c>
      <c r="FT60" t="b">
        <f>AND(DATA!M449,"AAAAABs6Xa8=")</f>
        <v>1</v>
      </c>
      <c r="FU60" t="b">
        <f>AND(DATA!N449,"AAAAABs6XbA=")</f>
        <v>1</v>
      </c>
      <c r="FV60">
        <f>IF(DATA!450:450,"AAAAABs6XbE=",0)</f>
        <v>0</v>
      </c>
      <c r="FW60" t="e">
        <f>AND(DATA!A450,"AAAAABs6XbI=")</f>
        <v>#VALUE!</v>
      </c>
      <c r="FX60" t="e">
        <f>AND(DATA!B450,"AAAAABs6XbM=")</f>
        <v>#VALUE!</v>
      </c>
      <c r="FY60" t="e">
        <f>AND(DATA!C450,"AAAAABs6XbQ=")</f>
        <v>#VALUE!</v>
      </c>
      <c r="FZ60" t="e">
        <f>AND(DATA!D450,"AAAAABs6XbU=")</f>
        <v>#VALUE!</v>
      </c>
      <c r="GA60" t="e">
        <f>AND(DATA!E450,"AAAAABs6XbY=")</f>
        <v>#VALUE!</v>
      </c>
      <c r="GB60" t="e">
        <f>AND(DATA!F450,"AAAAABs6Xbc=")</f>
        <v>#VALUE!</v>
      </c>
      <c r="GC60" t="e">
        <f>AND(DATA!G450,"AAAAABs6Xbg=")</f>
        <v>#VALUE!</v>
      </c>
      <c r="GD60" t="e">
        <f>AND(DATA!H450,"AAAAABs6Xbk=")</f>
        <v>#VALUE!</v>
      </c>
      <c r="GE60" t="e">
        <f>AND(DATA!I450,"AAAAABs6Xbo=")</f>
        <v>#VALUE!</v>
      </c>
      <c r="GF60" t="e">
        <f>AND(DATA!J450,"AAAAABs6Xbs=")</f>
        <v>#VALUE!</v>
      </c>
      <c r="GG60" t="e">
        <f>AND(DATA!K450,"AAAAABs6Xbw=")</f>
        <v>#VALUE!</v>
      </c>
      <c r="GH60" t="b">
        <f>AND(DATA!L450,"AAAAABs6Xb0=")</f>
        <v>1</v>
      </c>
      <c r="GI60" t="b">
        <f>AND(DATA!M450,"AAAAABs6Xb4=")</f>
        <v>1</v>
      </c>
      <c r="GJ60" t="b">
        <f>AND(DATA!N450,"AAAAABs6Xb8=")</f>
        <v>1</v>
      </c>
      <c r="GK60">
        <f>IF(DATA!451:451,"AAAAABs6XcA=",0)</f>
        <v>0</v>
      </c>
      <c r="GL60" t="e">
        <f>AND(DATA!A451,"AAAAABs6XcE=")</f>
        <v>#VALUE!</v>
      </c>
      <c r="GM60" t="e">
        <f>AND(DATA!B451,"AAAAABs6XcI=")</f>
        <v>#VALUE!</v>
      </c>
      <c r="GN60" t="e">
        <f>AND(DATA!C451,"AAAAABs6XcM=")</f>
        <v>#VALUE!</v>
      </c>
      <c r="GO60" t="e">
        <f>AND(DATA!D451,"AAAAABs6XcQ=")</f>
        <v>#VALUE!</v>
      </c>
      <c r="GP60" t="e">
        <f>AND(DATA!E451,"AAAAABs6XcU=")</f>
        <v>#VALUE!</v>
      </c>
      <c r="GQ60" t="e">
        <f>AND(DATA!F451,"AAAAABs6XcY=")</f>
        <v>#VALUE!</v>
      </c>
      <c r="GR60" t="e">
        <f>AND(DATA!G451,"AAAAABs6Xcc=")</f>
        <v>#VALUE!</v>
      </c>
      <c r="GS60" t="e">
        <f>AND(DATA!H451,"AAAAABs6Xcg=")</f>
        <v>#VALUE!</v>
      </c>
      <c r="GT60" t="e">
        <f>AND(DATA!I451,"AAAAABs6Xck=")</f>
        <v>#VALUE!</v>
      </c>
      <c r="GU60" t="e">
        <f>AND(DATA!J451,"AAAAABs6Xco=")</f>
        <v>#VALUE!</v>
      </c>
      <c r="GV60" t="e">
        <f>AND(DATA!K451,"AAAAABs6Xcs=")</f>
        <v>#VALUE!</v>
      </c>
      <c r="GW60" t="b">
        <f>AND(DATA!L451,"AAAAABs6Xcw=")</f>
        <v>1</v>
      </c>
      <c r="GX60" t="b">
        <f>AND(DATA!M451,"AAAAABs6Xc0=")</f>
        <v>1</v>
      </c>
      <c r="GY60" t="b">
        <f>AND(DATA!N451,"AAAAABs6Xc4=")</f>
        <v>1</v>
      </c>
      <c r="GZ60">
        <f>IF(DATA!452:452,"AAAAABs6Xc8=",0)</f>
        <v>0</v>
      </c>
      <c r="HA60" t="e">
        <f>AND(DATA!A452,"AAAAABs6XdA=")</f>
        <v>#VALUE!</v>
      </c>
      <c r="HB60" t="e">
        <f>AND(DATA!B452,"AAAAABs6XdE=")</f>
        <v>#VALUE!</v>
      </c>
      <c r="HC60" t="e">
        <f>AND(DATA!C452,"AAAAABs6XdI=")</f>
        <v>#VALUE!</v>
      </c>
      <c r="HD60" t="e">
        <f>AND(DATA!D452,"AAAAABs6XdM=")</f>
        <v>#VALUE!</v>
      </c>
      <c r="HE60" t="e">
        <f>AND(DATA!E452,"AAAAABs6XdQ=")</f>
        <v>#VALUE!</v>
      </c>
      <c r="HF60" t="e">
        <f>AND(DATA!F452,"AAAAABs6XdU=")</f>
        <v>#VALUE!</v>
      </c>
      <c r="HG60" t="e">
        <f>AND(DATA!G452,"AAAAABs6XdY=")</f>
        <v>#VALUE!</v>
      </c>
      <c r="HH60" t="e">
        <f>AND(DATA!H452,"AAAAABs6Xdc=")</f>
        <v>#VALUE!</v>
      </c>
      <c r="HI60" t="e">
        <f>AND(DATA!I452,"AAAAABs6Xdg=")</f>
        <v>#VALUE!</v>
      </c>
      <c r="HJ60" t="e">
        <f>AND(DATA!J452,"AAAAABs6Xdk=")</f>
        <v>#VALUE!</v>
      </c>
      <c r="HK60" t="e">
        <f>AND(DATA!K452,"AAAAABs6Xdo=")</f>
        <v>#VALUE!</v>
      </c>
      <c r="HL60" t="b">
        <f>AND(DATA!L452,"AAAAABs6Xds=")</f>
        <v>1</v>
      </c>
      <c r="HM60" t="b">
        <f>AND(DATA!M452,"AAAAABs6Xdw=")</f>
        <v>1</v>
      </c>
      <c r="HN60" t="b">
        <f>AND(DATA!N452,"AAAAABs6Xd0=")</f>
        <v>1</v>
      </c>
      <c r="HO60">
        <f>IF(DATA!453:453,"AAAAABs6Xd4=",0)</f>
        <v>0</v>
      </c>
      <c r="HP60" t="e">
        <f>AND(DATA!A453,"AAAAABs6Xd8=")</f>
        <v>#VALUE!</v>
      </c>
      <c r="HQ60" t="e">
        <f>AND(DATA!B453,"AAAAABs6XeA=")</f>
        <v>#VALUE!</v>
      </c>
      <c r="HR60" t="e">
        <f>AND(DATA!C453,"AAAAABs6XeE=")</f>
        <v>#VALUE!</v>
      </c>
      <c r="HS60" t="e">
        <f>AND(DATA!D453,"AAAAABs6XeI=")</f>
        <v>#VALUE!</v>
      </c>
      <c r="HT60" t="e">
        <f>AND(DATA!E453,"AAAAABs6XeM=")</f>
        <v>#VALUE!</v>
      </c>
      <c r="HU60" t="e">
        <f>AND(DATA!F453,"AAAAABs6XeQ=")</f>
        <v>#VALUE!</v>
      </c>
      <c r="HV60" t="e">
        <f>AND(DATA!G453,"AAAAABs6XeU=")</f>
        <v>#VALUE!</v>
      </c>
      <c r="HW60" t="e">
        <f>AND(DATA!H453,"AAAAABs6XeY=")</f>
        <v>#VALUE!</v>
      </c>
      <c r="HX60" t="e">
        <f>AND(DATA!I453,"AAAAABs6Xec=")</f>
        <v>#VALUE!</v>
      </c>
      <c r="HY60" t="e">
        <f>AND(DATA!J453,"AAAAABs6Xeg=")</f>
        <v>#VALUE!</v>
      </c>
      <c r="HZ60" t="e">
        <f>AND(DATA!K453,"AAAAABs6Xek=")</f>
        <v>#VALUE!</v>
      </c>
      <c r="IA60" t="b">
        <f>AND(DATA!L453,"AAAAABs6Xeo=")</f>
        <v>1</v>
      </c>
      <c r="IB60" t="b">
        <f>AND(DATA!M453,"AAAAABs6Xes=")</f>
        <v>1</v>
      </c>
      <c r="IC60" t="b">
        <f>AND(DATA!N453,"AAAAABs6Xew=")</f>
        <v>1</v>
      </c>
      <c r="ID60">
        <f>IF(DATA!454:454,"AAAAABs6Xe0=",0)</f>
        <v>0</v>
      </c>
      <c r="IE60" t="e">
        <f>AND(DATA!A454,"AAAAABs6Xe4=")</f>
        <v>#VALUE!</v>
      </c>
      <c r="IF60" t="e">
        <f>AND(DATA!B454,"AAAAABs6Xe8=")</f>
        <v>#VALUE!</v>
      </c>
      <c r="IG60" t="e">
        <f>AND(DATA!C454,"AAAAABs6XfA=")</f>
        <v>#VALUE!</v>
      </c>
      <c r="IH60" t="e">
        <f>AND(DATA!D454,"AAAAABs6XfE=")</f>
        <v>#VALUE!</v>
      </c>
      <c r="II60" t="e">
        <f>AND(DATA!E454,"AAAAABs6XfI=")</f>
        <v>#VALUE!</v>
      </c>
      <c r="IJ60" t="e">
        <f>AND(DATA!F454,"AAAAABs6XfM=")</f>
        <v>#VALUE!</v>
      </c>
      <c r="IK60" t="e">
        <f>AND(DATA!G454,"AAAAABs6XfQ=")</f>
        <v>#VALUE!</v>
      </c>
      <c r="IL60" t="e">
        <f>AND(DATA!H454,"AAAAABs6XfU=")</f>
        <v>#VALUE!</v>
      </c>
      <c r="IM60" t="e">
        <f>AND(DATA!I454,"AAAAABs6XfY=")</f>
        <v>#VALUE!</v>
      </c>
      <c r="IN60" t="e">
        <f>AND(DATA!J454,"AAAAABs6Xfc=")</f>
        <v>#VALUE!</v>
      </c>
      <c r="IO60" t="e">
        <f>AND(DATA!K454,"AAAAABs6Xfg=")</f>
        <v>#VALUE!</v>
      </c>
      <c r="IP60" t="b">
        <f>AND(DATA!L454,"AAAAABs6Xfk=")</f>
        <v>1</v>
      </c>
      <c r="IQ60" t="b">
        <f>AND(DATA!M454,"AAAAABs6Xfo=")</f>
        <v>1</v>
      </c>
      <c r="IR60" t="b">
        <f>AND(DATA!N454,"AAAAABs6Xfs=")</f>
        <v>1</v>
      </c>
      <c r="IS60">
        <f>IF(DATA!455:455,"AAAAABs6Xfw=",0)</f>
        <v>0</v>
      </c>
      <c r="IT60" t="e">
        <f>AND(DATA!A455,"AAAAABs6Xf0=")</f>
        <v>#VALUE!</v>
      </c>
      <c r="IU60" t="e">
        <f>AND(DATA!B455,"AAAAABs6Xf4=")</f>
        <v>#VALUE!</v>
      </c>
      <c r="IV60" t="e">
        <f>AND(DATA!C455,"AAAAABs6Xf8=")</f>
        <v>#VALUE!</v>
      </c>
    </row>
    <row r="61" spans="1:256">
      <c r="A61" t="e">
        <f>AND(DATA!D455,"AAAAADd9+gA=")</f>
        <v>#VALUE!</v>
      </c>
      <c r="B61" t="e">
        <f>AND(DATA!E455,"AAAAADd9+gE=")</f>
        <v>#VALUE!</v>
      </c>
      <c r="C61" t="e">
        <f>AND(DATA!F455,"AAAAADd9+gI=")</f>
        <v>#VALUE!</v>
      </c>
      <c r="D61" t="e">
        <f>AND(DATA!G455,"AAAAADd9+gM=")</f>
        <v>#VALUE!</v>
      </c>
      <c r="E61" t="e">
        <f>AND(DATA!H455,"AAAAADd9+gQ=")</f>
        <v>#VALUE!</v>
      </c>
      <c r="F61" t="e">
        <f>AND(DATA!I455,"AAAAADd9+gU=")</f>
        <v>#VALUE!</v>
      </c>
      <c r="G61" t="e">
        <f>AND(DATA!J455,"AAAAADd9+gY=")</f>
        <v>#VALUE!</v>
      </c>
      <c r="H61" t="e">
        <f>AND(DATA!K455,"AAAAADd9+gc=")</f>
        <v>#VALUE!</v>
      </c>
      <c r="I61" t="b">
        <f>AND(DATA!L455,"AAAAADd9+gg=")</f>
        <v>1</v>
      </c>
      <c r="J61" t="b">
        <f>AND(DATA!M455,"AAAAADd9+gk=")</f>
        <v>1</v>
      </c>
      <c r="K61" t="b">
        <f>AND(DATA!N455,"AAAAADd9+go=")</f>
        <v>1</v>
      </c>
      <c r="L61" t="str">
        <f>IF(DATA!456:456,"AAAAADd9+gs=",0)</f>
        <v>AAAAADd9+gs=</v>
      </c>
      <c r="M61" t="e">
        <f>AND(DATA!A456,"AAAAADd9+gw=")</f>
        <v>#VALUE!</v>
      </c>
      <c r="N61" t="e">
        <f>AND(DATA!B456,"AAAAADd9+g0=")</f>
        <v>#VALUE!</v>
      </c>
      <c r="O61" t="e">
        <f>AND(DATA!C456,"AAAAADd9+g4=")</f>
        <v>#VALUE!</v>
      </c>
      <c r="P61" t="e">
        <f>AND(DATA!D456,"AAAAADd9+g8=")</f>
        <v>#VALUE!</v>
      </c>
      <c r="Q61" t="e">
        <f>AND(DATA!E456,"AAAAADd9+hA=")</f>
        <v>#VALUE!</v>
      </c>
      <c r="R61" t="e">
        <f>AND(DATA!F456,"AAAAADd9+hE=")</f>
        <v>#VALUE!</v>
      </c>
      <c r="S61" t="e">
        <f>AND(DATA!G456,"AAAAADd9+hI=")</f>
        <v>#VALUE!</v>
      </c>
      <c r="T61" t="e">
        <f>AND(DATA!H456,"AAAAADd9+hM=")</f>
        <v>#VALUE!</v>
      </c>
      <c r="U61" t="e">
        <f>AND(DATA!I456,"AAAAADd9+hQ=")</f>
        <v>#VALUE!</v>
      </c>
      <c r="V61" t="e">
        <f>AND(DATA!J456,"AAAAADd9+hU=")</f>
        <v>#VALUE!</v>
      </c>
      <c r="W61" t="e">
        <f>AND(DATA!K456,"AAAAADd9+hY=")</f>
        <v>#VALUE!</v>
      </c>
      <c r="X61" t="b">
        <f>AND(DATA!L456,"AAAAADd9+hc=")</f>
        <v>1</v>
      </c>
      <c r="Y61" t="b">
        <f>AND(DATA!M456,"AAAAADd9+hg=")</f>
        <v>1</v>
      </c>
      <c r="Z61" t="b">
        <f>AND(DATA!N456,"AAAAADd9+hk=")</f>
        <v>1</v>
      </c>
      <c r="AA61">
        <f>IF(DATA!457:457,"AAAAADd9+ho=",0)</f>
        <v>0</v>
      </c>
      <c r="AB61" t="e">
        <f>AND(DATA!A457,"AAAAADd9+hs=")</f>
        <v>#VALUE!</v>
      </c>
      <c r="AC61" t="e">
        <f>AND(DATA!B457,"AAAAADd9+hw=")</f>
        <v>#VALUE!</v>
      </c>
      <c r="AD61" t="e">
        <f>AND(DATA!C457,"AAAAADd9+h0=")</f>
        <v>#VALUE!</v>
      </c>
      <c r="AE61" t="e">
        <f>AND(DATA!D457,"AAAAADd9+h4=")</f>
        <v>#VALUE!</v>
      </c>
      <c r="AF61" t="e">
        <f>AND(DATA!E457,"AAAAADd9+h8=")</f>
        <v>#VALUE!</v>
      </c>
      <c r="AG61" t="e">
        <f>AND(DATA!F457,"AAAAADd9+iA=")</f>
        <v>#VALUE!</v>
      </c>
      <c r="AH61" t="e">
        <f>AND(DATA!G457,"AAAAADd9+iE=")</f>
        <v>#VALUE!</v>
      </c>
      <c r="AI61" t="e">
        <f>AND(DATA!H457,"AAAAADd9+iI=")</f>
        <v>#VALUE!</v>
      </c>
      <c r="AJ61" t="e">
        <f>AND(DATA!I457,"AAAAADd9+iM=")</f>
        <v>#VALUE!</v>
      </c>
      <c r="AK61" t="e">
        <f>AND(DATA!J457,"AAAAADd9+iQ=")</f>
        <v>#VALUE!</v>
      </c>
      <c r="AL61" t="e">
        <f>AND(DATA!K457,"AAAAADd9+iU=")</f>
        <v>#VALUE!</v>
      </c>
      <c r="AM61" t="b">
        <f>AND(DATA!L457,"AAAAADd9+iY=")</f>
        <v>1</v>
      </c>
      <c r="AN61" t="b">
        <f>AND(DATA!M457,"AAAAADd9+ic=")</f>
        <v>1</v>
      </c>
      <c r="AO61" t="b">
        <f>AND(DATA!N457,"AAAAADd9+ig=")</f>
        <v>1</v>
      </c>
      <c r="AP61">
        <f>IF(DATA!458:458,"AAAAADd9+ik=",0)</f>
        <v>0</v>
      </c>
      <c r="AQ61" t="e">
        <f>AND(DATA!A458,"AAAAADd9+io=")</f>
        <v>#VALUE!</v>
      </c>
      <c r="AR61" t="e">
        <f>AND(DATA!B458,"AAAAADd9+is=")</f>
        <v>#VALUE!</v>
      </c>
      <c r="AS61" t="e">
        <f>AND(DATA!C458,"AAAAADd9+iw=")</f>
        <v>#VALUE!</v>
      </c>
      <c r="AT61" t="e">
        <f>AND(DATA!D458,"AAAAADd9+i0=")</f>
        <v>#VALUE!</v>
      </c>
      <c r="AU61" t="e">
        <f>AND(DATA!E458,"AAAAADd9+i4=")</f>
        <v>#VALUE!</v>
      </c>
      <c r="AV61" t="e">
        <f>AND(DATA!F458,"AAAAADd9+i8=")</f>
        <v>#VALUE!</v>
      </c>
      <c r="AW61" t="e">
        <f>AND(DATA!G458,"AAAAADd9+jA=")</f>
        <v>#VALUE!</v>
      </c>
      <c r="AX61" t="e">
        <f>AND(DATA!H458,"AAAAADd9+jE=")</f>
        <v>#VALUE!</v>
      </c>
      <c r="AY61" t="e">
        <f>AND(DATA!I458,"AAAAADd9+jI=")</f>
        <v>#VALUE!</v>
      </c>
      <c r="AZ61" t="e">
        <f>AND(DATA!J458,"AAAAADd9+jM=")</f>
        <v>#VALUE!</v>
      </c>
      <c r="BA61" t="e">
        <f>AND(DATA!K458,"AAAAADd9+jQ=")</f>
        <v>#VALUE!</v>
      </c>
      <c r="BB61" t="b">
        <f>AND(DATA!L458,"AAAAADd9+jU=")</f>
        <v>1</v>
      </c>
      <c r="BC61" t="b">
        <f>AND(DATA!M458,"AAAAADd9+jY=")</f>
        <v>1</v>
      </c>
      <c r="BD61" t="b">
        <f>AND(DATA!N458,"AAAAADd9+jc=")</f>
        <v>1</v>
      </c>
      <c r="BE61">
        <f>IF(DATA!459:459,"AAAAADd9+jg=",0)</f>
        <v>0</v>
      </c>
      <c r="BF61" t="e">
        <f>AND(DATA!A459,"AAAAADd9+jk=")</f>
        <v>#VALUE!</v>
      </c>
      <c r="BG61" t="e">
        <f>AND(DATA!B459,"AAAAADd9+jo=")</f>
        <v>#VALUE!</v>
      </c>
      <c r="BH61" t="e">
        <f>AND(DATA!C459,"AAAAADd9+js=")</f>
        <v>#VALUE!</v>
      </c>
      <c r="BI61" t="e">
        <f>AND(DATA!D459,"AAAAADd9+jw=")</f>
        <v>#VALUE!</v>
      </c>
      <c r="BJ61" t="e">
        <f>AND(DATA!E459,"AAAAADd9+j0=")</f>
        <v>#VALUE!</v>
      </c>
      <c r="BK61" t="e">
        <f>AND(DATA!F459,"AAAAADd9+j4=")</f>
        <v>#VALUE!</v>
      </c>
      <c r="BL61" t="e">
        <f>AND(DATA!G459,"AAAAADd9+j8=")</f>
        <v>#VALUE!</v>
      </c>
      <c r="BM61" t="e">
        <f>AND(DATA!H459,"AAAAADd9+kA=")</f>
        <v>#VALUE!</v>
      </c>
      <c r="BN61" t="e">
        <f>AND(DATA!I459,"AAAAADd9+kE=")</f>
        <v>#VALUE!</v>
      </c>
      <c r="BO61" t="e">
        <f>AND(DATA!J459,"AAAAADd9+kI=")</f>
        <v>#VALUE!</v>
      </c>
      <c r="BP61" t="e">
        <f>AND(DATA!K459,"AAAAADd9+kM=")</f>
        <v>#VALUE!</v>
      </c>
      <c r="BQ61" t="b">
        <f>AND(DATA!L459,"AAAAADd9+kQ=")</f>
        <v>1</v>
      </c>
      <c r="BR61" t="b">
        <f>AND(DATA!M459,"AAAAADd9+kU=")</f>
        <v>1</v>
      </c>
      <c r="BS61" t="b">
        <f>AND(DATA!N459,"AAAAADd9+kY=")</f>
        <v>1</v>
      </c>
      <c r="BT61">
        <f>IF(DATA!460:460,"AAAAADd9+kc=",0)</f>
        <v>0</v>
      </c>
      <c r="BU61" t="e">
        <f>AND(DATA!A460,"AAAAADd9+kg=")</f>
        <v>#VALUE!</v>
      </c>
      <c r="BV61" t="e">
        <f>AND(DATA!B460,"AAAAADd9+kk=")</f>
        <v>#VALUE!</v>
      </c>
      <c r="BW61" t="e">
        <f>AND(DATA!C460,"AAAAADd9+ko=")</f>
        <v>#VALUE!</v>
      </c>
      <c r="BX61" t="e">
        <f>AND(DATA!D460,"AAAAADd9+ks=")</f>
        <v>#VALUE!</v>
      </c>
      <c r="BY61" t="e">
        <f>AND(DATA!E460,"AAAAADd9+kw=")</f>
        <v>#VALUE!</v>
      </c>
      <c r="BZ61" t="e">
        <f>AND(DATA!F460,"AAAAADd9+k0=")</f>
        <v>#VALUE!</v>
      </c>
      <c r="CA61" t="e">
        <f>AND(DATA!G460,"AAAAADd9+k4=")</f>
        <v>#VALUE!</v>
      </c>
      <c r="CB61" t="e">
        <f>AND(DATA!H460,"AAAAADd9+k8=")</f>
        <v>#VALUE!</v>
      </c>
      <c r="CC61" t="e">
        <f>AND(DATA!I460,"AAAAADd9+lA=")</f>
        <v>#VALUE!</v>
      </c>
      <c r="CD61" t="e">
        <f>AND(DATA!J460,"AAAAADd9+lE=")</f>
        <v>#VALUE!</v>
      </c>
      <c r="CE61" t="e">
        <f>AND(DATA!K460,"AAAAADd9+lI=")</f>
        <v>#VALUE!</v>
      </c>
      <c r="CF61" t="b">
        <f>AND(DATA!L460,"AAAAADd9+lM=")</f>
        <v>1</v>
      </c>
      <c r="CG61" t="b">
        <f>AND(DATA!M460,"AAAAADd9+lQ=")</f>
        <v>1</v>
      </c>
      <c r="CH61" t="b">
        <f>AND(DATA!N460,"AAAAADd9+lU=")</f>
        <v>1</v>
      </c>
      <c r="CI61">
        <f>IF(DATA!461:461,"AAAAADd9+lY=",0)</f>
        <v>0</v>
      </c>
      <c r="CJ61" t="e">
        <f>AND(DATA!A461,"AAAAADd9+lc=")</f>
        <v>#VALUE!</v>
      </c>
      <c r="CK61" t="e">
        <f>AND(DATA!B461,"AAAAADd9+lg=")</f>
        <v>#VALUE!</v>
      </c>
      <c r="CL61" t="e">
        <f>AND(DATA!C461,"AAAAADd9+lk=")</f>
        <v>#VALUE!</v>
      </c>
      <c r="CM61" t="e">
        <f>AND(DATA!D461,"AAAAADd9+lo=")</f>
        <v>#VALUE!</v>
      </c>
      <c r="CN61" t="e">
        <f>AND(DATA!E461,"AAAAADd9+ls=")</f>
        <v>#VALUE!</v>
      </c>
      <c r="CO61" t="e">
        <f>AND(DATA!F461,"AAAAADd9+lw=")</f>
        <v>#VALUE!</v>
      </c>
      <c r="CP61" t="e">
        <f>AND(DATA!G461,"AAAAADd9+l0=")</f>
        <v>#VALUE!</v>
      </c>
      <c r="CQ61" t="e">
        <f>AND(DATA!H461,"AAAAADd9+l4=")</f>
        <v>#VALUE!</v>
      </c>
      <c r="CR61" t="e">
        <f>AND(DATA!I461,"AAAAADd9+l8=")</f>
        <v>#VALUE!</v>
      </c>
      <c r="CS61" t="e">
        <f>AND(DATA!J461,"AAAAADd9+mA=")</f>
        <v>#VALUE!</v>
      </c>
      <c r="CT61" t="e">
        <f>AND(DATA!K461,"AAAAADd9+mE=")</f>
        <v>#VALUE!</v>
      </c>
      <c r="CU61" t="b">
        <f>AND(DATA!L461,"AAAAADd9+mI=")</f>
        <v>1</v>
      </c>
      <c r="CV61" t="b">
        <f>AND(DATA!M461,"AAAAADd9+mM=")</f>
        <v>1</v>
      </c>
      <c r="CW61" t="b">
        <f>AND(DATA!N461,"AAAAADd9+mQ=")</f>
        <v>1</v>
      </c>
      <c r="CX61">
        <f>IF(DATA!462:462,"AAAAADd9+mU=",0)</f>
        <v>0</v>
      </c>
      <c r="CY61" t="e">
        <f>AND(DATA!A462,"AAAAADd9+mY=")</f>
        <v>#VALUE!</v>
      </c>
      <c r="CZ61" t="e">
        <f>AND(DATA!B462,"AAAAADd9+mc=")</f>
        <v>#VALUE!</v>
      </c>
      <c r="DA61" t="e">
        <f>AND(DATA!C462,"AAAAADd9+mg=")</f>
        <v>#VALUE!</v>
      </c>
      <c r="DB61" t="e">
        <f>AND(DATA!D462,"AAAAADd9+mk=")</f>
        <v>#VALUE!</v>
      </c>
      <c r="DC61" t="e">
        <f>AND(DATA!E462,"AAAAADd9+mo=")</f>
        <v>#VALUE!</v>
      </c>
      <c r="DD61" t="e">
        <f>AND(DATA!F462,"AAAAADd9+ms=")</f>
        <v>#VALUE!</v>
      </c>
      <c r="DE61" t="e">
        <f>AND(DATA!G462,"AAAAADd9+mw=")</f>
        <v>#VALUE!</v>
      </c>
      <c r="DF61" t="e">
        <f>AND(DATA!H462,"AAAAADd9+m0=")</f>
        <v>#VALUE!</v>
      </c>
      <c r="DG61" t="e">
        <f>AND(DATA!I462,"AAAAADd9+m4=")</f>
        <v>#VALUE!</v>
      </c>
      <c r="DH61" t="e">
        <f>AND(DATA!J462,"AAAAADd9+m8=")</f>
        <v>#VALUE!</v>
      </c>
      <c r="DI61" t="e">
        <f>AND(DATA!K462,"AAAAADd9+nA=")</f>
        <v>#VALUE!</v>
      </c>
      <c r="DJ61" t="b">
        <f>AND(DATA!L462,"AAAAADd9+nE=")</f>
        <v>1</v>
      </c>
      <c r="DK61" t="b">
        <f>AND(DATA!M462,"AAAAADd9+nI=")</f>
        <v>1</v>
      </c>
      <c r="DL61" t="b">
        <f>AND(DATA!N462,"AAAAADd9+nM=")</f>
        <v>1</v>
      </c>
      <c r="DM61">
        <f>IF(DATA!463:463,"AAAAADd9+nQ=",0)</f>
        <v>0</v>
      </c>
      <c r="DN61" t="e">
        <f>AND(DATA!A463,"AAAAADd9+nU=")</f>
        <v>#VALUE!</v>
      </c>
      <c r="DO61" t="e">
        <f>AND(DATA!B463,"AAAAADd9+nY=")</f>
        <v>#VALUE!</v>
      </c>
      <c r="DP61" t="e">
        <f>AND(DATA!C463,"AAAAADd9+nc=")</f>
        <v>#VALUE!</v>
      </c>
      <c r="DQ61" t="e">
        <f>AND(DATA!D463,"AAAAADd9+ng=")</f>
        <v>#VALUE!</v>
      </c>
      <c r="DR61" t="e">
        <f>AND(DATA!E463,"AAAAADd9+nk=")</f>
        <v>#VALUE!</v>
      </c>
      <c r="DS61" t="e">
        <f>AND(DATA!F463,"AAAAADd9+no=")</f>
        <v>#VALUE!</v>
      </c>
      <c r="DT61" t="e">
        <f>AND(DATA!G463,"AAAAADd9+ns=")</f>
        <v>#VALUE!</v>
      </c>
      <c r="DU61" t="e">
        <f>AND(DATA!H463,"AAAAADd9+nw=")</f>
        <v>#VALUE!</v>
      </c>
      <c r="DV61" t="e">
        <f>AND(DATA!I463,"AAAAADd9+n0=")</f>
        <v>#VALUE!</v>
      </c>
      <c r="DW61" t="e">
        <f>AND(DATA!J463,"AAAAADd9+n4=")</f>
        <v>#VALUE!</v>
      </c>
      <c r="DX61" t="e">
        <f>AND(DATA!K463,"AAAAADd9+n8=")</f>
        <v>#VALUE!</v>
      </c>
      <c r="DY61" t="b">
        <f>AND(DATA!L463,"AAAAADd9+oA=")</f>
        <v>1</v>
      </c>
      <c r="DZ61" t="b">
        <f>AND(DATA!M463,"AAAAADd9+oE=")</f>
        <v>1</v>
      </c>
      <c r="EA61" t="b">
        <f>AND(DATA!N463,"AAAAADd9+oI=")</f>
        <v>1</v>
      </c>
      <c r="EB61">
        <f>IF(DATA!464:464,"AAAAADd9+oM=",0)</f>
        <v>0</v>
      </c>
      <c r="EC61" t="e">
        <f>AND(DATA!A464,"AAAAADd9+oQ=")</f>
        <v>#VALUE!</v>
      </c>
      <c r="ED61" t="e">
        <f>AND(DATA!B464,"AAAAADd9+oU=")</f>
        <v>#VALUE!</v>
      </c>
      <c r="EE61" t="e">
        <f>AND(DATA!C464,"AAAAADd9+oY=")</f>
        <v>#VALUE!</v>
      </c>
      <c r="EF61" t="e">
        <f>AND(DATA!D464,"AAAAADd9+oc=")</f>
        <v>#VALUE!</v>
      </c>
      <c r="EG61" t="e">
        <f>AND(DATA!E464,"AAAAADd9+og=")</f>
        <v>#VALUE!</v>
      </c>
      <c r="EH61" t="e">
        <f>AND(DATA!F464,"AAAAADd9+ok=")</f>
        <v>#VALUE!</v>
      </c>
      <c r="EI61" t="e">
        <f>AND(DATA!G464,"AAAAADd9+oo=")</f>
        <v>#VALUE!</v>
      </c>
      <c r="EJ61" t="e">
        <f>AND(DATA!H464,"AAAAADd9+os=")</f>
        <v>#VALUE!</v>
      </c>
      <c r="EK61" t="e">
        <f>AND(DATA!I464,"AAAAADd9+ow=")</f>
        <v>#VALUE!</v>
      </c>
      <c r="EL61" t="e">
        <f>AND(DATA!J464,"AAAAADd9+o0=")</f>
        <v>#VALUE!</v>
      </c>
      <c r="EM61" t="e">
        <f>AND(DATA!K464,"AAAAADd9+o4=")</f>
        <v>#VALUE!</v>
      </c>
      <c r="EN61" t="b">
        <f>AND(DATA!L464,"AAAAADd9+o8=")</f>
        <v>1</v>
      </c>
      <c r="EO61" t="b">
        <f>AND(DATA!M464,"AAAAADd9+pA=")</f>
        <v>1</v>
      </c>
      <c r="EP61" t="b">
        <f>AND(DATA!N464,"AAAAADd9+pE=")</f>
        <v>1</v>
      </c>
      <c r="EQ61">
        <f>IF(DATA!465:465,"AAAAADd9+pI=",0)</f>
        <v>0</v>
      </c>
      <c r="ER61" t="e">
        <f>AND(DATA!A465,"AAAAADd9+pM=")</f>
        <v>#VALUE!</v>
      </c>
      <c r="ES61" t="e">
        <f>AND(DATA!B465,"AAAAADd9+pQ=")</f>
        <v>#VALUE!</v>
      </c>
      <c r="ET61" t="e">
        <f>AND(DATA!C465,"AAAAADd9+pU=")</f>
        <v>#VALUE!</v>
      </c>
      <c r="EU61" t="e">
        <f>AND(DATA!D465,"AAAAADd9+pY=")</f>
        <v>#VALUE!</v>
      </c>
      <c r="EV61" t="e">
        <f>AND(DATA!E465,"AAAAADd9+pc=")</f>
        <v>#VALUE!</v>
      </c>
      <c r="EW61" t="e">
        <f>AND(DATA!F465,"AAAAADd9+pg=")</f>
        <v>#VALUE!</v>
      </c>
      <c r="EX61" t="e">
        <f>AND(DATA!G465,"AAAAADd9+pk=")</f>
        <v>#VALUE!</v>
      </c>
      <c r="EY61" t="e">
        <f>AND(DATA!H465,"AAAAADd9+po=")</f>
        <v>#VALUE!</v>
      </c>
      <c r="EZ61" t="e">
        <f>AND(DATA!I465,"AAAAADd9+ps=")</f>
        <v>#VALUE!</v>
      </c>
      <c r="FA61" t="e">
        <f>AND(DATA!J465,"AAAAADd9+pw=")</f>
        <v>#VALUE!</v>
      </c>
      <c r="FB61" t="e">
        <f>AND(DATA!K465,"AAAAADd9+p0=")</f>
        <v>#VALUE!</v>
      </c>
      <c r="FC61" t="b">
        <f>AND(DATA!L465,"AAAAADd9+p4=")</f>
        <v>1</v>
      </c>
      <c r="FD61" t="b">
        <f>AND(DATA!M465,"AAAAADd9+p8=")</f>
        <v>1</v>
      </c>
      <c r="FE61" t="b">
        <f>AND(DATA!N465,"AAAAADd9+qA=")</f>
        <v>1</v>
      </c>
      <c r="FF61">
        <f>IF(DATA!466:466,"AAAAADd9+qE=",0)</f>
        <v>0</v>
      </c>
      <c r="FG61" t="e">
        <f>AND(DATA!A466,"AAAAADd9+qI=")</f>
        <v>#VALUE!</v>
      </c>
      <c r="FH61" t="e">
        <f>AND(DATA!B466,"AAAAADd9+qM=")</f>
        <v>#VALUE!</v>
      </c>
      <c r="FI61" t="e">
        <f>AND(DATA!C466,"AAAAADd9+qQ=")</f>
        <v>#VALUE!</v>
      </c>
      <c r="FJ61" t="e">
        <f>AND(DATA!D466,"AAAAADd9+qU=")</f>
        <v>#VALUE!</v>
      </c>
      <c r="FK61" t="e">
        <f>AND(DATA!E466,"AAAAADd9+qY=")</f>
        <v>#VALUE!</v>
      </c>
      <c r="FL61" t="e">
        <f>AND(DATA!F466,"AAAAADd9+qc=")</f>
        <v>#VALUE!</v>
      </c>
      <c r="FM61" t="e">
        <f>AND(DATA!G466,"AAAAADd9+qg=")</f>
        <v>#VALUE!</v>
      </c>
      <c r="FN61" t="e">
        <f>AND(DATA!H466,"AAAAADd9+qk=")</f>
        <v>#VALUE!</v>
      </c>
      <c r="FO61" t="e">
        <f>AND(DATA!I466,"AAAAADd9+qo=")</f>
        <v>#VALUE!</v>
      </c>
      <c r="FP61" t="e">
        <f>AND(DATA!J466,"AAAAADd9+qs=")</f>
        <v>#VALUE!</v>
      </c>
      <c r="FQ61" t="e">
        <f>AND(DATA!K466,"AAAAADd9+qw=")</f>
        <v>#VALUE!</v>
      </c>
      <c r="FR61" t="b">
        <f>AND(DATA!L466,"AAAAADd9+q0=")</f>
        <v>1</v>
      </c>
      <c r="FS61" t="b">
        <f>AND(DATA!M466,"AAAAADd9+q4=")</f>
        <v>1</v>
      </c>
      <c r="FT61" t="b">
        <f>AND(DATA!N466,"AAAAADd9+q8=")</f>
        <v>1</v>
      </c>
      <c r="FU61">
        <f>IF(DATA!467:467,"AAAAADd9+rA=",0)</f>
        <v>0</v>
      </c>
      <c r="FV61" t="e">
        <f>AND(DATA!A467,"AAAAADd9+rE=")</f>
        <v>#VALUE!</v>
      </c>
      <c r="FW61" t="e">
        <f>AND(DATA!B467,"AAAAADd9+rI=")</f>
        <v>#VALUE!</v>
      </c>
      <c r="FX61" t="e">
        <f>AND(DATA!C467,"AAAAADd9+rM=")</f>
        <v>#VALUE!</v>
      </c>
      <c r="FY61" t="e">
        <f>AND(DATA!D467,"AAAAADd9+rQ=")</f>
        <v>#VALUE!</v>
      </c>
      <c r="FZ61" t="e">
        <f>AND(DATA!E467,"AAAAADd9+rU=")</f>
        <v>#VALUE!</v>
      </c>
      <c r="GA61" t="e">
        <f>AND(DATA!F467,"AAAAADd9+rY=")</f>
        <v>#VALUE!</v>
      </c>
      <c r="GB61" t="e">
        <f>AND(DATA!G467,"AAAAADd9+rc=")</f>
        <v>#VALUE!</v>
      </c>
      <c r="GC61" t="e">
        <f>AND(DATA!H467,"AAAAADd9+rg=")</f>
        <v>#VALUE!</v>
      </c>
      <c r="GD61" t="e">
        <f>AND(DATA!I467,"AAAAADd9+rk=")</f>
        <v>#VALUE!</v>
      </c>
      <c r="GE61" t="e">
        <f>AND(DATA!J467,"AAAAADd9+ro=")</f>
        <v>#VALUE!</v>
      </c>
      <c r="GF61" t="e">
        <f>AND(DATA!K467,"AAAAADd9+rs=")</f>
        <v>#VALUE!</v>
      </c>
      <c r="GG61" t="b">
        <f>AND(DATA!L467,"AAAAADd9+rw=")</f>
        <v>1</v>
      </c>
      <c r="GH61" t="b">
        <f>AND(DATA!M467,"AAAAADd9+r0=")</f>
        <v>1</v>
      </c>
      <c r="GI61" t="b">
        <f>AND(DATA!N467,"AAAAADd9+r4=")</f>
        <v>1</v>
      </c>
      <c r="GJ61">
        <f>IF(DATA!468:468,"AAAAADd9+r8=",0)</f>
        <v>0</v>
      </c>
      <c r="GK61" t="e">
        <f>AND(DATA!A468,"AAAAADd9+sA=")</f>
        <v>#VALUE!</v>
      </c>
      <c r="GL61" t="e">
        <f>AND(DATA!B468,"AAAAADd9+sE=")</f>
        <v>#VALUE!</v>
      </c>
      <c r="GM61" t="e">
        <f>AND(DATA!C468,"AAAAADd9+sI=")</f>
        <v>#VALUE!</v>
      </c>
      <c r="GN61" t="e">
        <f>AND(DATA!D468,"AAAAADd9+sM=")</f>
        <v>#VALUE!</v>
      </c>
      <c r="GO61" t="e">
        <f>AND(DATA!E468,"AAAAADd9+sQ=")</f>
        <v>#VALUE!</v>
      </c>
      <c r="GP61" t="e">
        <f>AND(DATA!F468,"AAAAADd9+sU=")</f>
        <v>#VALUE!</v>
      </c>
      <c r="GQ61" t="e">
        <f>AND(DATA!G468,"AAAAADd9+sY=")</f>
        <v>#VALUE!</v>
      </c>
      <c r="GR61" t="e">
        <f>AND(DATA!H468,"AAAAADd9+sc=")</f>
        <v>#VALUE!</v>
      </c>
      <c r="GS61" t="e">
        <f>AND(DATA!I468,"AAAAADd9+sg=")</f>
        <v>#VALUE!</v>
      </c>
      <c r="GT61" t="e">
        <f>AND(DATA!J468,"AAAAADd9+sk=")</f>
        <v>#VALUE!</v>
      </c>
      <c r="GU61" t="e">
        <f>AND(DATA!K468,"AAAAADd9+so=")</f>
        <v>#VALUE!</v>
      </c>
      <c r="GV61" t="b">
        <f>AND(DATA!L468,"AAAAADd9+ss=")</f>
        <v>1</v>
      </c>
      <c r="GW61" t="b">
        <f>AND(DATA!M468,"AAAAADd9+sw=")</f>
        <v>1</v>
      </c>
      <c r="GX61" t="b">
        <f>AND(DATA!N468,"AAAAADd9+s0=")</f>
        <v>1</v>
      </c>
      <c r="GY61">
        <f>IF(DATA!469:469,"AAAAADd9+s4=",0)</f>
        <v>0</v>
      </c>
      <c r="GZ61" t="e">
        <f>AND(DATA!A469,"AAAAADd9+s8=")</f>
        <v>#VALUE!</v>
      </c>
      <c r="HA61" t="e">
        <f>AND(DATA!B469,"AAAAADd9+tA=")</f>
        <v>#VALUE!</v>
      </c>
      <c r="HB61" t="e">
        <f>AND(DATA!C469,"AAAAADd9+tE=")</f>
        <v>#VALUE!</v>
      </c>
      <c r="HC61" t="e">
        <f>AND(DATA!D469,"AAAAADd9+tI=")</f>
        <v>#VALUE!</v>
      </c>
      <c r="HD61" t="e">
        <f>AND(DATA!E469,"AAAAADd9+tM=")</f>
        <v>#VALUE!</v>
      </c>
      <c r="HE61" t="e">
        <f>AND(DATA!F469,"AAAAADd9+tQ=")</f>
        <v>#VALUE!</v>
      </c>
      <c r="HF61" t="e">
        <f>AND(DATA!G469,"AAAAADd9+tU=")</f>
        <v>#VALUE!</v>
      </c>
      <c r="HG61" t="e">
        <f>AND(DATA!H469,"AAAAADd9+tY=")</f>
        <v>#VALUE!</v>
      </c>
      <c r="HH61" t="e">
        <f>AND(DATA!I469,"AAAAADd9+tc=")</f>
        <v>#VALUE!</v>
      </c>
      <c r="HI61" t="e">
        <f>AND(DATA!J469,"AAAAADd9+tg=")</f>
        <v>#VALUE!</v>
      </c>
      <c r="HJ61" t="e">
        <f>AND(DATA!K469,"AAAAADd9+tk=")</f>
        <v>#VALUE!</v>
      </c>
      <c r="HK61" t="b">
        <f>AND(DATA!L469,"AAAAADd9+to=")</f>
        <v>1</v>
      </c>
      <c r="HL61" t="b">
        <f>AND(DATA!M469,"AAAAADd9+ts=")</f>
        <v>1</v>
      </c>
      <c r="HM61" t="b">
        <f>AND(DATA!N469,"AAAAADd9+tw=")</f>
        <v>1</v>
      </c>
      <c r="HN61">
        <f>IF(DATA!470:470,"AAAAADd9+t0=",0)</f>
        <v>0</v>
      </c>
      <c r="HO61" t="e">
        <f>AND(DATA!A470,"AAAAADd9+t4=")</f>
        <v>#VALUE!</v>
      </c>
      <c r="HP61" t="e">
        <f>AND(DATA!B470,"AAAAADd9+t8=")</f>
        <v>#VALUE!</v>
      </c>
      <c r="HQ61" t="e">
        <f>AND(DATA!C470,"AAAAADd9+uA=")</f>
        <v>#VALUE!</v>
      </c>
      <c r="HR61" t="e">
        <f>AND(DATA!D470,"AAAAADd9+uE=")</f>
        <v>#VALUE!</v>
      </c>
      <c r="HS61" t="e">
        <f>AND(DATA!E470,"AAAAADd9+uI=")</f>
        <v>#VALUE!</v>
      </c>
      <c r="HT61" t="e">
        <f>AND(DATA!F470,"AAAAADd9+uM=")</f>
        <v>#VALUE!</v>
      </c>
      <c r="HU61" t="e">
        <f>AND(DATA!G470,"AAAAADd9+uQ=")</f>
        <v>#VALUE!</v>
      </c>
      <c r="HV61" t="e">
        <f>AND(DATA!H470,"AAAAADd9+uU=")</f>
        <v>#VALUE!</v>
      </c>
      <c r="HW61" t="e">
        <f>AND(DATA!I470,"AAAAADd9+uY=")</f>
        <v>#VALUE!</v>
      </c>
      <c r="HX61" t="e">
        <f>AND(DATA!J470,"AAAAADd9+uc=")</f>
        <v>#VALUE!</v>
      </c>
      <c r="HY61" t="e">
        <f>AND(DATA!K470,"AAAAADd9+ug=")</f>
        <v>#VALUE!</v>
      </c>
      <c r="HZ61" t="b">
        <f>AND(DATA!L470,"AAAAADd9+uk=")</f>
        <v>1</v>
      </c>
      <c r="IA61" t="b">
        <f>AND(DATA!M470,"AAAAADd9+uo=")</f>
        <v>1</v>
      </c>
      <c r="IB61" t="b">
        <f>AND(DATA!N470,"AAAAADd9+us=")</f>
        <v>1</v>
      </c>
      <c r="IC61">
        <f>IF(DATA!471:471,"AAAAADd9+uw=",0)</f>
        <v>0</v>
      </c>
      <c r="ID61" t="e">
        <f>AND(DATA!A471,"AAAAADd9+u0=")</f>
        <v>#VALUE!</v>
      </c>
      <c r="IE61" t="e">
        <f>AND(DATA!B471,"AAAAADd9+u4=")</f>
        <v>#VALUE!</v>
      </c>
      <c r="IF61" t="e">
        <f>AND(DATA!C471,"AAAAADd9+u8=")</f>
        <v>#VALUE!</v>
      </c>
      <c r="IG61" t="e">
        <f>AND(DATA!D471,"AAAAADd9+vA=")</f>
        <v>#VALUE!</v>
      </c>
      <c r="IH61" t="e">
        <f>AND(DATA!E471,"AAAAADd9+vE=")</f>
        <v>#VALUE!</v>
      </c>
      <c r="II61" t="e">
        <f>AND(DATA!F471,"AAAAADd9+vI=")</f>
        <v>#VALUE!</v>
      </c>
      <c r="IJ61" t="e">
        <f>AND(DATA!G471,"AAAAADd9+vM=")</f>
        <v>#VALUE!</v>
      </c>
      <c r="IK61" t="e">
        <f>AND(DATA!H471,"AAAAADd9+vQ=")</f>
        <v>#VALUE!</v>
      </c>
      <c r="IL61" t="e">
        <f>AND(DATA!I471,"AAAAADd9+vU=")</f>
        <v>#VALUE!</v>
      </c>
      <c r="IM61" t="e">
        <f>AND(DATA!J471,"AAAAADd9+vY=")</f>
        <v>#VALUE!</v>
      </c>
      <c r="IN61" t="e">
        <f>AND(DATA!K471,"AAAAADd9+vc=")</f>
        <v>#VALUE!</v>
      </c>
      <c r="IO61" t="b">
        <f>AND(DATA!L471,"AAAAADd9+vg=")</f>
        <v>1</v>
      </c>
      <c r="IP61" t="b">
        <f>AND(DATA!M471,"AAAAADd9+vk=")</f>
        <v>1</v>
      </c>
      <c r="IQ61" t="b">
        <f>AND(DATA!N471,"AAAAADd9+vo=")</f>
        <v>1</v>
      </c>
      <c r="IR61">
        <f>IF(DATA!472:472,"AAAAADd9+vs=",0)</f>
        <v>0</v>
      </c>
      <c r="IS61" t="e">
        <f>AND(DATA!A472,"AAAAADd9+vw=")</f>
        <v>#VALUE!</v>
      </c>
      <c r="IT61" t="e">
        <f>AND(DATA!B472,"AAAAADd9+v0=")</f>
        <v>#VALUE!</v>
      </c>
      <c r="IU61" t="e">
        <f>AND(DATA!C472,"AAAAADd9+v4=")</f>
        <v>#VALUE!</v>
      </c>
      <c r="IV61" t="e">
        <f>AND(DATA!D472,"AAAAADd9+v8=")</f>
        <v>#VALUE!</v>
      </c>
    </row>
    <row r="62" spans="1:256">
      <c r="A62" t="e">
        <f>AND(DATA!E472,"AAAAAEPb4wA=")</f>
        <v>#VALUE!</v>
      </c>
      <c r="B62" t="e">
        <f>AND(DATA!F472,"AAAAAEPb4wE=")</f>
        <v>#VALUE!</v>
      </c>
      <c r="C62" t="e">
        <f>AND(DATA!G472,"AAAAAEPb4wI=")</f>
        <v>#VALUE!</v>
      </c>
      <c r="D62" t="e">
        <f>AND(DATA!H472,"AAAAAEPb4wM=")</f>
        <v>#VALUE!</v>
      </c>
      <c r="E62" t="e">
        <f>AND(DATA!I472,"AAAAAEPb4wQ=")</f>
        <v>#VALUE!</v>
      </c>
      <c r="F62" t="e">
        <f>AND(DATA!J472,"AAAAAEPb4wU=")</f>
        <v>#VALUE!</v>
      </c>
      <c r="G62" t="e">
        <f>AND(DATA!K472,"AAAAAEPb4wY=")</f>
        <v>#VALUE!</v>
      </c>
      <c r="H62" t="b">
        <f>AND(DATA!L472,"AAAAAEPb4wc=")</f>
        <v>1</v>
      </c>
      <c r="I62" t="b">
        <f>AND(DATA!M472,"AAAAAEPb4wg=")</f>
        <v>1</v>
      </c>
      <c r="J62" t="b">
        <f>AND(DATA!N472,"AAAAAEPb4wk=")</f>
        <v>1</v>
      </c>
      <c r="K62">
        <f>IF(DATA!473:473,"AAAAAEPb4wo=",0)</f>
        <v>0</v>
      </c>
      <c r="L62" t="e">
        <f>AND(DATA!A473,"AAAAAEPb4ws=")</f>
        <v>#VALUE!</v>
      </c>
      <c r="M62" t="e">
        <f>AND(DATA!B473,"AAAAAEPb4ww=")</f>
        <v>#VALUE!</v>
      </c>
      <c r="N62" t="e">
        <f>AND(DATA!C473,"AAAAAEPb4w0=")</f>
        <v>#VALUE!</v>
      </c>
      <c r="O62" t="e">
        <f>AND(DATA!D473,"AAAAAEPb4w4=")</f>
        <v>#VALUE!</v>
      </c>
      <c r="P62" t="e">
        <f>AND(DATA!E473,"AAAAAEPb4w8=")</f>
        <v>#VALUE!</v>
      </c>
      <c r="Q62" t="e">
        <f>AND(DATA!F473,"AAAAAEPb4xA=")</f>
        <v>#VALUE!</v>
      </c>
      <c r="R62" t="e">
        <f>AND(DATA!G473,"AAAAAEPb4xE=")</f>
        <v>#VALUE!</v>
      </c>
      <c r="S62" t="e">
        <f>AND(DATA!H473,"AAAAAEPb4xI=")</f>
        <v>#VALUE!</v>
      </c>
      <c r="T62" t="e">
        <f>AND(DATA!I473,"AAAAAEPb4xM=")</f>
        <v>#VALUE!</v>
      </c>
      <c r="U62" t="e">
        <f>AND(DATA!J473,"AAAAAEPb4xQ=")</f>
        <v>#VALUE!</v>
      </c>
      <c r="V62" t="e">
        <f>AND(DATA!K473,"AAAAAEPb4xU=")</f>
        <v>#VALUE!</v>
      </c>
      <c r="W62" t="b">
        <f>AND(DATA!L473,"AAAAAEPb4xY=")</f>
        <v>1</v>
      </c>
      <c r="X62" t="b">
        <f>AND(DATA!M473,"AAAAAEPb4xc=")</f>
        <v>1</v>
      </c>
      <c r="Y62" t="b">
        <f>AND(DATA!N473,"AAAAAEPb4xg=")</f>
        <v>1</v>
      </c>
      <c r="Z62">
        <f>IF(DATA!474:474,"AAAAAEPb4xk=",0)</f>
        <v>0</v>
      </c>
      <c r="AA62" t="e">
        <f>AND(DATA!A474,"AAAAAEPb4xo=")</f>
        <v>#VALUE!</v>
      </c>
      <c r="AB62" t="e">
        <f>AND(DATA!B474,"AAAAAEPb4xs=")</f>
        <v>#VALUE!</v>
      </c>
      <c r="AC62" t="e">
        <f>AND(DATA!C474,"AAAAAEPb4xw=")</f>
        <v>#VALUE!</v>
      </c>
      <c r="AD62" t="e">
        <f>AND(DATA!D474,"AAAAAEPb4x0=")</f>
        <v>#VALUE!</v>
      </c>
      <c r="AE62" t="e">
        <f>AND(DATA!E474,"AAAAAEPb4x4=")</f>
        <v>#VALUE!</v>
      </c>
      <c r="AF62" t="e">
        <f>AND(DATA!F474,"AAAAAEPb4x8=")</f>
        <v>#VALUE!</v>
      </c>
      <c r="AG62" t="e">
        <f>AND(DATA!G474,"AAAAAEPb4yA=")</f>
        <v>#VALUE!</v>
      </c>
      <c r="AH62" t="e">
        <f>AND(DATA!H474,"AAAAAEPb4yE=")</f>
        <v>#VALUE!</v>
      </c>
      <c r="AI62" t="e">
        <f>AND(DATA!I474,"AAAAAEPb4yI=")</f>
        <v>#VALUE!</v>
      </c>
      <c r="AJ62" t="e">
        <f>AND(DATA!J474,"AAAAAEPb4yM=")</f>
        <v>#VALUE!</v>
      </c>
      <c r="AK62" t="e">
        <f>AND(DATA!K474,"AAAAAEPb4yQ=")</f>
        <v>#VALUE!</v>
      </c>
      <c r="AL62" t="b">
        <f>AND(DATA!L474,"AAAAAEPb4yU=")</f>
        <v>1</v>
      </c>
      <c r="AM62" t="b">
        <f>AND(DATA!M474,"AAAAAEPb4yY=")</f>
        <v>1</v>
      </c>
      <c r="AN62" t="b">
        <f>AND(DATA!N474,"AAAAAEPb4yc=")</f>
        <v>1</v>
      </c>
      <c r="AO62">
        <f>IF(DATA!475:475,"AAAAAEPb4yg=",0)</f>
        <v>0</v>
      </c>
      <c r="AP62" t="e">
        <f>AND(DATA!A475,"AAAAAEPb4yk=")</f>
        <v>#VALUE!</v>
      </c>
      <c r="AQ62" t="e">
        <f>AND(DATA!B475,"AAAAAEPb4yo=")</f>
        <v>#VALUE!</v>
      </c>
      <c r="AR62" t="e">
        <f>AND(DATA!C475,"AAAAAEPb4ys=")</f>
        <v>#VALUE!</v>
      </c>
      <c r="AS62" t="e">
        <f>AND(DATA!D475,"AAAAAEPb4yw=")</f>
        <v>#VALUE!</v>
      </c>
      <c r="AT62" t="e">
        <f>AND(DATA!E475,"AAAAAEPb4y0=")</f>
        <v>#VALUE!</v>
      </c>
      <c r="AU62" t="e">
        <f>AND(DATA!F475,"AAAAAEPb4y4=")</f>
        <v>#VALUE!</v>
      </c>
      <c r="AV62" t="e">
        <f>AND(DATA!G475,"AAAAAEPb4y8=")</f>
        <v>#VALUE!</v>
      </c>
      <c r="AW62" t="e">
        <f>AND(DATA!H475,"AAAAAEPb4zA=")</f>
        <v>#VALUE!</v>
      </c>
      <c r="AX62" t="e">
        <f>AND(DATA!I475,"AAAAAEPb4zE=")</f>
        <v>#VALUE!</v>
      </c>
      <c r="AY62" t="e">
        <f>AND(DATA!J475,"AAAAAEPb4zI=")</f>
        <v>#VALUE!</v>
      </c>
      <c r="AZ62" t="e">
        <f>AND(DATA!K475,"AAAAAEPb4zM=")</f>
        <v>#VALUE!</v>
      </c>
      <c r="BA62" t="b">
        <f>AND(DATA!L475,"AAAAAEPb4zQ=")</f>
        <v>1</v>
      </c>
      <c r="BB62" t="b">
        <f>AND(DATA!M475,"AAAAAEPb4zU=")</f>
        <v>1</v>
      </c>
      <c r="BC62" t="b">
        <f>AND(DATA!N475,"AAAAAEPb4zY=")</f>
        <v>1</v>
      </c>
      <c r="BD62">
        <f>IF(DATA!476:476,"AAAAAEPb4zc=",0)</f>
        <v>0</v>
      </c>
      <c r="BE62" t="e">
        <f>AND(DATA!A476,"AAAAAEPb4zg=")</f>
        <v>#VALUE!</v>
      </c>
      <c r="BF62" t="e">
        <f>AND(DATA!B476,"AAAAAEPb4zk=")</f>
        <v>#VALUE!</v>
      </c>
      <c r="BG62" t="e">
        <f>AND(DATA!C476,"AAAAAEPb4zo=")</f>
        <v>#VALUE!</v>
      </c>
      <c r="BH62" t="e">
        <f>AND(DATA!D476,"AAAAAEPb4zs=")</f>
        <v>#VALUE!</v>
      </c>
      <c r="BI62" t="e">
        <f>AND(DATA!E476,"AAAAAEPb4zw=")</f>
        <v>#VALUE!</v>
      </c>
      <c r="BJ62" t="e">
        <f>AND(DATA!F476,"AAAAAEPb4z0=")</f>
        <v>#VALUE!</v>
      </c>
      <c r="BK62" t="e">
        <f>AND(DATA!G476,"AAAAAEPb4z4=")</f>
        <v>#VALUE!</v>
      </c>
      <c r="BL62" t="e">
        <f>AND(DATA!H476,"AAAAAEPb4z8=")</f>
        <v>#VALUE!</v>
      </c>
      <c r="BM62" t="e">
        <f>AND(DATA!I476,"AAAAAEPb40A=")</f>
        <v>#VALUE!</v>
      </c>
      <c r="BN62" t="e">
        <f>AND(DATA!J476,"AAAAAEPb40E=")</f>
        <v>#VALUE!</v>
      </c>
      <c r="BO62" t="e">
        <f>AND(DATA!K476,"AAAAAEPb40I=")</f>
        <v>#VALUE!</v>
      </c>
      <c r="BP62" t="b">
        <f>AND(DATA!L476,"AAAAAEPb40M=")</f>
        <v>1</v>
      </c>
      <c r="BQ62" t="b">
        <f>AND(DATA!M476,"AAAAAEPb40Q=")</f>
        <v>1</v>
      </c>
      <c r="BR62" t="b">
        <f>AND(DATA!N476,"AAAAAEPb40U=")</f>
        <v>1</v>
      </c>
      <c r="BS62">
        <f>IF(DATA!477:477,"AAAAAEPb40Y=",0)</f>
        <v>0</v>
      </c>
      <c r="BT62" t="e">
        <f>AND(DATA!A477,"AAAAAEPb40c=")</f>
        <v>#VALUE!</v>
      </c>
      <c r="BU62" t="e">
        <f>AND(DATA!B477,"AAAAAEPb40g=")</f>
        <v>#VALUE!</v>
      </c>
      <c r="BV62" t="e">
        <f>AND(DATA!C477,"AAAAAEPb40k=")</f>
        <v>#VALUE!</v>
      </c>
      <c r="BW62" t="e">
        <f>AND(DATA!D477,"AAAAAEPb40o=")</f>
        <v>#VALUE!</v>
      </c>
      <c r="BX62" t="e">
        <f>AND(DATA!E477,"AAAAAEPb40s=")</f>
        <v>#VALUE!</v>
      </c>
      <c r="BY62" t="e">
        <f>AND(DATA!F477,"AAAAAEPb40w=")</f>
        <v>#VALUE!</v>
      </c>
      <c r="BZ62" t="e">
        <f>AND(DATA!G477,"AAAAAEPb400=")</f>
        <v>#VALUE!</v>
      </c>
      <c r="CA62" t="e">
        <f>AND(DATA!H477,"AAAAAEPb404=")</f>
        <v>#VALUE!</v>
      </c>
      <c r="CB62" t="e">
        <f>AND(DATA!I477,"AAAAAEPb408=")</f>
        <v>#VALUE!</v>
      </c>
      <c r="CC62" t="e">
        <f>AND(DATA!J477,"AAAAAEPb41A=")</f>
        <v>#VALUE!</v>
      </c>
      <c r="CD62" t="e">
        <f>AND(DATA!K477,"AAAAAEPb41E=")</f>
        <v>#VALUE!</v>
      </c>
      <c r="CE62" t="b">
        <f>AND(DATA!L477,"AAAAAEPb41I=")</f>
        <v>1</v>
      </c>
      <c r="CF62" t="b">
        <f>AND(DATA!M477,"AAAAAEPb41M=")</f>
        <v>1</v>
      </c>
      <c r="CG62" t="b">
        <f>AND(DATA!N477,"AAAAAEPb41Q=")</f>
        <v>1</v>
      </c>
      <c r="CH62">
        <f>IF(DATA!478:478,"AAAAAEPb41U=",0)</f>
        <v>0</v>
      </c>
      <c r="CI62" t="e">
        <f>AND(DATA!A478,"AAAAAEPb41Y=")</f>
        <v>#VALUE!</v>
      </c>
      <c r="CJ62" t="e">
        <f>AND(DATA!B478,"AAAAAEPb41c=")</f>
        <v>#VALUE!</v>
      </c>
      <c r="CK62" t="e">
        <f>AND(DATA!C478,"AAAAAEPb41g=")</f>
        <v>#VALUE!</v>
      </c>
      <c r="CL62" t="e">
        <f>AND(DATA!D478,"AAAAAEPb41k=")</f>
        <v>#VALUE!</v>
      </c>
      <c r="CM62" t="e">
        <f>AND(DATA!E478,"AAAAAEPb41o=")</f>
        <v>#VALUE!</v>
      </c>
      <c r="CN62" t="e">
        <f>AND(DATA!F478,"AAAAAEPb41s=")</f>
        <v>#VALUE!</v>
      </c>
      <c r="CO62" t="e">
        <f>AND(DATA!G478,"AAAAAEPb41w=")</f>
        <v>#VALUE!</v>
      </c>
      <c r="CP62" t="e">
        <f>AND(DATA!H478,"AAAAAEPb410=")</f>
        <v>#VALUE!</v>
      </c>
      <c r="CQ62" t="e">
        <f>AND(DATA!I478,"AAAAAEPb414=")</f>
        <v>#VALUE!</v>
      </c>
      <c r="CR62" t="e">
        <f>AND(DATA!J478,"AAAAAEPb418=")</f>
        <v>#VALUE!</v>
      </c>
      <c r="CS62" t="e">
        <f>AND(DATA!K478,"AAAAAEPb42A=")</f>
        <v>#VALUE!</v>
      </c>
      <c r="CT62" t="b">
        <f>AND(DATA!L478,"AAAAAEPb42E=")</f>
        <v>1</v>
      </c>
      <c r="CU62" t="b">
        <f>AND(DATA!M478,"AAAAAEPb42I=")</f>
        <v>1</v>
      </c>
      <c r="CV62" t="b">
        <f>AND(DATA!N478,"AAAAAEPb42M=")</f>
        <v>1</v>
      </c>
      <c r="CW62">
        <f>IF(DATA!479:479,"AAAAAEPb42Q=",0)</f>
        <v>0</v>
      </c>
      <c r="CX62" t="e">
        <f>AND(DATA!A479,"AAAAAEPb42U=")</f>
        <v>#VALUE!</v>
      </c>
      <c r="CY62" t="e">
        <f>AND(DATA!B479,"AAAAAEPb42Y=")</f>
        <v>#VALUE!</v>
      </c>
      <c r="CZ62" t="e">
        <f>AND(DATA!C479,"AAAAAEPb42c=")</f>
        <v>#VALUE!</v>
      </c>
      <c r="DA62" t="e">
        <f>AND(DATA!D479,"AAAAAEPb42g=")</f>
        <v>#VALUE!</v>
      </c>
      <c r="DB62" t="e">
        <f>AND(DATA!E479,"AAAAAEPb42k=")</f>
        <v>#VALUE!</v>
      </c>
      <c r="DC62" t="e">
        <f>AND(DATA!F479,"AAAAAEPb42o=")</f>
        <v>#VALUE!</v>
      </c>
      <c r="DD62" t="e">
        <f>AND(DATA!G479,"AAAAAEPb42s=")</f>
        <v>#VALUE!</v>
      </c>
      <c r="DE62" t="e">
        <f>AND(DATA!H479,"AAAAAEPb42w=")</f>
        <v>#VALUE!</v>
      </c>
      <c r="DF62" t="e">
        <f>AND(DATA!I479,"AAAAAEPb420=")</f>
        <v>#VALUE!</v>
      </c>
      <c r="DG62" t="e">
        <f>AND(DATA!J479,"AAAAAEPb424=")</f>
        <v>#VALUE!</v>
      </c>
      <c r="DH62" t="e">
        <f>AND(DATA!K479,"AAAAAEPb428=")</f>
        <v>#VALUE!</v>
      </c>
      <c r="DI62" t="b">
        <f>AND(DATA!L479,"AAAAAEPb43A=")</f>
        <v>1</v>
      </c>
      <c r="DJ62" t="b">
        <f>AND(DATA!M479,"AAAAAEPb43E=")</f>
        <v>1</v>
      </c>
      <c r="DK62" t="b">
        <f>AND(DATA!N479,"AAAAAEPb43I=")</f>
        <v>1</v>
      </c>
      <c r="DL62">
        <f>IF(DATA!480:480,"AAAAAEPb43M=",0)</f>
        <v>0</v>
      </c>
      <c r="DM62" t="e">
        <f>AND(DATA!A480,"AAAAAEPb43Q=")</f>
        <v>#VALUE!</v>
      </c>
      <c r="DN62" t="e">
        <f>AND(DATA!B480,"AAAAAEPb43U=")</f>
        <v>#VALUE!</v>
      </c>
      <c r="DO62" t="e">
        <f>AND(DATA!C480,"AAAAAEPb43Y=")</f>
        <v>#VALUE!</v>
      </c>
      <c r="DP62" t="e">
        <f>AND(DATA!D480,"AAAAAEPb43c=")</f>
        <v>#VALUE!</v>
      </c>
      <c r="DQ62" t="e">
        <f>AND(DATA!E480,"AAAAAEPb43g=")</f>
        <v>#VALUE!</v>
      </c>
      <c r="DR62" t="e">
        <f>AND(DATA!F480,"AAAAAEPb43k=")</f>
        <v>#VALUE!</v>
      </c>
      <c r="DS62" t="e">
        <f>AND(DATA!G480,"AAAAAEPb43o=")</f>
        <v>#VALUE!</v>
      </c>
      <c r="DT62" t="e">
        <f>AND(DATA!H480,"AAAAAEPb43s=")</f>
        <v>#VALUE!</v>
      </c>
      <c r="DU62" t="e">
        <f>AND(DATA!I480,"AAAAAEPb43w=")</f>
        <v>#VALUE!</v>
      </c>
      <c r="DV62" t="e">
        <f>AND(DATA!J480,"AAAAAEPb430=")</f>
        <v>#VALUE!</v>
      </c>
      <c r="DW62" t="e">
        <f>AND(DATA!K480,"AAAAAEPb434=")</f>
        <v>#VALUE!</v>
      </c>
      <c r="DX62" t="b">
        <f>AND(DATA!L480,"AAAAAEPb438=")</f>
        <v>1</v>
      </c>
      <c r="DY62" t="b">
        <f>AND(DATA!M480,"AAAAAEPb44A=")</f>
        <v>1</v>
      </c>
      <c r="DZ62" t="b">
        <f>AND(DATA!N480,"AAAAAEPb44E=")</f>
        <v>1</v>
      </c>
      <c r="EA62">
        <f>IF(DATA!481:481,"AAAAAEPb44I=",0)</f>
        <v>0</v>
      </c>
      <c r="EB62" t="e">
        <f>AND(DATA!A481,"AAAAAEPb44M=")</f>
        <v>#VALUE!</v>
      </c>
      <c r="EC62" t="e">
        <f>AND(DATA!B481,"AAAAAEPb44Q=")</f>
        <v>#VALUE!</v>
      </c>
      <c r="ED62" t="e">
        <f>AND(DATA!C481,"AAAAAEPb44U=")</f>
        <v>#VALUE!</v>
      </c>
      <c r="EE62" t="e">
        <f>AND(DATA!D481,"AAAAAEPb44Y=")</f>
        <v>#VALUE!</v>
      </c>
      <c r="EF62" t="e">
        <f>AND(DATA!E481,"AAAAAEPb44c=")</f>
        <v>#VALUE!</v>
      </c>
      <c r="EG62" t="e">
        <f>AND(DATA!F481,"AAAAAEPb44g=")</f>
        <v>#VALUE!</v>
      </c>
      <c r="EH62" t="e">
        <f>AND(DATA!G481,"AAAAAEPb44k=")</f>
        <v>#VALUE!</v>
      </c>
      <c r="EI62" t="e">
        <f>AND(DATA!H481,"AAAAAEPb44o=")</f>
        <v>#VALUE!</v>
      </c>
      <c r="EJ62" t="e">
        <f>AND(DATA!I481,"AAAAAEPb44s=")</f>
        <v>#VALUE!</v>
      </c>
      <c r="EK62" t="e">
        <f>AND(DATA!J481,"AAAAAEPb44w=")</f>
        <v>#VALUE!</v>
      </c>
      <c r="EL62" t="e">
        <f>AND(DATA!K481,"AAAAAEPb440=")</f>
        <v>#VALUE!</v>
      </c>
      <c r="EM62" t="b">
        <f>AND(DATA!L481,"AAAAAEPb444=")</f>
        <v>1</v>
      </c>
      <c r="EN62" t="b">
        <f>AND(DATA!M481,"AAAAAEPb448=")</f>
        <v>1</v>
      </c>
      <c r="EO62" t="b">
        <f>AND(DATA!N481,"AAAAAEPb45A=")</f>
        <v>1</v>
      </c>
      <c r="EP62">
        <f>IF(DATA!482:482,"AAAAAEPb45E=",0)</f>
        <v>0</v>
      </c>
      <c r="EQ62" t="e">
        <f>AND(DATA!A482,"AAAAAEPb45I=")</f>
        <v>#VALUE!</v>
      </c>
      <c r="ER62" t="e">
        <f>AND(DATA!B482,"AAAAAEPb45M=")</f>
        <v>#VALUE!</v>
      </c>
      <c r="ES62" t="e">
        <f>AND(DATA!C482,"AAAAAEPb45Q=")</f>
        <v>#VALUE!</v>
      </c>
      <c r="ET62" t="e">
        <f>AND(DATA!D482,"AAAAAEPb45U=")</f>
        <v>#VALUE!</v>
      </c>
      <c r="EU62" t="e">
        <f>AND(DATA!E482,"AAAAAEPb45Y=")</f>
        <v>#VALUE!</v>
      </c>
      <c r="EV62" t="e">
        <f>AND(DATA!F482,"AAAAAEPb45c=")</f>
        <v>#VALUE!</v>
      </c>
      <c r="EW62" t="e">
        <f>AND(DATA!G482,"AAAAAEPb45g=")</f>
        <v>#VALUE!</v>
      </c>
      <c r="EX62" t="e">
        <f>AND(DATA!H482,"AAAAAEPb45k=")</f>
        <v>#VALUE!</v>
      </c>
      <c r="EY62" t="e">
        <f>AND(DATA!I482,"AAAAAEPb45o=")</f>
        <v>#VALUE!</v>
      </c>
      <c r="EZ62" t="e">
        <f>AND(DATA!J482,"AAAAAEPb45s=")</f>
        <v>#VALUE!</v>
      </c>
      <c r="FA62" t="e">
        <f>AND(DATA!K482,"AAAAAEPb45w=")</f>
        <v>#VALUE!</v>
      </c>
      <c r="FB62" t="b">
        <f>AND(DATA!L482,"AAAAAEPb450=")</f>
        <v>1</v>
      </c>
      <c r="FC62" t="b">
        <f>AND(DATA!M482,"AAAAAEPb454=")</f>
        <v>1</v>
      </c>
      <c r="FD62" t="b">
        <f>AND(DATA!N482,"AAAAAEPb458=")</f>
        <v>1</v>
      </c>
      <c r="FE62">
        <f>IF(DATA!483:483,"AAAAAEPb46A=",0)</f>
        <v>0</v>
      </c>
      <c r="FF62" t="e">
        <f>AND(DATA!A483,"AAAAAEPb46E=")</f>
        <v>#VALUE!</v>
      </c>
      <c r="FG62" t="e">
        <f>AND(DATA!B483,"AAAAAEPb46I=")</f>
        <v>#VALUE!</v>
      </c>
      <c r="FH62" t="e">
        <f>AND(DATA!C483,"AAAAAEPb46M=")</f>
        <v>#VALUE!</v>
      </c>
      <c r="FI62" t="e">
        <f>AND(DATA!D483,"AAAAAEPb46Q=")</f>
        <v>#VALUE!</v>
      </c>
      <c r="FJ62" t="e">
        <f>AND(DATA!E483,"AAAAAEPb46U=")</f>
        <v>#VALUE!</v>
      </c>
      <c r="FK62" t="e">
        <f>AND(DATA!F483,"AAAAAEPb46Y=")</f>
        <v>#VALUE!</v>
      </c>
      <c r="FL62" t="e">
        <f>AND(DATA!G483,"AAAAAEPb46c=")</f>
        <v>#VALUE!</v>
      </c>
      <c r="FM62" t="e">
        <f>AND(DATA!H483,"AAAAAEPb46g=")</f>
        <v>#VALUE!</v>
      </c>
      <c r="FN62" t="e">
        <f>AND(DATA!I483,"AAAAAEPb46k=")</f>
        <v>#VALUE!</v>
      </c>
      <c r="FO62" t="e">
        <f>AND(DATA!J483,"AAAAAEPb46o=")</f>
        <v>#VALUE!</v>
      </c>
      <c r="FP62" t="e">
        <f>AND(DATA!K483,"AAAAAEPb46s=")</f>
        <v>#VALUE!</v>
      </c>
      <c r="FQ62" t="b">
        <f>AND(DATA!L483,"AAAAAEPb46w=")</f>
        <v>1</v>
      </c>
      <c r="FR62" t="b">
        <f>AND(DATA!M483,"AAAAAEPb460=")</f>
        <v>1</v>
      </c>
      <c r="FS62" t="b">
        <f>AND(DATA!N483,"AAAAAEPb464=")</f>
        <v>1</v>
      </c>
      <c r="FT62">
        <f>IF(DATA!484:484,"AAAAAEPb468=",0)</f>
        <v>0</v>
      </c>
      <c r="FU62" t="e">
        <f>AND(DATA!A484,"AAAAAEPb47A=")</f>
        <v>#VALUE!</v>
      </c>
      <c r="FV62" t="e">
        <f>AND(DATA!B484,"AAAAAEPb47E=")</f>
        <v>#VALUE!</v>
      </c>
      <c r="FW62" t="e">
        <f>AND(DATA!C484,"AAAAAEPb47I=")</f>
        <v>#VALUE!</v>
      </c>
      <c r="FX62" t="e">
        <f>AND(DATA!D484,"AAAAAEPb47M=")</f>
        <v>#VALUE!</v>
      </c>
      <c r="FY62" t="e">
        <f>AND(DATA!E484,"AAAAAEPb47Q=")</f>
        <v>#VALUE!</v>
      </c>
      <c r="FZ62" t="e">
        <f>AND(DATA!F484,"AAAAAEPb47U=")</f>
        <v>#VALUE!</v>
      </c>
      <c r="GA62" t="e">
        <f>AND(DATA!G484,"AAAAAEPb47Y=")</f>
        <v>#VALUE!</v>
      </c>
      <c r="GB62" t="e">
        <f>AND(DATA!H484,"AAAAAEPb47c=")</f>
        <v>#VALUE!</v>
      </c>
      <c r="GC62" t="e">
        <f>AND(DATA!I484,"AAAAAEPb47g=")</f>
        <v>#VALUE!</v>
      </c>
      <c r="GD62" t="e">
        <f>AND(DATA!J484,"AAAAAEPb47k=")</f>
        <v>#VALUE!</v>
      </c>
      <c r="GE62" t="e">
        <f>AND(DATA!K484,"AAAAAEPb47o=")</f>
        <v>#VALUE!</v>
      </c>
      <c r="GF62" t="b">
        <f>AND(DATA!L484,"AAAAAEPb47s=")</f>
        <v>1</v>
      </c>
      <c r="GG62" t="b">
        <f>AND(DATA!M484,"AAAAAEPb47w=")</f>
        <v>1</v>
      </c>
      <c r="GH62" t="b">
        <f>AND(DATA!N484,"AAAAAEPb470=")</f>
        <v>1</v>
      </c>
      <c r="GI62">
        <f>IF(DATA!485:485,"AAAAAEPb474=",0)</f>
        <v>0</v>
      </c>
      <c r="GJ62" t="e">
        <f>AND(DATA!A485,"AAAAAEPb478=")</f>
        <v>#VALUE!</v>
      </c>
      <c r="GK62" t="e">
        <f>AND(DATA!B485,"AAAAAEPb48A=")</f>
        <v>#VALUE!</v>
      </c>
      <c r="GL62" t="e">
        <f>AND(DATA!C485,"AAAAAEPb48E=")</f>
        <v>#VALUE!</v>
      </c>
      <c r="GM62" t="e">
        <f>AND(DATA!D485,"AAAAAEPb48I=")</f>
        <v>#VALUE!</v>
      </c>
      <c r="GN62" t="e">
        <f>AND(DATA!E485,"AAAAAEPb48M=")</f>
        <v>#VALUE!</v>
      </c>
      <c r="GO62" t="e">
        <f>AND(DATA!F485,"AAAAAEPb48Q=")</f>
        <v>#VALUE!</v>
      </c>
      <c r="GP62" t="e">
        <f>AND(DATA!G485,"AAAAAEPb48U=")</f>
        <v>#VALUE!</v>
      </c>
      <c r="GQ62" t="e">
        <f>AND(DATA!H485,"AAAAAEPb48Y=")</f>
        <v>#VALUE!</v>
      </c>
      <c r="GR62" t="e">
        <f>AND(DATA!I485,"AAAAAEPb48c=")</f>
        <v>#VALUE!</v>
      </c>
      <c r="GS62" t="e">
        <f>AND(DATA!J485,"AAAAAEPb48g=")</f>
        <v>#VALUE!</v>
      </c>
      <c r="GT62" t="e">
        <f>AND(DATA!K485,"AAAAAEPb48k=")</f>
        <v>#VALUE!</v>
      </c>
      <c r="GU62" t="b">
        <f>AND(DATA!L485,"AAAAAEPb48o=")</f>
        <v>1</v>
      </c>
      <c r="GV62" t="b">
        <f>AND(DATA!M485,"AAAAAEPb48s=")</f>
        <v>1</v>
      </c>
      <c r="GW62" t="b">
        <f>AND(DATA!N485,"AAAAAEPb48w=")</f>
        <v>1</v>
      </c>
      <c r="GX62">
        <f>IF(DATA!486:486,"AAAAAEPb480=",0)</f>
        <v>0</v>
      </c>
      <c r="GY62" t="e">
        <f>AND(DATA!A486,"AAAAAEPb484=")</f>
        <v>#VALUE!</v>
      </c>
      <c r="GZ62" t="e">
        <f>AND(DATA!B486,"AAAAAEPb488=")</f>
        <v>#VALUE!</v>
      </c>
      <c r="HA62" t="e">
        <f>AND(DATA!C486,"AAAAAEPb49A=")</f>
        <v>#VALUE!</v>
      </c>
      <c r="HB62" t="e">
        <f>AND(DATA!D486,"AAAAAEPb49E=")</f>
        <v>#VALUE!</v>
      </c>
      <c r="HC62" t="e">
        <f>AND(DATA!E486,"AAAAAEPb49I=")</f>
        <v>#VALUE!</v>
      </c>
      <c r="HD62" t="e">
        <f>AND(DATA!F486,"AAAAAEPb49M=")</f>
        <v>#VALUE!</v>
      </c>
      <c r="HE62" t="e">
        <f>AND(DATA!G486,"AAAAAEPb49Q=")</f>
        <v>#VALUE!</v>
      </c>
      <c r="HF62" t="e">
        <f>AND(DATA!H486,"AAAAAEPb49U=")</f>
        <v>#VALUE!</v>
      </c>
      <c r="HG62" t="e">
        <f>AND(DATA!I486,"AAAAAEPb49Y=")</f>
        <v>#VALUE!</v>
      </c>
      <c r="HH62" t="e">
        <f>AND(DATA!J486,"AAAAAEPb49c=")</f>
        <v>#VALUE!</v>
      </c>
      <c r="HI62" t="e">
        <f>AND(DATA!K486,"AAAAAEPb49g=")</f>
        <v>#VALUE!</v>
      </c>
      <c r="HJ62" t="b">
        <f>AND(DATA!L486,"AAAAAEPb49k=")</f>
        <v>1</v>
      </c>
      <c r="HK62" t="b">
        <f>AND(DATA!M486,"AAAAAEPb49o=")</f>
        <v>1</v>
      </c>
      <c r="HL62" t="b">
        <f>AND(DATA!N486,"AAAAAEPb49s=")</f>
        <v>1</v>
      </c>
      <c r="HM62">
        <f>IF(DATA!487:487,"AAAAAEPb49w=",0)</f>
        <v>0</v>
      </c>
      <c r="HN62" t="e">
        <f>AND(DATA!A487,"AAAAAEPb490=")</f>
        <v>#VALUE!</v>
      </c>
      <c r="HO62" t="e">
        <f>AND(DATA!B487,"AAAAAEPb494=")</f>
        <v>#VALUE!</v>
      </c>
      <c r="HP62" t="e">
        <f>AND(DATA!C487,"AAAAAEPb498=")</f>
        <v>#VALUE!</v>
      </c>
      <c r="HQ62" t="e">
        <f>AND(DATA!D487,"AAAAAEPb4+A=")</f>
        <v>#VALUE!</v>
      </c>
      <c r="HR62" t="e">
        <f>AND(DATA!E487,"AAAAAEPb4+E=")</f>
        <v>#VALUE!</v>
      </c>
      <c r="HS62" t="e">
        <f>AND(DATA!F487,"AAAAAEPb4+I=")</f>
        <v>#VALUE!</v>
      </c>
      <c r="HT62" t="e">
        <f>AND(DATA!G487,"AAAAAEPb4+M=")</f>
        <v>#VALUE!</v>
      </c>
      <c r="HU62" t="e">
        <f>AND(DATA!H487,"AAAAAEPb4+Q=")</f>
        <v>#VALUE!</v>
      </c>
      <c r="HV62" t="e">
        <f>AND(DATA!I487,"AAAAAEPb4+U=")</f>
        <v>#VALUE!</v>
      </c>
      <c r="HW62" t="e">
        <f>AND(DATA!J487,"AAAAAEPb4+Y=")</f>
        <v>#VALUE!</v>
      </c>
      <c r="HX62" t="e">
        <f>AND(DATA!K487,"AAAAAEPb4+c=")</f>
        <v>#VALUE!</v>
      </c>
      <c r="HY62" t="b">
        <f>AND(DATA!L487,"AAAAAEPb4+g=")</f>
        <v>1</v>
      </c>
      <c r="HZ62" t="b">
        <f>AND(DATA!M487,"AAAAAEPb4+k=")</f>
        <v>1</v>
      </c>
      <c r="IA62" t="b">
        <f>AND(DATA!N487,"AAAAAEPb4+o=")</f>
        <v>1</v>
      </c>
      <c r="IB62">
        <f>IF(DATA!488:488,"AAAAAEPb4+s=",0)</f>
        <v>0</v>
      </c>
      <c r="IC62" t="e">
        <f>AND(DATA!A488,"AAAAAEPb4+w=")</f>
        <v>#VALUE!</v>
      </c>
      <c r="ID62" t="e">
        <f>AND(DATA!B488,"AAAAAEPb4+0=")</f>
        <v>#VALUE!</v>
      </c>
      <c r="IE62" t="e">
        <f>AND(DATA!C488,"AAAAAEPb4+4=")</f>
        <v>#VALUE!</v>
      </c>
      <c r="IF62" t="e">
        <f>AND(DATA!D488,"AAAAAEPb4+8=")</f>
        <v>#VALUE!</v>
      </c>
      <c r="IG62" t="e">
        <f>AND(DATA!E488,"AAAAAEPb4/A=")</f>
        <v>#VALUE!</v>
      </c>
      <c r="IH62" t="e">
        <f>AND(DATA!F488,"AAAAAEPb4/E=")</f>
        <v>#VALUE!</v>
      </c>
      <c r="II62" t="e">
        <f>AND(DATA!G488,"AAAAAEPb4/I=")</f>
        <v>#VALUE!</v>
      </c>
      <c r="IJ62" t="e">
        <f>AND(DATA!H488,"AAAAAEPb4/M=")</f>
        <v>#VALUE!</v>
      </c>
      <c r="IK62" t="e">
        <f>AND(DATA!I488,"AAAAAEPb4/Q=")</f>
        <v>#VALUE!</v>
      </c>
      <c r="IL62" t="e">
        <f>AND(DATA!J488,"AAAAAEPb4/U=")</f>
        <v>#VALUE!</v>
      </c>
      <c r="IM62" t="e">
        <f>AND(DATA!K488,"AAAAAEPb4/Y=")</f>
        <v>#VALUE!</v>
      </c>
      <c r="IN62" t="b">
        <f>AND(DATA!L488,"AAAAAEPb4/c=")</f>
        <v>1</v>
      </c>
      <c r="IO62" t="b">
        <f>AND(DATA!M488,"AAAAAEPb4/g=")</f>
        <v>1</v>
      </c>
      <c r="IP62" t="b">
        <f>AND(DATA!N488,"AAAAAEPb4/k=")</f>
        <v>1</v>
      </c>
      <c r="IQ62">
        <f>IF(DATA!489:489,"AAAAAEPb4/o=",0)</f>
        <v>0</v>
      </c>
      <c r="IR62" t="e">
        <f>AND(DATA!A489,"AAAAAEPb4/s=")</f>
        <v>#VALUE!</v>
      </c>
      <c r="IS62" t="e">
        <f>AND(DATA!B489,"AAAAAEPb4/w=")</f>
        <v>#VALUE!</v>
      </c>
      <c r="IT62" t="e">
        <f>AND(DATA!C489,"AAAAAEPb4/0=")</f>
        <v>#VALUE!</v>
      </c>
      <c r="IU62" t="e">
        <f>AND(DATA!D489,"AAAAAEPb4/4=")</f>
        <v>#VALUE!</v>
      </c>
      <c r="IV62" t="e">
        <f>AND(DATA!E489,"AAAAAEPb4/8=")</f>
        <v>#VALUE!</v>
      </c>
    </row>
    <row r="63" spans="1:256">
      <c r="A63" t="e">
        <f>AND(DATA!F489,"AAAAAF/x7wA=")</f>
        <v>#VALUE!</v>
      </c>
      <c r="B63" t="e">
        <f>AND(DATA!G489,"AAAAAF/x7wE=")</f>
        <v>#VALUE!</v>
      </c>
      <c r="C63" t="e">
        <f>AND(DATA!H489,"AAAAAF/x7wI=")</f>
        <v>#VALUE!</v>
      </c>
      <c r="D63" t="e">
        <f>AND(DATA!I489,"AAAAAF/x7wM=")</f>
        <v>#VALUE!</v>
      </c>
      <c r="E63" t="e">
        <f>AND(DATA!J489,"AAAAAF/x7wQ=")</f>
        <v>#VALUE!</v>
      </c>
      <c r="F63" t="e">
        <f>AND(DATA!K489,"AAAAAF/x7wU=")</f>
        <v>#VALUE!</v>
      </c>
      <c r="G63" t="b">
        <f>AND(DATA!L489,"AAAAAF/x7wY=")</f>
        <v>1</v>
      </c>
      <c r="H63" t="b">
        <f>AND(DATA!M489,"AAAAAF/x7wc=")</f>
        <v>1</v>
      </c>
      <c r="I63" t="b">
        <f>AND(DATA!N489,"AAAAAF/x7wg=")</f>
        <v>1</v>
      </c>
      <c r="J63">
        <f>IF(DATA!490:490,"AAAAAF/x7wk=",0)</f>
        <v>0</v>
      </c>
      <c r="K63" t="e">
        <f>AND(DATA!A490,"AAAAAF/x7wo=")</f>
        <v>#VALUE!</v>
      </c>
      <c r="L63" t="e">
        <f>AND(DATA!B490,"AAAAAF/x7ws=")</f>
        <v>#VALUE!</v>
      </c>
      <c r="M63" t="e">
        <f>AND(DATA!C490,"AAAAAF/x7ww=")</f>
        <v>#VALUE!</v>
      </c>
      <c r="N63" t="e">
        <f>AND(DATA!D490,"AAAAAF/x7w0=")</f>
        <v>#VALUE!</v>
      </c>
      <c r="O63" t="e">
        <f>AND(DATA!E490,"AAAAAF/x7w4=")</f>
        <v>#VALUE!</v>
      </c>
      <c r="P63" t="e">
        <f>AND(DATA!F490,"AAAAAF/x7w8=")</f>
        <v>#VALUE!</v>
      </c>
      <c r="Q63" t="e">
        <f>AND(DATA!G490,"AAAAAF/x7xA=")</f>
        <v>#VALUE!</v>
      </c>
      <c r="R63" t="e">
        <f>AND(DATA!H490,"AAAAAF/x7xE=")</f>
        <v>#VALUE!</v>
      </c>
      <c r="S63" t="e">
        <f>AND(DATA!I490,"AAAAAF/x7xI=")</f>
        <v>#VALUE!</v>
      </c>
      <c r="T63" t="e">
        <f>AND(DATA!J490,"AAAAAF/x7xM=")</f>
        <v>#VALUE!</v>
      </c>
      <c r="U63" t="e">
        <f>AND(DATA!K490,"AAAAAF/x7xQ=")</f>
        <v>#VALUE!</v>
      </c>
      <c r="V63" t="b">
        <f>AND(DATA!L490,"AAAAAF/x7xU=")</f>
        <v>1</v>
      </c>
      <c r="W63" t="b">
        <f>AND(DATA!M490,"AAAAAF/x7xY=")</f>
        <v>1</v>
      </c>
      <c r="X63" t="b">
        <f>AND(DATA!N490,"AAAAAF/x7xc=")</f>
        <v>1</v>
      </c>
      <c r="Y63">
        <f>IF(DATA!491:491,"AAAAAF/x7xg=",0)</f>
        <v>0</v>
      </c>
      <c r="Z63" t="e">
        <f>AND(DATA!A491,"AAAAAF/x7xk=")</f>
        <v>#VALUE!</v>
      </c>
      <c r="AA63" t="e">
        <f>AND(DATA!B491,"AAAAAF/x7xo=")</f>
        <v>#VALUE!</v>
      </c>
      <c r="AB63" t="e">
        <f>AND(DATA!C491,"AAAAAF/x7xs=")</f>
        <v>#VALUE!</v>
      </c>
      <c r="AC63" t="e">
        <f>AND(DATA!D491,"AAAAAF/x7xw=")</f>
        <v>#VALUE!</v>
      </c>
      <c r="AD63" t="e">
        <f>AND(DATA!E491,"AAAAAF/x7x0=")</f>
        <v>#VALUE!</v>
      </c>
      <c r="AE63" t="e">
        <f>AND(DATA!F491,"AAAAAF/x7x4=")</f>
        <v>#VALUE!</v>
      </c>
      <c r="AF63" t="e">
        <f>AND(DATA!G491,"AAAAAF/x7x8=")</f>
        <v>#VALUE!</v>
      </c>
      <c r="AG63" t="e">
        <f>AND(DATA!H491,"AAAAAF/x7yA=")</f>
        <v>#VALUE!</v>
      </c>
      <c r="AH63" t="e">
        <f>AND(DATA!I491,"AAAAAF/x7yE=")</f>
        <v>#VALUE!</v>
      </c>
      <c r="AI63" t="e">
        <f>AND(DATA!J491,"AAAAAF/x7yI=")</f>
        <v>#VALUE!</v>
      </c>
      <c r="AJ63" t="e">
        <f>AND(DATA!K491,"AAAAAF/x7yM=")</f>
        <v>#VALUE!</v>
      </c>
      <c r="AK63" t="b">
        <f>AND(DATA!L491,"AAAAAF/x7yQ=")</f>
        <v>1</v>
      </c>
      <c r="AL63" t="b">
        <f>AND(DATA!M491,"AAAAAF/x7yU=")</f>
        <v>1</v>
      </c>
      <c r="AM63" t="b">
        <f>AND(DATA!N491,"AAAAAF/x7yY=")</f>
        <v>1</v>
      </c>
      <c r="AN63">
        <f>IF(DATA!492:492,"AAAAAF/x7yc=",0)</f>
        <v>0</v>
      </c>
      <c r="AO63" t="e">
        <f>AND(DATA!A492,"AAAAAF/x7yg=")</f>
        <v>#VALUE!</v>
      </c>
      <c r="AP63" t="e">
        <f>AND(DATA!B492,"AAAAAF/x7yk=")</f>
        <v>#VALUE!</v>
      </c>
      <c r="AQ63" t="e">
        <f>AND(DATA!C492,"AAAAAF/x7yo=")</f>
        <v>#VALUE!</v>
      </c>
      <c r="AR63" t="e">
        <f>AND(DATA!D492,"AAAAAF/x7ys=")</f>
        <v>#VALUE!</v>
      </c>
      <c r="AS63" t="e">
        <f>AND(DATA!E492,"AAAAAF/x7yw=")</f>
        <v>#VALUE!</v>
      </c>
      <c r="AT63" t="e">
        <f>AND(DATA!F492,"AAAAAF/x7y0=")</f>
        <v>#VALUE!</v>
      </c>
      <c r="AU63" t="e">
        <f>AND(DATA!G492,"AAAAAF/x7y4=")</f>
        <v>#VALUE!</v>
      </c>
      <c r="AV63" t="e">
        <f>AND(DATA!H492,"AAAAAF/x7y8=")</f>
        <v>#VALUE!</v>
      </c>
      <c r="AW63" t="e">
        <f>AND(DATA!I492,"AAAAAF/x7zA=")</f>
        <v>#VALUE!</v>
      </c>
      <c r="AX63" t="e">
        <f>AND(DATA!J492,"AAAAAF/x7zE=")</f>
        <v>#VALUE!</v>
      </c>
      <c r="AY63" t="e">
        <f>AND(DATA!K492,"AAAAAF/x7zI=")</f>
        <v>#VALUE!</v>
      </c>
      <c r="AZ63" t="b">
        <f>AND(DATA!L492,"AAAAAF/x7zM=")</f>
        <v>1</v>
      </c>
      <c r="BA63" t="b">
        <f>AND(DATA!M492,"AAAAAF/x7zQ=")</f>
        <v>1</v>
      </c>
      <c r="BB63" t="b">
        <f>AND(DATA!N492,"AAAAAF/x7zU=")</f>
        <v>1</v>
      </c>
      <c r="BC63">
        <f>IF(DATA!493:493,"AAAAAF/x7zY=",0)</f>
        <v>0</v>
      </c>
      <c r="BD63" t="e">
        <f>AND(DATA!A493,"AAAAAF/x7zc=")</f>
        <v>#VALUE!</v>
      </c>
      <c r="BE63" t="e">
        <f>AND(DATA!B493,"AAAAAF/x7zg=")</f>
        <v>#VALUE!</v>
      </c>
      <c r="BF63" t="e">
        <f>AND(DATA!C493,"AAAAAF/x7zk=")</f>
        <v>#VALUE!</v>
      </c>
      <c r="BG63" t="e">
        <f>AND(DATA!D493,"AAAAAF/x7zo=")</f>
        <v>#VALUE!</v>
      </c>
      <c r="BH63" t="e">
        <f>AND(DATA!E493,"AAAAAF/x7zs=")</f>
        <v>#VALUE!</v>
      </c>
      <c r="BI63" t="e">
        <f>AND(DATA!F493,"AAAAAF/x7zw=")</f>
        <v>#VALUE!</v>
      </c>
      <c r="BJ63" t="e">
        <f>AND(DATA!G493,"AAAAAF/x7z0=")</f>
        <v>#VALUE!</v>
      </c>
      <c r="BK63" t="e">
        <f>AND(DATA!H493,"AAAAAF/x7z4=")</f>
        <v>#VALUE!</v>
      </c>
      <c r="BL63" t="e">
        <f>AND(DATA!I493,"AAAAAF/x7z8=")</f>
        <v>#VALUE!</v>
      </c>
      <c r="BM63" t="e">
        <f>AND(DATA!J493,"AAAAAF/x70A=")</f>
        <v>#VALUE!</v>
      </c>
      <c r="BN63" t="e">
        <f>AND(DATA!K493,"AAAAAF/x70E=")</f>
        <v>#VALUE!</v>
      </c>
      <c r="BO63" t="b">
        <f>AND(DATA!L493,"AAAAAF/x70I=")</f>
        <v>1</v>
      </c>
      <c r="BP63" t="b">
        <f>AND(DATA!M493,"AAAAAF/x70M=")</f>
        <v>1</v>
      </c>
      <c r="BQ63" t="b">
        <f>AND(DATA!N493,"AAAAAF/x70Q=")</f>
        <v>1</v>
      </c>
      <c r="BR63">
        <f>IF(DATA!494:494,"AAAAAF/x70U=",0)</f>
        <v>0</v>
      </c>
      <c r="BS63" t="e">
        <f>AND(DATA!A494,"AAAAAF/x70Y=")</f>
        <v>#VALUE!</v>
      </c>
      <c r="BT63" t="e">
        <f>AND(DATA!B494,"AAAAAF/x70c=")</f>
        <v>#VALUE!</v>
      </c>
      <c r="BU63" t="e">
        <f>AND(DATA!C494,"AAAAAF/x70g=")</f>
        <v>#VALUE!</v>
      </c>
      <c r="BV63" t="e">
        <f>AND(DATA!D494,"AAAAAF/x70k=")</f>
        <v>#VALUE!</v>
      </c>
      <c r="BW63" t="e">
        <f>AND(DATA!E494,"AAAAAF/x70o=")</f>
        <v>#VALUE!</v>
      </c>
      <c r="BX63" t="e">
        <f>AND(DATA!F494,"AAAAAF/x70s=")</f>
        <v>#VALUE!</v>
      </c>
      <c r="BY63" t="e">
        <f>AND(DATA!G494,"AAAAAF/x70w=")</f>
        <v>#VALUE!</v>
      </c>
      <c r="BZ63" t="e">
        <f>AND(DATA!H494,"AAAAAF/x700=")</f>
        <v>#VALUE!</v>
      </c>
      <c r="CA63" t="e">
        <f>AND(DATA!I494,"AAAAAF/x704=")</f>
        <v>#VALUE!</v>
      </c>
      <c r="CB63" t="e">
        <f>AND(DATA!J494,"AAAAAF/x708=")</f>
        <v>#VALUE!</v>
      </c>
      <c r="CC63" t="e">
        <f>AND(DATA!K494,"AAAAAF/x71A=")</f>
        <v>#VALUE!</v>
      </c>
      <c r="CD63" t="b">
        <f>AND(DATA!L494,"AAAAAF/x71E=")</f>
        <v>1</v>
      </c>
      <c r="CE63" t="b">
        <f>AND(DATA!M494,"AAAAAF/x71I=")</f>
        <v>1</v>
      </c>
      <c r="CF63" t="b">
        <f>AND(DATA!N494,"AAAAAF/x71M=")</f>
        <v>1</v>
      </c>
      <c r="CG63">
        <f>IF(DATA!495:495,"AAAAAF/x71Q=",0)</f>
        <v>0</v>
      </c>
      <c r="CH63" t="e">
        <f>AND(DATA!A495,"AAAAAF/x71U=")</f>
        <v>#VALUE!</v>
      </c>
      <c r="CI63" t="e">
        <f>AND(DATA!B495,"AAAAAF/x71Y=")</f>
        <v>#VALUE!</v>
      </c>
      <c r="CJ63" t="e">
        <f>AND(DATA!C495,"AAAAAF/x71c=")</f>
        <v>#VALUE!</v>
      </c>
      <c r="CK63" t="e">
        <f>AND(DATA!D495,"AAAAAF/x71g=")</f>
        <v>#VALUE!</v>
      </c>
      <c r="CL63" t="e">
        <f>AND(DATA!E495,"AAAAAF/x71k=")</f>
        <v>#VALUE!</v>
      </c>
      <c r="CM63" t="e">
        <f>AND(DATA!F495,"AAAAAF/x71o=")</f>
        <v>#VALUE!</v>
      </c>
      <c r="CN63" t="e">
        <f>AND(DATA!G495,"AAAAAF/x71s=")</f>
        <v>#VALUE!</v>
      </c>
      <c r="CO63" t="e">
        <f>AND(DATA!H495,"AAAAAF/x71w=")</f>
        <v>#VALUE!</v>
      </c>
      <c r="CP63" t="e">
        <f>AND(DATA!I495,"AAAAAF/x710=")</f>
        <v>#VALUE!</v>
      </c>
      <c r="CQ63" t="e">
        <f>AND(DATA!J495,"AAAAAF/x714=")</f>
        <v>#VALUE!</v>
      </c>
      <c r="CR63" t="e">
        <f>AND(DATA!K495,"AAAAAF/x718=")</f>
        <v>#VALUE!</v>
      </c>
      <c r="CS63" t="b">
        <f>AND(DATA!L495,"AAAAAF/x72A=")</f>
        <v>1</v>
      </c>
      <c r="CT63" t="b">
        <f>AND(DATA!M495,"AAAAAF/x72E=")</f>
        <v>1</v>
      </c>
      <c r="CU63" t="b">
        <f>AND(DATA!N495,"AAAAAF/x72I=")</f>
        <v>1</v>
      </c>
      <c r="CV63">
        <f>IF(DATA!496:496,"AAAAAF/x72M=",0)</f>
        <v>0</v>
      </c>
      <c r="CW63" t="e">
        <f>AND(DATA!A496,"AAAAAF/x72Q=")</f>
        <v>#VALUE!</v>
      </c>
      <c r="CX63" t="e">
        <f>AND(DATA!B496,"AAAAAF/x72U=")</f>
        <v>#VALUE!</v>
      </c>
      <c r="CY63" t="e">
        <f>AND(DATA!C496,"AAAAAF/x72Y=")</f>
        <v>#VALUE!</v>
      </c>
      <c r="CZ63" t="e">
        <f>AND(DATA!D496,"AAAAAF/x72c=")</f>
        <v>#VALUE!</v>
      </c>
      <c r="DA63" t="e">
        <f>AND(DATA!E496,"AAAAAF/x72g=")</f>
        <v>#VALUE!</v>
      </c>
      <c r="DB63" t="e">
        <f>AND(DATA!F496,"AAAAAF/x72k=")</f>
        <v>#VALUE!</v>
      </c>
      <c r="DC63" t="e">
        <f>AND(DATA!G496,"AAAAAF/x72o=")</f>
        <v>#VALUE!</v>
      </c>
      <c r="DD63" t="e">
        <f>AND(DATA!H496,"AAAAAF/x72s=")</f>
        <v>#VALUE!</v>
      </c>
      <c r="DE63" t="e">
        <f>AND(DATA!I496,"AAAAAF/x72w=")</f>
        <v>#VALUE!</v>
      </c>
      <c r="DF63" t="e">
        <f>AND(DATA!J496,"AAAAAF/x720=")</f>
        <v>#VALUE!</v>
      </c>
      <c r="DG63" t="e">
        <f>AND(DATA!K496,"AAAAAF/x724=")</f>
        <v>#VALUE!</v>
      </c>
      <c r="DH63" t="b">
        <f>AND(DATA!L496,"AAAAAF/x728=")</f>
        <v>1</v>
      </c>
      <c r="DI63" t="b">
        <f>AND(DATA!M496,"AAAAAF/x73A=")</f>
        <v>1</v>
      </c>
      <c r="DJ63" t="b">
        <f>AND(DATA!N496,"AAAAAF/x73E=")</f>
        <v>1</v>
      </c>
      <c r="DK63">
        <f>IF(DATA!497:497,"AAAAAF/x73I=",0)</f>
        <v>0</v>
      </c>
      <c r="DL63" t="e">
        <f>AND(DATA!A497,"AAAAAF/x73M=")</f>
        <v>#VALUE!</v>
      </c>
      <c r="DM63" t="e">
        <f>AND(DATA!B497,"AAAAAF/x73Q=")</f>
        <v>#VALUE!</v>
      </c>
      <c r="DN63" t="e">
        <f>AND(DATA!C497,"AAAAAF/x73U=")</f>
        <v>#VALUE!</v>
      </c>
      <c r="DO63" t="e">
        <f>AND(DATA!D497,"AAAAAF/x73Y=")</f>
        <v>#VALUE!</v>
      </c>
      <c r="DP63" t="e">
        <f>AND(DATA!E497,"AAAAAF/x73c=")</f>
        <v>#VALUE!</v>
      </c>
      <c r="DQ63" t="e">
        <f>AND(DATA!F497,"AAAAAF/x73g=")</f>
        <v>#VALUE!</v>
      </c>
      <c r="DR63" t="e">
        <f>AND(DATA!G497,"AAAAAF/x73k=")</f>
        <v>#VALUE!</v>
      </c>
      <c r="DS63" t="e">
        <f>AND(DATA!H497,"AAAAAF/x73o=")</f>
        <v>#VALUE!</v>
      </c>
      <c r="DT63" t="e">
        <f>AND(DATA!I497,"AAAAAF/x73s=")</f>
        <v>#VALUE!</v>
      </c>
      <c r="DU63" t="e">
        <f>AND(DATA!J497,"AAAAAF/x73w=")</f>
        <v>#VALUE!</v>
      </c>
      <c r="DV63" t="e">
        <f>AND(DATA!K497,"AAAAAF/x730=")</f>
        <v>#VALUE!</v>
      </c>
      <c r="DW63" t="b">
        <f>AND(DATA!L497,"AAAAAF/x734=")</f>
        <v>1</v>
      </c>
      <c r="DX63" t="b">
        <f>AND(DATA!M497,"AAAAAF/x738=")</f>
        <v>1</v>
      </c>
      <c r="DY63" t="b">
        <f>AND(DATA!N497,"AAAAAF/x74A=")</f>
        <v>1</v>
      </c>
      <c r="DZ63">
        <f>IF(DATA!498:498,"AAAAAF/x74E=",0)</f>
        <v>0</v>
      </c>
      <c r="EA63" t="e">
        <f>AND(DATA!A498,"AAAAAF/x74I=")</f>
        <v>#VALUE!</v>
      </c>
      <c r="EB63" t="e">
        <f>AND(DATA!B498,"AAAAAF/x74M=")</f>
        <v>#VALUE!</v>
      </c>
      <c r="EC63" t="e">
        <f>AND(DATA!C498,"AAAAAF/x74Q=")</f>
        <v>#VALUE!</v>
      </c>
      <c r="ED63" t="e">
        <f>AND(DATA!D498,"AAAAAF/x74U=")</f>
        <v>#VALUE!</v>
      </c>
      <c r="EE63" t="e">
        <f>AND(DATA!E498,"AAAAAF/x74Y=")</f>
        <v>#VALUE!</v>
      </c>
      <c r="EF63" t="e">
        <f>AND(DATA!F498,"AAAAAF/x74c=")</f>
        <v>#VALUE!</v>
      </c>
      <c r="EG63" t="e">
        <f>AND(DATA!G498,"AAAAAF/x74g=")</f>
        <v>#VALUE!</v>
      </c>
      <c r="EH63" t="e">
        <f>AND(DATA!H498,"AAAAAF/x74k=")</f>
        <v>#VALUE!</v>
      </c>
      <c r="EI63" t="e">
        <f>AND(DATA!I498,"AAAAAF/x74o=")</f>
        <v>#VALUE!</v>
      </c>
      <c r="EJ63" t="e">
        <f>AND(DATA!J498,"AAAAAF/x74s=")</f>
        <v>#VALUE!</v>
      </c>
      <c r="EK63" t="e">
        <f>AND(DATA!K498,"AAAAAF/x74w=")</f>
        <v>#VALUE!</v>
      </c>
      <c r="EL63" t="b">
        <f>AND(DATA!L498,"AAAAAF/x740=")</f>
        <v>1</v>
      </c>
      <c r="EM63" t="b">
        <f>AND(DATA!M498,"AAAAAF/x744=")</f>
        <v>1</v>
      </c>
      <c r="EN63" t="b">
        <f>AND(DATA!N498,"AAAAAF/x748=")</f>
        <v>1</v>
      </c>
      <c r="EO63">
        <f>IF(DATA!499:499,"AAAAAF/x75A=",0)</f>
        <v>0</v>
      </c>
      <c r="EP63" t="e">
        <f>AND(DATA!A499,"AAAAAF/x75E=")</f>
        <v>#VALUE!</v>
      </c>
      <c r="EQ63" t="e">
        <f>AND(DATA!B499,"AAAAAF/x75I=")</f>
        <v>#VALUE!</v>
      </c>
      <c r="ER63" t="e">
        <f>AND(DATA!C499,"AAAAAF/x75M=")</f>
        <v>#VALUE!</v>
      </c>
      <c r="ES63" t="e">
        <f>AND(DATA!D499,"AAAAAF/x75Q=")</f>
        <v>#VALUE!</v>
      </c>
      <c r="ET63" t="e">
        <f>AND(DATA!E499,"AAAAAF/x75U=")</f>
        <v>#VALUE!</v>
      </c>
      <c r="EU63" t="e">
        <f>AND(DATA!F499,"AAAAAF/x75Y=")</f>
        <v>#VALUE!</v>
      </c>
      <c r="EV63" t="e">
        <f>AND(DATA!G499,"AAAAAF/x75c=")</f>
        <v>#VALUE!</v>
      </c>
      <c r="EW63" t="e">
        <f>AND(DATA!H499,"AAAAAF/x75g=")</f>
        <v>#VALUE!</v>
      </c>
      <c r="EX63" t="e">
        <f>AND(DATA!I499,"AAAAAF/x75k=")</f>
        <v>#VALUE!</v>
      </c>
      <c r="EY63" t="e">
        <f>AND(DATA!J499,"AAAAAF/x75o=")</f>
        <v>#VALUE!</v>
      </c>
      <c r="EZ63" t="e">
        <f>AND(DATA!K499,"AAAAAF/x75s=")</f>
        <v>#VALUE!</v>
      </c>
      <c r="FA63" t="b">
        <f>AND(DATA!L499,"AAAAAF/x75w=")</f>
        <v>1</v>
      </c>
      <c r="FB63" t="b">
        <f>AND(DATA!M499,"AAAAAF/x750=")</f>
        <v>1</v>
      </c>
      <c r="FC63" t="b">
        <f>AND(DATA!N499,"AAAAAF/x754=")</f>
        <v>1</v>
      </c>
      <c r="FD63">
        <f>IF(DATA!500:500,"AAAAAF/x758=",0)</f>
        <v>0</v>
      </c>
      <c r="FE63" t="e">
        <f>AND(DATA!A500,"AAAAAF/x76A=")</f>
        <v>#VALUE!</v>
      </c>
      <c r="FF63" t="e">
        <f>AND(DATA!B500,"AAAAAF/x76E=")</f>
        <v>#VALUE!</v>
      </c>
      <c r="FG63" t="e">
        <f>AND(DATA!C500,"AAAAAF/x76I=")</f>
        <v>#VALUE!</v>
      </c>
      <c r="FH63" t="e">
        <f>AND(DATA!D500,"AAAAAF/x76M=")</f>
        <v>#VALUE!</v>
      </c>
      <c r="FI63" t="e">
        <f>AND(DATA!E500,"AAAAAF/x76Q=")</f>
        <v>#VALUE!</v>
      </c>
      <c r="FJ63" t="e">
        <f>AND(DATA!F500,"AAAAAF/x76U=")</f>
        <v>#VALUE!</v>
      </c>
      <c r="FK63" t="e">
        <f>AND(DATA!G500,"AAAAAF/x76Y=")</f>
        <v>#VALUE!</v>
      </c>
      <c r="FL63" t="e">
        <f>AND(DATA!H500,"AAAAAF/x76c=")</f>
        <v>#VALUE!</v>
      </c>
      <c r="FM63" t="e">
        <f>AND(DATA!I500,"AAAAAF/x76g=")</f>
        <v>#VALUE!</v>
      </c>
      <c r="FN63" t="e">
        <f>AND(DATA!J500,"AAAAAF/x76k=")</f>
        <v>#VALUE!</v>
      </c>
      <c r="FO63" t="e">
        <f>AND(DATA!K500,"AAAAAF/x76o=")</f>
        <v>#VALUE!</v>
      </c>
      <c r="FP63" t="b">
        <f>AND(DATA!L500,"AAAAAF/x76s=")</f>
        <v>1</v>
      </c>
      <c r="FQ63" t="b">
        <f>AND(DATA!M500,"AAAAAF/x76w=")</f>
        <v>1</v>
      </c>
      <c r="FR63" t="b">
        <f>AND(DATA!N500,"AAAAAF/x760=")</f>
        <v>1</v>
      </c>
      <c r="FS63">
        <f>IF(DATA!501:501,"AAAAAF/x764=",0)</f>
        <v>0</v>
      </c>
      <c r="FT63" t="e">
        <f>AND(DATA!A501,"AAAAAF/x768=")</f>
        <v>#VALUE!</v>
      </c>
      <c r="FU63" t="e">
        <f>AND(DATA!B501,"AAAAAF/x77A=")</f>
        <v>#VALUE!</v>
      </c>
      <c r="FV63" t="e">
        <f>AND(DATA!C501,"AAAAAF/x77E=")</f>
        <v>#VALUE!</v>
      </c>
      <c r="FW63" t="e">
        <f>AND(DATA!D501,"AAAAAF/x77I=")</f>
        <v>#VALUE!</v>
      </c>
      <c r="FX63" t="e">
        <f>AND(DATA!E501,"AAAAAF/x77M=")</f>
        <v>#VALUE!</v>
      </c>
      <c r="FY63" t="e">
        <f>AND(DATA!F501,"AAAAAF/x77Q=")</f>
        <v>#VALUE!</v>
      </c>
      <c r="FZ63" t="e">
        <f>AND(DATA!G501,"AAAAAF/x77U=")</f>
        <v>#VALUE!</v>
      </c>
      <c r="GA63" t="e">
        <f>AND(DATA!H501,"AAAAAF/x77Y=")</f>
        <v>#VALUE!</v>
      </c>
      <c r="GB63" t="e">
        <f>AND(DATA!I501,"AAAAAF/x77c=")</f>
        <v>#VALUE!</v>
      </c>
      <c r="GC63" t="e">
        <f>AND(DATA!J501,"AAAAAF/x77g=")</f>
        <v>#VALUE!</v>
      </c>
      <c r="GD63" t="e">
        <f>AND(DATA!K501,"AAAAAF/x77k=")</f>
        <v>#VALUE!</v>
      </c>
      <c r="GE63" t="b">
        <f>AND(DATA!L501,"AAAAAF/x77o=")</f>
        <v>1</v>
      </c>
      <c r="GF63" t="b">
        <f>AND(DATA!M501,"AAAAAF/x77s=")</f>
        <v>1</v>
      </c>
      <c r="GG63" t="b">
        <f>AND(DATA!N501,"AAAAAF/x77w=")</f>
        <v>1</v>
      </c>
      <c r="GH63">
        <f>IF(DATA!502:502,"AAAAAF/x770=",0)</f>
        <v>0</v>
      </c>
      <c r="GI63" t="e">
        <f>AND(DATA!A502,"AAAAAF/x774=")</f>
        <v>#VALUE!</v>
      </c>
      <c r="GJ63" t="e">
        <f>AND(DATA!B502,"AAAAAF/x778=")</f>
        <v>#VALUE!</v>
      </c>
      <c r="GK63" t="e">
        <f>AND(DATA!C502,"AAAAAF/x78A=")</f>
        <v>#VALUE!</v>
      </c>
      <c r="GL63" t="e">
        <f>AND(DATA!D502,"AAAAAF/x78E=")</f>
        <v>#VALUE!</v>
      </c>
      <c r="GM63" t="e">
        <f>AND(DATA!E502,"AAAAAF/x78I=")</f>
        <v>#VALUE!</v>
      </c>
      <c r="GN63" t="e">
        <f>AND(DATA!F502,"AAAAAF/x78M=")</f>
        <v>#VALUE!</v>
      </c>
      <c r="GO63" t="e">
        <f>AND(DATA!G502,"AAAAAF/x78Q=")</f>
        <v>#VALUE!</v>
      </c>
      <c r="GP63" t="e">
        <f>AND(DATA!H502,"AAAAAF/x78U=")</f>
        <v>#VALUE!</v>
      </c>
      <c r="GQ63" t="e">
        <f>AND(DATA!I502,"AAAAAF/x78Y=")</f>
        <v>#VALUE!</v>
      </c>
      <c r="GR63" t="e">
        <f>AND(DATA!J502,"AAAAAF/x78c=")</f>
        <v>#VALUE!</v>
      </c>
      <c r="GS63" t="e">
        <f>AND(DATA!K502,"AAAAAF/x78g=")</f>
        <v>#VALUE!</v>
      </c>
      <c r="GT63" t="b">
        <f>AND(DATA!L502,"AAAAAF/x78k=")</f>
        <v>1</v>
      </c>
      <c r="GU63" t="b">
        <f>AND(DATA!M502,"AAAAAF/x78o=")</f>
        <v>1</v>
      </c>
      <c r="GV63" t="b">
        <f>AND(DATA!N502,"AAAAAF/x78s=")</f>
        <v>1</v>
      </c>
      <c r="GW63">
        <f>IF(DATA!503:503,"AAAAAF/x78w=",0)</f>
        <v>0</v>
      </c>
      <c r="GX63" t="e">
        <f>AND(DATA!A503,"AAAAAF/x780=")</f>
        <v>#VALUE!</v>
      </c>
      <c r="GY63" t="e">
        <f>AND(DATA!B503,"AAAAAF/x784=")</f>
        <v>#VALUE!</v>
      </c>
      <c r="GZ63" t="e">
        <f>AND(DATA!C503,"AAAAAF/x788=")</f>
        <v>#VALUE!</v>
      </c>
      <c r="HA63" t="e">
        <f>AND(DATA!D503,"AAAAAF/x79A=")</f>
        <v>#VALUE!</v>
      </c>
      <c r="HB63" t="e">
        <f>AND(DATA!E503,"AAAAAF/x79E=")</f>
        <v>#VALUE!</v>
      </c>
      <c r="HC63" t="e">
        <f>AND(DATA!F503,"AAAAAF/x79I=")</f>
        <v>#VALUE!</v>
      </c>
      <c r="HD63" t="e">
        <f>AND(DATA!G503,"AAAAAF/x79M=")</f>
        <v>#VALUE!</v>
      </c>
      <c r="HE63" t="e">
        <f>AND(DATA!H503,"AAAAAF/x79Q=")</f>
        <v>#VALUE!</v>
      </c>
      <c r="HF63" t="e">
        <f>AND(DATA!I503,"AAAAAF/x79U=")</f>
        <v>#VALUE!</v>
      </c>
      <c r="HG63" t="e">
        <f>AND(DATA!J503,"AAAAAF/x79Y=")</f>
        <v>#VALUE!</v>
      </c>
      <c r="HH63" t="e">
        <f>AND(DATA!K503,"AAAAAF/x79c=")</f>
        <v>#VALUE!</v>
      </c>
      <c r="HI63" t="b">
        <f>AND(DATA!L503,"AAAAAF/x79g=")</f>
        <v>1</v>
      </c>
      <c r="HJ63" t="b">
        <f>AND(DATA!M503,"AAAAAF/x79k=")</f>
        <v>1</v>
      </c>
      <c r="HK63" t="b">
        <f>AND(DATA!N503,"AAAAAF/x79o=")</f>
        <v>1</v>
      </c>
      <c r="HL63">
        <f>IF(DATA!504:504,"AAAAAF/x79s=",0)</f>
        <v>0</v>
      </c>
      <c r="HM63" t="e">
        <f>AND(DATA!A504,"AAAAAF/x79w=")</f>
        <v>#VALUE!</v>
      </c>
      <c r="HN63" t="e">
        <f>AND(DATA!B504,"AAAAAF/x790=")</f>
        <v>#VALUE!</v>
      </c>
      <c r="HO63" t="e">
        <f>AND(DATA!C504,"AAAAAF/x794=")</f>
        <v>#VALUE!</v>
      </c>
      <c r="HP63" t="e">
        <f>AND(DATA!D504,"AAAAAF/x798=")</f>
        <v>#VALUE!</v>
      </c>
      <c r="HQ63" t="e">
        <f>AND(DATA!E504,"AAAAAF/x7+A=")</f>
        <v>#VALUE!</v>
      </c>
      <c r="HR63" t="e">
        <f>AND(DATA!F504,"AAAAAF/x7+E=")</f>
        <v>#VALUE!</v>
      </c>
      <c r="HS63" t="e">
        <f>AND(DATA!G504,"AAAAAF/x7+I=")</f>
        <v>#VALUE!</v>
      </c>
      <c r="HT63" t="e">
        <f>AND(DATA!H504,"AAAAAF/x7+M=")</f>
        <v>#VALUE!</v>
      </c>
      <c r="HU63" t="e">
        <f>AND(DATA!I504,"AAAAAF/x7+Q=")</f>
        <v>#VALUE!</v>
      </c>
      <c r="HV63" t="e">
        <f>AND(DATA!J504,"AAAAAF/x7+U=")</f>
        <v>#VALUE!</v>
      </c>
      <c r="HW63" t="e">
        <f>AND(DATA!K504,"AAAAAF/x7+Y=")</f>
        <v>#VALUE!</v>
      </c>
      <c r="HX63" t="b">
        <f>AND(DATA!L504,"AAAAAF/x7+c=")</f>
        <v>1</v>
      </c>
      <c r="HY63" t="b">
        <f>AND(DATA!M504,"AAAAAF/x7+g=")</f>
        <v>1</v>
      </c>
      <c r="HZ63" t="b">
        <f>AND(DATA!N504,"AAAAAF/x7+k=")</f>
        <v>1</v>
      </c>
      <c r="IA63">
        <f>IF(DATA!505:505,"AAAAAF/x7+o=",0)</f>
        <v>0</v>
      </c>
      <c r="IB63" t="e">
        <f>AND(DATA!A505,"AAAAAF/x7+s=")</f>
        <v>#VALUE!</v>
      </c>
      <c r="IC63" t="e">
        <f>AND(DATA!B505,"AAAAAF/x7+w=")</f>
        <v>#VALUE!</v>
      </c>
      <c r="ID63" t="e">
        <f>AND(DATA!C505,"AAAAAF/x7+0=")</f>
        <v>#VALUE!</v>
      </c>
      <c r="IE63" t="e">
        <f>AND(DATA!D505,"AAAAAF/x7+4=")</f>
        <v>#VALUE!</v>
      </c>
      <c r="IF63" t="e">
        <f>AND(DATA!E505,"AAAAAF/x7+8=")</f>
        <v>#VALUE!</v>
      </c>
      <c r="IG63" t="e">
        <f>AND(DATA!F505,"AAAAAF/x7/A=")</f>
        <v>#VALUE!</v>
      </c>
      <c r="IH63" t="e">
        <f>AND(DATA!G505,"AAAAAF/x7/E=")</f>
        <v>#VALUE!</v>
      </c>
      <c r="II63" t="e">
        <f>AND(DATA!H505,"AAAAAF/x7/I=")</f>
        <v>#VALUE!</v>
      </c>
      <c r="IJ63" t="e">
        <f>AND(DATA!I505,"AAAAAF/x7/M=")</f>
        <v>#VALUE!</v>
      </c>
      <c r="IK63" t="e">
        <f>AND(DATA!J505,"AAAAAF/x7/Q=")</f>
        <v>#VALUE!</v>
      </c>
      <c r="IL63" t="e">
        <f>AND(DATA!K505,"AAAAAF/x7/U=")</f>
        <v>#VALUE!</v>
      </c>
      <c r="IM63" t="b">
        <f>AND(DATA!L505,"AAAAAF/x7/Y=")</f>
        <v>1</v>
      </c>
      <c r="IN63" t="b">
        <f>AND(DATA!M505,"AAAAAF/x7/c=")</f>
        <v>1</v>
      </c>
      <c r="IO63" t="b">
        <f>AND(DATA!N505,"AAAAAF/x7/g=")</f>
        <v>1</v>
      </c>
      <c r="IP63">
        <f>IF(DATA!506:506,"AAAAAF/x7/k=",0)</f>
        <v>0</v>
      </c>
      <c r="IQ63" t="e">
        <f>AND(DATA!A506,"AAAAAF/x7/o=")</f>
        <v>#VALUE!</v>
      </c>
      <c r="IR63" t="e">
        <f>AND(DATA!B506,"AAAAAF/x7/s=")</f>
        <v>#VALUE!</v>
      </c>
      <c r="IS63" t="e">
        <f>AND(DATA!C506,"AAAAAF/x7/w=")</f>
        <v>#VALUE!</v>
      </c>
      <c r="IT63" t="e">
        <f>AND(DATA!D506,"AAAAAF/x7/0=")</f>
        <v>#VALUE!</v>
      </c>
      <c r="IU63" t="e">
        <f>AND(DATA!E506,"AAAAAF/x7/4=")</f>
        <v>#VALUE!</v>
      </c>
      <c r="IV63" t="e">
        <f>AND(DATA!F506,"AAAAAF/x7/8=")</f>
        <v>#VALUE!</v>
      </c>
    </row>
    <row r="64" spans="1:256">
      <c r="A64" t="e">
        <f>AND(DATA!G506,"AAAAAE07qwA=")</f>
        <v>#VALUE!</v>
      </c>
      <c r="B64" t="e">
        <f>AND(DATA!H506,"AAAAAE07qwE=")</f>
        <v>#VALUE!</v>
      </c>
      <c r="C64" t="e">
        <f>AND(DATA!I506,"AAAAAE07qwI=")</f>
        <v>#VALUE!</v>
      </c>
      <c r="D64" t="e">
        <f>AND(DATA!J506,"AAAAAE07qwM=")</f>
        <v>#VALUE!</v>
      </c>
      <c r="E64" t="e">
        <f>AND(DATA!K506,"AAAAAE07qwQ=")</f>
        <v>#VALUE!</v>
      </c>
      <c r="F64" t="b">
        <f>AND(DATA!L506,"AAAAAE07qwU=")</f>
        <v>1</v>
      </c>
      <c r="G64" t="b">
        <f>AND(DATA!M506,"AAAAAE07qwY=")</f>
        <v>1</v>
      </c>
      <c r="H64" t="b">
        <f>AND(DATA!N506,"AAAAAE07qwc=")</f>
        <v>1</v>
      </c>
      <c r="I64">
        <f>IF(DATA!507:507,"AAAAAE07qwg=",0)</f>
        <v>0</v>
      </c>
      <c r="J64" t="e">
        <f>AND(DATA!A507,"AAAAAE07qwk=")</f>
        <v>#VALUE!</v>
      </c>
      <c r="K64" t="e">
        <f>AND(DATA!B507,"AAAAAE07qwo=")</f>
        <v>#VALUE!</v>
      </c>
      <c r="L64" t="e">
        <f>AND(DATA!C507,"AAAAAE07qws=")</f>
        <v>#VALUE!</v>
      </c>
      <c r="M64" t="e">
        <f>AND(DATA!D507,"AAAAAE07qww=")</f>
        <v>#VALUE!</v>
      </c>
      <c r="N64" t="e">
        <f>AND(DATA!E507,"AAAAAE07qw0=")</f>
        <v>#VALUE!</v>
      </c>
      <c r="O64" t="e">
        <f>AND(DATA!F507,"AAAAAE07qw4=")</f>
        <v>#VALUE!</v>
      </c>
      <c r="P64" t="e">
        <f>AND(DATA!G507,"AAAAAE07qw8=")</f>
        <v>#VALUE!</v>
      </c>
      <c r="Q64" t="e">
        <f>AND(DATA!H507,"AAAAAE07qxA=")</f>
        <v>#VALUE!</v>
      </c>
      <c r="R64" t="e">
        <f>AND(DATA!I507,"AAAAAE07qxE=")</f>
        <v>#VALUE!</v>
      </c>
      <c r="S64" t="e">
        <f>AND(DATA!J507,"AAAAAE07qxI=")</f>
        <v>#VALUE!</v>
      </c>
      <c r="T64" t="e">
        <f>AND(DATA!K507,"AAAAAE07qxM=")</f>
        <v>#VALUE!</v>
      </c>
      <c r="U64" t="b">
        <f>AND(DATA!L507,"AAAAAE07qxQ=")</f>
        <v>1</v>
      </c>
      <c r="V64" t="b">
        <f>AND(DATA!M507,"AAAAAE07qxU=")</f>
        <v>1</v>
      </c>
      <c r="W64" t="b">
        <f>AND(DATA!N507,"AAAAAE07qxY=")</f>
        <v>1</v>
      </c>
      <c r="X64">
        <f>IF(DATA!508:508,"AAAAAE07qxc=",0)</f>
        <v>0</v>
      </c>
      <c r="Y64" t="e">
        <f>AND(DATA!A508,"AAAAAE07qxg=")</f>
        <v>#VALUE!</v>
      </c>
      <c r="Z64" t="e">
        <f>AND(DATA!B508,"AAAAAE07qxk=")</f>
        <v>#VALUE!</v>
      </c>
      <c r="AA64" t="e">
        <f>AND(DATA!C508,"AAAAAE07qxo=")</f>
        <v>#VALUE!</v>
      </c>
      <c r="AB64" t="e">
        <f>AND(DATA!D508,"AAAAAE07qxs=")</f>
        <v>#VALUE!</v>
      </c>
      <c r="AC64" t="e">
        <f>AND(DATA!E508,"AAAAAE07qxw=")</f>
        <v>#VALUE!</v>
      </c>
      <c r="AD64" t="e">
        <f>AND(DATA!F508,"AAAAAE07qx0=")</f>
        <v>#VALUE!</v>
      </c>
      <c r="AE64" t="e">
        <f>AND(DATA!G508,"AAAAAE07qx4=")</f>
        <v>#VALUE!</v>
      </c>
      <c r="AF64" t="e">
        <f>AND(DATA!H508,"AAAAAE07qx8=")</f>
        <v>#VALUE!</v>
      </c>
      <c r="AG64" t="e">
        <f>AND(DATA!I508,"AAAAAE07qyA=")</f>
        <v>#VALUE!</v>
      </c>
      <c r="AH64" t="e">
        <f>AND(DATA!J508,"AAAAAE07qyE=")</f>
        <v>#VALUE!</v>
      </c>
      <c r="AI64" t="e">
        <f>AND(DATA!K508,"AAAAAE07qyI=")</f>
        <v>#VALUE!</v>
      </c>
      <c r="AJ64" t="b">
        <f>AND(DATA!L508,"AAAAAE07qyM=")</f>
        <v>1</v>
      </c>
      <c r="AK64" t="b">
        <f>AND(DATA!M508,"AAAAAE07qyQ=")</f>
        <v>1</v>
      </c>
      <c r="AL64" t="b">
        <f>AND(DATA!N508,"AAAAAE07qyU=")</f>
        <v>1</v>
      </c>
      <c r="AM64">
        <f>IF(DATA!509:509,"AAAAAE07qyY=",0)</f>
        <v>0</v>
      </c>
      <c r="AN64" t="e">
        <f>AND(DATA!A509,"AAAAAE07qyc=")</f>
        <v>#VALUE!</v>
      </c>
      <c r="AO64" t="e">
        <f>AND(DATA!B509,"AAAAAE07qyg=")</f>
        <v>#VALUE!</v>
      </c>
      <c r="AP64" t="e">
        <f>AND(DATA!C509,"AAAAAE07qyk=")</f>
        <v>#VALUE!</v>
      </c>
      <c r="AQ64" t="e">
        <f>AND(DATA!D509,"AAAAAE07qyo=")</f>
        <v>#VALUE!</v>
      </c>
      <c r="AR64" t="e">
        <f>AND(DATA!E509,"AAAAAE07qys=")</f>
        <v>#VALUE!</v>
      </c>
      <c r="AS64" t="e">
        <f>AND(DATA!F509,"AAAAAE07qyw=")</f>
        <v>#VALUE!</v>
      </c>
      <c r="AT64" t="e">
        <f>AND(DATA!G509,"AAAAAE07qy0=")</f>
        <v>#VALUE!</v>
      </c>
      <c r="AU64" t="e">
        <f>AND(DATA!H509,"AAAAAE07qy4=")</f>
        <v>#VALUE!</v>
      </c>
      <c r="AV64" t="e">
        <f>AND(DATA!I509,"AAAAAE07qy8=")</f>
        <v>#VALUE!</v>
      </c>
      <c r="AW64" t="e">
        <f>AND(DATA!J509,"AAAAAE07qzA=")</f>
        <v>#VALUE!</v>
      </c>
      <c r="AX64" t="e">
        <f>AND(DATA!K509,"AAAAAE07qzE=")</f>
        <v>#VALUE!</v>
      </c>
      <c r="AY64" t="b">
        <f>AND(DATA!L509,"AAAAAE07qzI=")</f>
        <v>1</v>
      </c>
      <c r="AZ64" t="b">
        <f>AND(DATA!M509,"AAAAAE07qzM=")</f>
        <v>1</v>
      </c>
      <c r="BA64" t="b">
        <f>AND(DATA!N509,"AAAAAE07qzQ=")</f>
        <v>1</v>
      </c>
      <c r="BB64">
        <f>IF(DATA!510:510,"AAAAAE07qzU=",0)</f>
        <v>0</v>
      </c>
      <c r="BC64" t="e">
        <f>AND(DATA!A510,"AAAAAE07qzY=")</f>
        <v>#VALUE!</v>
      </c>
      <c r="BD64" t="e">
        <f>AND(DATA!B510,"AAAAAE07qzc=")</f>
        <v>#VALUE!</v>
      </c>
      <c r="BE64" t="e">
        <f>AND(DATA!C510,"AAAAAE07qzg=")</f>
        <v>#VALUE!</v>
      </c>
      <c r="BF64" t="e">
        <f>AND(DATA!D510,"AAAAAE07qzk=")</f>
        <v>#VALUE!</v>
      </c>
      <c r="BG64" t="e">
        <f>AND(DATA!E510,"AAAAAE07qzo=")</f>
        <v>#VALUE!</v>
      </c>
      <c r="BH64" t="e">
        <f>AND(DATA!F510,"AAAAAE07qzs=")</f>
        <v>#VALUE!</v>
      </c>
      <c r="BI64" t="e">
        <f>AND(DATA!G510,"AAAAAE07qzw=")</f>
        <v>#VALUE!</v>
      </c>
      <c r="BJ64" t="e">
        <f>AND(DATA!H510,"AAAAAE07qz0=")</f>
        <v>#VALUE!</v>
      </c>
      <c r="BK64" t="e">
        <f>AND(DATA!I510,"AAAAAE07qz4=")</f>
        <v>#VALUE!</v>
      </c>
      <c r="BL64" t="e">
        <f>AND(DATA!J510,"AAAAAE07qz8=")</f>
        <v>#VALUE!</v>
      </c>
      <c r="BM64" t="e">
        <f>AND(DATA!K510,"AAAAAE07q0A=")</f>
        <v>#VALUE!</v>
      </c>
      <c r="BN64" t="b">
        <f>AND(DATA!L510,"AAAAAE07q0E=")</f>
        <v>1</v>
      </c>
      <c r="BO64" t="b">
        <f>AND(DATA!M510,"AAAAAE07q0I=")</f>
        <v>1</v>
      </c>
      <c r="BP64" t="b">
        <f>AND(DATA!N510,"AAAAAE07q0M=")</f>
        <v>1</v>
      </c>
      <c r="BQ64">
        <f>IF(DATA!511:511,"AAAAAE07q0Q=",0)</f>
        <v>0</v>
      </c>
      <c r="BR64" t="e">
        <f>AND(DATA!A511,"AAAAAE07q0U=")</f>
        <v>#VALUE!</v>
      </c>
      <c r="BS64" t="e">
        <f>AND(DATA!B511,"AAAAAE07q0Y=")</f>
        <v>#VALUE!</v>
      </c>
      <c r="BT64" t="e">
        <f>AND(DATA!C511,"AAAAAE07q0c=")</f>
        <v>#VALUE!</v>
      </c>
      <c r="BU64" t="e">
        <f>AND(DATA!D511,"AAAAAE07q0g=")</f>
        <v>#VALUE!</v>
      </c>
      <c r="BV64" t="e">
        <f>AND(DATA!E511,"AAAAAE07q0k=")</f>
        <v>#VALUE!</v>
      </c>
      <c r="BW64" t="e">
        <f>AND(DATA!F511,"AAAAAE07q0o=")</f>
        <v>#VALUE!</v>
      </c>
      <c r="BX64" t="e">
        <f>AND(DATA!G511,"AAAAAE07q0s=")</f>
        <v>#VALUE!</v>
      </c>
      <c r="BY64" t="e">
        <f>AND(DATA!H511,"AAAAAE07q0w=")</f>
        <v>#VALUE!</v>
      </c>
      <c r="BZ64" t="e">
        <f>AND(DATA!I511,"AAAAAE07q00=")</f>
        <v>#VALUE!</v>
      </c>
      <c r="CA64" t="e">
        <f>AND(DATA!J511,"AAAAAE07q04=")</f>
        <v>#VALUE!</v>
      </c>
      <c r="CB64" t="e">
        <f>AND(DATA!K511,"AAAAAE07q08=")</f>
        <v>#VALUE!</v>
      </c>
      <c r="CC64" t="b">
        <f>AND(DATA!L511,"AAAAAE07q1A=")</f>
        <v>1</v>
      </c>
      <c r="CD64" t="b">
        <f>AND(DATA!M511,"AAAAAE07q1E=")</f>
        <v>1</v>
      </c>
      <c r="CE64" t="b">
        <f>AND(DATA!N511,"AAAAAE07q1I=")</f>
        <v>1</v>
      </c>
      <c r="CF64">
        <f>IF(DATA!512:512,"AAAAAE07q1M=",0)</f>
        <v>0</v>
      </c>
      <c r="CG64" t="e">
        <f>AND(DATA!A512,"AAAAAE07q1Q=")</f>
        <v>#VALUE!</v>
      </c>
      <c r="CH64" t="e">
        <f>AND(DATA!B512,"AAAAAE07q1U=")</f>
        <v>#VALUE!</v>
      </c>
      <c r="CI64" t="e">
        <f>AND(DATA!C512,"AAAAAE07q1Y=")</f>
        <v>#VALUE!</v>
      </c>
      <c r="CJ64" t="e">
        <f>AND(DATA!D512,"AAAAAE07q1c=")</f>
        <v>#VALUE!</v>
      </c>
      <c r="CK64" t="e">
        <f>AND(DATA!E512,"AAAAAE07q1g=")</f>
        <v>#VALUE!</v>
      </c>
      <c r="CL64" t="e">
        <f>AND(DATA!F512,"AAAAAE07q1k=")</f>
        <v>#VALUE!</v>
      </c>
      <c r="CM64" t="e">
        <f>AND(DATA!G512,"AAAAAE07q1o=")</f>
        <v>#VALUE!</v>
      </c>
      <c r="CN64" t="e">
        <f>AND(DATA!H512,"AAAAAE07q1s=")</f>
        <v>#VALUE!</v>
      </c>
      <c r="CO64" t="e">
        <f>AND(DATA!I512,"AAAAAE07q1w=")</f>
        <v>#VALUE!</v>
      </c>
      <c r="CP64" t="e">
        <f>AND(DATA!J512,"AAAAAE07q10=")</f>
        <v>#VALUE!</v>
      </c>
      <c r="CQ64" t="e">
        <f>AND(DATA!K512,"AAAAAE07q14=")</f>
        <v>#VALUE!</v>
      </c>
      <c r="CR64" t="b">
        <f>AND(DATA!L512,"AAAAAE07q18=")</f>
        <v>1</v>
      </c>
      <c r="CS64" t="b">
        <f>AND(DATA!M512,"AAAAAE07q2A=")</f>
        <v>1</v>
      </c>
      <c r="CT64" t="b">
        <f>AND(DATA!N512,"AAAAAE07q2E=")</f>
        <v>1</v>
      </c>
      <c r="CU64">
        <f>IF(DATA!513:513,"AAAAAE07q2I=",0)</f>
        <v>0</v>
      </c>
      <c r="CV64" t="e">
        <f>AND(DATA!A513,"AAAAAE07q2M=")</f>
        <v>#VALUE!</v>
      </c>
      <c r="CW64" t="e">
        <f>AND(DATA!B513,"AAAAAE07q2Q=")</f>
        <v>#VALUE!</v>
      </c>
      <c r="CX64" t="e">
        <f>AND(DATA!C513,"AAAAAE07q2U=")</f>
        <v>#VALUE!</v>
      </c>
      <c r="CY64" t="e">
        <f>AND(DATA!D513,"AAAAAE07q2Y=")</f>
        <v>#VALUE!</v>
      </c>
      <c r="CZ64" t="e">
        <f>AND(DATA!E513,"AAAAAE07q2c=")</f>
        <v>#VALUE!</v>
      </c>
      <c r="DA64" t="e">
        <f>AND(DATA!F513,"AAAAAE07q2g=")</f>
        <v>#VALUE!</v>
      </c>
      <c r="DB64" t="e">
        <f>AND(DATA!G513,"AAAAAE07q2k=")</f>
        <v>#VALUE!</v>
      </c>
      <c r="DC64" t="e">
        <f>AND(DATA!H513,"AAAAAE07q2o=")</f>
        <v>#VALUE!</v>
      </c>
      <c r="DD64" t="e">
        <f>AND(DATA!I513,"AAAAAE07q2s=")</f>
        <v>#VALUE!</v>
      </c>
      <c r="DE64" t="e">
        <f>AND(DATA!J513,"AAAAAE07q2w=")</f>
        <v>#VALUE!</v>
      </c>
      <c r="DF64" t="e">
        <f>AND(DATA!K513,"AAAAAE07q20=")</f>
        <v>#VALUE!</v>
      </c>
      <c r="DG64" t="b">
        <f>AND(DATA!L513,"AAAAAE07q24=")</f>
        <v>1</v>
      </c>
      <c r="DH64" t="b">
        <f>AND(DATA!M513,"AAAAAE07q28=")</f>
        <v>1</v>
      </c>
      <c r="DI64" t="b">
        <f>AND(DATA!N513,"AAAAAE07q3A=")</f>
        <v>1</v>
      </c>
      <c r="DJ64">
        <f>IF(DATA!514:514,"AAAAAE07q3E=",0)</f>
        <v>0</v>
      </c>
      <c r="DK64" t="e">
        <f>AND(DATA!A514,"AAAAAE07q3I=")</f>
        <v>#VALUE!</v>
      </c>
      <c r="DL64" t="e">
        <f>AND(DATA!B514,"AAAAAE07q3M=")</f>
        <v>#VALUE!</v>
      </c>
      <c r="DM64" t="e">
        <f>AND(DATA!C514,"AAAAAE07q3Q=")</f>
        <v>#VALUE!</v>
      </c>
      <c r="DN64" t="e">
        <f>AND(DATA!D514,"AAAAAE07q3U=")</f>
        <v>#VALUE!</v>
      </c>
      <c r="DO64" t="e">
        <f>AND(DATA!E514,"AAAAAE07q3Y=")</f>
        <v>#VALUE!</v>
      </c>
      <c r="DP64" t="e">
        <f>AND(DATA!F514,"AAAAAE07q3c=")</f>
        <v>#VALUE!</v>
      </c>
      <c r="DQ64" t="e">
        <f>AND(DATA!G514,"AAAAAE07q3g=")</f>
        <v>#VALUE!</v>
      </c>
      <c r="DR64" t="e">
        <f>AND(DATA!H514,"AAAAAE07q3k=")</f>
        <v>#VALUE!</v>
      </c>
      <c r="DS64" t="e">
        <f>AND(DATA!I514,"AAAAAE07q3o=")</f>
        <v>#VALUE!</v>
      </c>
      <c r="DT64" t="e">
        <f>AND(DATA!J514,"AAAAAE07q3s=")</f>
        <v>#VALUE!</v>
      </c>
      <c r="DU64" t="e">
        <f>AND(DATA!K514,"AAAAAE07q3w=")</f>
        <v>#VALUE!</v>
      </c>
      <c r="DV64" t="b">
        <f>AND(DATA!L514,"AAAAAE07q30=")</f>
        <v>1</v>
      </c>
      <c r="DW64" t="b">
        <f>AND(DATA!M514,"AAAAAE07q34=")</f>
        <v>1</v>
      </c>
      <c r="DX64" t="b">
        <f>AND(DATA!N514,"AAAAAE07q38=")</f>
        <v>1</v>
      </c>
      <c r="DY64">
        <f>IF(DATA!515:515,"AAAAAE07q4A=",0)</f>
        <v>0</v>
      </c>
      <c r="DZ64" t="e">
        <f>AND(DATA!A515,"AAAAAE07q4E=")</f>
        <v>#VALUE!</v>
      </c>
      <c r="EA64" t="e">
        <f>AND(DATA!B515,"AAAAAE07q4I=")</f>
        <v>#VALUE!</v>
      </c>
      <c r="EB64" t="e">
        <f>AND(DATA!C515,"AAAAAE07q4M=")</f>
        <v>#VALUE!</v>
      </c>
      <c r="EC64" t="e">
        <f>AND(DATA!D515,"AAAAAE07q4Q=")</f>
        <v>#VALUE!</v>
      </c>
      <c r="ED64" t="e">
        <f>AND(DATA!E515,"AAAAAE07q4U=")</f>
        <v>#VALUE!</v>
      </c>
      <c r="EE64" t="e">
        <f>AND(DATA!F515,"AAAAAE07q4Y=")</f>
        <v>#VALUE!</v>
      </c>
      <c r="EF64" t="e">
        <f>AND(DATA!G515,"AAAAAE07q4c=")</f>
        <v>#VALUE!</v>
      </c>
      <c r="EG64" t="e">
        <f>AND(DATA!H515,"AAAAAE07q4g=")</f>
        <v>#VALUE!</v>
      </c>
      <c r="EH64" t="e">
        <f>AND(DATA!I515,"AAAAAE07q4k=")</f>
        <v>#VALUE!</v>
      </c>
      <c r="EI64" t="e">
        <f>AND(DATA!J515,"AAAAAE07q4o=")</f>
        <v>#VALUE!</v>
      </c>
      <c r="EJ64" t="e">
        <f>AND(DATA!K515,"AAAAAE07q4s=")</f>
        <v>#VALUE!</v>
      </c>
      <c r="EK64" t="b">
        <f>AND(DATA!L515,"AAAAAE07q4w=")</f>
        <v>1</v>
      </c>
      <c r="EL64" t="b">
        <f>AND(DATA!M515,"AAAAAE07q40=")</f>
        <v>1</v>
      </c>
      <c r="EM64" t="b">
        <f>AND(DATA!N515,"AAAAAE07q44=")</f>
        <v>1</v>
      </c>
      <c r="EN64">
        <f>IF(DATA!516:516,"AAAAAE07q48=",0)</f>
        <v>0</v>
      </c>
      <c r="EO64" t="e">
        <f>AND(DATA!A516,"AAAAAE07q5A=")</f>
        <v>#VALUE!</v>
      </c>
      <c r="EP64" t="e">
        <f>AND(DATA!B516,"AAAAAE07q5E=")</f>
        <v>#VALUE!</v>
      </c>
      <c r="EQ64" t="e">
        <f>AND(DATA!C516,"AAAAAE07q5I=")</f>
        <v>#VALUE!</v>
      </c>
      <c r="ER64" t="e">
        <f>AND(DATA!D516,"AAAAAE07q5M=")</f>
        <v>#VALUE!</v>
      </c>
      <c r="ES64" t="e">
        <f>AND(DATA!E516,"AAAAAE07q5Q=")</f>
        <v>#VALUE!</v>
      </c>
      <c r="ET64" t="e">
        <f>AND(DATA!F516,"AAAAAE07q5U=")</f>
        <v>#VALUE!</v>
      </c>
      <c r="EU64" t="e">
        <f>AND(DATA!G516,"AAAAAE07q5Y=")</f>
        <v>#VALUE!</v>
      </c>
      <c r="EV64" t="e">
        <f>AND(DATA!H516,"AAAAAE07q5c=")</f>
        <v>#VALUE!</v>
      </c>
      <c r="EW64" t="e">
        <f>AND(DATA!I516,"AAAAAE07q5g=")</f>
        <v>#VALUE!</v>
      </c>
      <c r="EX64" t="e">
        <f>AND(DATA!J516,"AAAAAE07q5k=")</f>
        <v>#VALUE!</v>
      </c>
      <c r="EY64" t="e">
        <f>AND(DATA!K516,"AAAAAE07q5o=")</f>
        <v>#VALUE!</v>
      </c>
      <c r="EZ64" t="b">
        <f>AND(DATA!L516,"AAAAAE07q5s=")</f>
        <v>1</v>
      </c>
      <c r="FA64" t="b">
        <f>AND(DATA!M516,"AAAAAE07q5w=")</f>
        <v>1</v>
      </c>
      <c r="FB64" t="b">
        <f>AND(DATA!N516,"AAAAAE07q50=")</f>
        <v>1</v>
      </c>
      <c r="FC64">
        <f>IF(DATA!517:517,"AAAAAE07q54=",0)</f>
        <v>0</v>
      </c>
      <c r="FD64" t="e">
        <f>AND(DATA!A517,"AAAAAE07q58=")</f>
        <v>#VALUE!</v>
      </c>
      <c r="FE64" t="e">
        <f>AND(DATA!B517,"AAAAAE07q6A=")</f>
        <v>#VALUE!</v>
      </c>
      <c r="FF64" t="e">
        <f>AND(DATA!C517,"AAAAAE07q6E=")</f>
        <v>#VALUE!</v>
      </c>
      <c r="FG64" t="e">
        <f>AND(DATA!D517,"AAAAAE07q6I=")</f>
        <v>#VALUE!</v>
      </c>
      <c r="FH64" t="e">
        <f>AND(DATA!E517,"AAAAAE07q6M=")</f>
        <v>#VALUE!</v>
      </c>
      <c r="FI64" t="e">
        <f>AND(DATA!F517,"AAAAAE07q6Q=")</f>
        <v>#VALUE!</v>
      </c>
      <c r="FJ64" t="e">
        <f>AND(DATA!G517,"AAAAAE07q6U=")</f>
        <v>#VALUE!</v>
      </c>
      <c r="FK64" t="e">
        <f>AND(DATA!H517,"AAAAAE07q6Y=")</f>
        <v>#VALUE!</v>
      </c>
      <c r="FL64" t="e">
        <f>AND(DATA!I517,"AAAAAE07q6c=")</f>
        <v>#VALUE!</v>
      </c>
      <c r="FM64" t="e">
        <f>AND(DATA!J517,"AAAAAE07q6g=")</f>
        <v>#VALUE!</v>
      </c>
      <c r="FN64" t="e">
        <f>AND(DATA!K517,"AAAAAE07q6k=")</f>
        <v>#VALUE!</v>
      </c>
      <c r="FO64" t="b">
        <f>AND(DATA!L517,"AAAAAE07q6o=")</f>
        <v>1</v>
      </c>
      <c r="FP64" t="b">
        <f>AND(DATA!M517,"AAAAAE07q6s=")</f>
        <v>1</v>
      </c>
      <c r="FQ64" t="b">
        <f>AND(DATA!N517,"AAAAAE07q6w=")</f>
        <v>1</v>
      </c>
      <c r="FR64">
        <f>IF(DATA!518:518,"AAAAAE07q60=",0)</f>
        <v>0</v>
      </c>
      <c r="FS64" t="e">
        <f>AND(DATA!A518,"AAAAAE07q64=")</f>
        <v>#VALUE!</v>
      </c>
      <c r="FT64" t="e">
        <f>AND(DATA!B518,"AAAAAE07q68=")</f>
        <v>#VALUE!</v>
      </c>
      <c r="FU64" t="e">
        <f>AND(DATA!C518,"AAAAAE07q7A=")</f>
        <v>#VALUE!</v>
      </c>
      <c r="FV64" t="e">
        <f>AND(DATA!D518,"AAAAAE07q7E=")</f>
        <v>#VALUE!</v>
      </c>
      <c r="FW64" t="e">
        <f>AND(DATA!E518,"AAAAAE07q7I=")</f>
        <v>#VALUE!</v>
      </c>
      <c r="FX64" t="e">
        <f>AND(DATA!F518,"AAAAAE07q7M=")</f>
        <v>#VALUE!</v>
      </c>
      <c r="FY64" t="e">
        <f>AND(DATA!G518,"AAAAAE07q7Q=")</f>
        <v>#VALUE!</v>
      </c>
      <c r="FZ64" t="e">
        <f>AND(DATA!H518,"AAAAAE07q7U=")</f>
        <v>#VALUE!</v>
      </c>
      <c r="GA64" t="e">
        <f>AND(DATA!I518,"AAAAAE07q7Y=")</f>
        <v>#VALUE!</v>
      </c>
      <c r="GB64" t="e">
        <f>AND(DATA!J518,"AAAAAE07q7c=")</f>
        <v>#VALUE!</v>
      </c>
      <c r="GC64" t="e">
        <f>AND(DATA!K518,"AAAAAE07q7g=")</f>
        <v>#VALUE!</v>
      </c>
      <c r="GD64" t="b">
        <f>AND(DATA!L518,"AAAAAE07q7k=")</f>
        <v>1</v>
      </c>
      <c r="GE64" t="b">
        <f>AND(DATA!M518,"AAAAAE07q7o=")</f>
        <v>1</v>
      </c>
      <c r="GF64" t="b">
        <f>AND(DATA!N518,"AAAAAE07q7s=")</f>
        <v>1</v>
      </c>
      <c r="GG64">
        <f>IF(DATA!519:519,"AAAAAE07q7w=",0)</f>
        <v>0</v>
      </c>
      <c r="GH64" t="e">
        <f>AND(DATA!A519,"AAAAAE07q70=")</f>
        <v>#VALUE!</v>
      </c>
      <c r="GI64" t="e">
        <f>AND(DATA!B519,"AAAAAE07q74=")</f>
        <v>#VALUE!</v>
      </c>
      <c r="GJ64" t="e">
        <f>AND(DATA!C519,"AAAAAE07q78=")</f>
        <v>#VALUE!</v>
      </c>
      <c r="GK64" t="e">
        <f>AND(DATA!D519,"AAAAAE07q8A=")</f>
        <v>#VALUE!</v>
      </c>
      <c r="GL64" t="e">
        <f>AND(DATA!E519,"AAAAAE07q8E=")</f>
        <v>#VALUE!</v>
      </c>
      <c r="GM64" t="e">
        <f>AND(DATA!F519,"AAAAAE07q8I=")</f>
        <v>#VALUE!</v>
      </c>
      <c r="GN64" t="e">
        <f>AND(DATA!G519,"AAAAAE07q8M=")</f>
        <v>#VALUE!</v>
      </c>
      <c r="GO64" t="e">
        <f>AND(DATA!H519,"AAAAAE07q8Q=")</f>
        <v>#VALUE!</v>
      </c>
      <c r="GP64" t="e">
        <f>AND(DATA!I519,"AAAAAE07q8U=")</f>
        <v>#VALUE!</v>
      </c>
      <c r="GQ64" t="e">
        <f>AND(DATA!J519,"AAAAAE07q8Y=")</f>
        <v>#VALUE!</v>
      </c>
      <c r="GR64" t="e">
        <f>AND(DATA!K519,"AAAAAE07q8c=")</f>
        <v>#VALUE!</v>
      </c>
      <c r="GS64" t="b">
        <f>AND(DATA!L519,"AAAAAE07q8g=")</f>
        <v>1</v>
      </c>
      <c r="GT64" t="b">
        <f>AND(DATA!M519,"AAAAAE07q8k=")</f>
        <v>1</v>
      </c>
      <c r="GU64" t="b">
        <f>AND(DATA!N519,"AAAAAE07q8o=")</f>
        <v>1</v>
      </c>
      <c r="GV64">
        <f>IF(DATA!520:520,"AAAAAE07q8s=",0)</f>
        <v>0</v>
      </c>
      <c r="GW64" t="e">
        <f>AND(DATA!A520,"AAAAAE07q8w=")</f>
        <v>#VALUE!</v>
      </c>
      <c r="GX64" t="e">
        <f>AND(DATA!B520,"AAAAAE07q80=")</f>
        <v>#VALUE!</v>
      </c>
      <c r="GY64" t="e">
        <f>AND(DATA!C520,"AAAAAE07q84=")</f>
        <v>#VALUE!</v>
      </c>
      <c r="GZ64" t="e">
        <f>AND(DATA!D520,"AAAAAE07q88=")</f>
        <v>#VALUE!</v>
      </c>
      <c r="HA64" t="e">
        <f>AND(DATA!E520,"AAAAAE07q9A=")</f>
        <v>#VALUE!</v>
      </c>
      <c r="HB64" t="e">
        <f>AND(DATA!F520,"AAAAAE07q9E=")</f>
        <v>#VALUE!</v>
      </c>
      <c r="HC64" t="e">
        <f>AND(DATA!G520,"AAAAAE07q9I=")</f>
        <v>#VALUE!</v>
      </c>
      <c r="HD64" t="e">
        <f>AND(DATA!H520,"AAAAAE07q9M=")</f>
        <v>#VALUE!</v>
      </c>
      <c r="HE64" t="e">
        <f>AND(DATA!I520,"AAAAAE07q9Q=")</f>
        <v>#VALUE!</v>
      </c>
      <c r="HF64" t="e">
        <f>AND(DATA!J520,"AAAAAE07q9U=")</f>
        <v>#VALUE!</v>
      </c>
      <c r="HG64" t="e">
        <f>AND(DATA!K520,"AAAAAE07q9Y=")</f>
        <v>#VALUE!</v>
      </c>
      <c r="HH64" t="b">
        <f>AND(DATA!L520,"AAAAAE07q9c=")</f>
        <v>1</v>
      </c>
      <c r="HI64" t="b">
        <f>AND(DATA!M520,"AAAAAE07q9g=")</f>
        <v>1</v>
      </c>
      <c r="HJ64" t="b">
        <f>AND(DATA!N520,"AAAAAE07q9k=")</f>
        <v>1</v>
      </c>
      <c r="HK64">
        <f>IF(DATA!521:521,"AAAAAE07q9o=",0)</f>
        <v>0</v>
      </c>
      <c r="HL64" t="e">
        <f>AND(DATA!A521,"AAAAAE07q9s=")</f>
        <v>#VALUE!</v>
      </c>
      <c r="HM64" t="e">
        <f>AND(DATA!B521,"AAAAAE07q9w=")</f>
        <v>#VALUE!</v>
      </c>
      <c r="HN64" t="e">
        <f>AND(DATA!C521,"AAAAAE07q90=")</f>
        <v>#VALUE!</v>
      </c>
      <c r="HO64" t="e">
        <f>AND(DATA!D521,"AAAAAE07q94=")</f>
        <v>#VALUE!</v>
      </c>
      <c r="HP64" t="e">
        <f>AND(DATA!E521,"AAAAAE07q98=")</f>
        <v>#VALUE!</v>
      </c>
      <c r="HQ64" t="e">
        <f>AND(DATA!F521,"AAAAAE07q+A=")</f>
        <v>#VALUE!</v>
      </c>
      <c r="HR64" t="e">
        <f>AND(DATA!G521,"AAAAAE07q+E=")</f>
        <v>#VALUE!</v>
      </c>
      <c r="HS64" t="e">
        <f>AND(DATA!H521,"AAAAAE07q+I=")</f>
        <v>#VALUE!</v>
      </c>
      <c r="HT64" t="e">
        <f>AND(DATA!I521,"AAAAAE07q+M=")</f>
        <v>#VALUE!</v>
      </c>
      <c r="HU64" t="e">
        <f>AND(DATA!J521,"AAAAAE07q+Q=")</f>
        <v>#VALUE!</v>
      </c>
      <c r="HV64" t="e">
        <f>AND(DATA!K521,"AAAAAE07q+U=")</f>
        <v>#VALUE!</v>
      </c>
      <c r="HW64" t="b">
        <f>AND(DATA!L521,"AAAAAE07q+Y=")</f>
        <v>1</v>
      </c>
      <c r="HX64" t="b">
        <f>AND(DATA!M521,"AAAAAE07q+c=")</f>
        <v>1</v>
      </c>
      <c r="HY64" t="b">
        <f>AND(DATA!N521,"AAAAAE07q+g=")</f>
        <v>1</v>
      </c>
      <c r="HZ64">
        <f>IF(DATA!522:522,"AAAAAE07q+k=",0)</f>
        <v>0</v>
      </c>
      <c r="IA64" t="e">
        <f>AND(DATA!A522,"AAAAAE07q+o=")</f>
        <v>#VALUE!</v>
      </c>
      <c r="IB64" t="e">
        <f>AND(DATA!B522,"AAAAAE07q+s=")</f>
        <v>#VALUE!</v>
      </c>
      <c r="IC64" t="e">
        <f>AND(DATA!C522,"AAAAAE07q+w=")</f>
        <v>#VALUE!</v>
      </c>
      <c r="ID64" t="e">
        <f>AND(DATA!D522,"AAAAAE07q+0=")</f>
        <v>#VALUE!</v>
      </c>
      <c r="IE64" t="e">
        <f>AND(DATA!E522,"AAAAAE07q+4=")</f>
        <v>#VALUE!</v>
      </c>
      <c r="IF64" t="e">
        <f>AND(DATA!F522,"AAAAAE07q+8=")</f>
        <v>#VALUE!</v>
      </c>
      <c r="IG64" t="e">
        <f>AND(DATA!G522,"AAAAAE07q/A=")</f>
        <v>#VALUE!</v>
      </c>
      <c r="IH64" t="e">
        <f>AND(DATA!H522,"AAAAAE07q/E=")</f>
        <v>#VALUE!</v>
      </c>
      <c r="II64" t="e">
        <f>AND(DATA!I522,"AAAAAE07q/I=")</f>
        <v>#VALUE!</v>
      </c>
      <c r="IJ64" t="e">
        <f>AND(DATA!J522,"AAAAAE07q/M=")</f>
        <v>#VALUE!</v>
      </c>
      <c r="IK64" t="e">
        <f>AND(DATA!K522,"AAAAAE07q/Q=")</f>
        <v>#VALUE!</v>
      </c>
      <c r="IL64" t="b">
        <f>AND(DATA!L522,"AAAAAE07q/U=")</f>
        <v>1</v>
      </c>
      <c r="IM64" t="b">
        <f>AND(DATA!M522,"AAAAAE07q/Y=")</f>
        <v>1</v>
      </c>
      <c r="IN64" t="b">
        <f>AND(DATA!N522,"AAAAAE07q/c=")</f>
        <v>1</v>
      </c>
      <c r="IO64">
        <f>IF(DATA!523:523,"AAAAAE07q/g=",0)</f>
        <v>0</v>
      </c>
      <c r="IP64" t="e">
        <f>AND(DATA!A523,"AAAAAE07q/k=")</f>
        <v>#VALUE!</v>
      </c>
      <c r="IQ64" t="e">
        <f>AND(DATA!B523,"AAAAAE07q/o=")</f>
        <v>#VALUE!</v>
      </c>
      <c r="IR64" t="e">
        <f>AND(DATA!C523,"AAAAAE07q/s=")</f>
        <v>#VALUE!</v>
      </c>
      <c r="IS64" t="e">
        <f>AND(DATA!D523,"AAAAAE07q/w=")</f>
        <v>#VALUE!</v>
      </c>
      <c r="IT64" t="e">
        <f>AND(DATA!E523,"AAAAAE07q/0=")</f>
        <v>#VALUE!</v>
      </c>
      <c r="IU64" t="e">
        <f>AND(DATA!F523,"AAAAAE07q/4=")</f>
        <v>#VALUE!</v>
      </c>
      <c r="IV64" t="e">
        <f>AND(DATA!G523,"AAAAAE07q/8=")</f>
        <v>#VALUE!</v>
      </c>
    </row>
    <row r="65" spans="1:256">
      <c r="A65" t="e">
        <f>AND(DATA!H523,"AAAAACxf2wA=")</f>
        <v>#VALUE!</v>
      </c>
      <c r="B65" t="e">
        <f>AND(DATA!I523,"AAAAACxf2wE=")</f>
        <v>#VALUE!</v>
      </c>
      <c r="C65" t="e">
        <f>AND(DATA!J523,"AAAAACxf2wI=")</f>
        <v>#VALUE!</v>
      </c>
      <c r="D65" t="e">
        <f>AND(DATA!K523,"AAAAACxf2wM=")</f>
        <v>#VALUE!</v>
      </c>
      <c r="E65" t="b">
        <f>AND(DATA!L523,"AAAAACxf2wQ=")</f>
        <v>1</v>
      </c>
      <c r="F65" t="b">
        <f>AND(DATA!M523,"AAAAACxf2wU=")</f>
        <v>1</v>
      </c>
      <c r="G65" t="b">
        <f>AND(DATA!N523,"AAAAACxf2wY=")</f>
        <v>1</v>
      </c>
      <c r="H65">
        <f>IF(DATA!524:524,"AAAAACxf2wc=",0)</f>
        <v>0</v>
      </c>
      <c r="I65" t="e">
        <f>AND(DATA!A524,"AAAAACxf2wg=")</f>
        <v>#VALUE!</v>
      </c>
      <c r="J65" t="e">
        <f>AND(DATA!B524,"AAAAACxf2wk=")</f>
        <v>#VALUE!</v>
      </c>
      <c r="K65" t="e">
        <f>AND(DATA!C524,"AAAAACxf2wo=")</f>
        <v>#VALUE!</v>
      </c>
      <c r="L65" t="e">
        <f>AND(DATA!D524,"AAAAACxf2ws=")</f>
        <v>#VALUE!</v>
      </c>
      <c r="M65" t="e">
        <f>AND(DATA!E524,"AAAAACxf2ww=")</f>
        <v>#VALUE!</v>
      </c>
      <c r="N65" t="e">
        <f>AND(DATA!F524,"AAAAACxf2w0=")</f>
        <v>#VALUE!</v>
      </c>
      <c r="O65" t="e">
        <f>AND(DATA!G524,"AAAAACxf2w4=")</f>
        <v>#VALUE!</v>
      </c>
      <c r="P65" t="e">
        <f>AND(DATA!H524,"AAAAACxf2w8=")</f>
        <v>#VALUE!</v>
      </c>
      <c r="Q65" t="e">
        <f>AND(DATA!I524,"AAAAACxf2xA=")</f>
        <v>#VALUE!</v>
      </c>
      <c r="R65" t="e">
        <f>AND(DATA!J524,"AAAAACxf2xE=")</f>
        <v>#VALUE!</v>
      </c>
      <c r="S65" t="e">
        <f>AND(DATA!K524,"AAAAACxf2xI=")</f>
        <v>#VALUE!</v>
      </c>
      <c r="T65" t="b">
        <f>AND(DATA!L524,"AAAAACxf2xM=")</f>
        <v>1</v>
      </c>
      <c r="U65" t="b">
        <f>AND(DATA!M524,"AAAAACxf2xQ=")</f>
        <v>1</v>
      </c>
      <c r="V65" t="b">
        <f>AND(DATA!N524,"AAAAACxf2xU=")</f>
        <v>1</v>
      </c>
      <c r="W65">
        <f>IF(DATA!525:525,"AAAAACxf2xY=",0)</f>
        <v>0</v>
      </c>
      <c r="X65" t="e">
        <f>AND(DATA!A525,"AAAAACxf2xc=")</f>
        <v>#VALUE!</v>
      </c>
      <c r="Y65" t="e">
        <f>AND(DATA!B525,"AAAAACxf2xg=")</f>
        <v>#VALUE!</v>
      </c>
      <c r="Z65" t="e">
        <f>AND(DATA!C525,"AAAAACxf2xk=")</f>
        <v>#VALUE!</v>
      </c>
      <c r="AA65" t="e">
        <f>AND(DATA!D525,"AAAAACxf2xo=")</f>
        <v>#VALUE!</v>
      </c>
      <c r="AB65" t="e">
        <f>AND(DATA!E525,"AAAAACxf2xs=")</f>
        <v>#VALUE!</v>
      </c>
      <c r="AC65" t="e">
        <f>AND(DATA!F525,"AAAAACxf2xw=")</f>
        <v>#VALUE!</v>
      </c>
      <c r="AD65" t="e">
        <f>AND(DATA!G525,"AAAAACxf2x0=")</f>
        <v>#VALUE!</v>
      </c>
      <c r="AE65" t="e">
        <f>AND(DATA!H525,"AAAAACxf2x4=")</f>
        <v>#VALUE!</v>
      </c>
      <c r="AF65" t="e">
        <f>AND(DATA!I525,"AAAAACxf2x8=")</f>
        <v>#VALUE!</v>
      </c>
      <c r="AG65" t="e">
        <f>AND(DATA!J525,"AAAAACxf2yA=")</f>
        <v>#VALUE!</v>
      </c>
      <c r="AH65" t="e">
        <f>AND(DATA!K525,"AAAAACxf2yE=")</f>
        <v>#VALUE!</v>
      </c>
      <c r="AI65" t="b">
        <f>AND(DATA!L525,"AAAAACxf2yI=")</f>
        <v>1</v>
      </c>
      <c r="AJ65" t="b">
        <f>AND(DATA!M525,"AAAAACxf2yM=")</f>
        <v>1</v>
      </c>
      <c r="AK65" t="b">
        <f>AND(DATA!N525,"AAAAACxf2yQ=")</f>
        <v>1</v>
      </c>
      <c r="AL65">
        <f>IF(DATA!526:526,"AAAAACxf2yU=",0)</f>
        <v>0</v>
      </c>
      <c r="AM65" t="e">
        <f>AND(DATA!A526,"AAAAACxf2yY=")</f>
        <v>#VALUE!</v>
      </c>
      <c r="AN65" t="e">
        <f>AND(DATA!B526,"AAAAACxf2yc=")</f>
        <v>#VALUE!</v>
      </c>
      <c r="AO65" t="e">
        <f>AND(DATA!C526,"AAAAACxf2yg=")</f>
        <v>#VALUE!</v>
      </c>
      <c r="AP65" t="e">
        <f>AND(DATA!D526,"AAAAACxf2yk=")</f>
        <v>#VALUE!</v>
      </c>
      <c r="AQ65" t="e">
        <f>AND(DATA!E526,"AAAAACxf2yo=")</f>
        <v>#VALUE!</v>
      </c>
      <c r="AR65" t="e">
        <f>AND(DATA!F526,"AAAAACxf2ys=")</f>
        <v>#VALUE!</v>
      </c>
      <c r="AS65" t="e">
        <f>AND(DATA!G526,"AAAAACxf2yw=")</f>
        <v>#VALUE!</v>
      </c>
      <c r="AT65" t="e">
        <f>AND(DATA!H526,"AAAAACxf2y0=")</f>
        <v>#VALUE!</v>
      </c>
      <c r="AU65" t="e">
        <f>AND(DATA!I526,"AAAAACxf2y4=")</f>
        <v>#VALUE!</v>
      </c>
      <c r="AV65" t="e">
        <f>AND(DATA!J526,"AAAAACxf2y8=")</f>
        <v>#VALUE!</v>
      </c>
      <c r="AW65" t="e">
        <f>AND(DATA!K526,"AAAAACxf2zA=")</f>
        <v>#VALUE!</v>
      </c>
      <c r="AX65" t="b">
        <f>AND(DATA!L526,"AAAAACxf2zE=")</f>
        <v>1</v>
      </c>
      <c r="AY65" t="b">
        <f>AND(DATA!M526,"AAAAACxf2zI=")</f>
        <v>1</v>
      </c>
      <c r="AZ65" t="b">
        <f>AND(DATA!N526,"AAAAACxf2zM=")</f>
        <v>1</v>
      </c>
      <c r="BA65">
        <f>IF(DATA!527:527,"AAAAACxf2zQ=",0)</f>
        <v>0</v>
      </c>
      <c r="BB65" t="e">
        <f>AND(DATA!A527,"AAAAACxf2zU=")</f>
        <v>#VALUE!</v>
      </c>
      <c r="BC65" t="e">
        <f>AND(DATA!B527,"AAAAACxf2zY=")</f>
        <v>#VALUE!</v>
      </c>
      <c r="BD65" t="e">
        <f>AND(DATA!C527,"AAAAACxf2zc=")</f>
        <v>#VALUE!</v>
      </c>
      <c r="BE65" t="e">
        <f>AND(DATA!D527,"AAAAACxf2zg=")</f>
        <v>#VALUE!</v>
      </c>
      <c r="BF65" t="e">
        <f>AND(DATA!E527,"AAAAACxf2zk=")</f>
        <v>#VALUE!</v>
      </c>
      <c r="BG65" t="e">
        <f>AND(DATA!F527,"AAAAACxf2zo=")</f>
        <v>#VALUE!</v>
      </c>
      <c r="BH65" t="e">
        <f>AND(DATA!G527,"AAAAACxf2zs=")</f>
        <v>#VALUE!</v>
      </c>
      <c r="BI65" t="e">
        <f>AND(DATA!H527,"AAAAACxf2zw=")</f>
        <v>#VALUE!</v>
      </c>
      <c r="BJ65" t="e">
        <f>AND(DATA!I527,"AAAAACxf2z0=")</f>
        <v>#VALUE!</v>
      </c>
      <c r="BK65" t="e">
        <f>AND(DATA!J527,"AAAAACxf2z4=")</f>
        <v>#VALUE!</v>
      </c>
      <c r="BL65" t="e">
        <f>AND(DATA!K527,"AAAAACxf2z8=")</f>
        <v>#VALUE!</v>
      </c>
      <c r="BM65" t="b">
        <f>AND(DATA!L527,"AAAAACxf20A=")</f>
        <v>1</v>
      </c>
      <c r="BN65" t="b">
        <f>AND(DATA!M527,"AAAAACxf20E=")</f>
        <v>1</v>
      </c>
      <c r="BO65" t="b">
        <f>AND(DATA!N527,"AAAAACxf20I=")</f>
        <v>1</v>
      </c>
      <c r="BP65">
        <f>IF(DATA!528:528,"AAAAACxf20M=",0)</f>
        <v>0</v>
      </c>
      <c r="BQ65" t="e">
        <f>AND(DATA!A528,"AAAAACxf20Q=")</f>
        <v>#VALUE!</v>
      </c>
      <c r="BR65" t="e">
        <f>AND(DATA!B528,"AAAAACxf20U=")</f>
        <v>#VALUE!</v>
      </c>
      <c r="BS65" t="e">
        <f>AND(DATA!C528,"AAAAACxf20Y=")</f>
        <v>#VALUE!</v>
      </c>
      <c r="BT65" t="e">
        <f>AND(DATA!D528,"AAAAACxf20c=")</f>
        <v>#VALUE!</v>
      </c>
      <c r="BU65" t="e">
        <f>AND(DATA!E528,"AAAAACxf20g=")</f>
        <v>#VALUE!</v>
      </c>
      <c r="BV65" t="e">
        <f>AND(DATA!F528,"AAAAACxf20k=")</f>
        <v>#VALUE!</v>
      </c>
      <c r="BW65" t="e">
        <f>AND(DATA!G528,"AAAAACxf20o=")</f>
        <v>#VALUE!</v>
      </c>
      <c r="BX65" t="e">
        <f>AND(DATA!H528,"AAAAACxf20s=")</f>
        <v>#VALUE!</v>
      </c>
      <c r="BY65" t="e">
        <f>AND(DATA!I528,"AAAAACxf20w=")</f>
        <v>#VALUE!</v>
      </c>
      <c r="BZ65" t="e">
        <f>AND(DATA!J528,"AAAAACxf200=")</f>
        <v>#VALUE!</v>
      </c>
      <c r="CA65" t="e">
        <f>AND(DATA!K528,"AAAAACxf204=")</f>
        <v>#VALUE!</v>
      </c>
      <c r="CB65" t="b">
        <f>AND(DATA!L528,"AAAAACxf208=")</f>
        <v>1</v>
      </c>
      <c r="CC65" t="b">
        <f>AND(DATA!M528,"AAAAACxf21A=")</f>
        <v>1</v>
      </c>
      <c r="CD65" t="b">
        <f>AND(DATA!N528,"AAAAACxf21E=")</f>
        <v>1</v>
      </c>
      <c r="CE65">
        <f>IF(DATA!529:529,"AAAAACxf21I=",0)</f>
        <v>0</v>
      </c>
      <c r="CF65" t="e">
        <f>AND(DATA!A529,"AAAAACxf21M=")</f>
        <v>#VALUE!</v>
      </c>
      <c r="CG65" t="e">
        <f>AND(DATA!B529,"AAAAACxf21Q=")</f>
        <v>#VALUE!</v>
      </c>
      <c r="CH65" t="e">
        <f>AND(DATA!C529,"AAAAACxf21U=")</f>
        <v>#VALUE!</v>
      </c>
      <c r="CI65" t="e">
        <f>AND(DATA!D529,"AAAAACxf21Y=")</f>
        <v>#VALUE!</v>
      </c>
      <c r="CJ65" t="e">
        <f>AND(DATA!E529,"AAAAACxf21c=")</f>
        <v>#VALUE!</v>
      </c>
      <c r="CK65" t="e">
        <f>AND(DATA!F529,"AAAAACxf21g=")</f>
        <v>#VALUE!</v>
      </c>
      <c r="CL65" t="e">
        <f>AND(DATA!G529,"AAAAACxf21k=")</f>
        <v>#VALUE!</v>
      </c>
      <c r="CM65" t="e">
        <f>AND(DATA!H529,"AAAAACxf21o=")</f>
        <v>#VALUE!</v>
      </c>
      <c r="CN65" t="e">
        <f>AND(DATA!I529,"AAAAACxf21s=")</f>
        <v>#VALUE!</v>
      </c>
      <c r="CO65" t="e">
        <f>AND(DATA!J529,"AAAAACxf21w=")</f>
        <v>#VALUE!</v>
      </c>
      <c r="CP65" t="e">
        <f>AND(DATA!K529,"AAAAACxf210=")</f>
        <v>#VALUE!</v>
      </c>
      <c r="CQ65" t="b">
        <f>AND(DATA!L529,"AAAAACxf214=")</f>
        <v>1</v>
      </c>
      <c r="CR65" t="b">
        <f>AND(DATA!M529,"AAAAACxf218=")</f>
        <v>1</v>
      </c>
      <c r="CS65" t="b">
        <f>AND(DATA!N529,"AAAAACxf22A=")</f>
        <v>1</v>
      </c>
      <c r="CT65">
        <f>IF(DATA!530:530,"AAAAACxf22E=",0)</f>
        <v>0</v>
      </c>
      <c r="CU65" t="e">
        <f>AND(DATA!A530,"AAAAACxf22I=")</f>
        <v>#VALUE!</v>
      </c>
      <c r="CV65" t="e">
        <f>AND(DATA!B530,"AAAAACxf22M=")</f>
        <v>#VALUE!</v>
      </c>
      <c r="CW65" t="e">
        <f>AND(DATA!C530,"AAAAACxf22Q=")</f>
        <v>#VALUE!</v>
      </c>
      <c r="CX65" t="e">
        <f>AND(DATA!D530,"AAAAACxf22U=")</f>
        <v>#VALUE!</v>
      </c>
      <c r="CY65" t="e">
        <f>AND(DATA!E530,"AAAAACxf22Y=")</f>
        <v>#VALUE!</v>
      </c>
      <c r="CZ65" t="e">
        <f>AND(DATA!F530,"AAAAACxf22c=")</f>
        <v>#VALUE!</v>
      </c>
      <c r="DA65" t="e">
        <f>AND(DATA!G530,"AAAAACxf22g=")</f>
        <v>#VALUE!</v>
      </c>
      <c r="DB65" t="e">
        <f>AND(DATA!H530,"AAAAACxf22k=")</f>
        <v>#VALUE!</v>
      </c>
      <c r="DC65" t="e">
        <f>AND(DATA!I530,"AAAAACxf22o=")</f>
        <v>#VALUE!</v>
      </c>
      <c r="DD65" t="e">
        <f>AND(DATA!J530,"AAAAACxf22s=")</f>
        <v>#VALUE!</v>
      </c>
      <c r="DE65" t="e">
        <f>AND(DATA!K530,"AAAAACxf22w=")</f>
        <v>#VALUE!</v>
      </c>
      <c r="DF65" t="b">
        <f>AND(DATA!L530,"AAAAACxf220=")</f>
        <v>1</v>
      </c>
      <c r="DG65" t="b">
        <f>AND(DATA!M530,"AAAAACxf224=")</f>
        <v>1</v>
      </c>
      <c r="DH65" t="b">
        <f>AND(DATA!N530,"AAAAACxf228=")</f>
        <v>1</v>
      </c>
      <c r="DI65">
        <f>IF(DATA!531:531,"AAAAACxf23A=",0)</f>
        <v>0</v>
      </c>
      <c r="DJ65" t="e">
        <f>AND(DATA!A531,"AAAAACxf23E=")</f>
        <v>#VALUE!</v>
      </c>
      <c r="DK65" t="e">
        <f>AND(DATA!B531,"AAAAACxf23I=")</f>
        <v>#VALUE!</v>
      </c>
      <c r="DL65" t="e">
        <f>AND(DATA!C531,"AAAAACxf23M=")</f>
        <v>#VALUE!</v>
      </c>
      <c r="DM65" t="e">
        <f>AND(DATA!D531,"AAAAACxf23Q=")</f>
        <v>#VALUE!</v>
      </c>
      <c r="DN65" t="e">
        <f>AND(DATA!E531,"AAAAACxf23U=")</f>
        <v>#VALUE!</v>
      </c>
      <c r="DO65" t="e">
        <f>AND(DATA!F531,"AAAAACxf23Y=")</f>
        <v>#VALUE!</v>
      </c>
      <c r="DP65" t="e">
        <f>AND(DATA!G531,"AAAAACxf23c=")</f>
        <v>#VALUE!</v>
      </c>
      <c r="DQ65" t="e">
        <f>AND(DATA!H531,"AAAAACxf23g=")</f>
        <v>#VALUE!</v>
      </c>
      <c r="DR65" t="e">
        <f>AND(DATA!I531,"AAAAACxf23k=")</f>
        <v>#VALUE!</v>
      </c>
      <c r="DS65" t="e">
        <f>AND(DATA!J531,"AAAAACxf23o=")</f>
        <v>#VALUE!</v>
      </c>
      <c r="DT65" t="e">
        <f>AND(DATA!K531,"AAAAACxf23s=")</f>
        <v>#VALUE!</v>
      </c>
      <c r="DU65" t="b">
        <f>AND(DATA!L531,"AAAAACxf23w=")</f>
        <v>1</v>
      </c>
      <c r="DV65" t="b">
        <f>AND(DATA!M531,"AAAAACxf230=")</f>
        <v>1</v>
      </c>
      <c r="DW65" t="b">
        <f>AND(DATA!N531,"AAAAACxf234=")</f>
        <v>1</v>
      </c>
      <c r="DX65">
        <f>IF(DATA!532:532,"AAAAACxf238=",0)</f>
        <v>0</v>
      </c>
      <c r="DY65" t="e">
        <f>AND(DATA!A532,"AAAAACxf24A=")</f>
        <v>#VALUE!</v>
      </c>
      <c r="DZ65" t="e">
        <f>AND(DATA!B532,"AAAAACxf24E=")</f>
        <v>#VALUE!</v>
      </c>
      <c r="EA65" t="e">
        <f>AND(DATA!C532,"AAAAACxf24I=")</f>
        <v>#VALUE!</v>
      </c>
      <c r="EB65" t="e">
        <f>AND(DATA!D532,"AAAAACxf24M=")</f>
        <v>#VALUE!</v>
      </c>
      <c r="EC65" t="e">
        <f>AND(DATA!E532,"AAAAACxf24Q=")</f>
        <v>#VALUE!</v>
      </c>
      <c r="ED65" t="e">
        <f>AND(DATA!F532,"AAAAACxf24U=")</f>
        <v>#VALUE!</v>
      </c>
      <c r="EE65" t="e">
        <f>AND(DATA!G532,"AAAAACxf24Y=")</f>
        <v>#VALUE!</v>
      </c>
      <c r="EF65" t="e">
        <f>AND(DATA!H532,"AAAAACxf24c=")</f>
        <v>#VALUE!</v>
      </c>
      <c r="EG65" t="e">
        <f>AND(DATA!I532,"AAAAACxf24g=")</f>
        <v>#VALUE!</v>
      </c>
      <c r="EH65" t="e">
        <f>AND(DATA!J532,"AAAAACxf24k=")</f>
        <v>#VALUE!</v>
      </c>
      <c r="EI65" t="e">
        <f>AND(DATA!K532,"AAAAACxf24o=")</f>
        <v>#VALUE!</v>
      </c>
      <c r="EJ65" t="b">
        <f>AND(DATA!L532,"AAAAACxf24s=")</f>
        <v>1</v>
      </c>
      <c r="EK65" t="b">
        <f>AND(DATA!M532,"AAAAACxf24w=")</f>
        <v>1</v>
      </c>
      <c r="EL65" t="b">
        <f>AND(DATA!N532,"AAAAACxf240=")</f>
        <v>1</v>
      </c>
      <c r="EM65">
        <f>IF(DATA!533:533,"AAAAACxf244=",0)</f>
        <v>0</v>
      </c>
      <c r="EN65" t="e">
        <f>AND(DATA!A533,"AAAAACxf248=")</f>
        <v>#VALUE!</v>
      </c>
      <c r="EO65" t="e">
        <f>AND(DATA!B533,"AAAAACxf25A=")</f>
        <v>#VALUE!</v>
      </c>
      <c r="EP65" t="e">
        <f>AND(DATA!C533,"AAAAACxf25E=")</f>
        <v>#VALUE!</v>
      </c>
      <c r="EQ65" t="e">
        <f>AND(DATA!D533,"AAAAACxf25I=")</f>
        <v>#VALUE!</v>
      </c>
      <c r="ER65" t="e">
        <f>AND(DATA!E533,"AAAAACxf25M=")</f>
        <v>#VALUE!</v>
      </c>
      <c r="ES65" t="e">
        <f>AND(DATA!F533,"AAAAACxf25Q=")</f>
        <v>#VALUE!</v>
      </c>
      <c r="ET65" t="e">
        <f>AND(DATA!G533,"AAAAACxf25U=")</f>
        <v>#VALUE!</v>
      </c>
      <c r="EU65" t="e">
        <f>AND(DATA!H533,"AAAAACxf25Y=")</f>
        <v>#VALUE!</v>
      </c>
      <c r="EV65" t="e">
        <f>AND(DATA!I533,"AAAAACxf25c=")</f>
        <v>#VALUE!</v>
      </c>
      <c r="EW65" t="e">
        <f>AND(DATA!J533,"AAAAACxf25g=")</f>
        <v>#VALUE!</v>
      </c>
      <c r="EX65" t="e">
        <f>AND(DATA!K533,"AAAAACxf25k=")</f>
        <v>#VALUE!</v>
      </c>
      <c r="EY65" t="b">
        <f>AND(DATA!L533,"AAAAACxf25o=")</f>
        <v>1</v>
      </c>
      <c r="EZ65" t="b">
        <f>AND(DATA!M533,"AAAAACxf25s=")</f>
        <v>1</v>
      </c>
      <c r="FA65" t="b">
        <f>AND(DATA!N533,"AAAAACxf25w=")</f>
        <v>1</v>
      </c>
      <c r="FB65">
        <f>IF(DATA!534:534,"AAAAACxf250=",0)</f>
        <v>0</v>
      </c>
      <c r="FC65" t="e">
        <f>AND(DATA!A534,"AAAAACxf254=")</f>
        <v>#VALUE!</v>
      </c>
      <c r="FD65" t="e">
        <f>AND(DATA!B534,"AAAAACxf258=")</f>
        <v>#VALUE!</v>
      </c>
      <c r="FE65" t="e">
        <f>AND(DATA!C534,"AAAAACxf26A=")</f>
        <v>#VALUE!</v>
      </c>
      <c r="FF65" t="e">
        <f>AND(DATA!D534,"AAAAACxf26E=")</f>
        <v>#VALUE!</v>
      </c>
      <c r="FG65" t="e">
        <f>AND(DATA!E534,"AAAAACxf26I=")</f>
        <v>#VALUE!</v>
      </c>
      <c r="FH65" t="e">
        <f>AND(DATA!F534,"AAAAACxf26M=")</f>
        <v>#VALUE!</v>
      </c>
      <c r="FI65" t="e">
        <f>AND(DATA!G534,"AAAAACxf26Q=")</f>
        <v>#VALUE!</v>
      </c>
      <c r="FJ65" t="e">
        <f>AND(DATA!H534,"AAAAACxf26U=")</f>
        <v>#VALUE!</v>
      </c>
      <c r="FK65" t="e">
        <f>AND(DATA!I534,"AAAAACxf26Y=")</f>
        <v>#VALUE!</v>
      </c>
      <c r="FL65" t="e">
        <f>AND(DATA!J534,"AAAAACxf26c=")</f>
        <v>#VALUE!</v>
      </c>
      <c r="FM65" t="e">
        <f>AND(DATA!K534,"AAAAACxf26g=")</f>
        <v>#VALUE!</v>
      </c>
      <c r="FN65" t="b">
        <f>AND(DATA!L534,"AAAAACxf26k=")</f>
        <v>1</v>
      </c>
      <c r="FO65" t="b">
        <f>AND(DATA!M534,"AAAAACxf26o=")</f>
        <v>1</v>
      </c>
      <c r="FP65" t="b">
        <f>AND(DATA!N534,"AAAAACxf26s=")</f>
        <v>1</v>
      </c>
      <c r="FQ65">
        <f>IF(DATA!535:535,"AAAAACxf26w=",0)</f>
        <v>0</v>
      </c>
      <c r="FR65" t="e">
        <f>AND(DATA!A535,"AAAAACxf260=")</f>
        <v>#VALUE!</v>
      </c>
      <c r="FS65" t="e">
        <f>AND(DATA!B535,"AAAAACxf264=")</f>
        <v>#VALUE!</v>
      </c>
      <c r="FT65" t="e">
        <f>AND(DATA!C535,"AAAAACxf268=")</f>
        <v>#VALUE!</v>
      </c>
      <c r="FU65" t="e">
        <f>AND(DATA!D535,"AAAAACxf27A=")</f>
        <v>#VALUE!</v>
      </c>
      <c r="FV65" t="e">
        <f>AND(DATA!E535,"AAAAACxf27E=")</f>
        <v>#VALUE!</v>
      </c>
      <c r="FW65" t="e">
        <f>AND(DATA!F535,"AAAAACxf27I=")</f>
        <v>#VALUE!</v>
      </c>
      <c r="FX65" t="e">
        <f>AND(DATA!G535,"AAAAACxf27M=")</f>
        <v>#VALUE!</v>
      </c>
      <c r="FY65" t="e">
        <f>AND(DATA!H535,"AAAAACxf27Q=")</f>
        <v>#VALUE!</v>
      </c>
      <c r="FZ65" t="e">
        <f>AND(DATA!I535,"AAAAACxf27U=")</f>
        <v>#VALUE!</v>
      </c>
      <c r="GA65" t="e">
        <f>AND(DATA!J535,"AAAAACxf27Y=")</f>
        <v>#VALUE!</v>
      </c>
      <c r="GB65" t="e">
        <f>AND(DATA!K535,"AAAAACxf27c=")</f>
        <v>#VALUE!</v>
      </c>
      <c r="GC65" t="b">
        <f>AND(DATA!L535,"AAAAACxf27g=")</f>
        <v>1</v>
      </c>
      <c r="GD65" t="b">
        <f>AND(DATA!M535,"AAAAACxf27k=")</f>
        <v>1</v>
      </c>
      <c r="GE65" t="b">
        <f>AND(DATA!N535,"AAAAACxf27o=")</f>
        <v>1</v>
      </c>
      <c r="GF65">
        <f>IF(DATA!536:536,"AAAAACxf27s=",0)</f>
        <v>0</v>
      </c>
      <c r="GG65" t="e">
        <f>AND(DATA!A536,"AAAAACxf27w=")</f>
        <v>#VALUE!</v>
      </c>
      <c r="GH65" t="e">
        <f>AND(DATA!B536,"AAAAACxf270=")</f>
        <v>#VALUE!</v>
      </c>
      <c r="GI65" t="e">
        <f>AND(DATA!C536,"AAAAACxf274=")</f>
        <v>#VALUE!</v>
      </c>
      <c r="GJ65" t="e">
        <f>AND(DATA!D536,"AAAAACxf278=")</f>
        <v>#VALUE!</v>
      </c>
      <c r="GK65" t="e">
        <f>AND(DATA!E536,"AAAAACxf28A=")</f>
        <v>#VALUE!</v>
      </c>
      <c r="GL65" t="e">
        <f>AND(DATA!F536,"AAAAACxf28E=")</f>
        <v>#VALUE!</v>
      </c>
      <c r="GM65" t="e">
        <f>AND(DATA!G536,"AAAAACxf28I=")</f>
        <v>#VALUE!</v>
      </c>
      <c r="GN65" t="e">
        <f>AND(DATA!H536,"AAAAACxf28M=")</f>
        <v>#VALUE!</v>
      </c>
      <c r="GO65" t="e">
        <f>AND(DATA!I536,"AAAAACxf28Q=")</f>
        <v>#VALUE!</v>
      </c>
      <c r="GP65" t="e">
        <f>AND(DATA!J536,"AAAAACxf28U=")</f>
        <v>#VALUE!</v>
      </c>
      <c r="GQ65" t="e">
        <f>AND(DATA!K536,"AAAAACxf28Y=")</f>
        <v>#VALUE!</v>
      </c>
      <c r="GR65" t="b">
        <f>AND(DATA!L536,"AAAAACxf28c=")</f>
        <v>1</v>
      </c>
      <c r="GS65" t="b">
        <f>AND(DATA!M536,"AAAAACxf28g=")</f>
        <v>1</v>
      </c>
      <c r="GT65" t="b">
        <f>AND(DATA!N536,"AAAAACxf28k=")</f>
        <v>1</v>
      </c>
      <c r="GU65">
        <f>IF(DATA!537:537,"AAAAACxf28o=",0)</f>
        <v>0</v>
      </c>
      <c r="GV65" t="e">
        <f>AND(DATA!A537,"AAAAACxf28s=")</f>
        <v>#VALUE!</v>
      </c>
      <c r="GW65" t="e">
        <f>AND(DATA!B537,"AAAAACxf28w=")</f>
        <v>#VALUE!</v>
      </c>
      <c r="GX65" t="e">
        <f>AND(DATA!C537,"AAAAACxf280=")</f>
        <v>#VALUE!</v>
      </c>
      <c r="GY65" t="e">
        <f>AND(DATA!D537,"AAAAACxf284=")</f>
        <v>#VALUE!</v>
      </c>
      <c r="GZ65" t="e">
        <f>AND(DATA!E537,"AAAAACxf288=")</f>
        <v>#VALUE!</v>
      </c>
      <c r="HA65" t="e">
        <f>AND(DATA!F537,"AAAAACxf29A=")</f>
        <v>#VALUE!</v>
      </c>
      <c r="HB65" t="e">
        <f>AND(DATA!G537,"AAAAACxf29E=")</f>
        <v>#VALUE!</v>
      </c>
      <c r="HC65" t="e">
        <f>AND(DATA!H537,"AAAAACxf29I=")</f>
        <v>#VALUE!</v>
      </c>
      <c r="HD65" t="e">
        <f>AND(DATA!I537,"AAAAACxf29M=")</f>
        <v>#VALUE!</v>
      </c>
      <c r="HE65" t="e">
        <f>AND(DATA!J537,"AAAAACxf29Q=")</f>
        <v>#VALUE!</v>
      </c>
      <c r="HF65" t="e">
        <f>AND(DATA!K537,"AAAAACxf29U=")</f>
        <v>#VALUE!</v>
      </c>
      <c r="HG65" t="b">
        <f>AND(DATA!L537,"AAAAACxf29Y=")</f>
        <v>1</v>
      </c>
      <c r="HH65" t="b">
        <f>AND(DATA!M537,"AAAAACxf29c=")</f>
        <v>1</v>
      </c>
      <c r="HI65" t="b">
        <f>AND(DATA!N537,"AAAAACxf29g=")</f>
        <v>1</v>
      </c>
      <c r="HJ65">
        <f>IF(DATA!538:538,"AAAAACxf29k=",0)</f>
        <v>0</v>
      </c>
      <c r="HK65" t="e">
        <f>AND(DATA!A538,"AAAAACxf29o=")</f>
        <v>#VALUE!</v>
      </c>
      <c r="HL65" t="e">
        <f>AND(DATA!B538,"AAAAACxf29s=")</f>
        <v>#VALUE!</v>
      </c>
      <c r="HM65" t="e">
        <f>AND(DATA!C538,"AAAAACxf29w=")</f>
        <v>#VALUE!</v>
      </c>
      <c r="HN65" t="e">
        <f>AND(DATA!D538,"AAAAACxf290=")</f>
        <v>#VALUE!</v>
      </c>
      <c r="HO65" t="e">
        <f>AND(DATA!E538,"AAAAACxf294=")</f>
        <v>#VALUE!</v>
      </c>
      <c r="HP65" t="e">
        <f>AND(DATA!F538,"AAAAACxf298=")</f>
        <v>#VALUE!</v>
      </c>
      <c r="HQ65" t="e">
        <f>AND(DATA!G538,"AAAAACxf2+A=")</f>
        <v>#VALUE!</v>
      </c>
      <c r="HR65" t="e">
        <f>AND(DATA!H538,"AAAAACxf2+E=")</f>
        <v>#VALUE!</v>
      </c>
      <c r="HS65" t="e">
        <f>AND(DATA!I538,"AAAAACxf2+I=")</f>
        <v>#VALUE!</v>
      </c>
      <c r="HT65" t="e">
        <f>AND(DATA!J538,"AAAAACxf2+M=")</f>
        <v>#VALUE!</v>
      </c>
      <c r="HU65" t="e">
        <f>AND(DATA!K538,"AAAAACxf2+Q=")</f>
        <v>#VALUE!</v>
      </c>
      <c r="HV65" t="b">
        <f>AND(DATA!L538,"AAAAACxf2+U=")</f>
        <v>1</v>
      </c>
      <c r="HW65" t="b">
        <f>AND(DATA!M538,"AAAAACxf2+Y=")</f>
        <v>1</v>
      </c>
      <c r="HX65" t="b">
        <f>AND(DATA!N538,"AAAAACxf2+c=")</f>
        <v>1</v>
      </c>
      <c r="HY65">
        <f>IF(DATA!539:539,"AAAAACxf2+g=",0)</f>
        <v>0</v>
      </c>
      <c r="HZ65" t="e">
        <f>AND(DATA!A539,"AAAAACxf2+k=")</f>
        <v>#VALUE!</v>
      </c>
      <c r="IA65" t="e">
        <f>AND(DATA!B539,"AAAAACxf2+o=")</f>
        <v>#VALUE!</v>
      </c>
      <c r="IB65" t="e">
        <f>AND(DATA!C539,"AAAAACxf2+s=")</f>
        <v>#VALUE!</v>
      </c>
      <c r="IC65" t="e">
        <f>AND(DATA!D539,"AAAAACxf2+w=")</f>
        <v>#VALUE!</v>
      </c>
      <c r="ID65" t="e">
        <f>AND(DATA!E539,"AAAAACxf2+0=")</f>
        <v>#VALUE!</v>
      </c>
      <c r="IE65" t="e">
        <f>AND(DATA!F539,"AAAAACxf2+4=")</f>
        <v>#VALUE!</v>
      </c>
      <c r="IF65" t="e">
        <f>AND(DATA!G539,"AAAAACxf2+8=")</f>
        <v>#VALUE!</v>
      </c>
      <c r="IG65" t="e">
        <f>AND(DATA!H539,"AAAAACxf2/A=")</f>
        <v>#VALUE!</v>
      </c>
      <c r="IH65" t="e">
        <f>AND(DATA!I539,"AAAAACxf2/E=")</f>
        <v>#VALUE!</v>
      </c>
      <c r="II65" t="e">
        <f>AND(DATA!J539,"AAAAACxf2/I=")</f>
        <v>#VALUE!</v>
      </c>
      <c r="IJ65" t="e">
        <f>AND(DATA!K539,"AAAAACxf2/M=")</f>
        <v>#VALUE!</v>
      </c>
      <c r="IK65" t="b">
        <f>AND(DATA!L539,"AAAAACxf2/Q=")</f>
        <v>1</v>
      </c>
      <c r="IL65" t="b">
        <f>AND(DATA!M539,"AAAAACxf2/U=")</f>
        <v>1</v>
      </c>
      <c r="IM65" t="b">
        <f>AND(DATA!N539,"AAAAACxf2/Y=")</f>
        <v>1</v>
      </c>
      <c r="IN65">
        <f>IF(DATA!540:540,"AAAAACxf2/c=",0)</f>
        <v>0</v>
      </c>
      <c r="IO65" t="e">
        <f>AND(DATA!A540,"AAAAACxf2/g=")</f>
        <v>#VALUE!</v>
      </c>
      <c r="IP65" t="e">
        <f>AND(DATA!B540,"AAAAACxf2/k=")</f>
        <v>#VALUE!</v>
      </c>
      <c r="IQ65" t="e">
        <f>AND(DATA!C540,"AAAAACxf2/o=")</f>
        <v>#VALUE!</v>
      </c>
      <c r="IR65" t="e">
        <f>AND(DATA!D540,"AAAAACxf2/s=")</f>
        <v>#VALUE!</v>
      </c>
      <c r="IS65" t="e">
        <f>AND(DATA!E540,"AAAAACxf2/w=")</f>
        <v>#VALUE!</v>
      </c>
      <c r="IT65" t="e">
        <f>AND(DATA!F540,"AAAAACxf2/0=")</f>
        <v>#VALUE!</v>
      </c>
      <c r="IU65" t="e">
        <f>AND(DATA!G540,"AAAAACxf2/4=")</f>
        <v>#VALUE!</v>
      </c>
      <c r="IV65" t="e">
        <f>AND(DATA!H540,"AAAAACxf2/8=")</f>
        <v>#VALUE!</v>
      </c>
    </row>
    <row r="66" spans="1:256">
      <c r="A66" t="e">
        <f>AND(DATA!I540,"AAAAAHV+/gA=")</f>
        <v>#VALUE!</v>
      </c>
      <c r="B66" t="e">
        <f>AND(DATA!J540,"AAAAAHV+/gE=")</f>
        <v>#VALUE!</v>
      </c>
      <c r="C66" t="e">
        <f>AND(DATA!K540,"AAAAAHV+/gI=")</f>
        <v>#VALUE!</v>
      </c>
      <c r="D66" t="b">
        <f>AND(DATA!L540,"AAAAAHV+/gM=")</f>
        <v>1</v>
      </c>
      <c r="E66" t="b">
        <f>AND(DATA!M540,"AAAAAHV+/gQ=")</f>
        <v>1</v>
      </c>
      <c r="F66" t="b">
        <f>AND(DATA!N540,"AAAAAHV+/gU=")</f>
        <v>1</v>
      </c>
      <c r="G66">
        <f>IF(DATA!541:541,"AAAAAHV+/gY=",0)</f>
        <v>0</v>
      </c>
      <c r="H66" t="e">
        <f>AND(DATA!A541,"AAAAAHV+/gc=")</f>
        <v>#VALUE!</v>
      </c>
      <c r="I66" t="e">
        <f>AND(DATA!B541,"AAAAAHV+/gg=")</f>
        <v>#VALUE!</v>
      </c>
      <c r="J66" t="e">
        <f>AND(DATA!C541,"AAAAAHV+/gk=")</f>
        <v>#VALUE!</v>
      </c>
      <c r="K66" t="e">
        <f>AND(DATA!D541,"AAAAAHV+/go=")</f>
        <v>#VALUE!</v>
      </c>
      <c r="L66" t="e">
        <f>AND(DATA!E541,"AAAAAHV+/gs=")</f>
        <v>#VALUE!</v>
      </c>
      <c r="M66" t="e">
        <f>AND(DATA!F541,"AAAAAHV+/gw=")</f>
        <v>#VALUE!</v>
      </c>
      <c r="N66" t="e">
        <f>AND(DATA!G541,"AAAAAHV+/g0=")</f>
        <v>#VALUE!</v>
      </c>
      <c r="O66" t="e">
        <f>AND(DATA!H541,"AAAAAHV+/g4=")</f>
        <v>#VALUE!</v>
      </c>
      <c r="P66" t="e">
        <f>AND(DATA!I541,"AAAAAHV+/g8=")</f>
        <v>#VALUE!</v>
      </c>
      <c r="Q66" t="e">
        <f>AND(DATA!J541,"AAAAAHV+/hA=")</f>
        <v>#VALUE!</v>
      </c>
      <c r="R66" t="e">
        <f>AND(DATA!K541,"AAAAAHV+/hE=")</f>
        <v>#VALUE!</v>
      </c>
      <c r="S66" t="b">
        <f>AND(DATA!L541,"AAAAAHV+/hI=")</f>
        <v>1</v>
      </c>
      <c r="T66" t="b">
        <f>AND(DATA!M541,"AAAAAHV+/hM=")</f>
        <v>1</v>
      </c>
      <c r="U66" t="b">
        <f>AND(DATA!N541,"AAAAAHV+/hQ=")</f>
        <v>1</v>
      </c>
      <c r="V66">
        <f>IF(DATA!542:542,"AAAAAHV+/hU=",0)</f>
        <v>0</v>
      </c>
      <c r="W66" t="e">
        <f>AND(DATA!A542,"AAAAAHV+/hY=")</f>
        <v>#VALUE!</v>
      </c>
      <c r="X66" t="e">
        <f>AND(DATA!B542,"AAAAAHV+/hc=")</f>
        <v>#VALUE!</v>
      </c>
      <c r="Y66" t="e">
        <f>AND(DATA!C542,"AAAAAHV+/hg=")</f>
        <v>#VALUE!</v>
      </c>
      <c r="Z66" t="e">
        <f>AND(DATA!D542,"AAAAAHV+/hk=")</f>
        <v>#VALUE!</v>
      </c>
      <c r="AA66" t="e">
        <f>AND(DATA!E542,"AAAAAHV+/ho=")</f>
        <v>#VALUE!</v>
      </c>
      <c r="AB66" t="e">
        <f>AND(DATA!F542,"AAAAAHV+/hs=")</f>
        <v>#VALUE!</v>
      </c>
      <c r="AC66" t="e">
        <f>AND(DATA!G542,"AAAAAHV+/hw=")</f>
        <v>#VALUE!</v>
      </c>
      <c r="AD66" t="e">
        <f>AND(DATA!H542,"AAAAAHV+/h0=")</f>
        <v>#VALUE!</v>
      </c>
      <c r="AE66" t="e">
        <f>AND(DATA!I542,"AAAAAHV+/h4=")</f>
        <v>#VALUE!</v>
      </c>
      <c r="AF66" t="e">
        <f>AND(DATA!J542,"AAAAAHV+/h8=")</f>
        <v>#VALUE!</v>
      </c>
      <c r="AG66" t="e">
        <f>AND(DATA!K542,"AAAAAHV+/iA=")</f>
        <v>#VALUE!</v>
      </c>
      <c r="AH66" t="b">
        <f>AND(DATA!L542,"AAAAAHV+/iE=")</f>
        <v>1</v>
      </c>
      <c r="AI66" t="b">
        <f>AND(DATA!M542,"AAAAAHV+/iI=")</f>
        <v>1</v>
      </c>
      <c r="AJ66" t="b">
        <f>AND(DATA!N542,"AAAAAHV+/iM=")</f>
        <v>1</v>
      </c>
      <c r="AK66">
        <f>IF(DATA!543:543,"AAAAAHV+/iQ=",0)</f>
        <v>0</v>
      </c>
      <c r="AL66" t="e">
        <f>AND(DATA!A543,"AAAAAHV+/iU=")</f>
        <v>#VALUE!</v>
      </c>
      <c r="AM66" t="e">
        <f>AND(DATA!B543,"AAAAAHV+/iY=")</f>
        <v>#VALUE!</v>
      </c>
      <c r="AN66" t="e">
        <f>AND(DATA!C543,"AAAAAHV+/ic=")</f>
        <v>#VALUE!</v>
      </c>
      <c r="AO66" t="e">
        <f>AND(DATA!D543,"AAAAAHV+/ig=")</f>
        <v>#VALUE!</v>
      </c>
      <c r="AP66" t="e">
        <f>AND(DATA!E543,"AAAAAHV+/ik=")</f>
        <v>#VALUE!</v>
      </c>
      <c r="AQ66" t="e">
        <f>AND(DATA!F543,"AAAAAHV+/io=")</f>
        <v>#VALUE!</v>
      </c>
      <c r="AR66" t="e">
        <f>AND(DATA!G543,"AAAAAHV+/is=")</f>
        <v>#VALUE!</v>
      </c>
      <c r="AS66" t="e">
        <f>AND(DATA!H543,"AAAAAHV+/iw=")</f>
        <v>#VALUE!</v>
      </c>
      <c r="AT66" t="e">
        <f>AND(DATA!I543,"AAAAAHV+/i0=")</f>
        <v>#VALUE!</v>
      </c>
      <c r="AU66" t="e">
        <f>AND(DATA!J543,"AAAAAHV+/i4=")</f>
        <v>#VALUE!</v>
      </c>
      <c r="AV66" t="e">
        <f>AND(DATA!K543,"AAAAAHV+/i8=")</f>
        <v>#VALUE!</v>
      </c>
      <c r="AW66" t="b">
        <f>AND(DATA!L543,"AAAAAHV+/jA=")</f>
        <v>1</v>
      </c>
      <c r="AX66" t="b">
        <f>AND(DATA!M543,"AAAAAHV+/jE=")</f>
        <v>1</v>
      </c>
      <c r="AY66" t="b">
        <f>AND(DATA!N543,"AAAAAHV+/jI=")</f>
        <v>1</v>
      </c>
      <c r="AZ66">
        <f>IF(DATA!544:544,"AAAAAHV+/jM=",0)</f>
        <v>0</v>
      </c>
      <c r="BA66" t="e">
        <f>AND(DATA!A544,"AAAAAHV+/jQ=")</f>
        <v>#VALUE!</v>
      </c>
      <c r="BB66" t="e">
        <f>AND(DATA!B544,"AAAAAHV+/jU=")</f>
        <v>#VALUE!</v>
      </c>
      <c r="BC66" t="e">
        <f>AND(DATA!C544,"AAAAAHV+/jY=")</f>
        <v>#VALUE!</v>
      </c>
      <c r="BD66" t="e">
        <f>AND(DATA!D544,"AAAAAHV+/jc=")</f>
        <v>#VALUE!</v>
      </c>
      <c r="BE66" t="e">
        <f>AND(DATA!E544,"AAAAAHV+/jg=")</f>
        <v>#VALUE!</v>
      </c>
      <c r="BF66" t="e">
        <f>AND(DATA!F544,"AAAAAHV+/jk=")</f>
        <v>#VALUE!</v>
      </c>
      <c r="BG66" t="e">
        <f>AND(DATA!G544,"AAAAAHV+/jo=")</f>
        <v>#VALUE!</v>
      </c>
      <c r="BH66" t="e">
        <f>AND(DATA!H544,"AAAAAHV+/js=")</f>
        <v>#VALUE!</v>
      </c>
      <c r="BI66" t="e">
        <f>AND(DATA!I544,"AAAAAHV+/jw=")</f>
        <v>#VALUE!</v>
      </c>
      <c r="BJ66" t="e">
        <f>AND(DATA!J544,"AAAAAHV+/j0=")</f>
        <v>#VALUE!</v>
      </c>
      <c r="BK66" t="e">
        <f>AND(DATA!K544,"AAAAAHV+/j4=")</f>
        <v>#VALUE!</v>
      </c>
      <c r="BL66" t="b">
        <f>AND(DATA!L544,"AAAAAHV+/j8=")</f>
        <v>1</v>
      </c>
      <c r="BM66" t="b">
        <f>AND(DATA!M544,"AAAAAHV+/kA=")</f>
        <v>1</v>
      </c>
      <c r="BN66" t="b">
        <f>AND(DATA!N544,"AAAAAHV+/kE=")</f>
        <v>1</v>
      </c>
      <c r="BO66">
        <f>IF(DATA!545:545,"AAAAAHV+/kI=",0)</f>
        <v>0</v>
      </c>
      <c r="BP66" t="e">
        <f>AND(DATA!A545,"AAAAAHV+/kM=")</f>
        <v>#VALUE!</v>
      </c>
      <c r="BQ66" t="e">
        <f>AND(DATA!B545,"AAAAAHV+/kQ=")</f>
        <v>#VALUE!</v>
      </c>
      <c r="BR66" t="e">
        <f>AND(DATA!C545,"AAAAAHV+/kU=")</f>
        <v>#VALUE!</v>
      </c>
      <c r="BS66" t="e">
        <f>AND(DATA!D545,"AAAAAHV+/kY=")</f>
        <v>#VALUE!</v>
      </c>
      <c r="BT66" t="e">
        <f>AND(DATA!E545,"AAAAAHV+/kc=")</f>
        <v>#VALUE!</v>
      </c>
      <c r="BU66" t="e">
        <f>AND(DATA!F545,"AAAAAHV+/kg=")</f>
        <v>#VALUE!</v>
      </c>
      <c r="BV66" t="e">
        <f>AND(DATA!G545,"AAAAAHV+/kk=")</f>
        <v>#VALUE!</v>
      </c>
      <c r="BW66" t="e">
        <f>AND(DATA!H545,"AAAAAHV+/ko=")</f>
        <v>#VALUE!</v>
      </c>
      <c r="BX66" t="e">
        <f>AND(DATA!I545,"AAAAAHV+/ks=")</f>
        <v>#VALUE!</v>
      </c>
      <c r="BY66" t="e">
        <f>AND(DATA!J545,"AAAAAHV+/kw=")</f>
        <v>#VALUE!</v>
      </c>
      <c r="BZ66" t="e">
        <f>AND(DATA!K545,"AAAAAHV+/k0=")</f>
        <v>#VALUE!</v>
      </c>
      <c r="CA66" t="b">
        <f>AND(DATA!L545,"AAAAAHV+/k4=")</f>
        <v>1</v>
      </c>
      <c r="CB66" t="b">
        <f>AND(DATA!M545,"AAAAAHV+/k8=")</f>
        <v>1</v>
      </c>
      <c r="CC66" t="b">
        <f>AND(DATA!N545,"AAAAAHV+/lA=")</f>
        <v>1</v>
      </c>
      <c r="CD66">
        <f>IF(DATA!546:546,"AAAAAHV+/lE=",0)</f>
        <v>0</v>
      </c>
      <c r="CE66" t="e">
        <f>AND(DATA!A546,"AAAAAHV+/lI=")</f>
        <v>#VALUE!</v>
      </c>
      <c r="CF66" t="e">
        <f>AND(DATA!B546,"AAAAAHV+/lM=")</f>
        <v>#VALUE!</v>
      </c>
      <c r="CG66" t="e">
        <f>AND(DATA!C546,"AAAAAHV+/lQ=")</f>
        <v>#VALUE!</v>
      </c>
      <c r="CH66" t="e">
        <f>AND(DATA!D546,"AAAAAHV+/lU=")</f>
        <v>#VALUE!</v>
      </c>
      <c r="CI66" t="e">
        <f>AND(DATA!E546,"AAAAAHV+/lY=")</f>
        <v>#VALUE!</v>
      </c>
      <c r="CJ66" t="e">
        <f>AND(DATA!F546,"AAAAAHV+/lc=")</f>
        <v>#VALUE!</v>
      </c>
      <c r="CK66" t="e">
        <f>AND(DATA!G546,"AAAAAHV+/lg=")</f>
        <v>#VALUE!</v>
      </c>
      <c r="CL66" t="e">
        <f>AND(DATA!H546,"AAAAAHV+/lk=")</f>
        <v>#VALUE!</v>
      </c>
      <c r="CM66" t="e">
        <f>AND(DATA!I546,"AAAAAHV+/lo=")</f>
        <v>#VALUE!</v>
      </c>
      <c r="CN66" t="e">
        <f>AND(DATA!J546,"AAAAAHV+/ls=")</f>
        <v>#VALUE!</v>
      </c>
      <c r="CO66" t="e">
        <f>AND(DATA!K546,"AAAAAHV+/lw=")</f>
        <v>#VALUE!</v>
      </c>
      <c r="CP66" t="b">
        <f>AND(DATA!L546,"AAAAAHV+/l0=")</f>
        <v>1</v>
      </c>
      <c r="CQ66" t="b">
        <f>AND(DATA!M546,"AAAAAHV+/l4=")</f>
        <v>1</v>
      </c>
      <c r="CR66" t="b">
        <f>AND(DATA!N546,"AAAAAHV+/l8=")</f>
        <v>1</v>
      </c>
      <c r="CS66">
        <f>IF(DATA!547:547,"AAAAAHV+/mA=",0)</f>
        <v>0</v>
      </c>
      <c r="CT66" t="e">
        <f>AND(DATA!A547,"AAAAAHV+/mE=")</f>
        <v>#VALUE!</v>
      </c>
      <c r="CU66" t="e">
        <f>AND(DATA!B547,"AAAAAHV+/mI=")</f>
        <v>#VALUE!</v>
      </c>
      <c r="CV66" t="e">
        <f>AND(DATA!C547,"AAAAAHV+/mM=")</f>
        <v>#VALUE!</v>
      </c>
      <c r="CW66" t="e">
        <f>AND(DATA!D547,"AAAAAHV+/mQ=")</f>
        <v>#VALUE!</v>
      </c>
      <c r="CX66" t="e">
        <f>AND(DATA!E547,"AAAAAHV+/mU=")</f>
        <v>#VALUE!</v>
      </c>
      <c r="CY66" t="e">
        <f>AND(DATA!F547,"AAAAAHV+/mY=")</f>
        <v>#VALUE!</v>
      </c>
      <c r="CZ66" t="e">
        <f>AND(DATA!G547,"AAAAAHV+/mc=")</f>
        <v>#VALUE!</v>
      </c>
      <c r="DA66" t="e">
        <f>AND(DATA!H547,"AAAAAHV+/mg=")</f>
        <v>#VALUE!</v>
      </c>
      <c r="DB66" t="e">
        <f>AND(DATA!I547,"AAAAAHV+/mk=")</f>
        <v>#VALUE!</v>
      </c>
      <c r="DC66" t="e">
        <f>AND(DATA!J547,"AAAAAHV+/mo=")</f>
        <v>#VALUE!</v>
      </c>
      <c r="DD66" t="e">
        <f>AND(DATA!K547,"AAAAAHV+/ms=")</f>
        <v>#VALUE!</v>
      </c>
      <c r="DE66" t="b">
        <f>AND(DATA!L547,"AAAAAHV+/mw=")</f>
        <v>1</v>
      </c>
      <c r="DF66" t="b">
        <f>AND(DATA!M547,"AAAAAHV+/m0=")</f>
        <v>1</v>
      </c>
      <c r="DG66" t="b">
        <f>AND(DATA!N547,"AAAAAHV+/m4=")</f>
        <v>1</v>
      </c>
      <c r="DH66">
        <f>IF(DATA!548:548,"AAAAAHV+/m8=",0)</f>
        <v>0</v>
      </c>
      <c r="DI66" t="e">
        <f>AND(DATA!A548,"AAAAAHV+/nA=")</f>
        <v>#VALUE!</v>
      </c>
      <c r="DJ66" t="e">
        <f>AND(DATA!B548,"AAAAAHV+/nE=")</f>
        <v>#VALUE!</v>
      </c>
      <c r="DK66" t="e">
        <f>AND(DATA!C548,"AAAAAHV+/nI=")</f>
        <v>#VALUE!</v>
      </c>
      <c r="DL66" t="e">
        <f>AND(DATA!D548,"AAAAAHV+/nM=")</f>
        <v>#VALUE!</v>
      </c>
      <c r="DM66" t="e">
        <f>AND(DATA!E548,"AAAAAHV+/nQ=")</f>
        <v>#VALUE!</v>
      </c>
      <c r="DN66" t="e">
        <f>AND(DATA!F548,"AAAAAHV+/nU=")</f>
        <v>#VALUE!</v>
      </c>
      <c r="DO66" t="e">
        <f>AND(DATA!G548,"AAAAAHV+/nY=")</f>
        <v>#VALUE!</v>
      </c>
      <c r="DP66" t="e">
        <f>AND(DATA!H548,"AAAAAHV+/nc=")</f>
        <v>#VALUE!</v>
      </c>
      <c r="DQ66" t="e">
        <f>AND(DATA!I548,"AAAAAHV+/ng=")</f>
        <v>#VALUE!</v>
      </c>
      <c r="DR66" t="e">
        <f>AND(DATA!J548,"AAAAAHV+/nk=")</f>
        <v>#VALUE!</v>
      </c>
      <c r="DS66" t="e">
        <f>AND(DATA!K548,"AAAAAHV+/no=")</f>
        <v>#VALUE!</v>
      </c>
      <c r="DT66" t="b">
        <f>AND(DATA!L548,"AAAAAHV+/ns=")</f>
        <v>1</v>
      </c>
      <c r="DU66" t="b">
        <f>AND(DATA!M548,"AAAAAHV+/nw=")</f>
        <v>1</v>
      </c>
      <c r="DV66" t="b">
        <f>AND(DATA!N548,"AAAAAHV+/n0=")</f>
        <v>1</v>
      </c>
      <c r="DW66">
        <f>IF(DATA!549:549,"AAAAAHV+/n4=",0)</f>
        <v>0</v>
      </c>
      <c r="DX66" t="e">
        <f>AND(DATA!A549,"AAAAAHV+/n8=")</f>
        <v>#VALUE!</v>
      </c>
      <c r="DY66" t="e">
        <f>AND(DATA!B549,"AAAAAHV+/oA=")</f>
        <v>#VALUE!</v>
      </c>
      <c r="DZ66" t="e">
        <f>AND(DATA!C549,"AAAAAHV+/oE=")</f>
        <v>#VALUE!</v>
      </c>
      <c r="EA66" t="e">
        <f>AND(DATA!D549,"AAAAAHV+/oI=")</f>
        <v>#VALUE!</v>
      </c>
      <c r="EB66" t="e">
        <f>AND(DATA!E549,"AAAAAHV+/oM=")</f>
        <v>#VALUE!</v>
      </c>
      <c r="EC66" t="e">
        <f>AND(DATA!F549,"AAAAAHV+/oQ=")</f>
        <v>#VALUE!</v>
      </c>
      <c r="ED66" t="e">
        <f>AND(DATA!G549,"AAAAAHV+/oU=")</f>
        <v>#VALUE!</v>
      </c>
      <c r="EE66" t="e">
        <f>AND(DATA!H549,"AAAAAHV+/oY=")</f>
        <v>#VALUE!</v>
      </c>
      <c r="EF66" t="e">
        <f>AND(DATA!I549,"AAAAAHV+/oc=")</f>
        <v>#VALUE!</v>
      </c>
      <c r="EG66" t="e">
        <f>AND(DATA!J549,"AAAAAHV+/og=")</f>
        <v>#VALUE!</v>
      </c>
      <c r="EH66" t="e">
        <f>AND(DATA!K549,"AAAAAHV+/ok=")</f>
        <v>#VALUE!</v>
      </c>
      <c r="EI66" t="b">
        <f>AND(DATA!L549,"AAAAAHV+/oo=")</f>
        <v>1</v>
      </c>
      <c r="EJ66" t="b">
        <f>AND(DATA!M549,"AAAAAHV+/os=")</f>
        <v>1</v>
      </c>
      <c r="EK66" t="b">
        <f>AND(DATA!N549,"AAAAAHV+/ow=")</f>
        <v>1</v>
      </c>
      <c r="EL66">
        <f>IF(DATA!550:550,"AAAAAHV+/o0=",0)</f>
        <v>0</v>
      </c>
      <c r="EM66" t="e">
        <f>AND(DATA!A550,"AAAAAHV+/o4=")</f>
        <v>#VALUE!</v>
      </c>
      <c r="EN66" t="e">
        <f>AND(DATA!B550,"AAAAAHV+/o8=")</f>
        <v>#VALUE!</v>
      </c>
      <c r="EO66" t="e">
        <f>AND(DATA!C550,"AAAAAHV+/pA=")</f>
        <v>#VALUE!</v>
      </c>
      <c r="EP66" t="e">
        <f>AND(DATA!D550,"AAAAAHV+/pE=")</f>
        <v>#VALUE!</v>
      </c>
      <c r="EQ66" t="e">
        <f>AND(DATA!E550,"AAAAAHV+/pI=")</f>
        <v>#VALUE!</v>
      </c>
      <c r="ER66" t="e">
        <f>AND(DATA!F550,"AAAAAHV+/pM=")</f>
        <v>#VALUE!</v>
      </c>
      <c r="ES66" t="e">
        <f>AND(DATA!G550,"AAAAAHV+/pQ=")</f>
        <v>#VALUE!</v>
      </c>
      <c r="ET66" t="e">
        <f>AND(DATA!H550,"AAAAAHV+/pU=")</f>
        <v>#VALUE!</v>
      </c>
      <c r="EU66" t="e">
        <f>AND(DATA!I550,"AAAAAHV+/pY=")</f>
        <v>#VALUE!</v>
      </c>
      <c r="EV66" t="e">
        <f>AND(DATA!J550,"AAAAAHV+/pc=")</f>
        <v>#VALUE!</v>
      </c>
      <c r="EW66" t="e">
        <f>AND(DATA!K550,"AAAAAHV+/pg=")</f>
        <v>#VALUE!</v>
      </c>
      <c r="EX66" t="b">
        <f>AND(DATA!L550,"AAAAAHV+/pk=")</f>
        <v>1</v>
      </c>
      <c r="EY66" t="b">
        <f>AND(DATA!M550,"AAAAAHV+/po=")</f>
        <v>1</v>
      </c>
      <c r="EZ66" t="b">
        <f>AND(DATA!N550,"AAAAAHV+/ps=")</f>
        <v>1</v>
      </c>
      <c r="FA66">
        <f>IF(DATA!551:551,"AAAAAHV+/pw=",0)</f>
        <v>0</v>
      </c>
      <c r="FB66" t="e">
        <f>AND(DATA!A551,"AAAAAHV+/p0=")</f>
        <v>#VALUE!</v>
      </c>
      <c r="FC66" t="e">
        <f>AND(DATA!B551,"AAAAAHV+/p4=")</f>
        <v>#VALUE!</v>
      </c>
      <c r="FD66" t="e">
        <f>AND(DATA!C551,"AAAAAHV+/p8=")</f>
        <v>#VALUE!</v>
      </c>
      <c r="FE66" t="e">
        <f>AND(DATA!D551,"AAAAAHV+/qA=")</f>
        <v>#VALUE!</v>
      </c>
      <c r="FF66" t="e">
        <f>AND(DATA!E551,"AAAAAHV+/qE=")</f>
        <v>#VALUE!</v>
      </c>
      <c r="FG66" t="e">
        <f>AND(DATA!F551,"AAAAAHV+/qI=")</f>
        <v>#VALUE!</v>
      </c>
      <c r="FH66" t="e">
        <f>AND(DATA!G551,"AAAAAHV+/qM=")</f>
        <v>#VALUE!</v>
      </c>
      <c r="FI66" t="e">
        <f>AND(DATA!H551,"AAAAAHV+/qQ=")</f>
        <v>#VALUE!</v>
      </c>
      <c r="FJ66" t="e">
        <f>AND(DATA!I551,"AAAAAHV+/qU=")</f>
        <v>#VALUE!</v>
      </c>
      <c r="FK66" t="e">
        <f>AND(DATA!J551,"AAAAAHV+/qY=")</f>
        <v>#VALUE!</v>
      </c>
      <c r="FL66" t="e">
        <f>AND(DATA!K551,"AAAAAHV+/qc=")</f>
        <v>#VALUE!</v>
      </c>
      <c r="FM66" t="b">
        <f>AND(DATA!L551,"AAAAAHV+/qg=")</f>
        <v>1</v>
      </c>
      <c r="FN66" t="b">
        <f>AND(DATA!M551,"AAAAAHV+/qk=")</f>
        <v>1</v>
      </c>
      <c r="FO66" t="b">
        <f>AND(DATA!N551,"AAAAAHV+/qo=")</f>
        <v>1</v>
      </c>
      <c r="FP66">
        <f>IF(DATA!552:552,"AAAAAHV+/qs=",0)</f>
        <v>0</v>
      </c>
      <c r="FQ66" t="e">
        <f>AND(DATA!A552,"AAAAAHV+/qw=")</f>
        <v>#VALUE!</v>
      </c>
      <c r="FR66" t="e">
        <f>AND(DATA!B552,"AAAAAHV+/q0=")</f>
        <v>#VALUE!</v>
      </c>
      <c r="FS66" t="e">
        <f>AND(DATA!C552,"AAAAAHV+/q4=")</f>
        <v>#VALUE!</v>
      </c>
      <c r="FT66" t="e">
        <f>AND(DATA!D552,"AAAAAHV+/q8=")</f>
        <v>#VALUE!</v>
      </c>
      <c r="FU66" t="e">
        <f>AND(DATA!E552,"AAAAAHV+/rA=")</f>
        <v>#VALUE!</v>
      </c>
      <c r="FV66" t="e">
        <f>AND(DATA!F552,"AAAAAHV+/rE=")</f>
        <v>#VALUE!</v>
      </c>
      <c r="FW66" t="e">
        <f>AND(DATA!G552,"AAAAAHV+/rI=")</f>
        <v>#VALUE!</v>
      </c>
      <c r="FX66" t="e">
        <f>AND(DATA!H552,"AAAAAHV+/rM=")</f>
        <v>#VALUE!</v>
      </c>
      <c r="FY66" t="e">
        <f>AND(DATA!I552,"AAAAAHV+/rQ=")</f>
        <v>#VALUE!</v>
      </c>
      <c r="FZ66" t="e">
        <f>AND(DATA!J552,"AAAAAHV+/rU=")</f>
        <v>#VALUE!</v>
      </c>
      <c r="GA66" t="e">
        <f>AND(DATA!K552,"AAAAAHV+/rY=")</f>
        <v>#VALUE!</v>
      </c>
      <c r="GB66" t="b">
        <f>AND(DATA!L552,"AAAAAHV+/rc=")</f>
        <v>1</v>
      </c>
      <c r="GC66" t="b">
        <f>AND(DATA!M552,"AAAAAHV+/rg=")</f>
        <v>1</v>
      </c>
      <c r="GD66" t="b">
        <f>AND(DATA!N552,"AAAAAHV+/rk=")</f>
        <v>1</v>
      </c>
      <c r="GE66">
        <f>IF(DATA!553:553,"AAAAAHV+/ro=",0)</f>
        <v>0</v>
      </c>
      <c r="GF66" t="e">
        <f>AND(DATA!A553,"AAAAAHV+/rs=")</f>
        <v>#VALUE!</v>
      </c>
      <c r="GG66" t="e">
        <f>AND(DATA!B553,"AAAAAHV+/rw=")</f>
        <v>#VALUE!</v>
      </c>
      <c r="GH66" t="e">
        <f>AND(DATA!C553,"AAAAAHV+/r0=")</f>
        <v>#VALUE!</v>
      </c>
      <c r="GI66" t="e">
        <f>AND(DATA!D553,"AAAAAHV+/r4=")</f>
        <v>#VALUE!</v>
      </c>
      <c r="GJ66" t="e">
        <f>AND(DATA!E553,"AAAAAHV+/r8=")</f>
        <v>#VALUE!</v>
      </c>
      <c r="GK66" t="e">
        <f>AND(DATA!F553,"AAAAAHV+/sA=")</f>
        <v>#VALUE!</v>
      </c>
      <c r="GL66" t="e">
        <f>AND(DATA!G553,"AAAAAHV+/sE=")</f>
        <v>#VALUE!</v>
      </c>
      <c r="GM66" t="e">
        <f>AND(DATA!H553,"AAAAAHV+/sI=")</f>
        <v>#VALUE!</v>
      </c>
      <c r="GN66" t="e">
        <f>AND(DATA!I553,"AAAAAHV+/sM=")</f>
        <v>#VALUE!</v>
      </c>
      <c r="GO66" t="e">
        <f>AND(DATA!J553,"AAAAAHV+/sQ=")</f>
        <v>#VALUE!</v>
      </c>
      <c r="GP66" t="e">
        <f>AND(DATA!K553,"AAAAAHV+/sU=")</f>
        <v>#VALUE!</v>
      </c>
      <c r="GQ66" t="b">
        <f>AND(DATA!L553,"AAAAAHV+/sY=")</f>
        <v>1</v>
      </c>
      <c r="GR66" t="b">
        <f>AND(DATA!M553,"AAAAAHV+/sc=")</f>
        <v>1</v>
      </c>
      <c r="GS66" t="b">
        <f>AND(DATA!N553,"AAAAAHV+/sg=")</f>
        <v>1</v>
      </c>
      <c r="GT66">
        <f>IF(DATA!554:554,"AAAAAHV+/sk=",0)</f>
        <v>0</v>
      </c>
      <c r="GU66" t="e">
        <f>AND(DATA!A554,"AAAAAHV+/so=")</f>
        <v>#VALUE!</v>
      </c>
      <c r="GV66" t="e">
        <f>AND(DATA!B554,"AAAAAHV+/ss=")</f>
        <v>#VALUE!</v>
      </c>
      <c r="GW66" t="e">
        <f>AND(DATA!C554,"AAAAAHV+/sw=")</f>
        <v>#VALUE!</v>
      </c>
      <c r="GX66" t="e">
        <f>AND(DATA!D554,"AAAAAHV+/s0=")</f>
        <v>#VALUE!</v>
      </c>
      <c r="GY66" t="e">
        <f>AND(DATA!E554,"AAAAAHV+/s4=")</f>
        <v>#VALUE!</v>
      </c>
      <c r="GZ66" t="e">
        <f>AND(DATA!F554,"AAAAAHV+/s8=")</f>
        <v>#VALUE!</v>
      </c>
      <c r="HA66" t="e">
        <f>AND(DATA!G554,"AAAAAHV+/tA=")</f>
        <v>#VALUE!</v>
      </c>
      <c r="HB66" t="e">
        <f>AND(DATA!H554,"AAAAAHV+/tE=")</f>
        <v>#VALUE!</v>
      </c>
      <c r="HC66" t="e">
        <f>AND(DATA!I554,"AAAAAHV+/tI=")</f>
        <v>#VALUE!</v>
      </c>
      <c r="HD66" t="e">
        <f>AND(DATA!J554,"AAAAAHV+/tM=")</f>
        <v>#VALUE!</v>
      </c>
      <c r="HE66" t="e">
        <f>AND(DATA!K554,"AAAAAHV+/tQ=")</f>
        <v>#VALUE!</v>
      </c>
      <c r="HF66" t="b">
        <f>AND(DATA!L554,"AAAAAHV+/tU=")</f>
        <v>1</v>
      </c>
      <c r="HG66" t="b">
        <f>AND(DATA!M554,"AAAAAHV+/tY=")</f>
        <v>1</v>
      </c>
      <c r="HH66" t="b">
        <f>AND(DATA!N554,"AAAAAHV+/tc=")</f>
        <v>1</v>
      </c>
      <c r="HI66">
        <f>IF(DATA!555:555,"AAAAAHV+/tg=",0)</f>
        <v>0</v>
      </c>
      <c r="HJ66" t="e">
        <f>AND(DATA!A555,"AAAAAHV+/tk=")</f>
        <v>#VALUE!</v>
      </c>
      <c r="HK66" t="e">
        <f>AND(DATA!B555,"AAAAAHV+/to=")</f>
        <v>#VALUE!</v>
      </c>
      <c r="HL66" t="e">
        <f>AND(DATA!C555,"AAAAAHV+/ts=")</f>
        <v>#VALUE!</v>
      </c>
      <c r="HM66" t="e">
        <f>AND(DATA!D555,"AAAAAHV+/tw=")</f>
        <v>#VALUE!</v>
      </c>
      <c r="HN66" t="e">
        <f>AND(DATA!E555,"AAAAAHV+/t0=")</f>
        <v>#VALUE!</v>
      </c>
      <c r="HO66" t="e">
        <f>AND(DATA!F555,"AAAAAHV+/t4=")</f>
        <v>#VALUE!</v>
      </c>
      <c r="HP66" t="e">
        <f>AND(DATA!G555,"AAAAAHV+/t8=")</f>
        <v>#VALUE!</v>
      </c>
      <c r="HQ66" t="e">
        <f>AND(DATA!H555,"AAAAAHV+/uA=")</f>
        <v>#VALUE!</v>
      </c>
      <c r="HR66" t="e">
        <f>AND(DATA!I555,"AAAAAHV+/uE=")</f>
        <v>#VALUE!</v>
      </c>
      <c r="HS66" t="e">
        <f>AND(DATA!J555,"AAAAAHV+/uI=")</f>
        <v>#VALUE!</v>
      </c>
      <c r="HT66" t="e">
        <f>AND(DATA!K555,"AAAAAHV+/uM=")</f>
        <v>#VALUE!</v>
      </c>
      <c r="HU66" t="b">
        <f>AND(DATA!L555,"AAAAAHV+/uQ=")</f>
        <v>1</v>
      </c>
      <c r="HV66" t="b">
        <f>AND(DATA!M555,"AAAAAHV+/uU=")</f>
        <v>1</v>
      </c>
      <c r="HW66" t="b">
        <f>AND(DATA!N555,"AAAAAHV+/uY=")</f>
        <v>1</v>
      </c>
      <c r="HX66">
        <f>IF(DATA!556:556,"AAAAAHV+/uc=",0)</f>
        <v>0</v>
      </c>
      <c r="HY66" t="e">
        <f>AND(DATA!A556,"AAAAAHV+/ug=")</f>
        <v>#VALUE!</v>
      </c>
      <c r="HZ66" t="e">
        <f>AND(DATA!B556,"AAAAAHV+/uk=")</f>
        <v>#VALUE!</v>
      </c>
      <c r="IA66" t="e">
        <f>AND(DATA!C556,"AAAAAHV+/uo=")</f>
        <v>#VALUE!</v>
      </c>
      <c r="IB66" t="e">
        <f>AND(DATA!D556,"AAAAAHV+/us=")</f>
        <v>#VALUE!</v>
      </c>
      <c r="IC66" t="e">
        <f>AND(DATA!E556,"AAAAAHV+/uw=")</f>
        <v>#VALUE!</v>
      </c>
      <c r="ID66" t="e">
        <f>AND(DATA!F556,"AAAAAHV+/u0=")</f>
        <v>#VALUE!</v>
      </c>
      <c r="IE66" t="e">
        <f>AND(DATA!G556,"AAAAAHV+/u4=")</f>
        <v>#VALUE!</v>
      </c>
      <c r="IF66" t="e">
        <f>AND(DATA!H556,"AAAAAHV+/u8=")</f>
        <v>#VALUE!</v>
      </c>
      <c r="IG66" t="e">
        <f>AND(DATA!I556,"AAAAAHV+/vA=")</f>
        <v>#VALUE!</v>
      </c>
      <c r="IH66" t="e">
        <f>AND(DATA!J556,"AAAAAHV+/vE=")</f>
        <v>#VALUE!</v>
      </c>
      <c r="II66" t="e">
        <f>AND(DATA!K556,"AAAAAHV+/vI=")</f>
        <v>#VALUE!</v>
      </c>
      <c r="IJ66" t="b">
        <f>AND(DATA!L556,"AAAAAHV+/vM=")</f>
        <v>1</v>
      </c>
      <c r="IK66" t="b">
        <f>AND(DATA!M556,"AAAAAHV+/vQ=")</f>
        <v>1</v>
      </c>
      <c r="IL66" t="b">
        <f>AND(DATA!N556,"AAAAAHV+/vU=")</f>
        <v>1</v>
      </c>
      <c r="IM66">
        <f>IF(DATA!557:557,"AAAAAHV+/vY=",0)</f>
        <v>0</v>
      </c>
      <c r="IN66" t="e">
        <f>AND(DATA!A557,"AAAAAHV+/vc=")</f>
        <v>#VALUE!</v>
      </c>
      <c r="IO66" t="e">
        <f>AND(DATA!B557,"AAAAAHV+/vg=")</f>
        <v>#VALUE!</v>
      </c>
      <c r="IP66" t="e">
        <f>AND(DATA!C557,"AAAAAHV+/vk=")</f>
        <v>#VALUE!</v>
      </c>
      <c r="IQ66" t="e">
        <f>AND(DATA!D557,"AAAAAHV+/vo=")</f>
        <v>#VALUE!</v>
      </c>
      <c r="IR66" t="e">
        <f>AND(DATA!E557,"AAAAAHV+/vs=")</f>
        <v>#VALUE!</v>
      </c>
      <c r="IS66" t="e">
        <f>AND(DATA!F557,"AAAAAHV+/vw=")</f>
        <v>#VALUE!</v>
      </c>
      <c r="IT66" t="e">
        <f>AND(DATA!G557,"AAAAAHV+/v0=")</f>
        <v>#VALUE!</v>
      </c>
      <c r="IU66" t="e">
        <f>AND(DATA!H557,"AAAAAHV+/v4=")</f>
        <v>#VALUE!</v>
      </c>
      <c r="IV66" t="e">
        <f>AND(DATA!I557,"AAAAAHV+/v8=")</f>
        <v>#VALUE!</v>
      </c>
    </row>
    <row r="67" spans="1:256">
      <c r="A67" t="e">
        <f>AND(DATA!J557,"AAAAAH2stgA=")</f>
        <v>#VALUE!</v>
      </c>
      <c r="B67" t="e">
        <f>AND(DATA!K557,"AAAAAH2stgE=")</f>
        <v>#VALUE!</v>
      </c>
      <c r="C67" t="b">
        <f>AND(DATA!L557,"AAAAAH2stgI=")</f>
        <v>1</v>
      </c>
      <c r="D67" t="b">
        <f>AND(DATA!M557,"AAAAAH2stgM=")</f>
        <v>1</v>
      </c>
      <c r="E67" t="b">
        <f>AND(DATA!N557,"AAAAAH2stgQ=")</f>
        <v>1</v>
      </c>
      <c r="F67">
        <f>IF(DATA!558:558,"AAAAAH2stgU=",0)</f>
        <v>0</v>
      </c>
      <c r="G67" t="e">
        <f>AND(DATA!A558,"AAAAAH2stgY=")</f>
        <v>#VALUE!</v>
      </c>
      <c r="H67" t="e">
        <f>AND(DATA!B558,"AAAAAH2stgc=")</f>
        <v>#VALUE!</v>
      </c>
      <c r="I67" t="e">
        <f>AND(DATA!C558,"AAAAAH2stgg=")</f>
        <v>#VALUE!</v>
      </c>
      <c r="J67" t="e">
        <f>AND(DATA!D558,"AAAAAH2stgk=")</f>
        <v>#VALUE!</v>
      </c>
      <c r="K67" t="e">
        <f>AND(DATA!E558,"AAAAAH2stgo=")</f>
        <v>#VALUE!</v>
      </c>
      <c r="L67" t="e">
        <f>AND(DATA!F558,"AAAAAH2stgs=")</f>
        <v>#VALUE!</v>
      </c>
      <c r="M67" t="e">
        <f>AND(DATA!G558,"AAAAAH2stgw=")</f>
        <v>#VALUE!</v>
      </c>
      <c r="N67" t="e">
        <f>AND(DATA!H558,"AAAAAH2stg0=")</f>
        <v>#VALUE!</v>
      </c>
      <c r="O67" t="e">
        <f>AND(DATA!I558,"AAAAAH2stg4=")</f>
        <v>#VALUE!</v>
      </c>
      <c r="P67" t="e">
        <f>AND(DATA!J558,"AAAAAH2stg8=")</f>
        <v>#VALUE!</v>
      </c>
      <c r="Q67" t="e">
        <f>AND(DATA!K558,"AAAAAH2sthA=")</f>
        <v>#VALUE!</v>
      </c>
      <c r="R67" t="b">
        <f>AND(DATA!L558,"AAAAAH2sthE=")</f>
        <v>1</v>
      </c>
      <c r="S67" t="b">
        <f>AND(DATA!M558,"AAAAAH2sthI=")</f>
        <v>1</v>
      </c>
      <c r="T67" t="b">
        <f>AND(DATA!N558,"AAAAAH2sthM=")</f>
        <v>1</v>
      </c>
      <c r="U67">
        <f>IF(DATA!559:559,"AAAAAH2sthQ=",0)</f>
        <v>0</v>
      </c>
      <c r="V67" t="e">
        <f>AND(DATA!A559,"AAAAAH2sthU=")</f>
        <v>#VALUE!</v>
      </c>
      <c r="W67" t="e">
        <f>AND(DATA!B559,"AAAAAH2sthY=")</f>
        <v>#VALUE!</v>
      </c>
      <c r="X67" t="e">
        <f>AND(DATA!C559,"AAAAAH2sthc=")</f>
        <v>#VALUE!</v>
      </c>
      <c r="Y67" t="e">
        <f>AND(DATA!D559,"AAAAAH2sthg=")</f>
        <v>#VALUE!</v>
      </c>
      <c r="Z67" t="e">
        <f>AND(DATA!E559,"AAAAAH2sthk=")</f>
        <v>#VALUE!</v>
      </c>
      <c r="AA67" t="e">
        <f>AND(DATA!F559,"AAAAAH2stho=")</f>
        <v>#VALUE!</v>
      </c>
      <c r="AB67" t="e">
        <f>AND(DATA!G559,"AAAAAH2sths=")</f>
        <v>#VALUE!</v>
      </c>
      <c r="AC67" t="e">
        <f>AND(DATA!H559,"AAAAAH2sthw=")</f>
        <v>#VALUE!</v>
      </c>
      <c r="AD67" t="e">
        <f>AND(DATA!I559,"AAAAAH2sth0=")</f>
        <v>#VALUE!</v>
      </c>
      <c r="AE67" t="e">
        <f>AND(DATA!J559,"AAAAAH2sth4=")</f>
        <v>#VALUE!</v>
      </c>
      <c r="AF67" t="e">
        <f>AND(DATA!K559,"AAAAAH2sth8=")</f>
        <v>#VALUE!</v>
      </c>
      <c r="AG67" t="b">
        <f>AND(DATA!L559,"AAAAAH2stiA=")</f>
        <v>1</v>
      </c>
      <c r="AH67" t="b">
        <f>AND(DATA!M559,"AAAAAH2stiE=")</f>
        <v>1</v>
      </c>
      <c r="AI67" t="b">
        <f>AND(DATA!N559,"AAAAAH2stiI=")</f>
        <v>1</v>
      </c>
      <c r="AJ67">
        <f>IF(DATA!560:560,"AAAAAH2stiM=",0)</f>
        <v>0</v>
      </c>
      <c r="AK67" t="e">
        <f>AND(DATA!A560,"AAAAAH2stiQ=")</f>
        <v>#VALUE!</v>
      </c>
      <c r="AL67" t="e">
        <f>AND(DATA!B560,"AAAAAH2stiU=")</f>
        <v>#VALUE!</v>
      </c>
      <c r="AM67" t="e">
        <f>AND(DATA!C560,"AAAAAH2stiY=")</f>
        <v>#VALUE!</v>
      </c>
      <c r="AN67" t="e">
        <f>AND(DATA!D560,"AAAAAH2stic=")</f>
        <v>#VALUE!</v>
      </c>
      <c r="AO67" t="e">
        <f>AND(DATA!E560,"AAAAAH2stig=")</f>
        <v>#VALUE!</v>
      </c>
      <c r="AP67" t="e">
        <f>AND(DATA!F560,"AAAAAH2stik=")</f>
        <v>#VALUE!</v>
      </c>
      <c r="AQ67" t="e">
        <f>AND(DATA!G560,"AAAAAH2stio=")</f>
        <v>#VALUE!</v>
      </c>
      <c r="AR67" t="e">
        <f>AND(DATA!H560,"AAAAAH2stis=")</f>
        <v>#VALUE!</v>
      </c>
      <c r="AS67" t="e">
        <f>AND(DATA!I560,"AAAAAH2stiw=")</f>
        <v>#VALUE!</v>
      </c>
      <c r="AT67" t="e">
        <f>AND(DATA!J560,"AAAAAH2sti0=")</f>
        <v>#VALUE!</v>
      </c>
      <c r="AU67" t="e">
        <f>AND(DATA!K560,"AAAAAH2sti4=")</f>
        <v>#VALUE!</v>
      </c>
      <c r="AV67" t="b">
        <f>AND(DATA!L560,"AAAAAH2sti8=")</f>
        <v>1</v>
      </c>
      <c r="AW67" t="b">
        <f>AND(DATA!M560,"AAAAAH2stjA=")</f>
        <v>1</v>
      </c>
      <c r="AX67" t="b">
        <f>AND(DATA!N560,"AAAAAH2stjE=")</f>
        <v>1</v>
      </c>
      <c r="AY67">
        <f>IF(DATA!561:561,"AAAAAH2stjI=",0)</f>
        <v>0</v>
      </c>
      <c r="AZ67" t="e">
        <f>AND(DATA!A561,"AAAAAH2stjM=")</f>
        <v>#VALUE!</v>
      </c>
      <c r="BA67" t="e">
        <f>AND(DATA!B561,"AAAAAH2stjQ=")</f>
        <v>#VALUE!</v>
      </c>
      <c r="BB67" t="e">
        <f>AND(DATA!C561,"AAAAAH2stjU=")</f>
        <v>#VALUE!</v>
      </c>
      <c r="BC67" t="e">
        <f>AND(DATA!D561,"AAAAAH2stjY=")</f>
        <v>#VALUE!</v>
      </c>
      <c r="BD67" t="e">
        <f>AND(DATA!E561,"AAAAAH2stjc=")</f>
        <v>#VALUE!</v>
      </c>
      <c r="BE67" t="e">
        <f>AND(DATA!F561,"AAAAAH2stjg=")</f>
        <v>#VALUE!</v>
      </c>
      <c r="BF67" t="e">
        <f>AND(DATA!G561,"AAAAAH2stjk=")</f>
        <v>#VALUE!</v>
      </c>
      <c r="BG67" t="e">
        <f>AND(DATA!H561,"AAAAAH2stjo=")</f>
        <v>#VALUE!</v>
      </c>
      <c r="BH67" t="e">
        <f>AND(DATA!I561,"AAAAAH2stjs=")</f>
        <v>#VALUE!</v>
      </c>
      <c r="BI67" t="e">
        <f>AND(DATA!J561,"AAAAAH2stjw=")</f>
        <v>#VALUE!</v>
      </c>
      <c r="BJ67" t="e">
        <f>AND(DATA!K561,"AAAAAH2stj0=")</f>
        <v>#VALUE!</v>
      </c>
      <c r="BK67" t="b">
        <f>AND(DATA!L561,"AAAAAH2stj4=")</f>
        <v>1</v>
      </c>
      <c r="BL67" t="b">
        <f>AND(DATA!M561,"AAAAAH2stj8=")</f>
        <v>1</v>
      </c>
      <c r="BM67" t="b">
        <f>AND(DATA!N561,"AAAAAH2stkA=")</f>
        <v>1</v>
      </c>
      <c r="BN67">
        <f>IF(DATA!562:562,"AAAAAH2stkE=",0)</f>
        <v>0</v>
      </c>
      <c r="BO67" t="e">
        <f>AND(DATA!A562,"AAAAAH2stkI=")</f>
        <v>#VALUE!</v>
      </c>
      <c r="BP67" t="e">
        <f>AND(DATA!B562,"AAAAAH2stkM=")</f>
        <v>#VALUE!</v>
      </c>
      <c r="BQ67" t="e">
        <f>AND(DATA!C562,"AAAAAH2stkQ=")</f>
        <v>#VALUE!</v>
      </c>
      <c r="BR67" t="e">
        <f>AND(DATA!D562,"AAAAAH2stkU=")</f>
        <v>#VALUE!</v>
      </c>
      <c r="BS67" t="e">
        <f>AND(DATA!E562,"AAAAAH2stkY=")</f>
        <v>#VALUE!</v>
      </c>
      <c r="BT67" t="e">
        <f>AND(DATA!F562,"AAAAAH2stkc=")</f>
        <v>#VALUE!</v>
      </c>
      <c r="BU67" t="e">
        <f>AND(DATA!G562,"AAAAAH2stkg=")</f>
        <v>#VALUE!</v>
      </c>
      <c r="BV67" t="e">
        <f>AND(DATA!H562,"AAAAAH2stkk=")</f>
        <v>#VALUE!</v>
      </c>
      <c r="BW67" t="e">
        <f>AND(DATA!I562,"AAAAAH2stko=")</f>
        <v>#VALUE!</v>
      </c>
      <c r="BX67" t="e">
        <f>AND(DATA!J562,"AAAAAH2stks=")</f>
        <v>#VALUE!</v>
      </c>
      <c r="BY67" t="e">
        <f>AND(DATA!K562,"AAAAAH2stkw=")</f>
        <v>#VALUE!</v>
      </c>
      <c r="BZ67" t="b">
        <f>AND(DATA!L562,"AAAAAH2stk0=")</f>
        <v>1</v>
      </c>
      <c r="CA67" t="b">
        <f>AND(DATA!M562,"AAAAAH2stk4=")</f>
        <v>1</v>
      </c>
      <c r="CB67" t="b">
        <f>AND(DATA!N562,"AAAAAH2stk8=")</f>
        <v>1</v>
      </c>
      <c r="CC67">
        <f>IF(DATA!563:563,"AAAAAH2stlA=",0)</f>
        <v>0</v>
      </c>
      <c r="CD67" t="e">
        <f>AND(DATA!A563,"AAAAAH2stlE=")</f>
        <v>#VALUE!</v>
      </c>
      <c r="CE67" t="e">
        <f>AND(DATA!B563,"AAAAAH2stlI=")</f>
        <v>#VALUE!</v>
      </c>
      <c r="CF67" t="e">
        <f>AND(DATA!C563,"AAAAAH2stlM=")</f>
        <v>#VALUE!</v>
      </c>
      <c r="CG67" t="e">
        <f>AND(DATA!D563,"AAAAAH2stlQ=")</f>
        <v>#VALUE!</v>
      </c>
      <c r="CH67" t="e">
        <f>AND(DATA!E563,"AAAAAH2stlU=")</f>
        <v>#VALUE!</v>
      </c>
      <c r="CI67" t="e">
        <f>AND(DATA!F563,"AAAAAH2stlY=")</f>
        <v>#VALUE!</v>
      </c>
      <c r="CJ67" t="e">
        <f>AND(DATA!G563,"AAAAAH2stlc=")</f>
        <v>#VALUE!</v>
      </c>
      <c r="CK67" t="e">
        <f>AND(DATA!H563,"AAAAAH2stlg=")</f>
        <v>#VALUE!</v>
      </c>
      <c r="CL67" t="e">
        <f>AND(DATA!I563,"AAAAAH2stlk=")</f>
        <v>#VALUE!</v>
      </c>
      <c r="CM67" t="e">
        <f>AND(DATA!J563,"AAAAAH2stlo=")</f>
        <v>#VALUE!</v>
      </c>
      <c r="CN67" t="e">
        <f>AND(DATA!K563,"AAAAAH2stls=")</f>
        <v>#VALUE!</v>
      </c>
      <c r="CO67" t="b">
        <f>AND(DATA!L563,"AAAAAH2stlw=")</f>
        <v>1</v>
      </c>
      <c r="CP67" t="b">
        <f>AND(DATA!M563,"AAAAAH2stl0=")</f>
        <v>1</v>
      </c>
      <c r="CQ67" t="b">
        <f>AND(DATA!N563,"AAAAAH2stl4=")</f>
        <v>1</v>
      </c>
      <c r="CR67">
        <f>IF(DATA!564:564,"AAAAAH2stl8=",0)</f>
        <v>0</v>
      </c>
      <c r="CS67" t="e">
        <f>AND(DATA!A564,"AAAAAH2stmA=")</f>
        <v>#VALUE!</v>
      </c>
      <c r="CT67" t="e">
        <f>AND(DATA!B564,"AAAAAH2stmE=")</f>
        <v>#VALUE!</v>
      </c>
      <c r="CU67" t="e">
        <f>AND(DATA!C564,"AAAAAH2stmI=")</f>
        <v>#VALUE!</v>
      </c>
      <c r="CV67" t="e">
        <f>AND(DATA!D564,"AAAAAH2stmM=")</f>
        <v>#VALUE!</v>
      </c>
      <c r="CW67" t="e">
        <f>AND(DATA!E564,"AAAAAH2stmQ=")</f>
        <v>#VALUE!</v>
      </c>
      <c r="CX67" t="e">
        <f>AND(DATA!F564,"AAAAAH2stmU=")</f>
        <v>#VALUE!</v>
      </c>
      <c r="CY67" t="e">
        <f>AND(DATA!G564,"AAAAAH2stmY=")</f>
        <v>#VALUE!</v>
      </c>
      <c r="CZ67" t="e">
        <f>AND(DATA!H564,"AAAAAH2stmc=")</f>
        <v>#VALUE!</v>
      </c>
      <c r="DA67" t="e">
        <f>AND(DATA!I564,"AAAAAH2stmg=")</f>
        <v>#VALUE!</v>
      </c>
      <c r="DB67" t="e">
        <f>AND(DATA!J564,"AAAAAH2stmk=")</f>
        <v>#VALUE!</v>
      </c>
      <c r="DC67" t="e">
        <f>AND(DATA!K564,"AAAAAH2stmo=")</f>
        <v>#VALUE!</v>
      </c>
      <c r="DD67" t="b">
        <f>AND(DATA!L564,"AAAAAH2stms=")</f>
        <v>1</v>
      </c>
      <c r="DE67" t="b">
        <f>AND(DATA!M564,"AAAAAH2stmw=")</f>
        <v>1</v>
      </c>
      <c r="DF67" t="b">
        <f>AND(DATA!N564,"AAAAAH2stm0=")</f>
        <v>1</v>
      </c>
      <c r="DG67">
        <f>IF(DATA!565:565,"AAAAAH2stm4=",0)</f>
        <v>0</v>
      </c>
      <c r="DH67" t="e">
        <f>AND(DATA!A565,"AAAAAH2stm8=")</f>
        <v>#VALUE!</v>
      </c>
      <c r="DI67" t="e">
        <f>AND(DATA!B565,"AAAAAH2stnA=")</f>
        <v>#VALUE!</v>
      </c>
      <c r="DJ67" t="e">
        <f>AND(DATA!C565,"AAAAAH2stnE=")</f>
        <v>#VALUE!</v>
      </c>
      <c r="DK67" t="e">
        <f>AND(DATA!D565,"AAAAAH2stnI=")</f>
        <v>#VALUE!</v>
      </c>
      <c r="DL67" t="e">
        <f>AND(DATA!E565,"AAAAAH2stnM=")</f>
        <v>#VALUE!</v>
      </c>
      <c r="DM67" t="e">
        <f>AND(DATA!F565,"AAAAAH2stnQ=")</f>
        <v>#VALUE!</v>
      </c>
      <c r="DN67" t="e">
        <f>AND(DATA!G565,"AAAAAH2stnU=")</f>
        <v>#VALUE!</v>
      </c>
      <c r="DO67" t="e">
        <f>AND(DATA!H565,"AAAAAH2stnY=")</f>
        <v>#VALUE!</v>
      </c>
      <c r="DP67" t="e">
        <f>AND(DATA!I565,"AAAAAH2stnc=")</f>
        <v>#VALUE!</v>
      </c>
      <c r="DQ67" t="e">
        <f>AND(DATA!J565,"AAAAAH2stng=")</f>
        <v>#VALUE!</v>
      </c>
      <c r="DR67" t="e">
        <f>AND(DATA!K565,"AAAAAH2stnk=")</f>
        <v>#VALUE!</v>
      </c>
      <c r="DS67" t="b">
        <f>AND(DATA!L565,"AAAAAH2stno=")</f>
        <v>1</v>
      </c>
      <c r="DT67" t="b">
        <f>AND(DATA!M565,"AAAAAH2stns=")</f>
        <v>1</v>
      </c>
      <c r="DU67" t="b">
        <f>AND(DATA!N565,"AAAAAH2stnw=")</f>
        <v>1</v>
      </c>
      <c r="DV67">
        <f>IF(DATA!566:566,"AAAAAH2stn0=",0)</f>
        <v>0</v>
      </c>
      <c r="DW67" t="e">
        <f>AND(DATA!A566,"AAAAAH2stn4=")</f>
        <v>#VALUE!</v>
      </c>
      <c r="DX67" t="e">
        <f>AND(DATA!B566,"AAAAAH2stn8=")</f>
        <v>#VALUE!</v>
      </c>
      <c r="DY67" t="e">
        <f>AND(DATA!C566,"AAAAAH2stoA=")</f>
        <v>#VALUE!</v>
      </c>
      <c r="DZ67" t="e">
        <f>AND(DATA!D566,"AAAAAH2stoE=")</f>
        <v>#VALUE!</v>
      </c>
      <c r="EA67" t="e">
        <f>AND(DATA!E566,"AAAAAH2stoI=")</f>
        <v>#VALUE!</v>
      </c>
      <c r="EB67" t="e">
        <f>AND(DATA!F566,"AAAAAH2stoM=")</f>
        <v>#VALUE!</v>
      </c>
      <c r="EC67" t="e">
        <f>AND(DATA!G566,"AAAAAH2stoQ=")</f>
        <v>#VALUE!</v>
      </c>
      <c r="ED67" t="e">
        <f>AND(DATA!H566,"AAAAAH2stoU=")</f>
        <v>#VALUE!</v>
      </c>
      <c r="EE67" t="e">
        <f>AND(DATA!I566,"AAAAAH2stoY=")</f>
        <v>#VALUE!</v>
      </c>
      <c r="EF67" t="e">
        <f>AND(DATA!J566,"AAAAAH2stoc=")</f>
        <v>#VALUE!</v>
      </c>
      <c r="EG67" t="e">
        <f>AND(DATA!K566,"AAAAAH2stog=")</f>
        <v>#VALUE!</v>
      </c>
      <c r="EH67" t="b">
        <f>AND(DATA!L566,"AAAAAH2stok=")</f>
        <v>1</v>
      </c>
      <c r="EI67" t="b">
        <f>AND(DATA!M566,"AAAAAH2stoo=")</f>
        <v>1</v>
      </c>
      <c r="EJ67" t="b">
        <f>AND(DATA!N566,"AAAAAH2stos=")</f>
        <v>1</v>
      </c>
      <c r="EK67">
        <f>IF(DATA!567:567,"AAAAAH2stow=",0)</f>
        <v>0</v>
      </c>
      <c r="EL67" t="e">
        <f>AND(DATA!A567,"AAAAAH2sto0=")</f>
        <v>#VALUE!</v>
      </c>
      <c r="EM67" t="e">
        <f>AND(DATA!B567,"AAAAAH2sto4=")</f>
        <v>#VALUE!</v>
      </c>
      <c r="EN67" t="e">
        <f>AND(DATA!C567,"AAAAAH2sto8=")</f>
        <v>#VALUE!</v>
      </c>
      <c r="EO67" t="e">
        <f>AND(DATA!D567,"AAAAAH2stpA=")</f>
        <v>#VALUE!</v>
      </c>
      <c r="EP67" t="e">
        <f>AND(DATA!E567,"AAAAAH2stpE=")</f>
        <v>#VALUE!</v>
      </c>
      <c r="EQ67" t="e">
        <f>AND(DATA!F567,"AAAAAH2stpI=")</f>
        <v>#VALUE!</v>
      </c>
      <c r="ER67" t="e">
        <f>AND(DATA!G567,"AAAAAH2stpM=")</f>
        <v>#VALUE!</v>
      </c>
      <c r="ES67" t="e">
        <f>AND(DATA!H567,"AAAAAH2stpQ=")</f>
        <v>#VALUE!</v>
      </c>
      <c r="ET67" t="e">
        <f>AND(DATA!I567,"AAAAAH2stpU=")</f>
        <v>#VALUE!</v>
      </c>
      <c r="EU67" t="e">
        <f>AND(DATA!J567,"AAAAAH2stpY=")</f>
        <v>#VALUE!</v>
      </c>
      <c r="EV67" t="e">
        <f>AND(DATA!K567,"AAAAAH2stpc=")</f>
        <v>#VALUE!</v>
      </c>
      <c r="EW67" t="b">
        <f>AND(DATA!L567,"AAAAAH2stpg=")</f>
        <v>1</v>
      </c>
      <c r="EX67" t="b">
        <f>AND(DATA!M567,"AAAAAH2stpk=")</f>
        <v>1</v>
      </c>
      <c r="EY67" t="b">
        <f>AND(DATA!N567,"AAAAAH2stpo=")</f>
        <v>1</v>
      </c>
      <c r="EZ67">
        <f>IF(DATA!568:568,"AAAAAH2stps=",0)</f>
        <v>0</v>
      </c>
      <c r="FA67" t="e">
        <f>AND(DATA!A568,"AAAAAH2stpw=")</f>
        <v>#VALUE!</v>
      </c>
      <c r="FB67" t="e">
        <f>AND(DATA!B568,"AAAAAH2stp0=")</f>
        <v>#VALUE!</v>
      </c>
      <c r="FC67" t="e">
        <f>AND(DATA!C568,"AAAAAH2stp4=")</f>
        <v>#VALUE!</v>
      </c>
      <c r="FD67" t="e">
        <f>AND(DATA!D568,"AAAAAH2stp8=")</f>
        <v>#VALUE!</v>
      </c>
      <c r="FE67" t="e">
        <f>AND(DATA!E568,"AAAAAH2stqA=")</f>
        <v>#VALUE!</v>
      </c>
      <c r="FF67" t="e">
        <f>AND(DATA!F568,"AAAAAH2stqE=")</f>
        <v>#VALUE!</v>
      </c>
      <c r="FG67" t="e">
        <f>AND(DATA!G568,"AAAAAH2stqI=")</f>
        <v>#VALUE!</v>
      </c>
      <c r="FH67" t="e">
        <f>AND(DATA!H568,"AAAAAH2stqM=")</f>
        <v>#VALUE!</v>
      </c>
      <c r="FI67" t="e">
        <f>AND(DATA!I568,"AAAAAH2stqQ=")</f>
        <v>#VALUE!</v>
      </c>
      <c r="FJ67" t="e">
        <f>AND(DATA!J568,"AAAAAH2stqU=")</f>
        <v>#VALUE!</v>
      </c>
      <c r="FK67" t="e">
        <f>AND(DATA!K568,"AAAAAH2stqY=")</f>
        <v>#VALUE!</v>
      </c>
      <c r="FL67" t="b">
        <f>AND(DATA!L568,"AAAAAH2stqc=")</f>
        <v>1</v>
      </c>
      <c r="FM67" t="b">
        <f>AND(DATA!M568,"AAAAAH2stqg=")</f>
        <v>1</v>
      </c>
      <c r="FN67" t="b">
        <f>AND(DATA!N568,"AAAAAH2stqk=")</f>
        <v>1</v>
      </c>
      <c r="FO67">
        <f>IF(DATA!569:569,"AAAAAH2stqo=",0)</f>
        <v>0</v>
      </c>
      <c r="FP67" t="e">
        <f>AND(DATA!A569,"AAAAAH2stqs=")</f>
        <v>#VALUE!</v>
      </c>
      <c r="FQ67" t="e">
        <f>AND(DATA!B569,"AAAAAH2stqw=")</f>
        <v>#VALUE!</v>
      </c>
      <c r="FR67" t="e">
        <f>AND(DATA!C569,"AAAAAH2stq0=")</f>
        <v>#VALUE!</v>
      </c>
      <c r="FS67" t="e">
        <f>AND(DATA!D569,"AAAAAH2stq4=")</f>
        <v>#VALUE!</v>
      </c>
      <c r="FT67" t="e">
        <f>AND(DATA!E569,"AAAAAH2stq8=")</f>
        <v>#VALUE!</v>
      </c>
      <c r="FU67" t="e">
        <f>AND(DATA!F569,"AAAAAH2strA=")</f>
        <v>#VALUE!</v>
      </c>
      <c r="FV67" t="e">
        <f>AND(DATA!G569,"AAAAAH2strE=")</f>
        <v>#VALUE!</v>
      </c>
      <c r="FW67" t="e">
        <f>AND(DATA!H569,"AAAAAH2strI=")</f>
        <v>#VALUE!</v>
      </c>
      <c r="FX67" t="e">
        <f>AND(DATA!I569,"AAAAAH2strM=")</f>
        <v>#VALUE!</v>
      </c>
      <c r="FY67" t="e">
        <f>AND(DATA!J569,"AAAAAH2strQ=")</f>
        <v>#VALUE!</v>
      </c>
      <c r="FZ67" t="e">
        <f>AND(DATA!K569,"AAAAAH2strU=")</f>
        <v>#VALUE!</v>
      </c>
      <c r="GA67" t="b">
        <f>AND(DATA!L569,"AAAAAH2strY=")</f>
        <v>1</v>
      </c>
      <c r="GB67" t="b">
        <f>AND(DATA!M569,"AAAAAH2strc=")</f>
        <v>1</v>
      </c>
      <c r="GC67" t="b">
        <f>AND(DATA!N569,"AAAAAH2strg=")</f>
        <v>1</v>
      </c>
      <c r="GD67">
        <f>IF(DATA!570:570,"AAAAAH2strk=",0)</f>
        <v>0</v>
      </c>
      <c r="GE67" t="e">
        <f>AND(DATA!A570,"AAAAAH2stro=")</f>
        <v>#VALUE!</v>
      </c>
      <c r="GF67" t="e">
        <f>AND(DATA!B570,"AAAAAH2strs=")</f>
        <v>#VALUE!</v>
      </c>
      <c r="GG67" t="e">
        <f>AND(DATA!C570,"AAAAAH2strw=")</f>
        <v>#VALUE!</v>
      </c>
      <c r="GH67" t="e">
        <f>AND(DATA!D570,"AAAAAH2str0=")</f>
        <v>#VALUE!</v>
      </c>
      <c r="GI67" t="e">
        <f>AND(DATA!E570,"AAAAAH2str4=")</f>
        <v>#VALUE!</v>
      </c>
      <c r="GJ67" t="e">
        <f>AND(DATA!F570,"AAAAAH2str8=")</f>
        <v>#VALUE!</v>
      </c>
      <c r="GK67" t="e">
        <f>AND(DATA!G570,"AAAAAH2stsA=")</f>
        <v>#VALUE!</v>
      </c>
      <c r="GL67" t="e">
        <f>AND(DATA!H570,"AAAAAH2stsE=")</f>
        <v>#VALUE!</v>
      </c>
      <c r="GM67" t="e">
        <f>AND(DATA!I570,"AAAAAH2stsI=")</f>
        <v>#VALUE!</v>
      </c>
      <c r="GN67" t="e">
        <f>AND(DATA!J570,"AAAAAH2stsM=")</f>
        <v>#VALUE!</v>
      </c>
      <c r="GO67" t="e">
        <f>AND(DATA!K570,"AAAAAH2stsQ=")</f>
        <v>#VALUE!</v>
      </c>
      <c r="GP67" t="b">
        <f>AND(DATA!L570,"AAAAAH2stsU=")</f>
        <v>1</v>
      </c>
      <c r="GQ67" t="b">
        <f>AND(DATA!M570,"AAAAAH2stsY=")</f>
        <v>1</v>
      </c>
      <c r="GR67" t="b">
        <f>AND(DATA!N570,"AAAAAH2stsc=")</f>
        <v>1</v>
      </c>
      <c r="GS67">
        <f>IF(DATA!571:571,"AAAAAH2stsg=",0)</f>
        <v>0</v>
      </c>
      <c r="GT67" t="e">
        <f>AND(DATA!A571,"AAAAAH2stsk=")</f>
        <v>#VALUE!</v>
      </c>
      <c r="GU67" t="e">
        <f>AND(DATA!B571,"AAAAAH2stso=")</f>
        <v>#VALUE!</v>
      </c>
      <c r="GV67" t="e">
        <f>AND(DATA!C571,"AAAAAH2stss=")</f>
        <v>#VALUE!</v>
      </c>
      <c r="GW67" t="e">
        <f>AND(DATA!D571,"AAAAAH2stsw=")</f>
        <v>#VALUE!</v>
      </c>
      <c r="GX67" t="e">
        <f>AND(DATA!E571,"AAAAAH2sts0=")</f>
        <v>#VALUE!</v>
      </c>
      <c r="GY67" t="e">
        <f>AND(DATA!F571,"AAAAAH2sts4=")</f>
        <v>#VALUE!</v>
      </c>
      <c r="GZ67" t="e">
        <f>AND(DATA!G571,"AAAAAH2sts8=")</f>
        <v>#VALUE!</v>
      </c>
      <c r="HA67" t="e">
        <f>AND(DATA!H571,"AAAAAH2sttA=")</f>
        <v>#VALUE!</v>
      </c>
      <c r="HB67" t="e">
        <f>AND(DATA!I571,"AAAAAH2sttE=")</f>
        <v>#VALUE!</v>
      </c>
      <c r="HC67" t="e">
        <f>AND(DATA!J571,"AAAAAH2sttI=")</f>
        <v>#VALUE!</v>
      </c>
      <c r="HD67" t="e">
        <f>AND(DATA!K571,"AAAAAH2sttM=")</f>
        <v>#VALUE!</v>
      </c>
      <c r="HE67" t="b">
        <f>AND(DATA!L571,"AAAAAH2sttQ=")</f>
        <v>1</v>
      </c>
      <c r="HF67" t="b">
        <f>AND(DATA!M571,"AAAAAH2sttU=")</f>
        <v>1</v>
      </c>
      <c r="HG67" t="b">
        <f>AND(DATA!N571,"AAAAAH2sttY=")</f>
        <v>1</v>
      </c>
      <c r="HH67">
        <f>IF(DATA!572:572,"AAAAAH2sttc=",0)</f>
        <v>0</v>
      </c>
      <c r="HI67" t="e">
        <f>AND(DATA!A572,"AAAAAH2sttg=")</f>
        <v>#VALUE!</v>
      </c>
      <c r="HJ67" t="e">
        <f>AND(DATA!B572,"AAAAAH2sttk=")</f>
        <v>#VALUE!</v>
      </c>
      <c r="HK67" t="e">
        <f>AND(DATA!C572,"AAAAAH2stto=")</f>
        <v>#VALUE!</v>
      </c>
      <c r="HL67" t="e">
        <f>AND(DATA!D572,"AAAAAH2stts=")</f>
        <v>#VALUE!</v>
      </c>
      <c r="HM67" t="e">
        <f>AND(DATA!E572,"AAAAAH2sttw=")</f>
        <v>#VALUE!</v>
      </c>
      <c r="HN67" t="e">
        <f>AND(DATA!F572,"AAAAAH2stt0=")</f>
        <v>#VALUE!</v>
      </c>
      <c r="HO67" t="e">
        <f>AND(DATA!G572,"AAAAAH2stt4=")</f>
        <v>#VALUE!</v>
      </c>
      <c r="HP67" t="e">
        <f>AND(DATA!H572,"AAAAAH2stt8=")</f>
        <v>#VALUE!</v>
      </c>
      <c r="HQ67" t="e">
        <f>AND(DATA!I572,"AAAAAH2stuA=")</f>
        <v>#VALUE!</v>
      </c>
      <c r="HR67" t="e">
        <f>AND(DATA!J572,"AAAAAH2stuE=")</f>
        <v>#VALUE!</v>
      </c>
      <c r="HS67" t="e">
        <f>AND(DATA!K572,"AAAAAH2stuI=")</f>
        <v>#VALUE!</v>
      </c>
      <c r="HT67" t="b">
        <f>AND(DATA!L572,"AAAAAH2stuM=")</f>
        <v>1</v>
      </c>
      <c r="HU67" t="b">
        <f>AND(DATA!M572,"AAAAAH2stuQ=")</f>
        <v>1</v>
      </c>
      <c r="HV67" t="b">
        <f>AND(DATA!N572,"AAAAAH2stuU=")</f>
        <v>1</v>
      </c>
      <c r="HW67">
        <f>IF(DATA!573:573,"AAAAAH2stuY=",0)</f>
        <v>0</v>
      </c>
      <c r="HX67" t="e">
        <f>AND(DATA!A573,"AAAAAH2stuc=")</f>
        <v>#VALUE!</v>
      </c>
      <c r="HY67" t="e">
        <f>AND(DATA!B573,"AAAAAH2stug=")</f>
        <v>#VALUE!</v>
      </c>
      <c r="HZ67" t="e">
        <f>AND(DATA!C573,"AAAAAH2stuk=")</f>
        <v>#VALUE!</v>
      </c>
      <c r="IA67" t="e">
        <f>AND(DATA!D573,"AAAAAH2stuo=")</f>
        <v>#VALUE!</v>
      </c>
      <c r="IB67" t="e">
        <f>AND(DATA!E573,"AAAAAH2stus=")</f>
        <v>#VALUE!</v>
      </c>
      <c r="IC67" t="e">
        <f>AND(DATA!F573,"AAAAAH2stuw=")</f>
        <v>#VALUE!</v>
      </c>
      <c r="ID67" t="e">
        <f>AND(DATA!G573,"AAAAAH2stu0=")</f>
        <v>#VALUE!</v>
      </c>
      <c r="IE67" t="e">
        <f>AND(DATA!H573,"AAAAAH2stu4=")</f>
        <v>#VALUE!</v>
      </c>
      <c r="IF67" t="e">
        <f>AND(DATA!I573,"AAAAAH2stu8=")</f>
        <v>#VALUE!</v>
      </c>
      <c r="IG67" t="e">
        <f>AND(DATA!J573,"AAAAAH2stvA=")</f>
        <v>#VALUE!</v>
      </c>
      <c r="IH67" t="e">
        <f>AND(DATA!K573,"AAAAAH2stvE=")</f>
        <v>#VALUE!</v>
      </c>
      <c r="II67" t="b">
        <f>AND(DATA!L573,"AAAAAH2stvI=")</f>
        <v>1</v>
      </c>
      <c r="IJ67" t="b">
        <f>AND(DATA!M573,"AAAAAH2stvM=")</f>
        <v>1</v>
      </c>
      <c r="IK67" t="b">
        <f>AND(DATA!N573,"AAAAAH2stvQ=")</f>
        <v>1</v>
      </c>
      <c r="IL67">
        <f>IF(DATA!574:574,"AAAAAH2stvU=",0)</f>
        <v>0</v>
      </c>
      <c r="IM67" t="e">
        <f>AND(DATA!A574,"AAAAAH2stvY=")</f>
        <v>#VALUE!</v>
      </c>
      <c r="IN67" t="e">
        <f>AND(DATA!B574,"AAAAAH2stvc=")</f>
        <v>#VALUE!</v>
      </c>
      <c r="IO67" t="e">
        <f>AND(DATA!C574,"AAAAAH2stvg=")</f>
        <v>#VALUE!</v>
      </c>
      <c r="IP67" t="e">
        <f>AND(DATA!D574,"AAAAAH2stvk=")</f>
        <v>#VALUE!</v>
      </c>
      <c r="IQ67" t="e">
        <f>AND(DATA!E574,"AAAAAH2stvo=")</f>
        <v>#VALUE!</v>
      </c>
      <c r="IR67" t="e">
        <f>AND(DATA!F574,"AAAAAH2stvs=")</f>
        <v>#VALUE!</v>
      </c>
      <c r="IS67" t="e">
        <f>AND(DATA!G574,"AAAAAH2stvw=")</f>
        <v>#VALUE!</v>
      </c>
      <c r="IT67" t="e">
        <f>AND(DATA!H574,"AAAAAH2stv0=")</f>
        <v>#VALUE!</v>
      </c>
      <c r="IU67" t="e">
        <f>AND(DATA!I574,"AAAAAH2stv4=")</f>
        <v>#VALUE!</v>
      </c>
      <c r="IV67" t="e">
        <f>AND(DATA!J574,"AAAAAH2stv8=")</f>
        <v>#VALUE!</v>
      </c>
    </row>
    <row r="68" spans="1:256">
      <c r="A68" t="e">
        <f>AND(DATA!K574,"AAAAAG/d/gA=")</f>
        <v>#VALUE!</v>
      </c>
      <c r="B68" t="b">
        <f>AND(DATA!L574,"AAAAAG/d/gE=")</f>
        <v>1</v>
      </c>
      <c r="C68" t="b">
        <f>AND(DATA!M574,"AAAAAG/d/gI=")</f>
        <v>1</v>
      </c>
      <c r="D68" t="b">
        <f>AND(DATA!N574,"AAAAAG/d/gM=")</f>
        <v>1</v>
      </c>
      <c r="E68">
        <f>IF(DATA!575:575,"AAAAAG/d/gQ=",0)</f>
        <v>0</v>
      </c>
      <c r="F68" t="e">
        <f>AND(DATA!A575,"AAAAAG/d/gU=")</f>
        <v>#VALUE!</v>
      </c>
      <c r="G68" t="e">
        <f>AND(DATA!B575,"AAAAAG/d/gY=")</f>
        <v>#VALUE!</v>
      </c>
      <c r="H68" t="e">
        <f>AND(DATA!C575,"AAAAAG/d/gc=")</f>
        <v>#VALUE!</v>
      </c>
      <c r="I68" t="e">
        <f>AND(DATA!D575,"AAAAAG/d/gg=")</f>
        <v>#VALUE!</v>
      </c>
      <c r="J68" t="e">
        <f>AND(DATA!E575,"AAAAAG/d/gk=")</f>
        <v>#VALUE!</v>
      </c>
      <c r="K68" t="e">
        <f>AND(DATA!F575,"AAAAAG/d/go=")</f>
        <v>#VALUE!</v>
      </c>
      <c r="L68" t="e">
        <f>AND(DATA!G575,"AAAAAG/d/gs=")</f>
        <v>#VALUE!</v>
      </c>
      <c r="M68" t="e">
        <f>AND(DATA!H575,"AAAAAG/d/gw=")</f>
        <v>#VALUE!</v>
      </c>
      <c r="N68" t="e">
        <f>AND(DATA!I575,"AAAAAG/d/g0=")</f>
        <v>#VALUE!</v>
      </c>
      <c r="O68" t="e">
        <f>AND(DATA!J575,"AAAAAG/d/g4=")</f>
        <v>#VALUE!</v>
      </c>
      <c r="P68" t="e">
        <f>AND(DATA!K575,"AAAAAG/d/g8=")</f>
        <v>#VALUE!</v>
      </c>
      <c r="Q68" t="b">
        <f>AND(DATA!L575,"AAAAAG/d/hA=")</f>
        <v>1</v>
      </c>
      <c r="R68" t="b">
        <f>AND(DATA!M575,"AAAAAG/d/hE=")</f>
        <v>1</v>
      </c>
      <c r="S68" t="b">
        <f>AND(DATA!N575,"AAAAAG/d/hI=")</f>
        <v>1</v>
      </c>
      <c r="T68">
        <f>IF(DATA!576:576,"AAAAAG/d/hM=",0)</f>
        <v>0</v>
      </c>
      <c r="U68" t="e">
        <f>AND(DATA!A576,"AAAAAG/d/hQ=")</f>
        <v>#VALUE!</v>
      </c>
      <c r="V68" t="e">
        <f>AND(DATA!B576,"AAAAAG/d/hU=")</f>
        <v>#VALUE!</v>
      </c>
      <c r="W68" t="e">
        <f>AND(DATA!C576,"AAAAAG/d/hY=")</f>
        <v>#VALUE!</v>
      </c>
      <c r="X68" t="e">
        <f>AND(DATA!D576,"AAAAAG/d/hc=")</f>
        <v>#VALUE!</v>
      </c>
      <c r="Y68" t="e">
        <f>AND(DATA!E576,"AAAAAG/d/hg=")</f>
        <v>#VALUE!</v>
      </c>
      <c r="Z68" t="e">
        <f>AND(DATA!F576,"AAAAAG/d/hk=")</f>
        <v>#VALUE!</v>
      </c>
      <c r="AA68" t="e">
        <f>AND(DATA!G576,"AAAAAG/d/ho=")</f>
        <v>#VALUE!</v>
      </c>
      <c r="AB68" t="e">
        <f>AND(DATA!H576,"AAAAAG/d/hs=")</f>
        <v>#VALUE!</v>
      </c>
      <c r="AC68" t="e">
        <f>AND(DATA!I576,"AAAAAG/d/hw=")</f>
        <v>#VALUE!</v>
      </c>
      <c r="AD68" t="e">
        <f>AND(DATA!J576,"AAAAAG/d/h0=")</f>
        <v>#VALUE!</v>
      </c>
      <c r="AE68" t="e">
        <f>AND(DATA!K576,"AAAAAG/d/h4=")</f>
        <v>#VALUE!</v>
      </c>
      <c r="AF68" t="b">
        <f>AND(DATA!L576,"AAAAAG/d/h8=")</f>
        <v>1</v>
      </c>
      <c r="AG68" t="b">
        <f>AND(DATA!M576,"AAAAAG/d/iA=")</f>
        <v>1</v>
      </c>
      <c r="AH68" t="b">
        <f>AND(DATA!N576,"AAAAAG/d/iE=")</f>
        <v>1</v>
      </c>
      <c r="AI68">
        <f>IF(DATA!577:577,"AAAAAG/d/iI=",0)</f>
        <v>0</v>
      </c>
      <c r="AJ68" t="e">
        <f>AND(DATA!A577,"AAAAAG/d/iM=")</f>
        <v>#VALUE!</v>
      </c>
      <c r="AK68" t="e">
        <f>AND(DATA!B577,"AAAAAG/d/iQ=")</f>
        <v>#VALUE!</v>
      </c>
      <c r="AL68" t="e">
        <f>AND(DATA!C577,"AAAAAG/d/iU=")</f>
        <v>#VALUE!</v>
      </c>
      <c r="AM68" t="e">
        <f>AND(DATA!D577,"AAAAAG/d/iY=")</f>
        <v>#VALUE!</v>
      </c>
      <c r="AN68" t="e">
        <f>AND(DATA!E577,"AAAAAG/d/ic=")</f>
        <v>#VALUE!</v>
      </c>
      <c r="AO68" t="e">
        <f>AND(DATA!F577,"AAAAAG/d/ig=")</f>
        <v>#VALUE!</v>
      </c>
      <c r="AP68" t="e">
        <f>AND(DATA!G577,"AAAAAG/d/ik=")</f>
        <v>#VALUE!</v>
      </c>
      <c r="AQ68" t="e">
        <f>AND(DATA!H577,"AAAAAG/d/io=")</f>
        <v>#VALUE!</v>
      </c>
      <c r="AR68" t="e">
        <f>AND(DATA!I577,"AAAAAG/d/is=")</f>
        <v>#VALUE!</v>
      </c>
      <c r="AS68" t="e">
        <f>AND(DATA!J577,"AAAAAG/d/iw=")</f>
        <v>#VALUE!</v>
      </c>
      <c r="AT68" t="e">
        <f>AND(DATA!K577,"AAAAAG/d/i0=")</f>
        <v>#VALUE!</v>
      </c>
      <c r="AU68" t="b">
        <f>AND(DATA!L577,"AAAAAG/d/i4=")</f>
        <v>1</v>
      </c>
      <c r="AV68" t="b">
        <f>AND(DATA!M577,"AAAAAG/d/i8=")</f>
        <v>1</v>
      </c>
      <c r="AW68" t="b">
        <f>AND(DATA!N577,"AAAAAG/d/jA=")</f>
        <v>1</v>
      </c>
      <c r="AX68">
        <f>IF(DATA!578:578,"AAAAAG/d/jE=",0)</f>
        <v>0</v>
      </c>
      <c r="AY68" t="e">
        <f>AND(DATA!A578,"AAAAAG/d/jI=")</f>
        <v>#VALUE!</v>
      </c>
      <c r="AZ68" t="e">
        <f>AND(DATA!B578,"AAAAAG/d/jM=")</f>
        <v>#VALUE!</v>
      </c>
      <c r="BA68" t="e">
        <f>AND(DATA!C578,"AAAAAG/d/jQ=")</f>
        <v>#VALUE!</v>
      </c>
      <c r="BB68" t="e">
        <f>AND(DATA!D578,"AAAAAG/d/jU=")</f>
        <v>#VALUE!</v>
      </c>
      <c r="BC68" t="e">
        <f>AND(DATA!E578,"AAAAAG/d/jY=")</f>
        <v>#VALUE!</v>
      </c>
      <c r="BD68" t="e">
        <f>AND(DATA!F578,"AAAAAG/d/jc=")</f>
        <v>#VALUE!</v>
      </c>
      <c r="BE68" t="e">
        <f>AND(DATA!G578,"AAAAAG/d/jg=")</f>
        <v>#VALUE!</v>
      </c>
      <c r="BF68" t="e">
        <f>AND(DATA!H578,"AAAAAG/d/jk=")</f>
        <v>#VALUE!</v>
      </c>
      <c r="BG68" t="e">
        <f>AND(DATA!I578,"AAAAAG/d/jo=")</f>
        <v>#VALUE!</v>
      </c>
      <c r="BH68" t="e">
        <f>AND(DATA!J578,"AAAAAG/d/js=")</f>
        <v>#VALUE!</v>
      </c>
      <c r="BI68" t="e">
        <f>AND(DATA!K578,"AAAAAG/d/jw=")</f>
        <v>#VALUE!</v>
      </c>
      <c r="BJ68" t="b">
        <f>AND(DATA!L578,"AAAAAG/d/j0=")</f>
        <v>1</v>
      </c>
      <c r="BK68" t="b">
        <f>AND(DATA!M578,"AAAAAG/d/j4=")</f>
        <v>1</v>
      </c>
      <c r="BL68" t="b">
        <f>AND(DATA!N578,"AAAAAG/d/j8=")</f>
        <v>1</v>
      </c>
      <c r="BM68">
        <f>IF(DATA!579:579,"AAAAAG/d/kA=",0)</f>
        <v>0</v>
      </c>
      <c r="BN68" t="e">
        <f>AND(DATA!A579,"AAAAAG/d/kE=")</f>
        <v>#VALUE!</v>
      </c>
      <c r="BO68" t="e">
        <f>AND(DATA!B579,"AAAAAG/d/kI=")</f>
        <v>#VALUE!</v>
      </c>
      <c r="BP68" t="e">
        <f>AND(DATA!C579,"AAAAAG/d/kM=")</f>
        <v>#VALUE!</v>
      </c>
      <c r="BQ68" t="e">
        <f>AND(DATA!D579,"AAAAAG/d/kQ=")</f>
        <v>#VALUE!</v>
      </c>
      <c r="BR68" t="e">
        <f>AND(DATA!E579,"AAAAAG/d/kU=")</f>
        <v>#VALUE!</v>
      </c>
      <c r="BS68" t="e">
        <f>AND(DATA!F579,"AAAAAG/d/kY=")</f>
        <v>#VALUE!</v>
      </c>
      <c r="BT68" t="e">
        <f>AND(DATA!G579,"AAAAAG/d/kc=")</f>
        <v>#VALUE!</v>
      </c>
      <c r="BU68" t="e">
        <f>AND(DATA!H579,"AAAAAG/d/kg=")</f>
        <v>#VALUE!</v>
      </c>
      <c r="BV68" t="e">
        <f>AND(DATA!I579,"AAAAAG/d/kk=")</f>
        <v>#VALUE!</v>
      </c>
      <c r="BW68" t="e">
        <f>AND(DATA!J579,"AAAAAG/d/ko=")</f>
        <v>#VALUE!</v>
      </c>
      <c r="BX68" t="e">
        <f>AND(DATA!K579,"AAAAAG/d/ks=")</f>
        <v>#VALUE!</v>
      </c>
      <c r="BY68" t="b">
        <f>AND(DATA!L579,"AAAAAG/d/kw=")</f>
        <v>1</v>
      </c>
      <c r="BZ68" t="b">
        <f>AND(DATA!M579,"AAAAAG/d/k0=")</f>
        <v>1</v>
      </c>
      <c r="CA68" t="b">
        <f>AND(DATA!N579,"AAAAAG/d/k4=")</f>
        <v>1</v>
      </c>
      <c r="CB68">
        <f>IF(DATA!580:580,"AAAAAG/d/k8=",0)</f>
        <v>0</v>
      </c>
      <c r="CC68" t="e">
        <f>AND(DATA!A580,"AAAAAG/d/lA=")</f>
        <v>#VALUE!</v>
      </c>
      <c r="CD68" t="e">
        <f>AND(DATA!B580,"AAAAAG/d/lE=")</f>
        <v>#VALUE!</v>
      </c>
      <c r="CE68" t="e">
        <f>AND(DATA!C580,"AAAAAG/d/lI=")</f>
        <v>#VALUE!</v>
      </c>
      <c r="CF68" t="e">
        <f>AND(DATA!D580,"AAAAAG/d/lM=")</f>
        <v>#VALUE!</v>
      </c>
      <c r="CG68" t="e">
        <f>AND(DATA!E580,"AAAAAG/d/lQ=")</f>
        <v>#VALUE!</v>
      </c>
      <c r="CH68" t="e">
        <f>AND(DATA!F580,"AAAAAG/d/lU=")</f>
        <v>#VALUE!</v>
      </c>
      <c r="CI68" t="e">
        <f>AND(DATA!G580,"AAAAAG/d/lY=")</f>
        <v>#VALUE!</v>
      </c>
      <c r="CJ68" t="e">
        <f>AND(DATA!H580,"AAAAAG/d/lc=")</f>
        <v>#VALUE!</v>
      </c>
      <c r="CK68" t="e">
        <f>AND(DATA!I580,"AAAAAG/d/lg=")</f>
        <v>#VALUE!</v>
      </c>
      <c r="CL68" t="e">
        <f>AND(DATA!J580,"AAAAAG/d/lk=")</f>
        <v>#VALUE!</v>
      </c>
      <c r="CM68" t="e">
        <f>AND(DATA!K580,"AAAAAG/d/lo=")</f>
        <v>#VALUE!</v>
      </c>
      <c r="CN68" t="b">
        <f>AND(DATA!L580,"AAAAAG/d/ls=")</f>
        <v>1</v>
      </c>
      <c r="CO68" t="b">
        <f>AND(DATA!M580,"AAAAAG/d/lw=")</f>
        <v>1</v>
      </c>
      <c r="CP68" t="b">
        <f>AND(DATA!N580,"AAAAAG/d/l0=")</f>
        <v>1</v>
      </c>
      <c r="CQ68">
        <f>IF(DATA!581:581,"AAAAAG/d/l4=",0)</f>
        <v>0</v>
      </c>
      <c r="CR68" t="e">
        <f>AND(DATA!A581,"AAAAAG/d/l8=")</f>
        <v>#VALUE!</v>
      </c>
      <c r="CS68" t="e">
        <f>AND(DATA!B581,"AAAAAG/d/mA=")</f>
        <v>#VALUE!</v>
      </c>
      <c r="CT68" t="e">
        <f>AND(DATA!C581,"AAAAAG/d/mE=")</f>
        <v>#VALUE!</v>
      </c>
      <c r="CU68" t="e">
        <f>AND(DATA!D581,"AAAAAG/d/mI=")</f>
        <v>#VALUE!</v>
      </c>
      <c r="CV68" t="e">
        <f>AND(DATA!E581,"AAAAAG/d/mM=")</f>
        <v>#VALUE!</v>
      </c>
      <c r="CW68" t="e">
        <f>AND(DATA!F581,"AAAAAG/d/mQ=")</f>
        <v>#VALUE!</v>
      </c>
      <c r="CX68" t="e">
        <f>AND(DATA!G581,"AAAAAG/d/mU=")</f>
        <v>#VALUE!</v>
      </c>
      <c r="CY68" t="e">
        <f>AND(DATA!H581,"AAAAAG/d/mY=")</f>
        <v>#VALUE!</v>
      </c>
      <c r="CZ68" t="e">
        <f>AND(DATA!I581,"AAAAAG/d/mc=")</f>
        <v>#VALUE!</v>
      </c>
      <c r="DA68" t="e">
        <f>AND(DATA!J581,"AAAAAG/d/mg=")</f>
        <v>#VALUE!</v>
      </c>
      <c r="DB68" t="e">
        <f>AND(DATA!K581,"AAAAAG/d/mk=")</f>
        <v>#VALUE!</v>
      </c>
      <c r="DC68" t="b">
        <f>AND(DATA!L581,"AAAAAG/d/mo=")</f>
        <v>1</v>
      </c>
      <c r="DD68" t="b">
        <f>AND(DATA!M581,"AAAAAG/d/ms=")</f>
        <v>1</v>
      </c>
      <c r="DE68" t="b">
        <f>AND(DATA!N581,"AAAAAG/d/mw=")</f>
        <v>1</v>
      </c>
      <c r="DF68">
        <f>IF(DATA!582:582,"AAAAAG/d/m0=",0)</f>
        <v>0</v>
      </c>
      <c r="DG68" t="e">
        <f>AND(DATA!A582,"AAAAAG/d/m4=")</f>
        <v>#VALUE!</v>
      </c>
      <c r="DH68" t="e">
        <f>AND(DATA!B582,"AAAAAG/d/m8=")</f>
        <v>#VALUE!</v>
      </c>
      <c r="DI68" t="e">
        <f>AND(DATA!C582,"AAAAAG/d/nA=")</f>
        <v>#VALUE!</v>
      </c>
      <c r="DJ68" t="e">
        <f>AND(DATA!D582,"AAAAAG/d/nE=")</f>
        <v>#VALUE!</v>
      </c>
      <c r="DK68" t="e">
        <f>AND(DATA!E582,"AAAAAG/d/nI=")</f>
        <v>#VALUE!</v>
      </c>
      <c r="DL68" t="e">
        <f>AND(DATA!F582,"AAAAAG/d/nM=")</f>
        <v>#VALUE!</v>
      </c>
      <c r="DM68" t="e">
        <f>AND(DATA!G582,"AAAAAG/d/nQ=")</f>
        <v>#VALUE!</v>
      </c>
      <c r="DN68" t="e">
        <f>AND(DATA!H582,"AAAAAG/d/nU=")</f>
        <v>#VALUE!</v>
      </c>
      <c r="DO68" t="e">
        <f>AND(DATA!I582,"AAAAAG/d/nY=")</f>
        <v>#VALUE!</v>
      </c>
      <c r="DP68" t="e">
        <f>AND(DATA!J582,"AAAAAG/d/nc=")</f>
        <v>#VALUE!</v>
      </c>
      <c r="DQ68" t="e">
        <f>AND(DATA!K582,"AAAAAG/d/ng=")</f>
        <v>#VALUE!</v>
      </c>
      <c r="DR68" t="b">
        <f>AND(DATA!L582,"AAAAAG/d/nk=")</f>
        <v>1</v>
      </c>
      <c r="DS68" t="b">
        <f>AND(DATA!M582,"AAAAAG/d/no=")</f>
        <v>1</v>
      </c>
      <c r="DT68" t="b">
        <f>AND(DATA!N582,"AAAAAG/d/ns=")</f>
        <v>1</v>
      </c>
      <c r="DU68">
        <f>IF(DATA!583:583,"AAAAAG/d/nw=",0)</f>
        <v>0</v>
      </c>
      <c r="DV68" t="e">
        <f>AND(DATA!A583,"AAAAAG/d/n0=")</f>
        <v>#VALUE!</v>
      </c>
      <c r="DW68" t="e">
        <f>AND(DATA!B583,"AAAAAG/d/n4=")</f>
        <v>#VALUE!</v>
      </c>
      <c r="DX68" t="e">
        <f>AND(DATA!C583,"AAAAAG/d/n8=")</f>
        <v>#VALUE!</v>
      </c>
      <c r="DY68" t="e">
        <f>AND(DATA!D583,"AAAAAG/d/oA=")</f>
        <v>#VALUE!</v>
      </c>
      <c r="DZ68" t="e">
        <f>AND(DATA!E583,"AAAAAG/d/oE=")</f>
        <v>#VALUE!</v>
      </c>
      <c r="EA68" t="e">
        <f>AND(DATA!F583,"AAAAAG/d/oI=")</f>
        <v>#VALUE!</v>
      </c>
      <c r="EB68" t="e">
        <f>AND(DATA!G583,"AAAAAG/d/oM=")</f>
        <v>#VALUE!</v>
      </c>
      <c r="EC68" t="e">
        <f>AND(DATA!H583,"AAAAAG/d/oQ=")</f>
        <v>#VALUE!</v>
      </c>
      <c r="ED68" t="e">
        <f>AND(DATA!I583,"AAAAAG/d/oU=")</f>
        <v>#VALUE!</v>
      </c>
      <c r="EE68" t="e">
        <f>AND(DATA!J583,"AAAAAG/d/oY=")</f>
        <v>#VALUE!</v>
      </c>
      <c r="EF68" t="e">
        <f>AND(DATA!K583,"AAAAAG/d/oc=")</f>
        <v>#VALUE!</v>
      </c>
      <c r="EG68" t="b">
        <f>AND(DATA!L583,"AAAAAG/d/og=")</f>
        <v>1</v>
      </c>
      <c r="EH68" t="b">
        <f>AND(DATA!M583,"AAAAAG/d/ok=")</f>
        <v>1</v>
      </c>
      <c r="EI68" t="b">
        <f>AND(DATA!N583,"AAAAAG/d/oo=")</f>
        <v>1</v>
      </c>
      <c r="EJ68">
        <f>IF(DATA!584:584,"AAAAAG/d/os=",0)</f>
        <v>0</v>
      </c>
      <c r="EK68" t="e">
        <f>AND(DATA!A584,"AAAAAG/d/ow=")</f>
        <v>#VALUE!</v>
      </c>
      <c r="EL68" t="e">
        <f>AND(DATA!B584,"AAAAAG/d/o0=")</f>
        <v>#VALUE!</v>
      </c>
      <c r="EM68" t="e">
        <f>AND(DATA!C584,"AAAAAG/d/o4=")</f>
        <v>#VALUE!</v>
      </c>
      <c r="EN68" t="e">
        <f>AND(DATA!D584,"AAAAAG/d/o8=")</f>
        <v>#VALUE!</v>
      </c>
      <c r="EO68" t="e">
        <f>AND(DATA!E584,"AAAAAG/d/pA=")</f>
        <v>#VALUE!</v>
      </c>
      <c r="EP68" t="e">
        <f>AND(DATA!F584,"AAAAAG/d/pE=")</f>
        <v>#VALUE!</v>
      </c>
      <c r="EQ68" t="e">
        <f>AND(DATA!G584,"AAAAAG/d/pI=")</f>
        <v>#VALUE!</v>
      </c>
      <c r="ER68" t="e">
        <f>AND(DATA!H584,"AAAAAG/d/pM=")</f>
        <v>#VALUE!</v>
      </c>
      <c r="ES68" t="e">
        <f>AND(DATA!I584,"AAAAAG/d/pQ=")</f>
        <v>#VALUE!</v>
      </c>
      <c r="ET68" t="e">
        <f>AND(DATA!J584,"AAAAAG/d/pU=")</f>
        <v>#VALUE!</v>
      </c>
      <c r="EU68" t="e">
        <f>AND(DATA!K584,"AAAAAG/d/pY=")</f>
        <v>#VALUE!</v>
      </c>
      <c r="EV68" t="b">
        <f>AND(DATA!L584,"AAAAAG/d/pc=")</f>
        <v>1</v>
      </c>
      <c r="EW68" t="b">
        <f>AND(DATA!M584,"AAAAAG/d/pg=")</f>
        <v>1</v>
      </c>
      <c r="EX68" t="b">
        <f>AND(DATA!N584,"AAAAAG/d/pk=")</f>
        <v>1</v>
      </c>
      <c r="EY68">
        <f>IF(DATA!585:585,"AAAAAG/d/po=",0)</f>
        <v>0</v>
      </c>
      <c r="EZ68" t="e">
        <f>AND(DATA!A585,"AAAAAG/d/ps=")</f>
        <v>#VALUE!</v>
      </c>
      <c r="FA68" t="e">
        <f>AND(DATA!B585,"AAAAAG/d/pw=")</f>
        <v>#VALUE!</v>
      </c>
      <c r="FB68" t="e">
        <f>AND(DATA!C585,"AAAAAG/d/p0=")</f>
        <v>#VALUE!</v>
      </c>
      <c r="FC68" t="e">
        <f>AND(DATA!D585,"AAAAAG/d/p4=")</f>
        <v>#VALUE!</v>
      </c>
      <c r="FD68" t="e">
        <f>AND(DATA!E585,"AAAAAG/d/p8=")</f>
        <v>#VALUE!</v>
      </c>
      <c r="FE68" t="e">
        <f>AND(DATA!F585,"AAAAAG/d/qA=")</f>
        <v>#VALUE!</v>
      </c>
      <c r="FF68" t="e">
        <f>AND(DATA!G585,"AAAAAG/d/qE=")</f>
        <v>#VALUE!</v>
      </c>
      <c r="FG68" t="e">
        <f>AND(DATA!H585,"AAAAAG/d/qI=")</f>
        <v>#VALUE!</v>
      </c>
      <c r="FH68" t="e">
        <f>AND(DATA!I585,"AAAAAG/d/qM=")</f>
        <v>#VALUE!</v>
      </c>
      <c r="FI68" t="e">
        <f>AND(DATA!J585,"AAAAAG/d/qQ=")</f>
        <v>#VALUE!</v>
      </c>
      <c r="FJ68" t="e">
        <f>AND(DATA!K585,"AAAAAG/d/qU=")</f>
        <v>#VALUE!</v>
      </c>
      <c r="FK68" t="b">
        <f>AND(DATA!L585,"AAAAAG/d/qY=")</f>
        <v>1</v>
      </c>
      <c r="FL68" t="b">
        <f>AND(DATA!M585,"AAAAAG/d/qc=")</f>
        <v>1</v>
      </c>
      <c r="FM68" t="b">
        <f>AND(DATA!N585,"AAAAAG/d/qg=")</f>
        <v>1</v>
      </c>
      <c r="FN68">
        <f>IF(DATA!586:586,"AAAAAG/d/qk=",0)</f>
        <v>0</v>
      </c>
      <c r="FO68" t="e">
        <f>AND(DATA!A586,"AAAAAG/d/qo=")</f>
        <v>#VALUE!</v>
      </c>
      <c r="FP68" t="e">
        <f>AND(DATA!B586,"AAAAAG/d/qs=")</f>
        <v>#VALUE!</v>
      </c>
      <c r="FQ68" t="e">
        <f>AND(DATA!C586,"AAAAAG/d/qw=")</f>
        <v>#VALUE!</v>
      </c>
      <c r="FR68" t="e">
        <f>AND(DATA!D586,"AAAAAG/d/q0=")</f>
        <v>#VALUE!</v>
      </c>
      <c r="FS68" t="e">
        <f>AND(DATA!E586,"AAAAAG/d/q4=")</f>
        <v>#VALUE!</v>
      </c>
      <c r="FT68" t="e">
        <f>AND(DATA!F586,"AAAAAG/d/q8=")</f>
        <v>#VALUE!</v>
      </c>
      <c r="FU68" t="e">
        <f>AND(DATA!G586,"AAAAAG/d/rA=")</f>
        <v>#VALUE!</v>
      </c>
      <c r="FV68" t="e">
        <f>AND(DATA!H586,"AAAAAG/d/rE=")</f>
        <v>#VALUE!</v>
      </c>
      <c r="FW68" t="e">
        <f>AND(DATA!I586,"AAAAAG/d/rI=")</f>
        <v>#VALUE!</v>
      </c>
      <c r="FX68" t="e">
        <f>AND(DATA!J586,"AAAAAG/d/rM=")</f>
        <v>#VALUE!</v>
      </c>
      <c r="FY68" t="e">
        <f>AND(DATA!K586,"AAAAAG/d/rQ=")</f>
        <v>#VALUE!</v>
      </c>
      <c r="FZ68" t="b">
        <f>AND(DATA!L586,"AAAAAG/d/rU=")</f>
        <v>1</v>
      </c>
      <c r="GA68" t="b">
        <f>AND(DATA!M586,"AAAAAG/d/rY=")</f>
        <v>1</v>
      </c>
      <c r="GB68" t="b">
        <f>AND(DATA!N586,"AAAAAG/d/rc=")</f>
        <v>1</v>
      </c>
      <c r="GC68">
        <f>IF(DATA!587:587,"AAAAAG/d/rg=",0)</f>
        <v>0</v>
      </c>
      <c r="GD68" t="e">
        <f>AND(DATA!A587,"AAAAAG/d/rk=")</f>
        <v>#VALUE!</v>
      </c>
      <c r="GE68" t="e">
        <f>AND(DATA!B587,"AAAAAG/d/ro=")</f>
        <v>#VALUE!</v>
      </c>
      <c r="GF68" t="e">
        <f>AND(DATA!C587,"AAAAAG/d/rs=")</f>
        <v>#VALUE!</v>
      </c>
      <c r="GG68" t="e">
        <f>AND(DATA!D587,"AAAAAG/d/rw=")</f>
        <v>#VALUE!</v>
      </c>
      <c r="GH68" t="e">
        <f>AND(DATA!E587,"AAAAAG/d/r0=")</f>
        <v>#VALUE!</v>
      </c>
      <c r="GI68" t="e">
        <f>AND(DATA!F587,"AAAAAG/d/r4=")</f>
        <v>#VALUE!</v>
      </c>
      <c r="GJ68" t="e">
        <f>AND(DATA!G587,"AAAAAG/d/r8=")</f>
        <v>#VALUE!</v>
      </c>
      <c r="GK68" t="e">
        <f>AND(DATA!H587,"AAAAAG/d/sA=")</f>
        <v>#VALUE!</v>
      </c>
      <c r="GL68" t="e">
        <f>AND(DATA!I587,"AAAAAG/d/sE=")</f>
        <v>#VALUE!</v>
      </c>
      <c r="GM68" t="e">
        <f>AND(DATA!J587,"AAAAAG/d/sI=")</f>
        <v>#VALUE!</v>
      </c>
      <c r="GN68" t="e">
        <f>AND(DATA!K587,"AAAAAG/d/sM=")</f>
        <v>#VALUE!</v>
      </c>
      <c r="GO68" t="b">
        <f>AND(DATA!L587,"AAAAAG/d/sQ=")</f>
        <v>1</v>
      </c>
      <c r="GP68" t="b">
        <f>AND(DATA!M587,"AAAAAG/d/sU=")</f>
        <v>1</v>
      </c>
      <c r="GQ68" t="b">
        <f>AND(DATA!N587,"AAAAAG/d/sY=")</f>
        <v>1</v>
      </c>
      <c r="GR68">
        <f>IF(DATA!588:588,"AAAAAG/d/sc=",0)</f>
        <v>0</v>
      </c>
      <c r="GS68" t="e">
        <f>AND(DATA!A588,"AAAAAG/d/sg=")</f>
        <v>#VALUE!</v>
      </c>
      <c r="GT68" t="e">
        <f>AND(DATA!B588,"AAAAAG/d/sk=")</f>
        <v>#VALUE!</v>
      </c>
      <c r="GU68" t="e">
        <f>AND(DATA!C588,"AAAAAG/d/so=")</f>
        <v>#VALUE!</v>
      </c>
      <c r="GV68" t="e">
        <f>AND(DATA!D588,"AAAAAG/d/ss=")</f>
        <v>#VALUE!</v>
      </c>
      <c r="GW68" t="e">
        <f>AND(DATA!E588,"AAAAAG/d/sw=")</f>
        <v>#VALUE!</v>
      </c>
      <c r="GX68" t="e">
        <f>AND(DATA!F588,"AAAAAG/d/s0=")</f>
        <v>#VALUE!</v>
      </c>
      <c r="GY68" t="e">
        <f>AND(DATA!G588,"AAAAAG/d/s4=")</f>
        <v>#VALUE!</v>
      </c>
      <c r="GZ68" t="e">
        <f>AND(DATA!H588,"AAAAAG/d/s8=")</f>
        <v>#VALUE!</v>
      </c>
      <c r="HA68" t="e">
        <f>AND(DATA!I588,"AAAAAG/d/tA=")</f>
        <v>#VALUE!</v>
      </c>
      <c r="HB68" t="e">
        <f>AND(DATA!J588,"AAAAAG/d/tE=")</f>
        <v>#VALUE!</v>
      </c>
      <c r="HC68" t="e">
        <f>AND(DATA!K588,"AAAAAG/d/tI=")</f>
        <v>#VALUE!</v>
      </c>
      <c r="HD68" t="b">
        <f>AND(DATA!L588,"AAAAAG/d/tM=")</f>
        <v>1</v>
      </c>
      <c r="HE68" t="b">
        <f>AND(DATA!M588,"AAAAAG/d/tQ=")</f>
        <v>1</v>
      </c>
      <c r="HF68" t="b">
        <f>AND(DATA!N588,"AAAAAG/d/tU=")</f>
        <v>1</v>
      </c>
      <c r="HG68">
        <f>IF(DATA!589:589,"AAAAAG/d/tY=",0)</f>
        <v>0</v>
      </c>
      <c r="HH68" t="e">
        <f>AND(DATA!A589,"AAAAAG/d/tc=")</f>
        <v>#VALUE!</v>
      </c>
      <c r="HI68" t="e">
        <f>AND(DATA!B589,"AAAAAG/d/tg=")</f>
        <v>#VALUE!</v>
      </c>
      <c r="HJ68" t="e">
        <f>AND(DATA!C589,"AAAAAG/d/tk=")</f>
        <v>#VALUE!</v>
      </c>
      <c r="HK68" t="e">
        <f>AND(DATA!D589,"AAAAAG/d/to=")</f>
        <v>#VALUE!</v>
      </c>
      <c r="HL68" t="e">
        <f>AND(DATA!E589,"AAAAAG/d/ts=")</f>
        <v>#VALUE!</v>
      </c>
      <c r="HM68" t="e">
        <f>AND(DATA!F589,"AAAAAG/d/tw=")</f>
        <v>#VALUE!</v>
      </c>
      <c r="HN68" t="e">
        <f>AND(DATA!G589,"AAAAAG/d/t0=")</f>
        <v>#VALUE!</v>
      </c>
      <c r="HO68" t="e">
        <f>AND(DATA!H589,"AAAAAG/d/t4=")</f>
        <v>#VALUE!</v>
      </c>
      <c r="HP68" t="e">
        <f>AND(DATA!I589,"AAAAAG/d/t8=")</f>
        <v>#VALUE!</v>
      </c>
      <c r="HQ68" t="e">
        <f>AND(DATA!J589,"AAAAAG/d/uA=")</f>
        <v>#VALUE!</v>
      </c>
      <c r="HR68" t="e">
        <f>AND(DATA!K589,"AAAAAG/d/uE=")</f>
        <v>#VALUE!</v>
      </c>
      <c r="HS68" t="b">
        <f>AND(DATA!L589,"AAAAAG/d/uI=")</f>
        <v>1</v>
      </c>
      <c r="HT68" t="b">
        <f>AND(DATA!M589,"AAAAAG/d/uM=")</f>
        <v>1</v>
      </c>
      <c r="HU68" t="b">
        <f>AND(DATA!N589,"AAAAAG/d/uQ=")</f>
        <v>1</v>
      </c>
      <c r="HV68">
        <f>IF(DATA!590:590,"AAAAAG/d/uU=",0)</f>
        <v>0</v>
      </c>
      <c r="HW68" t="e">
        <f>AND(DATA!A590,"AAAAAG/d/uY=")</f>
        <v>#VALUE!</v>
      </c>
      <c r="HX68" t="e">
        <f>AND(DATA!B590,"AAAAAG/d/uc=")</f>
        <v>#VALUE!</v>
      </c>
      <c r="HY68" t="e">
        <f>AND(DATA!C590,"AAAAAG/d/ug=")</f>
        <v>#VALUE!</v>
      </c>
      <c r="HZ68" t="e">
        <f>AND(DATA!D590,"AAAAAG/d/uk=")</f>
        <v>#VALUE!</v>
      </c>
      <c r="IA68" t="e">
        <f>AND(DATA!E590,"AAAAAG/d/uo=")</f>
        <v>#VALUE!</v>
      </c>
      <c r="IB68" t="e">
        <f>AND(DATA!F590,"AAAAAG/d/us=")</f>
        <v>#VALUE!</v>
      </c>
      <c r="IC68" t="e">
        <f>AND(DATA!G590,"AAAAAG/d/uw=")</f>
        <v>#VALUE!</v>
      </c>
      <c r="ID68" t="e">
        <f>AND(DATA!H590,"AAAAAG/d/u0=")</f>
        <v>#VALUE!</v>
      </c>
      <c r="IE68" t="e">
        <f>AND(DATA!I590,"AAAAAG/d/u4=")</f>
        <v>#VALUE!</v>
      </c>
      <c r="IF68" t="e">
        <f>AND(DATA!J590,"AAAAAG/d/u8=")</f>
        <v>#VALUE!</v>
      </c>
      <c r="IG68" t="e">
        <f>AND(DATA!K590,"AAAAAG/d/vA=")</f>
        <v>#VALUE!</v>
      </c>
      <c r="IH68" t="b">
        <f>AND(DATA!L590,"AAAAAG/d/vE=")</f>
        <v>1</v>
      </c>
      <c r="II68" t="b">
        <f>AND(DATA!M590,"AAAAAG/d/vI=")</f>
        <v>1</v>
      </c>
      <c r="IJ68" t="b">
        <f>AND(DATA!N590,"AAAAAG/d/vM=")</f>
        <v>1</v>
      </c>
      <c r="IK68">
        <f>IF(DATA!591:591,"AAAAAG/d/vQ=",0)</f>
        <v>0</v>
      </c>
      <c r="IL68" t="e">
        <f>AND(DATA!A591,"AAAAAG/d/vU=")</f>
        <v>#VALUE!</v>
      </c>
      <c r="IM68" t="e">
        <f>AND(DATA!B591,"AAAAAG/d/vY=")</f>
        <v>#VALUE!</v>
      </c>
      <c r="IN68" t="e">
        <f>AND(DATA!C591,"AAAAAG/d/vc=")</f>
        <v>#VALUE!</v>
      </c>
      <c r="IO68" t="e">
        <f>AND(DATA!D591,"AAAAAG/d/vg=")</f>
        <v>#VALUE!</v>
      </c>
      <c r="IP68" t="e">
        <f>AND(DATA!E591,"AAAAAG/d/vk=")</f>
        <v>#VALUE!</v>
      </c>
      <c r="IQ68" t="e">
        <f>AND(DATA!F591,"AAAAAG/d/vo=")</f>
        <v>#VALUE!</v>
      </c>
      <c r="IR68" t="e">
        <f>AND(DATA!G591,"AAAAAG/d/vs=")</f>
        <v>#VALUE!</v>
      </c>
      <c r="IS68" t="e">
        <f>AND(DATA!H591,"AAAAAG/d/vw=")</f>
        <v>#VALUE!</v>
      </c>
      <c r="IT68" t="e">
        <f>AND(DATA!I591,"AAAAAG/d/v0=")</f>
        <v>#VALUE!</v>
      </c>
      <c r="IU68" t="e">
        <f>AND(DATA!J591,"AAAAAG/d/v4=")</f>
        <v>#VALUE!</v>
      </c>
      <c r="IV68" t="e">
        <f>AND(DATA!K591,"AAAAAG/d/v8=")</f>
        <v>#VALUE!</v>
      </c>
    </row>
    <row r="69" spans="1:256">
      <c r="A69" t="b">
        <f>AND(DATA!L591,"AAAAAHPZ/QA=")</f>
        <v>1</v>
      </c>
      <c r="B69" t="b">
        <f>AND(DATA!M591,"AAAAAHPZ/QE=")</f>
        <v>1</v>
      </c>
      <c r="C69" t="b">
        <f>AND(DATA!N591,"AAAAAHPZ/QI=")</f>
        <v>1</v>
      </c>
      <c r="D69">
        <f>IF(DATA!592:592,"AAAAAHPZ/QM=",0)</f>
        <v>0</v>
      </c>
      <c r="E69" t="e">
        <f>AND(DATA!A592,"AAAAAHPZ/QQ=")</f>
        <v>#VALUE!</v>
      </c>
      <c r="F69" t="e">
        <f>AND(DATA!B592,"AAAAAHPZ/QU=")</f>
        <v>#VALUE!</v>
      </c>
      <c r="G69" t="e">
        <f>AND(DATA!C592,"AAAAAHPZ/QY=")</f>
        <v>#VALUE!</v>
      </c>
      <c r="H69" t="e">
        <f>AND(DATA!D592,"AAAAAHPZ/Qc=")</f>
        <v>#VALUE!</v>
      </c>
      <c r="I69" t="e">
        <f>AND(DATA!E592,"AAAAAHPZ/Qg=")</f>
        <v>#VALUE!</v>
      </c>
      <c r="J69" t="e">
        <f>AND(DATA!F592,"AAAAAHPZ/Qk=")</f>
        <v>#VALUE!</v>
      </c>
      <c r="K69" t="e">
        <f>AND(DATA!G592,"AAAAAHPZ/Qo=")</f>
        <v>#VALUE!</v>
      </c>
      <c r="L69" t="e">
        <f>AND(DATA!H592,"AAAAAHPZ/Qs=")</f>
        <v>#VALUE!</v>
      </c>
      <c r="M69" t="e">
        <f>AND(DATA!I592,"AAAAAHPZ/Qw=")</f>
        <v>#VALUE!</v>
      </c>
      <c r="N69" t="e">
        <f>AND(DATA!J592,"AAAAAHPZ/Q0=")</f>
        <v>#VALUE!</v>
      </c>
      <c r="O69" t="e">
        <f>AND(DATA!K592,"AAAAAHPZ/Q4=")</f>
        <v>#VALUE!</v>
      </c>
      <c r="P69" t="b">
        <f>AND(DATA!L592,"AAAAAHPZ/Q8=")</f>
        <v>1</v>
      </c>
      <c r="Q69" t="b">
        <f>AND(DATA!M592,"AAAAAHPZ/RA=")</f>
        <v>1</v>
      </c>
      <c r="R69" t="b">
        <f>AND(DATA!N592,"AAAAAHPZ/RE=")</f>
        <v>1</v>
      </c>
      <c r="S69">
        <f>IF(DATA!593:593,"AAAAAHPZ/RI=",0)</f>
        <v>0</v>
      </c>
      <c r="T69" t="e">
        <f>AND(DATA!A593,"AAAAAHPZ/RM=")</f>
        <v>#VALUE!</v>
      </c>
      <c r="U69" t="e">
        <f>AND(DATA!B593,"AAAAAHPZ/RQ=")</f>
        <v>#VALUE!</v>
      </c>
      <c r="V69" t="e">
        <f>AND(DATA!C593,"AAAAAHPZ/RU=")</f>
        <v>#VALUE!</v>
      </c>
      <c r="W69" t="e">
        <f>AND(DATA!D593,"AAAAAHPZ/RY=")</f>
        <v>#VALUE!</v>
      </c>
      <c r="X69" t="e">
        <f>AND(DATA!E593,"AAAAAHPZ/Rc=")</f>
        <v>#VALUE!</v>
      </c>
      <c r="Y69" t="e">
        <f>AND(DATA!F593,"AAAAAHPZ/Rg=")</f>
        <v>#VALUE!</v>
      </c>
      <c r="Z69" t="e">
        <f>AND(DATA!G593,"AAAAAHPZ/Rk=")</f>
        <v>#VALUE!</v>
      </c>
      <c r="AA69" t="e">
        <f>AND(DATA!H593,"AAAAAHPZ/Ro=")</f>
        <v>#VALUE!</v>
      </c>
      <c r="AB69" t="e">
        <f>AND(DATA!I593,"AAAAAHPZ/Rs=")</f>
        <v>#VALUE!</v>
      </c>
      <c r="AC69" t="e">
        <f>AND(DATA!J593,"AAAAAHPZ/Rw=")</f>
        <v>#VALUE!</v>
      </c>
      <c r="AD69" t="e">
        <f>AND(DATA!K593,"AAAAAHPZ/R0=")</f>
        <v>#VALUE!</v>
      </c>
      <c r="AE69" t="b">
        <f>AND(DATA!L593,"AAAAAHPZ/R4=")</f>
        <v>1</v>
      </c>
      <c r="AF69" t="b">
        <f>AND(DATA!M593,"AAAAAHPZ/R8=")</f>
        <v>1</v>
      </c>
      <c r="AG69" t="b">
        <f>AND(DATA!N593,"AAAAAHPZ/SA=")</f>
        <v>1</v>
      </c>
      <c r="AH69">
        <f>IF(DATA!594:594,"AAAAAHPZ/SE=",0)</f>
        <v>0</v>
      </c>
      <c r="AI69" t="e">
        <f>AND(DATA!A594,"AAAAAHPZ/SI=")</f>
        <v>#VALUE!</v>
      </c>
      <c r="AJ69" t="e">
        <f>AND(DATA!B594,"AAAAAHPZ/SM=")</f>
        <v>#VALUE!</v>
      </c>
      <c r="AK69" t="e">
        <f>AND(DATA!C594,"AAAAAHPZ/SQ=")</f>
        <v>#VALUE!</v>
      </c>
      <c r="AL69" t="e">
        <f>AND(DATA!D594,"AAAAAHPZ/SU=")</f>
        <v>#VALUE!</v>
      </c>
      <c r="AM69" t="e">
        <f>AND(DATA!E594,"AAAAAHPZ/SY=")</f>
        <v>#VALUE!</v>
      </c>
      <c r="AN69" t="e">
        <f>AND(DATA!F594,"AAAAAHPZ/Sc=")</f>
        <v>#VALUE!</v>
      </c>
      <c r="AO69" t="e">
        <f>AND(DATA!G594,"AAAAAHPZ/Sg=")</f>
        <v>#VALUE!</v>
      </c>
      <c r="AP69" t="e">
        <f>AND(DATA!H594,"AAAAAHPZ/Sk=")</f>
        <v>#VALUE!</v>
      </c>
      <c r="AQ69" t="e">
        <f>AND(DATA!I594,"AAAAAHPZ/So=")</f>
        <v>#VALUE!</v>
      </c>
      <c r="AR69" t="e">
        <f>AND(DATA!J594,"AAAAAHPZ/Ss=")</f>
        <v>#VALUE!</v>
      </c>
      <c r="AS69" t="e">
        <f>AND(DATA!K594,"AAAAAHPZ/Sw=")</f>
        <v>#VALUE!</v>
      </c>
      <c r="AT69" t="b">
        <f>AND(DATA!L594,"AAAAAHPZ/S0=")</f>
        <v>1</v>
      </c>
      <c r="AU69" t="b">
        <f>AND(DATA!M594,"AAAAAHPZ/S4=")</f>
        <v>1</v>
      </c>
      <c r="AV69" t="b">
        <f>AND(DATA!N594,"AAAAAHPZ/S8=")</f>
        <v>1</v>
      </c>
      <c r="AW69">
        <f>IF(DATA!595:595,"AAAAAHPZ/TA=",0)</f>
        <v>0</v>
      </c>
      <c r="AX69" t="e">
        <f>AND(DATA!A595,"AAAAAHPZ/TE=")</f>
        <v>#VALUE!</v>
      </c>
      <c r="AY69" t="e">
        <f>AND(DATA!B595,"AAAAAHPZ/TI=")</f>
        <v>#VALUE!</v>
      </c>
      <c r="AZ69" t="e">
        <f>AND(DATA!C595,"AAAAAHPZ/TM=")</f>
        <v>#VALUE!</v>
      </c>
      <c r="BA69" t="e">
        <f>AND(DATA!D595,"AAAAAHPZ/TQ=")</f>
        <v>#VALUE!</v>
      </c>
      <c r="BB69" t="e">
        <f>AND(DATA!E595,"AAAAAHPZ/TU=")</f>
        <v>#VALUE!</v>
      </c>
      <c r="BC69" t="e">
        <f>AND(DATA!F595,"AAAAAHPZ/TY=")</f>
        <v>#VALUE!</v>
      </c>
      <c r="BD69" t="e">
        <f>AND(DATA!G595,"AAAAAHPZ/Tc=")</f>
        <v>#VALUE!</v>
      </c>
      <c r="BE69" t="e">
        <f>AND(DATA!H595,"AAAAAHPZ/Tg=")</f>
        <v>#VALUE!</v>
      </c>
      <c r="BF69" t="e">
        <f>AND(DATA!I595,"AAAAAHPZ/Tk=")</f>
        <v>#VALUE!</v>
      </c>
      <c r="BG69" t="e">
        <f>AND(DATA!J595,"AAAAAHPZ/To=")</f>
        <v>#VALUE!</v>
      </c>
      <c r="BH69" t="e">
        <f>AND(DATA!K595,"AAAAAHPZ/Ts=")</f>
        <v>#VALUE!</v>
      </c>
      <c r="BI69" t="b">
        <f>AND(DATA!L595,"AAAAAHPZ/Tw=")</f>
        <v>1</v>
      </c>
      <c r="BJ69" t="b">
        <f>AND(DATA!M595,"AAAAAHPZ/T0=")</f>
        <v>1</v>
      </c>
      <c r="BK69" t="b">
        <f>AND(DATA!N595,"AAAAAHPZ/T4=")</f>
        <v>1</v>
      </c>
      <c r="BL69">
        <f>IF(DATA!596:596,"AAAAAHPZ/T8=",0)</f>
        <v>0</v>
      </c>
      <c r="BM69" t="e">
        <f>AND(DATA!A596,"AAAAAHPZ/UA=")</f>
        <v>#VALUE!</v>
      </c>
      <c r="BN69" t="e">
        <f>AND(DATA!B596,"AAAAAHPZ/UE=")</f>
        <v>#VALUE!</v>
      </c>
      <c r="BO69" t="e">
        <f>AND(DATA!C596,"AAAAAHPZ/UI=")</f>
        <v>#VALUE!</v>
      </c>
      <c r="BP69" t="e">
        <f>AND(DATA!D596,"AAAAAHPZ/UM=")</f>
        <v>#VALUE!</v>
      </c>
      <c r="BQ69" t="e">
        <f>AND(DATA!E596,"AAAAAHPZ/UQ=")</f>
        <v>#VALUE!</v>
      </c>
      <c r="BR69" t="e">
        <f>AND(DATA!F596,"AAAAAHPZ/UU=")</f>
        <v>#VALUE!</v>
      </c>
      <c r="BS69" t="e">
        <f>AND(DATA!G596,"AAAAAHPZ/UY=")</f>
        <v>#VALUE!</v>
      </c>
      <c r="BT69" t="e">
        <f>AND(DATA!H596,"AAAAAHPZ/Uc=")</f>
        <v>#VALUE!</v>
      </c>
      <c r="BU69" t="e">
        <f>AND(DATA!I596,"AAAAAHPZ/Ug=")</f>
        <v>#VALUE!</v>
      </c>
      <c r="BV69" t="e">
        <f>AND(DATA!J596,"AAAAAHPZ/Uk=")</f>
        <v>#VALUE!</v>
      </c>
      <c r="BW69" t="e">
        <f>AND(DATA!K596,"AAAAAHPZ/Uo=")</f>
        <v>#VALUE!</v>
      </c>
      <c r="BX69" t="b">
        <f>AND(DATA!L596,"AAAAAHPZ/Us=")</f>
        <v>1</v>
      </c>
      <c r="BY69" t="b">
        <f>AND(DATA!M596,"AAAAAHPZ/Uw=")</f>
        <v>1</v>
      </c>
      <c r="BZ69" t="b">
        <f>AND(DATA!N596,"AAAAAHPZ/U0=")</f>
        <v>1</v>
      </c>
      <c r="CA69">
        <f>IF(DATA!597:597,"AAAAAHPZ/U4=",0)</f>
        <v>0</v>
      </c>
      <c r="CB69" t="e">
        <f>AND(DATA!A597,"AAAAAHPZ/U8=")</f>
        <v>#VALUE!</v>
      </c>
      <c r="CC69" t="e">
        <f>AND(DATA!B597,"AAAAAHPZ/VA=")</f>
        <v>#VALUE!</v>
      </c>
      <c r="CD69" t="e">
        <f>AND(DATA!C597,"AAAAAHPZ/VE=")</f>
        <v>#VALUE!</v>
      </c>
      <c r="CE69" t="e">
        <f>AND(DATA!D597,"AAAAAHPZ/VI=")</f>
        <v>#VALUE!</v>
      </c>
      <c r="CF69" t="e">
        <f>AND(DATA!E597,"AAAAAHPZ/VM=")</f>
        <v>#VALUE!</v>
      </c>
      <c r="CG69" t="e">
        <f>AND(DATA!F597,"AAAAAHPZ/VQ=")</f>
        <v>#VALUE!</v>
      </c>
      <c r="CH69" t="e">
        <f>AND(DATA!G597,"AAAAAHPZ/VU=")</f>
        <v>#VALUE!</v>
      </c>
      <c r="CI69" t="e">
        <f>AND(DATA!H597,"AAAAAHPZ/VY=")</f>
        <v>#VALUE!</v>
      </c>
      <c r="CJ69" t="e">
        <f>AND(DATA!I597,"AAAAAHPZ/Vc=")</f>
        <v>#VALUE!</v>
      </c>
      <c r="CK69" t="e">
        <f>AND(DATA!J597,"AAAAAHPZ/Vg=")</f>
        <v>#VALUE!</v>
      </c>
      <c r="CL69" t="e">
        <f>AND(DATA!K597,"AAAAAHPZ/Vk=")</f>
        <v>#VALUE!</v>
      </c>
      <c r="CM69" t="b">
        <f>AND(DATA!L597,"AAAAAHPZ/Vo=")</f>
        <v>1</v>
      </c>
      <c r="CN69" t="b">
        <f>AND(DATA!M597,"AAAAAHPZ/Vs=")</f>
        <v>1</v>
      </c>
      <c r="CO69" t="b">
        <f>AND(DATA!N597,"AAAAAHPZ/Vw=")</f>
        <v>1</v>
      </c>
      <c r="CP69">
        <f>IF(DATA!598:598,"AAAAAHPZ/V0=",0)</f>
        <v>0</v>
      </c>
      <c r="CQ69" t="e">
        <f>AND(DATA!A598,"AAAAAHPZ/V4=")</f>
        <v>#VALUE!</v>
      </c>
      <c r="CR69" t="e">
        <f>AND(DATA!B598,"AAAAAHPZ/V8=")</f>
        <v>#VALUE!</v>
      </c>
      <c r="CS69" t="e">
        <f>AND(DATA!C598,"AAAAAHPZ/WA=")</f>
        <v>#VALUE!</v>
      </c>
      <c r="CT69" t="e">
        <f>AND(DATA!D598,"AAAAAHPZ/WE=")</f>
        <v>#VALUE!</v>
      </c>
      <c r="CU69" t="e">
        <f>AND(DATA!E598,"AAAAAHPZ/WI=")</f>
        <v>#VALUE!</v>
      </c>
      <c r="CV69" t="e">
        <f>AND(DATA!F598,"AAAAAHPZ/WM=")</f>
        <v>#VALUE!</v>
      </c>
      <c r="CW69" t="e">
        <f>AND(DATA!G598,"AAAAAHPZ/WQ=")</f>
        <v>#VALUE!</v>
      </c>
      <c r="CX69" t="e">
        <f>AND(DATA!H598,"AAAAAHPZ/WU=")</f>
        <v>#VALUE!</v>
      </c>
      <c r="CY69" t="e">
        <f>AND(DATA!I598,"AAAAAHPZ/WY=")</f>
        <v>#VALUE!</v>
      </c>
      <c r="CZ69" t="e">
        <f>AND(DATA!J598,"AAAAAHPZ/Wc=")</f>
        <v>#VALUE!</v>
      </c>
      <c r="DA69" t="e">
        <f>AND(DATA!K598,"AAAAAHPZ/Wg=")</f>
        <v>#VALUE!</v>
      </c>
      <c r="DB69" t="b">
        <f>AND(DATA!L598,"AAAAAHPZ/Wk=")</f>
        <v>1</v>
      </c>
      <c r="DC69" t="b">
        <f>AND(DATA!M598,"AAAAAHPZ/Wo=")</f>
        <v>1</v>
      </c>
      <c r="DD69" t="b">
        <f>AND(DATA!N598,"AAAAAHPZ/Ws=")</f>
        <v>1</v>
      </c>
      <c r="DE69">
        <f>IF(DATA!599:599,"AAAAAHPZ/Ww=",0)</f>
        <v>0</v>
      </c>
      <c r="DF69" t="e">
        <f>AND(DATA!A599,"AAAAAHPZ/W0=")</f>
        <v>#VALUE!</v>
      </c>
      <c r="DG69" t="e">
        <f>AND(DATA!B599,"AAAAAHPZ/W4=")</f>
        <v>#VALUE!</v>
      </c>
      <c r="DH69" t="e">
        <f>AND(DATA!C599,"AAAAAHPZ/W8=")</f>
        <v>#VALUE!</v>
      </c>
      <c r="DI69" t="e">
        <f>AND(DATA!D599,"AAAAAHPZ/XA=")</f>
        <v>#VALUE!</v>
      </c>
      <c r="DJ69" t="e">
        <f>AND(DATA!E599,"AAAAAHPZ/XE=")</f>
        <v>#VALUE!</v>
      </c>
      <c r="DK69" t="e">
        <f>AND(DATA!F599,"AAAAAHPZ/XI=")</f>
        <v>#VALUE!</v>
      </c>
      <c r="DL69" t="e">
        <f>AND(DATA!G599,"AAAAAHPZ/XM=")</f>
        <v>#VALUE!</v>
      </c>
      <c r="DM69" t="e">
        <f>AND(DATA!H599,"AAAAAHPZ/XQ=")</f>
        <v>#VALUE!</v>
      </c>
      <c r="DN69" t="e">
        <f>AND(DATA!I599,"AAAAAHPZ/XU=")</f>
        <v>#VALUE!</v>
      </c>
      <c r="DO69" t="e">
        <f>AND(DATA!J599,"AAAAAHPZ/XY=")</f>
        <v>#VALUE!</v>
      </c>
      <c r="DP69" t="e">
        <f>AND(DATA!K599,"AAAAAHPZ/Xc=")</f>
        <v>#VALUE!</v>
      </c>
      <c r="DQ69" t="b">
        <f>AND(DATA!L599,"AAAAAHPZ/Xg=")</f>
        <v>1</v>
      </c>
      <c r="DR69" t="b">
        <f>AND(DATA!M599,"AAAAAHPZ/Xk=")</f>
        <v>1</v>
      </c>
      <c r="DS69" t="b">
        <f>AND(DATA!N599,"AAAAAHPZ/Xo=")</f>
        <v>1</v>
      </c>
      <c r="DT69">
        <f>IF(DATA!600:600,"AAAAAHPZ/Xs=",0)</f>
        <v>0</v>
      </c>
      <c r="DU69" t="e">
        <f>AND(DATA!A600,"AAAAAHPZ/Xw=")</f>
        <v>#VALUE!</v>
      </c>
      <c r="DV69" t="e">
        <f>AND(DATA!B600,"AAAAAHPZ/X0=")</f>
        <v>#VALUE!</v>
      </c>
      <c r="DW69" t="e">
        <f>AND(DATA!C600,"AAAAAHPZ/X4=")</f>
        <v>#VALUE!</v>
      </c>
      <c r="DX69" t="e">
        <f>AND(DATA!D600,"AAAAAHPZ/X8=")</f>
        <v>#VALUE!</v>
      </c>
      <c r="DY69" t="e">
        <f>AND(DATA!E600,"AAAAAHPZ/YA=")</f>
        <v>#VALUE!</v>
      </c>
      <c r="DZ69" t="e">
        <f>AND(DATA!F600,"AAAAAHPZ/YE=")</f>
        <v>#VALUE!</v>
      </c>
      <c r="EA69" t="e">
        <f>AND(DATA!G600,"AAAAAHPZ/YI=")</f>
        <v>#VALUE!</v>
      </c>
      <c r="EB69" t="e">
        <f>AND(DATA!H600,"AAAAAHPZ/YM=")</f>
        <v>#VALUE!</v>
      </c>
      <c r="EC69" t="e">
        <f>AND(DATA!I600,"AAAAAHPZ/YQ=")</f>
        <v>#VALUE!</v>
      </c>
      <c r="ED69" t="e">
        <f>AND(DATA!J600,"AAAAAHPZ/YU=")</f>
        <v>#VALUE!</v>
      </c>
      <c r="EE69" t="e">
        <f>AND(DATA!K600,"AAAAAHPZ/YY=")</f>
        <v>#VALUE!</v>
      </c>
      <c r="EF69" t="b">
        <f>AND(DATA!L600,"AAAAAHPZ/Yc=")</f>
        <v>1</v>
      </c>
      <c r="EG69" t="b">
        <f>AND(DATA!M600,"AAAAAHPZ/Yg=")</f>
        <v>1</v>
      </c>
      <c r="EH69" t="b">
        <f>AND(DATA!N600,"AAAAAHPZ/Yk=")</f>
        <v>1</v>
      </c>
      <c r="EI69">
        <f>IF(DATA!601:601,"AAAAAHPZ/Yo=",0)</f>
        <v>0</v>
      </c>
      <c r="EJ69" t="e">
        <f>AND(DATA!A601,"AAAAAHPZ/Ys=")</f>
        <v>#VALUE!</v>
      </c>
      <c r="EK69" t="e">
        <f>AND(DATA!B601,"AAAAAHPZ/Yw=")</f>
        <v>#VALUE!</v>
      </c>
      <c r="EL69" t="e">
        <f>AND(DATA!C601,"AAAAAHPZ/Y0=")</f>
        <v>#VALUE!</v>
      </c>
      <c r="EM69" t="e">
        <f>AND(DATA!D601,"AAAAAHPZ/Y4=")</f>
        <v>#VALUE!</v>
      </c>
      <c r="EN69" t="e">
        <f>AND(DATA!E601,"AAAAAHPZ/Y8=")</f>
        <v>#VALUE!</v>
      </c>
      <c r="EO69" t="e">
        <f>AND(DATA!F601,"AAAAAHPZ/ZA=")</f>
        <v>#VALUE!</v>
      </c>
      <c r="EP69" t="e">
        <f>AND(DATA!G601,"AAAAAHPZ/ZE=")</f>
        <v>#VALUE!</v>
      </c>
      <c r="EQ69" t="e">
        <f>AND(DATA!H601,"AAAAAHPZ/ZI=")</f>
        <v>#VALUE!</v>
      </c>
      <c r="ER69" t="e">
        <f>AND(DATA!I601,"AAAAAHPZ/ZM=")</f>
        <v>#VALUE!</v>
      </c>
      <c r="ES69" t="e">
        <f>AND(DATA!J601,"AAAAAHPZ/ZQ=")</f>
        <v>#VALUE!</v>
      </c>
      <c r="ET69" t="e">
        <f>AND(DATA!K601,"AAAAAHPZ/ZU=")</f>
        <v>#VALUE!</v>
      </c>
      <c r="EU69" t="b">
        <f>AND(DATA!L601,"AAAAAHPZ/ZY=")</f>
        <v>1</v>
      </c>
      <c r="EV69" t="b">
        <f>AND(DATA!M601,"AAAAAHPZ/Zc=")</f>
        <v>1</v>
      </c>
      <c r="EW69" t="b">
        <f>AND(DATA!N601,"AAAAAHPZ/Zg=")</f>
        <v>1</v>
      </c>
      <c r="EX69">
        <f>IF(DATA!602:602,"AAAAAHPZ/Zk=",0)</f>
        <v>0</v>
      </c>
      <c r="EY69" t="e">
        <f>AND(DATA!A602,"AAAAAHPZ/Zo=")</f>
        <v>#VALUE!</v>
      </c>
      <c r="EZ69" t="e">
        <f>AND(DATA!B602,"AAAAAHPZ/Zs=")</f>
        <v>#VALUE!</v>
      </c>
      <c r="FA69" t="e">
        <f>AND(DATA!C602,"AAAAAHPZ/Zw=")</f>
        <v>#VALUE!</v>
      </c>
      <c r="FB69" t="e">
        <f>AND(DATA!D602,"AAAAAHPZ/Z0=")</f>
        <v>#VALUE!</v>
      </c>
      <c r="FC69" t="e">
        <f>AND(DATA!E602,"AAAAAHPZ/Z4=")</f>
        <v>#VALUE!</v>
      </c>
      <c r="FD69" t="e">
        <f>AND(DATA!F602,"AAAAAHPZ/Z8=")</f>
        <v>#VALUE!</v>
      </c>
      <c r="FE69" t="e">
        <f>AND(DATA!G602,"AAAAAHPZ/aA=")</f>
        <v>#VALUE!</v>
      </c>
      <c r="FF69" t="e">
        <f>AND(DATA!H602,"AAAAAHPZ/aE=")</f>
        <v>#VALUE!</v>
      </c>
      <c r="FG69" t="e">
        <f>AND(DATA!I602,"AAAAAHPZ/aI=")</f>
        <v>#VALUE!</v>
      </c>
      <c r="FH69" t="e">
        <f>AND(DATA!J602,"AAAAAHPZ/aM=")</f>
        <v>#VALUE!</v>
      </c>
      <c r="FI69" t="e">
        <f>AND(DATA!K602,"AAAAAHPZ/aQ=")</f>
        <v>#VALUE!</v>
      </c>
      <c r="FJ69" t="b">
        <f>AND(DATA!L602,"AAAAAHPZ/aU=")</f>
        <v>1</v>
      </c>
      <c r="FK69" t="b">
        <f>AND(DATA!M602,"AAAAAHPZ/aY=")</f>
        <v>1</v>
      </c>
      <c r="FL69" t="b">
        <f>AND(DATA!N602,"AAAAAHPZ/ac=")</f>
        <v>1</v>
      </c>
      <c r="FM69">
        <f>IF(DATA!603:603,"AAAAAHPZ/ag=",0)</f>
        <v>0</v>
      </c>
      <c r="FN69" t="e">
        <f>AND(DATA!A603,"AAAAAHPZ/ak=")</f>
        <v>#VALUE!</v>
      </c>
      <c r="FO69" t="e">
        <f>AND(DATA!B603,"AAAAAHPZ/ao=")</f>
        <v>#VALUE!</v>
      </c>
      <c r="FP69" t="e">
        <f>AND(DATA!C603,"AAAAAHPZ/as=")</f>
        <v>#VALUE!</v>
      </c>
      <c r="FQ69" t="e">
        <f>AND(DATA!D603,"AAAAAHPZ/aw=")</f>
        <v>#VALUE!</v>
      </c>
      <c r="FR69" t="e">
        <f>AND(DATA!E603,"AAAAAHPZ/a0=")</f>
        <v>#VALUE!</v>
      </c>
      <c r="FS69" t="e">
        <f>AND(DATA!F603,"AAAAAHPZ/a4=")</f>
        <v>#VALUE!</v>
      </c>
      <c r="FT69" t="e">
        <f>AND(DATA!G603,"AAAAAHPZ/a8=")</f>
        <v>#VALUE!</v>
      </c>
      <c r="FU69" t="e">
        <f>AND(DATA!H603,"AAAAAHPZ/bA=")</f>
        <v>#VALUE!</v>
      </c>
      <c r="FV69" t="e">
        <f>AND(DATA!I603,"AAAAAHPZ/bE=")</f>
        <v>#VALUE!</v>
      </c>
      <c r="FW69" t="e">
        <f>AND(DATA!J603,"AAAAAHPZ/bI=")</f>
        <v>#VALUE!</v>
      </c>
      <c r="FX69" t="e">
        <f>AND(DATA!K603,"AAAAAHPZ/bM=")</f>
        <v>#VALUE!</v>
      </c>
      <c r="FY69" t="b">
        <f>AND(DATA!L603,"AAAAAHPZ/bQ=")</f>
        <v>1</v>
      </c>
      <c r="FZ69" t="b">
        <f>AND(DATA!M603,"AAAAAHPZ/bU=")</f>
        <v>1</v>
      </c>
      <c r="GA69" t="b">
        <f>AND(DATA!N603,"AAAAAHPZ/bY=")</f>
        <v>1</v>
      </c>
      <c r="GB69">
        <f>IF(DATA!604:604,"AAAAAHPZ/bc=",0)</f>
        <v>0</v>
      </c>
      <c r="GC69" t="e">
        <f>AND(DATA!A604,"AAAAAHPZ/bg=")</f>
        <v>#VALUE!</v>
      </c>
      <c r="GD69" t="e">
        <f>AND(DATA!B604,"AAAAAHPZ/bk=")</f>
        <v>#VALUE!</v>
      </c>
      <c r="GE69" t="e">
        <f>AND(DATA!C604,"AAAAAHPZ/bo=")</f>
        <v>#VALUE!</v>
      </c>
      <c r="GF69" t="e">
        <f>AND(DATA!D604,"AAAAAHPZ/bs=")</f>
        <v>#VALUE!</v>
      </c>
      <c r="GG69" t="e">
        <f>AND(DATA!E604,"AAAAAHPZ/bw=")</f>
        <v>#VALUE!</v>
      </c>
      <c r="GH69" t="e">
        <f>AND(DATA!F604,"AAAAAHPZ/b0=")</f>
        <v>#VALUE!</v>
      </c>
      <c r="GI69" t="e">
        <f>AND(DATA!G604,"AAAAAHPZ/b4=")</f>
        <v>#VALUE!</v>
      </c>
      <c r="GJ69" t="e">
        <f>AND(DATA!H604,"AAAAAHPZ/b8=")</f>
        <v>#VALUE!</v>
      </c>
      <c r="GK69" t="e">
        <f>AND(DATA!I604,"AAAAAHPZ/cA=")</f>
        <v>#VALUE!</v>
      </c>
      <c r="GL69" t="e">
        <f>AND(DATA!J604,"AAAAAHPZ/cE=")</f>
        <v>#VALUE!</v>
      </c>
      <c r="GM69" t="e">
        <f>AND(DATA!K604,"AAAAAHPZ/cI=")</f>
        <v>#VALUE!</v>
      </c>
      <c r="GN69" t="b">
        <f>AND(DATA!L604,"AAAAAHPZ/cM=")</f>
        <v>1</v>
      </c>
      <c r="GO69" t="b">
        <f>AND(DATA!M604,"AAAAAHPZ/cQ=")</f>
        <v>1</v>
      </c>
      <c r="GP69" t="b">
        <f>AND(DATA!N604,"AAAAAHPZ/cU=")</f>
        <v>1</v>
      </c>
      <c r="GQ69">
        <f>IF(DATA!605:605,"AAAAAHPZ/cY=",0)</f>
        <v>0</v>
      </c>
      <c r="GR69" t="e">
        <f>AND(DATA!A605,"AAAAAHPZ/cc=")</f>
        <v>#VALUE!</v>
      </c>
      <c r="GS69" t="e">
        <f>AND(DATA!B605,"AAAAAHPZ/cg=")</f>
        <v>#VALUE!</v>
      </c>
      <c r="GT69" t="e">
        <f>AND(DATA!C605,"AAAAAHPZ/ck=")</f>
        <v>#VALUE!</v>
      </c>
      <c r="GU69" t="e">
        <f>AND(DATA!D605,"AAAAAHPZ/co=")</f>
        <v>#VALUE!</v>
      </c>
      <c r="GV69" t="e">
        <f>AND(DATA!E605,"AAAAAHPZ/cs=")</f>
        <v>#VALUE!</v>
      </c>
      <c r="GW69" t="e">
        <f>AND(DATA!F605,"AAAAAHPZ/cw=")</f>
        <v>#VALUE!</v>
      </c>
      <c r="GX69" t="e">
        <f>AND(DATA!G605,"AAAAAHPZ/c0=")</f>
        <v>#VALUE!</v>
      </c>
      <c r="GY69" t="e">
        <f>AND(DATA!H605,"AAAAAHPZ/c4=")</f>
        <v>#VALUE!</v>
      </c>
      <c r="GZ69" t="e">
        <f>AND(DATA!I605,"AAAAAHPZ/c8=")</f>
        <v>#VALUE!</v>
      </c>
      <c r="HA69" t="e">
        <f>AND(DATA!J605,"AAAAAHPZ/dA=")</f>
        <v>#VALUE!</v>
      </c>
      <c r="HB69" t="e">
        <f>AND(DATA!K605,"AAAAAHPZ/dE=")</f>
        <v>#VALUE!</v>
      </c>
      <c r="HC69" t="b">
        <f>AND(DATA!L605,"AAAAAHPZ/dI=")</f>
        <v>1</v>
      </c>
      <c r="HD69" t="b">
        <f>AND(DATA!M605,"AAAAAHPZ/dM=")</f>
        <v>1</v>
      </c>
      <c r="HE69" t="b">
        <f>AND(DATA!N605,"AAAAAHPZ/dQ=")</f>
        <v>1</v>
      </c>
      <c r="HF69">
        <f>IF(DATA!606:606,"AAAAAHPZ/dU=",0)</f>
        <v>0</v>
      </c>
      <c r="HG69" t="e">
        <f>AND(DATA!A606,"AAAAAHPZ/dY=")</f>
        <v>#VALUE!</v>
      </c>
      <c r="HH69" t="e">
        <f>AND(DATA!B606,"AAAAAHPZ/dc=")</f>
        <v>#VALUE!</v>
      </c>
      <c r="HI69" t="e">
        <f>AND(DATA!C606,"AAAAAHPZ/dg=")</f>
        <v>#VALUE!</v>
      </c>
      <c r="HJ69" t="e">
        <f>AND(DATA!D606,"AAAAAHPZ/dk=")</f>
        <v>#VALUE!</v>
      </c>
      <c r="HK69" t="e">
        <f>AND(DATA!E606,"AAAAAHPZ/do=")</f>
        <v>#VALUE!</v>
      </c>
      <c r="HL69" t="e">
        <f>AND(DATA!F606,"AAAAAHPZ/ds=")</f>
        <v>#VALUE!</v>
      </c>
      <c r="HM69" t="e">
        <f>AND(DATA!G606,"AAAAAHPZ/dw=")</f>
        <v>#VALUE!</v>
      </c>
      <c r="HN69" t="e">
        <f>AND(DATA!H606,"AAAAAHPZ/d0=")</f>
        <v>#VALUE!</v>
      </c>
      <c r="HO69" t="e">
        <f>AND(DATA!I606,"AAAAAHPZ/d4=")</f>
        <v>#VALUE!</v>
      </c>
      <c r="HP69" t="e">
        <f>AND(DATA!J606,"AAAAAHPZ/d8=")</f>
        <v>#VALUE!</v>
      </c>
      <c r="HQ69" t="e">
        <f>AND(DATA!K606,"AAAAAHPZ/eA=")</f>
        <v>#VALUE!</v>
      </c>
      <c r="HR69" t="b">
        <f>AND(DATA!L606,"AAAAAHPZ/eE=")</f>
        <v>1</v>
      </c>
      <c r="HS69" t="b">
        <f>AND(DATA!M606,"AAAAAHPZ/eI=")</f>
        <v>1</v>
      </c>
      <c r="HT69" t="b">
        <f>AND(DATA!N606,"AAAAAHPZ/eM=")</f>
        <v>1</v>
      </c>
      <c r="HU69">
        <f>IF(DATA!607:607,"AAAAAHPZ/eQ=",0)</f>
        <v>0</v>
      </c>
      <c r="HV69" t="e">
        <f>AND(DATA!A607,"AAAAAHPZ/eU=")</f>
        <v>#VALUE!</v>
      </c>
      <c r="HW69" t="e">
        <f>AND(DATA!B607,"AAAAAHPZ/eY=")</f>
        <v>#VALUE!</v>
      </c>
      <c r="HX69" t="e">
        <f>AND(DATA!C607,"AAAAAHPZ/ec=")</f>
        <v>#VALUE!</v>
      </c>
      <c r="HY69" t="e">
        <f>AND(DATA!D607,"AAAAAHPZ/eg=")</f>
        <v>#VALUE!</v>
      </c>
      <c r="HZ69" t="e">
        <f>AND(DATA!E607,"AAAAAHPZ/ek=")</f>
        <v>#VALUE!</v>
      </c>
      <c r="IA69" t="e">
        <f>AND(DATA!F607,"AAAAAHPZ/eo=")</f>
        <v>#VALUE!</v>
      </c>
      <c r="IB69" t="e">
        <f>AND(DATA!G607,"AAAAAHPZ/es=")</f>
        <v>#VALUE!</v>
      </c>
      <c r="IC69" t="e">
        <f>AND(DATA!H607,"AAAAAHPZ/ew=")</f>
        <v>#VALUE!</v>
      </c>
      <c r="ID69" t="e">
        <f>AND(DATA!I607,"AAAAAHPZ/e0=")</f>
        <v>#VALUE!</v>
      </c>
      <c r="IE69" t="e">
        <f>AND(DATA!J607,"AAAAAHPZ/e4=")</f>
        <v>#VALUE!</v>
      </c>
      <c r="IF69" t="e">
        <f>AND(DATA!K607,"AAAAAHPZ/e8=")</f>
        <v>#VALUE!</v>
      </c>
      <c r="IG69" t="b">
        <f>AND(DATA!L607,"AAAAAHPZ/fA=")</f>
        <v>1</v>
      </c>
      <c r="IH69" t="b">
        <f>AND(DATA!M607,"AAAAAHPZ/fE=")</f>
        <v>1</v>
      </c>
      <c r="II69" t="b">
        <f>AND(DATA!N607,"AAAAAHPZ/fI=")</f>
        <v>1</v>
      </c>
      <c r="IJ69">
        <f>IF(DATA!608:608,"AAAAAHPZ/fM=",0)</f>
        <v>0</v>
      </c>
      <c r="IK69" t="e">
        <f>AND(DATA!A608,"AAAAAHPZ/fQ=")</f>
        <v>#VALUE!</v>
      </c>
      <c r="IL69" t="e">
        <f>AND(DATA!B608,"AAAAAHPZ/fU=")</f>
        <v>#VALUE!</v>
      </c>
      <c r="IM69" t="e">
        <f>AND(DATA!C608,"AAAAAHPZ/fY=")</f>
        <v>#VALUE!</v>
      </c>
      <c r="IN69" t="e">
        <f>AND(DATA!D608,"AAAAAHPZ/fc=")</f>
        <v>#VALUE!</v>
      </c>
      <c r="IO69" t="e">
        <f>AND(DATA!E608,"AAAAAHPZ/fg=")</f>
        <v>#VALUE!</v>
      </c>
      <c r="IP69" t="e">
        <f>AND(DATA!F608,"AAAAAHPZ/fk=")</f>
        <v>#VALUE!</v>
      </c>
      <c r="IQ69" t="e">
        <f>AND(DATA!G608,"AAAAAHPZ/fo=")</f>
        <v>#VALUE!</v>
      </c>
      <c r="IR69" t="e">
        <f>AND(DATA!H608,"AAAAAHPZ/fs=")</f>
        <v>#VALUE!</v>
      </c>
      <c r="IS69" t="e">
        <f>AND(DATA!I608,"AAAAAHPZ/fw=")</f>
        <v>#VALUE!</v>
      </c>
      <c r="IT69" t="e">
        <f>AND(DATA!J608,"AAAAAHPZ/f0=")</f>
        <v>#VALUE!</v>
      </c>
      <c r="IU69" t="e">
        <f>AND(DATA!K608,"AAAAAHPZ/f4=")</f>
        <v>#VALUE!</v>
      </c>
      <c r="IV69" t="b">
        <f>AND(DATA!L608,"AAAAAHPZ/f8=")</f>
        <v>1</v>
      </c>
    </row>
    <row r="70" spans="1:256">
      <c r="A70" t="b">
        <f>AND(DATA!M608,"AAAAAG7/7wA=")</f>
        <v>1</v>
      </c>
      <c r="B70" t="b">
        <f>AND(DATA!N608,"AAAAAG7/7wE=")</f>
        <v>1</v>
      </c>
      <c r="C70">
        <f>IF(DATA!609:609,"AAAAAG7/7wI=",0)</f>
        <v>0</v>
      </c>
      <c r="D70" t="e">
        <f>AND(DATA!A609,"AAAAAG7/7wM=")</f>
        <v>#VALUE!</v>
      </c>
      <c r="E70" t="e">
        <f>AND(DATA!B609,"AAAAAG7/7wQ=")</f>
        <v>#VALUE!</v>
      </c>
      <c r="F70" t="e">
        <f>AND(DATA!C609,"AAAAAG7/7wU=")</f>
        <v>#VALUE!</v>
      </c>
      <c r="G70" t="e">
        <f>AND(DATA!D609,"AAAAAG7/7wY=")</f>
        <v>#VALUE!</v>
      </c>
      <c r="H70" t="e">
        <f>AND(DATA!E609,"AAAAAG7/7wc=")</f>
        <v>#VALUE!</v>
      </c>
      <c r="I70" t="e">
        <f>AND(DATA!F609,"AAAAAG7/7wg=")</f>
        <v>#VALUE!</v>
      </c>
      <c r="J70" t="e">
        <f>AND(DATA!G609,"AAAAAG7/7wk=")</f>
        <v>#VALUE!</v>
      </c>
      <c r="K70" t="e">
        <f>AND(DATA!H609,"AAAAAG7/7wo=")</f>
        <v>#VALUE!</v>
      </c>
      <c r="L70" t="e">
        <f>AND(DATA!I609,"AAAAAG7/7ws=")</f>
        <v>#VALUE!</v>
      </c>
      <c r="M70" t="e">
        <f>AND(DATA!J609,"AAAAAG7/7ww=")</f>
        <v>#VALUE!</v>
      </c>
      <c r="N70" t="e">
        <f>AND(DATA!K609,"AAAAAG7/7w0=")</f>
        <v>#VALUE!</v>
      </c>
      <c r="O70" t="b">
        <f>AND(DATA!L609,"AAAAAG7/7w4=")</f>
        <v>1</v>
      </c>
      <c r="P70" t="b">
        <f>AND(DATA!M609,"AAAAAG7/7w8=")</f>
        <v>1</v>
      </c>
      <c r="Q70" t="b">
        <f>AND(DATA!N609,"AAAAAG7/7xA=")</f>
        <v>1</v>
      </c>
      <c r="R70">
        <f>IF(DATA!610:610,"AAAAAG7/7xE=",0)</f>
        <v>0</v>
      </c>
      <c r="S70" t="e">
        <f>AND(DATA!A610,"AAAAAG7/7xI=")</f>
        <v>#VALUE!</v>
      </c>
      <c r="T70" t="e">
        <f>AND(DATA!B610,"AAAAAG7/7xM=")</f>
        <v>#VALUE!</v>
      </c>
      <c r="U70" t="e">
        <f>AND(DATA!C610,"AAAAAG7/7xQ=")</f>
        <v>#VALUE!</v>
      </c>
      <c r="V70" t="e">
        <f>AND(DATA!D610,"AAAAAG7/7xU=")</f>
        <v>#VALUE!</v>
      </c>
      <c r="W70" t="e">
        <f>AND(DATA!E610,"AAAAAG7/7xY=")</f>
        <v>#VALUE!</v>
      </c>
      <c r="X70" t="e">
        <f>AND(DATA!F610,"AAAAAG7/7xc=")</f>
        <v>#VALUE!</v>
      </c>
      <c r="Y70" t="e">
        <f>AND(DATA!G610,"AAAAAG7/7xg=")</f>
        <v>#VALUE!</v>
      </c>
      <c r="Z70" t="e">
        <f>AND(DATA!H610,"AAAAAG7/7xk=")</f>
        <v>#VALUE!</v>
      </c>
      <c r="AA70" t="e">
        <f>AND(DATA!I610,"AAAAAG7/7xo=")</f>
        <v>#VALUE!</v>
      </c>
      <c r="AB70" t="e">
        <f>AND(DATA!J610,"AAAAAG7/7xs=")</f>
        <v>#VALUE!</v>
      </c>
      <c r="AC70" t="e">
        <f>AND(DATA!K610,"AAAAAG7/7xw=")</f>
        <v>#VALUE!</v>
      </c>
      <c r="AD70" t="b">
        <f>AND(DATA!L610,"AAAAAG7/7x0=")</f>
        <v>1</v>
      </c>
      <c r="AE70" t="b">
        <f>AND(DATA!M610,"AAAAAG7/7x4=")</f>
        <v>1</v>
      </c>
      <c r="AF70" t="b">
        <f>AND(DATA!N610,"AAAAAG7/7x8=")</f>
        <v>1</v>
      </c>
      <c r="AG70">
        <f>IF(DATA!611:611,"AAAAAG7/7yA=",0)</f>
        <v>0</v>
      </c>
      <c r="AH70" t="e">
        <f>AND(DATA!A611,"AAAAAG7/7yE=")</f>
        <v>#VALUE!</v>
      </c>
      <c r="AI70" t="e">
        <f>AND(DATA!B611,"AAAAAG7/7yI=")</f>
        <v>#VALUE!</v>
      </c>
      <c r="AJ70" t="e">
        <f>AND(DATA!C611,"AAAAAG7/7yM=")</f>
        <v>#VALUE!</v>
      </c>
      <c r="AK70" t="e">
        <f>AND(DATA!D611,"AAAAAG7/7yQ=")</f>
        <v>#VALUE!</v>
      </c>
      <c r="AL70" t="e">
        <f>AND(DATA!E611,"AAAAAG7/7yU=")</f>
        <v>#VALUE!</v>
      </c>
      <c r="AM70" t="e">
        <f>AND(DATA!F611,"AAAAAG7/7yY=")</f>
        <v>#VALUE!</v>
      </c>
      <c r="AN70" t="e">
        <f>AND(DATA!G611,"AAAAAG7/7yc=")</f>
        <v>#VALUE!</v>
      </c>
      <c r="AO70" t="e">
        <f>AND(DATA!H611,"AAAAAG7/7yg=")</f>
        <v>#VALUE!</v>
      </c>
      <c r="AP70" t="e">
        <f>AND(DATA!I611,"AAAAAG7/7yk=")</f>
        <v>#VALUE!</v>
      </c>
      <c r="AQ70" t="e">
        <f>AND(DATA!J611,"AAAAAG7/7yo=")</f>
        <v>#VALUE!</v>
      </c>
      <c r="AR70" t="e">
        <f>AND(DATA!K611,"AAAAAG7/7ys=")</f>
        <v>#VALUE!</v>
      </c>
      <c r="AS70" t="b">
        <f>AND(DATA!L611,"AAAAAG7/7yw=")</f>
        <v>1</v>
      </c>
      <c r="AT70" t="b">
        <f>AND(DATA!M611,"AAAAAG7/7y0=")</f>
        <v>1</v>
      </c>
      <c r="AU70" t="b">
        <f>AND(DATA!N611,"AAAAAG7/7y4=")</f>
        <v>1</v>
      </c>
      <c r="AV70">
        <f>IF(DATA!612:612,"AAAAAG7/7y8=",0)</f>
        <v>0</v>
      </c>
      <c r="AW70" t="e">
        <f>AND(DATA!A612,"AAAAAG7/7zA=")</f>
        <v>#VALUE!</v>
      </c>
      <c r="AX70" t="e">
        <f>AND(DATA!B612,"AAAAAG7/7zE=")</f>
        <v>#VALUE!</v>
      </c>
      <c r="AY70" t="e">
        <f>AND(DATA!C612,"AAAAAG7/7zI=")</f>
        <v>#VALUE!</v>
      </c>
      <c r="AZ70" t="e">
        <f>AND(DATA!D612,"AAAAAG7/7zM=")</f>
        <v>#VALUE!</v>
      </c>
      <c r="BA70" t="e">
        <f>AND(DATA!E612,"AAAAAG7/7zQ=")</f>
        <v>#VALUE!</v>
      </c>
      <c r="BB70" t="e">
        <f>AND(DATA!F612,"AAAAAG7/7zU=")</f>
        <v>#VALUE!</v>
      </c>
      <c r="BC70" t="e">
        <f>AND(DATA!G612,"AAAAAG7/7zY=")</f>
        <v>#VALUE!</v>
      </c>
      <c r="BD70" t="e">
        <f>AND(DATA!H612,"AAAAAG7/7zc=")</f>
        <v>#VALUE!</v>
      </c>
      <c r="BE70" t="e">
        <f>AND(DATA!I612,"AAAAAG7/7zg=")</f>
        <v>#VALUE!</v>
      </c>
      <c r="BF70" t="e">
        <f>AND(DATA!J612,"AAAAAG7/7zk=")</f>
        <v>#VALUE!</v>
      </c>
      <c r="BG70" t="e">
        <f>AND(DATA!K612,"AAAAAG7/7zo=")</f>
        <v>#VALUE!</v>
      </c>
      <c r="BH70" t="b">
        <f>AND(DATA!L612,"AAAAAG7/7zs=")</f>
        <v>1</v>
      </c>
      <c r="BI70" t="b">
        <f>AND(DATA!M612,"AAAAAG7/7zw=")</f>
        <v>1</v>
      </c>
      <c r="BJ70" t="b">
        <f>AND(DATA!N612,"AAAAAG7/7z0=")</f>
        <v>1</v>
      </c>
      <c r="BK70">
        <f>IF(DATA!613:613,"AAAAAG7/7z4=",0)</f>
        <v>0</v>
      </c>
      <c r="BL70" t="e">
        <f>AND(DATA!A613,"AAAAAG7/7z8=")</f>
        <v>#VALUE!</v>
      </c>
      <c r="BM70" t="e">
        <f>AND(DATA!B613,"AAAAAG7/70A=")</f>
        <v>#VALUE!</v>
      </c>
      <c r="BN70" t="e">
        <f>AND(DATA!C613,"AAAAAG7/70E=")</f>
        <v>#VALUE!</v>
      </c>
      <c r="BO70" t="e">
        <f>AND(DATA!D613,"AAAAAG7/70I=")</f>
        <v>#VALUE!</v>
      </c>
      <c r="BP70" t="e">
        <f>AND(DATA!E613,"AAAAAG7/70M=")</f>
        <v>#VALUE!</v>
      </c>
      <c r="BQ70" t="e">
        <f>AND(DATA!F613,"AAAAAG7/70Q=")</f>
        <v>#VALUE!</v>
      </c>
      <c r="BR70" t="e">
        <f>AND(DATA!G613,"AAAAAG7/70U=")</f>
        <v>#VALUE!</v>
      </c>
      <c r="BS70" t="e">
        <f>AND(DATA!H613,"AAAAAG7/70Y=")</f>
        <v>#VALUE!</v>
      </c>
      <c r="BT70" t="e">
        <f>AND(DATA!I613,"AAAAAG7/70c=")</f>
        <v>#VALUE!</v>
      </c>
      <c r="BU70" t="e">
        <f>AND(DATA!J613,"AAAAAG7/70g=")</f>
        <v>#VALUE!</v>
      </c>
      <c r="BV70" t="e">
        <f>AND(DATA!K613,"AAAAAG7/70k=")</f>
        <v>#VALUE!</v>
      </c>
      <c r="BW70" t="b">
        <f>AND(DATA!L613,"AAAAAG7/70o=")</f>
        <v>1</v>
      </c>
      <c r="BX70" t="b">
        <f>AND(DATA!M613,"AAAAAG7/70s=")</f>
        <v>1</v>
      </c>
      <c r="BY70" t="b">
        <f>AND(DATA!N613,"AAAAAG7/70w=")</f>
        <v>1</v>
      </c>
      <c r="BZ70">
        <f>IF(DATA!614:614,"AAAAAG7/700=",0)</f>
        <v>0</v>
      </c>
      <c r="CA70" t="e">
        <f>AND(DATA!A614,"AAAAAG7/704=")</f>
        <v>#VALUE!</v>
      </c>
      <c r="CB70" t="e">
        <f>AND(DATA!B614,"AAAAAG7/708=")</f>
        <v>#VALUE!</v>
      </c>
      <c r="CC70" t="e">
        <f>AND(DATA!C614,"AAAAAG7/71A=")</f>
        <v>#VALUE!</v>
      </c>
      <c r="CD70" t="e">
        <f>AND(DATA!D614,"AAAAAG7/71E=")</f>
        <v>#VALUE!</v>
      </c>
      <c r="CE70" t="e">
        <f>AND(DATA!E614,"AAAAAG7/71I=")</f>
        <v>#VALUE!</v>
      </c>
      <c r="CF70" t="e">
        <f>AND(DATA!F614,"AAAAAG7/71M=")</f>
        <v>#VALUE!</v>
      </c>
      <c r="CG70" t="e">
        <f>AND(DATA!G614,"AAAAAG7/71Q=")</f>
        <v>#VALUE!</v>
      </c>
      <c r="CH70" t="e">
        <f>AND(DATA!H614,"AAAAAG7/71U=")</f>
        <v>#VALUE!</v>
      </c>
      <c r="CI70" t="e">
        <f>AND(DATA!I614,"AAAAAG7/71Y=")</f>
        <v>#VALUE!</v>
      </c>
      <c r="CJ70" t="e">
        <f>AND(DATA!J614,"AAAAAG7/71c=")</f>
        <v>#VALUE!</v>
      </c>
      <c r="CK70" t="e">
        <f>AND(DATA!K614,"AAAAAG7/71g=")</f>
        <v>#VALUE!</v>
      </c>
      <c r="CL70" t="b">
        <f>AND(DATA!L614,"AAAAAG7/71k=")</f>
        <v>1</v>
      </c>
      <c r="CM70" t="b">
        <f>AND(DATA!M614,"AAAAAG7/71o=")</f>
        <v>1</v>
      </c>
      <c r="CN70" t="b">
        <f>AND(DATA!N614,"AAAAAG7/71s=")</f>
        <v>1</v>
      </c>
      <c r="CO70">
        <f>IF(DATA!615:615,"AAAAAG7/71w=",0)</f>
        <v>0</v>
      </c>
      <c r="CP70" t="e">
        <f>AND(DATA!A615,"AAAAAG7/710=")</f>
        <v>#VALUE!</v>
      </c>
      <c r="CQ70" t="e">
        <f>AND(DATA!B615,"AAAAAG7/714=")</f>
        <v>#VALUE!</v>
      </c>
      <c r="CR70" t="e">
        <f>AND(DATA!C615,"AAAAAG7/718=")</f>
        <v>#VALUE!</v>
      </c>
      <c r="CS70" t="e">
        <f>AND(DATA!D615,"AAAAAG7/72A=")</f>
        <v>#VALUE!</v>
      </c>
      <c r="CT70" t="e">
        <f>AND(DATA!E615,"AAAAAG7/72E=")</f>
        <v>#VALUE!</v>
      </c>
      <c r="CU70" t="e">
        <f>AND(DATA!F615,"AAAAAG7/72I=")</f>
        <v>#VALUE!</v>
      </c>
      <c r="CV70" t="e">
        <f>AND(DATA!G615,"AAAAAG7/72M=")</f>
        <v>#VALUE!</v>
      </c>
      <c r="CW70" t="e">
        <f>AND(DATA!H615,"AAAAAG7/72Q=")</f>
        <v>#VALUE!</v>
      </c>
      <c r="CX70" t="e">
        <f>AND(DATA!I615,"AAAAAG7/72U=")</f>
        <v>#VALUE!</v>
      </c>
      <c r="CY70" t="e">
        <f>AND(DATA!J615,"AAAAAG7/72Y=")</f>
        <v>#VALUE!</v>
      </c>
      <c r="CZ70" t="e">
        <f>AND(DATA!K615,"AAAAAG7/72c=")</f>
        <v>#VALUE!</v>
      </c>
      <c r="DA70" t="b">
        <f>AND(DATA!L615,"AAAAAG7/72g=")</f>
        <v>1</v>
      </c>
      <c r="DB70" t="b">
        <f>AND(DATA!M615,"AAAAAG7/72k=")</f>
        <v>1</v>
      </c>
      <c r="DC70" t="b">
        <f>AND(DATA!N615,"AAAAAG7/72o=")</f>
        <v>1</v>
      </c>
      <c r="DD70">
        <f>IF(DATA!616:616,"AAAAAG7/72s=",0)</f>
        <v>0</v>
      </c>
      <c r="DE70" t="e">
        <f>AND(DATA!A616,"AAAAAG7/72w=")</f>
        <v>#VALUE!</v>
      </c>
      <c r="DF70" t="e">
        <f>AND(DATA!B616,"AAAAAG7/720=")</f>
        <v>#VALUE!</v>
      </c>
      <c r="DG70" t="e">
        <f>AND(DATA!C616,"AAAAAG7/724=")</f>
        <v>#VALUE!</v>
      </c>
      <c r="DH70" t="e">
        <f>AND(DATA!D616,"AAAAAG7/728=")</f>
        <v>#VALUE!</v>
      </c>
      <c r="DI70" t="e">
        <f>AND(DATA!E616,"AAAAAG7/73A=")</f>
        <v>#VALUE!</v>
      </c>
      <c r="DJ70" t="e">
        <f>AND(DATA!F616,"AAAAAG7/73E=")</f>
        <v>#VALUE!</v>
      </c>
      <c r="DK70" t="e">
        <f>AND(DATA!G616,"AAAAAG7/73I=")</f>
        <v>#VALUE!</v>
      </c>
      <c r="DL70" t="e">
        <f>AND(DATA!H616,"AAAAAG7/73M=")</f>
        <v>#VALUE!</v>
      </c>
      <c r="DM70" t="e">
        <f>AND(DATA!I616,"AAAAAG7/73Q=")</f>
        <v>#VALUE!</v>
      </c>
      <c r="DN70" t="e">
        <f>AND(DATA!J616,"AAAAAG7/73U=")</f>
        <v>#VALUE!</v>
      </c>
      <c r="DO70" t="e">
        <f>AND(DATA!K616,"AAAAAG7/73Y=")</f>
        <v>#VALUE!</v>
      </c>
      <c r="DP70" t="b">
        <f>AND(DATA!L616,"AAAAAG7/73c=")</f>
        <v>1</v>
      </c>
      <c r="DQ70" t="b">
        <f>AND(DATA!M616,"AAAAAG7/73g=")</f>
        <v>1</v>
      </c>
      <c r="DR70" t="b">
        <f>AND(DATA!N616,"AAAAAG7/73k=")</f>
        <v>1</v>
      </c>
      <c r="DS70">
        <f>IF(DATA!617:617,"AAAAAG7/73o=",0)</f>
        <v>0</v>
      </c>
      <c r="DT70" t="e">
        <f>AND(DATA!A617,"AAAAAG7/73s=")</f>
        <v>#VALUE!</v>
      </c>
      <c r="DU70" t="e">
        <f>AND(DATA!B617,"AAAAAG7/73w=")</f>
        <v>#VALUE!</v>
      </c>
      <c r="DV70" t="e">
        <f>AND(DATA!C617,"AAAAAG7/730=")</f>
        <v>#VALUE!</v>
      </c>
      <c r="DW70" t="e">
        <f>AND(DATA!D617,"AAAAAG7/734=")</f>
        <v>#VALUE!</v>
      </c>
      <c r="DX70" t="e">
        <f>AND(DATA!E617,"AAAAAG7/738=")</f>
        <v>#VALUE!</v>
      </c>
      <c r="DY70" t="e">
        <f>AND(DATA!F617,"AAAAAG7/74A=")</f>
        <v>#VALUE!</v>
      </c>
      <c r="DZ70" t="e">
        <f>AND(DATA!G617,"AAAAAG7/74E=")</f>
        <v>#VALUE!</v>
      </c>
      <c r="EA70" t="e">
        <f>AND(DATA!H617,"AAAAAG7/74I=")</f>
        <v>#VALUE!</v>
      </c>
      <c r="EB70" t="e">
        <f>AND(DATA!I617,"AAAAAG7/74M=")</f>
        <v>#VALUE!</v>
      </c>
      <c r="EC70" t="e">
        <f>AND(DATA!J617,"AAAAAG7/74Q=")</f>
        <v>#VALUE!</v>
      </c>
      <c r="ED70" t="e">
        <f>AND(DATA!K617,"AAAAAG7/74U=")</f>
        <v>#VALUE!</v>
      </c>
      <c r="EE70" t="b">
        <f>AND(DATA!L617,"AAAAAG7/74Y=")</f>
        <v>1</v>
      </c>
      <c r="EF70" t="b">
        <f>AND(DATA!M617,"AAAAAG7/74c=")</f>
        <v>1</v>
      </c>
      <c r="EG70" t="b">
        <f>AND(DATA!N617,"AAAAAG7/74g=")</f>
        <v>1</v>
      </c>
      <c r="EH70">
        <f>IF(DATA!618:618,"AAAAAG7/74k=",0)</f>
        <v>0</v>
      </c>
      <c r="EI70" t="e">
        <f>AND(DATA!A618,"AAAAAG7/74o=")</f>
        <v>#VALUE!</v>
      </c>
      <c r="EJ70" t="e">
        <f>AND(DATA!B618,"AAAAAG7/74s=")</f>
        <v>#VALUE!</v>
      </c>
      <c r="EK70" t="e">
        <f>AND(DATA!C618,"AAAAAG7/74w=")</f>
        <v>#VALUE!</v>
      </c>
      <c r="EL70" t="e">
        <f>AND(DATA!D618,"AAAAAG7/740=")</f>
        <v>#VALUE!</v>
      </c>
      <c r="EM70" t="e">
        <f>AND(DATA!E618,"AAAAAG7/744=")</f>
        <v>#VALUE!</v>
      </c>
      <c r="EN70" t="e">
        <f>AND(DATA!F618,"AAAAAG7/748=")</f>
        <v>#VALUE!</v>
      </c>
      <c r="EO70" t="e">
        <f>AND(DATA!G618,"AAAAAG7/75A=")</f>
        <v>#VALUE!</v>
      </c>
      <c r="EP70" t="e">
        <f>AND(DATA!H618,"AAAAAG7/75E=")</f>
        <v>#VALUE!</v>
      </c>
      <c r="EQ70" t="e">
        <f>AND(DATA!I618,"AAAAAG7/75I=")</f>
        <v>#VALUE!</v>
      </c>
      <c r="ER70" t="e">
        <f>AND(DATA!J618,"AAAAAG7/75M=")</f>
        <v>#VALUE!</v>
      </c>
      <c r="ES70" t="e">
        <f>AND(DATA!K618,"AAAAAG7/75Q=")</f>
        <v>#VALUE!</v>
      </c>
      <c r="ET70" t="b">
        <f>AND(DATA!L618,"AAAAAG7/75U=")</f>
        <v>1</v>
      </c>
      <c r="EU70" t="b">
        <f>AND(DATA!M618,"AAAAAG7/75Y=")</f>
        <v>1</v>
      </c>
      <c r="EV70" t="b">
        <f>AND(DATA!N618,"AAAAAG7/75c=")</f>
        <v>1</v>
      </c>
      <c r="EW70">
        <f>IF(DATA!619:619,"AAAAAG7/75g=",0)</f>
        <v>0</v>
      </c>
      <c r="EX70" t="e">
        <f>AND(DATA!A619,"AAAAAG7/75k=")</f>
        <v>#VALUE!</v>
      </c>
      <c r="EY70" t="e">
        <f>AND(DATA!B619,"AAAAAG7/75o=")</f>
        <v>#VALUE!</v>
      </c>
      <c r="EZ70" t="e">
        <f>AND(DATA!C619,"AAAAAG7/75s=")</f>
        <v>#VALUE!</v>
      </c>
      <c r="FA70" t="e">
        <f>AND(DATA!D619,"AAAAAG7/75w=")</f>
        <v>#VALUE!</v>
      </c>
      <c r="FB70" t="e">
        <f>AND(DATA!E619,"AAAAAG7/750=")</f>
        <v>#VALUE!</v>
      </c>
      <c r="FC70" t="e">
        <f>AND(DATA!F619,"AAAAAG7/754=")</f>
        <v>#VALUE!</v>
      </c>
      <c r="FD70" t="e">
        <f>AND(DATA!G619,"AAAAAG7/758=")</f>
        <v>#VALUE!</v>
      </c>
      <c r="FE70" t="e">
        <f>AND(DATA!H619,"AAAAAG7/76A=")</f>
        <v>#VALUE!</v>
      </c>
      <c r="FF70" t="e">
        <f>AND(DATA!I619,"AAAAAG7/76E=")</f>
        <v>#VALUE!</v>
      </c>
      <c r="FG70" t="e">
        <f>AND(DATA!J619,"AAAAAG7/76I=")</f>
        <v>#VALUE!</v>
      </c>
      <c r="FH70" t="e">
        <f>AND(DATA!K619,"AAAAAG7/76M=")</f>
        <v>#VALUE!</v>
      </c>
      <c r="FI70" t="b">
        <f>AND(DATA!L619,"AAAAAG7/76Q=")</f>
        <v>1</v>
      </c>
      <c r="FJ70" t="b">
        <f>AND(DATA!M619,"AAAAAG7/76U=")</f>
        <v>1</v>
      </c>
      <c r="FK70" t="b">
        <f>AND(DATA!N619,"AAAAAG7/76Y=")</f>
        <v>1</v>
      </c>
      <c r="FL70">
        <f>IF(DATA!620:620,"AAAAAG7/76c=",0)</f>
        <v>0</v>
      </c>
      <c r="FM70" t="e">
        <f>AND(DATA!A620,"AAAAAG7/76g=")</f>
        <v>#VALUE!</v>
      </c>
      <c r="FN70" t="e">
        <f>AND(DATA!B620,"AAAAAG7/76k=")</f>
        <v>#VALUE!</v>
      </c>
      <c r="FO70" t="e">
        <f>AND(DATA!C620,"AAAAAG7/76o=")</f>
        <v>#VALUE!</v>
      </c>
      <c r="FP70" t="e">
        <f>AND(DATA!D620,"AAAAAG7/76s=")</f>
        <v>#VALUE!</v>
      </c>
      <c r="FQ70" t="e">
        <f>AND(DATA!E620,"AAAAAG7/76w=")</f>
        <v>#VALUE!</v>
      </c>
      <c r="FR70" t="e">
        <f>AND(DATA!F620,"AAAAAG7/760=")</f>
        <v>#VALUE!</v>
      </c>
      <c r="FS70" t="e">
        <f>AND(DATA!G620,"AAAAAG7/764=")</f>
        <v>#VALUE!</v>
      </c>
      <c r="FT70" t="e">
        <f>AND(DATA!H620,"AAAAAG7/768=")</f>
        <v>#VALUE!</v>
      </c>
      <c r="FU70" t="e">
        <f>AND(DATA!I620,"AAAAAG7/77A=")</f>
        <v>#VALUE!</v>
      </c>
      <c r="FV70" t="e">
        <f>AND(DATA!J620,"AAAAAG7/77E=")</f>
        <v>#VALUE!</v>
      </c>
      <c r="FW70" t="e">
        <f>AND(DATA!K620,"AAAAAG7/77I=")</f>
        <v>#VALUE!</v>
      </c>
      <c r="FX70" t="b">
        <f>AND(DATA!L620,"AAAAAG7/77M=")</f>
        <v>1</v>
      </c>
      <c r="FY70" t="b">
        <f>AND(DATA!M620,"AAAAAG7/77Q=")</f>
        <v>1</v>
      </c>
      <c r="FZ70" t="b">
        <f>AND(DATA!N620,"AAAAAG7/77U=")</f>
        <v>1</v>
      </c>
      <c r="GA70">
        <f>IF(DATA!621:621,"AAAAAG7/77Y=",0)</f>
        <v>0</v>
      </c>
      <c r="GB70" t="e">
        <f>AND(DATA!A621,"AAAAAG7/77c=")</f>
        <v>#VALUE!</v>
      </c>
      <c r="GC70" t="e">
        <f>AND(DATA!B621,"AAAAAG7/77g=")</f>
        <v>#VALUE!</v>
      </c>
      <c r="GD70" t="e">
        <f>AND(DATA!C621,"AAAAAG7/77k=")</f>
        <v>#VALUE!</v>
      </c>
      <c r="GE70" t="e">
        <f>AND(DATA!D621,"AAAAAG7/77o=")</f>
        <v>#VALUE!</v>
      </c>
      <c r="GF70" t="e">
        <f>AND(DATA!E621,"AAAAAG7/77s=")</f>
        <v>#VALUE!</v>
      </c>
      <c r="GG70" t="e">
        <f>AND(DATA!F621,"AAAAAG7/77w=")</f>
        <v>#VALUE!</v>
      </c>
      <c r="GH70" t="e">
        <f>AND(DATA!G621,"AAAAAG7/770=")</f>
        <v>#VALUE!</v>
      </c>
      <c r="GI70" t="e">
        <f>AND(DATA!H621,"AAAAAG7/774=")</f>
        <v>#VALUE!</v>
      </c>
      <c r="GJ70" t="e">
        <f>AND(DATA!I621,"AAAAAG7/778=")</f>
        <v>#VALUE!</v>
      </c>
      <c r="GK70" t="e">
        <f>AND(DATA!J621,"AAAAAG7/78A=")</f>
        <v>#VALUE!</v>
      </c>
      <c r="GL70" t="e">
        <f>AND(DATA!K621,"AAAAAG7/78E=")</f>
        <v>#VALUE!</v>
      </c>
      <c r="GM70" t="b">
        <f>AND(DATA!L621,"AAAAAG7/78I=")</f>
        <v>1</v>
      </c>
      <c r="GN70" t="b">
        <f>AND(DATA!M621,"AAAAAG7/78M=")</f>
        <v>1</v>
      </c>
      <c r="GO70" t="b">
        <f>AND(DATA!N621,"AAAAAG7/78Q=")</f>
        <v>1</v>
      </c>
      <c r="GP70">
        <f>IF(DATA!622:622,"AAAAAG7/78U=",0)</f>
        <v>0</v>
      </c>
      <c r="GQ70" t="e">
        <f>AND(DATA!A622,"AAAAAG7/78Y=")</f>
        <v>#VALUE!</v>
      </c>
      <c r="GR70" t="e">
        <f>AND(DATA!B622,"AAAAAG7/78c=")</f>
        <v>#VALUE!</v>
      </c>
      <c r="GS70" t="e">
        <f>AND(DATA!C622,"AAAAAG7/78g=")</f>
        <v>#VALUE!</v>
      </c>
      <c r="GT70" t="e">
        <f>AND(DATA!D622,"AAAAAG7/78k=")</f>
        <v>#VALUE!</v>
      </c>
      <c r="GU70" t="e">
        <f>AND(DATA!E622,"AAAAAG7/78o=")</f>
        <v>#VALUE!</v>
      </c>
      <c r="GV70" t="e">
        <f>AND(DATA!F622,"AAAAAG7/78s=")</f>
        <v>#VALUE!</v>
      </c>
      <c r="GW70" t="e">
        <f>AND(DATA!G622,"AAAAAG7/78w=")</f>
        <v>#VALUE!</v>
      </c>
      <c r="GX70" t="e">
        <f>AND(DATA!H622,"AAAAAG7/780=")</f>
        <v>#VALUE!</v>
      </c>
      <c r="GY70" t="e">
        <f>AND(DATA!I622,"AAAAAG7/784=")</f>
        <v>#VALUE!</v>
      </c>
      <c r="GZ70" t="e">
        <f>AND(DATA!J622,"AAAAAG7/788=")</f>
        <v>#VALUE!</v>
      </c>
      <c r="HA70" t="e">
        <f>AND(DATA!K622,"AAAAAG7/79A=")</f>
        <v>#VALUE!</v>
      </c>
      <c r="HB70" t="b">
        <f>AND(DATA!L622,"AAAAAG7/79E=")</f>
        <v>1</v>
      </c>
      <c r="HC70" t="b">
        <f>AND(DATA!M622,"AAAAAG7/79I=")</f>
        <v>1</v>
      </c>
      <c r="HD70" t="b">
        <f>AND(DATA!N622,"AAAAAG7/79M=")</f>
        <v>1</v>
      </c>
      <c r="HE70">
        <f>IF(DATA!623:623,"AAAAAG7/79Q=",0)</f>
        <v>0</v>
      </c>
      <c r="HF70" t="e">
        <f>AND(DATA!A623,"AAAAAG7/79U=")</f>
        <v>#VALUE!</v>
      </c>
      <c r="HG70" t="e">
        <f>AND(DATA!B623,"AAAAAG7/79Y=")</f>
        <v>#VALUE!</v>
      </c>
      <c r="HH70" t="e">
        <f>AND(DATA!C623,"AAAAAG7/79c=")</f>
        <v>#VALUE!</v>
      </c>
      <c r="HI70" t="e">
        <f>AND(DATA!D623,"AAAAAG7/79g=")</f>
        <v>#VALUE!</v>
      </c>
      <c r="HJ70" t="e">
        <f>AND(DATA!E623,"AAAAAG7/79k=")</f>
        <v>#VALUE!</v>
      </c>
      <c r="HK70" t="e">
        <f>AND(DATA!F623,"AAAAAG7/79o=")</f>
        <v>#VALUE!</v>
      </c>
      <c r="HL70" t="e">
        <f>AND(DATA!G623,"AAAAAG7/79s=")</f>
        <v>#VALUE!</v>
      </c>
      <c r="HM70" t="e">
        <f>AND(DATA!H623,"AAAAAG7/79w=")</f>
        <v>#VALUE!</v>
      </c>
      <c r="HN70" t="e">
        <f>AND(DATA!I623,"AAAAAG7/790=")</f>
        <v>#VALUE!</v>
      </c>
      <c r="HO70" t="e">
        <f>AND(DATA!J623,"AAAAAG7/794=")</f>
        <v>#VALUE!</v>
      </c>
      <c r="HP70" t="e">
        <f>AND(DATA!K623,"AAAAAG7/798=")</f>
        <v>#VALUE!</v>
      </c>
      <c r="HQ70" t="b">
        <f>AND(DATA!L623,"AAAAAG7/7+A=")</f>
        <v>1</v>
      </c>
      <c r="HR70" t="b">
        <f>AND(DATA!M623,"AAAAAG7/7+E=")</f>
        <v>1</v>
      </c>
      <c r="HS70" t="b">
        <f>AND(DATA!N623,"AAAAAG7/7+I=")</f>
        <v>1</v>
      </c>
      <c r="HT70">
        <f>IF(DATA!624:624,"AAAAAG7/7+M=",0)</f>
        <v>0</v>
      </c>
      <c r="HU70" t="e">
        <f>AND(DATA!A624,"AAAAAG7/7+Q=")</f>
        <v>#VALUE!</v>
      </c>
      <c r="HV70" t="e">
        <f>AND(DATA!B624,"AAAAAG7/7+U=")</f>
        <v>#VALUE!</v>
      </c>
      <c r="HW70" t="e">
        <f>AND(DATA!C624,"AAAAAG7/7+Y=")</f>
        <v>#VALUE!</v>
      </c>
      <c r="HX70" t="e">
        <f>AND(DATA!D624,"AAAAAG7/7+c=")</f>
        <v>#VALUE!</v>
      </c>
      <c r="HY70" t="e">
        <f>AND(DATA!E624,"AAAAAG7/7+g=")</f>
        <v>#VALUE!</v>
      </c>
      <c r="HZ70" t="e">
        <f>AND(DATA!F624,"AAAAAG7/7+k=")</f>
        <v>#VALUE!</v>
      </c>
      <c r="IA70" t="e">
        <f>AND(DATA!G624,"AAAAAG7/7+o=")</f>
        <v>#VALUE!</v>
      </c>
      <c r="IB70" t="e">
        <f>AND(DATA!H624,"AAAAAG7/7+s=")</f>
        <v>#VALUE!</v>
      </c>
      <c r="IC70" t="e">
        <f>AND(DATA!I624,"AAAAAG7/7+w=")</f>
        <v>#VALUE!</v>
      </c>
      <c r="ID70" t="e">
        <f>AND(DATA!J624,"AAAAAG7/7+0=")</f>
        <v>#VALUE!</v>
      </c>
      <c r="IE70" t="e">
        <f>AND(DATA!K624,"AAAAAG7/7+4=")</f>
        <v>#VALUE!</v>
      </c>
      <c r="IF70" t="b">
        <f>AND(DATA!L624,"AAAAAG7/7+8=")</f>
        <v>1</v>
      </c>
      <c r="IG70" t="b">
        <f>AND(DATA!M624,"AAAAAG7/7/A=")</f>
        <v>1</v>
      </c>
      <c r="IH70" t="b">
        <f>AND(DATA!N624,"AAAAAG7/7/E=")</f>
        <v>1</v>
      </c>
      <c r="II70">
        <f>IF(DATA!625:625,"AAAAAG7/7/I=",0)</f>
        <v>0</v>
      </c>
      <c r="IJ70" t="e">
        <f>AND(DATA!A625,"AAAAAG7/7/M=")</f>
        <v>#VALUE!</v>
      </c>
      <c r="IK70" t="e">
        <f>AND(DATA!B625,"AAAAAG7/7/Q=")</f>
        <v>#VALUE!</v>
      </c>
      <c r="IL70" t="e">
        <f>AND(DATA!C625,"AAAAAG7/7/U=")</f>
        <v>#VALUE!</v>
      </c>
      <c r="IM70" t="e">
        <f>AND(DATA!D625,"AAAAAG7/7/Y=")</f>
        <v>#VALUE!</v>
      </c>
      <c r="IN70" t="e">
        <f>AND(DATA!E625,"AAAAAG7/7/c=")</f>
        <v>#VALUE!</v>
      </c>
      <c r="IO70" t="e">
        <f>AND(DATA!F625,"AAAAAG7/7/g=")</f>
        <v>#VALUE!</v>
      </c>
      <c r="IP70" t="e">
        <f>AND(DATA!G625,"AAAAAG7/7/k=")</f>
        <v>#VALUE!</v>
      </c>
      <c r="IQ70" t="e">
        <f>AND(DATA!H625,"AAAAAG7/7/o=")</f>
        <v>#VALUE!</v>
      </c>
      <c r="IR70" t="e">
        <f>AND(DATA!I625,"AAAAAG7/7/s=")</f>
        <v>#VALUE!</v>
      </c>
      <c r="IS70" t="e">
        <f>AND(DATA!J625,"AAAAAG7/7/w=")</f>
        <v>#VALUE!</v>
      </c>
      <c r="IT70" t="e">
        <f>AND(DATA!K625,"AAAAAG7/7/0=")</f>
        <v>#VALUE!</v>
      </c>
      <c r="IU70" t="b">
        <f>AND(DATA!L625,"AAAAAG7/7/4=")</f>
        <v>1</v>
      </c>
      <c r="IV70" t="b">
        <f>AND(DATA!M625,"AAAAAG7/7/8=")</f>
        <v>1</v>
      </c>
    </row>
    <row r="71" spans="1:256">
      <c r="A71" t="b">
        <f>AND(DATA!N625,"AAAAAF/R3wA=")</f>
        <v>1</v>
      </c>
      <c r="B71">
        <f>IF(DATA!626:626,"AAAAAF/R3wE=",0)</f>
        <v>0</v>
      </c>
      <c r="C71" t="e">
        <f>AND(DATA!A626,"AAAAAF/R3wI=")</f>
        <v>#VALUE!</v>
      </c>
      <c r="D71" t="e">
        <f>AND(DATA!B626,"AAAAAF/R3wM=")</f>
        <v>#VALUE!</v>
      </c>
      <c r="E71" t="e">
        <f>AND(DATA!C626,"AAAAAF/R3wQ=")</f>
        <v>#VALUE!</v>
      </c>
      <c r="F71" t="e">
        <f>AND(DATA!D626,"AAAAAF/R3wU=")</f>
        <v>#VALUE!</v>
      </c>
      <c r="G71" t="e">
        <f>AND(DATA!E626,"AAAAAF/R3wY=")</f>
        <v>#VALUE!</v>
      </c>
      <c r="H71" t="e">
        <f>AND(DATA!F626,"AAAAAF/R3wc=")</f>
        <v>#VALUE!</v>
      </c>
      <c r="I71" t="e">
        <f>AND(DATA!G626,"AAAAAF/R3wg=")</f>
        <v>#VALUE!</v>
      </c>
      <c r="J71" t="e">
        <f>AND(DATA!H626,"AAAAAF/R3wk=")</f>
        <v>#VALUE!</v>
      </c>
      <c r="K71" t="e">
        <f>AND(DATA!I626,"AAAAAF/R3wo=")</f>
        <v>#VALUE!</v>
      </c>
      <c r="L71" t="e">
        <f>AND(DATA!J626,"AAAAAF/R3ws=")</f>
        <v>#VALUE!</v>
      </c>
      <c r="M71" t="e">
        <f>AND(DATA!K626,"AAAAAF/R3ww=")</f>
        <v>#VALUE!</v>
      </c>
      <c r="N71" t="b">
        <f>AND(DATA!L626,"AAAAAF/R3w0=")</f>
        <v>1</v>
      </c>
      <c r="O71" t="b">
        <f>AND(DATA!M626,"AAAAAF/R3w4=")</f>
        <v>1</v>
      </c>
      <c r="P71" t="b">
        <f>AND(DATA!N626,"AAAAAF/R3w8=")</f>
        <v>1</v>
      </c>
      <c r="Q71">
        <f>IF(DATA!627:627,"AAAAAF/R3xA=",0)</f>
        <v>0</v>
      </c>
      <c r="R71" t="e">
        <f>AND(DATA!A627,"AAAAAF/R3xE=")</f>
        <v>#VALUE!</v>
      </c>
      <c r="S71" t="e">
        <f>AND(DATA!B627,"AAAAAF/R3xI=")</f>
        <v>#VALUE!</v>
      </c>
      <c r="T71" t="e">
        <f>AND(DATA!C627,"AAAAAF/R3xM=")</f>
        <v>#VALUE!</v>
      </c>
      <c r="U71" t="e">
        <f>AND(DATA!D627,"AAAAAF/R3xQ=")</f>
        <v>#VALUE!</v>
      </c>
      <c r="V71" t="e">
        <f>AND(DATA!E627,"AAAAAF/R3xU=")</f>
        <v>#VALUE!</v>
      </c>
      <c r="W71" t="e">
        <f>AND(DATA!F627,"AAAAAF/R3xY=")</f>
        <v>#VALUE!</v>
      </c>
      <c r="X71" t="e">
        <f>AND(DATA!G627,"AAAAAF/R3xc=")</f>
        <v>#VALUE!</v>
      </c>
      <c r="Y71" t="e">
        <f>AND(DATA!H627,"AAAAAF/R3xg=")</f>
        <v>#VALUE!</v>
      </c>
      <c r="Z71" t="e">
        <f>AND(DATA!I627,"AAAAAF/R3xk=")</f>
        <v>#VALUE!</v>
      </c>
      <c r="AA71" t="e">
        <f>AND(DATA!J627,"AAAAAF/R3xo=")</f>
        <v>#VALUE!</v>
      </c>
      <c r="AB71" t="e">
        <f>AND(DATA!K627,"AAAAAF/R3xs=")</f>
        <v>#VALUE!</v>
      </c>
      <c r="AC71" t="b">
        <f>AND(DATA!L627,"AAAAAF/R3xw=")</f>
        <v>1</v>
      </c>
      <c r="AD71" t="b">
        <f>AND(DATA!M627,"AAAAAF/R3x0=")</f>
        <v>1</v>
      </c>
      <c r="AE71" t="b">
        <f>AND(DATA!N627,"AAAAAF/R3x4=")</f>
        <v>1</v>
      </c>
      <c r="AF71">
        <f>IF(DATA!628:628,"AAAAAF/R3x8=",0)</f>
        <v>0</v>
      </c>
      <c r="AG71" t="e">
        <f>AND(DATA!A628,"AAAAAF/R3yA=")</f>
        <v>#VALUE!</v>
      </c>
      <c r="AH71" t="e">
        <f>AND(DATA!B628,"AAAAAF/R3yE=")</f>
        <v>#VALUE!</v>
      </c>
      <c r="AI71" t="e">
        <f>AND(DATA!C628,"AAAAAF/R3yI=")</f>
        <v>#VALUE!</v>
      </c>
      <c r="AJ71" t="e">
        <f>AND(DATA!D628,"AAAAAF/R3yM=")</f>
        <v>#VALUE!</v>
      </c>
      <c r="AK71" t="e">
        <f>AND(DATA!E628,"AAAAAF/R3yQ=")</f>
        <v>#VALUE!</v>
      </c>
      <c r="AL71" t="e">
        <f>AND(DATA!F628,"AAAAAF/R3yU=")</f>
        <v>#VALUE!</v>
      </c>
      <c r="AM71" t="e">
        <f>AND(DATA!G628,"AAAAAF/R3yY=")</f>
        <v>#VALUE!</v>
      </c>
      <c r="AN71" t="e">
        <f>AND(DATA!H628,"AAAAAF/R3yc=")</f>
        <v>#VALUE!</v>
      </c>
      <c r="AO71" t="e">
        <f>AND(DATA!I628,"AAAAAF/R3yg=")</f>
        <v>#VALUE!</v>
      </c>
      <c r="AP71" t="e">
        <f>AND(DATA!J628,"AAAAAF/R3yk=")</f>
        <v>#VALUE!</v>
      </c>
      <c r="AQ71" t="e">
        <f>AND(DATA!K628,"AAAAAF/R3yo=")</f>
        <v>#VALUE!</v>
      </c>
      <c r="AR71" t="b">
        <f>AND(DATA!L628,"AAAAAF/R3ys=")</f>
        <v>1</v>
      </c>
      <c r="AS71" t="b">
        <f>AND(DATA!M628,"AAAAAF/R3yw=")</f>
        <v>1</v>
      </c>
      <c r="AT71" t="b">
        <f>AND(DATA!N628,"AAAAAF/R3y0=")</f>
        <v>1</v>
      </c>
      <c r="AU71">
        <f>IF(DATA!629:629,"AAAAAF/R3y4=",0)</f>
        <v>0</v>
      </c>
      <c r="AV71" t="e">
        <f>AND(DATA!A629,"AAAAAF/R3y8=")</f>
        <v>#VALUE!</v>
      </c>
      <c r="AW71" t="e">
        <f>AND(DATA!B629,"AAAAAF/R3zA=")</f>
        <v>#VALUE!</v>
      </c>
      <c r="AX71" t="e">
        <f>AND(DATA!C629,"AAAAAF/R3zE=")</f>
        <v>#VALUE!</v>
      </c>
      <c r="AY71" t="e">
        <f>AND(DATA!D629,"AAAAAF/R3zI=")</f>
        <v>#VALUE!</v>
      </c>
      <c r="AZ71" t="e">
        <f>AND(DATA!E629,"AAAAAF/R3zM=")</f>
        <v>#VALUE!</v>
      </c>
      <c r="BA71" t="e">
        <f>AND(DATA!F629,"AAAAAF/R3zQ=")</f>
        <v>#VALUE!</v>
      </c>
      <c r="BB71" t="e">
        <f>AND(DATA!G629,"AAAAAF/R3zU=")</f>
        <v>#VALUE!</v>
      </c>
      <c r="BC71" t="e">
        <f>AND(DATA!H629,"AAAAAF/R3zY=")</f>
        <v>#VALUE!</v>
      </c>
      <c r="BD71" t="e">
        <f>AND(DATA!I629,"AAAAAF/R3zc=")</f>
        <v>#VALUE!</v>
      </c>
      <c r="BE71" t="e">
        <f>AND(DATA!J629,"AAAAAF/R3zg=")</f>
        <v>#VALUE!</v>
      </c>
      <c r="BF71" t="e">
        <f>AND(DATA!K629,"AAAAAF/R3zk=")</f>
        <v>#VALUE!</v>
      </c>
      <c r="BG71" t="b">
        <f>AND(DATA!L629,"AAAAAF/R3zo=")</f>
        <v>1</v>
      </c>
      <c r="BH71" t="b">
        <f>AND(DATA!M629,"AAAAAF/R3zs=")</f>
        <v>1</v>
      </c>
      <c r="BI71" t="b">
        <f>AND(DATA!N629,"AAAAAF/R3zw=")</f>
        <v>1</v>
      </c>
      <c r="BJ71">
        <f>IF(DATA!630:630,"AAAAAF/R3z0=",0)</f>
        <v>0</v>
      </c>
      <c r="BK71" t="e">
        <f>AND(DATA!A630,"AAAAAF/R3z4=")</f>
        <v>#VALUE!</v>
      </c>
      <c r="BL71" t="e">
        <f>AND(DATA!B630,"AAAAAF/R3z8=")</f>
        <v>#VALUE!</v>
      </c>
      <c r="BM71" t="e">
        <f>AND(DATA!C630,"AAAAAF/R30A=")</f>
        <v>#VALUE!</v>
      </c>
      <c r="BN71" t="e">
        <f>AND(DATA!D630,"AAAAAF/R30E=")</f>
        <v>#VALUE!</v>
      </c>
      <c r="BO71" t="e">
        <f>AND(DATA!E630,"AAAAAF/R30I=")</f>
        <v>#VALUE!</v>
      </c>
      <c r="BP71" t="e">
        <f>AND(DATA!F630,"AAAAAF/R30M=")</f>
        <v>#VALUE!</v>
      </c>
      <c r="BQ71" t="e">
        <f>AND(DATA!G630,"AAAAAF/R30Q=")</f>
        <v>#VALUE!</v>
      </c>
      <c r="BR71" t="e">
        <f>AND(DATA!H630,"AAAAAF/R30U=")</f>
        <v>#VALUE!</v>
      </c>
      <c r="BS71" t="e">
        <f>AND(DATA!I630,"AAAAAF/R30Y=")</f>
        <v>#VALUE!</v>
      </c>
      <c r="BT71" t="e">
        <f>AND(DATA!J630,"AAAAAF/R30c=")</f>
        <v>#VALUE!</v>
      </c>
      <c r="BU71" t="e">
        <f>AND(DATA!K630,"AAAAAF/R30g=")</f>
        <v>#VALUE!</v>
      </c>
      <c r="BV71" t="b">
        <f>AND(DATA!L630,"AAAAAF/R30k=")</f>
        <v>1</v>
      </c>
      <c r="BW71" t="b">
        <f>AND(DATA!M630,"AAAAAF/R30o=")</f>
        <v>1</v>
      </c>
      <c r="BX71" t="b">
        <f>AND(DATA!N630,"AAAAAF/R30s=")</f>
        <v>1</v>
      </c>
      <c r="BY71">
        <f>IF(DATA!631:631,"AAAAAF/R30w=",0)</f>
        <v>0</v>
      </c>
      <c r="BZ71" t="e">
        <f>AND(DATA!A631,"AAAAAF/R300=")</f>
        <v>#VALUE!</v>
      </c>
      <c r="CA71" t="e">
        <f>AND(DATA!B631,"AAAAAF/R304=")</f>
        <v>#VALUE!</v>
      </c>
      <c r="CB71" t="e">
        <f>AND(DATA!C631,"AAAAAF/R308=")</f>
        <v>#VALUE!</v>
      </c>
      <c r="CC71" t="e">
        <f>AND(DATA!D631,"AAAAAF/R31A=")</f>
        <v>#VALUE!</v>
      </c>
      <c r="CD71" t="e">
        <f>AND(DATA!E631,"AAAAAF/R31E=")</f>
        <v>#VALUE!</v>
      </c>
      <c r="CE71" t="e">
        <f>AND(DATA!F631,"AAAAAF/R31I=")</f>
        <v>#VALUE!</v>
      </c>
      <c r="CF71" t="e">
        <f>AND(DATA!G631,"AAAAAF/R31M=")</f>
        <v>#VALUE!</v>
      </c>
      <c r="CG71" t="e">
        <f>AND(DATA!H631,"AAAAAF/R31Q=")</f>
        <v>#VALUE!</v>
      </c>
      <c r="CH71" t="e">
        <f>AND(DATA!I631,"AAAAAF/R31U=")</f>
        <v>#VALUE!</v>
      </c>
      <c r="CI71" t="e">
        <f>AND(DATA!J631,"AAAAAF/R31Y=")</f>
        <v>#VALUE!</v>
      </c>
      <c r="CJ71" t="e">
        <f>AND(DATA!K631,"AAAAAF/R31c=")</f>
        <v>#VALUE!</v>
      </c>
      <c r="CK71" t="b">
        <f>AND(DATA!L631,"AAAAAF/R31g=")</f>
        <v>1</v>
      </c>
      <c r="CL71" t="b">
        <f>AND(DATA!M631,"AAAAAF/R31k=")</f>
        <v>1</v>
      </c>
      <c r="CM71" t="b">
        <f>AND(DATA!N631,"AAAAAF/R31o=")</f>
        <v>1</v>
      </c>
      <c r="CN71">
        <f>IF(DATA!632:632,"AAAAAF/R31s=",0)</f>
        <v>0</v>
      </c>
      <c r="CO71" t="e">
        <f>AND(DATA!A632,"AAAAAF/R31w=")</f>
        <v>#VALUE!</v>
      </c>
      <c r="CP71" t="e">
        <f>AND(DATA!B632,"AAAAAF/R310=")</f>
        <v>#VALUE!</v>
      </c>
      <c r="CQ71" t="e">
        <f>AND(DATA!C632,"AAAAAF/R314=")</f>
        <v>#VALUE!</v>
      </c>
      <c r="CR71" t="e">
        <f>AND(DATA!D632,"AAAAAF/R318=")</f>
        <v>#VALUE!</v>
      </c>
      <c r="CS71" t="e">
        <f>AND(DATA!E632,"AAAAAF/R32A=")</f>
        <v>#VALUE!</v>
      </c>
      <c r="CT71" t="e">
        <f>AND(DATA!F632,"AAAAAF/R32E=")</f>
        <v>#VALUE!</v>
      </c>
      <c r="CU71" t="e">
        <f>AND(DATA!G632,"AAAAAF/R32I=")</f>
        <v>#VALUE!</v>
      </c>
      <c r="CV71" t="e">
        <f>AND(DATA!H632,"AAAAAF/R32M=")</f>
        <v>#VALUE!</v>
      </c>
      <c r="CW71" t="e">
        <f>AND(DATA!I632,"AAAAAF/R32Q=")</f>
        <v>#VALUE!</v>
      </c>
      <c r="CX71" t="e">
        <f>AND(DATA!J632,"AAAAAF/R32U=")</f>
        <v>#VALUE!</v>
      </c>
      <c r="CY71" t="e">
        <f>AND(DATA!K632,"AAAAAF/R32Y=")</f>
        <v>#VALUE!</v>
      </c>
      <c r="CZ71" t="b">
        <f>AND(DATA!L632,"AAAAAF/R32c=")</f>
        <v>1</v>
      </c>
      <c r="DA71" t="b">
        <f>AND(DATA!M632,"AAAAAF/R32g=")</f>
        <v>1</v>
      </c>
      <c r="DB71" t="b">
        <f>AND(DATA!N632,"AAAAAF/R32k=")</f>
        <v>1</v>
      </c>
      <c r="DC71">
        <f>IF(DATA!633:633,"AAAAAF/R32o=",0)</f>
        <v>0</v>
      </c>
      <c r="DD71" t="e">
        <f>AND(DATA!A633,"AAAAAF/R32s=")</f>
        <v>#VALUE!</v>
      </c>
      <c r="DE71" t="e">
        <f>AND(DATA!B633,"AAAAAF/R32w=")</f>
        <v>#VALUE!</v>
      </c>
      <c r="DF71" t="e">
        <f>AND(DATA!C633,"AAAAAF/R320=")</f>
        <v>#VALUE!</v>
      </c>
      <c r="DG71" t="e">
        <f>AND(DATA!D633,"AAAAAF/R324=")</f>
        <v>#VALUE!</v>
      </c>
      <c r="DH71" t="e">
        <f>AND(DATA!E633,"AAAAAF/R328=")</f>
        <v>#VALUE!</v>
      </c>
      <c r="DI71" t="e">
        <f>AND(DATA!F633,"AAAAAF/R33A=")</f>
        <v>#VALUE!</v>
      </c>
      <c r="DJ71" t="e">
        <f>AND(DATA!G633,"AAAAAF/R33E=")</f>
        <v>#VALUE!</v>
      </c>
      <c r="DK71" t="e">
        <f>AND(DATA!H633,"AAAAAF/R33I=")</f>
        <v>#VALUE!</v>
      </c>
      <c r="DL71" t="e">
        <f>AND(DATA!I633,"AAAAAF/R33M=")</f>
        <v>#VALUE!</v>
      </c>
      <c r="DM71" t="e">
        <f>AND(DATA!J633,"AAAAAF/R33Q=")</f>
        <v>#VALUE!</v>
      </c>
      <c r="DN71" t="e">
        <f>AND(DATA!K633,"AAAAAF/R33U=")</f>
        <v>#VALUE!</v>
      </c>
      <c r="DO71" t="b">
        <f>AND(DATA!L633,"AAAAAF/R33Y=")</f>
        <v>1</v>
      </c>
      <c r="DP71" t="b">
        <f>AND(DATA!M633,"AAAAAF/R33c=")</f>
        <v>1</v>
      </c>
      <c r="DQ71" t="b">
        <f>AND(DATA!N633,"AAAAAF/R33g=")</f>
        <v>1</v>
      </c>
      <c r="DR71">
        <f>IF(DATA!634:634,"AAAAAF/R33k=",0)</f>
        <v>0</v>
      </c>
      <c r="DS71" t="e">
        <f>AND(DATA!A634,"AAAAAF/R33o=")</f>
        <v>#VALUE!</v>
      </c>
      <c r="DT71" t="e">
        <f>AND(DATA!B634,"AAAAAF/R33s=")</f>
        <v>#VALUE!</v>
      </c>
      <c r="DU71" t="e">
        <f>AND(DATA!C634,"AAAAAF/R33w=")</f>
        <v>#VALUE!</v>
      </c>
      <c r="DV71" t="e">
        <f>AND(DATA!D634,"AAAAAF/R330=")</f>
        <v>#VALUE!</v>
      </c>
      <c r="DW71" t="e">
        <f>AND(DATA!E634,"AAAAAF/R334=")</f>
        <v>#VALUE!</v>
      </c>
      <c r="DX71" t="e">
        <f>AND(DATA!F634,"AAAAAF/R338=")</f>
        <v>#VALUE!</v>
      </c>
      <c r="DY71" t="e">
        <f>AND(DATA!G634,"AAAAAF/R34A=")</f>
        <v>#VALUE!</v>
      </c>
      <c r="DZ71" t="e">
        <f>AND(DATA!H634,"AAAAAF/R34E=")</f>
        <v>#VALUE!</v>
      </c>
      <c r="EA71" t="e">
        <f>AND(DATA!I634,"AAAAAF/R34I=")</f>
        <v>#VALUE!</v>
      </c>
      <c r="EB71" t="e">
        <f>AND(DATA!J634,"AAAAAF/R34M=")</f>
        <v>#VALUE!</v>
      </c>
      <c r="EC71" t="e">
        <f>AND(DATA!K634,"AAAAAF/R34Q=")</f>
        <v>#VALUE!</v>
      </c>
      <c r="ED71" t="b">
        <f>AND(DATA!L634,"AAAAAF/R34U=")</f>
        <v>1</v>
      </c>
      <c r="EE71" t="b">
        <f>AND(DATA!M634,"AAAAAF/R34Y=")</f>
        <v>1</v>
      </c>
      <c r="EF71" t="b">
        <f>AND(DATA!N634,"AAAAAF/R34c=")</f>
        <v>1</v>
      </c>
      <c r="EG71">
        <f>IF(DATA!635:635,"AAAAAF/R34g=",0)</f>
        <v>0</v>
      </c>
      <c r="EH71" t="e">
        <f>AND(DATA!A635,"AAAAAF/R34k=")</f>
        <v>#VALUE!</v>
      </c>
      <c r="EI71" t="e">
        <f>AND(DATA!B635,"AAAAAF/R34o=")</f>
        <v>#VALUE!</v>
      </c>
      <c r="EJ71" t="e">
        <f>AND(DATA!C635,"AAAAAF/R34s=")</f>
        <v>#VALUE!</v>
      </c>
      <c r="EK71" t="e">
        <f>AND(DATA!D635,"AAAAAF/R34w=")</f>
        <v>#VALUE!</v>
      </c>
      <c r="EL71" t="e">
        <f>AND(DATA!E635,"AAAAAF/R340=")</f>
        <v>#VALUE!</v>
      </c>
      <c r="EM71" t="e">
        <f>AND(DATA!F635,"AAAAAF/R344=")</f>
        <v>#VALUE!</v>
      </c>
      <c r="EN71" t="e">
        <f>AND(DATA!G635,"AAAAAF/R348=")</f>
        <v>#VALUE!</v>
      </c>
      <c r="EO71" t="e">
        <f>AND(DATA!H635,"AAAAAF/R35A=")</f>
        <v>#VALUE!</v>
      </c>
      <c r="EP71" t="e">
        <f>AND(DATA!I635,"AAAAAF/R35E=")</f>
        <v>#VALUE!</v>
      </c>
      <c r="EQ71" t="e">
        <f>AND(DATA!J635,"AAAAAF/R35I=")</f>
        <v>#VALUE!</v>
      </c>
      <c r="ER71" t="e">
        <f>AND(DATA!K635,"AAAAAF/R35M=")</f>
        <v>#VALUE!</v>
      </c>
      <c r="ES71" t="b">
        <f>AND(DATA!L635,"AAAAAF/R35Q=")</f>
        <v>1</v>
      </c>
      <c r="ET71" t="b">
        <f>AND(DATA!M635,"AAAAAF/R35U=")</f>
        <v>1</v>
      </c>
      <c r="EU71" t="b">
        <f>AND(DATA!N635,"AAAAAF/R35Y=")</f>
        <v>1</v>
      </c>
      <c r="EV71">
        <f>IF(DATA!636:636,"AAAAAF/R35c=",0)</f>
        <v>0</v>
      </c>
      <c r="EW71" t="e">
        <f>AND(DATA!A636,"AAAAAF/R35g=")</f>
        <v>#VALUE!</v>
      </c>
      <c r="EX71" t="e">
        <f>AND(DATA!B636,"AAAAAF/R35k=")</f>
        <v>#VALUE!</v>
      </c>
      <c r="EY71" t="e">
        <f>AND(DATA!C636,"AAAAAF/R35o=")</f>
        <v>#VALUE!</v>
      </c>
      <c r="EZ71" t="e">
        <f>AND(DATA!D636,"AAAAAF/R35s=")</f>
        <v>#VALUE!</v>
      </c>
      <c r="FA71" t="e">
        <f>AND(DATA!E636,"AAAAAF/R35w=")</f>
        <v>#VALUE!</v>
      </c>
      <c r="FB71" t="e">
        <f>AND(DATA!F636,"AAAAAF/R350=")</f>
        <v>#VALUE!</v>
      </c>
      <c r="FC71" t="e">
        <f>AND(DATA!G636,"AAAAAF/R354=")</f>
        <v>#VALUE!</v>
      </c>
      <c r="FD71" t="e">
        <f>AND(DATA!H636,"AAAAAF/R358=")</f>
        <v>#VALUE!</v>
      </c>
      <c r="FE71" t="e">
        <f>AND(DATA!I636,"AAAAAF/R36A=")</f>
        <v>#VALUE!</v>
      </c>
      <c r="FF71" t="e">
        <f>AND(DATA!J636,"AAAAAF/R36E=")</f>
        <v>#VALUE!</v>
      </c>
      <c r="FG71" t="e">
        <f>AND(DATA!K636,"AAAAAF/R36I=")</f>
        <v>#VALUE!</v>
      </c>
      <c r="FH71" t="b">
        <f>AND(DATA!L636,"AAAAAF/R36M=")</f>
        <v>1</v>
      </c>
      <c r="FI71" t="b">
        <f>AND(DATA!M636,"AAAAAF/R36Q=")</f>
        <v>1</v>
      </c>
      <c r="FJ71" t="b">
        <f>AND(DATA!N636,"AAAAAF/R36U=")</f>
        <v>1</v>
      </c>
      <c r="FK71">
        <f>IF(DATA!637:637,"AAAAAF/R36Y=",0)</f>
        <v>0</v>
      </c>
      <c r="FL71" t="e">
        <f>AND(DATA!A637,"AAAAAF/R36c=")</f>
        <v>#VALUE!</v>
      </c>
      <c r="FM71" t="e">
        <f>AND(DATA!B637,"AAAAAF/R36g=")</f>
        <v>#VALUE!</v>
      </c>
      <c r="FN71" t="e">
        <f>AND(DATA!C637,"AAAAAF/R36k=")</f>
        <v>#VALUE!</v>
      </c>
      <c r="FO71" t="e">
        <f>AND(DATA!D637,"AAAAAF/R36o=")</f>
        <v>#VALUE!</v>
      </c>
      <c r="FP71" t="e">
        <f>AND(DATA!E637,"AAAAAF/R36s=")</f>
        <v>#VALUE!</v>
      </c>
      <c r="FQ71" t="e">
        <f>AND(DATA!F637,"AAAAAF/R36w=")</f>
        <v>#VALUE!</v>
      </c>
      <c r="FR71" t="e">
        <f>AND(DATA!G637,"AAAAAF/R360=")</f>
        <v>#VALUE!</v>
      </c>
      <c r="FS71" t="e">
        <f>AND(DATA!H637,"AAAAAF/R364=")</f>
        <v>#VALUE!</v>
      </c>
      <c r="FT71" t="e">
        <f>AND(DATA!I637,"AAAAAF/R368=")</f>
        <v>#VALUE!</v>
      </c>
      <c r="FU71" t="e">
        <f>AND(DATA!J637,"AAAAAF/R37A=")</f>
        <v>#VALUE!</v>
      </c>
      <c r="FV71" t="e">
        <f>AND(DATA!K637,"AAAAAF/R37E=")</f>
        <v>#VALUE!</v>
      </c>
      <c r="FW71" t="b">
        <f>AND(DATA!L637,"AAAAAF/R37I=")</f>
        <v>1</v>
      </c>
      <c r="FX71" t="b">
        <f>AND(DATA!M637,"AAAAAF/R37M=")</f>
        <v>1</v>
      </c>
      <c r="FY71" t="b">
        <f>AND(DATA!N637,"AAAAAF/R37Q=")</f>
        <v>1</v>
      </c>
      <c r="FZ71">
        <f>IF(DATA!638:638,"AAAAAF/R37U=",0)</f>
        <v>0</v>
      </c>
      <c r="GA71" t="e">
        <f>AND(DATA!A638,"AAAAAF/R37Y=")</f>
        <v>#VALUE!</v>
      </c>
      <c r="GB71" t="e">
        <f>AND(DATA!B638,"AAAAAF/R37c=")</f>
        <v>#VALUE!</v>
      </c>
      <c r="GC71" t="e">
        <f>AND(DATA!C638,"AAAAAF/R37g=")</f>
        <v>#VALUE!</v>
      </c>
      <c r="GD71" t="e">
        <f>AND(DATA!D638,"AAAAAF/R37k=")</f>
        <v>#VALUE!</v>
      </c>
      <c r="GE71" t="e">
        <f>AND(DATA!E638,"AAAAAF/R37o=")</f>
        <v>#VALUE!</v>
      </c>
      <c r="GF71" t="e">
        <f>AND(DATA!F638,"AAAAAF/R37s=")</f>
        <v>#VALUE!</v>
      </c>
      <c r="GG71" t="e">
        <f>AND(DATA!G638,"AAAAAF/R37w=")</f>
        <v>#VALUE!</v>
      </c>
      <c r="GH71" t="e">
        <f>AND(DATA!H638,"AAAAAF/R370=")</f>
        <v>#VALUE!</v>
      </c>
      <c r="GI71" t="e">
        <f>AND(DATA!I638,"AAAAAF/R374=")</f>
        <v>#VALUE!</v>
      </c>
      <c r="GJ71" t="e">
        <f>AND(DATA!J638,"AAAAAF/R378=")</f>
        <v>#VALUE!</v>
      </c>
      <c r="GK71" t="e">
        <f>AND(DATA!K638,"AAAAAF/R38A=")</f>
        <v>#VALUE!</v>
      </c>
      <c r="GL71" t="b">
        <f>AND(DATA!L638,"AAAAAF/R38E=")</f>
        <v>1</v>
      </c>
      <c r="GM71" t="b">
        <f>AND(DATA!M638,"AAAAAF/R38I=")</f>
        <v>1</v>
      </c>
      <c r="GN71" t="b">
        <f>AND(DATA!N638,"AAAAAF/R38M=")</f>
        <v>1</v>
      </c>
      <c r="GO71">
        <f>IF(DATA!639:639,"AAAAAF/R38Q=",0)</f>
        <v>0</v>
      </c>
      <c r="GP71" t="e">
        <f>AND(DATA!A639,"AAAAAF/R38U=")</f>
        <v>#VALUE!</v>
      </c>
      <c r="GQ71" t="e">
        <f>AND(DATA!B639,"AAAAAF/R38Y=")</f>
        <v>#VALUE!</v>
      </c>
      <c r="GR71" t="e">
        <f>AND(DATA!C639,"AAAAAF/R38c=")</f>
        <v>#VALUE!</v>
      </c>
      <c r="GS71" t="e">
        <f>AND(DATA!D639,"AAAAAF/R38g=")</f>
        <v>#VALUE!</v>
      </c>
      <c r="GT71" t="e">
        <f>AND(DATA!E639,"AAAAAF/R38k=")</f>
        <v>#VALUE!</v>
      </c>
      <c r="GU71" t="e">
        <f>AND(DATA!F639,"AAAAAF/R38o=")</f>
        <v>#VALUE!</v>
      </c>
      <c r="GV71" t="e">
        <f>AND(DATA!G639,"AAAAAF/R38s=")</f>
        <v>#VALUE!</v>
      </c>
      <c r="GW71" t="e">
        <f>AND(DATA!H639,"AAAAAF/R38w=")</f>
        <v>#VALUE!</v>
      </c>
      <c r="GX71" t="e">
        <f>AND(DATA!I639,"AAAAAF/R380=")</f>
        <v>#VALUE!</v>
      </c>
      <c r="GY71" t="e">
        <f>AND(DATA!J639,"AAAAAF/R384=")</f>
        <v>#VALUE!</v>
      </c>
      <c r="GZ71" t="e">
        <f>AND(DATA!K639,"AAAAAF/R388=")</f>
        <v>#VALUE!</v>
      </c>
      <c r="HA71" t="b">
        <f>AND(DATA!L639,"AAAAAF/R39A=")</f>
        <v>1</v>
      </c>
      <c r="HB71" t="b">
        <f>AND(DATA!M639,"AAAAAF/R39E=")</f>
        <v>1</v>
      </c>
      <c r="HC71" t="b">
        <f>AND(DATA!N639,"AAAAAF/R39I=")</f>
        <v>1</v>
      </c>
      <c r="HD71">
        <f>IF(DATA!640:640,"AAAAAF/R39M=",0)</f>
        <v>0</v>
      </c>
      <c r="HE71" t="e">
        <f>AND(DATA!A640,"AAAAAF/R39Q=")</f>
        <v>#VALUE!</v>
      </c>
      <c r="HF71" t="e">
        <f>AND(DATA!B640,"AAAAAF/R39U=")</f>
        <v>#VALUE!</v>
      </c>
      <c r="HG71" t="e">
        <f>AND(DATA!C640,"AAAAAF/R39Y=")</f>
        <v>#VALUE!</v>
      </c>
      <c r="HH71" t="e">
        <f>AND(DATA!D640,"AAAAAF/R39c=")</f>
        <v>#VALUE!</v>
      </c>
      <c r="HI71" t="e">
        <f>AND(DATA!E640,"AAAAAF/R39g=")</f>
        <v>#VALUE!</v>
      </c>
      <c r="HJ71" t="e">
        <f>AND(DATA!F640,"AAAAAF/R39k=")</f>
        <v>#VALUE!</v>
      </c>
      <c r="HK71" t="e">
        <f>AND(DATA!G640,"AAAAAF/R39o=")</f>
        <v>#VALUE!</v>
      </c>
      <c r="HL71" t="e">
        <f>AND(DATA!H640,"AAAAAF/R39s=")</f>
        <v>#VALUE!</v>
      </c>
      <c r="HM71" t="e">
        <f>AND(DATA!I640,"AAAAAF/R39w=")</f>
        <v>#VALUE!</v>
      </c>
      <c r="HN71" t="e">
        <f>AND(DATA!J640,"AAAAAF/R390=")</f>
        <v>#VALUE!</v>
      </c>
      <c r="HO71" t="e">
        <f>AND(DATA!K640,"AAAAAF/R394=")</f>
        <v>#VALUE!</v>
      </c>
      <c r="HP71" t="b">
        <f>AND(DATA!L640,"AAAAAF/R398=")</f>
        <v>1</v>
      </c>
      <c r="HQ71" t="b">
        <f>AND(DATA!M640,"AAAAAF/R3+A=")</f>
        <v>1</v>
      </c>
      <c r="HR71" t="b">
        <f>AND(DATA!N640,"AAAAAF/R3+E=")</f>
        <v>1</v>
      </c>
      <c r="HS71">
        <f>IF(DATA!641:641,"AAAAAF/R3+I=",0)</f>
        <v>0</v>
      </c>
      <c r="HT71" t="e">
        <f>AND(DATA!A641,"AAAAAF/R3+M=")</f>
        <v>#VALUE!</v>
      </c>
      <c r="HU71" t="e">
        <f>AND(DATA!B641,"AAAAAF/R3+Q=")</f>
        <v>#VALUE!</v>
      </c>
      <c r="HV71" t="e">
        <f>AND(DATA!C641,"AAAAAF/R3+U=")</f>
        <v>#VALUE!</v>
      </c>
      <c r="HW71" t="e">
        <f>AND(DATA!D641,"AAAAAF/R3+Y=")</f>
        <v>#VALUE!</v>
      </c>
      <c r="HX71" t="e">
        <f>AND(DATA!E641,"AAAAAF/R3+c=")</f>
        <v>#VALUE!</v>
      </c>
      <c r="HY71" t="e">
        <f>AND(DATA!F641,"AAAAAF/R3+g=")</f>
        <v>#VALUE!</v>
      </c>
      <c r="HZ71" t="e">
        <f>AND(DATA!G641,"AAAAAF/R3+k=")</f>
        <v>#VALUE!</v>
      </c>
      <c r="IA71" t="e">
        <f>AND(DATA!H641,"AAAAAF/R3+o=")</f>
        <v>#VALUE!</v>
      </c>
      <c r="IB71" t="e">
        <f>AND(DATA!I641,"AAAAAF/R3+s=")</f>
        <v>#VALUE!</v>
      </c>
      <c r="IC71" t="e">
        <f>AND(DATA!J641,"AAAAAF/R3+w=")</f>
        <v>#VALUE!</v>
      </c>
      <c r="ID71" t="e">
        <f>AND(DATA!K641,"AAAAAF/R3+0=")</f>
        <v>#VALUE!</v>
      </c>
      <c r="IE71" t="b">
        <f>AND(DATA!L641,"AAAAAF/R3+4=")</f>
        <v>1</v>
      </c>
      <c r="IF71" t="b">
        <f>AND(DATA!M641,"AAAAAF/R3+8=")</f>
        <v>1</v>
      </c>
      <c r="IG71" t="b">
        <f>AND(DATA!N641,"AAAAAF/R3/A=")</f>
        <v>1</v>
      </c>
      <c r="IH71">
        <f>IF(DATA!642:642,"AAAAAF/R3/E=",0)</f>
        <v>0</v>
      </c>
      <c r="II71" t="e">
        <f>AND(DATA!A642,"AAAAAF/R3/I=")</f>
        <v>#VALUE!</v>
      </c>
      <c r="IJ71" t="e">
        <f>AND(DATA!B642,"AAAAAF/R3/M=")</f>
        <v>#VALUE!</v>
      </c>
      <c r="IK71" t="e">
        <f>AND(DATA!C642,"AAAAAF/R3/Q=")</f>
        <v>#VALUE!</v>
      </c>
      <c r="IL71" t="e">
        <f>AND(DATA!D642,"AAAAAF/R3/U=")</f>
        <v>#VALUE!</v>
      </c>
      <c r="IM71" t="e">
        <f>AND(DATA!E642,"AAAAAF/R3/Y=")</f>
        <v>#VALUE!</v>
      </c>
      <c r="IN71" t="e">
        <f>AND(DATA!F642,"AAAAAF/R3/c=")</f>
        <v>#VALUE!</v>
      </c>
      <c r="IO71" t="e">
        <f>AND(DATA!G642,"AAAAAF/R3/g=")</f>
        <v>#VALUE!</v>
      </c>
      <c r="IP71" t="e">
        <f>AND(DATA!H642,"AAAAAF/R3/k=")</f>
        <v>#VALUE!</v>
      </c>
      <c r="IQ71" t="e">
        <f>AND(DATA!I642,"AAAAAF/R3/o=")</f>
        <v>#VALUE!</v>
      </c>
      <c r="IR71" t="e">
        <f>AND(DATA!J642,"AAAAAF/R3/s=")</f>
        <v>#VALUE!</v>
      </c>
      <c r="IS71" t="e">
        <f>AND(DATA!K642,"AAAAAF/R3/w=")</f>
        <v>#VALUE!</v>
      </c>
      <c r="IT71" t="b">
        <f>AND(DATA!L642,"AAAAAF/R3/0=")</f>
        <v>1</v>
      </c>
      <c r="IU71" t="b">
        <f>AND(DATA!M642,"AAAAAF/R3/4=")</f>
        <v>1</v>
      </c>
      <c r="IV71" t="b">
        <f>AND(DATA!N642,"AAAAAF/R3/8=")</f>
        <v>1</v>
      </c>
    </row>
    <row r="72" spans="1:256">
      <c r="A72">
        <f>IF(DATA!643:643,"AAAAADv//wA=",0)</f>
        <v>0</v>
      </c>
      <c r="B72" t="e">
        <f>AND(DATA!A643,"AAAAADv//wE=")</f>
        <v>#VALUE!</v>
      </c>
      <c r="C72" t="e">
        <f>AND(DATA!B643,"AAAAADv//wI=")</f>
        <v>#VALUE!</v>
      </c>
      <c r="D72" t="e">
        <f>AND(DATA!C643,"AAAAADv//wM=")</f>
        <v>#VALUE!</v>
      </c>
      <c r="E72" t="e">
        <f>AND(DATA!D643,"AAAAADv//wQ=")</f>
        <v>#VALUE!</v>
      </c>
      <c r="F72" t="e">
        <f>AND(DATA!E643,"AAAAADv//wU=")</f>
        <v>#VALUE!</v>
      </c>
      <c r="G72" t="e">
        <f>AND(DATA!F643,"AAAAADv//wY=")</f>
        <v>#VALUE!</v>
      </c>
      <c r="H72" t="e">
        <f>AND(DATA!G643,"AAAAADv//wc=")</f>
        <v>#VALUE!</v>
      </c>
      <c r="I72" t="e">
        <f>AND(DATA!H643,"AAAAADv//wg=")</f>
        <v>#VALUE!</v>
      </c>
      <c r="J72" t="e">
        <f>AND(DATA!I643,"AAAAADv//wk=")</f>
        <v>#VALUE!</v>
      </c>
      <c r="K72" t="e">
        <f>AND(DATA!J643,"AAAAADv//wo=")</f>
        <v>#VALUE!</v>
      </c>
      <c r="L72" t="e">
        <f>AND(DATA!K643,"AAAAADv//ws=")</f>
        <v>#VALUE!</v>
      </c>
      <c r="M72" t="b">
        <f>AND(DATA!L643,"AAAAADv//ww=")</f>
        <v>1</v>
      </c>
      <c r="N72" t="b">
        <f>AND(DATA!M643,"AAAAADv//w0=")</f>
        <v>1</v>
      </c>
      <c r="O72" t="b">
        <f>AND(DATA!N643,"AAAAADv//w4=")</f>
        <v>1</v>
      </c>
      <c r="P72">
        <f>IF(DATA!644:644,"AAAAADv//w8=",0)</f>
        <v>0</v>
      </c>
      <c r="Q72" t="e">
        <f>AND(DATA!A644,"AAAAADv//xA=")</f>
        <v>#VALUE!</v>
      </c>
      <c r="R72" t="e">
        <f>AND(DATA!B644,"AAAAADv//xE=")</f>
        <v>#VALUE!</v>
      </c>
      <c r="S72" t="e">
        <f>AND(DATA!C644,"AAAAADv//xI=")</f>
        <v>#VALUE!</v>
      </c>
      <c r="T72" t="e">
        <f>AND(DATA!D644,"AAAAADv//xM=")</f>
        <v>#VALUE!</v>
      </c>
      <c r="U72" t="e">
        <f>AND(DATA!E644,"AAAAADv//xQ=")</f>
        <v>#VALUE!</v>
      </c>
      <c r="V72" t="e">
        <f>AND(DATA!F644,"AAAAADv//xU=")</f>
        <v>#VALUE!</v>
      </c>
      <c r="W72" t="e">
        <f>AND(DATA!G644,"AAAAADv//xY=")</f>
        <v>#VALUE!</v>
      </c>
      <c r="X72" t="e">
        <f>AND(DATA!H644,"AAAAADv//xc=")</f>
        <v>#VALUE!</v>
      </c>
      <c r="Y72" t="e">
        <f>AND(DATA!I644,"AAAAADv//xg=")</f>
        <v>#VALUE!</v>
      </c>
      <c r="Z72" t="e">
        <f>AND(DATA!J644,"AAAAADv//xk=")</f>
        <v>#VALUE!</v>
      </c>
      <c r="AA72" t="e">
        <f>AND(DATA!K644,"AAAAADv//xo=")</f>
        <v>#VALUE!</v>
      </c>
      <c r="AB72" t="b">
        <f>AND(DATA!L644,"AAAAADv//xs=")</f>
        <v>1</v>
      </c>
      <c r="AC72" t="b">
        <f>AND(DATA!M644,"AAAAADv//xw=")</f>
        <v>1</v>
      </c>
      <c r="AD72" t="b">
        <f>AND(DATA!N644,"AAAAADv//x0=")</f>
        <v>1</v>
      </c>
      <c r="AE72">
        <f>IF(DATA!645:645,"AAAAADv//x4=",0)</f>
        <v>0</v>
      </c>
      <c r="AF72" t="e">
        <f>AND(DATA!A645,"AAAAADv//x8=")</f>
        <v>#VALUE!</v>
      </c>
      <c r="AG72" t="e">
        <f>AND(DATA!B645,"AAAAADv//yA=")</f>
        <v>#VALUE!</v>
      </c>
      <c r="AH72" t="e">
        <f>AND(DATA!C645,"AAAAADv//yE=")</f>
        <v>#VALUE!</v>
      </c>
      <c r="AI72" t="e">
        <f>AND(DATA!D645,"AAAAADv//yI=")</f>
        <v>#VALUE!</v>
      </c>
      <c r="AJ72" t="e">
        <f>AND(DATA!E645,"AAAAADv//yM=")</f>
        <v>#VALUE!</v>
      </c>
      <c r="AK72" t="e">
        <f>AND(DATA!F645,"AAAAADv//yQ=")</f>
        <v>#VALUE!</v>
      </c>
      <c r="AL72" t="e">
        <f>AND(DATA!G645,"AAAAADv//yU=")</f>
        <v>#VALUE!</v>
      </c>
      <c r="AM72" t="e">
        <f>AND(DATA!H645,"AAAAADv//yY=")</f>
        <v>#VALUE!</v>
      </c>
      <c r="AN72" t="e">
        <f>AND(DATA!I645,"AAAAADv//yc=")</f>
        <v>#VALUE!</v>
      </c>
      <c r="AO72" t="e">
        <f>AND(DATA!J645,"AAAAADv//yg=")</f>
        <v>#VALUE!</v>
      </c>
      <c r="AP72" t="e">
        <f>AND(DATA!K645,"AAAAADv//yk=")</f>
        <v>#VALUE!</v>
      </c>
      <c r="AQ72" t="b">
        <f>AND(DATA!L645,"AAAAADv//yo=")</f>
        <v>1</v>
      </c>
      <c r="AR72" t="b">
        <f>AND(DATA!M645,"AAAAADv//ys=")</f>
        <v>1</v>
      </c>
      <c r="AS72" t="b">
        <f>AND(DATA!N645,"AAAAADv//yw=")</f>
        <v>1</v>
      </c>
      <c r="AT72">
        <f>IF(DATA!646:646,"AAAAADv//y0=",0)</f>
        <v>0</v>
      </c>
      <c r="AU72" t="e">
        <f>AND(DATA!A646,"AAAAADv//y4=")</f>
        <v>#VALUE!</v>
      </c>
      <c r="AV72" t="e">
        <f>AND(DATA!B646,"AAAAADv//y8=")</f>
        <v>#VALUE!</v>
      </c>
      <c r="AW72" t="e">
        <f>AND(DATA!C646,"AAAAADv//zA=")</f>
        <v>#VALUE!</v>
      </c>
      <c r="AX72" t="e">
        <f>AND(DATA!D646,"AAAAADv//zE=")</f>
        <v>#VALUE!</v>
      </c>
      <c r="AY72" t="e">
        <f>AND(DATA!E646,"AAAAADv//zI=")</f>
        <v>#VALUE!</v>
      </c>
      <c r="AZ72" t="e">
        <f>AND(DATA!F646,"AAAAADv//zM=")</f>
        <v>#VALUE!</v>
      </c>
      <c r="BA72" t="e">
        <f>AND(DATA!G646,"AAAAADv//zQ=")</f>
        <v>#VALUE!</v>
      </c>
      <c r="BB72" t="e">
        <f>AND(DATA!H646,"AAAAADv//zU=")</f>
        <v>#VALUE!</v>
      </c>
      <c r="BC72" t="e">
        <f>AND(DATA!I646,"AAAAADv//zY=")</f>
        <v>#VALUE!</v>
      </c>
      <c r="BD72" t="e">
        <f>AND(DATA!J646,"AAAAADv//zc=")</f>
        <v>#VALUE!</v>
      </c>
      <c r="BE72" t="e">
        <f>AND(DATA!K646,"AAAAADv//zg=")</f>
        <v>#VALUE!</v>
      </c>
      <c r="BF72" t="b">
        <f>AND(DATA!L646,"AAAAADv//zk=")</f>
        <v>1</v>
      </c>
      <c r="BG72" t="b">
        <f>AND(DATA!M646,"AAAAADv//zo=")</f>
        <v>1</v>
      </c>
      <c r="BH72" t="b">
        <f>AND(DATA!N646,"AAAAADv//zs=")</f>
        <v>1</v>
      </c>
      <c r="BI72">
        <f>IF(DATA!647:647,"AAAAADv//zw=",0)</f>
        <v>0</v>
      </c>
      <c r="BJ72" t="e">
        <f>AND(DATA!A647,"AAAAADv//z0=")</f>
        <v>#VALUE!</v>
      </c>
      <c r="BK72" t="e">
        <f>AND(DATA!B647,"AAAAADv//z4=")</f>
        <v>#VALUE!</v>
      </c>
      <c r="BL72" t="e">
        <f>AND(DATA!C647,"AAAAADv//z8=")</f>
        <v>#VALUE!</v>
      </c>
      <c r="BM72" t="e">
        <f>AND(DATA!D647,"AAAAADv//0A=")</f>
        <v>#VALUE!</v>
      </c>
      <c r="BN72" t="e">
        <f>AND(DATA!E647,"AAAAADv//0E=")</f>
        <v>#VALUE!</v>
      </c>
      <c r="BO72" t="e">
        <f>AND(DATA!F647,"AAAAADv//0I=")</f>
        <v>#VALUE!</v>
      </c>
      <c r="BP72" t="e">
        <f>AND(DATA!G647,"AAAAADv//0M=")</f>
        <v>#VALUE!</v>
      </c>
      <c r="BQ72" t="e">
        <f>AND(DATA!H647,"AAAAADv//0Q=")</f>
        <v>#VALUE!</v>
      </c>
      <c r="BR72" t="e">
        <f>AND(DATA!I647,"AAAAADv//0U=")</f>
        <v>#VALUE!</v>
      </c>
      <c r="BS72" t="e">
        <f>AND(DATA!J647,"AAAAADv//0Y=")</f>
        <v>#VALUE!</v>
      </c>
      <c r="BT72" t="e">
        <f>AND(DATA!K647,"AAAAADv//0c=")</f>
        <v>#VALUE!</v>
      </c>
      <c r="BU72" t="b">
        <f>AND(DATA!L647,"AAAAADv//0g=")</f>
        <v>1</v>
      </c>
      <c r="BV72" t="b">
        <f>AND(DATA!M647,"AAAAADv//0k=")</f>
        <v>1</v>
      </c>
      <c r="BW72" t="b">
        <f>AND(DATA!N647,"AAAAADv//0o=")</f>
        <v>1</v>
      </c>
      <c r="BX72">
        <f>IF(DATA!648:648,"AAAAADv//0s=",0)</f>
        <v>0</v>
      </c>
      <c r="BY72" t="e">
        <f>AND(DATA!A648,"AAAAADv//0w=")</f>
        <v>#VALUE!</v>
      </c>
      <c r="BZ72" t="e">
        <f>AND(DATA!B648,"AAAAADv//00=")</f>
        <v>#VALUE!</v>
      </c>
      <c r="CA72" t="e">
        <f>AND(DATA!C648,"AAAAADv//04=")</f>
        <v>#VALUE!</v>
      </c>
      <c r="CB72" t="e">
        <f>AND(DATA!D648,"AAAAADv//08=")</f>
        <v>#VALUE!</v>
      </c>
      <c r="CC72" t="e">
        <f>AND(DATA!E648,"AAAAADv//1A=")</f>
        <v>#VALUE!</v>
      </c>
      <c r="CD72" t="e">
        <f>AND(DATA!F648,"AAAAADv//1E=")</f>
        <v>#VALUE!</v>
      </c>
      <c r="CE72" t="e">
        <f>AND(DATA!G648,"AAAAADv//1I=")</f>
        <v>#VALUE!</v>
      </c>
      <c r="CF72" t="e">
        <f>AND(DATA!H648,"AAAAADv//1M=")</f>
        <v>#VALUE!</v>
      </c>
      <c r="CG72" t="e">
        <f>AND(DATA!I648,"AAAAADv//1Q=")</f>
        <v>#VALUE!</v>
      </c>
      <c r="CH72" t="e">
        <f>AND(DATA!J648,"AAAAADv//1U=")</f>
        <v>#VALUE!</v>
      </c>
      <c r="CI72" t="e">
        <f>AND(DATA!K648,"AAAAADv//1Y=")</f>
        <v>#VALUE!</v>
      </c>
      <c r="CJ72" t="b">
        <f>AND(DATA!L648,"AAAAADv//1c=")</f>
        <v>1</v>
      </c>
      <c r="CK72" t="b">
        <f>AND(DATA!M648,"AAAAADv//1g=")</f>
        <v>1</v>
      </c>
      <c r="CL72" t="b">
        <f>AND(DATA!N648,"AAAAADv//1k=")</f>
        <v>1</v>
      </c>
      <c r="CM72">
        <f>IF(DATA!649:649,"AAAAADv//1o=",0)</f>
        <v>0</v>
      </c>
      <c r="CN72" t="e">
        <f>AND(DATA!A649,"AAAAADv//1s=")</f>
        <v>#VALUE!</v>
      </c>
      <c r="CO72" t="e">
        <f>AND(DATA!B649,"AAAAADv//1w=")</f>
        <v>#VALUE!</v>
      </c>
      <c r="CP72" t="e">
        <f>AND(DATA!C649,"AAAAADv//10=")</f>
        <v>#VALUE!</v>
      </c>
      <c r="CQ72" t="e">
        <f>AND(DATA!D649,"AAAAADv//14=")</f>
        <v>#VALUE!</v>
      </c>
      <c r="CR72" t="e">
        <f>AND(DATA!E649,"AAAAADv//18=")</f>
        <v>#VALUE!</v>
      </c>
      <c r="CS72" t="e">
        <f>AND(DATA!F649,"AAAAADv//2A=")</f>
        <v>#VALUE!</v>
      </c>
      <c r="CT72" t="e">
        <f>AND(DATA!G649,"AAAAADv//2E=")</f>
        <v>#VALUE!</v>
      </c>
      <c r="CU72" t="e">
        <f>AND(DATA!H649,"AAAAADv//2I=")</f>
        <v>#VALUE!</v>
      </c>
      <c r="CV72" t="e">
        <f>AND(DATA!I649,"AAAAADv//2M=")</f>
        <v>#VALUE!</v>
      </c>
      <c r="CW72" t="e">
        <f>AND(DATA!J649,"AAAAADv//2Q=")</f>
        <v>#VALUE!</v>
      </c>
      <c r="CX72" t="e">
        <f>AND(DATA!K649,"AAAAADv//2U=")</f>
        <v>#VALUE!</v>
      </c>
      <c r="CY72" t="b">
        <f>AND(DATA!L649,"AAAAADv//2Y=")</f>
        <v>1</v>
      </c>
      <c r="CZ72" t="b">
        <f>AND(DATA!M649,"AAAAADv//2c=")</f>
        <v>1</v>
      </c>
      <c r="DA72" t="b">
        <f>AND(DATA!N649,"AAAAADv//2g=")</f>
        <v>1</v>
      </c>
      <c r="DB72">
        <f>IF(DATA!650:650,"AAAAADv//2k=",0)</f>
        <v>0</v>
      </c>
      <c r="DC72" t="e">
        <f>AND(DATA!A650,"AAAAADv//2o=")</f>
        <v>#VALUE!</v>
      </c>
      <c r="DD72" t="e">
        <f>AND(DATA!B650,"AAAAADv//2s=")</f>
        <v>#VALUE!</v>
      </c>
      <c r="DE72" t="e">
        <f>AND(DATA!C650,"AAAAADv//2w=")</f>
        <v>#VALUE!</v>
      </c>
      <c r="DF72" t="e">
        <f>AND(DATA!D650,"AAAAADv//20=")</f>
        <v>#VALUE!</v>
      </c>
      <c r="DG72" t="e">
        <f>AND(DATA!E650,"AAAAADv//24=")</f>
        <v>#VALUE!</v>
      </c>
      <c r="DH72" t="e">
        <f>AND(DATA!F650,"AAAAADv//28=")</f>
        <v>#VALUE!</v>
      </c>
      <c r="DI72" t="e">
        <f>AND(DATA!G650,"AAAAADv//3A=")</f>
        <v>#VALUE!</v>
      </c>
      <c r="DJ72" t="e">
        <f>AND(DATA!H650,"AAAAADv//3E=")</f>
        <v>#VALUE!</v>
      </c>
      <c r="DK72" t="e">
        <f>AND(DATA!I650,"AAAAADv//3I=")</f>
        <v>#VALUE!</v>
      </c>
      <c r="DL72" t="e">
        <f>AND(DATA!J650,"AAAAADv//3M=")</f>
        <v>#VALUE!</v>
      </c>
      <c r="DM72" t="e">
        <f>AND(DATA!K650,"AAAAADv//3Q=")</f>
        <v>#VALUE!</v>
      </c>
      <c r="DN72" t="b">
        <f>AND(DATA!L650,"AAAAADv//3U=")</f>
        <v>1</v>
      </c>
      <c r="DO72" t="b">
        <f>AND(DATA!M650,"AAAAADv//3Y=")</f>
        <v>1</v>
      </c>
      <c r="DP72" t="b">
        <f>AND(DATA!N650,"AAAAADv//3c=")</f>
        <v>1</v>
      </c>
      <c r="DQ72">
        <f>IF(DATA!651:651,"AAAAADv//3g=",0)</f>
        <v>0</v>
      </c>
      <c r="DR72" t="e">
        <f>AND(DATA!A651,"AAAAADv//3k=")</f>
        <v>#VALUE!</v>
      </c>
      <c r="DS72" t="e">
        <f>AND(DATA!B651,"AAAAADv//3o=")</f>
        <v>#VALUE!</v>
      </c>
      <c r="DT72" t="e">
        <f>AND(DATA!C651,"AAAAADv//3s=")</f>
        <v>#VALUE!</v>
      </c>
      <c r="DU72" t="e">
        <f>AND(DATA!D651,"AAAAADv//3w=")</f>
        <v>#VALUE!</v>
      </c>
      <c r="DV72" t="e">
        <f>AND(DATA!E651,"AAAAADv//30=")</f>
        <v>#VALUE!</v>
      </c>
      <c r="DW72" t="e">
        <f>AND(DATA!F651,"AAAAADv//34=")</f>
        <v>#VALUE!</v>
      </c>
      <c r="DX72" t="e">
        <f>AND(DATA!G651,"AAAAADv//38=")</f>
        <v>#VALUE!</v>
      </c>
      <c r="DY72" t="e">
        <f>AND(DATA!H651,"AAAAADv//4A=")</f>
        <v>#VALUE!</v>
      </c>
      <c r="DZ72" t="e">
        <f>AND(DATA!I651,"AAAAADv//4E=")</f>
        <v>#VALUE!</v>
      </c>
      <c r="EA72" t="e">
        <f>AND(DATA!J651,"AAAAADv//4I=")</f>
        <v>#VALUE!</v>
      </c>
      <c r="EB72" t="e">
        <f>AND(DATA!K651,"AAAAADv//4M=")</f>
        <v>#VALUE!</v>
      </c>
      <c r="EC72" t="b">
        <f>AND(DATA!L651,"AAAAADv//4Q=")</f>
        <v>1</v>
      </c>
      <c r="ED72" t="b">
        <f>AND(DATA!M651,"AAAAADv//4U=")</f>
        <v>1</v>
      </c>
      <c r="EE72" t="b">
        <f>AND(DATA!N651,"AAAAADv//4Y=")</f>
        <v>1</v>
      </c>
      <c r="EF72">
        <f>IF(DATA!652:652,"AAAAADv//4c=",0)</f>
        <v>0</v>
      </c>
      <c r="EG72" t="e">
        <f>AND(DATA!A652,"AAAAADv//4g=")</f>
        <v>#VALUE!</v>
      </c>
      <c r="EH72" t="e">
        <f>AND(DATA!B652,"AAAAADv//4k=")</f>
        <v>#VALUE!</v>
      </c>
      <c r="EI72" t="e">
        <f>AND(DATA!C652,"AAAAADv//4o=")</f>
        <v>#VALUE!</v>
      </c>
      <c r="EJ72" t="e">
        <f>AND(DATA!D652,"AAAAADv//4s=")</f>
        <v>#VALUE!</v>
      </c>
      <c r="EK72" t="e">
        <f>AND(DATA!E652,"AAAAADv//4w=")</f>
        <v>#VALUE!</v>
      </c>
      <c r="EL72" t="e">
        <f>AND(DATA!F652,"AAAAADv//40=")</f>
        <v>#VALUE!</v>
      </c>
      <c r="EM72" t="e">
        <f>AND(DATA!G652,"AAAAADv//44=")</f>
        <v>#VALUE!</v>
      </c>
      <c r="EN72" t="e">
        <f>AND(DATA!H652,"AAAAADv//48=")</f>
        <v>#VALUE!</v>
      </c>
      <c r="EO72" t="e">
        <f>AND(DATA!I652,"AAAAADv//5A=")</f>
        <v>#VALUE!</v>
      </c>
      <c r="EP72" t="e">
        <f>AND(DATA!J652,"AAAAADv//5E=")</f>
        <v>#VALUE!</v>
      </c>
      <c r="EQ72" t="e">
        <f>AND(DATA!K652,"AAAAADv//5I=")</f>
        <v>#VALUE!</v>
      </c>
      <c r="ER72" t="b">
        <f>AND(DATA!L652,"AAAAADv//5M=")</f>
        <v>1</v>
      </c>
      <c r="ES72" t="b">
        <f>AND(DATA!M652,"AAAAADv//5Q=")</f>
        <v>1</v>
      </c>
      <c r="ET72" t="b">
        <f>AND(DATA!N652,"AAAAADv//5U=")</f>
        <v>1</v>
      </c>
      <c r="EU72">
        <f>IF(DATA!653:653,"AAAAADv//5Y=",0)</f>
        <v>0</v>
      </c>
      <c r="EV72" t="e">
        <f>AND(DATA!A653,"AAAAADv//5c=")</f>
        <v>#VALUE!</v>
      </c>
      <c r="EW72" t="e">
        <f>AND(DATA!B653,"AAAAADv//5g=")</f>
        <v>#VALUE!</v>
      </c>
      <c r="EX72" t="e">
        <f>AND(DATA!C653,"AAAAADv//5k=")</f>
        <v>#VALUE!</v>
      </c>
      <c r="EY72" t="e">
        <f>AND(DATA!D653,"AAAAADv//5o=")</f>
        <v>#VALUE!</v>
      </c>
      <c r="EZ72" t="e">
        <f>AND(DATA!E653,"AAAAADv//5s=")</f>
        <v>#VALUE!</v>
      </c>
      <c r="FA72" t="e">
        <f>AND(DATA!F653,"AAAAADv//5w=")</f>
        <v>#VALUE!</v>
      </c>
      <c r="FB72" t="e">
        <f>AND(DATA!G653,"AAAAADv//50=")</f>
        <v>#VALUE!</v>
      </c>
      <c r="FC72" t="e">
        <f>AND(DATA!H653,"AAAAADv//54=")</f>
        <v>#VALUE!</v>
      </c>
      <c r="FD72" t="e">
        <f>AND(DATA!I653,"AAAAADv//58=")</f>
        <v>#VALUE!</v>
      </c>
      <c r="FE72" t="e">
        <f>AND(DATA!J653,"AAAAADv//6A=")</f>
        <v>#VALUE!</v>
      </c>
      <c r="FF72" t="e">
        <f>AND(DATA!K653,"AAAAADv//6E=")</f>
        <v>#VALUE!</v>
      </c>
      <c r="FG72" t="b">
        <f>AND(DATA!L653,"AAAAADv//6I=")</f>
        <v>1</v>
      </c>
      <c r="FH72" t="b">
        <f>AND(DATA!M653,"AAAAADv//6M=")</f>
        <v>1</v>
      </c>
      <c r="FI72" t="b">
        <f>AND(DATA!N653,"AAAAADv//6Q=")</f>
        <v>1</v>
      </c>
      <c r="FJ72">
        <f>IF(DATA!654:654,"AAAAADv//6U=",0)</f>
        <v>0</v>
      </c>
      <c r="FK72" t="e">
        <f>AND(DATA!A654,"AAAAADv//6Y=")</f>
        <v>#VALUE!</v>
      </c>
      <c r="FL72" t="e">
        <f>AND(DATA!B654,"AAAAADv//6c=")</f>
        <v>#VALUE!</v>
      </c>
      <c r="FM72" t="e">
        <f>AND(DATA!C654,"AAAAADv//6g=")</f>
        <v>#VALUE!</v>
      </c>
      <c r="FN72" t="e">
        <f>AND(DATA!D654,"AAAAADv//6k=")</f>
        <v>#VALUE!</v>
      </c>
      <c r="FO72" t="e">
        <f>AND(DATA!E654,"AAAAADv//6o=")</f>
        <v>#VALUE!</v>
      </c>
      <c r="FP72" t="e">
        <f>AND(DATA!F654,"AAAAADv//6s=")</f>
        <v>#VALUE!</v>
      </c>
      <c r="FQ72" t="e">
        <f>AND(DATA!G654,"AAAAADv//6w=")</f>
        <v>#VALUE!</v>
      </c>
      <c r="FR72" t="e">
        <f>AND(DATA!H654,"AAAAADv//60=")</f>
        <v>#VALUE!</v>
      </c>
      <c r="FS72" t="e">
        <f>AND(DATA!I654,"AAAAADv//64=")</f>
        <v>#VALUE!</v>
      </c>
      <c r="FT72" t="e">
        <f>AND(DATA!J654,"AAAAADv//68=")</f>
        <v>#VALUE!</v>
      </c>
      <c r="FU72" t="e">
        <f>AND(DATA!K654,"AAAAADv//7A=")</f>
        <v>#VALUE!</v>
      </c>
      <c r="FV72" t="b">
        <f>AND(DATA!L654,"AAAAADv//7E=")</f>
        <v>1</v>
      </c>
      <c r="FW72" t="b">
        <f>AND(DATA!M654,"AAAAADv//7I=")</f>
        <v>1</v>
      </c>
      <c r="FX72" t="b">
        <f>AND(DATA!N654,"AAAAADv//7M=")</f>
        <v>1</v>
      </c>
      <c r="FY72">
        <f>IF(DATA!655:655,"AAAAADv//7Q=",0)</f>
        <v>0</v>
      </c>
      <c r="FZ72" t="e">
        <f>AND(DATA!A655,"AAAAADv//7U=")</f>
        <v>#VALUE!</v>
      </c>
      <c r="GA72" t="e">
        <f>AND(DATA!B655,"AAAAADv//7Y=")</f>
        <v>#VALUE!</v>
      </c>
      <c r="GB72" t="e">
        <f>AND(DATA!C655,"AAAAADv//7c=")</f>
        <v>#VALUE!</v>
      </c>
      <c r="GC72" t="e">
        <f>AND(DATA!D655,"AAAAADv//7g=")</f>
        <v>#VALUE!</v>
      </c>
      <c r="GD72" t="e">
        <f>AND(DATA!E655,"AAAAADv//7k=")</f>
        <v>#VALUE!</v>
      </c>
      <c r="GE72" t="e">
        <f>AND(DATA!F655,"AAAAADv//7o=")</f>
        <v>#VALUE!</v>
      </c>
      <c r="GF72" t="e">
        <f>AND(DATA!G655,"AAAAADv//7s=")</f>
        <v>#VALUE!</v>
      </c>
      <c r="GG72" t="e">
        <f>AND(DATA!H655,"AAAAADv//7w=")</f>
        <v>#VALUE!</v>
      </c>
      <c r="GH72" t="e">
        <f>AND(DATA!I655,"AAAAADv//70=")</f>
        <v>#VALUE!</v>
      </c>
      <c r="GI72" t="e">
        <f>AND(DATA!J655,"AAAAADv//74=")</f>
        <v>#VALUE!</v>
      </c>
      <c r="GJ72" t="e">
        <f>AND(DATA!K655,"AAAAADv//78=")</f>
        <v>#VALUE!</v>
      </c>
      <c r="GK72" t="b">
        <f>AND(DATA!L655,"AAAAADv//8A=")</f>
        <v>1</v>
      </c>
      <c r="GL72" t="b">
        <f>AND(DATA!M655,"AAAAADv//8E=")</f>
        <v>1</v>
      </c>
      <c r="GM72" t="b">
        <f>AND(DATA!N655,"AAAAADv//8I=")</f>
        <v>1</v>
      </c>
      <c r="GN72">
        <f>IF(DATA!656:656,"AAAAADv//8M=",0)</f>
        <v>0</v>
      </c>
      <c r="GO72" t="e">
        <f>AND(DATA!A656,"AAAAADv//8Q=")</f>
        <v>#VALUE!</v>
      </c>
      <c r="GP72" t="e">
        <f>AND(DATA!B656,"AAAAADv//8U=")</f>
        <v>#VALUE!</v>
      </c>
      <c r="GQ72" t="e">
        <f>AND(DATA!C656,"AAAAADv//8Y=")</f>
        <v>#VALUE!</v>
      </c>
      <c r="GR72" t="e">
        <f>AND(DATA!D656,"AAAAADv//8c=")</f>
        <v>#VALUE!</v>
      </c>
      <c r="GS72" t="e">
        <f>AND(DATA!E656,"AAAAADv//8g=")</f>
        <v>#VALUE!</v>
      </c>
      <c r="GT72" t="e">
        <f>AND(DATA!F656,"AAAAADv//8k=")</f>
        <v>#VALUE!</v>
      </c>
      <c r="GU72" t="e">
        <f>AND(DATA!G656,"AAAAADv//8o=")</f>
        <v>#VALUE!</v>
      </c>
      <c r="GV72" t="e">
        <f>AND(DATA!H656,"AAAAADv//8s=")</f>
        <v>#VALUE!</v>
      </c>
      <c r="GW72" t="e">
        <f>AND(DATA!I656,"AAAAADv//8w=")</f>
        <v>#VALUE!</v>
      </c>
      <c r="GX72" t="e">
        <f>AND(DATA!J656,"AAAAADv//80=")</f>
        <v>#VALUE!</v>
      </c>
      <c r="GY72" t="e">
        <f>AND(DATA!K656,"AAAAADv//84=")</f>
        <v>#VALUE!</v>
      </c>
      <c r="GZ72" t="b">
        <f>AND(DATA!L656,"AAAAADv//88=")</f>
        <v>1</v>
      </c>
      <c r="HA72" t="b">
        <f>AND(DATA!M656,"AAAAADv//9A=")</f>
        <v>1</v>
      </c>
      <c r="HB72" t="b">
        <f>AND(DATA!N656,"AAAAADv//9E=")</f>
        <v>1</v>
      </c>
      <c r="HC72">
        <f>IF(DATA!657:657,"AAAAADv//9I=",0)</f>
        <v>0</v>
      </c>
      <c r="HD72" t="e">
        <f>AND(DATA!A657,"AAAAADv//9M=")</f>
        <v>#VALUE!</v>
      </c>
      <c r="HE72" t="e">
        <f>AND(DATA!B657,"AAAAADv//9Q=")</f>
        <v>#VALUE!</v>
      </c>
      <c r="HF72" t="e">
        <f>AND(DATA!C657,"AAAAADv//9U=")</f>
        <v>#VALUE!</v>
      </c>
      <c r="HG72" t="e">
        <f>AND(DATA!D657,"AAAAADv//9Y=")</f>
        <v>#VALUE!</v>
      </c>
      <c r="HH72" t="e">
        <f>AND(DATA!E657,"AAAAADv//9c=")</f>
        <v>#VALUE!</v>
      </c>
      <c r="HI72" t="e">
        <f>AND(DATA!F657,"AAAAADv//9g=")</f>
        <v>#VALUE!</v>
      </c>
      <c r="HJ72" t="e">
        <f>AND(DATA!G657,"AAAAADv//9k=")</f>
        <v>#VALUE!</v>
      </c>
      <c r="HK72" t="e">
        <f>AND(DATA!H657,"AAAAADv//9o=")</f>
        <v>#VALUE!</v>
      </c>
      <c r="HL72" t="e">
        <f>AND(DATA!I657,"AAAAADv//9s=")</f>
        <v>#VALUE!</v>
      </c>
      <c r="HM72" t="e">
        <f>AND(DATA!J657,"AAAAADv//9w=")</f>
        <v>#VALUE!</v>
      </c>
      <c r="HN72" t="e">
        <f>AND(DATA!K657,"AAAAADv//90=")</f>
        <v>#VALUE!</v>
      </c>
      <c r="HO72" t="b">
        <f>AND(DATA!L657,"AAAAADv//94=")</f>
        <v>1</v>
      </c>
      <c r="HP72" t="b">
        <f>AND(DATA!M657,"AAAAADv//98=")</f>
        <v>1</v>
      </c>
      <c r="HQ72" t="b">
        <f>AND(DATA!N657,"AAAAADv//+A=")</f>
        <v>1</v>
      </c>
      <c r="HR72">
        <f>IF(DATA!658:658,"AAAAADv//+E=",0)</f>
        <v>0</v>
      </c>
      <c r="HS72" t="e">
        <f>AND(DATA!A658,"AAAAADv//+I=")</f>
        <v>#VALUE!</v>
      </c>
      <c r="HT72" t="e">
        <f>AND(DATA!B658,"AAAAADv//+M=")</f>
        <v>#VALUE!</v>
      </c>
      <c r="HU72" t="e">
        <f>AND(DATA!C658,"AAAAADv//+Q=")</f>
        <v>#VALUE!</v>
      </c>
      <c r="HV72" t="e">
        <f>AND(DATA!D658,"AAAAADv//+U=")</f>
        <v>#VALUE!</v>
      </c>
      <c r="HW72" t="e">
        <f>AND(DATA!E658,"AAAAADv//+Y=")</f>
        <v>#VALUE!</v>
      </c>
      <c r="HX72" t="e">
        <f>AND(DATA!F658,"AAAAADv//+c=")</f>
        <v>#VALUE!</v>
      </c>
      <c r="HY72" t="e">
        <f>AND(DATA!G658,"AAAAADv//+g=")</f>
        <v>#VALUE!</v>
      </c>
      <c r="HZ72" t="e">
        <f>AND(DATA!H658,"AAAAADv//+k=")</f>
        <v>#VALUE!</v>
      </c>
      <c r="IA72" t="e">
        <f>AND(DATA!I658,"AAAAADv//+o=")</f>
        <v>#VALUE!</v>
      </c>
      <c r="IB72" t="e">
        <f>AND(DATA!J658,"AAAAADv//+s=")</f>
        <v>#VALUE!</v>
      </c>
      <c r="IC72" t="e">
        <f>AND(DATA!K658,"AAAAADv//+w=")</f>
        <v>#VALUE!</v>
      </c>
      <c r="ID72" t="b">
        <f>AND(DATA!L658,"AAAAADv//+0=")</f>
        <v>1</v>
      </c>
      <c r="IE72" t="b">
        <f>AND(DATA!M658,"AAAAADv//+4=")</f>
        <v>1</v>
      </c>
      <c r="IF72" t="b">
        <f>AND(DATA!N658,"AAAAADv//+8=")</f>
        <v>1</v>
      </c>
      <c r="IG72">
        <f>IF(DATA!659:659,"AAAAADv///A=",0)</f>
        <v>0</v>
      </c>
      <c r="IH72" t="e">
        <f>AND(DATA!A659,"AAAAADv///E=")</f>
        <v>#VALUE!</v>
      </c>
      <c r="II72" t="e">
        <f>AND(DATA!B659,"AAAAADv///I=")</f>
        <v>#VALUE!</v>
      </c>
      <c r="IJ72" t="e">
        <f>AND(DATA!C659,"AAAAADv///M=")</f>
        <v>#VALUE!</v>
      </c>
      <c r="IK72" t="e">
        <f>AND(DATA!D659,"AAAAADv///Q=")</f>
        <v>#VALUE!</v>
      </c>
      <c r="IL72" t="e">
        <f>AND(DATA!E659,"AAAAADv///U=")</f>
        <v>#VALUE!</v>
      </c>
      <c r="IM72" t="e">
        <f>AND(DATA!F659,"AAAAADv///Y=")</f>
        <v>#VALUE!</v>
      </c>
      <c r="IN72" t="e">
        <f>AND(DATA!G659,"AAAAADv///c=")</f>
        <v>#VALUE!</v>
      </c>
      <c r="IO72" t="e">
        <f>AND(DATA!H659,"AAAAADv///g=")</f>
        <v>#VALUE!</v>
      </c>
      <c r="IP72" t="e">
        <f>AND(DATA!I659,"AAAAADv///k=")</f>
        <v>#VALUE!</v>
      </c>
      <c r="IQ72" t="e">
        <f>AND(DATA!J659,"AAAAADv///o=")</f>
        <v>#VALUE!</v>
      </c>
      <c r="IR72" t="e">
        <f>AND(DATA!K659,"AAAAADv///s=")</f>
        <v>#VALUE!</v>
      </c>
      <c r="IS72" t="b">
        <f>AND(DATA!L659,"AAAAADv///w=")</f>
        <v>1</v>
      </c>
      <c r="IT72" t="b">
        <f>AND(DATA!M659,"AAAAADv///0=")</f>
        <v>1</v>
      </c>
      <c r="IU72" t="b">
        <f>AND(DATA!N659,"AAAAADv///4=")</f>
        <v>1</v>
      </c>
      <c r="IV72">
        <f>IF(DATA!660:660,"AAAAADv///8=",0)</f>
        <v>0</v>
      </c>
    </row>
    <row r="73" spans="1:256">
      <c r="A73" t="e">
        <f>AND(DATA!A660,"AAAAAHvO1QA=")</f>
        <v>#VALUE!</v>
      </c>
      <c r="B73" t="e">
        <f>AND(DATA!B660,"AAAAAHvO1QE=")</f>
        <v>#VALUE!</v>
      </c>
      <c r="C73" t="e">
        <f>AND(DATA!C660,"AAAAAHvO1QI=")</f>
        <v>#VALUE!</v>
      </c>
      <c r="D73" t="e">
        <f>AND(DATA!D660,"AAAAAHvO1QM=")</f>
        <v>#VALUE!</v>
      </c>
      <c r="E73" t="e">
        <f>AND(DATA!E660,"AAAAAHvO1QQ=")</f>
        <v>#VALUE!</v>
      </c>
      <c r="F73" t="e">
        <f>AND(DATA!F660,"AAAAAHvO1QU=")</f>
        <v>#VALUE!</v>
      </c>
      <c r="G73" t="e">
        <f>AND(DATA!G660,"AAAAAHvO1QY=")</f>
        <v>#VALUE!</v>
      </c>
      <c r="H73" t="e">
        <f>AND(DATA!H660,"AAAAAHvO1Qc=")</f>
        <v>#VALUE!</v>
      </c>
      <c r="I73" t="e">
        <f>AND(DATA!I660,"AAAAAHvO1Qg=")</f>
        <v>#VALUE!</v>
      </c>
      <c r="J73" t="e">
        <f>AND(DATA!J660,"AAAAAHvO1Qk=")</f>
        <v>#VALUE!</v>
      </c>
      <c r="K73" t="e">
        <f>AND(DATA!K660,"AAAAAHvO1Qo=")</f>
        <v>#VALUE!</v>
      </c>
      <c r="L73" t="b">
        <f>AND(DATA!L660,"AAAAAHvO1Qs=")</f>
        <v>1</v>
      </c>
      <c r="M73" t="b">
        <f>AND(DATA!M660,"AAAAAHvO1Qw=")</f>
        <v>1</v>
      </c>
      <c r="N73" t="b">
        <f>AND(DATA!N660,"AAAAAHvO1Q0=")</f>
        <v>1</v>
      </c>
      <c r="O73">
        <f>IF(DATA!661:661,"AAAAAHvO1Q4=",0)</f>
        <v>0</v>
      </c>
      <c r="P73" t="e">
        <f>AND(DATA!A661,"AAAAAHvO1Q8=")</f>
        <v>#VALUE!</v>
      </c>
      <c r="Q73" t="e">
        <f>AND(DATA!B661,"AAAAAHvO1RA=")</f>
        <v>#VALUE!</v>
      </c>
      <c r="R73" t="e">
        <f>AND(DATA!C661,"AAAAAHvO1RE=")</f>
        <v>#VALUE!</v>
      </c>
      <c r="S73" t="e">
        <f>AND(DATA!D661,"AAAAAHvO1RI=")</f>
        <v>#VALUE!</v>
      </c>
      <c r="T73" t="e">
        <f>AND(DATA!E661,"AAAAAHvO1RM=")</f>
        <v>#VALUE!</v>
      </c>
      <c r="U73" t="e">
        <f>AND(DATA!F661,"AAAAAHvO1RQ=")</f>
        <v>#VALUE!</v>
      </c>
      <c r="V73" t="e">
        <f>AND(DATA!G661,"AAAAAHvO1RU=")</f>
        <v>#VALUE!</v>
      </c>
      <c r="W73" t="e">
        <f>AND(DATA!H661,"AAAAAHvO1RY=")</f>
        <v>#VALUE!</v>
      </c>
      <c r="X73" t="e">
        <f>AND(DATA!I661,"AAAAAHvO1Rc=")</f>
        <v>#VALUE!</v>
      </c>
      <c r="Y73" t="e">
        <f>AND(DATA!J661,"AAAAAHvO1Rg=")</f>
        <v>#VALUE!</v>
      </c>
      <c r="Z73" t="e">
        <f>AND(DATA!K661,"AAAAAHvO1Rk=")</f>
        <v>#VALUE!</v>
      </c>
      <c r="AA73" t="b">
        <f>AND(DATA!L661,"AAAAAHvO1Ro=")</f>
        <v>1</v>
      </c>
      <c r="AB73" t="b">
        <f>AND(DATA!M661,"AAAAAHvO1Rs=")</f>
        <v>1</v>
      </c>
      <c r="AC73" t="b">
        <f>AND(DATA!N661,"AAAAAHvO1Rw=")</f>
        <v>1</v>
      </c>
      <c r="AD73">
        <f>IF(DATA!662:662,"AAAAAHvO1R0=",0)</f>
        <v>0</v>
      </c>
      <c r="AE73" t="e">
        <f>AND(DATA!A662,"AAAAAHvO1R4=")</f>
        <v>#VALUE!</v>
      </c>
      <c r="AF73" t="e">
        <f>AND(DATA!B662,"AAAAAHvO1R8=")</f>
        <v>#VALUE!</v>
      </c>
      <c r="AG73" t="e">
        <f>AND(DATA!C662,"AAAAAHvO1SA=")</f>
        <v>#VALUE!</v>
      </c>
      <c r="AH73" t="e">
        <f>AND(DATA!D662,"AAAAAHvO1SE=")</f>
        <v>#VALUE!</v>
      </c>
      <c r="AI73" t="e">
        <f>AND(DATA!E662,"AAAAAHvO1SI=")</f>
        <v>#VALUE!</v>
      </c>
      <c r="AJ73" t="e">
        <f>AND(DATA!F662,"AAAAAHvO1SM=")</f>
        <v>#VALUE!</v>
      </c>
      <c r="AK73" t="e">
        <f>AND(DATA!G662,"AAAAAHvO1SQ=")</f>
        <v>#VALUE!</v>
      </c>
      <c r="AL73" t="e">
        <f>AND(DATA!H662,"AAAAAHvO1SU=")</f>
        <v>#VALUE!</v>
      </c>
      <c r="AM73" t="e">
        <f>AND(DATA!I662,"AAAAAHvO1SY=")</f>
        <v>#VALUE!</v>
      </c>
      <c r="AN73" t="e">
        <f>AND(DATA!J662,"AAAAAHvO1Sc=")</f>
        <v>#VALUE!</v>
      </c>
      <c r="AO73" t="e">
        <f>AND(DATA!K662,"AAAAAHvO1Sg=")</f>
        <v>#VALUE!</v>
      </c>
      <c r="AP73" t="b">
        <f>AND(DATA!L662,"AAAAAHvO1Sk=")</f>
        <v>1</v>
      </c>
      <c r="AQ73" t="b">
        <f>AND(DATA!M662,"AAAAAHvO1So=")</f>
        <v>1</v>
      </c>
      <c r="AR73" t="b">
        <f>AND(DATA!N662,"AAAAAHvO1Ss=")</f>
        <v>1</v>
      </c>
      <c r="AS73">
        <f>IF(DATA!663:663,"AAAAAHvO1Sw=",0)</f>
        <v>0</v>
      </c>
      <c r="AT73" t="e">
        <f>AND(DATA!A663,"AAAAAHvO1S0=")</f>
        <v>#VALUE!</v>
      </c>
      <c r="AU73" t="e">
        <f>AND(DATA!B663,"AAAAAHvO1S4=")</f>
        <v>#VALUE!</v>
      </c>
      <c r="AV73" t="e">
        <f>AND(DATA!C663,"AAAAAHvO1S8=")</f>
        <v>#VALUE!</v>
      </c>
      <c r="AW73" t="e">
        <f>AND(DATA!D663,"AAAAAHvO1TA=")</f>
        <v>#VALUE!</v>
      </c>
      <c r="AX73" t="e">
        <f>AND(DATA!E663,"AAAAAHvO1TE=")</f>
        <v>#VALUE!</v>
      </c>
      <c r="AY73" t="e">
        <f>AND(DATA!F663,"AAAAAHvO1TI=")</f>
        <v>#VALUE!</v>
      </c>
      <c r="AZ73" t="e">
        <f>AND(DATA!G663,"AAAAAHvO1TM=")</f>
        <v>#VALUE!</v>
      </c>
      <c r="BA73" t="e">
        <f>AND(DATA!H663,"AAAAAHvO1TQ=")</f>
        <v>#VALUE!</v>
      </c>
      <c r="BB73" t="e">
        <f>AND(DATA!I663,"AAAAAHvO1TU=")</f>
        <v>#VALUE!</v>
      </c>
      <c r="BC73" t="e">
        <f>AND(DATA!J663,"AAAAAHvO1TY=")</f>
        <v>#VALUE!</v>
      </c>
      <c r="BD73" t="e">
        <f>AND(DATA!K663,"AAAAAHvO1Tc=")</f>
        <v>#VALUE!</v>
      </c>
      <c r="BE73" t="b">
        <f>AND(DATA!L663,"AAAAAHvO1Tg=")</f>
        <v>1</v>
      </c>
      <c r="BF73" t="b">
        <f>AND(DATA!M663,"AAAAAHvO1Tk=")</f>
        <v>1</v>
      </c>
      <c r="BG73" t="b">
        <f>AND(DATA!N663,"AAAAAHvO1To=")</f>
        <v>1</v>
      </c>
      <c r="BH73">
        <f>IF(DATA!664:664,"AAAAAHvO1Ts=",0)</f>
        <v>0</v>
      </c>
      <c r="BI73" t="e">
        <f>AND(DATA!A664,"AAAAAHvO1Tw=")</f>
        <v>#VALUE!</v>
      </c>
      <c r="BJ73" t="e">
        <f>AND(DATA!B664,"AAAAAHvO1T0=")</f>
        <v>#VALUE!</v>
      </c>
      <c r="BK73" t="e">
        <f>AND(DATA!C664,"AAAAAHvO1T4=")</f>
        <v>#VALUE!</v>
      </c>
      <c r="BL73" t="e">
        <f>AND(DATA!D664,"AAAAAHvO1T8=")</f>
        <v>#VALUE!</v>
      </c>
      <c r="BM73" t="e">
        <f>AND(DATA!E664,"AAAAAHvO1UA=")</f>
        <v>#VALUE!</v>
      </c>
      <c r="BN73" t="e">
        <f>AND(DATA!F664,"AAAAAHvO1UE=")</f>
        <v>#VALUE!</v>
      </c>
      <c r="BO73" t="e">
        <f>AND(DATA!G664,"AAAAAHvO1UI=")</f>
        <v>#VALUE!</v>
      </c>
      <c r="BP73" t="e">
        <f>AND(DATA!H664,"AAAAAHvO1UM=")</f>
        <v>#VALUE!</v>
      </c>
      <c r="BQ73" t="e">
        <f>AND(DATA!I664,"AAAAAHvO1UQ=")</f>
        <v>#VALUE!</v>
      </c>
      <c r="BR73" t="e">
        <f>AND(DATA!J664,"AAAAAHvO1UU=")</f>
        <v>#VALUE!</v>
      </c>
      <c r="BS73" t="e">
        <f>AND(DATA!K664,"AAAAAHvO1UY=")</f>
        <v>#VALUE!</v>
      </c>
      <c r="BT73" t="b">
        <f>AND(DATA!L664,"AAAAAHvO1Uc=")</f>
        <v>1</v>
      </c>
      <c r="BU73" t="b">
        <f>AND(DATA!M664,"AAAAAHvO1Ug=")</f>
        <v>1</v>
      </c>
      <c r="BV73" t="b">
        <f>AND(DATA!N664,"AAAAAHvO1Uk=")</f>
        <v>1</v>
      </c>
      <c r="BW73">
        <f>IF(DATA!665:665,"AAAAAHvO1Uo=",0)</f>
        <v>0</v>
      </c>
      <c r="BX73" t="e">
        <f>AND(DATA!A665,"AAAAAHvO1Us=")</f>
        <v>#VALUE!</v>
      </c>
      <c r="BY73" t="e">
        <f>AND(DATA!B665,"AAAAAHvO1Uw=")</f>
        <v>#VALUE!</v>
      </c>
      <c r="BZ73" t="e">
        <f>AND(DATA!C665,"AAAAAHvO1U0=")</f>
        <v>#VALUE!</v>
      </c>
      <c r="CA73" t="e">
        <f>AND(DATA!D665,"AAAAAHvO1U4=")</f>
        <v>#VALUE!</v>
      </c>
      <c r="CB73" t="e">
        <f>AND(DATA!E665,"AAAAAHvO1U8=")</f>
        <v>#VALUE!</v>
      </c>
      <c r="CC73" t="e">
        <f>AND(DATA!F665,"AAAAAHvO1VA=")</f>
        <v>#VALUE!</v>
      </c>
      <c r="CD73" t="e">
        <f>AND(DATA!G665,"AAAAAHvO1VE=")</f>
        <v>#VALUE!</v>
      </c>
      <c r="CE73" t="e">
        <f>AND(DATA!H665,"AAAAAHvO1VI=")</f>
        <v>#VALUE!</v>
      </c>
      <c r="CF73" t="e">
        <f>AND(DATA!I665,"AAAAAHvO1VM=")</f>
        <v>#VALUE!</v>
      </c>
      <c r="CG73" t="e">
        <f>AND(DATA!J665,"AAAAAHvO1VQ=")</f>
        <v>#VALUE!</v>
      </c>
      <c r="CH73" t="e">
        <f>AND(DATA!K665,"AAAAAHvO1VU=")</f>
        <v>#VALUE!</v>
      </c>
      <c r="CI73" t="b">
        <f>AND(DATA!L665,"AAAAAHvO1VY=")</f>
        <v>1</v>
      </c>
      <c r="CJ73" t="b">
        <f>AND(DATA!M665,"AAAAAHvO1Vc=")</f>
        <v>1</v>
      </c>
      <c r="CK73" t="b">
        <f>AND(DATA!N665,"AAAAAHvO1Vg=")</f>
        <v>1</v>
      </c>
      <c r="CL73">
        <f>IF(DATA!666:666,"AAAAAHvO1Vk=",0)</f>
        <v>0</v>
      </c>
      <c r="CM73" t="e">
        <f>AND(DATA!A666,"AAAAAHvO1Vo=")</f>
        <v>#VALUE!</v>
      </c>
      <c r="CN73" t="e">
        <f>AND(DATA!B666,"AAAAAHvO1Vs=")</f>
        <v>#VALUE!</v>
      </c>
      <c r="CO73" t="e">
        <f>AND(DATA!C666,"AAAAAHvO1Vw=")</f>
        <v>#VALUE!</v>
      </c>
      <c r="CP73" t="e">
        <f>AND(DATA!D666,"AAAAAHvO1V0=")</f>
        <v>#VALUE!</v>
      </c>
      <c r="CQ73" t="e">
        <f>AND(DATA!E666,"AAAAAHvO1V4=")</f>
        <v>#VALUE!</v>
      </c>
      <c r="CR73" t="e">
        <f>AND(DATA!F666,"AAAAAHvO1V8=")</f>
        <v>#VALUE!</v>
      </c>
      <c r="CS73" t="e">
        <f>AND(DATA!G666,"AAAAAHvO1WA=")</f>
        <v>#VALUE!</v>
      </c>
      <c r="CT73" t="e">
        <f>AND(DATA!H666,"AAAAAHvO1WE=")</f>
        <v>#VALUE!</v>
      </c>
      <c r="CU73" t="e">
        <f>AND(DATA!I666,"AAAAAHvO1WI=")</f>
        <v>#VALUE!</v>
      </c>
      <c r="CV73" t="e">
        <f>AND(DATA!J666,"AAAAAHvO1WM=")</f>
        <v>#VALUE!</v>
      </c>
      <c r="CW73" t="e">
        <f>AND(DATA!K666,"AAAAAHvO1WQ=")</f>
        <v>#VALUE!</v>
      </c>
      <c r="CX73" t="b">
        <f>AND(DATA!L666,"AAAAAHvO1WU=")</f>
        <v>1</v>
      </c>
      <c r="CY73" t="b">
        <f>AND(DATA!M666,"AAAAAHvO1WY=")</f>
        <v>1</v>
      </c>
      <c r="CZ73" t="b">
        <f>AND(DATA!N666,"AAAAAHvO1Wc=")</f>
        <v>1</v>
      </c>
      <c r="DA73">
        <f>IF(DATA!667:667,"AAAAAHvO1Wg=",0)</f>
        <v>0</v>
      </c>
      <c r="DB73" t="e">
        <f>AND(DATA!A667,"AAAAAHvO1Wk=")</f>
        <v>#VALUE!</v>
      </c>
      <c r="DC73" t="e">
        <f>AND(DATA!B667,"AAAAAHvO1Wo=")</f>
        <v>#VALUE!</v>
      </c>
      <c r="DD73" t="e">
        <f>AND(DATA!C667,"AAAAAHvO1Ws=")</f>
        <v>#VALUE!</v>
      </c>
      <c r="DE73" t="e">
        <f>AND(DATA!D667,"AAAAAHvO1Ww=")</f>
        <v>#VALUE!</v>
      </c>
      <c r="DF73" t="e">
        <f>AND(DATA!E667,"AAAAAHvO1W0=")</f>
        <v>#VALUE!</v>
      </c>
      <c r="DG73" t="e">
        <f>AND(DATA!F667,"AAAAAHvO1W4=")</f>
        <v>#VALUE!</v>
      </c>
      <c r="DH73" t="e">
        <f>AND(DATA!G667,"AAAAAHvO1W8=")</f>
        <v>#VALUE!</v>
      </c>
      <c r="DI73" t="e">
        <f>AND(DATA!H667,"AAAAAHvO1XA=")</f>
        <v>#VALUE!</v>
      </c>
      <c r="DJ73" t="e">
        <f>AND(DATA!I667,"AAAAAHvO1XE=")</f>
        <v>#VALUE!</v>
      </c>
      <c r="DK73" t="e">
        <f>AND(DATA!J667,"AAAAAHvO1XI=")</f>
        <v>#VALUE!</v>
      </c>
      <c r="DL73" t="e">
        <f>AND(DATA!K667,"AAAAAHvO1XM=")</f>
        <v>#VALUE!</v>
      </c>
      <c r="DM73" t="b">
        <f>AND(DATA!L667,"AAAAAHvO1XQ=")</f>
        <v>1</v>
      </c>
      <c r="DN73" t="b">
        <f>AND(DATA!M667,"AAAAAHvO1XU=")</f>
        <v>1</v>
      </c>
      <c r="DO73" t="b">
        <f>AND(DATA!N667,"AAAAAHvO1XY=")</f>
        <v>1</v>
      </c>
      <c r="DP73">
        <f>IF(DATA!668:668,"AAAAAHvO1Xc=",0)</f>
        <v>0</v>
      </c>
      <c r="DQ73" t="e">
        <f>AND(DATA!A668,"AAAAAHvO1Xg=")</f>
        <v>#VALUE!</v>
      </c>
      <c r="DR73" t="e">
        <f>AND(DATA!B668,"AAAAAHvO1Xk=")</f>
        <v>#VALUE!</v>
      </c>
      <c r="DS73" t="e">
        <f>AND(DATA!C668,"AAAAAHvO1Xo=")</f>
        <v>#VALUE!</v>
      </c>
      <c r="DT73" t="e">
        <f>AND(DATA!D668,"AAAAAHvO1Xs=")</f>
        <v>#VALUE!</v>
      </c>
      <c r="DU73" t="e">
        <f>AND(DATA!E668,"AAAAAHvO1Xw=")</f>
        <v>#VALUE!</v>
      </c>
      <c r="DV73" t="e">
        <f>AND(DATA!F668,"AAAAAHvO1X0=")</f>
        <v>#VALUE!</v>
      </c>
      <c r="DW73" t="e">
        <f>AND(DATA!G668,"AAAAAHvO1X4=")</f>
        <v>#VALUE!</v>
      </c>
      <c r="DX73" t="e">
        <f>AND(DATA!H668,"AAAAAHvO1X8=")</f>
        <v>#VALUE!</v>
      </c>
      <c r="DY73" t="e">
        <f>AND(DATA!I668,"AAAAAHvO1YA=")</f>
        <v>#VALUE!</v>
      </c>
      <c r="DZ73" t="e">
        <f>AND(DATA!J668,"AAAAAHvO1YE=")</f>
        <v>#VALUE!</v>
      </c>
      <c r="EA73" t="e">
        <f>AND(DATA!K668,"AAAAAHvO1YI=")</f>
        <v>#VALUE!</v>
      </c>
      <c r="EB73" t="b">
        <f>AND(DATA!L668,"AAAAAHvO1YM=")</f>
        <v>1</v>
      </c>
      <c r="EC73" t="b">
        <f>AND(DATA!M668,"AAAAAHvO1YQ=")</f>
        <v>1</v>
      </c>
      <c r="ED73" t="b">
        <f>AND(DATA!N668,"AAAAAHvO1YU=")</f>
        <v>1</v>
      </c>
      <c r="EE73">
        <f>IF(DATA!669:669,"AAAAAHvO1YY=",0)</f>
        <v>0</v>
      </c>
      <c r="EF73" t="e">
        <f>AND(DATA!A669,"AAAAAHvO1Yc=")</f>
        <v>#VALUE!</v>
      </c>
      <c r="EG73" t="e">
        <f>AND(DATA!B669,"AAAAAHvO1Yg=")</f>
        <v>#VALUE!</v>
      </c>
      <c r="EH73" t="e">
        <f>AND(DATA!C669,"AAAAAHvO1Yk=")</f>
        <v>#VALUE!</v>
      </c>
      <c r="EI73" t="e">
        <f>AND(DATA!D669,"AAAAAHvO1Yo=")</f>
        <v>#VALUE!</v>
      </c>
      <c r="EJ73" t="e">
        <f>AND(DATA!E669,"AAAAAHvO1Ys=")</f>
        <v>#VALUE!</v>
      </c>
      <c r="EK73" t="e">
        <f>AND(DATA!F669,"AAAAAHvO1Yw=")</f>
        <v>#VALUE!</v>
      </c>
      <c r="EL73" t="e">
        <f>AND(DATA!G669,"AAAAAHvO1Y0=")</f>
        <v>#VALUE!</v>
      </c>
      <c r="EM73" t="e">
        <f>AND(DATA!H669,"AAAAAHvO1Y4=")</f>
        <v>#VALUE!</v>
      </c>
      <c r="EN73" t="e">
        <f>AND(DATA!I669,"AAAAAHvO1Y8=")</f>
        <v>#VALUE!</v>
      </c>
      <c r="EO73" t="e">
        <f>AND(DATA!J669,"AAAAAHvO1ZA=")</f>
        <v>#VALUE!</v>
      </c>
      <c r="EP73" t="e">
        <f>AND(DATA!K669,"AAAAAHvO1ZE=")</f>
        <v>#VALUE!</v>
      </c>
      <c r="EQ73" t="b">
        <f>AND(DATA!L669,"AAAAAHvO1ZI=")</f>
        <v>1</v>
      </c>
      <c r="ER73" t="b">
        <f>AND(DATA!M669,"AAAAAHvO1ZM=")</f>
        <v>1</v>
      </c>
      <c r="ES73" t="b">
        <f>AND(DATA!N669,"AAAAAHvO1ZQ=")</f>
        <v>1</v>
      </c>
      <c r="ET73">
        <f>IF(DATA!670:670,"AAAAAHvO1ZU=",0)</f>
        <v>0</v>
      </c>
      <c r="EU73" t="e">
        <f>AND(DATA!A670,"AAAAAHvO1ZY=")</f>
        <v>#VALUE!</v>
      </c>
      <c r="EV73" t="e">
        <f>AND(DATA!B670,"AAAAAHvO1Zc=")</f>
        <v>#VALUE!</v>
      </c>
      <c r="EW73" t="e">
        <f>AND(DATA!C670,"AAAAAHvO1Zg=")</f>
        <v>#VALUE!</v>
      </c>
      <c r="EX73" t="e">
        <f>AND(DATA!D670,"AAAAAHvO1Zk=")</f>
        <v>#VALUE!</v>
      </c>
      <c r="EY73" t="e">
        <f>AND(DATA!E670,"AAAAAHvO1Zo=")</f>
        <v>#VALUE!</v>
      </c>
      <c r="EZ73" t="e">
        <f>AND(DATA!F670,"AAAAAHvO1Zs=")</f>
        <v>#VALUE!</v>
      </c>
      <c r="FA73" t="e">
        <f>AND(DATA!G670,"AAAAAHvO1Zw=")</f>
        <v>#VALUE!</v>
      </c>
      <c r="FB73" t="e">
        <f>AND(DATA!H670,"AAAAAHvO1Z0=")</f>
        <v>#VALUE!</v>
      </c>
      <c r="FC73" t="e">
        <f>AND(DATA!I670,"AAAAAHvO1Z4=")</f>
        <v>#VALUE!</v>
      </c>
      <c r="FD73" t="e">
        <f>AND(DATA!J670,"AAAAAHvO1Z8=")</f>
        <v>#VALUE!</v>
      </c>
      <c r="FE73" t="e">
        <f>AND(DATA!K670,"AAAAAHvO1aA=")</f>
        <v>#VALUE!</v>
      </c>
      <c r="FF73" t="b">
        <f>AND(DATA!L670,"AAAAAHvO1aE=")</f>
        <v>1</v>
      </c>
      <c r="FG73" t="b">
        <f>AND(DATA!M670,"AAAAAHvO1aI=")</f>
        <v>1</v>
      </c>
      <c r="FH73" t="b">
        <f>AND(DATA!N670,"AAAAAHvO1aM=")</f>
        <v>1</v>
      </c>
      <c r="FI73">
        <f>IF(DATA!671:671,"AAAAAHvO1aQ=",0)</f>
        <v>0</v>
      </c>
      <c r="FJ73" t="e">
        <f>AND(DATA!A671,"AAAAAHvO1aU=")</f>
        <v>#VALUE!</v>
      </c>
      <c r="FK73" t="e">
        <f>AND(DATA!B671,"AAAAAHvO1aY=")</f>
        <v>#VALUE!</v>
      </c>
      <c r="FL73" t="e">
        <f>AND(DATA!C671,"AAAAAHvO1ac=")</f>
        <v>#VALUE!</v>
      </c>
      <c r="FM73" t="e">
        <f>AND(DATA!D671,"AAAAAHvO1ag=")</f>
        <v>#VALUE!</v>
      </c>
      <c r="FN73" t="e">
        <f>AND(DATA!E671,"AAAAAHvO1ak=")</f>
        <v>#VALUE!</v>
      </c>
      <c r="FO73" t="e">
        <f>AND(DATA!F671,"AAAAAHvO1ao=")</f>
        <v>#VALUE!</v>
      </c>
      <c r="FP73" t="e">
        <f>AND(DATA!G671,"AAAAAHvO1as=")</f>
        <v>#VALUE!</v>
      </c>
      <c r="FQ73" t="e">
        <f>AND(DATA!H671,"AAAAAHvO1aw=")</f>
        <v>#VALUE!</v>
      </c>
      <c r="FR73" t="e">
        <f>AND(DATA!I671,"AAAAAHvO1a0=")</f>
        <v>#VALUE!</v>
      </c>
      <c r="FS73" t="e">
        <f>AND(DATA!J671,"AAAAAHvO1a4=")</f>
        <v>#VALUE!</v>
      </c>
      <c r="FT73" t="e">
        <f>AND(DATA!K671,"AAAAAHvO1a8=")</f>
        <v>#VALUE!</v>
      </c>
      <c r="FU73" t="b">
        <f>AND(DATA!L671,"AAAAAHvO1bA=")</f>
        <v>1</v>
      </c>
      <c r="FV73" t="b">
        <f>AND(DATA!M671,"AAAAAHvO1bE=")</f>
        <v>1</v>
      </c>
      <c r="FW73" t="b">
        <f>AND(DATA!N671,"AAAAAHvO1bI=")</f>
        <v>1</v>
      </c>
      <c r="FX73">
        <f>IF(DATA!672:672,"AAAAAHvO1bM=",0)</f>
        <v>0</v>
      </c>
      <c r="FY73" t="e">
        <f>AND(DATA!A672,"AAAAAHvO1bQ=")</f>
        <v>#VALUE!</v>
      </c>
      <c r="FZ73" t="e">
        <f>AND(DATA!B672,"AAAAAHvO1bU=")</f>
        <v>#VALUE!</v>
      </c>
      <c r="GA73" t="e">
        <f>AND(DATA!C672,"AAAAAHvO1bY=")</f>
        <v>#VALUE!</v>
      </c>
      <c r="GB73" t="e">
        <f>AND(DATA!D672,"AAAAAHvO1bc=")</f>
        <v>#VALUE!</v>
      </c>
      <c r="GC73" t="e">
        <f>AND(DATA!E672,"AAAAAHvO1bg=")</f>
        <v>#VALUE!</v>
      </c>
      <c r="GD73" t="e">
        <f>AND(DATA!F672,"AAAAAHvO1bk=")</f>
        <v>#VALUE!</v>
      </c>
      <c r="GE73" t="e">
        <f>AND(DATA!G672,"AAAAAHvO1bo=")</f>
        <v>#VALUE!</v>
      </c>
      <c r="GF73" t="e">
        <f>AND(DATA!H672,"AAAAAHvO1bs=")</f>
        <v>#VALUE!</v>
      </c>
      <c r="GG73" t="e">
        <f>AND(DATA!I672,"AAAAAHvO1bw=")</f>
        <v>#VALUE!</v>
      </c>
      <c r="GH73" t="e">
        <f>AND(DATA!J672,"AAAAAHvO1b0=")</f>
        <v>#VALUE!</v>
      </c>
      <c r="GI73" t="e">
        <f>AND(DATA!K672,"AAAAAHvO1b4=")</f>
        <v>#VALUE!</v>
      </c>
      <c r="GJ73" t="b">
        <f>AND(DATA!L672,"AAAAAHvO1b8=")</f>
        <v>1</v>
      </c>
      <c r="GK73" t="b">
        <f>AND(DATA!M672,"AAAAAHvO1cA=")</f>
        <v>1</v>
      </c>
      <c r="GL73" t="b">
        <f>AND(DATA!N672,"AAAAAHvO1cE=")</f>
        <v>1</v>
      </c>
      <c r="GM73">
        <f>IF(DATA!673:673,"AAAAAHvO1cI=",0)</f>
        <v>0</v>
      </c>
      <c r="GN73" t="e">
        <f>AND(DATA!A673,"AAAAAHvO1cM=")</f>
        <v>#VALUE!</v>
      </c>
      <c r="GO73" t="e">
        <f>AND(DATA!B673,"AAAAAHvO1cQ=")</f>
        <v>#VALUE!</v>
      </c>
      <c r="GP73" t="e">
        <f>AND(DATA!C673,"AAAAAHvO1cU=")</f>
        <v>#VALUE!</v>
      </c>
      <c r="GQ73" t="e">
        <f>AND(DATA!D673,"AAAAAHvO1cY=")</f>
        <v>#VALUE!</v>
      </c>
      <c r="GR73" t="e">
        <f>AND(DATA!E673,"AAAAAHvO1cc=")</f>
        <v>#VALUE!</v>
      </c>
      <c r="GS73" t="e">
        <f>AND(DATA!F673,"AAAAAHvO1cg=")</f>
        <v>#VALUE!</v>
      </c>
      <c r="GT73" t="e">
        <f>AND(DATA!G673,"AAAAAHvO1ck=")</f>
        <v>#VALUE!</v>
      </c>
      <c r="GU73" t="e">
        <f>AND(DATA!H673,"AAAAAHvO1co=")</f>
        <v>#VALUE!</v>
      </c>
      <c r="GV73" t="e">
        <f>AND(DATA!I673,"AAAAAHvO1cs=")</f>
        <v>#VALUE!</v>
      </c>
      <c r="GW73" t="e">
        <f>AND(DATA!J673,"AAAAAHvO1cw=")</f>
        <v>#VALUE!</v>
      </c>
      <c r="GX73" t="e">
        <f>AND(DATA!K673,"AAAAAHvO1c0=")</f>
        <v>#VALUE!</v>
      </c>
      <c r="GY73" t="b">
        <f>AND(DATA!L673,"AAAAAHvO1c4=")</f>
        <v>1</v>
      </c>
      <c r="GZ73" t="b">
        <f>AND(DATA!M673,"AAAAAHvO1c8=")</f>
        <v>1</v>
      </c>
      <c r="HA73" t="b">
        <f>AND(DATA!N673,"AAAAAHvO1dA=")</f>
        <v>1</v>
      </c>
      <c r="HB73">
        <f>IF(DATA!674:674,"AAAAAHvO1dE=",0)</f>
        <v>0</v>
      </c>
      <c r="HC73" t="e">
        <f>AND(DATA!A674,"AAAAAHvO1dI=")</f>
        <v>#VALUE!</v>
      </c>
      <c r="HD73" t="e">
        <f>AND(DATA!B674,"AAAAAHvO1dM=")</f>
        <v>#VALUE!</v>
      </c>
      <c r="HE73" t="e">
        <f>AND(DATA!C674,"AAAAAHvO1dQ=")</f>
        <v>#VALUE!</v>
      </c>
      <c r="HF73" t="e">
        <f>AND(DATA!D674,"AAAAAHvO1dU=")</f>
        <v>#VALUE!</v>
      </c>
      <c r="HG73" t="e">
        <f>AND(DATA!E674,"AAAAAHvO1dY=")</f>
        <v>#VALUE!</v>
      </c>
      <c r="HH73" t="e">
        <f>AND(DATA!F674,"AAAAAHvO1dc=")</f>
        <v>#VALUE!</v>
      </c>
      <c r="HI73" t="e">
        <f>AND(DATA!G674,"AAAAAHvO1dg=")</f>
        <v>#VALUE!</v>
      </c>
      <c r="HJ73" t="e">
        <f>AND(DATA!H674,"AAAAAHvO1dk=")</f>
        <v>#VALUE!</v>
      </c>
      <c r="HK73" t="e">
        <f>AND(DATA!I674,"AAAAAHvO1do=")</f>
        <v>#VALUE!</v>
      </c>
      <c r="HL73" t="e">
        <f>AND(DATA!J674,"AAAAAHvO1ds=")</f>
        <v>#VALUE!</v>
      </c>
      <c r="HM73" t="e">
        <f>AND(DATA!K674,"AAAAAHvO1dw=")</f>
        <v>#VALUE!</v>
      </c>
      <c r="HN73" t="b">
        <f>AND(DATA!L674,"AAAAAHvO1d0=")</f>
        <v>1</v>
      </c>
      <c r="HO73" t="b">
        <f>AND(DATA!M674,"AAAAAHvO1d4=")</f>
        <v>1</v>
      </c>
      <c r="HP73" t="b">
        <f>AND(DATA!N674,"AAAAAHvO1d8=")</f>
        <v>1</v>
      </c>
      <c r="HQ73">
        <f>IF(DATA!675:675,"AAAAAHvO1eA=",0)</f>
        <v>0</v>
      </c>
      <c r="HR73" t="e">
        <f>AND(DATA!A675,"AAAAAHvO1eE=")</f>
        <v>#VALUE!</v>
      </c>
      <c r="HS73" t="e">
        <f>AND(DATA!B675,"AAAAAHvO1eI=")</f>
        <v>#VALUE!</v>
      </c>
      <c r="HT73" t="e">
        <f>AND(DATA!C675,"AAAAAHvO1eM=")</f>
        <v>#VALUE!</v>
      </c>
      <c r="HU73" t="e">
        <f>AND(DATA!D675,"AAAAAHvO1eQ=")</f>
        <v>#VALUE!</v>
      </c>
      <c r="HV73" t="e">
        <f>AND(DATA!E675,"AAAAAHvO1eU=")</f>
        <v>#VALUE!</v>
      </c>
      <c r="HW73" t="e">
        <f>AND(DATA!F675,"AAAAAHvO1eY=")</f>
        <v>#VALUE!</v>
      </c>
      <c r="HX73" t="e">
        <f>AND(DATA!G675,"AAAAAHvO1ec=")</f>
        <v>#VALUE!</v>
      </c>
      <c r="HY73" t="e">
        <f>AND(DATA!H675,"AAAAAHvO1eg=")</f>
        <v>#VALUE!</v>
      </c>
      <c r="HZ73" t="e">
        <f>AND(DATA!I675,"AAAAAHvO1ek=")</f>
        <v>#VALUE!</v>
      </c>
      <c r="IA73" t="e">
        <f>AND(DATA!J675,"AAAAAHvO1eo=")</f>
        <v>#VALUE!</v>
      </c>
      <c r="IB73" t="e">
        <f>AND(DATA!K675,"AAAAAHvO1es=")</f>
        <v>#VALUE!</v>
      </c>
      <c r="IC73" t="b">
        <f>AND(DATA!L675,"AAAAAHvO1ew=")</f>
        <v>1</v>
      </c>
      <c r="ID73" t="b">
        <f>AND(DATA!M675,"AAAAAHvO1e0=")</f>
        <v>1</v>
      </c>
      <c r="IE73" t="b">
        <f>AND(DATA!N675,"AAAAAHvO1e4=")</f>
        <v>1</v>
      </c>
      <c r="IF73">
        <f>IF(DATA!676:676,"AAAAAHvO1e8=",0)</f>
        <v>0</v>
      </c>
      <c r="IG73" t="e">
        <f>AND(DATA!A676,"AAAAAHvO1fA=")</f>
        <v>#VALUE!</v>
      </c>
      <c r="IH73" t="e">
        <f>AND(DATA!B676,"AAAAAHvO1fE=")</f>
        <v>#VALUE!</v>
      </c>
      <c r="II73" t="e">
        <f>AND(DATA!C676,"AAAAAHvO1fI=")</f>
        <v>#VALUE!</v>
      </c>
      <c r="IJ73" t="e">
        <f>AND(DATA!D676,"AAAAAHvO1fM=")</f>
        <v>#VALUE!</v>
      </c>
      <c r="IK73" t="e">
        <f>AND(DATA!E676,"AAAAAHvO1fQ=")</f>
        <v>#VALUE!</v>
      </c>
      <c r="IL73" t="e">
        <f>AND(DATA!F676,"AAAAAHvO1fU=")</f>
        <v>#VALUE!</v>
      </c>
      <c r="IM73" t="e">
        <f>AND(DATA!G676,"AAAAAHvO1fY=")</f>
        <v>#VALUE!</v>
      </c>
      <c r="IN73" t="e">
        <f>AND(DATA!H676,"AAAAAHvO1fc=")</f>
        <v>#VALUE!</v>
      </c>
      <c r="IO73" t="e">
        <f>AND(DATA!I676,"AAAAAHvO1fg=")</f>
        <v>#VALUE!</v>
      </c>
      <c r="IP73" t="e">
        <f>AND(DATA!J676,"AAAAAHvO1fk=")</f>
        <v>#VALUE!</v>
      </c>
      <c r="IQ73" t="e">
        <f>AND(DATA!K676,"AAAAAHvO1fo=")</f>
        <v>#VALUE!</v>
      </c>
      <c r="IR73" t="b">
        <f>AND(DATA!L676,"AAAAAHvO1fs=")</f>
        <v>1</v>
      </c>
      <c r="IS73" t="b">
        <f>AND(DATA!M676,"AAAAAHvO1fw=")</f>
        <v>1</v>
      </c>
      <c r="IT73" t="b">
        <f>AND(DATA!N676,"AAAAAHvO1f0=")</f>
        <v>1</v>
      </c>
      <c r="IU73">
        <f>IF(DATA!677:677,"AAAAAHvO1f4=",0)</f>
        <v>0</v>
      </c>
      <c r="IV73" t="e">
        <f>AND(DATA!A677,"AAAAAHvO1f8=")</f>
        <v>#VALUE!</v>
      </c>
    </row>
    <row r="74" spans="1:256">
      <c r="A74" t="e">
        <f>AND(DATA!B677,"AAAAAFt+/wA=")</f>
        <v>#VALUE!</v>
      </c>
      <c r="B74" t="e">
        <f>AND(DATA!C677,"AAAAAFt+/wE=")</f>
        <v>#VALUE!</v>
      </c>
      <c r="C74" t="e">
        <f>AND(DATA!D677,"AAAAAFt+/wI=")</f>
        <v>#VALUE!</v>
      </c>
      <c r="D74" t="e">
        <f>AND(DATA!E677,"AAAAAFt+/wM=")</f>
        <v>#VALUE!</v>
      </c>
      <c r="E74" t="e">
        <f>AND(DATA!F677,"AAAAAFt+/wQ=")</f>
        <v>#VALUE!</v>
      </c>
      <c r="F74" t="e">
        <f>AND(DATA!G677,"AAAAAFt+/wU=")</f>
        <v>#VALUE!</v>
      </c>
      <c r="G74" t="e">
        <f>AND(DATA!H677,"AAAAAFt+/wY=")</f>
        <v>#VALUE!</v>
      </c>
      <c r="H74" t="e">
        <f>AND(DATA!I677,"AAAAAFt+/wc=")</f>
        <v>#VALUE!</v>
      </c>
      <c r="I74" t="e">
        <f>AND(DATA!J677,"AAAAAFt+/wg=")</f>
        <v>#VALUE!</v>
      </c>
      <c r="J74" t="e">
        <f>AND(DATA!K677,"AAAAAFt+/wk=")</f>
        <v>#VALUE!</v>
      </c>
      <c r="K74" t="b">
        <f>AND(DATA!L677,"AAAAAFt+/wo=")</f>
        <v>1</v>
      </c>
      <c r="L74" t="b">
        <f>AND(DATA!M677,"AAAAAFt+/ws=")</f>
        <v>1</v>
      </c>
      <c r="M74" t="b">
        <f>AND(DATA!N677,"AAAAAFt+/ww=")</f>
        <v>1</v>
      </c>
      <c r="N74" t="str">
        <f>IF(DATA!678:678,"AAAAAFt+/w0=",0)</f>
        <v>AAAAAFt+/w0=</v>
      </c>
      <c r="O74" t="e">
        <f>AND(DATA!A678,"AAAAAFt+/w4=")</f>
        <v>#VALUE!</v>
      </c>
      <c r="P74" t="e">
        <f>AND(DATA!B678,"AAAAAFt+/w8=")</f>
        <v>#VALUE!</v>
      </c>
      <c r="Q74" t="e">
        <f>AND(DATA!C678,"AAAAAFt+/xA=")</f>
        <v>#VALUE!</v>
      </c>
      <c r="R74" t="e">
        <f>AND(DATA!D678,"AAAAAFt+/xE=")</f>
        <v>#VALUE!</v>
      </c>
      <c r="S74" t="e">
        <f>AND(DATA!E678,"AAAAAFt+/xI=")</f>
        <v>#VALUE!</v>
      </c>
      <c r="T74" t="e">
        <f>AND(DATA!F678,"AAAAAFt+/xM=")</f>
        <v>#VALUE!</v>
      </c>
      <c r="U74" t="e">
        <f>AND(DATA!G678,"AAAAAFt+/xQ=")</f>
        <v>#VALUE!</v>
      </c>
      <c r="V74" t="e">
        <f>AND(DATA!H678,"AAAAAFt+/xU=")</f>
        <v>#VALUE!</v>
      </c>
      <c r="W74" t="e">
        <f>AND(DATA!I678,"AAAAAFt+/xY=")</f>
        <v>#VALUE!</v>
      </c>
      <c r="X74" t="e">
        <f>AND(DATA!J678,"AAAAAFt+/xc=")</f>
        <v>#VALUE!</v>
      </c>
      <c r="Y74" t="e">
        <f>AND(DATA!K678,"AAAAAFt+/xg=")</f>
        <v>#VALUE!</v>
      </c>
      <c r="Z74" t="b">
        <f>AND(DATA!L678,"AAAAAFt+/xk=")</f>
        <v>1</v>
      </c>
      <c r="AA74" t="b">
        <f>AND(DATA!M678,"AAAAAFt+/xo=")</f>
        <v>1</v>
      </c>
      <c r="AB74" t="b">
        <f>AND(DATA!N678,"AAAAAFt+/xs=")</f>
        <v>1</v>
      </c>
      <c r="AC74">
        <f>IF(DATA!679:679,"AAAAAFt+/xw=",0)</f>
        <v>0</v>
      </c>
      <c r="AD74" t="e">
        <f>AND(DATA!A679,"AAAAAFt+/x0=")</f>
        <v>#VALUE!</v>
      </c>
      <c r="AE74" t="e">
        <f>AND(DATA!B679,"AAAAAFt+/x4=")</f>
        <v>#VALUE!</v>
      </c>
      <c r="AF74" t="e">
        <f>AND(DATA!C679,"AAAAAFt+/x8=")</f>
        <v>#VALUE!</v>
      </c>
      <c r="AG74" t="e">
        <f>AND(DATA!D679,"AAAAAFt+/yA=")</f>
        <v>#VALUE!</v>
      </c>
      <c r="AH74" t="e">
        <f>AND(DATA!E679,"AAAAAFt+/yE=")</f>
        <v>#VALUE!</v>
      </c>
      <c r="AI74" t="e">
        <f>AND(DATA!F679,"AAAAAFt+/yI=")</f>
        <v>#VALUE!</v>
      </c>
      <c r="AJ74" t="e">
        <f>AND(DATA!G679,"AAAAAFt+/yM=")</f>
        <v>#VALUE!</v>
      </c>
      <c r="AK74" t="e">
        <f>AND(DATA!H679,"AAAAAFt+/yQ=")</f>
        <v>#VALUE!</v>
      </c>
      <c r="AL74" t="e">
        <f>AND(DATA!I679,"AAAAAFt+/yU=")</f>
        <v>#VALUE!</v>
      </c>
      <c r="AM74" t="e">
        <f>AND(DATA!J679,"AAAAAFt+/yY=")</f>
        <v>#VALUE!</v>
      </c>
      <c r="AN74" t="e">
        <f>AND(DATA!K679,"AAAAAFt+/yc=")</f>
        <v>#VALUE!</v>
      </c>
      <c r="AO74" t="b">
        <f>AND(DATA!L679,"AAAAAFt+/yg=")</f>
        <v>1</v>
      </c>
      <c r="AP74" t="b">
        <f>AND(DATA!M679,"AAAAAFt+/yk=")</f>
        <v>1</v>
      </c>
      <c r="AQ74" t="b">
        <f>AND(DATA!N679,"AAAAAFt+/yo=")</f>
        <v>1</v>
      </c>
      <c r="AR74">
        <f>IF(DATA!680:680,"AAAAAFt+/ys=",0)</f>
        <v>0</v>
      </c>
      <c r="AS74" t="e">
        <f>AND(DATA!A680,"AAAAAFt+/yw=")</f>
        <v>#VALUE!</v>
      </c>
      <c r="AT74" t="e">
        <f>AND(DATA!B680,"AAAAAFt+/y0=")</f>
        <v>#VALUE!</v>
      </c>
      <c r="AU74" t="e">
        <f>AND(DATA!C680,"AAAAAFt+/y4=")</f>
        <v>#VALUE!</v>
      </c>
      <c r="AV74" t="e">
        <f>AND(DATA!D680,"AAAAAFt+/y8=")</f>
        <v>#VALUE!</v>
      </c>
      <c r="AW74" t="e">
        <f>AND(DATA!E680,"AAAAAFt+/zA=")</f>
        <v>#VALUE!</v>
      </c>
      <c r="AX74" t="e">
        <f>AND(DATA!F680,"AAAAAFt+/zE=")</f>
        <v>#VALUE!</v>
      </c>
      <c r="AY74" t="e">
        <f>AND(DATA!G680,"AAAAAFt+/zI=")</f>
        <v>#VALUE!</v>
      </c>
      <c r="AZ74" t="e">
        <f>AND(DATA!H680,"AAAAAFt+/zM=")</f>
        <v>#VALUE!</v>
      </c>
      <c r="BA74" t="e">
        <f>AND(DATA!I680,"AAAAAFt+/zQ=")</f>
        <v>#VALUE!</v>
      </c>
      <c r="BB74" t="e">
        <f>AND(DATA!J680,"AAAAAFt+/zU=")</f>
        <v>#VALUE!</v>
      </c>
      <c r="BC74" t="e">
        <f>AND(DATA!K680,"AAAAAFt+/zY=")</f>
        <v>#VALUE!</v>
      </c>
      <c r="BD74" t="b">
        <f>AND(DATA!L680,"AAAAAFt+/zc=")</f>
        <v>1</v>
      </c>
      <c r="BE74" t="b">
        <f>AND(DATA!M680,"AAAAAFt+/zg=")</f>
        <v>1</v>
      </c>
      <c r="BF74" t="b">
        <f>AND(DATA!N680,"AAAAAFt+/zk=")</f>
        <v>1</v>
      </c>
      <c r="BG74">
        <f>IF(DATA!681:681,"AAAAAFt+/zo=",0)</f>
        <v>0</v>
      </c>
      <c r="BH74" t="e">
        <f>AND(DATA!A681,"AAAAAFt+/zs=")</f>
        <v>#VALUE!</v>
      </c>
      <c r="BI74" t="e">
        <f>AND(DATA!B681,"AAAAAFt+/zw=")</f>
        <v>#VALUE!</v>
      </c>
      <c r="BJ74" t="e">
        <f>AND(DATA!C681,"AAAAAFt+/z0=")</f>
        <v>#VALUE!</v>
      </c>
      <c r="BK74" t="e">
        <f>AND(DATA!D681,"AAAAAFt+/z4=")</f>
        <v>#VALUE!</v>
      </c>
      <c r="BL74" t="e">
        <f>AND(DATA!E681,"AAAAAFt+/z8=")</f>
        <v>#VALUE!</v>
      </c>
      <c r="BM74" t="e">
        <f>AND(DATA!F681,"AAAAAFt+/0A=")</f>
        <v>#VALUE!</v>
      </c>
      <c r="BN74" t="e">
        <f>AND(DATA!G681,"AAAAAFt+/0E=")</f>
        <v>#VALUE!</v>
      </c>
      <c r="BO74" t="e">
        <f>AND(DATA!H681,"AAAAAFt+/0I=")</f>
        <v>#VALUE!</v>
      </c>
      <c r="BP74" t="e">
        <f>AND(DATA!I681,"AAAAAFt+/0M=")</f>
        <v>#VALUE!</v>
      </c>
      <c r="BQ74" t="e">
        <f>AND(DATA!J681,"AAAAAFt+/0Q=")</f>
        <v>#VALUE!</v>
      </c>
      <c r="BR74" t="e">
        <f>AND(DATA!K681,"AAAAAFt+/0U=")</f>
        <v>#VALUE!</v>
      </c>
      <c r="BS74" t="b">
        <f>AND(DATA!L681,"AAAAAFt+/0Y=")</f>
        <v>1</v>
      </c>
      <c r="BT74" t="b">
        <f>AND(DATA!M681,"AAAAAFt+/0c=")</f>
        <v>1</v>
      </c>
      <c r="BU74" t="b">
        <f>AND(DATA!N681,"AAAAAFt+/0g=")</f>
        <v>1</v>
      </c>
      <c r="BV74">
        <f>IF(DATA!682:682,"AAAAAFt+/0k=",0)</f>
        <v>0</v>
      </c>
      <c r="BW74" t="e">
        <f>AND(DATA!A682,"AAAAAFt+/0o=")</f>
        <v>#VALUE!</v>
      </c>
      <c r="BX74" t="e">
        <f>AND(DATA!B682,"AAAAAFt+/0s=")</f>
        <v>#VALUE!</v>
      </c>
      <c r="BY74" t="e">
        <f>AND(DATA!C682,"AAAAAFt+/0w=")</f>
        <v>#VALUE!</v>
      </c>
      <c r="BZ74" t="e">
        <f>AND(DATA!D682,"AAAAAFt+/00=")</f>
        <v>#VALUE!</v>
      </c>
      <c r="CA74" t="e">
        <f>AND(DATA!E682,"AAAAAFt+/04=")</f>
        <v>#VALUE!</v>
      </c>
      <c r="CB74" t="e">
        <f>AND(DATA!F682,"AAAAAFt+/08=")</f>
        <v>#VALUE!</v>
      </c>
      <c r="CC74" t="e">
        <f>AND(DATA!G682,"AAAAAFt+/1A=")</f>
        <v>#VALUE!</v>
      </c>
      <c r="CD74" t="e">
        <f>AND(DATA!H682,"AAAAAFt+/1E=")</f>
        <v>#VALUE!</v>
      </c>
      <c r="CE74" t="e">
        <f>AND(DATA!I682,"AAAAAFt+/1I=")</f>
        <v>#VALUE!</v>
      </c>
      <c r="CF74" t="e">
        <f>AND(DATA!J682,"AAAAAFt+/1M=")</f>
        <v>#VALUE!</v>
      </c>
      <c r="CG74" t="e">
        <f>AND(DATA!K682,"AAAAAFt+/1Q=")</f>
        <v>#VALUE!</v>
      </c>
      <c r="CH74" t="b">
        <f>AND(DATA!L682,"AAAAAFt+/1U=")</f>
        <v>1</v>
      </c>
      <c r="CI74" t="b">
        <f>AND(DATA!M682,"AAAAAFt+/1Y=")</f>
        <v>1</v>
      </c>
      <c r="CJ74" t="b">
        <f>AND(DATA!N682,"AAAAAFt+/1c=")</f>
        <v>1</v>
      </c>
      <c r="CK74">
        <f>IF(DATA!683:683,"AAAAAFt+/1g=",0)</f>
        <v>0</v>
      </c>
      <c r="CL74" t="e">
        <f>AND(DATA!A683,"AAAAAFt+/1k=")</f>
        <v>#VALUE!</v>
      </c>
      <c r="CM74" t="e">
        <f>AND(DATA!B683,"AAAAAFt+/1o=")</f>
        <v>#VALUE!</v>
      </c>
      <c r="CN74" t="e">
        <f>AND(DATA!C683,"AAAAAFt+/1s=")</f>
        <v>#VALUE!</v>
      </c>
      <c r="CO74" t="e">
        <f>AND(DATA!D683,"AAAAAFt+/1w=")</f>
        <v>#VALUE!</v>
      </c>
      <c r="CP74" t="e">
        <f>AND(DATA!E683,"AAAAAFt+/10=")</f>
        <v>#VALUE!</v>
      </c>
      <c r="CQ74" t="e">
        <f>AND(DATA!F683,"AAAAAFt+/14=")</f>
        <v>#VALUE!</v>
      </c>
      <c r="CR74" t="e">
        <f>AND(DATA!G683,"AAAAAFt+/18=")</f>
        <v>#VALUE!</v>
      </c>
      <c r="CS74" t="e">
        <f>AND(DATA!H683,"AAAAAFt+/2A=")</f>
        <v>#VALUE!</v>
      </c>
      <c r="CT74" t="e">
        <f>AND(DATA!I683,"AAAAAFt+/2E=")</f>
        <v>#VALUE!</v>
      </c>
      <c r="CU74" t="e">
        <f>AND(DATA!J683,"AAAAAFt+/2I=")</f>
        <v>#VALUE!</v>
      </c>
      <c r="CV74" t="e">
        <f>AND(DATA!K683,"AAAAAFt+/2M=")</f>
        <v>#VALUE!</v>
      </c>
      <c r="CW74" t="b">
        <f>AND(DATA!L683,"AAAAAFt+/2Q=")</f>
        <v>1</v>
      </c>
      <c r="CX74" t="b">
        <f>AND(DATA!M683,"AAAAAFt+/2U=")</f>
        <v>1</v>
      </c>
      <c r="CY74" t="b">
        <f>AND(DATA!N683,"AAAAAFt+/2Y=")</f>
        <v>1</v>
      </c>
      <c r="CZ74">
        <f>IF(DATA!684:684,"AAAAAFt+/2c=",0)</f>
        <v>0</v>
      </c>
      <c r="DA74" t="e">
        <f>AND(DATA!A684,"AAAAAFt+/2g=")</f>
        <v>#VALUE!</v>
      </c>
      <c r="DB74" t="e">
        <f>AND(DATA!B684,"AAAAAFt+/2k=")</f>
        <v>#VALUE!</v>
      </c>
      <c r="DC74" t="e">
        <f>AND(DATA!C684,"AAAAAFt+/2o=")</f>
        <v>#VALUE!</v>
      </c>
      <c r="DD74" t="e">
        <f>AND(DATA!D684,"AAAAAFt+/2s=")</f>
        <v>#VALUE!</v>
      </c>
      <c r="DE74" t="e">
        <f>AND(DATA!E684,"AAAAAFt+/2w=")</f>
        <v>#VALUE!</v>
      </c>
      <c r="DF74" t="e">
        <f>AND(DATA!F684,"AAAAAFt+/20=")</f>
        <v>#VALUE!</v>
      </c>
      <c r="DG74" t="e">
        <f>AND(DATA!G684,"AAAAAFt+/24=")</f>
        <v>#VALUE!</v>
      </c>
      <c r="DH74" t="e">
        <f>AND(DATA!H684,"AAAAAFt+/28=")</f>
        <v>#VALUE!</v>
      </c>
      <c r="DI74" t="e">
        <f>AND(DATA!I684,"AAAAAFt+/3A=")</f>
        <v>#VALUE!</v>
      </c>
      <c r="DJ74" t="e">
        <f>AND(DATA!J684,"AAAAAFt+/3E=")</f>
        <v>#VALUE!</v>
      </c>
      <c r="DK74" t="e">
        <f>AND(DATA!K684,"AAAAAFt+/3I=")</f>
        <v>#VALUE!</v>
      </c>
      <c r="DL74" t="b">
        <f>AND(DATA!L684,"AAAAAFt+/3M=")</f>
        <v>1</v>
      </c>
      <c r="DM74" t="b">
        <f>AND(DATA!M684,"AAAAAFt+/3Q=")</f>
        <v>1</v>
      </c>
      <c r="DN74" t="b">
        <f>AND(DATA!N684,"AAAAAFt+/3U=")</f>
        <v>1</v>
      </c>
      <c r="DO74">
        <f>IF(DATA!685:685,"AAAAAFt+/3Y=",0)</f>
        <v>0</v>
      </c>
      <c r="DP74" t="e">
        <f>AND(DATA!A685,"AAAAAFt+/3c=")</f>
        <v>#VALUE!</v>
      </c>
      <c r="DQ74" t="e">
        <f>AND(DATA!B685,"AAAAAFt+/3g=")</f>
        <v>#VALUE!</v>
      </c>
      <c r="DR74" t="e">
        <f>AND(DATA!C685,"AAAAAFt+/3k=")</f>
        <v>#VALUE!</v>
      </c>
      <c r="DS74" t="e">
        <f>AND(DATA!D685,"AAAAAFt+/3o=")</f>
        <v>#VALUE!</v>
      </c>
      <c r="DT74" t="e">
        <f>AND(DATA!E685,"AAAAAFt+/3s=")</f>
        <v>#VALUE!</v>
      </c>
      <c r="DU74" t="e">
        <f>AND(DATA!F685,"AAAAAFt+/3w=")</f>
        <v>#VALUE!</v>
      </c>
      <c r="DV74" t="e">
        <f>AND(DATA!G685,"AAAAAFt+/30=")</f>
        <v>#VALUE!</v>
      </c>
      <c r="DW74" t="e">
        <f>AND(DATA!H685,"AAAAAFt+/34=")</f>
        <v>#VALUE!</v>
      </c>
      <c r="DX74" t="e">
        <f>AND(DATA!I685,"AAAAAFt+/38=")</f>
        <v>#VALUE!</v>
      </c>
      <c r="DY74" t="e">
        <f>AND(DATA!J685,"AAAAAFt+/4A=")</f>
        <v>#VALUE!</v>
      </c>
      <c r="DZ74" t="e">
        <f>AND(DATA!K685,"AAAAAFt+/4E=")</f>
        <v>#VALUE!</v>
      </c>
      <c r="EA74" t="b">
        <f>AND(DATA!L685,"AAAAAFt+/4I=")</f>
        <v>1</v>
      </c>
      <c r="EB74" t="b">
        <f>AND(DATA!M685,"AAAAAFt+/4M=")</f>
        <v>1</v>
      </c>
      <c r="EC74" t="b">
        <f>AND(DATA!N685,"AAAAAFt+/4Q=")</f>
        <v>1</v>
      </c>
      <c r="ED74">
        <f>IF(DATA!686:686,"AAAAAFt+/4U=",0)</f>
        <v>0</v>
      </c>
      <c r="EE74" t="e">
        <f>AND(DATA!A686,"AAAAAFt+/4Y=")</f>
        <v>#VALUE!</v>
      </c>
      <c r="EF74" t="e">
        <f>AND(DATA!B686,"AAAAAFt+/4c=")</f>
        <v>#VALUE!</v>
      </c>
      <c r="EG74" t="e">
        <f>AND(DATA!C686,"AAAAAFt+/4g=")</f>
        <v>#VALUE!</v>
      </c>
      <c r="EH74" t="e">
        <f>AND(DATA!D686,"AAAAAFt+/4k=")</f>
        <v>#VALUE!</v>
      </c>
      <c r="EI74" t="e">
        <f>AND(DATA!E686,"AAAAAFt+/4o=")</f>
        <v>#VALUE!</v>
      </c>
      <c r="EJ74" t="e">
        <f>AND(DATA!F686,"AAAAAFt+/4s=")</f>
        <v>#VALUE!</v>
      </c>
      <c r="EK74" t="e">
        <f>AND(DATA!G686,"AAAAAFt+/4w=")</f>
        <v>#VALUE!</v>
      </c>
      <c r="EL74" t="e">
        <f>AND(DATA!H686,"AAAAAFt+/40=")</f>
        <v>#VALUE!</v>
      </c>
      <c r="EM74" t="e">
        <f>AND(DATA!I686,"AAAAAFt+/44=")</f>
        <v>#VALUE!</v>
      </c>
      <c r="EN74" t="e">
        <f>AND(DATA!J686,"AAAAAFt+/48=")</f>
        <v>#VALUE!</v>
      </c>
      <c r="EO74" t="e">
        <f>AND(DATA!K686,"AAAAAFt+/5A=")</f>
        <v>#VALUE!</v>
      </c>
      <c r="EP74" t="b">
        <f>AND(DATA!L686,"AAAAAFt+/5E=")</f>
        <v>1</v>
      </c>
      <c r="EQ74" t="b">
        <f>AND(DATA!M686,"AAAAAFt+/5I=")</f>
        <v>1</v>
      </c>
      <c r="ER74" t="b">
        <f>AND(DATA!N686,"AAAAAFt+/5M=")</f>
        <v>1</v>
      </c>
      <c r="ES74">
        <f>IF(DATA!687:687,"AAAAAFt+/5Q=",0)</f>
        <v>0</v>
      </c>
      <c r="ET74" t="e">
        <f>AND(DATA!A687,"AAAAAFt+/5U=")</f>
        <v>#VALUE!</v>
      </c>
      <c r="EU74" t="e">
        <f>AND(DATA!B687,"AAAAAFt+/5Y=")</f>
        <v>#VALUE!</v>
      </c>
      <c r="EV74" t="e">
        <f>AND(DATA!C687,"AAAAAFt+/5c=")</f>
        <v>#VALUE!</v>
      </c>
      <c r="EW74" t="e">
        <f>AND(DATA!D687,"AAAAAFt+/5g=")</f>
        <v>#VALUE!</v>
      </c>
      <c r="EX74" t="e">
        <f>AND(DATA!E687,"AAAAAFt+/5k=")</f>
        <v>#VALUE!</v>
      </c>
      <c r="EY74" t="e">
        <f>AND(DATA!F687,"AAAAAFt+/5o=")</f>
        <v>#VALUE!</v>
      </c>
      <c r="EZ74" t="e">
        <f>AND(DATA!G687,"AAAAAFt+/5s=")</f>
        <v>#VALUE!</v>
      </c>
      <c r="FA74" t="e">
        <f>AND(DATA!H687,"AAAAAFt+/5w=")</f>
        <v>#VALUE!</v>
      </c>
      <c r="FB74" t="e">
        <f>AND(DATA!I687,"AAAAAFt+/50=")</f>
        <v>#VALUE!</v>
      </c>
      <c r="FC74" t="e">
        <f>AND(DATA!J687,"AAAAAFt+/54=")</f>
        <v>#VALUE!</v>
      </c>
      <c r="FD74" t="e">
        <f>AND(DATA!K687,"AAAAAFt+/58=")</f>
        <v>#VALUE!</v>
      </c>
      <c r="FE74" t="b">
        <f>AND(DATA!L687,"AAAAAFt+/6A=")</f>
        <v>1</v>
      </c>
      <c r="FF74" t="b">
        <f>AND(DATA!M687,"AAAAAFt+/6E=")</f>
        <v>1</v>
      </c>
      <c r="FG74" t="b">
        <f>AND(DATA!N687,"AAAAAFt+/6I=")</f>
        <v>1</v>
      </c>
      <c r="FH74">
        <f>IF(DATA!688:688,"AAAAAFt+/6M=",0)</f>
        <v>0</v>
      </c>
      <c r="FI74" t="e">
        <f>AND(DATA!A688,"AAAAAFt+/6Q=")</f>
        <v>#VALUE!</v>
      </c>
      <c r="FJ74" t="e">
        <f>AND(DATA!B688,"AAAAAFt+/6U=")</f>
        <v>#VALUE!</v>
      </c>
      <c r="FK74" t="e">
        <f>AND(DATA!C688,"AAAAAFt+/6Y=")</f>
        <v>#VALUE!</v>
      </c>
      <c r="FL74" t="e">
        <f>AND(DATA!D688,"AAAAAFt+/6c=")</f>
        <v>#VALUE!</v>
      </c>
      <c r="FM74" t="e">
        <f>AND(DATA!E688,"AAAAAFt+/6g=")</f>
        <v>#VALUE!</v>
      </c>
      <c r="FN74" t="e">
        <f>AND(DATA!F688,"AAAAAFt+/6k=")</f>
        <v>#VALUE!</v>
      </c>
      <c r="FO74" t="e">
        <f>AND(DATA!G688,"AAAAAFt+/6o=")</f>
        <v>#VALUE!</v>
      </c>
      <c r="FP74" t="e">
        <f>AND(DATA!H688,"AAAAAFt+/6s=")</f>
        <v>#VALUE!</v>
      </c>
      <c r="FQ74" t="e">
        <f>AND(DATA!I688,"AAAAAFt+/6w=")</f>
        <v>#VALUE!</v>
      </c>
      <c r="FR74" t="e">
        <f>AND(DATA!J688,"AAAAAFt+/60=")</f>
        <v>#VALUE!</v>
      </c>
      <c r="FS74" t="e">
        <f>AND(DATA!K688,"AAAAAFt+/64=")</f>
        <v>#VALUE!</v>
      </c>
      <c r="FT74" t="b">
        <f>AND(DATA!L688,"AAAAAFt+/68=")</f>
        <v>1</v>
      </c>
      <c r="FU74" t="b">
        <f>AND(DATA!M688,"AAAAAFt+/7A=")</f>
        <v>1</v>
      </c>
      <c r="FV74" t="b">
        <f>AND(DATA!N688,"AAAAAFt+/7E=")</f>
        <v>1</v>
      </c>
      <c r="FW74">
        <f>IF(DATA!689:689,"AAAAAFt+/7I=",0)</f>
        <v>0</v>
      </c>
      <c r="FX74" t="e">
        <f>AND(DATA!A689,"AAAAAFt+/7M=")</f>
        <v>#VALUE!</v>
      </c>
      <c r="FY74" t="e">
        <f>AND(DATA!B689,"AAAAAFt+/7Q=")</f>
        <v>#VALUE!</v>
      </c>
      <c r="FZ74" t="e">
        <f>AND(DATA!C689,"AAAAAFt+/7U=")</f>
        <v>#VALUE!</v>
      </c>
      <c r="GA74" t="e">
        <f>AND(DATA!D689,"AAAAAFt+/7Y=")</f>
        <v>#VALUE!</v>
      </c>
      <c r="GB74" t="e">
        <f>AND(DATA!E689,"AAAAAFt+/7c=")</f>
        <v>#VALUE!</v>
      </c>
      <c r="GC74" t="e">
        <f>AND(DATA!F689,"AAAAAFt+/7g=")</f>
        <v>#VALUE!</v>
      </c>
      <c r="GD74" t="e">
        <f>AND(DATA!G689,"AAAAAFt+/7k=")</f>
        <v>#VALUE!</v>
      </c>
      <c r="GE74" t="e">
        <f>AND(DATA!H689,"AAAAAFt+/7o=")</f>
        <v>#VALUE!</v>
      </c>
      <c r="GF74" t="e">
        <f>AND(DATA!I689,"AAAAAFt+/7s=")</f>
        <v>#VALUE!</v>
      </c>
      <c r="GG74" t="e">
        <f>AND(DATA!J689,"AAAAAFt+/7w=")</f>
        <v>#VALUE!</v>
      </c>
      <c r="GH74" t="e">
        <f>AND(DATA!K689,"AAAAAFt+/70=")</f>
        <v>#VALUE!</v>
      </c>
      <c r="GI74" t="b">
        <f>AND(DATA!L689,"AAAAAFt+/74=")</f>
        <v>1</v>
      </c>
      <c r="GJ74" t="b">
        <f>AND(DATA!M689,"AAAAAFt+/78=")</f>
        <v>1</v>
      </c>
      <c r="GK74" t="b">
        <f>AND(DATA!N689,"AAAAAFt+/8A=")</f>
        <v>1</v>
      </c>
      <c r="GL74">
        <f>IF(DATA!690:690,"AAAAAFt+/8E=",0)</f>
        <v>0</v>
      </c>
      <c r="GM74" t="e">
        <f>AND(DATA!A690,"AAAAAFt+/8I=")</f>
        <v>#VALUE!</v>
      </c>
      <c r="GN74" t="e">
        <f>AND(DATA!B690,"AAAAAFt+/8M=")</f>
        <v>#VALUE!</v>
      </c>
      <c r="GO74" t="e">
        <f>AND(DATA!C690,"AAAAAFt+/8Q=")</f>
        <v>#VALUE!</v>
      </c>
      <c r="GP74" t="e">
        <f>AND(DATA!D690,"AAAAAFt+/8U=")</f>
        <v>#VALUE!</v>
      </c>
      <c r="GQ74" t="e">
        <f>AND(DATA!E690,"AAAAAFt+/8Y=")</f>
        <v>#VALUE!</v>
      </c>
      <c r="GR74" t="e">
        <f>AND(DATA!F690,"AAAAAFt+/8c=")</f>
        <v>#VALUE!</v>
      </c>
      <c r="GS74" t="e">
        <f>AND(DATA!G690,"AAAAAFt+/8g=")</f>
        <v>#VALUE!</v>
      </c>
      <c r="GT74" t="e">
        <f>AND(DATA!H690,"AAAAAFt+/8k=")</f>
        <v>#VALUE!</v>
      </c>
      <c r="GU74" t="e">
        <f>AND(DATA!I690,"AAAAAFt+/8o=")</f>
        <v>#VALUE!</v>
      </c>
      <c r="GV74" t="e">
        <f>AND(DATA!J690,"AAAAAFt+/8s=")</f>
        <v>#VALUE!</v>
      </c>
      <c r="GW74" t="e">
        <f>AND(DATA!K690,"AAAAAFt+/8w=")</f>
        <v>#VALUE!</v>
      </c>
      <c r="GX74" t="b">
        <f>AND(DATA!L690,"AAAAAFt+/80=")</f>
        <v>1</v>
      </c>
      <c r="GY74" t="b">
        <f>AND(DATA!M690,"AAAAAFt+/84=")</f>
        <v>1</v>
      </c>
      <c r="GZ74" t="b">
        <f>AND(DATA!N690,"AAAAAFt+/88=")</f>
        <v>1</v>
      </c>
      <c r="HA74">
        <f>IF(DATA!691:691,"AAAAAFt+/9A=",0)</f>
        <v>0</v>
      </c>
      <c r="HB74" t="e">
        <f>AND(DATA!A691,"AAAAAFt+/9E=")</f>
        <v>#VALUE!</v>
      </c>
      <c r="HC74" t="e">
        <f>AND(DATA!B691,"AAAAAFt+/9I=")</f>
        <v>#VALUE!</v>
      </c>
      <c r="HD74" t="e">
        <f>AND(DATA!C691,"AAAAAFt+/9M=")</f>
        <v>#VALUE!</v>
      </c>
      <c r="HE74" t="e">
        <f>AND(DATA!D691,"AAAAAFt+/9Q=")</f>
        <v>#VALUE!</v>
      </c>
      <c r="HF74" t="e">
        <f>AND(DATA!E691,"AAAAAFt+/9U=")</f>
        <v>#VALUE!</v>
      </c>
      <c r="HG74" t="e">
        <f>AND(DATA!F691,"AAAAAFt+/9Y=")</f>
        <v>#VALUE!</v>
      </c>
      <c r="HH74" t="e">
        <f>AND(DATA!G691,"AAAAAFt+/9c=")</f>
        <v>#VALUE!</v>
      </c>
      <c r="HI74" t="e">
        <f>AND(DATA!H691,"AAAAAFt+/9g=")</f>
        <v>#VALUE!</v>
      </c>
      <c r="HJ74" t="e">
        <f>AND(DATA!I691,"AAAAAFt+/9k=")</f>
        <v>#VALUE!</v>
      </c>
      <c r="HK74" t="e">
        <f>AND(DATA!J691,"AAAAAFt+/9o=")</f>
        <v>#VALUE!</v>
      </c>
      <c r="HL74" t="e">
        <f>AND(DATA!K691,"AAAAAFt+/9s=")</f>
        <v>#VALUE!</v>
      </c>
      <c r="HM74" t="b">
        <f>AND(DATA!L691,"AAAAAFt+/9w=")</f>
        <v>1</v>
      </c>
      <c r="HN74" t="b">
        <f>AND(DATA!M691,"AAAAAFt+/90=")</f>
        <v>1</v>
      </c>
      <c r="HO74" t="b">
        <f>AND(DATA!N691,"AAAAAFt+/94=")</f>
        <v>1</v>
      </c>
      <c r="HP74">
        <f>IF(DATA!692:692,"AAAAAFt+/98=",0)</f>
        <v>0</v>
      </c>
      <c r="HQ74" t="e">
        <f>AND(DATA!A692,"AAAAAFt+/+A=")</f>
        <v>#VALUE!</v>
      </c>
      <c r="HR74" t="e">
        <f>AND(DATA!B692,"AAAAAFt+/+E=")</f>
        <v>#VALUE!</v>
      </c>
      <c r="HS74" t="e">
        <f>AND(DATA!C692,"AAAAAFt+/+I=")</f>
        <v>#VALUE!</v>
      </c>
      <c r="HT74" t="e">
        <f>AND(DATA!D692,"AAAAAFt+/+M=")</f>
        <v>#VALUE!</v>
      </c>
      <c r="HU74" t="e">
        <f>AND(DATA!E692,"AAAAAFt+/+Q=")</f>
        <v>#VALUE!</v>
      </c>
      <c r="HV74" t="e">
        <f>AND(DATA!F692,"AAAAAFt+/+U=")</f>
        <v>#VALUE!</v>
      </c>
      <c r="HW74" t="e">
        <f>AND(DATA!G692,"AAAAAFt+/+Y=")</f>
        <v>#VALUE!</v>
      </c>
      <c r="HX74" t="e">
        <f>AND(DATA!H692,"AAAAAFt+/+c=")</f>
        <v>#VALUE!</v>
      </c>
      <c r="HY74" t="e">
        <f>AND(DATA!I692,"AAAAAFt+/+g=")</f>
        <v>#VALUE!</v>
      </c>
      <c r="HZ74" t="e">
        <f>AND(DATA!J692,"AAAAAFt+/+k=")</f>
        <v>#VALUE!</v>
      </c>
      <c r="IA74" t="e">
        <f>AND(DATA!K692,"AAAAAFt+/+o=")</f>
        <v>#VALUE!</v>
      </c>
      <c r="IB74" t="b">
        <f>AND(DATA!L692,"AAAAAFt+/+s=")</f>
        <v>1</v>
      </c>
      <c r="IC74" t="b">
        <f>AND(DATA!M692,"AAAAAFt+/+w=")</f>
        <v>1</v>
      </c>
      <c r="ID74" t="b">
        <f>AND(DATA!N692,"AAAAAFt+/+0=")</f>
        <v>1</v>
      </c>
      <c r="IE74">
        <f>IF(DATA!693:693,"AAAAAFt+/+4=",0)</f>
        <v>0</v>
      </c>
      <c r="IF74" t="e">
        <f>AND(DATA!A693,"AAAAAFt+/+8=")</f>
        <v>#VALUE!</v>
      </c>
      <c r="IG74" t="e">
        <f>AND(DATA!B693,"AAAAAFt+//A=")</f>
        <v>#VALUE!</v>
      </c>
      <c r="IH74" t="e">
        <f>AND(DATA!C693,"AAAAAFt+//E=")</f>
        <v>#VALUE!</v>
      </c>
      <c r="II74" t="e">
        <f>AND(DATA!D693,"AAAAAFt+//I=")</f>
        <v>#VALUE!</v>
      </c>
      <c r="IJ74" t="e">
        <f>AND(DATA!E693,"AAAAAFt+//M=")</f>
        <v>#VALUE!</v>
      </c>
      <c r="IK74" t="e">
        <f>AND(DATA!F693,"AAAAAFt+//Q=")</f>
        <v>#VALUE!</v>
      </c>
      <c r="IL74" t="e">
        <f>AND(DATA!G693,"AAAAAFt+//U=")</f>
        <v>#VALUE!</v>
      </c>
      <c r="IM74" t="e">
        <f>AND(DATA!H693,"AAAAAFt+//Y=")</f>
        <v>#VALUE!</v>
      </c>
      <c r="IN74" t="e">
        <f>AND(DATA!I693,"AAAAAFt+//c=")</f>
        <v>#VALUE!</v>
      </c>
      <c r="IO74" t="e">
        <f>AND(DATA!J693,"AAAAAFt+//g=")</f>
        <v>#VALUE!</v>
      </c>
      <c r="IP74" t="e">
        <f>AND(DATA!K693,"AAAAAFt+//k=")</f>
        <v>#VALUE!</v>
      </c>
      <c r="IQ74" t="b">
        <f>AND(DATA!L693,"AAAAAFt+//o=")</f>
        <v>1</v>
      </c>
      <c r="IR74" t="b">
        <f>AND(DATA!M693,"AAAAAFt+//s=")</f>
        <v>1</v>
      </c>
      <c r="IS74" t="b">
        <f>AND(DATA!N693,"AAAAAFt+//w=")</f>
        <v>1</v>
      </c>
      <c r="IT74">
        <f>IF(DATA!694:694,"AAAAAFt+//0=",0)</f>
        <v>0</v>
      </c>
      <c r="IU74" t="e">
        <f>AND(DATA!A694,"AAAAAFt+//4=")</f>
        <v>#VALUE!</v>
      </c>
      <c r="IV74" t="e">
        <f>AND(DATA!B694,"AAAAAFt+//8=")</f>
        <v>#VALUE!</v>
      </c>
    </row>
    <row r="75" spans="1:256">
      <c r="A75" t="e">
        <f>AND(DATA!C694,"AAAAADvX/AA=")</f>
        <v>#VALUE!</v>
      </c>
      <c r="B75" t="e">
        <f>AND(DATA!D694,"AAAAADvX/AE=")</f>
        <v>#VALUE!</v>
      </c>
      <c r="C75" t="e">
        <f>AND(DATA!E694,"AAAAADvX/AI=")</f>
        <v>#VALUE!</v>
      </c>
      <c r="D75" t="e">
        <f>AND(DATA!F694,"AAAAADvX/AM=")</f>
        <v>#VALUE!</v>
      </c>
      <c r="E75" t="e">
        <f>AND(DATA!G694,"AAAAADvX/AQ=")</f>
        <v>#VALUE!</v>
      </c>
      <c r="F75" t="e">
        <f>AND(DATA!H694,"AAAAADvX/AU=")</f>
        <v>#VALUE!</v>
      </c>
      <c r="G75" t="e">
        <f>AND(DATA!I694,"AAAAADvX/AY=")</f>
        <v>#VALUE!</v>
      </c>
      <c r="H75" t="e">
        <f>AND(DATA!J694,"AAAAADvX/Ac=")</f>
        <v>#VALUE!</v>
      </c>
      <c r="I75" t="e">
        <f>AND(DATA!K694,"AAAAADvX/Ag=")</f>
        <v>#VALUE!</v>
      </c>
      <c r="J75" t="b">
        <f>AND(DATA!L694,"AAAAADvX/Ak=")</f>
        <v>1</v>
      </c>
      <c r="K75" t="b">
        <f>AND(DATA!M694,"AAAAADvX/Ao=")</f>
        <v>1</v>
      </c>
      <c r="L75" t="b">
        <f>AND(DATA!N694,"AAAAADvX/As=")</f>
        <v>1</v>
      </c>
      <c r="M75" t="str">
        <f>IF(DATA!695:695,"AAAAADvX/Aw=",0)</f>
        <v>AAAAADvX/Aw=</v>
      </c>
      <c r="N75" t="e">
        <f>AND(DATA!A695,"AAAAADvX/A0=")</f>
        <v>#VALUE!</v>
      </c>
      <c r="O75" t="e">
        <f>AND(DATA!B695,"AAAAADvX/A4=")</f>
        <v>#VALUE!</v>
      </c>
      <c r="P75" t="e">
        <f>AND(DATA!C695,"AAAAADvX/A8=")</f>
        <v>#VALUE!</v>
      </c>
      <c r="Q75" t="e">
        <f>AND(DATA!D695,"AAAAADvX/BA=")</f>
        <v>#VALUE!</v>
      </c>
      <c r="R75" t="e">
        <f>AND(DATA!E695,"AAAAADvX/BE=")</f>
        <v>#VALUE!</v>
      </c>
      <c r="S75" t="e">
        <f>AND(DATA!F695,"AAAAADvX/BI=")</f>
        <v>#VALUE!</v>
      </c>
      <c r="T75" t="e">
        <f>AND(DATA!G695,"AAAAADvX/BM=")</f>
        <v>#VALUE!</v>
      </c>
      <c r="U75" t="e">
        <f>AND(DATA!H695,"AAAAADvX/BQ=")</f>
        <v>#VALUE!</v>
      </c>
      <c r="V75" t="e">
        <f>AND(DATA!I695,"AAAAADvX/BU=")</f>
        <v>#VALUE!</v>
      </c>
      <c r="W75" t="e">
        <f>AND(DATA!J695,"AAAAADvX/BY=")</f>
        <v>#VALUE!</v>
      </c>
      <c r="X75" t="e">
        <f>AND(DATA!K695,"AAAAADvX/Bc=")</f>
        <v>#VALUE!</v>
      </c>
      <c r="Y75" t="b">
        <f>AND(DATA!L695,"AAAAADvX/Bg=")</f>
        <v>1</v>
      </c>
      <c r="Z75" t="b">
        <f>AND(DATA!M695,"AAAAADvX/Bk=")</f>
        <v>1</v>
      </c>
      <c r="AA75" t="b">
        <f>AND(DATA!N695,"AAAAADvX/Bo=")</f>
        <v>1</v>
      </c>
      <c r="AB75">
        <f>IF(DATA!696:696,"AAAAADvX/Bs=",0)</f>
        <v>0</v>
      </c>
      <c r="AC75" t="e">
        <f>AND(DATA!A696,"AAAAADvX/Bw=")</f>
        <v>#VALUE!</v>
      </c>
      <c r="AD75" t="e">
        <f>AND(DATA!B696,"AAAAADvX/B0=")</f>
        <v>#VALUE!</v>
      </c>
      <c r="AE75" t="e">
        <f>AND(DATA!C696,"AAAAADvX/B4=")</f>
        <v>#VALUE!</v>
      </c>
      <c r="AF75" t="e">
        <f>AND(DATA!D696,"AAAAADvX/B8=")</f>
        <v>#VALUE!</v>
      </c>
      <c r="AG75" t="e">
        <f>AND(DATA!E696,"AAAAADvX/CA=")</f>
        <v>#VALUE!</v>
      </c>
      <c r="AH75" t="e">
        <f>AND(DATA!F696,"AAAAADvX/CE=")</f>
        <v>#VALUE!</v>
      </c>
      <c r="AI75" t="e">
        <f>AND(DATA!G696,"AAAAADvX/CI=")</f>
        <v>#VALUE!</v>
      </c>
      <c r="AJ75" t="e">
        <f>AND(DATA!H696,"AAAAADvX/CM=")</f>
        <v>#VALUE!</v>
      </c>
      <c r="AK75" t="e">
        <f>AND(DATA!I696,"AAAAADvX/CQ=")</f>
        <v>#VALUE!</v>
      </c>
      <c r="AL75" t="e">
        <f>AND(DATA!J696,"AAAAADvX/CU=")</f>
        <v>#VALUE!</v>
      </c>
      <c r="AM75" t="e">
        <f>AND(DATA!K696,"AAAAADvX/CY=")</f>
        <v>#VALUE!</v>
      </c>
      <c r="AN75" t="b">
        <f>AND(DATA!L696,"AAAAADvX/Cc=")</f>
        <v>1</v>
      </c>
      <c r="AO75" t="b">
        <f>AND(DATA!M696,"AAAAADvX/Cg=")</f>
        <v>1</v>
      </c>
      <c r="AP75" t="b">
        <f>AND(DATA!N696,"AAAAADvX/Ck=")</f>
        <v>1</v>
      </c>
      <c r="AQ75">
        <f>IF(DATA!697:697,"AAAAADvX/Co=",0)</f>
        <v>0</v>
      </c>
      <c r="AR75" t="e">
        <f>AND(DATA!A697,"AAAAADvX/Cs=")</f>
        <v>#VALUE!</v>
      </c>
      <c r="AS75" t="e">
        <f>AND(DATA!B697,"AAAAADvX/Cw=")</f>
        <v>#VALUE!</v>
      </c>
      <c r="AT75" t="e">
        <f>AND(DATA!C697,"AAAAADvX/C0=")</f>
        <v>#VALUE!</v>
      </c>
      <c r="AU75" t="e">
        <f>AND(DATA!D697,"AAAAADvX/C4=")</f>
        <v>#VALUE!</v>
      </c>
      <c r="AV75" t="e">
        <f>AND(DATA!E697,"AAAAADvX/C8=")</f>
        <v>#VALUE!</v>
      </c>
      <c r="AW75" t="e">
        <f>AND(DATA!F697,"AAAAADvX/DA=")</f>
        <v>#VALUE!</v>
      </c>
      <c r="AX75" t="e">
        <f>AND(DATA!G697,"AAAAADvX/DE=")</f>
        <v>#VALUE!</v>
      </c>
      <c r="AY75" t="e">
        <f>AND(DATA!H697,"AAAAADvX/DI=")</f>
        <v>#VALUE!</v>
      </c>
      <c r="AZ75" t="e">
        <f>AND(DATA!I697,"AAAAADvX/DM=")</f>
        <v>#VALUE!</v>
      </c>
      <c r="BA75" t="e">
        <f>AND(DATA!J697,"AAAAADvX/DQ=")</f>
        <v>#VALUE!</v>
      </c>
      <c r="BB75" t="e">
        <f>AND(DATA!K697,"AAAAADvX/DU=")</f>
        <v>#VALUE!</v>
      </c>
      <c r="BC75" t="b">
        <f>AND(DATA!L697,"AAAAADvX/DY=")</f>
        <v>1</v>
      </c>
      <c r="BD75" t="b">
        <f>AND(DATA!M697,"AAAAADvX/Dc=")</f>
        <v>1</v>
      </c>
      <c r="BE75" t="b">
        <f>AND(DATA!N697,"AAAAADvX/Dg=")</f>
        <v>1</v>
      </c>
      <c r="BF75">
        <f>IF(DATA!698:698,"AAAAADvX/Dk=",0)</f>
        <v>0</v>
      </c>
      <c r="BG75" t="e">
        <f>AND(DATA!A698,"AAAAADvX/Do=")</f>
        <v>#VALUE!</v>
      </c>
      <c r="BH75" t="e">
        <f>AND(DATA!B698,"AAAAADvX/Ds=")</f>
        <v>#VALUE!</v>
      </c>
      <c r="BI75" t="e">
        <f>AND(DATA!C698,"AAAAADvX/Dw=")</f>
        <v>#VALUE!</v>
      </c>
      <c r="BJ75" t="e">
        <f>AND(DATA!D698,"AAAAADvX/D0=")</f>
        <v>#VALUE!</v>
      </c>
      <c r="BK75" t="e">
        <f>AND(DATA!E698,"AAAAADvX/D4=")</f>
        <v>#VALUE!</v>
      </c>
      <c r="BL75" t="e">
        <f>AND(DATA!F698,"AAAAADvX/D8=")</f>
        <v>#VALUE!</v>
      </c>
      <c r="BM75" t="e">
        <f>AND(DATA!G698,"AAAAADvX/EA=")</f>
        <v>#VALUE!</v>
      </c>
      <c r="BN75" t="e">
        <f>AND(DATA!H698,"AAAAADvX/EE=")</f>
        <v>#VALUE!</v>
      </c>
      <c r="BO75" t="e">
        <f>AND(DATA!I698,"AAAAADvX/EI=")</f>
        <v>#VALUE!</v>
      </c>
      <c r="BP75" t="e">
        <f>AND(DATA!J698,"AAAAADvX/EM=")</f>
        <v>#VALUE!</v>
      </c>
      <c r="BQ75" t="e">
        <f>AND(DATA!K698,"AAAAADvX/EQ=")</f>
        <v>#VALUE!</v>
      </c>
      <c r="BR75" t="b">
        <f>AND(DATA!L698,"AAAAADvX/EU=")</f>
        <v>1</v>
      </c>
      <c r="BS75" t="b">
        <f>AND(DATA!M698,"AAAAADvX/EY=")</f>
        <v>1</v>
      </c>
      <c r="BT75" t="b">
        <f>AND(DATA!N698,"AAAAADvX/Ec=")</f>
        <v>1</v>
      </c>
      <c r="BU75">
        <f>IF(DATA!699:699,"AAAAADvX/Eg=",0)</f>
        <v>0</v>
      </c>
      <c r="BV75" t="e">
        <f>AND(DATA!A699,"AAAAADvX/Ek=")</f>
        <v>#VALUE!</v>
      </c>
      <c r="BW75" t="e">
        <f>AND(DATA!B699,"AAAAADvX/Eo=")</f>
        <v>#VALUE!</v>
      </c>
      <c r="BX75" t="e">
        <f>AND(DATA!C699,"AAAAADvX/Es=")</f>
        <v>#VALUE!</v>
      </c>
      <c r="BY75" t="e">
        <f>AND(DATA!D699,"AAAAADvX/Ew=")</f>
        <v>#VALUE!</v>
      </c>
      <c r="BZ75" t="e">
        <f>AND(DATA!E699,"AAAAADvX/E0=")</f>
        <v>#VALUE!</v>
      </c>
      <c r="CA75" t="e">
        <f>AND(DATA!F699,"AAAAADvX/E4=")</f>
        <v>#VALUE!</v>
      </c>
      <c r="CB75" t="e">
        <f>AND(DATA!G699,"AAAAADvX/E8=")</f>
        <v>#VALUE!</v>
      </c>
      <c r="CC75" t="e">
        <f>AND(DATA!H699,"AAAAADvX/FA=")</f>
        <v>#VALUE!</v>
      </c>
      <c r="CD75" t="e">
        <f>AND(DATA!I699,"AAAAADvX/FE=")</f>
        <v>#VALUE!</v>
      </c>
      <c r="CE75" t="e">
        <f>AND(DATA!J699,"AAAAADvX/FI=")</f>
        <v>#VALUE!</v>
      </c>
      <c r="CF75" t="e">
        <f>AND(DATA!K699,"AAAAADvX/FM=")</f>
        <v>#VALUE!</v>
      </c>
      <c r="CG75" t="b">
        <f>AND(DATA!L699,"AAAAADvX/FQ=")</f>
        <v>1</v>
      </c>
      <c r="CH75" t="b">
        <f>AND(DATA!M699,"AAAAADvX/FU=")</f>
        <v>1</v>
      </c>
      <c r="CI75" t="b">
        <f>AND(DATA!N699,"AAAAADvX/FY=")</f>
        <v>1</v>
      </c>
      <c r="CJ75">
        <f>IF(DATA!700:700,"AAAAADvX/Fc=",0)</f>
        <v>0</v>
      </c>
      <c r="CK75" t="e">
        <f>AND(DATA!A700,"AAAAADvX/Fg=")</f>
        <v>#VALUE!</v>
      </c>
      <c r="CL75" t="e">
        <f>AND(DATA!B700,"AAAAADvX/Fk=")</f>
        <v>#VALUE!</v>
      </c>
      <c r="CM75" t="e">
        <f>AND(DATA!C700,"AAAAADvX/Fo=")</f>
        <v>#VALUE!</v>
      </c>
      <c r="CN75" t="e">
        <f>AND(DATA!D700,"AAAAADvX/Fs=")</f>
        <v>#VALUE!</v>
      </c>
      <c r="CO75" t="e">
        <f>AND(DATA!E700,"AAAAADvX/Fw=")</f>
        <v>#VALUE!</v>
      </c>
      <c r="CP75" t="e">
        <f>AND(DATA!F700,"AAAAADvX/F0=")</f>
        <v>#VALUE!</v>
      </c>
      <c r="CQ75" t="e">
        <f>AND(DATA!G700,"AAAAADvX/F4=")</f>
        <v>#VALUE!</v>
      </c>
      <c r="CR75" t="e">
        <f>AND(DATA!H700,"AAAAADvX/F8=")</f>
        <v>#VALUE!</v>
      </c>
      <c r="CS75" t="e">
        <f>AND(DATA!I700,"AAAAADvX/GA=")</f>
        <v>#VALUE!</v>
      </c>
      <c r="CT75" t="e">
        <f>AND(DATA!J700,"AAAAADvX/GE=")</f>
        <v>#VALUE!</v>
      </c>
      <c r="CU75" t="e">
        <f>AND(DATA!K700,"AAAAADvX/GI=")</f>
        <v>#VALUE!</v>
      </c>
      <c r="CV75" t="b">
        <f>AND(DATA!L700,"AAAAADvX/GM=")</f>
        <v>1</v>
      </c>
      <c r="CW75" t="b">
        <f>AND(DATA!M700,"AAAAADvX/GQ=")</f>
        <v>1</v>
      </c>
      <c r="CX75" t="b">
        <f>AND(DATA!N700,"AAAAADvX/GU=")</f>
        <v>1</v>
      </c>
      <c r="CY75">
        <f>IF(DATA!701:701,"AAAAADvX/GY=",0)</f>
        <v>0</v>
      </c>
      <c r="CZ75" t="e">
        <f>AND(DATA!A701,"AAAAADvX/Gc=")</f>
        <v>#VALUE!</v>
      </c>
      <c r="DA75" t="e">
        <f>AND(DATA!B701,"AAAAADvX/Gg=")</f>
        <v>#VALUE!</v>
      </c>
      <c r="DB75" t="e">
        <f>AND(DATA!C701,"AAAAADvX/Gk=")</f>
        <v>#VALUE!</v>
      </c>
      <c r="DC75" t="e">
        <f>AND(DATA!D701,"AAAAADvX/Go=")</f>
        <v>#VALUE!</v>
      </c>
      <c r="DD75" t="e">
        <f>AND(DATA!E701,"AAAAADvX/Gs=")</f>
        <v>#VALUE!</v>
      </c>
      <c r="DE75" t="e">
        <f>AND(DATA!F701,"AAAAADvX/Gw=")</f>
        <v>#VALUE!</v>
      </c>
      <c r="DF75" t="e">
        <f>AND(DATA!G701,"AAAAADvX/G0=")</f>
        <v>#VALUE!</v>
      </c>
      <c r="DG75" t="e">
        <f>AND(DATA!H701,"AAAAADvX/G4=")</f>
        <v>#VALUE!</v>
      </c>
      <c r="DH75" t="e">
        <f>AND(DATA!I701,"AAAAADvX/G8=")</f>
        <v>#VALUE!</v>
      </c>
      <c r="DI75" t="e">
        <f>AND(DATA!J701,"AAAAADvX/HA=")</f>
        <v>#VALUE!</v>
      </c>
      <c r="DJ75" t="e">
        <f>AND(DATA!K701,"AAAAADvX/HE=")</f>
        <v>#VALUE!</v>
      </c>
      <c r="DK75" t="b">
        <f>AND(DATA!L701,"AAAAADvX/HI=")</f>
        <v>1</v>
      </c>
      <c r="DL75" t="b">
        <f>AND(DATA!M701,"AAAAADvX/HM=")</f>
        <v>1</v>
      </c>
      <c r="DM75" t="b">
        <f>AND(DATA!N701,"AAAAADvX/HQ=")</f>
        <v>1</v>
      </c>
      <c r="DN75">
        <f>IF(DATA!702:702,"AAAAADvX/HU=",0)</f>
        <v>0</v>
      </c>
      <c r="DO75" t="e">
        <f>AND(DATA!A702,"AAAAADvX/HY=")</f>
        <v>#VALUE!</v>
      </c>
      <c r="DP75" t="e">
        <f>AND(DATA!B702,"AAAAADvX/Hc=")</f>
        <v>#VALUE!</v>
      </c>
      <c r="DQ75" t="e">
        <f>AND(DATA!C702,"AAAAADvX/Hg=")</f>
        <v>#VALUE!</v>
      </c>
      <c r="DR75" t="e">
        <f>AND(DATA!D702,"AAAAADvX/Hk=")</f>
        <v>#VALUE!</v>
      </c>
      <c r="DS75" t="e">
        <f>AND(DATA!E702,"AAAAADvX/Ho=")</f>
        <v>#VALUE!</v>
      </c>
      <c r="DT75" t="e">
        <f>AND(DATA!F702,"AAAAADvX/Hs=")</f>
        <v>#VALUE!</v>
      </c>
      <c r="DU75" t="e">
        <f>AND(DATA!G702,"AAAAADvX/Hw=")</f>
        <v>#VALUE!</v>
      </c>
      <c r="DV75" t="e">
        <f>AND(DATA!H702,"AAAAADvX/H0=")</f>
        <v>#VALUE!</v>
      </c>
      <c r="DW75" t="e">
        <f>AND(DATA!I702,"AAAAADvX/H4=")</f>
        <v>#VALUE!</v>
      </c>
      <c r="DX75" t="e">
        <f>AND(DATA!J702,"AAAAADvX/H8=")</f>
        <v>#VALUE!</v>
      </c>
      <c r="DY75" t="e">
        <f>AND(DATA!K702,"AAAAADvX/IA=")</f>
        <v>#VALUE!</v>
      </c>
      <c r="DZ75" t="b">
        <f>AND(DATA!L702,"AAAAADvX/IE=")</f>
        <v>1</v>
      </c>
      <c r="EA75" t="b">
        <f>AND(DATA!M702,"AAAAADvX/II=")</f>
        <v>1</v>
      </c>
      <c r="EB75" t="b">
        <f>AND(DATA!N702,"AAAAADvX/IM=")</f>
        <v>1</v>
      </c>
      <c r="EC75">
        <f>IF(DATA!703:703,"AAAAADvX/IQ=",0)</f>
        <v>0</v>
      </c>
      <c r="ED75" t="e">
        <f>AND(DATA!A703,"AAAAADvX/IU=")</f>
        <v>#VALUE!</v>
      </c>
      <c r="EE75" t="e">
        <f>AND(DATA!B703,"AAAAADvX/IY=")</f>
        <v>#VALUE!</v>
      </c>
      <c r="EF75" t="e">
        <f>AND(DATA!C703,"AAAAADvX/Ic=")</f>
        <v>#VALUE!</v>
      </c>
      <c r="EG75" t="e">
        <f>AND(DATA!D703,"AAAAADvX/Ig=")</f>
        <v>#VALUE!</v>
      </c>
      <c r="EH75" t="e">
        <f>AND(DATA!E703,"AAAAADvX/Ik=")</f>
        <v>#VALUE!</v>
      </c>
      <c r="EI75" t="e">
        <f>AND(DATA!F703,"AAAAADvX/Io=")</f>
        <v>#VALUE!</v>
      </c>
      <c r="EJ75" t="e">
        <f>AND(DATA!G703,"AAAAADvX/Is=")</f>
        <v>#VALUE!</v>
      </c>
      <c r="EK75" t="e">
        <f>AND(DATA!H703,"AAAAADvX/Iw=")</f>
        <v>#VALUE!</v>
      </c>
      <c r="EL75" t="e">
        <f>AND(DATA!I703,"AAAAADvX/I0=")</f>
        <v>#VALUE!</v>
      </c>
      <c r="EM75" t="e">
        <f>AND(DATA!J703,"AAAAADvX/I4=")</f>
        <v>#VALUE!</v>
      </c>
      <c r="EN75" t="e">
        <f>AND(DATA!K703,"AAAAADvX/I8=")</f>
        <v>#VALUE!</v>
      </c>
      <c r="EO75" t="b">
        <f>AND(DATA!L703,"AAAAADvX/JA=")</f>
        <v>1</v>
      </c>
      <c r="EP75" t="b">
        <f>AND(DATA!M703,"AAAAADvX/JE=")</f>
        <v>1</v>
      </c>
      <c r="EQ75" t="b">
        <f>AND(DATA!N703,"AAAAADvX/JI=")</f>
        <v>1</v>
      </c>
      <c r="ER75">
        <f>IF(DATA!704:704,"AAAAADvX/JM=",0)</f>
        <v>0</v>
      </c>
      <c r="ES75" t="e">
        <f>AND(DATA!A704,"AAAAADvX/JQ=")</f>
        <v>#VALUE!</v>
      </c>
      <c r="ET75" t="e">
        <f>AND(DATA!B704,"AAAAADvX/JU=")</f>
        <v>#VALUE!</v>
      </c>
      <c r="EU75" t="e">
        <f>AND(DATA!C704,"AAAAADvX/JY=")</f>
        <v>#VALUE!</v>
      </c>
      <c r="EV75" t="e">
        <f>AND(DATA!D704,"AAAAADvX/Jc=")</f>
        <v>#VALUE!</v>
      </c>
      <c r="EW75" t="e">
        <f>AND(DATA!E704,"AAAAADvX/Jg=")</f>
        <v>#VALUE!</v>
      </c>
      <c r="EX75" t="e">
        <f>AND(DATA!F704,"AAAAADvX/Jk=")</f>
        <v>#VALUE!</v>
      </c>
      <c r="EY75" t="e">
        <f>AND(DATA!G704,"AAAAADvX/Jo=")</f>
        <v>#VALUE!</v>
      </c>
      <c r="EZ75" t="e">
        <f>AND(DATA!H704,"AAAAADvX/Js=")</f>
        <v>#VALUE!</v>
      </c>
      <c r="FA75" t="e">
        <f>AND(DATA!I704,"AAAAADvX/Jw=")</f>
        <v>#VALUE!</v>
      </c>
      <c r="FB75" t="e">
        <f>AND(DATA!J704,"AAAAADvX/J0=")</f>
        <v>#VALUE!</v>
      </c>
      <c r="FC75" t="e">
        <f>AND(DATA!K704,"AAAAADvX/J4=")</f>
        <v>#VALUE!</v>
      </c>
      <c r="FD75" t="b">
        <f>AND(DATA!L704,"AAAAADvX/J8=")</f>
        <v>1</v>
      </c>
      <c r="FE75" t="b">
        <f>AND(DATA!M704,"AAAAADvX/KA=")</f>
        <v>1</v>
      </c>
      <c r="FF75" t="b">
        <f>AND(DATA!N704,"AAAAADvX/KE=")</f>
        <v>1</v>
      </c>
      <c r="FG75">
        <f>IF(DATA!705:705,"AAAAADvX/KI=",0)</f>
        <v>0</v>
      </c>
      <c r="FH75" t="e">
        <f>AND(DATA!A705,"AAAAADvX/KM=")</f>
        <v>#VALUE!</v>
      </c>
      <c r="FI75" t="e">
        <f>AND(DATA!B705,"AAAAADvX/KQ=")</f>
        <v>#VALUE!</v>
      </c>
      <c r="FJ75" t="e">
        <f>AND(DATA!C705,"AAAAADvX/KU=")</f>
        <v>#VALUE!</v>
      </c>
      <c r="FK75" t="e">
        <f>AND(DATA!D705,"AAAAADvX/KY=")</f>
        <v>#VALUE!</v>
      </c>
      <c r="FL75" t="e">
        <f>AND(DATA!E705,"AAAAADvX/Kc=")</f>
        <v>#VALUE!</v>
      </c>
      <c r="FM75" t="e">
        <f>AND(DATA!F705,"AAAAADvX/Kg=")</f>
        <v>#VALUE!</v>
      </c>
      <c r="FN75" t="e">
        <f>AND(DATA!G705,"AAAAADvX/Kk=")</f>
        <v>#VALUE!</v>
      </c>
      <c r="FO75" t="e">
        <f>AND(DATA!H705,"AAAAADvX/Ko=")</f>
        <v>#VALUE!</v>
      </c>
      <c r="FP75" t="e">
        <f>AND(DATA!I705,"AAAAADvX/Ks=")</f>
        <v>#VALUE!</v>
      </c>
      <c r="FQ75" t="e">
        <f>AND(DATA!J705,"AAAAADvX/Kw=")</f>
        <v>#VALUE!</v>
      </c>
      <c r="FR75" t="e">
        <f>AND(DATA!K705,"AAAAADvX/K0=")</f>
        <v>#VALUE!</v>
      </c>
      <c r="FS75" t="b">
        <f>AND(DATA!L705,"AAAAADvX/K4=")</f>
        <v>1</v>
      </c>
      <c r="FT75" t="b">
        <f>AND(DATA!M705,"AAAAADvX/K8=")</f>
        <v>1</v>
      </c>
      <c r="FU75" t="b">
        <f>AND(DATA!N705,"AAAAADvX/LA=")</f>
        <v>1</v>
      </c>
      <c r="FV75">
        <f>IF(DATA!706:706,"AAAAADvX/LE=",0)</f>
        <v>0</v>
      </c>
      <c r="FW75" t="e">
        <f>AND(DATA!A706,"AAAAADvX/LI=")</f>
        <v>#VALUE!</v>
      </c>
      <c r="FX75" t="e">
        <f>AND(DATA!B706,"AAAAADvX/LM=")</f>
        <v>#VALUE!</v>
      </c>
      <c r="FY75" t="e">
        <f>AND(DATA!C706,"AAAAADvX/LQ=")</f>
        <v>#VALUE!</v>
      </c>
      <c r="FZ75" t="e">
        <f>AND(DATA!D706,"AAAAADvX/LU=")</f>
        <v>#VALUE!</v>
      </c>
      <c r="GA75" t="e">
        <f>AND(DATA!E706,"AAAAADvX/LY=")</f>
        <v>#VALUE!</v>
      </c>
      <c r="GB75" t="e">
        <f>AND(DATA!F706,"AAAAADvX/Lc=")</f>
        <v>#VALUE!</v>
      </c>
      <c r="GC75" t="e">
        <f>AND(DATA!G706,"AAAAADvX/Lg=")</f>
        <v>#VALUE!</v>
      </c>
      <c r="GD75" t="e">
        <f>AND(DATA!H706,"AAAAADvX/Lk=")</f>
        <v>#VALUE!</v>
      </c>
      <c r="GE75" t="e">
        <f>AND(DATA!I706,"AAAAADvX/Lo=")</f>
        <v>#VALUE!</v>
      </c>
      <c r="GF75" t="e">
        <f>AND(DATA!J706,"AAAAADvX/Ls=")</f>
        <v>#VALUE!</v>
      </c>
      <c r="GG75" t="e">
        <f>AND(DATA!K706,"AAAAADvX/Lw=")</f>
        <v>#VALUE!</v>
      </c>
      <c r="GH75" t="b">
        <f>AND(DATA!L706,"AAAAADvX/L0=")</f>
        <v>1</v>
      </c>
      <c r="GI75" t="b">
        <f>AND(DATA!M706,"AAAAADvX/L4=")</f>
        <v>1</v>
      </c>
      <c r="GJ75" t="b">
        <f>AND(DATA!N706,"AAAAADvX/L8=")</f>
        <v>1</v>
      </c>
      <c r="GK75">
        <f>IF(DATA!707:707,"AAAAADvX/MA=",0)</f>
        <v>0</v>
      </c>
      <c r="GL75" t="e">
        <f>AND(DATA!A707,"AAAAADvX/ME=")</f>
        <v>#VALUE!</v>
      </c>
      <c r="GM75" t="e">
        <f>AND(DATA!B707,"AAAAADvX/MI=")</f>
        <v>#VALUE!</v>
      </c>
      <c r="GN75" t="e">
        <f>AND(DATA!C707,"AAAAADvX/MM=")</f>
        <v>#VALUE!</v>
      </c>
      <c r="GO75" t="e">
        <f>AND(DATA!D707,"AAAAADvX/MQ=")</f>
        <v>#VALUE!</v>
      </c>
      <c r="GP75" t="e">
        <f>AND(DATA!E707,"AAAAADvX/MU=")</f>
        <v>#VALUE!</v>
      </c>
      <c r="GQ75" t="e">
        <f>AND(DATA!F707,"AAAAADvX/MY=")</f>
        <v>#VALUE!</v>
      </c>
      <c r="GR75" t="e">
        <f>AND(DATA!G707,"AAAAADvX/Mc=")</f>
        <v>#VALUE!</v>
      </c>
      <c r="GS75" t="e">
        <f>AND(DATA!H707,"AAAAADvX/Mg=")</f>
        <v>#VALUE!</v>
      </c>
      <c r="GT75" t="e">
        <f>AND(DATA!I707,"AAAAADvX/Mk=")</f>
        <v>#VALUE!</v>
      </c>
      <c r="GU75" t="e">
        <f>AND(DATA!J707,"AAAAADvX/Mo=")</f>
        <v>#VALUE!</v>
      </c>
      <c r="GV75" t="e">
        <f>AND(DATA!K707,"AAAAADvX/Ms=")</f>
        <v>#VALUE!</v>
      </c>
      <c r="GW75" t="b">
        <f>AND(DATA!L707,"AAAAADvX/Mw=")</f>
        <v>1</v>
      </c>
      <c r="GX75" t="b">
        <f>AND(DATA!M707,"AAAAADvX/M0=")</f>
        <v>1</v>
      </c>
      <c r="GY75" t="b">
        <f>AND(DATA!N707,"AAAAADvX/M4=")</f>
        <v>1</v>
      </c>
      <c r="GZ75">
        <f>IF(DATA!708:708,"AAAAADvX/M8=",0)</f>
        <v>0</v>
      </c>
      <c r="HA75" t="e">
        <f>AND(DATA!A708,"AAAAADvX/NA=")</f>
        <v>#VALUE!</v>
      </c>
      <c r="HB75" t="e">
        <f>AND(DATA!B708,"AAAAADvX/NE=")</f>
        <v>#VALUE!</v>
      </c>
      <c r="HC75" t="e">
        <f>AND(DATA!C708,"AAAAADvX/NI=")</f>
        <v>#VALUE!</v>
      </c>
      <c r="HD75" t="e">
        <f>AND(DATA!D708,"AAAAADvX/NM=")</f>
        <v>#VALUE!</v>
      </c>
      <c r="HE75" t="e">
        <f>AND(DATA!E708,"AAAAADvX/NQ=")</f>
        <v>#VALUE!</v>
      </c>
      <c r="HF75" t="e">
        <f>AND(DATA!F708,"AAAAADvX/NU=")</f>
        <v>#VALUE!</v>
      </c>
      <c r="HG75" t="e">
        <f>AND(DATA!G708,"AAAAADvX/NY=")</f>
        <v>#VALUE!</v>
      </c>
      <c r="HH75" t="e">
        <f>AND(DATA!H708,"AAAAADvX/Nc=")</f>
        <v>#VALUE!</v>
      </c>
      <c r="HI75" t="e">
        <f>AND(DATA!I708,"AAAAADvX/Ng=")</f>
        <v>#VALUE!</v>
      </c>
      <c r="HJ75" t="e">
        <f>AND(DATA!J708,"AAAAADvX/Nk=")</f>
        <v>#VALUE!</v>
      </c>
      <c r="HK75" t="e">
        <f>AND(DATA!K708,"AAAAADvX/No=")</f>
        <v>#VALUE!</v>
      </c>
      <c r="HL75" t="b">
        <f>AND(DATA!L708,"AAAAADvX/Ns=")</f>
        <v>1</v>
      </c>
      <c r="HM75" t="b">
        <f>AND(DATA!M708,"AAAAADvX/Nw=")</f>
        <v>1</v>
      </c>
      <c r="HN75" t="b">
        <f>AND(DATA!N708,"AAAAADvX/N0=")</f>
        <v>1</v>
      </c>
      <c r="HO75">
        <f>IF(DATA!709:709,"AAAAADvX/N4=",0)</f>
        <v>0</v>
      </c>
      <c r="HP75" t="e">
        <f>AND(DATA!A709,"AAAAADvX/N8=")</f>
        <v>#VALUE!</v>
      </c>
      <c r="HQ75" t="e">
        <f>AND(DATA!B709,"AAAAADvX/OA=")</f>
        <v>#VALUE!</v>
      </c>
      <c r="HR75" t="e">
        <f>AND(DATA!C709,"AAAAADvX/OE=")</f>
        <v>#VALUE!</v>
      </c>
      <c r="HS75" t="e">
        <f>AND(DATA!D709,"AAAAADvX/OI=")</f>
        <v>#VALUE!</v>
      </c>
      <c r="HT75" t="e">
        <f>AND(DATA!E709,"AAAAADvX/OM=")</f>
        <v>#VALUE!</v>
      </c>
      <c r="HU75" t="e">
        <f>AND(DATA!F709,"AAAAADvX/OQ=")</f>
        <v>#VALUE!</v>
      </c>
      <c r="HV75" t="e">
        <f>AND(DATA!G709,"AAAAADvX/OU=")</f>
        <v>#VALUE!</v>
      </c>
      <c r="HW75" t="e">
        <f>AND(DATA!H709,"AAAAADvX/OY=")</f>
        <v>#VALUE!</v>
      </c>
      <c r="HX75" t="e">
        <f>AND(DATA!I709,"AAAAADvX/Oc=")</f>
        <v>#VALUE!</v>
      </c>
      <c r="HY75" t="e">
        <f>AND(DATA!J709,"AAAAADvX/Og=")</f>
        <v>#VALUE!</v>
      </c>
      <c r="HZ75" t="e">
        <f>AND(DATA!K709,"AAAAADvX/Ok=")</f>
        <v>#VALUE!</v>
      </c>
      <c r="IA75" t="b">
        <f>AND(DATA!L709,"AAAAADvX/Oo=")</f>
        <v>1</v>
      </c>
      <c r="IB75" t="b">
        <f>AND(DATA!M709,"AAAAADvX/Os=")</f>
        <v>1</v>
      </c>
      <c r="IC75" t="b">
        <f>AND(DATA!N709,"AAAAADvX/Ow=")</f>
        <v>1</v>
      </c>
      <c r="ID75">
        <f>IF(DATA!710:710,"AAAAADvX/O0=",0)</f>
        <v>0</v>
      </c>
      <c r="IE75" t="e">
        <f>AND(DATA!A710,"AAAAADvX/O4=")</f>
        <v>#VALUE!</v>
      </c>
      <c r="IF75" t="e">
        <f>AND(DATA!B710,"AAAAADvX/O8=")</f>
        <v>#VALUE!</v>
      </c>
      <c r="IG75" t="e">
        <f>AND(DATA!C710,"AAAAADvX/PA=")</f>
        <v>#VALUE!</v>
      </c>
      <c r="IH75" t="e">
        <f>AND(DATA!D710,"AAAAADvX/PE=")</f>
        <v>#VALUE!</v>
      </c>
      <c r="II75" t="e">
        <f>AND(DATA!E710,"AAAAADvX/PI=")</f>
        <v>#VALUE!</v>
      </c>
      <c r="IJ75" t="e">
        <f>AND(DATA!F710,"AAAAADvX/PM=")</f>
        <v>#VALUE!</v>
      </c>
      <c r="IK75" t="e">
        <f>AND(DATA!G710,"AAAAADvX/PQ=")</f>
        <v>#VALUE!</v>
      </c>
      <c r="IL75" t="e">
        <f>AND(DATA!H710,"AAAAADvX/PU=")</f>
        <v>#VALUE!</v>
      </c>
      <c r="IM75" t="e">
        <f>AND(DATA!I710,"AAAAADvX/PY=")</f>
        <v>#VALUE!</v>
      </c>
      <c r="IN75" t="e">
        <f>AND(DATA!J710,"AAAAADvX/Pc=")</f>
        <v>#VALUE!</v>
      </c>
      <c r="IO75" t="e">
        <f>AND(DATA!K710,"AAAAADvX/Pg=")</f>
        <v>#VALUE!</v>
      </c>
      <c r="IP75" t="b">
        <f>AND(DATA!L710,"AAAAADvX/Pk=")</f>
        <v>1</v>
      </c>
      <c r="IQ75" t="b">
        <f>AND(DATA!M710,"AAAAADvX/Po=")</f>
        <v>1</v>
      </c>
      <c r="IR75" t="b">
        <f>AND(DATA!N710,"AAAAADvX/Ps=")</f>
        <v>1</v>
      </c>
      <c r="IS75">
        <f>IF(DATA!711:711,"AAAAADvX/Pw=",0)</f>
        <v>0</v>
      </c>
      <c r="IT75" t="e">
        <f>AND(DATA!A711,"AAAAADvX/P0=")</f>
        <v>#VALUE!</v>
      </c>
      <c r="IU75" t="e">
        <f>AND(DATA!B711,"AAAAADvX/P4=")</f>
        <v>#VALUE!</v>
      </c>
      <c r="IV75" t="e">
        <f>AND(DATA!C711,"AAAAADvX/P8=")</f>
        <v>#VALUE!</v>
      </c>
    </row>
    <row r="76" spans="1:256">
      <c r="A76" t="e">
        <f>AND(DATA!D711,"AAAAAH7//wA=")</f>
        <v>#VALUE!</v>
      </c>
      <c r="B76" t="e">
        <f>AND(DATA!E711,"AAAAAH7//wE=")</f>
        <v>#VALUE!</v>
      </c>
      <c r="C76" t="e">
        <f>AND(DATA!F711,"AAAAAH7//wI=")</f>
        <v>#VALUE!</v>
      </c>
      <c r="D76" t="e">
        <f>AND(DATA!G711,"AAAAAH7//wM=")</f>
        <v>#VALUE!</v>
      </c>
      <c r="E76" t="e">
        <f>AND(DATA!H711,"AAAAAH7//wQ=")</f>
        <v>#VALUE!</v>
      </c>
      <c r="F76" t="e">
        <f>AND(DATA!I711,"AAAAAH7//wU=")</f>
        <v>#VALUE!</v>
      </c>
      <c r="G76" t="e">
        <f>AND(DATA!J711,"AAAAAH7//wY=")</f>
        <v>#VALUE!</v>
      </c>
      <c r="H76" t="e">
        <f>AND(DATA!K711,"AAAAAH7//wc=")</f>
        <v>#VALUE!</v>
      </c>
      <c r="I76" t="b">
        <f>AND(DATA!L711,"AAAAAH7//wg=")</f>
        <v>1</v>
      </c>
      <c r="J76" t="b">
        <f>AND(DATA!M711,"AAAAAH7//wk=")</f>
        <v>1</v>
      </c>
      <c r="K76" t="b">
        <f>AND(DATA!N711,"AAAAAH7//wo=")</f>
        <v>1</v>
      </c>
      <c r="L76" t="str">
        <f>IF(DATA!712:712,"AAAAAH7//ws=",0)</f>
        <v>AAAAAH7//ws=</v>
      </c>
      <c r="M76" t="e">
        <f>AND(DATA!A712,"AAAAAH7//ww=")</f>
        <v>#VALUE!</v>
      </c>
      <c r="N76" t="e">
        <f>AND(DATA!B712,"AAAAAH7//w0=")</f>
        <v>#VALUE!</v>
      </c>
      <c r="O76" t="e">
        <f>AND(DATA!C712,"AAAAAH7//w4=")</f>
        <v>#VALUE!</v>
      </c>
      <c r="P76" t="e">
        <f>AND(DATA!D712,"AAAAAH7//w8=")</f>
        <v>#VALUE!</v>
      </c>
      <c r="Q76" t="e">
        <f>AND(DATA!E712,"AAAAAH7//xA=")</f>
        <v>#VALUE!</v>
      </c>
      <c r="R76" t="e">
        <f>AND(DATA!F712,"AAAAAH7//xE=")</f>
        <v>#VALUE!</v>
      </c>
      <c r="S76" t="e">
        <f>AND(DATA!G712,"AAAAAH7//xI=")</f>
        <v>#VALUE!</v>
      </c>
      <c r="T76" t="e">
        <f>AND(DATA!H712,"AAAAAH7//xM=")</f>
        <v>#VALUE!</v>
      </c>
      <c r="U76" t="e">
        <f>AND(DATA!I712,"AAAAAH7//xQ=")</f>
        <v>#VALUE!</v>
      </c>
      <c r="V76" t="e">
        <f>AND(DATA!J712,"AAAAAH7//xU=")</f>
        <v>#VALUE!</v>
      </c>
      <c r="W76" t="e">
        <f>AND(DATA!K712,"AAAAAH7//xY=")</f>
        <v>#VALUE!</v>
      </c>
      <c r="X76" t="b">
        <f>AND(DATA!L712,"AAAAAH7//xc=")</f>
        <v>1</v>
      </c>
      <c r="Y76" t="b">
        <f>AND(DATA!M712,"AAAAAH7//xg=")</f>
        <v>1</v>
      </c>
      <c r="Z76" t="b">
        <f>AND(DATA!N712,"AAAAAH7//xk=")</f>
        <v>1</v>
      </c>
      <c r="AA76">
        <f>IF(DATA!713:713,"AAAAAH7//xo=",0)</f>
        <v>0</v>
      </c>
      <c r="AB76" t="e">
        <f>AND(DATA!A713,"AAAAAH7//xs=")</f>
        <v>#VALUE!</v>
      </c>
      <c r="AC76" t="e">
        <f>AND(DATA!B713,"AAAAAH7//xw=")</f>
        <v>#VALUE!</v>
      </c>
      <c r="AD76" t="e">
        <f>AND(DATA!C713,"AAAAAH7//x0=")</f>
        <v>#VALUE!</v>
      </c>
      <c r="AE76" t="e">
        <f>AND(DATA!D713,"AAAAAH7//x4=")</f>
        <v>#VALUE!</v>
      </c>
      <c r="AF76" t="e">
        <f>AND(DATA!E713,"AAAAAH7//x8=")</f>
        <v>#VALUE!</v>
      </c>
      <c r="AG76" t="e">
        <f>AND(DATA!F713,"AAAAAH7//yA=")</f>
        <v>#VALUE!</v>
      </c>
      <c r="AH76" t="e">
        <f>AND(DATA!G713,"AAAAAH7//yE=")</f>
        <v>#VALUE!</v>
      </c>
      <c r="AI76" t="e">
        <f>AND(DATA!H713,"AAAAAH7//yI=")</f>
        <v>#VALUE!</v>
      </c>
      <c r="AJ76" t="e">
        <f>AND(DATA!I713,"AAAAAH7//yM=")</f>
        <v>#VALUE!</v>
      </c>
      <c r="AK76" t="e">
        <f>AND(DATA!J713,"AAAAAH7//yQ=")</f>
        <v>#VALUE!</v>
      </c>
      <c r="AL76" t="e">
        <f>AND(DATA!K713,"AAAAAH7//yU=")</f>
        <v>#VALUE!</v>
      </c>
      <c r="AM76" t="b">
        <f>AND(DATA!L713,"AAAAAH7//yY=")</f>
        <v>1</v>
      </c>
      <c r="AN76" t="b">
        <f>AND(DATA!M713,"AAAAAH7//yc=")</f>
        <v>1</v>
      </c>
      <c r="AO76" t="b">
        <f>AND(DATA!N713,"AAAAAH7//yg=")</f>
        <v>1</v>
      </c>
      <c r="AP76">
        <f>IF(DATA!714:714,"AAAAAH7//yk=",0)</f>
        <v>0</v>
      </c>
      <c r="AQ76" t="e">
        <f>AND(DATA!A714,"AAAAAH7//yo=")</f>
        <v>#VALUE!</v>
      </c>
      <c r="AR76" t="e">
        <f>AND(DATA!B714,"AAAAAH7//ys=")</f>
        <v>#VALUE!</v>
      </c>
      <c r="AS76" t="e">
        <f>AND(DATA!C714,"AAAAAH7//yw=")</f>
        <v>#VALUE!</v>
      </c>
      <c r="AT76" t="e">
        <f>AND(DATA!D714,"AAAAAH7//y0=")</f>
        <v>#VALUE!</v>
      </c>
      <c r="AU76" t="e">
        <f>AND(DATA!E714,"AAAAAH7//y4=")</f>
        <v>#VALUE!</v>
      </c>
      <c r="AV76" t="e">
        <f>AND(DATA!F714,"AAAAAH7//y8=")</f>
        <v>#VALUE!</v>
      </c>
      <c r="AW76" t="e">
        <f>AND(DATA!G714,"AAAAAH7//zA=")</f>
        <v>#VALUE!</v>
      </c>
      <c r="AX76" t="e">
        <f>AND(DATA!H714,"AAAAAH7//zE=")</f>
        <v>#VALUE!</v>
      </c>
      <c r="AY76" t="e">
        <f>AND(DATA!I714,"AAAAAH7//zI=")</f>
        <v>#VALUE!</v>
      </c>
      <c r="AZ76" t="e">
        <f>AND(DATA!J714,"AAAAAH7//zM=")</f>
        <v>#VALUE!</v>
      </c>
      <c r="BA76" t="e">
        <f>AND(DATA!K714,"AAAAAH7//zQ=")</f>
        <v>#VALUE!</v>
      </c>
      <c r="BB76" t="b">
        <f>AND(DATA!L714,"AAAAAH7//zU=")</f>
        <v>1</v>
      </c>
      <c r="BC76" t="b">
        <f>AND(DATA!M714,"AAAAAH7//zY=")</f>
        <v>1</v>
      </c>
      <c r="BD76" t="b">
        <f>AND(DATA!N714,"AAAAAH7//zc=")</f>
        <v>1</v>
      </c>
      <c r="BE76">
        <f>IF(DATA!715:715,"AAAAAH7//zg=",0)</f>
        <v>0</v>
      </c>
      <c r="BF76" t="e">
        <f>AND(DATA!A715,"AAAAAH7//zk=")</f>
        <v>#VALUE!</v>
      </c>
      <c r="BG76" t="e">
        <f>AND(DATA!B715,"AAAAAH7//zo=")</f>
        <v>#VALUE!</v>
      </c>
      <c r="BH76" t="e">
        <f>AND(DATA!C715,"AAAAAH7//zs=")</f>
        <v>#VALUE!</v>
      </c>
      <c r="BI76" t="e">
        <f>AND(DATA!D715,"AAAAAH7//zw=")</f>
        <v>#VALUE!</v>
      </c>
      <c r="BJ76" t="e">
        <f>AND(DATA!E715,"AAAAAH7//z0=")</f>
        <v>#VALUE!</v>
      </c>
      <c r="BK76" t="e">
        <f>AND(DATA!F715,"AAAAAH7//z4=")</f>
        <v>#VALUE!</v>
      </c>
      <c r="BL76" t="e">
        <f>AND(DATA!G715,"AAAAAH7//z8=")</f>
        <v>#VALUE!</v>
      </c>
      <c r="BM76" t="e">
        <f>AND(DATA!H715,"AAAAAH7//0A=")</f>
        <v>#VALUE!</v>
      </c>
      <c r="BN76" t="e">
        <f>AND(DATA!I715,"AAAAAH7//0E=")</f>
        <v>#VALUE!</v>
      </c>
      <c r="BO76" t="e">
        <f>AND(DATA!J715,"AAAAAH7//0I=")</f>
        <v>#VALUE!</v>
      </c>
      <c r="BP76" t="e">
        <f>AND(DATA!K715,"AAAAAH7//0M=")</f>
        <v>#VALUE!</v>
      </c>
      <c r="BQ76" t="b">
        <f>AND(DATA!L715,"AAAAAH7//0Q=")</f>
        <v>1</v>
      </c>
      <c r="BR76" t="b">
        <f>AND(DATA!M715,"AAAAAH7//0U=")</f>
        <v>1</v>
      </c>
      <c r="BS76" t="b">
        <f>AND(DATA!N715,"AAAAAH7//0Y=")</f>
        <v>1</v>
      </c>
      <c r="BT76">
        <f>IF(DATA!716:716,"AAAAAH7//0c=",0)</f>
        <v>0</v>
      </c>
      <c r="BU76" t="e">
        <f>AND(DATA!A716,"AAAAAH7//0g=")</f>
        <v>#VALUE!</v>
      </c>
      <c r="BV76" t="e">
        <f>AND(DATA!B716,"AAAAAH7//0k=")</f>
        <v>#VALUE!</v>
      </c>
      <c r="BW76" t="e">
        <f>AND(DATA!C716,"AAAAAH7//0o=")</f>
        <v>#VALUE!</v>
      </c>
      <c r="BX76" t="e">
        <f>AND(DATA!D716,"AAAAAH7//0s=")</f>
        <v>#VALUE!</v>
      </c>
      <c r="BY76" t="e">
        <f>AND(DATA!E716,"AAAAAH7//0w=")</f>
        <v>#VALUE!</v>
      </c>
      <c r="BZ76" t="e">
        <f>AND(DATA!F716,"AAAAAH7//00=")</f>
        <v>#VALUE!</v>
      </c>
      <c r="CA76" t="e">
        <f>AND(DATA!G716,"AAAAAH7//04=")</f>
        <v>#VALUE!</v>
      </c>
      <c r="CB76" t="e">
        <f>AND(DATA!H716,"AAAAAH7//08=")</f>
        <v>#VALUE!</v>
      </c>
      <c r="CC76" t="e">
        <f>AND(DATA!I716,"AAAAAH7//1A=")</f>
        <v>#VALUE!</v>
      </c>
      <c r="CD76" t="e">
        <f>AND(DATA!J716,"AAAAAH7//1E=")</f>
        <v>#VALUE!</v>
      </c>
      <c r="CE76" t="e">
        <f>AND(DATA!K716,"AAAAAH7//1I=")</f>
        <v>#VALUE!</v>
      </c>
      <c r="CF76" t="b">
        <f>AND(DATA!L716,"AAAAAH7//1M=")</f>
        <v>1</v>
      </c>
      <c r="CG76" t="b">
        <f>AND(DATA!M716,"AAAAAH7//1Q=")</f>
        <v>1</v>
      </c>
      <c r="CH76" t="b">
        <f>AND(DATA!N716,"AAAAAH7//1U=")</f>
        <v>1</v>
      </c>
      <c r="CI76">
        <f>IF(DATA!717:717,"AAAAAH7//1Y=",0)</f>
        <v>0</v>
      </c>
      <c r="CJ76" t="e">
        <f>AND(DATA!A717,"AAAAAH7//1c=")</f>
        <v>#VALUE!</v>
      </c>
      <c r="CK76" t="e">
        <f>AND(DATA!B717,"AAAAAH7//1g=")</f>
        <v>#VALUE!</v>
      </c>
      <c r="CL76" t="e">
        <f>AND(DATA!C717,"AAAAAH7//1k=")</f>
        <v>#VALUE!</v>
      </c>
      <c r="CM76" t="e">
        <f>AND(DATA!D717,"AAAAAH7//1o=")</f>
        <v>#VALUE!</v>
      </c>
      <c r="CN76" t="e">
        <f>AND(DATA!E717,"AAAAAH7//1s=")</f>
        <v>#VALUE!</v>
      </c>
      <c r="CO76" t="e">
        <f>AND(DATA!F717,"AAAAAH7//1w=")</f>
        <v>#VALUE!</v>
      </c>
      <c r="CP76" t="e">
        <f>AND(DATA!G717,"AAAAAH7//10=")</f>
        <v>#VALUE!</v>
      </c>
      <c r="CQ76" t="e">
        <f>AND(DATA!H717,"AAAAAH7//14=")</f>
        <v>#VALUE!</v>
      </c>
      <c r="CR76" t="e">
        <f>AND(DATA!I717,"AAAAAH7//18=")</f>
        <v>#VALUE!</v>
      </c>
      <c r="CS76" t="e">
        <f>AND(DATA!J717,"AAAAAH7//2A=")</f>
        <v>#VALUE!</v>
      </c>
      <c r="CT76" t="e">
        <f>AND(DATA!K717,"AAAAAH7//2E=")</f>
        <v>#VALUE!</v>
      </c>
      <c r="CU76" t="b">
        <f>AND(DATA!L717,"AAAAAH7//2I=")</f>
        <v>1</v>
      </c>
      <c r="CV76" t="b">
        <f>AND(DATA!M717,"AAAAAH7//2M=")</f>
        <v>1</v>
      </c>
      <c r="CW76" t="b">
        <f>AND(DATA!N717,"AAAAAH7//2Q=")</f>
        <v>1</v>
      </c>
      <c r="CX76">
        <f>IF(DATA!718:718,"AAAAAH7//2U=",0)</f>
        <v>0</v>
      </c>
      <c r="CY76" t="e">
        <f>AND(DATA!A718,"AAAAAH7//2Y=")</f>
        <v>#VALUE!</v>
      </c>
      <c r="CZ76" t="e">
        <f>AND(DATA!B718,"AAAAAH7//2c=")</f>
        <v>#VALUE!</v>
      </c>
      <c r="DA76" t="e">
        <f>AND(DATA!C718,"AAAAAH7//2g=")</f>
        <v>#VALUE!</v>
      </c>
      <c r="DB76" t="e">
        <f>AND(DATA!D718,"AAAAAH7//2k=")</f>
        <v>#VALUE!</v>
      </c>
      <c r="DC76" t="e">
        <f>AND(DATA!E718,"AAAAAH7//2o=")</f>
        <v>#VALUE!</v>
      </c>
      <c r="DD76" t="e">
        <f>AND(DATA!F718,"AAAAAH7//2s=")</f>
        <v>#VALUE!</v>
      </c>
      <c r="DE76" t="e">
        <f>AND(DATA!G718,"AAAAAH7//2w=")</f>
        <v>#VALUE!</v>
      </c>
      <c r="DF76" t="e">
        <f>AND(DATA!H718,"AAAAAH7//20=")</f>
        <v>#VALUE!</v>
      </c>
      <c r="DG76" t="e">
        <f>AND(DATA!I718,"AAAAAH7//24=")</f>
        <v>#VALUE!</v>
      </c>
      <c r="DH76" t="e">
        <f>AND(DATA!J718,"AAAAAH7//28=")</f>
        <v>#VALUE!</v>
      </c>
      <c r="DI76" t="e">
        <f>AND(DATA!K718,"AAAAAH7//3A=")</f>
        <v>#VALUE!</v>
      </c>
      <c r="DJ76" t="b">
        <f>AND(DATA!L718,"AAAAAH7//3E=")</f>
        <v>1</v>
      </c>
      <c r="DK76" t="b">
        <f>AND(DATA!M718,"AAAAAH7//3I=")</f>
        <v>1</v>
      </c>
      <c r="DL76" t="b">
        <f>AND(DATA!N718,"AAAAAH7//3M=")</f>
        <v>1</v>
      </c>
      <c r="DM76">
        <f>IF(DATA!719:719,"AAAAAH7//3Q=",0)</f>
        <v>0</v>
      </c>
      <c r="DN76" t="e">
        <f>AND(DATA!A719,"AAAAAH7//3U=")</f>
        <v>#VALUE!</v>
      </c>
      <c r="DO76" t="e">
        <f>AND(DATA!B719,"AAAAAH7//3Y=")</f>
        <v>#VALUE!</v>
      </c>
      <c r="DP76" t="e">
        <f>AND(DATA!C719,"AAAAAH7//3c=")</f>
        <v>#VALUE!</v>
      </c>
      <c r="DQ76" t="e">
        <f>AND(DATA!D719,"AAAAAH7//3g=")</f>
        <v>#VALUE!</v>
      </c>
      <c r="DR76" t="e">
        <f>AND(DATA!E719,"AAAAAH7//3k=")</f>
        <v>#VALUE!</v>
      </c>
      <c r="DS76" t="e">
        <f>AND(DATA!F719,"AAAAAH7//3o=")</f>
        <v>#VALUE!</v>
      </c>
      <c r="DT76" t="e">
        <f>AND(DATA!G719,"AAAAAH7//3s=")</f>
        <v>#VALUE!</v>
      </c>
      <c r="DU76" t="e">
        <f>AND(DATA!H719,"AAAAAH7//3w=")</f>
        <v>#VALUE!</v>
      </c>
      <c r="DV76" t="e">
        <f>AND(DATA!I719,"AAAAAH7//30=")</f>
        <v>#VALUE!</v>
      </c>
      <c r="DW76" t="e">
        <f>AND(DATA!J719,"AAAAAH7//34=")</f>
        <v>#VALUE!</v>
      </c>
      <c r="DX76" t="e">
        <f>AND(DATA!K719,"AAAAAH7//38=")</f>
        <v>#VALUE!</v>
      </c>
      <c r="DY76" t="b">
        <f>AND(DATA!L719,"AAAAAH7//4A=")</f>
        <v>1</v>
      </c>
      <c r="DZ76" t="b">
        <f>AND(DATA!M719,"AAAAAH7//4E=")</f>
        <v>1</v>
      </c>
      <c r="EA76" t="b">
        <f>AND(DATA!N719,"AAAAAH7//4I=")</f>
        <v>1</v>
      </c>
      <c r="EB76">
        <f>IF(DATA!720:720,"AAAAAH7//4M=",0)</f>
        <v>0</v>
      </c>
      <c r="EC76" t="e">
        <f>AND(DATA!A720,"AAAAAH7//4Q=")</f>
        <v>#VALUE!</v>
      </c>
      <c r="ED76" t="e">
        <f>AND(DATA!B720,"AAAAAH7//4U=")</f>
        <v>#VALUE!</v>
      </c>
      <c r="EE76" t="e">
        <f>AND(DATA!C720,"AAAAAH7//4Y=")</f>
        <v>#VALUE!</v>
      </c>
      <c r="EF76" t="e">
        <f>AND(DATA!D720,"AAAAAH7//4c=")</f>
        <v>#VALUE!</v>
      </c>
      <c r="EG76" t="e">
        <f>AND(DATA!E720,"AAAAAH7//4g=")</f>
        <v>#VALUE!</v>
      </c>
      <c r="EH76" t="e">
        <f>AND(DATA!F720,"AAAAAH7//4k=")</f>
        <v>#VALUE!</v>
      </c>
      <c r="EI76" t="e">
        <f>AND(DATA!G720,"AAAAAH7//4o=")</f>
        <v>#VALUE!</v>
      </c>
      <c r="EJ76" t="e">
        <f>AND(DATA!H720,"AAAAAH7//4s=")</f>
        <v>#VALUE!</v>
      </c>
      <c r="EK76" t="e">
        <f>AND(DATA!I720,"AAAAAH7//4w=")</f>
        <v>#VALUE!</v>
      </c>
      <c r="EL76" t="e">
        <f>AND(DATA!J720,"AAAAAH7//40=")</f>
        <v>#VALUE!</v>
      </c>
      <c r="EM76" t="e">
        <f>AND(DATA!K720,"AAAAAH7//44=")</f>
        <v>#VALUE!</v>
      </c>
      <c r="EN76" t="b">
        <f>AND(DATA!L720,"AAAAAH7//48=")</f>
        <v>1</v>
      </c>
      <c r="EO76" t="b">
        <f>AND(DATA!M720,"AAAAAH7//5A=")</f>
        <v>1</v>
      </c>
      <c r="EP76" t="b">
        <f>AND(DATA!N720,"AAAAAH7//5E=")</f>
        <v>1</v>
      </c>
      <c r="EQ76">
        <f>IF(DATA!721:721,"AAAAAH7//5I=",0)</f>
        <v>0</v>
      </c>
      <c r="ER76" t="e">
        <f>AND(DATA!A721,"AAAAAH7//5M=")</f>
        <v>#VALUE!</v>
      </c>
      <c r="ES76" t="e">
        <f>AND(DATA!B721,"AAAAAH7//5Q=")</f>
        <v>#VALUE!</v>
      </c>
      <c r="ET76" t="e">
        <f>AND(DATA!C721,"AAAAAH7//5U=")</f>
        <v>#VALUE!</v>
      </c>
      <c r="EU76" t="e">
        <f>AND(DATA!D721,"AAAAAH7//5Y=")</f>
        <v>#VALUE!</v>
      </c>
      <c r="EV76" t="e">
        <f>AND(DATA!E721,"AAAAAH7//5c=")</f>
        <v>#VALUE!</v>
      </c>
      <c r="EW76" t="e">
        <f>AND(DATA!F721,"AAAAAH7//5g=")</f>
        <v>#VALUE!</v>
      </c>
      <c r="EX76" t="e">
        <f>AND(DATA!G721,"AAAAAH7//5k=")</f>
        <v>#VALUE!</v>
      </c>
      <c r="EY76" t="e">
        <f>AND(DATA!H721,"AAAAAH7//5o=")</f>
        <v>#VALUE!</v>
      </c>
      <c r="EZ76" t="e">
        <f>AND(DATA!I721,"AAAAAH7//5s=")</f>
        <v>#VALUE!</v>
      </c>
      <c r="FA76" t="e">
        <f>AND(DATA!J721,"AAAAAH7//5w=")</f>
        <v>#VALUE!</v>
      </c>
      <c r="FB76" t="e">
        <f>AND(DATA!K721,"AAAAAH7//50=")</f>
        <v>#VALUE!</v>
      </c>
      <c r="FC76" t="b">
        <f>AND(DATA!L721,"AAAAAH7//54=")</f>
        <v>1</v>
      </c>
      <c r="FD76" t="b">
        <f>AND(DATA!M721,"AAAAAH7//58=")</f>
        <v>1</v>
      </c>
      <c r="FE76" t="b">
        <f>AND(DATA!N721,"AAAAAH7//6A=")</f>
        <v>1</v>
      </c>
      <c r="FF76">
        <f>IF(DATA!722:722,"AAAAAH7//6E=",0)</f>
        <v>0</v>
      </c>
      <c r="FG76" t="e">
        <f>AND(DATA!A722,"AAAAAH7//6I=")</f>
        <v>#VALUE!</v>
      </c>
      <c r="FH76" t="e">
        <f>AND(DATA!B722,"AAAAAH7//6M=")</f>
        <v>#VALUE!</v>
      </c>
      <c r="FI76" t="e">
        <f>AND(DATA!C722,"AAAAAH7//6Q=")</f>
        <v>#VALUE!</v>
      </c>
      <c r="FJ76" t="e">
        <f>AND(DATA!D722,"AAAAAH7//6U=")</f>
        <v>#VALUE!</v>
      </c>
      <c r="FK76" t="e">
        <f>AND(DATA!E722,"AAAAAH7//6Y=")</f>
        <v>#VALUE!</v>
      </c>
      <c r="FL76" t="e">
        <f>AND(DATA!F722,"AAAAAH7//6c=")</f>
        <v>#VALUE!</v>
      </c>
      <c r="FM76" t="e">
        <f>AND(DATA!G722,"AAAAAH7//6g=")</f>
        <v>#VALUE!</v>
      </c>
      <c r="FN76" t="e">
        <f>AND(DATA!H722,"AAAAAH7//6k=")</f>
        <v>#VALUE!</v>
      </c>
      <c r="FO76" t="e">
        <f>AND(DATA!I722,"AAAAAH7//6o=")</f>
        <v>#VALUE!</v>
      </c>
      <c r="FP76" t="e">
        <f>AND(DATA!J722,"AAAAAH7//6s=")</f>
        <v>#VALUE!</v>
      </c>
      <c r="FQ76" t="e">
        <f>AND(DATA!K722,"AAAAAH7//6w=")</f>
        <v>#VALUE!</v>
      </c>
      <c r="FR76" t="b">
        <f>AND(DATA!L722,"AAAAAH7//60=")</f>
        <v>1</v>
      </c>
      <c r="FS76" t="b">
        <f>AND(DATA!M722,"AAAAAH7//64=")</f>
        <v>1</v>
      </c>
      <c r="FT76" t="b">
        <f>AND(DATA!N722,"AAAAAH7//68=")</f>
        <v>1</v>
      </c>
      <c r="FU76">
        <f>IF(DATA!723:723,"AAAAAH7//7A=",0)</f>
        <v>0</v>
      </c>
      <c r="FV76" t="e">
        <f>AND(DATA!A723,"AAAAAH7//7E=")</f>
        <v>#VALUE!</v>
      </c>
      <c r="FW76" t="e">
        <f>AND(DATA!B723,"AAAAAH7//7I=")</f>
        <v>#VALUE!</v>
      </c>
      <c r="FX76" t="e">
        <f>AND(DATA!C723,"AAAAAH7//7M=")</f>
        <v>#VALUE!</v>
      </c>
      <c r="FY76" t="e">
        <f>AND(DATA!D723,"AAAAAH7//7Q=")</f>
        <v>#VALUE!</v>
      </c>
      <c r="FZ76" t="e">
        <f>AND(DATA!E723,"AAAAAH7//7U=")</f>
        <v>#VALUE!</v>
      </c>
      <c r="GA76" t="e">
        <f>AND(DATA!F723,"AAAAAH7//7Y=")</f>
        <v>#VALUE!</v>
      </c>
      <c r="GB76" t="e">
        <f>AND(DATA!G723,"AAAAAH7//7c=")</f>
        <v>#VALUE!</v>
      </c>
      <c r="GC76" t="e">
        <f>AND(DATA!H723,"AAAAAH7//7g=")</f>
        <v>#VALUE!</v>
      </c>
      <c r="GD76" t="e">
        <f>AND(DATA!I723,"AAAAAH7//7k=")</f>
        <v>#VALUE!</v>
      </c>
      <c r="GE76" t="e">
        <f>AND(DATA!J723,"AAAAAH7//7o=")</f>
        <v>#VALUE!</v>
      </c>
      <c r="GF76" t="e">
        <f>AND(DATA!K723,"AAAAAH7//7s=")</f>
        <v>#VALUE!</v>
      </c>
      <c r="GG76" t="b">
        <f>AND(DATA!L723,"AAAAAH7//7w=")</f>
        <v>1</v>
      </c>
      <c r="GH76" t="b">
        <f>AND(DATA!M723,"AAAAAH7//70=")</f>
        <v>1</v>
      </c>
      <c r="GI76" t="b">
        <f>AND(DATA!N723,"AAAAAH7//74=")</f>
        <v>1</v>
      </c>
      <c r="GJ76">
        <f>IF(DATA!724:724,"AAAAAH7//78=",0)</f>
        <v>0</v>
      </c>
      <c r="GK76" t="e">
        <f>AND(DATA!A724,"AAAAAH7//8A=")</f>
        <v>#VALUE!</v>
      </c>
      <c r="GL76" t="e">
        <f>AND(DATA!B724,"AAAAAH7//8E=")</f>
        <v>#VALUE!</v>
      </c>
      <c r="GM76" t="e">
        <f>AND(DATA!C724,"AAAAAH7//8I=")</f>
        <v>#VALUE!</v>
      </c>
      <c r="GN76" t="e">
        <f>AND(DATA!D724,"AAAAAH7//8M=")</f>
        <v>#VALUE!</v>
      </c>
      <c r="GO76" t="e">
        <f>AND(DATA!E724,"AAAAAH7//8Q=")</f>
        <v>#VALUE!</v>
      </c>
      <c r="GP76" t="e">
        <f>AND(DATA!F724,"AAAAAH7//8U=")</f>
        <v>#VALUE!</v>
      </c>
      <c r="GQ76" t="e">
        <f>AND(DATA!G724,"AAAAAH7//8Y=")</f>
        <v>#VALUE!</v>
      </c>
      <c r="GR76" t="e">
        <f>AND(DATA!H724,"AAAAAH7//8c=")</f>
        <v>#VALUE!</v>
      </c>
      <c r="GS76" t="e">
        <f>AND(DATA!I724,"AAAAAH7//8g=")</f>
        <v>#VALUE!</v>
      </c>
      <c r="GT76" t="e">
        <f>AND(DATA!J724,"AAAAAH7//8k=")</f>
        <v>#VALUE!</v>
      </c>
      <c r="GU76" t="e">
        <f>AND(DATA!K724,"AAAAAH7//8o=")</f>
        <v>#VALUE!</v>
      </c>
      <c r="GV76" t="b">
        <f>AND(DATA!L724,"AAAAAH7//8s=")</f>
        <v>1</v>
      </c>
      <c r="GW76" t="b">
        <f>AND(DATA!M724,"AAAAAH7//8w=")</f>
        <v>1</v>
      </c>
      <c r="GX76" t="b">
        <f>AND(DATA!N724,"AAAAAH7//80=")</f>
        <v>1</v>
      </c>
      <c r="GY76">
        <f>IF(DATA!725:725,"AAAAAH7//84=",0)</f>
        <v>0</v>
      </c>
      <c r="GZ76" t="e">
        <f>AND(DATA!A725,"AAAAAH7//88=")</f>
        <v>#VALUE!</v>
      </c>
      <c r="HA76" t="e">
        <f>AND(DATA!B725,"AAAAAH7//9A=")</f>
        <v>#VALUE!</v>
      </c>
      <c r="HB76" t="e">
        <f>AND(DATA!C725,"AAAAAH7//9E=")</f>
        <v>#VALUE!</v>
      </c>
      <c r="HC76" t="e">
        <f>AND(DATA!D725,"AAAAAH7//9I=")</f>
        <v>#VALUE!</v>
      </c>
      <c r="HD76" t="e">
        <f>AND(DATA!E725,"AAAAAH7//9M=")</f>
        <v>#VALUE!</v>
      </c>
      <c r="HE76" t="e">
        <f>AND(DATA!F725,"AAAAAH7//9Q=")</f>
        <v>#VALUE!</v>
      </c>
      <c r="HF76" t="e">
        <f>AND(DATA!G725,"AAAAAH7//9U=")</f>
        <v>#VALUE!</v>
      </c>
      <c r="HG76" t="e">
        <f>AND(DATA!H725,"AAAAAH7//9Y=")</f>
        <v>#VALUE!</v>
      </c>
      <c r="HH76" t="e">
        <f>AND(DATA!I725,"AAAAAH7//9c=")</f>
        <v>#VALUE!</v>
      </c>
      <c r="HI76" t="e">
        <f>AND(DATA!J725,"AAAAAH7//9g=")</f>
        <v>#VALUE!</v>
      </c>
      <c r="HJ76" t="e">
        <f>AND(DATA!K725,"AAAAAH7//9k=")</f>
        <v>#VALUE!</v>
      </c>
      <c r="HK76" t="b">
        <f>AND(DATA!L725,"AAAAAH7//9o=")</f>
        <v>1</v>
      </c>
      <c r="HL76" t="b">
        <f>AND(DATA!M725,"AAAAAH7//9s=")</f>
        <v>1</v>
      </c>
      <c r="HM76" t="b">
        <f>AND(DATA!N725,"AAAAAH7//9w=")</f>
        <v>1</v>
      </c>
      <c r="HN76">
        <f>IF(DATA!726:726,"AAAAAH7//90=",0)</f>
        <v>0</v>
      </c>
      <c r="HO76" t="e">
        <f>AND(DATA!A726,"AAAAAH7//94=")</f>
        <v>#VALUE!</v>
      </c>
      <c r="HP76" t="e">
        <f>AND(DATA!B726,"AAAAAH7//98=")</f>
        <v>#VALUE!</v>
      </c>
      <c r="HQ76" t="e">
        <f>AND(DATA!C726,"AAAAAH7//+A=")</f>
        <v>#VALUE!</v>
      </c>
      <c r="HR76" t="e">
        <f>AND(DATA!D726,"AAAAAH7//+E=")</f>
        <v>#VALUE!</v>
      </c>
      <c r="HS76" t="e">
        <f>AND(DATA!E726,"AAAAAH7//+I=")</f>
        <v>#VALUE!</v>
      </c>
      <c r="HT76" t="e">
        <f>AND(DATA!F726,"AAAAAH7//+M=")</f>
        <v>#VALUE!</v>
      </c>
      <c r="HU76" t="e">
        <f>AND(DATA!G726,"AAAAAH7//+Q=")</f>
        <v>#VALUE!</v>
      </c>
      <c r="HV76" t="e">
        <f>AND(DATA!H726,"AAAAAH7//+U=")</f>
        <v>#VALUE!</v>
      </c>
      <c r="HW76" t="e">
        <f>AND(DATA!I726,"AAAAAH7//+Y=")</f>
        <v>#VALUE!</v>
      </c>
      <c r="HX76" t="e">
        <f>AND(DATA!J726,"AAAAAH7//+c=")</f>
        <v>#VALUE!</v>
      </c>
      <c r="HY76" t="e">
        <f>AND(DATA!K726,"AAAAAH7//+g=")</f>
        <v>#VALUE!</v>
      </c>
      <c r="HZ76" t="b">
        <f>AND(DATA!L726,"AAAAAH7//+k=")</f>
        <v>1</v>
      </c>
      <c r="IA76" t="b">
        <f>AND(DATA!M726,"AAAAAH7//+o=")</f>
        <v>1</v>
      </c>
      <c r="IB76" t="b">
        <f>AND(DATA!N726,"AAAAAH7//+s=")</f>
        <v>1</v>
      </c>
      <c r="IC76">
        <f>IF(DATA!727:727,"AAAAAH7//+w=",0)</f>
        <v>0</v>
      </c>
      <c r="ID76" t="e">
        <f>AND(DATA!A727,"AAAAAH7//+0=")</f>
        <v>#VALUE!</v>
      </c>
      <c r="IE76" t="e">
        <f>AND(DATA!B727,"AAAAAH7//+4=")</f>
        <v>#VALUE!</v>
      </c>
      <c r="IF76" t="e">
        <f>AND(DATA!C727,"AAAAAH7//+8=")</f>
        <v>#VALUE!</v>
      </c>
      <c r="IG76" t="e">
        <f>AND(DATA!D727,"AAAAAH7///A=")</f>
        <v>#VALUE!</v>
      </c>
      <c r="IH76" t="e">
        <f>AND(DATA!E727,"AAAAAH7///E=")</f>
        <v>#VALUE!</v>
      </c>
      <c r="II76" t="e">
        <f>AND(DATA!F727,"AAAAAH7///I=")</f>
        <v>#VALUE!</v>
      </c>
      <c r="IJ76" t="e">
        <f>AND(DATA!G727,"AAAAAH7///M=")</f>
        <v>#VALUE!</v>
      </c>
      <c r="IK76" t="e">
        <f>AND(DATA!H727,"AAAAAH7///Q=")</f>
        <v>#VALUE!</v>
      </c>
      <c r="IL76" t="e">
        <f>AND(DATA!I727,"AAAAAH7///U=")</f>
        <v>#VALUE!</v>
      </c>
      <c r="IM76" t="e">
        <f>AND(DATA!J727,"AAAAAH7///Y=")</f>
        <v>#VALUE!</v>
      </c>
      <c r="IN76" t="e">
        <f>AND(DATA!K727,"AAAAAH7///c=")</f>
        <v>#VALUE!</v>
      </c>
      <c r="IO76" t="b">
        <f>AND(DATA!L727,"AAAAAH7///g=")</f>
        <v>1</v>
      </c>
      <c r="IP76" t="b">
        <f>AND(DATA!M727,"AAAAAH7///k=")</f>
        <v>1</v>
      </c>
      <c r="IQ76" t="b">
        <f>AND(DATA!N727,"AAAAAH7///o=")</f>
        <v>1</v>
      </c>
      <c r="IR76">
        <f>IF(DATA!728:728,"AAAAAH7///s=",0)</f>
        <v>0</v>
      </c>
      <c r="IS76" t="e">
        <f>AND(DATA!A728,"AAAAAH7///w=")</f>
        <v>#VALUE!</v>
      </c>
      <c r="IT76" t="e">
        <f>AND(DATA!B728,"AAAAAH7///0=")</f>
        <v>#VALUE!</v>
      </c>
      <c r="IU76" t="e">
        <f>AND(DATA!C728,"AAAAAH7///4=")</f>
        <v>#VALUE!</v>
      </c>
      <c r="IV76" t="e">
        <f>AND(DATA!D728,"AAAAAH7///8=")</f>
        <v>#VALUE!</v>
      </c>
    </row>
    <row r="77" spans="1:256">
      <c r="A77" t="e">
        <f>AND(DATA!E728,"AAAAAF/z+wA=")</f>
        <v>#VALUE!</v>
      </c>
      <c r="B77" t="e">
        <f>AND(DATA!F728,"AAAAAF/z+wE=")</f>
        <v>#VALUE!</v>
      </c>
      <c r="C77" t="e">
        <f>AND(DATA!G728,"AAAAAF/z+wI=")</f>
        <v>#VALUE!</v>
      </c>
      <c r="D77" t="e">
        <f>AND(DATA!H728,"AAAAAF/z+wM=")</f>
        <v>#VALUE!</v>
      </c>
      <c r="E77" t="e">
        <f>AND(DATA!I728,"AAAAAF/z+wQ=")</f>
        <v>#VALUE!</v>
      </c>
      <c r="F77" t="e">
        <f>AND(DATA!J728,"AAAAAF/z+wU=")</f>
        <v>#VALUE!</v>
      </c>
      <c r="G77" t="e">
        <f>AND(DATA!K728,"AAAAAF/z+wY=")</f>
        <v>#VALUE!</v>
      </c>
      <c r="H77" t="b">
        <f>AND(DATA!L728,"AAAAAF/z+wc=")</f>
        <v>1</v>
      </c>
      <c r="I77" t="b">
        <f>AND(DATA!M728,"AAAAAF/z+wg=")</f>
        <v>1</v>
      </c>
      <c r="J77" t="b">
        <f>AND(DATA!N728,"AAAAAF/z+wk=")</f>
        <v>1</v>
      </c>
      <c r="K77">
        <f>IF(DATA!729:729,"AAAAAF/z+wo=",0)</f>
        <v>0</v>
      </c>
      <c r="L77" t="e">
        <f>AND(DATA!A729,"AAAAAF/z+ws=")</f>
        <v>#VALUE!</v>
      </c>
      <c r="M77" t="e">
        <f>AND(DATA!B729,"AAAAAF/z+ww=")</f>
        <v>#VALUE!</v>
      </c>
      <c r="N77" t="e">
        <f>AND(DATA!C729,"AAAAAF/z+w0=")</f>
        <v>#VALUE!</v>
      </c>
      <c r="O77" t="e">
        <f>AND(DATA!D729,"AAAAAF/z+w4=")</f>
        <v>#VALUE!</v>
      </c>
      <c r="P77" t="e">
        <f>AND(DATA!E729,"AAAAAF/z+w8=")</f>
        <v>#VALUE!</v>
      </c>
      <c r="Q77" t="e">
        <f>AND(DATA!F729,"AAAAAF/z+xA=")</f>
        <v>#VALUE!</v>
      </c>
      <c r="R77" t="e">
        <f>AND(DATA!G729,"AAAAAF/z+xE=")</f>
        <v>#VALUE!</v>
      </c>
      <c r="S77" t="e">
        <f>AND(DATA!H729,"AAAAAF/z+xI=")</f>
        <v>#VALUE!</v>
      </c>
      <c r="T77" t="e">
        <f>AND(DATA!I729,"AAAAAF/z+xM=")</f>
        <v>#VALUE!</v>
      </c>
      <c r="U77" t="e">
        <f>AND(DATA!J729,"AAAAAF/z+xQ=")</f>
        <v>#VALUE!</v>
      </c>
      <c r="V77" t="e">
        <f>AND(DATA!K729,"AAAAAF/z+xU=")</f>
        <v>#VALUE!</v>
      </c>
      <c r="W77" t="b">
        <f>AND(DATA!L729,"AAAAAF/z+xY=")</f>
        <v>1</v>
      </c>
      <c r="X77" t="b">
        <f>AND(DATA!M729,"AAAAAF/z+xc=")</f>
        <v>1</v>
      </c>
      <c r="Y77" t="b">
        <f>AND(DATA!N729,"AAAAAF/z+xg=")</f>
        <v>1</v>
      </c>
      <c r="Z77">
        <f>IF(DATA!730:730,"AAAAAF/z+xk=",0)</f>
        <v>0</v>
      </c>
      <c r="AA77" t="e">
        <f>AND(DATA!A730,"AAAAAF/z+xo=")</f>
        <v>#VALUE!</v>
      </c>
      <c r="AB77" t="e">
        <f>AND(DATA!B730,"AAAAAF/z+xs=")</f>
        <v>#VALUE!</v>
      </c>
      <c r="AC77" t="e">
        <f>AND(DATA!C730,"AAAAAF/z+xw=")</f>
        <v>#VALUE!</v>
      </c>
      <c r="AD77" t="e">
        <f>AND(DATA!D730,"AAAAAF/z+x0=")</f>
        <v>#VALUE!</v>
      </c>
      <c r="AE77" t="e">
        <f>AND(DATA!E730,"AAAAAF/z+x4=")</f>
        <v>#VALUE!</v>
      </c>
      <c r="AF77" t="e">
        <f>AND(DATA!F730,"AAAAAF/z+x8=")</f>
        <v>#VALUE!</v>
      </c>
      <c r="AG77" t="e">
        <f>AND(DATA!G730,"AAAAAF/z+yA=")</f>
        <v>#VALUE!</v>
      </c>
      <c r="AH77" t="e">
        <f>AND(DATA!H730,"AAAAAF/z+yE=")</f>
        <v>#VALUE!</v>
      </c>
      <c r="AI77" t="e">
        <f>AND(DATA!I730,"AAAAAF/z+yI=")</f>
        <v>#VALUE!</v>
      </c>
      <c r="AJ77" t="e">
        <f>AND(DATA!J730,"AAAAAF/z+yM=")</f>
        <v>#VALUE!</v>
      </c>
      <c r="AK77" t="e">
        <f>AND(DATA!K730,"AAAAAF/z+yQ=")</f>
        <v>#VALUE!</v>
      </c>
      <c r="AL77" t="b">
        <f>AND(DATA!L730,"AAAAAF/z+yU=")</f>
        <v>1</v>
      </c>
      <c r="AM77" t="b">
        <f>AND(DATA!M730,"AAAAAF/z+yY=")</f>
        <v>1</v>
      </c>
      <c r="AN77" t="b">
        <f>AND(DATA!N730,"AAAAAF/z+yc=")</f>
        <v>1</v>
      </c>
      <c r="AO77">
        <f>IF(DATA!731:731,"AAAAAF/z+yg=",0)</f>
        <v>0</v>
      </c>
      <c r="AP77" t="e">
        <f>AND(DATA!A731,"AAAAAF/z+yk=")</f>
        <v>#VALUE!</v>
      </c>
      <c r="AQ77" t="e">
        <f>AND(DATA!B731,"AAAAAF/z+yo=")</f>
        <v>#VALUE!</v>
      </c>
      <c r="AR77" t="e">
        <f>AND(DATA!C731,"AAAAAF/z+ys=")</f>
        <v>#VALUE!</v>
      </c>
      <c r="AS77" t="e">
        <f>AND(DATA!D731,"AAAAAF/z+yw=")</f>
        <v>#VALUE!</v>
      </c>
      <c r="AT77" t="e">
        <f>AND(DATA!E731,"AAAAAF/z+y0=")</f>
        <v>#VALUE!</v>
      </c>
      <c r="AU77" t="e">
        <f>AND(DATA!F731,"AAAAAF/z+y4=")</f>
        <v>#VALUE!</v>
      </c>
      <c r="AV77" t="e">
        <f>AND(DATA!G731,"AAAAAF/z+y8=")</f>
        <v>#VALUE!</v>
      </c>
      <c r="AW77" t="e">
        <f>AND(DATA!H731,"AAAAAF/z+zA=")</f>
        <v>#VALUE!</v>
      </c>
      <c r="AX77" t="e">
        <f>AND(DATA!I731,"AAAAAF/z+zE=")</f>
        <v>#VALUE!</v>
      </c>
      <c r="AY77" t="e">
        <f>AND(DATA!J731,"AAAAAF/z+zI=")</f>
        <v>#VALUE!</v>
      </c>
      <c r="AZ77" t="e">
        <f>AND(DATA!K731,"AAAAAF/z+zM=")</f>
        <v>#VALUE!</v>
      </c>
      <c r="BA77" t="b">
        <f>AND(DATA!L731,"AAAAAF/z+zQ=")</f>
        <v>1</v>
      </c>
      <c r="BB77" t="b">
        <f>AND(DATA!M731,"AAAAAF/z+zU=")</f>
        <v>1</v>
      </c>
      <c r="BC77" t="b">
        <f>AND(DATA!N731,"AAAAAF/z+zY=")</f>
        <v>1</v>
      </c>
      <c r="BD77">
        <f>IF(DATA!732:732,"AAAAAF/z+zc=",0)</f>
        <v>0</v>
      </c>
      <c r="BE77" t="e">
        <f>AND(DATA!A732,"AAAAAF/z+zg=")</f>
        <v>#VALUE!</v>
      </c>
      <c r="BF77" t="e">
        <f>AND(DATA!B732,"AAAAAF/z+zk=")</f>
        <v>#VALUE!</v>
      </c>
      <c r="BG77" t="e">
        <f>AND(DATA!C732,"AAAAAF/z+zo=")</f>
        <v>#VALUE!</v>
      </c>
      <c r="BH77" t="e">
        <f>AND(DATA!D732,"AAAAAF/z+zs=")</f>
        <v>#VALUE!</v>
      </c>
      <c r="BI77" t="e">
        <f>AND(DATA!E732,"AAAAAF/z+zw=")</f>
        <v>#VALUE!</v>
      </c>
      <c r="BJ77" t="e">
        <f>AND(DATA!F732,"AAAAAF/z+z0=")</f>
        <v>#VALUE!</v>
      </c>
      <c r="BK77" t="e">
        <f>AND(DATA!G732,"AAAAAF/z+z4=")</f>
        <v>#VALUE!</v>
      </c>
      <c r="BL77" t="e">
        <f>AND(DATA!H732,"AAAAAF/z+z8=")</f>
        <v>#VALUE!</v>
      </c>
      <c r="BM77" t="e">
        <f>AND(DATA!I732,"AAAAAF/z+0A=")</f>
        <v>#VALUE!</v>
      </c>
      <c r="BN77" t="e">
        <f>AND(DATA!J732,"AAAAAF/z+0E=")</f>
        <v>#VALUE!</v>
      </c>
      <c r="BO77" t="e">
        <f>AND(DATA!K732,"AAAAAF/z+0I=")</f>
        <v>#VALUE!</v>
      </c>
      <c r="BP77" t="b">
        <f>AND(DATA!L732,"AAAAAF/z+0M=")</f>
        <v>1</v>
      </c>
      <c r="BQ77" t="b">
        <f>AND(DATA!M732,"AAAAAF/z+0Q=")</f>
        <v>1</v>
      </c>
      <c r="BR77" t="b">
        <f>AND(DATA!N732,"AAAAAF/z+0U=")</f>
        <v>1</v>
      </c>
      <c r="BS77">
        <f>IF(DATA!733:733,"AAAAAF/z+0Y=",0)</f>
        <v>0</v>
      </c>
      <c r="BT77" t="e">
        <f>AND(DATA!A733,"AAAAAF/z+0c=")</f>
        <v>#VALUE!</v>
      </c>
      <c r="BU77" t="e">
        <f>AND(DATA!B733,"AAAAAF/z+0g=")</f>
        <v>#VALUE!</v>
      </c>
      <c r="BV77" t="e">
        <f>AND(DATA!C733,"AAAAAF/z+0k=")</f>
        <v>#VALUE!</v>
      </c>
      <c r="BW77" t="e">
        <f>AND(DATA!D733,"AAAAAF/z+0o=")</f>
        <v>#VALUE!</v>
      </c>
      <c r="BX77" t="e">
        <f>AND(DATA!E733,"AAAAAF/z+0s=")</f>
        <v>#VALUE!</v>
      </c>
      <c r="BY77" t="e">
        <f>AND(DATA!F733,"AAAAAF/z+0w=")</f>
        <v>#VALUE!</v>
      </c>
      <c r="BZ77" t="e">
        <f>AND(DATA!G733,"AAAAAF/z+00=")</f>
        <v>#VALUE!</v>
      </c>
      <c r="CA77" t="e">
        <f>AND(DATA!H733,"AAAAAF/z+04=")</f>
        <v>#VALUE!</v>
      </c>
      <c r="CB77" t="e">
        <f>AND(DATA!I733,"AAAAAF/z+08=")</f>
        <v>#VALUE!</v>
      </c>
      <c r="CC77" t="e">
        <f>AND(DATA!J733,"AAAAAF/z+1A=")</f>
        <v>#VALUE!</v>
      </c>
      <c r="CD77" t="e">
        <f>AND(DATA!K733,"AAAAAF/z+1E=")</f>
        <v>#VALUE!</v>
      </c>
      <c r="CE77" t="b">
        <f>AND(DATA!L733,"AAAAAF/z+1I=")</f>
        <v>1</v>
      </c>
      <c r="CF77" t="b">
        <f>AND(DATA!M733,"AAAAAF/z+1M=")</f>
        <v>1</v>
      </c>
      <c r="CG77" t="b">
        <f>AND(DATA!N733,"AAAAAF/z+1Q=")</f>
        <v>1</v>
      </c>
      <c r="CH77">
        <f>IF(DATA!734:734,"AAAAAF/z+1U=",0)</f>
        <v>0</v>
      </c>
      <c r="CI77" t="e">
        <f>AND(DATA!A734,"AAAAAF/z+1Y=")</f>
        <v>#VALUE!</v>
      </c>
      <c r="CJ77" t="e">
        <f>AND(DATA!B734,"AAAAAF/z+1c=")</f>
        <v>#VALUE!</v>
      </c>
      <c r="CK77" t="e">
        <f>AND(DATA!C734,"AAAAAF/z+1g=")</f>
        <v>#VALUE!</v>
      </c>
      <c r="CL77" t="e">
        <f>AND(DATA!D734,"AAAAAF/z+1k=")</f>
        <v>#VALUE!</v>
      </c>
      <c r="CM77" t="e">
        <f>AND(DATA!E734,"AAAAAF/z+1o=")</f>
        <v>#VALUE!</v>
      </c>
      <c r="CN77" t="e">
        <f>AND(DATA!F734,"AAAAAF/z+1s=")</f>
        <v>#VALUE!</v>
      </c>
      <c r="CO77" t="e">
        <f>AND(DATA!G734,"AAAAAF/z+1w=")</f>
        <v>#VALUE!</v>
      </c>
      <c r="CP77" t="e">
        <f>AND(DATA!H734,"AAAAAF/z+10=")</f>
        <v>#VALUE!</v>
      </c>
      <c r="CQ77" t="e">
        <f>AND(DATA!I734,"AAAAAF/z+14=")</f>
        <v>#VALUE!</v>
      </c>
      <c r="CR77" t="e">
        <f>AND(DATA!J734,"AAAAAF/z+18=")</f>
        <v>#VALUE!</v>
      </c>
      <c r="CS77" t="e">
        <f>AND(DATA!K734,"AAAAAF/z+2A=")</f>
        <v>#VALUE!</v>
      </c>
      <c r="CT77" t="b">
        <f>AND(DATA!L734,"AAAAAF/z+2E=")</f>
        <v>1</v>
      </c>
      <c r="CU77" t="b">
        <f>AND(DATA!M734,"AAAAAF/z+2I=")</f>
        <v>1</v>
      </c>
      <c r="CV77" t="b">
        <f>AND(DATA!N734,"AAAAAF/z+2M=")</f>
        <v>1</v>
      </c>
      <c r="CW77">
        <f>IF(DATA!735:735,"AAAAAF/z+2Q=",0)</f>
        <v>0</v>
      </c>
      <c r="CX77" t="e">
        <f>AND(DATA!A735,"AAAAAF/z+2U=")</f>
        <v>#VALUE!</v>
      </c>
      <c r="CY77" t="e">
        <f>AND(DATA!B735,"AAAAAF/z+2Y=")</f>
        <v>#VALUE!</v>
      </c>
      <c r="CZ77" t="e">
        <f>AND(DATA!C735,"AAAAAF/z+2c=")</f>
        <v>#VALUE!</v>
      </c>
      <c r="DA77" t="e">
        <f>AND(DATA!D735,"AAAAAF/z+2g=")</f>
        <v>#VALUE!</v>
      </c>
      <c r="DB77" t="e">
        <f>AND(DATA!E735,"AAAAAF/z+2k=")</f>
        <v>#VALUE!</v>
      </c>
      <c r="DC77" t="e">
        <f>AND(DATA!F735,"AAAAAF/z+2o=")</f>
        <v>#VALUE!</v>
      </c>
      <c r="DD77" t="e">
        <f>AND(DATA!G735,"AAAAAF/z+2s=")</f>
        <v>#VALUE!</v>
      </c>
      <c r="DE77" t="e">
        <f>AND(DATA!H735,"AAAAAF/z+2w=")</f>
        <v>#VALUE!</v>
      </c>
      <c r="DF77" t="e">
        <f>AND(DATA!I735,"AAAAAF/z+20=")</f>
        <v>#VALUE!</v>
      </c>
      <c r="DG77" t="e">
        <f>AND(DATA!J735,"AAAAAF/z+24=")</f>
        <v>#VALUE!</v>
      </c>
      <c r="DH77" t="e">
        <f>AND(DATA!K735,"AAAAAF/z+28=")</f>
        <v>#VALUE!</v>
      </c>
      <c r="DI77" t="b">
        <f>AND(DATA!L735,"AAAAAF/z+3A=")</f>
        <v>1</v>
      </c>
      <c r="DJ77" t="b">
        <f>AND(DATA!M735,"AAAAAF/z+3E=")</f>
        <v>1</v>
      </c>
      <c r="DK77" t="b">
        <f>AND(DATA!N735,"AAAAAF/z+3I=")</f>
        <v>1</v>
      </c>
      <c r="DL77">
        <f>IF(DATA!736:736,"AAAAAF/z+3M=",0)</f>
        <v>0</v>
      </c>
      <c r="DM77" t="e">
        <f>AND(DATA!A736,"AAAAAF/z+3Q=")</f>
        <v>#VALUE!</v>
      </c>
      <c r="DN77" t="e">
        <f>AND(DATA!B736,"AAAAAF/z+3U=")</f>
        <v>#VALUE!</v>
      </c>
      <c r="DO77" t="e">
        <f>AND(DATA!C736,"AAAAAF/z+3Y=")</f>
        <v>#VALUE!</v>
      </c>
      <c r="DP77" t="e">
        <f>AND(DATA!D736,"AAAAAF/z+3c=")</f>
        <v>#VALUE!</v>
      </c>
      <c r="DQ77" t="e">
        <f>AND(DATA!E736,"AAAAAF/z+3g=")</f>
        <v>#VALUE!</v>
      </c>
      <c r="DR77" t="e">
        <f>AND(DATA!F736,"AAAAAF/z+3k=")</f>
        <v>#VALUE!</v>
      </c>
      <c r="DS77" t="e">
        <f>AND(DATA!G736,"AAAAAF/z+3o=")</f>
        <v>#VALUE!</v>
      </c>
      <c r="DT77" t="e">
        <f>AND(DATA!H736,"AAAAAF/z+3s=")</f>
        <v>#VALUE!</v>
      </c>
      <c r="DU77" t="e">
        <f>AND(DATA!I736,"AAAAAF/z+3w=")</f>
        <v>#VALUE!</v>
      </c>
      <c r="DV77" t="e">
        <f>AND(DATA!J736,"AAAAAF/z+30=")</f>
        <v>#VALUE!</v>
      </c>
      <c r="DW77" t="e">
        <f>AND(DATA!K736,"AAAAAF/z+34=")</f>
        <v>#VALUE!</v>
      </c>
      <c r="DX77" t="b">
        <f>AND(DATA!L736,"AAAAAF/z+38=")</f>
        <v>1</v>
      </c>
      <c r="DY77" t="b">
        <f>AND(DATA!M736,"AAAAAF/z+4A=")</f>
        <v>1</v>
      </c>
      <c r="DZ77" t="b">
        <f>AND(DATA!N736,"AAAAAF/z+4E=")</f>
        <v>1</v>
      </c>
      <c r="EA77">
        <f>IF(DATA!737:737,"AAAAAF/z+4I=",0)</f>
        <v>0</v>
      </c>
      <c r="EB77" t="e">
        <f>AND(DATA!A737,"AAAAAF/z+4M=")</f>
        <v>#VALUE!</v>
      </c>
      <c r="EC77" t="e">
        <f>AND(DATA!B737,"AAAAAF/z+4Q=")</f>
        <v>#VALUE!</v>
      </c>
      <c r="ED77" t="e">
        <f>AND(DATA!C737,"AAAAAF/z+4U=")</f>
        <v>#VALUE!</v>
      </c>
      <c r="EE77" t="e">
        <f>AND(DATA!D737,"AAAAAF/z+4Y=")</f>
        <v>#VALUE!</v>
      </c>
      <c r="EF77" t="e">
        <f>AND(DATA!E737,"AAAAAF/z+4c=")</f>
        <v>#VALUE!</v>
      </c>
      <c r="EG77" t="e">
        <f>AND(DATA!F737,"AAAAAF/z+4g=")</f>
        <v>#VALUE!</v>
      </c>
      <c r="EH77" t="e">
        <f>AND(DATA!G737,"AAAAAF/z+4k=")</f>
        <v>#VALUE!</v>
      </c>
      <c r="EI77" t="e">
        <f>AND(DATA!H737,"AAAAAF/z+4o=")</f>
        <v>#VALUE!</v>
      </c>
      <c r="EJ77" t="e">
        <f>AND(DATA!I737,"AAAAAF/z+4s=")</f>
        <v>#VALUE!</v>
      </c>
      <c r="EK77" t="e">
        <f>AND(DATA!J737,"AAAAAF/z+4w=")</f>
        <v>#VALUE!</v>
      </c>
      <c r="EL77" t="e">
        <f>AND(DATA!K737,"AAAAAF/z+40=")</f>
        <v>#VALUE!</v>
      </c>
      <c r="EM77" t="b">
        <f>AND(DATA!L737,"AAAAAF/z+44=")</f>
        <v>1</v>
      </c>
      <c r="EN77" t="b">
        <f>AND(DATA!M737,"AAAAAF/z+48=")</f>
        <v>1</v>
      </c>
      <c r="EO77" t="b">
        <f>AND(DATA!N737,"AAAAAF/z+5A=")</f>
        <v>1</v>
      </c>
      <c r="EP77">
        <f>IF(DATA!738:738,"AAAAAF/z+5E=",0)</f>
        <v>0</v>
      </c>
      <c r="EQ77" t="e">
        <f>AND(DATA!A738,"AAAAAF/z+5I=")</f>
        <v>#VALUE!</v>
      </c>
      <c r="ER77" t="e">
        <f>AND(DATA!B738,"AAAAAF/z+5M=")</f>
        <v>#VALUE!</v>
      </c>
      <c r="ES77" t="e">
        <f>AND(DATA!C738,"AAAAAF/z+5Q=")</f>
        <v>#VALUE!</v>
      </c>
      <c r="ET77" t="e">
        <f>AND(DATA!D738,"AAAAAF/z+5U=")</f>
        <v>#VALUE!</v>
      </c>
      <c r="EU77" t="e">
        <f>AND(DATA!E738,"AAAAAF/z+5Y=")</f>
        <v>#VALUE!</v>
      </c>
      <c r="EV77" t="e">
        <f>AND(DATA!F738,"AAAAAF/z+5c=")</f>
        <v>#VALUE!</v>
      </c>
      <c r="EW77" t="e">
        <f>AND(DATA!G738,"AAAAAF/z+5g=")</f>
        <v>#VALUE!</v>
      </c>
      <c r="EX77" t="e">
        <f>AND(DATA!H738,"AAAAAF/z+5k=")</f>
        <v>#VALUE!</v>
      </c>
      <c r="EY77" t="e">
        <f>AND(DATA!I738,"AAAAAF/z+5o=")</f>
        <v>#VALUE!</v>
      </c>
      <c r="EZ77" t="e">
        <f>AND(DATA!J738,"AAAAAF/z+5s=")</f>
        <v>#VALUE!</v>
      </c>
      <c r="FA77" t="e">
        <f>AND(DATA!K738,"AAAAAF/z+5w=")</f>
        <v>#VALUE!</v>
      </c>
      <c r="FB77" t="b">
        <f>AND(DATA!L738,"AAAAAF/z+50=")</f>
        <v>1</v>
      </c>
      <c r="FC77" t="b">
        <f>AND(DATA!M738,"AAAAAF/z+54=")</f>
        <v>1</v>
      </c>
      <c r="FD77" t="b">
        <f>AND(DATA!N738,"AAAAAF/z+58=")</f>
        <v>1</v>
      </c>
      <c r="FE77">
        <f>IF(DATA!739:739,"AAAAAF/z+6A=",0)</f>
        <v>0</v>
      </c>
      <c r="FF77" t="e">
        <f>AND(DATA!A739,"AAAAAF/z+6E=")</f>
        <v>#VALUE!</v>
      </c>
      <c r="FG77" t="e">
        <f>AND(DATA!B739,"AAAAAF/z+6I=")</f>
        <v>#VALUE!</v>
      </c>
      <c r="FH77" t="e">
        <f>AND(DATA!C739,"AAAAAF/z+6M=")</f>
        <v>#VALUE!</v>
      </c>
      <c r="FI77" t="e">
        <f>AND(DATA!D739,"AAAAAF/z+6Q=")</f>
        <v>#VALUE!</v>
      </c>
      <c r="FJ77" t="e">
        <f>AND(DATA!E739,"AAAAAF/z+6U=")</f>
        <v>#VALUE!</v>
      </c>
      <c r="FK77" t="e">
        <f>AND(DATA!F739,"AAAAAF/z+6Y=")</f>
        <v>#VALUE!</v>
      </c>
      <c r="FL77" t="e">
        <f>AND(DATA!G739,"AAAAAF/z+6c=")</f>
        <v>#VALUE!</v>
      </c>
      <c r="FM77" t="e">
        <f>AND(DATA!H739,"AAAAAF/z+6g=")</f>
        <v>#VALUE!</v>
      </c>
      <c r="FN77" t="e">
        <f>AND(DATA!I739,"AAAAAF/z+6k=")</f>
        <v>#VALUE!</v>
      </c>
      <c r="FO77" t="e">
        <f>AND(DATA!J739,"AAAAAF/z+6o=")</f>
        <v>#VALUE!</v>
      </c>
      <c r="FP77" t="e">
        <f>AND(DATA!K739,"AAAAAF/z+6s=")</f>
        <v>#VALUE!</v>
      </c>
      <c r="FQ77" t="b">
        <f>AND(DATA!L739,"AAAAAF/z+6w=")</f>
        <v>1</v>
      </c>
      <c r="FR77" t="b">
        <f>AND(DATA!M739,"AAAAAF/z+60=")</f>
        <v>1</v>
      </c>
      <c r="FS77" t="b">
        <f>AND(DATA!N739,"AAAAAF/z+64=")</f>
        <v>1</v>
      </c>
      <c r="FT77">
        <f>IF(DATA!740:740,"AAAAAF/z+68=",0)</f>
        <v>0</v>
      </c>
      <c r="FU77" t="e">
        <f>AND(DATA!A740,"AAAAAF/z+7A=")</f>
        <v>#VALUE!</v>
      </c>
      <c r="FV77" t="e">
        <f>AND(DATA!B740,"AAAAAF/z+7E=")</f>
        <v>#VALUE!</v>
      </c>
      <c r="FW77" t="e">
        <f>AND(DATA!C740,"AAAAAF/z+7I=")</f>
        <v>#VALUE!</v>
      </c>
      <c r="FX77" t="e">
        <f>AND(DATA!D740,"AAAAAF/z+7M=")</f>
        <v>#VALUE!</v>
      </c>
      <c r="FY77" t="e">
        <f>AND(DATA!E740,"AAAAAF/z+7Q=")</f>
        <v>#VALUE!</v>
      </c>
      <c r="FZ77" t="e">
        <f>AND(DATA!F740,"AAAAAF/z+7U=")</f>
        <v>#VALUE!</v>
      </c>
      <c r="GA77" t="e">
        <f>AND(DATA!G740,"AAAAAF/z+7Y=")</f>
        <v>#VALUE!</v>
      </c>
      <c r="GB77" t="e">
        <f>AND(DATA!H740,"AAAAAF/z+7c=")</f>
        <v>#VALUE!</v>
      </c>
      <c r="GC77" t="e">
        <f>AND(DATA!I740,"AAAAAF/z+7g=")</f>
        <v>#VALUE!</v>
      </c>
      <c r="GD77" t="e">
        <f>AND(DATA!J740,"AAAAAF/z+7k=")</f>
        <v>#VALUE!</v>
      </c>
      <c r="GE77" t="e">
        <f>AND(DATA!K740,"AAAAAF/z+7o=")</f>
        <v>#VALUE!</v>
      </c>
      <c r="GF77" t="b">
        <f>AND(DATA!L740,"AAAAAF/z+7s=")</f>
        <v>1</v>
      </c>
      <c r="GG77" t="b">
        <f>AND(DATA!M740,"AAAAAF/z+7w=")</f>
        <v>1</v>
      </c>
      <c r="GH77" t="b">
        <f>AND(DATA!N740,"AAAAAF/z+70=")</f>
        <v>1</v>
      </c>
      <c r="GI77">
        <f>IF(DATA!741:741,"AAAAAF/z+74=",0)</f>
        <v>0</v>
      </c>
      <c r="GJ77" t="e">
        <f>AND(DATA!A741,"AAAAAF/z+78=")</f>
        <v>#VALUE!</v>
      </c>
      <c r="GK77" t="e">
        <f>AND(DATA!B741,"AAAAAF/z+8A=")</f>
        <v>#VALUE!</v>
      </c>
      <c r="GL77" t="e">
        <f>AND(DATA!C741,"AAAAAF/z+8E=")</f>
        <v>#VALUE!</v>
      </c>
      <c r="GM77" t="e">
        <f>AND(DATA!D741,"AAAAAF/z+8I=")</f>
        <v>#VALUE!</v>
      </c>
      <c r="GN77" t="e">
        <f>AND(DATA!E741,"AAAAAF/z+8M=")</f>
        <v>#VALUE!</v>
      </c>
      <c r="GO77" t="e">
        <f>AND(DATA!F741,"AAAAAF/z+8Q=")</f>
        <v>#VALUE!</v>
      </c>
      <c r="GP77" t="e">
        <f>AND(DATA!G741,"AAAAAF/z+8U=")</f>
        <v>#VALUE!</v>
      </c>
      <c r="GQ77" t="e">
        <f>AND(DATA!H741,"AAAAAF/z+8Y=")</f>
        <v>#VALUE!</v>
      </c>
      <c r="GR77" t="e">
        <f>AND(DATA!I741,"AAAAAF/z+8c=")</f>
        <v>#VALUE!</v>
      </c>
      <c r="GS77" t="e">
        <f>AND(DATA!J741,"AAAAAF/z+8g=")</f>
        <v>#VALUE!</v>
      </c>
      <c r="GT77" t="e">
        <f>AND(DATA!K741,"AAAAAF/z+8k=")</f>
        <v>#VALUE!</v>
      </c>
      <c r="GU77" t="b">
        <f>AND(DATA!L741,"AAAAAF/z+8o=")</f>
        <v>1</v>
      </c>
      <c r="GV77" t="b">
        <f>AND(DATA!M741,"AAAAAF/z+8s=")</f>
        <v>1</v>
      </c>
      <c r="GW77" t="b">
        <f>AND(DATA!N741,"AAAAAF/z+8w=")</f>
        <v>1</v>
      </c>
      <c r="GX77">
        <f>IF(DATA!742:742,"AAAAAF/z+80=",0)</f>
        <v>0</v>
      </c>
      <c r="GY77" t="e">
        <f>AND(DATA!A742,"AAAAAF/z+84=")</f>
        <v>#VALUE!</v>
      </c>
      <c r="GZ77" t="e">
        <f>AND(DATA!B742,"AAAAAF/z+88=")</f>
        <v>#VALUE!</v>
      </c>
      <c r="HA77" t="e">
        <f>AND(DATA!C742,"AAAAAF/z+9A=")</f>
        <v>#VALUE!</v>
      </c>
      <c r="HB77" t="e">
        <f>AND(DATA!D742,"AAAAAF/z+9E=")</f>
        <v>#VALUE!</v>
      </c>
      <c r="HC77" t="e">
        <f>AND(DATA!E742,"AAAAAF/z+9I=")</f>
        <v>#VALUE!</v>
      </c>
      <c r="HD77" t="e">
        <f>AND(DATA!F742,"AAAAAF/z+9M=")</f>
        <v>#VALUE!</v>
      </c>
      <c r="HE77" t="e">
        <f>AND(DATA!G742,"AAAAAF/z+9Q=")</f>
        <v>#VALUE!</v>
      </c>
      <c r="HF77" t="e">
        <f>AND(DATA!H742,"AAAAAF/z+9U=")</f>
        <v>#VALUE!</v>
      </c>
      <c r="HG77" t="e">
        <f>AND(DATA!I742,"AAAAAF/z+9Y=")</f>
        <v>#VALUE!</v>
      </c>
      <c r="HH77" t="e">
        <f>AND(DATA!J742,"AAAAAF/z+9c=")</f>
        <v>#VALUE!</v>
      </c>
      <c r="HI77" t="e">
        <f>AND(DATA!K742,"AAAAAF/z+9g=")</f>
        <v>#VALUE!</v>
      </c>
      <c r="HJ77" t="b">
        <f>AND(DATA!L742,"AAAAAF/z+9k=")</f>
        <v>1</v>
      </c>
      <c r="HK77" t="b">
        <f>AND(DATA!M742,"AAAAAF/z+9o=")</f>
        <v>1</v>
      </c>
      <c r="HL77" t="b">
        <f>AND(DATA!N742,"AAAAAF/z+9s=")</f>
        <v>1</v>
      </c>
      <c r="HM77">
        <f>IF(DATA!743:743,"AAAAAF/z+9w=",0)</f>
        <v>0</v>
      </c>
      <c r="HN77" t="e">
        <f>AND(DATA!A743,"AAAAAF/z+90=")</f>
        <v>#VALUE!</v>
      </c>
      <c r="HO77" t="e">
        <f>AND(DATA!B743,"AAAAAF/z+94=")</f>
        <v>#VALUE!</v>
      </c>
      <c r="HP77" t="e">
        <f>AND(DATA!C743,"AAAAAF/z+98=")</f>
        <v>#VALUE!</v>
      </c>
      <c r="HQ77" t="e">
        <f>AND(DATA!D743,"AAAAAF/z++A=")</f>
        <v>#VALUE!</v>
      </c>
      <c r="HR77" t="e">
        <f>AND(DATA!E743,"AAAAAF/z++E=")</f>
        <v>#VALUE!</v>
      </c>
      <c r="HS77" t="e">
        <f>AND(DATA!F743,"AAAAAF/z++I=")</f>
        <v>#VALUE!</v>
      </c>
      <c r="HT77" t="e">
        <f>AND(DATA!G743,"AAAAAF/z++M=")</f>
        <v>#VALUE!</v>
      </c>
      <c r="HU77" t="e">
        <f>AND(DATA!H743,"AAAAAF/z++Q=")</f>
        <v>#VALUE!</v>
      </c>
      <c r="HV77" t="e">
        <f>AND(DATA!I743,"AAAAAF/z++U=")</f>
        <v>#VALUE!</v>
      </c>
      <c r="HW77" t="e">
        <f>AND(DATA!J743,"AAAAAF/z++Y=")</f>
        <v>#VALUE!</v>
      </c>
      <c r="HX77" t="e">
        <f>AND(DATA!K743,"AAAAAF/z++c=")</f>
        <v>#VALUE!</v>
      </c>
      <c r="HY77" t="b">
        <f>AND(DATA!L743,"AAAAAF/z++g=")</f>
        <v>1</v>
      </c>
      <c r="HZ77" t="b">
        <f>AND(DATA!M743,"AAAAAF/z++k=")</f>
        <v>1</v>
      </c>
      <c r="IA77" t="b">
        <f>AND(DATA!N743,"AAAAAF/z++o=")</f>
        <v>1</v>
      </c>
      <c r="IB77">
        <f>IF(DATA!744:744,"AAAAAF/z++s=",0)</f>
        <v>0</v>
      </c>
      <c r="IC77" t="e">
        <f>AND(DATA!A744,"AAAAAF/z++w=")</f>
        <v>#VALUE!</v>
      </c>
      <c r="ID77" t="e">
        <f>AND(DATA!B744,"AAAAAF/z++0=")</f>
        <v>#VALUE!</v>
      </c>
      <c r="IE77" t="e">
        <f>AND(DATA!C744,"AAAAAF/z++4=")</f>
        <v>#VALUE!</v>
      </c>
      <c r="IF77" t="e">
        <f>AND(DATA!D744,"AAAAAF/z++8=")</f>
        <v>#VALUE!</v>
      </c>
      <c r="IG77" t="e">
        <f>AND(DATA!E744,"AAAAAF/z+/A=")</f>
        <v>#VALUE!</v>
      </c>
      <c r="IH77" t="e">
        <f>AND(DATA!F744,"AAAAAF/z+/E=")</f>
        <v>#VALUE!</v>
      </c>
      <c r="II77" t="e">
        <f>AND(DATA!G744,"AAAAAF/z+/I=")</f>
        <v>#VALUE!</v>
      </c>
      <c r="IJ77" t="e">
        <f>AND(DATA!H744,"AAAAAF/z+/M=")</f>
        <v>#VALUE!</v>
      </c>
      <c r="IK77" t="e">
        <f>AND(DATA!I744,"AAAAAF/z+/Q=")</f>
        <v>#VALUE!</v>
      </c>
      <c r="IL77" t="e">
        <f>AND(DATA!J744,"AAAAAF/z+/U=")</f>
        <v>#VALUE!</v>
      </c>
      <c r="IM77" t="e">
        <f>AND(DATA!K744,"AAAAAF/z+/Y=")</f>
        <v>#VALUE!</v>
      </c>
      <c r="IN77" t="b">
        <f>AND(DATA!L744,"AAAAAF/z+/c=")</f>
        <v>1</v>
      </c>
      <c r="IO77" t="b">
        <f>AND(DATA!M744,"AAAAAF/z+/g=")</f>
        <v>1</v>
      </c>
      <c r="IP77" t="b">
        <f>AND(DATA!N744,"AAAAAF/z+/k=")</f>
        <v>1</v>
      </c>
      <c r="IQ77">
        <f>IF(DATA!745:745,"AAAAAF/z+/o=",0)</f>
        <v>0</v>
      </c>
      <c r="IR77" t="e">
        <f>AND(DATA!A745,"AAAAAF/z+/s=")</f>
        <v>#VALUE!</v>
      </c>
      <c r="IS77" t="e">
        <f>AND(DATA!B745,"AAAAAF/z+/w=")</f>
        <v>#VALUE!</v>
      </c>
      <c r="IT77" t="e">
        <f>AND(DATA!C745,"AAAAAF/z+/0=")</f>
        <v>#VALUE!</v>
      </c>
      <c r="IU77" t="e">
        <f>AND(DATA!D745,"AAAAAF/z+/4=")</f>
        <v>#VALUE!</v>
      </c>
      <c r="IV77" t="e">
        <f>AND(DATA!E745,"AAAAAF/z+/8=")</f>
        <v>#VALUE!</v>
      </c>
    </row>
    <row r="78" spans="1:256">
      <c r="A78" t="e">
        <f>AND(DATA!F745,"AAAAAD7f/gA=")</f>
        <v>#VALUE!</v>
      </c>
      <c r="B78" t="e">
        <f>AND(DATA!G745,"AAAAAD7f/gE=")</f>
        <v>#VALUE!</v>
      </c>
      <c r="C78" t="e">
        <f>AND(DATA!H745,"AAAAAD7f/gI=")</f>
        <v>#VALUE!</v>
      </c>
      <c r="D78" t="e">
        <f>AND(DATA!I745,"AAAAAD7f/gM=")</f>
        <v>#VALUE!</v>
      </c>
      <c r="E78" t="e">
        <f>AND(DATA!J745,"AAAAAD7f/gQ=")</f>
        <v>#VALUE!</v>
      </c>
      <c r="F78" t="e">
        <f>AND(DATA!K745,"AAAAAD7f/gU=")</f>
        <v>#VALUE!</v>
      </c>
      <c r="G78" t="b">
        <f>AND(DATA!L745,"AAAAAD7f/gY=")</f>
        <v>1</v>
      </c>
      <c r="H78" t="b">
        <f>AND(DATA!M745,"AAAAAD7f/gc=")</f>
        <v>1</v>
      </c>
      <c r="I78" t="b">
        <f>AND(DATA!N745,"AAAAAD7f/gg=")</f>
        <v>1</v>
      </c>
      <c r="J78">
        <f>IF(DATA!746:746,"AAAAAD7f/gk=",0)</f>
        <v>0</v>
      </c>
      <c r="K78" t="e">
        <f>AND(DATA!A746,"AAAAAD7f/go=")</f>
        <v>#VALUE!</v>
      </c>
      <c r="L78" t="e">
        <f>AND(DATA!B746,"AAAAAD7f/gs=")</f>
        <v>#VALUE!</v>
      </c>
      <c r="M78" t="e">
        <f>AND(DATA!C746,"AAAAAD7f/gw=")</f>
        <v>#VALUE!</v>
      </c>
      <c r="N78" t="e">
        <f>AND(DATA!D746,"AAAAAD7f/g0=")</f>
        <v>#VALUE!</v>
      </c>
      <c r="O78" t="e">
        <f>AND(DATA!E746,"AAAAAD7f/g4=")</f>
        <v>#VALUE!</v>
      </c>
      <c r="P78" t="e">
        <f>AND(DATA!F746,"AAAAAD7f/g8=")</f>
        <v>#VALUE!</v>
      </c>
      <c r="Q78" t="e">
        <f>AND(DATA!G746,"AAAAAD7f/hA=")</f>
        <v>#VALUE!</v>
      </c>
      <c r="R78" t="e">
        <f>AND(DATA!H746,"AAAAAD7f/hE=")</f>
        <v>#VALUE!</v>
      </c>
      <c r="S78" t="e">
        <f>AND(DATA!I746,"AAAAAD7f/hI=")</f>
        <v>#VALUE!</v>
      </c>
      <c r="T78" t="e">
        <f>AND(DATA!J746,"AAAAAD7f/hM=")</f>
        <v>#VALUE!</v>
      </c>
      <c r="U78" t="e">
        <f>AND(DATA!K746,"AAAAAD7f/hQ=")</f>
        <v>#VALUE!</v>
      </c>
      <c r="V78" t="b">
        <f>AND(DATA!L746,"AAAAAD7f/hU=")</f>
        <v>1</v>
      </c>
      <c r="W78" t="b">
        <f>AND(DATA!M746,"AAAAAD7f/hY=")</f>
        <v>1</v>
      </c>
      <c r="X78" t="b">
        <f>AND(DATA!N746,"AAAAAD7f/hc=")</f>
        <v>1</v>
      </c>
      <c r="Y78">
        <f>IF(DATA!747:747,"AAAAAD7f/hg=",0)</f>
        <v>0</v>
      </c>
      <c r="Z78" t="e">
        <f>AND(DATA!A747,"AAAAAD7f/hk=")</f>
        <v>#VALUE!</v>
      </c>
      <c r="AA78" t="e">
        <f>AND(DATA!B747,"AAAAAD7f/ho=")</f>
        <v>#VALUE!</v>
      </c>
      <c r="AB78" t="e">
        <f>AND(DATA!C747,"AAAAAD7f/hs=")</f>
        <v>#VALUE!</v>
      </c>
      <c r="AC78" t="e">
        <f>AND(DATA!D747,"AAAAAD7f/hw=")</f>
        <v>#VALUE!</v>
      </c>
      <c r="AD78" t="e">
        <f>AND(DATA!E747,"AAAAAD7f/h0=")</f>
        <v>#VALUE!</v>
      </c>
      <c r="AE78" t="e">
        <f>AND(DATA!F747,"AAAAAD7f/h4=")</f>
        <v>#VALUE!</v>
      </c>
      <c r="AF78" t="e">
        <f>AND(DATA!G747,"AAAAAD7f/h8=")</f>
        <v>#VALUE!</v>
      </c>
      <c r="AG78" t="e">
        <f>AND(DATA!H747,"AAAAAD7f/iA=")</f>
        <v>#VALUE!</v>
      </c>
      <c r="AH78" t="e">
        <f>AND(DATA!I747,"AAAAAD7f/iE=")</f>
        <v>#VALUE!</v>
      </c>
      <c r="AI78" t="e">
        <f>AND(DATA!J747,"AAAAAD7f/iI=")</f>
        <v>#VALUE!</v>
      </c>
      <c r="AJ78" t="e">
        <f>AND(DATA!K747,"AAAAAD7f/iM=")</f>
        <v>#VALUE!</v>
      </c>
      <c r="AK78" t="b">
        <f>AND(DATA!L747,"AAAAAD7f/iQ=")</f>
        <v>1</v>
      </c>
      <c r="AL78" t="b">
        <f>AND(DATA!M747,"AAAAAD7f/iU=")</f>
        <v>1</v>
      </c>
      <c r="AM78" t="b">
        <f>AND(DATA!N747,"AAAAAD7f/iY=")</f>
        <v>1</v>
      </c>
      <c r="AN78">
        <f>IF(DATA!748:748,"AAAAAD7f/ic=",0)</f>
        <v>0</v>
      </c>
      <c r="AO78" t="e">
        <f>AND(DATA!A748,"AAAAAD7f/ig=")</f>
        <v>#VALUE!</v>
      </c>
      <c r="AP78" t="e">
        <f>AND(DATA!B748,"AAAAAD7f/ik=")</f>
        <v>#VALUE!</v>
      </c>
      <c r="AQ78" t="e">
        <f>AND(DATA!C748,"AAAAAD7f/io=")</f>
        <v>#VALUE!</v>
      </c>
      <c r="AR78" t="e">
        <f>AND(DATA!D748,"AAAAAD7f/is=")</f>
        <v>#VALUE!</v>
      </c>
      <c r="AS78" t="e">
        <f>AND(DATA!E748,"AAAAAD7f/iw=")</f>
        <v>#VALUE!</v>
      </c>
      <c r="AT78" t="e">
        <f>AND(DATA!F748,"AAAAAD7f/i0=")</f>
        <v>#VALUE!</v>
      </c>
      <c r="AU78" t="e">
        <f>AND(DATA!G748,"AAAAAD7f/i4=")</f>
        <v>#VALUE!</v>
      </c>
      <c r="AV78" t="e">
        <f>AND(DATA!H748,"AAAAAD7f/i8=")</f>
        <v>#VALUE!</v>
      </c>
      <c r="AW78" t="e">
        <f>AND(DATA!I748,"AAAAAD7f/jA=")</f>
        <v>#VALUE!</v>
      </c>
      <c r="AX78" t="e">
        <f>AND(DATA!J748,"AAAAAD7f/jE=")</f>
        <v>#VALUE!</v>
      </c>
      <c r="AY78" t="e">
        <f>AND(DATA!K748,"AAAAAD7f/jI=")</f>
        <v>#VALUE!</v>
      </c>
      <c r="AZ78" t="b">
        <f>AND(DATA!L748,"AAAAAD7f/jM=")</f>
        <v>1</v>
      </c>
      <c r="BA78" t="b">
        <f>AND(DATA!M748,"AAAAAD7f/jQ=")</f>
        <v>1</v>
      </c>
      <c r="BB78" t="b">
        <f>AND(DATA!N748,"AAAAAD7f/jU=")</f>
        <v>1</v>
      </c>
      <c r="BC78">
        <f>IF(DATA!749:749,"AAAAAD7f/jY=",0)</f>
        <v>0</v>
      </c>
      <c r="BD78" t="e">
        <f>AND(DATA!A749,"AAAAAD7f/jc=")</f>
        <v>#VALUE!</v>
      </c>
      <c r="BE78" t="e">
        <f>AND(DATA!B749,"AAAAAD7f/jg=")</f>
        <v>#VALUE!</v>
      </c>
      <c r="BF78" t="e">
        <f>AND(DATA!C749,"AAAAAD7f/jk=")</f>
        <v>#VALUE!</v>
      </c>
      <c r="BG78" t="e">
        <f>AND(DATA!D749,"AAAAAD7f/jo=")</f>
        <v>#VALUE!</v>
      </c>
      <c r="BH78" t="e">
        <f>AND(DATA!E749,"AAAAAD7f/js=")</f>
        <v>#VALUE!</v>
      </c>
      <c r="BI78" t="e">
        <f>AND(DATA!F749,"AAAAAD7f/jw=")</f>
        <v>#VALUE!</v>
      </c>
      <c r="BJ78" t="e">
        <f>AND(DATA!G749,"AAAAAD7f/j0=")</f>
        <v>#VALUE!</v>
      </c>
      <c r="BK78" t="e">
        <f>AND(DATA!H749,"AAAAAD7f/j4=")</f>
        <v>#VALUE!</v>
      </c>
      <c r="BL78" t="e">
        <f>AND(DATA!I749,"AAAAAD7f/j8=")</f>
        <v>#VALUE!</v>
      </c>
      <c r="BM78" t="e">
        <f>AND(DATA!J749,"AAAAAD7f/kA=")</f>
        <v>#VALUE!</v>
      </c>
      <c r="BN78" t="e">
        <f>AND(DATA!K749,"AAAAAD7f/kE=")</f>
        <v>#VALUE!</v>
      </c>
      <c r="BO78" t="b">
        <f>AND(DATA!L749,"AAAAAD7f/kI=")</f>
        <v>1</v>
      </c>
      <c r="BP78" t="b">
        <f>AND(DATA!M749,"AAAAAD7f/kM=")</f>
        <v>1</v>
      </c>
      <c r="BQ78" t="b">
        <f>AND(DATA!N749,"AAAAAD7f/kQ=")</f>
        <v>1</v>
      </c>
      <c r="BR78">
        <f>IF(DATA!750:750,"AAAAAD7f/kU=",0)</f>
        <v>0</v>
      </c>
      <c r="BS78" t="e">
        <f>AND(DATA!A750,"AAAAAD7f/kY=")</f>
        <v>#VALUE!</v>
      </c>
      <c r="BT78" t="e">
        <f>AND(DATA!B750,"AAAAAD7f/kc=")</f>
        <v>#VALUE!</v>
      </c>
      <c r="BU78" t="e">
        <f>AND(DATA!C750,"AAAAAD7f/kg=")</f>
        <v>#VALUE!</v>
      </c>
      <c r="BV78" t="e">
        <f>AND(DATA!D750,"AAAAAD7f/kk=")</f>
        <v>#VALUE!</v>
      </c>
      <c r="BW78" t="e">
        <f>AND(DATA!E750,"AAAAAD7f/ko=")</f>
        <v>#VALUE!</v>
      </c>
      <c r="BX78" t="e">
        <f>AND(DATA!F750,"AAAAAD7f/ks=")</f>
        <v>#VALUE!</v>
      </c>
      <c r="BY78" t="e">
        <f>AND(DATA!G750,"AAAAAD7f/kw=")</f>
        <v>#VALUE!</v>
      </c>
      <c r="BZ78" t="e">
        <f>AND(DATA!H750,"AAAAAD7f/k0=")</f>
        <v>#VALUE!</v>
      </c>
      <c r="CA78" t="e">
        <f>AND(DATA!I750,"AAAAAD7f/k4=")</f>
        <v>#VALUE!</v>
      </c>
      <c r="CB78" t="e">
        <f>AND(DATA!J750,"AAAAAD7f/k8=")</f>
        <v>#VALUE!</v>
      </c>
      <c r="CC78" t="e">
        <f>AND(DATA!K750,"AAAAAD7f/lA=")</f>
        <v>#VALUE!</v>
      </c>
      <c r="CD78" t="b">
        <f>AND(DATA!L750,"AAAAAD7f/lE=")</f>
        <v>1</v>
      </c>
      <c r="CE78" t="b">
        <f>AND(DATA!M750,"AAAAAD7f/lI=")</f>
        <v>1</v>
      </c>
      <c r="CF78" t="b">
        <f>AND(DATA!N750,"AAAAAD7f/lM=")</f>
        <v>1</v>
      </c>
      <c r="CG78">
        <f>IF(DATA!751:751,"AAAAAD7f/lQ=",0)</f>
        <v>0</v>
      </c>
      <c r="CH78" t="e">
        <f>AND(DATA!A751,"AAAAAD7f/lU=")</f>
        <v>#VALUE!</v>
      </c>
      <c r="CI78" t="e">
        <f>AND(DATA!B751,"AAAAAD7f/lY=")</f>
        <v>#VALUE!</v>
      </c>
      <c r="CJ78" t="e">
        <f>AND(DATA!C751,"AAAAAD7f/lc=")</f>
        <v>#VALUE!</v>
      </c>
      <c r="CK78" t="e">
        <f>AND(DATA!D751,"AAAAAD7f/lg=")</f>
        <v>#VALUE!</v>
      </c>
      <c r="CL78" t="e">
        <f>AND(DATA!E751,"AAAAAD7f/lk=")</f>
        <v>#VALUE!</v>
      </c>
      <c r="CM78" t="e">
        <f>AND(DATA!F751,"AAAAAD7f/lo=")</f>
        <v>#VALUE!</v>
      </c>
      <c r="CN78" t="e">
        <f>AND(DATA!G751,"AAAAAD7f/ls=")</f>
        <v>#VALUE!</v>
      </c>
      <c r="CO78" t="e">
        <f>AND(DATA!H751,"AAAAAD7f/lw=")</f>
        <v>#VALUE!</v>
      </c>
      <c r="CP78" t="e">
        <f>AND(DATA!I751,"AAAAAD7f/l0=")</f>
        <v>#VALUE!</v>
      </c>
      <c r="CQ78" t="e">
        <f>AND(DATA!J751,"AAAAAD7f/l4=")</f>
        <v>#VALUE!</v>
      </c>
      <c r="CR78" t="e">
        <f>AND(DATA!K751,"AAAAAD7f/l8=")</f>
        <v>#VALUE!</v>
      </c>
      <c r="CS78" t="b">
        <f>AND(DATA!L751,"AAAAAD7f/mA=")</f>
        <v>1</v>
      </c>
      <c r="CT78" t="b">
        <f>AND(DATA!M751,"AAAAAD7f/mE=")</f>
        <v>1</v>
      </c>
      <c r="CU78" t="b">
        <f>AND(DATA!N751,"AAAAAD7f/mI=")</f>
        <v>1</v>
      </c>
      <c r="CV78">
        <f>IF(DATA!752:752,"AAAAAD7f/mM=",0)</f>
        <v>0</v>
      </c>
      <c r="CW78" t="e">
        <f>AND(DATA!A752,"AAAAAD7f/mQ=")</f>
        <v>#VALUE!</v>
      </c>
      <c r="CX78" t="e">
        <f>AND(DATA!B752,"AAAAAD7f/mU=")</f>
        <v>#VALUE!</v>
      </c>
      <c r="CY78" t="e">
        <f>AND(DATA!C752,"AAAAAD7f/mY=")</f>
        <v>#VALUE!</v>
      </c>
      <c r="CZ78" t="e">
        <f>AND(DATA!D752,"AAAAAD7f/mc=")</f>
        <v>#VALUE!</v>
      </c>
      <c r="DA78" t="e">
        <f>AND(DATA!E752,"AAAAAD7f/mg=")</f>
        <v>#VALUE!</v>
      </c>
      <c r="DB78" t="e">
        <f>AND(DATA!F752,"AAAAAD7f/mk=")</f>
        <v>#VALUE!</v>
      </c>
      <c r="DC78" t="e">
        <f>AND(DATA!G752,"AAAAAD7f/mo=")</f>
        <v>#VALUE!</v>
      </c>
      <c r="DD78" t="e">
        <f>AND(DATA!H752,"AAAAAD7f/ms=")</f>
        <v>#VALUE!</v>
      </c>
      <c r="DE78" t="e">
        <f>AND(DATA!I752,"AAAAAD7f/mw=")</f>
        <v>#VALUE!</v>
      </c>
      <c r="DF78" t="e">
        <f>AND(DATA!J752,"AAAAAD7f/m0=")</f>
        <v>#VALUE!</v>
      </c>
      <c r="DG78" t="e">
        <f>AND(DATA!K752,"AAAAAD7f/m4=")</f>
        <v>#VALUE!</v>
      </c>
      <c r="DH78" t="b">
        <f>AND(DATA!L752,"AAAAAD7f/m8=")</f>
        <v>1</v>
      </c>
      <c r="DI78" t="b">
        <f>AND(DATA!M752,"AAAAAD7f/nA=")</f>
        <v>1</v>
      </c>
      <c r="DJ78" t="b">
        <f>AND(DATA!N752,"AAAAAD7f/nE=")</f>
        <v>1</v>
      </c>
      <c r="DK78">
        <f>IF(DATA!753:753,"AAAAAD7f/nI=",0)</f>
        <v>0</v>
      </c>
      <c r="DL78" t="e">
        <f>AND(DATA!A753,"AAAAAD7f/nM=")</f>
        <v>#VALUE!</v>
      </c>
      <c r="DM78" t="e">
        <f>AND(DATA!B753,"AAAAAD7f/nQ=")</f>
        <v>#VALUE!</v>
      </c>
      <c r="DN78" t="e">
        <f>AND(DATA!C753,"AAAAAD7f/nU=")</f>
        <v>#VALUE!</v>
      </c>
      <c r="DO78" t="e">
        <f>AND(DATA!D753,"AAAAAD7f/nY=")</f>
        <v>#VALUE!</v>
      </c>
      <c r="DP78" t="e">
        <f>AND(DATA!E753,"AAAAAD7f/nc=")</f>
        <v>#VALUE!</v>
      </c>
      <c r="DQ78" t="e">
        <f>AND(DATA!F753,"AAAAAD7f/ng=")</f>
        <v>#VALUE!</v>
      </c>
      <c r="DR78" t="e">
        <f>AND(DATA!G753,"AAAAAD7f/nk=")</f>
        <v>#VALUE!</v>
      </c>
      <c r="DS78" t="e">
        <f>AND(DATA!H753,"AAAAAD7f/no=")</f>
        <v>#VALUE!</v>
      </c>
      <c r="DT78" t="e">
        <f>AND(DATA!I753,"AAAAAD7f/ns=")</f>
        <v>#VALUE!</v>
      </c>
      <c r="DU78" t="e">
        <f>AND(DATA!J753,"AAAAAD7f/nw=")</f>
        <v>#VALUE!</v>
      </c>
      <c r="DV78" t="e">
        <f>AND(DATA!K753,"AAAAAD7f/n0=")</f>
        <v>#VALUE!</v>
      </c>
      <c r="DW78" t="b">
        <f>AND(DATA!L753,"AAAAAD7f/n4=")</f>
        <v>1</v>
      </c>
      <c r="DX78" t="b">
        <f>AND(DATA!M753,"AAAAAD7f/n8=")</f>
        <v>1</v>
      </c>
      <c r="DY78" t="b">
        <f>AND(DATA!N753,"AAAAAD7f/oA=")</f>
        <v>1</v>
      </c>
      <c r="DZ78">
        <f>IF(DATA!754:754,"AAAAAD7f/oE=",0)</f>
        <v>0</v>
      </c>
      <c r="EA78" t="e">
        <f>AND(DATA!A754,"AAAAAD7f/oI=")</f>
        <v>#VALUE!</v>
      </c>
      <c r="EB78" t="e">
        <f>AND(DATA!B754,"AAAAAD7f/oM=")</f>
        <v>#VALUE!</v>
      </c>
      <c r="EC78" t="e">
        <f>AND(DATA!C754,"AAAAAD7f/oQ=")</f>
        <v>#VALUE!</v>
      </c>
      <c r="ED78" t="e">
        <f>AND(DATA!D754,"AAAAAD7f/oU=")</f>
        <v>#VALUE!</v>
      </c>
      <c r="EE78" t="e">
        <f>AND(DATA!E754,"AAAAAD7f/oY=")</f>
        <v>#VALUE!</v>
      </c>
      <c r="EF78" t="e">
        <f>AND(DATA!F754,"AAAAAD7f/oc=")</f>
        <v>#VALUE!</v>
      </c>
      <c r="EG78" t="e">
        <f>AND(DATA!G754,"AAAAAD7f/og=")</f>
        <v>#VALUE!</v>
      </c>
      <c r="EH78" t="e">
        <f>AND(DATA!H754,"AAAAAD7f/ok=")</f>
        <v>#VALUE!</v>
      </c>
      <c r="EI78" t="e">
        <f>AND(DATA!I754,"AAAAAD7f/oo=")</f>
        <v>#VALUE!</v>
      </c>
      <c r="EJ78" t="e">
        <f>AND(DATA!J754,"AAAAAD7f/os=")</f>
        <v>#VALUE!</v>
      </c>
      <c r="EK78" t="e">
        <f>AND(DATA!K754,"AAAAAD7f/ow=")</f>
        <v>#VALUE!</v>
      </c>
      <c r="EL78" t="b">
        <f>AND(DATA!L754,"AAAAAD7f/o0=")</f>
        <v>1</v>
      </c>
      <c r="EM78" t="e">
        <f>AND(DATA!M754,"AAAAAD7f/o4=")</f>
        <v>#VALUE!</v>
      </c>
      <c r="EN78" t="b">
        <f>AND(DATA!N754,"AAAAAD7f/o8=")</f>
        <v>1</v>
      </c>
      <c r="EO78">
        <f>IF(DATA!755:755,"AAAAAD7f/pA=",0)</f>
        <v>0</v>
      </c>
      <c r="EP78" t="e">
        <f>AND(DATA!A755,"AAAAAD7f/pE=")</f>
        <v>#VALUE!</v>
      </c>
      <c r="EQ78" t="e">
        <f>AND(DATA!B755,"AAAAAD7f/pI=")</f>
        <v>#VALUE!</v>
      </c>
      <c r="ER78" t="e">
        <f>AND(DATA!C755,"AAAAAD7f/pM=")</f>
        <v>#VALUE!</v>
      </c>
      <c r="ES78" t="e">
        <f>AND(DATA!D755,"AAAAAD7f/pQ=")</f>
        <v>#VALUE!</v>
      </c>
      <c r="ET78" t="e">
        <f>AND(DATA!E755,"AAAAAD7f/pU=")</f>
        <v>#VALUE!</v>
      </c>
      <c r="EU78" t="e">
        <f>AND(DATA!F755,"AAAAAD7f/pY=")</f>
        <v>#VALUE!</v>
      </c>
      <c r="EV78" t="e">
        <f>AND(DATA!G755,"AAAAAD7f/pc=")</f>
        <v>#VALUE!</v>
      </c>
      <c r="EW78" t="e">
        <f>AND(DATA!H755,"AAAAAD7f/pg=")</f>
        <v>#VALUE!</v>
      </c>
      <c r="EX78" t="e">
        <f>AND(DATA!I755,"AAAAAD7f/pk=")</f>
        <v>#VALUE!</v>
      </c>
      <c r="EY78" t="e">
        <f>AND(DATA!J755,"AAAAAD7f/po=")</f>
        <v>#VALUE!</v>
      </c>
      <c r="EZ78" t="e">
        <f>AND(DATA!K755,"AAAAAD7f/ps=")</f>
        <v>#VALUE!</v>
      </c>
      <c r="FA78" t="b">
        <f>AND(DATA!L755,"AAAAAD7f/pw=")</f>
        <v>1</v>
      </c>
      <c r="FB78" t="b">
        <f>AND(DATA!M755,"AAAAAD7f/p0=")</f>
        <v>1</v>
      </c>
      <c r="FC78" t="b">
        <f>AND(DATA!N755,"AAAAAD7f/p4=")</f>
        <v>1</v>
      </c>
      <c r="FD78">
        <f>IF(DATA!756:756,"AAAAAD7f/p8=",0)</f>
        <v>0</v>
      </c>
      <c r="FE78" t="e">
        <f>AND(DATA!A756,"AAAAAD7f/qA=")</f>
        <v>#VALUE!</v>
      </c>
      <c r="FF78" t="e">
        <f>AND(DATA!B756,"AAAAAD7f/qE=")</f>
        <v>#VALUE!</v>
      </c>
      <c r="FG78" t="e">
        <f>AND(DATA!C756,"AAAAAD7f/qI=")</f>
        <v>#VALUE!</v>
      </c>
      <c r="FH78" t="e">
        <f>AND(DATA!D756,"AAAAAD7f/qM=")</f>
        <v>#VALUE!</v>
      </c>
      <c r="FI78" t="e">
        <f>AND(DATA!E756,"AAAAAD7f/qQ=")</f>
        <v>#VALUE!</v>
      </c>
      <c r="FJ78" t="e">
        <f>AND(DATA!F756,"AAAAAD7f/qU=")</f>
        <v>#VALUE!</v>
      </c>
      <c r="FK78" t="e">
        <f>AND(DATA!G756,"AAAAAD7f/qY=")</f>
        <v>#VALUE!</v>
      </c>
      <c r="FL78" t="e">
        <f>AND(DATA!H756,"AAAAAD7f/qc=")</f>
        <v>#VALUE!</v>
      </c>
      <c r="FM78" t="e">
        <f>AND(DATA!I756,"AAAAAD7f/qg=")</f>
        <v>#VALUE!</v>
      </c>
      <c r="FN78" t="e">
        <f>AND(DATA!J756,"AAAAAD7f/qk=")</f>
        <v>#VALUE!</v>
      </c>
      <c r="FO78" t="e">
        <f>AND(DATA!K756,"AAAAAD7f/qo=")</f>
        <v>#VALUE!</v>
      </c>
      <c r="FP78" t="b">
        <f>AND(DATA!L756,"AAAAAD7f/qs=")</f>
        <v>1</v>
      </c>
      <c r="FQ78" t="b">
        <f>AND(DATA!M756,"AAAAAD7f/qw=")</f>
        <v>1</v>
      </c>
      <c r="FR78" t="b">
        <f>AND(DATA!N756,"AAAAAD7f/q0=")</f>
        <v>1</v>
      </c>
      <c r="FS78">
        <f>IF(DATA!757:757,"AAAAAD7f/q4=",0)</f>
        <v>0</v>
      </c>
      <c r="FT78" t="e">
        <f>AND(DATA!A757,"AAAAAD7f/q8=")</f>
        <v>#VALUE!</v>
      </c>
      <c r="FU78" t="e">
        <f>AND(DATA!B757,"AAAAAD7f/rA=")</f>
        <v>#VALUE!</v>
      </c>
      <c r="FV78" t="e">
        <f>AND(DATA!C757,"AAAAAD7f/rE=")</f>
        <v>#VALUE!</v>
      </c>
      <c r="FW78" t="e">
        <f>AND(DATA!D757,"AAAAAD7f/rI=")</f>
        <v>#VALUE!</v>
      </c>
      <c r="FX78" t="e">
        <f>AND(DATA!E757,"AAAAAD7f/rM=")</f>
        <v>#VALUE!</v>
      </c>
      <c r="FY78" t="e">
        <f>AND(DATA!F757,"AAAAAD7f/rQ=")</f>
        <v>#VALUE!</v>
      </c>
      <c r="FZ78" t="e">
        <f>AND(DATA!G757,"AAAAAD7f/rU=")</f>
        <v>#VALUE!</v>
      </c>
      <c r="GA78" t="e">
        <f>AND(DATA!H757,"AAAAAD7f/rY=")</f>
        <v>#VALUE!</v>
      </c>
      <c r="GB78" t="e">
        <f>AND(DATA!I757,"AAAAAD7f/rc=")</f>
        <v>#VALUE!</v>
      </c>
      <c r="GC78" t="e">
        <f>AND(DATA!J757,"AAAAAD7f/rg=")</f>
        <v>#VALUE!</v>
      </c>
      <c r="GD78" t="e">
        <f>AND(DATA!K757,"AAAAAD7f/rk=")</f>
        <v>#VALUE!</v>
      </c>
      <c r="GE78" t="b">
        <f>AND(DATA!L757,"AAAAAD7f/ro=")</f>
        <v>1</v>
      </c>
      <c r="GF78" t="b">
        <f>AND(DATA!M757,"AAAAAD7f/rs=")</f>
        <v>1</v>
      </c>
      <c r="GG78" t="b">
        <f>AND(DATA!N757,"AAAAAD7f/rw=")</f>
        <v>1</v>
      </c>
      <c r="GH78">
        <f>IF(DATA!758:758,"AAAAAD7f/r0=",0)</f>
        <v>0</v>
      </c>
      <c r="GI78" t="e">
        <f>AND(DATA!A758,"AAAAAD7f/r4=")</f>
        <v>#VALUE!</v>
      </c>
      <c r="GJ78" t="e">
        <f>AND(DATA!B758,"AAAAAD7f/r8=")</f>
        <v>#VALUE!</v>
      </c>
      <c r="GK78" t="e">
        <f>AND(DATA!C758,"AAAAAD7f/sA=")</f>
        <v>#VALUE!</v>
      </c>
      <c r="GL78" t="e">
        <f>AND(DATA!D758,"AAAAAD7f/sE=")</f>
        <v>#VALUE!</v>
      </c>
      <c r="GM78" t="e">
        <f>AND(DATA!E758,"AAAAAD7f/sI=")</f>
        <v>#VALUE!</v>
      </c>
      <c r="GN78" t="e">
        <f>AND(DATA!F758,"AAAAAD7f/sM=")</f>
        <v>#VALUE!</v>
      </c>
      <c r="GO78" t="e">
        <f>AND(DATA!G758,"AAAAAD7f/sQ=")</f>
        <v>#VALUE!</v>
      </c>
      <c r="GP78" t="e">
        <f>AND(DATA!H758,"AAAAAD7f/sU=")</f>
        <v>#VALUE!</v>
      </c>
      <c r="GQ78" t="e">
        <f>AND(DATA!I758,"AAAAAD7f/sY=")</f>
        <v>#VALUE!</v>
      </c>
      <c r="GR78" t="e">
        <f>AND(DATA!J758,"AAAAAD7f/sc=")</f>
        <v>#VALUE!</v>
      </c>
      <c r="GS78" t="e">
        <f>AND(DATA!K758,"AAAAAD7f/sg=")</f>
        <v>#VALUE!</v>
      </c>
      <c r="GT78" t="b">
        <f>AND(DATA!L758,"AAAAAD7f/sk=")</f>
        <v>1</v>
      </c>
      <c r="GU78" t="b">
        <f>AND(DATA!M758,"AAAAAD7f/so=")</f>
        <v>1</v>
      </c>
      <c r="GV78" t="b">
        <f>AND(DATA!N758,"AAAAAD7f/ss=")</f>
        <v>1</v>
      </c>
      <c r="GW78">
        <f>IF(DATA!759:759,"AAAAAD7f/sw=",0)</f>
        <v>0</v>
      </c>
      <c r="GX78" t="e">
        <f>AND(DATA!A759,"AAAAAD7f/s0=")</f>
        <v>#VALUE!</v>
      </c>
      <c r="GY78" t="e">
        <f>AND(DATA!B759,"AAAAAD7f/s4=")</f>
        <v>#VALUE!</v>
      </c>
      <c r="GZ78" t="e">
        <f>AND(DATA!C759,"AAAAAD7f/s8=")</f>
        <v>#VALUE!</v>
      </c>
      <c r="HA78" t="e">
        <f>AND(DATA!D759,"AAAAAD7f/tA=")</f>
        <v>#VALUE!</v>
      </c>
      <c r="HB78" t="e">
        <f>AND(DATA!E759,"AAAAAD7f/tE=")</f>
        <v>#VALUE!</v>
      </c>
      <c r="HC78" t="e">
        <f>AND(DATA!F759,"AAAAAD7f/tI=")</f>
        <v>#VALUE!</v>
      </c>
      <c r="HD78" t="e">
        <f>AND(DATA!G759,"AAAAAD7f/tM=")</f>
        <v>#VALUE!</v>
      </c>
      <c r="HE78" t="e">
        <f>AND(DATA!H759,"AAAAAD7f/tQ=")</f>
        <v>#VALUE!</v>
      </c>
      <c r="HF78" t="e">
        <f>AND(DATA!I759,"AAAAAD7f/tU=")</f>
        <v>#VALUE!</v>
      </c>
      <c r="HG78" t="e">
        <f>AND(DATA!J759,"AAAAAD7f/tY=")</f>
        <v>#VALUE!</v>
      </c>
      <c r="HH78" t="e">
        <f>AND(DATA!K759,"AAAAAD7f/tc=")</f>
        <v>#VALUE!</v>
      </c>
      <c r="HI78" t="b">
        <f>AND(DATA!L759,"AAAAAD7f/tg=")</f>
        <v>1</v>
      </c>
      <c r="HJ78" t="b">
        <f>AND(DATA!M759,"AAAAAD7f/tk=")</f>
        <v>1</v>
      </c>
      <c r="HK78" t="b">
        <f>AND(DATA!N759,"AAAAAD7f/to=")</f>
        <v>1</v>
      </c>
      <c r="HL78">
        <f>IF(DATA!760:760,"AAAAAD7f/ts=",0)</f>
        <v>0</v>
      </c>
      <c r="HM78" t="e">
        <f>AND(DATA!A760,"AAAAAD7f/tw=")</f>
        <v>#VALUE!</v>
      </c>
      <c r="HN78" t="e">
        <f>AND(DATA!B760,"AAAAAD7f/t0=")</f>
        <v>#VALUE!</v>
      </c>
      <c r="HO78" t="e">
        <f>AND(DATA!C760,"AAAAAD7f/t4=")</f>
        <v>#VALUE!</v>
      </c>
      <c r="HP78" t="e">
        <f>AND(DATA!D760,"AAAAAD7f/t8=")</f>
        <v>#VALUE!</v>
      </c>
      <c r="HQ78" t="e">
        <f>AND(DATA!E760,"AAAAAD7f/uA=")</f>
        <v>#VALUE!</v>
      </c>
      <c r="HR78" t="e">
        <f>AND(DATA!F760,"AAAAAD7f/uE=")</f>
        <v>#VALUE!</v>
      </c>
      <c r="HS78" t="e">
        <f>AND(DATA!G760,"AAAAAD7f/uI=")</f>
        <v>#VALUE!</v>
      </c>
      <c r="HT78" t="e">
        <f>AND(DATA!H760,"AAAAAD7f/uM=")</f>
        <v>#VALUE!</v>
      </c>
      <c r="HU78" t="e">
        <f>AND(DATA!I760,"AAAAAD7f/uQ=")</f>
        <v>#VALUE!</v>
      </c>
      <c r="HV78" t="e">
        <f>AND(DATA!J760,"AAAAAD7f/uU=")</f>
        <v>#VALUE!</v>
      </c>
      <c r="HW78" t="e">
        <f>AND(DATA!K760,"AAAAAD7f/uY=")</f>
        <v>#VALUE!</v>
      </c>
      <c r="HX78" t="b">
        <f>AND(DATA!L760,"AAAAAD7f/uc=")</f>
        <v>1</v>
      </c>
      <c r="HY78" t="b">
        <f>AND(DATA!M760,"AAAAAD7f/ug=")</f>
        <v>1</v>
      </c>
      <c r="HZ78" t="b">
        <f>AND(DATA!N760,"AAAAAD7f/uk=")</f>
        <v>1</v>
      </c>
      <c r="IA78">
        <f>IF(DATA!761:761,"AAAAAD7f/uo=",0)</f>
        <v>0</v>
      </c>
      <c r="IB78" t="e">
        <f>AND(DATA!A761,"AAAAAD7f/us=")</f>
        <v>#VALUE!</v>
      </c>
      <c r="IC78" t="e">
        <f>AND(DATA!B761,"AAAAAD7f/uw=")</f>
        <v>#VALUE!</v>
      </c>
      <c r="ID78" t="e">
        <f>AND(DATA!C761,"AAAAAD7f/u0=")</f>
        <v>#VALUE!</v>
      </c>
      <c r="IE78" t="e">
        <f>AND(DATA!D761,"AAAAAD7f/u4=")</f>
        <v>#VALUE!</v>
      </c>
      <c r="IF78" t="e">
        <f>AND(DATA!E761,"AAAAAD7f/u8=")</f>
        <v>#VALUE!</v>
      </c>
      <c r="IG78" t="e">
        <f>AND(DATA!F761,"AAAAAD7f/vA=")</f>
        <v>#VALUE!</v>
      </c>
      <c r="IH78" t="e">
        <f>AND(DATA!G761,"AAAAAD7f/vE=")</f>
        <v>#VALUE!</v>
      </c>
      <c r="II78" t="e">
        <f>AND(DATA!H761,"AAAAAD7f/vI=")</f>
        <v>#VALUE!</v>
      </c>
      <c r="IJ78" t="e">
        <f>AND(DATA!I761,"AAAAAD7f/vM=")</f>
        <v>#VALUE!</v>
      </c>
      <c r="IK78" t="e">
        <f>AND(DATA!J761,"AAAAAD7f/vQ=")</f>
        <v>#VALUE!</v>
      </c>
      <c r="IL78" t="e">
        <f>AND(DATA!K761,"AAAAAD7f/vU=")</f>
        <v>#VALUE!</v>
      </c>
      <c r="IM78" t="b">
        <f>AND(DATA!L761,"AAAAAD7f/vY=")</f>
        <v>1</v>
      </c>
      <c r="IN78" t="b">
        <f>AND(DATA!M761,"AAAAAD7f/vc=")</f>
        <v>1</v>
      </c>
      <c r="IO78" t="b">
        <f>AND(DATA!N761,"AAAAAD7f/vg=")</f>
        <v>1</v>
      </c>
      <c r="IP78">
        <f>IF(DATA!762:762,"AAAAAD7f/vk=",0)</f>
        <v>0</v>
      </c>
      <c r="IQ78" t="e">
        <f>AND(DATA!A762,"AAAAAD7f/vo=")</f>
        <v>#VALUE!</v>
      </c>
      <c r="IR78" t="e">
        <f>AND(DATA!B762,"AAAAAD7f/vs=")</f>
        <v>#VALUE!</v>
      </c>
      <c r="IS78" t="e">
        <f>AND(DATA!C762,"AAAAAD7f/vw=")</f>
        <v>#VALUE!</v>
      </c>
      <c r="IT78" t="e">
        <f>AND(DATA!D762,"AAAAAD7f/v0=")</f>
        <v>#VALUE!</v>
      </c>
      <c r="IU78" t="e">
        <f>AND(DATA!E762,"AAAAAD7f/v4=")</f>
        <v>#VALUE!</v>
      </c>
      <c r="IV78" t="e">
        <f>AND(DATA!F762,"AAAAAD7f/v8=")</f>
        <v>#VALUE!</v>
      </c>
    </row>
    <row r="79" spans="1:256">
      <c r="A79" t="e">
        <f>AND(DATA!G762,"AAAAAF/unQA=")</f>
        <v>#VALUE!</v>
      </c>
      <c r="B79" t="e">
        <f>AND(DATA!H762,"AAAAAF/unQE=")</f>
        <v>#VALUE!</v>
      </c>
      <c r="C79" t="e">
        <f>AND(DATA!I762,"AAAAAF/unQI=")</f>
        <v>#VALUE!</v>
      </c>
      <c r="D79" t="e">
        <f>AND(DATA!J762,"AAAAAF/unQM=")</f>
        <v>#VALUE!</v>
      </c>
      <c r="E79" t="e">
        <f>AND(DATA!K762,"AAAAAF/unQQ=")</f>
        <v>#VALUE!</v>
      </c>
      <c r="F79" t="b">
        <f>AND(DATA!L762,"AAAAAF/unQU=")</f>
        <v>1</v>
      </c>
      <c r="G79" t="b">
        <f>AND(DATA!M762,"AAAAAF/unQY=")</f>
        <v>1</v>
      </c>
      <c r="H79" t="b">
        <f>AND(DATA!N762,"AAAAAF/unQc=")</f>
        <v>1</v>
      </c>
      <c r="I79">
        <f>IF(DATA!763:763,"AAAAAF/unQg=",0)</f>
        <v>0</v>
      </c>
      <c r="J79" t="e">
        <f>AND(DATA!A763,"AAAAAF/unQk=")</f>
        <v>#VALUE!</v>
      </c>
      <c r="K79" t="e">
        <f>AND(DATA!B763,"AAAAAF/unQo=")</f>
        <v>#VALUE!</v>
      </c>
      <c r="L79" t="e">
        <f>AND(DATA!C763,"AAAAAF/unQs=")</f>
        <v>#VALUE!</v>
      </c>
      <c r="M79" t="e">
        <f>AND(DATA!D763,"AAAAAF/unQw=")</f>
        <v>#VALUE!</v>
      </c>
      <c r="N79" t="e">
        <f>AND(DATA!E763,"AAAAAF/unQ0=")</f>
        <v>#VALUE!</v>
      </c>
      <c r="O79" t="e">
        <f>AND(DATA!F763,"AAAAAF/unQ4=")</f>
        <v>#VALUE!</v>
      </c>
      <c r="P79" t="e">
        <f>AND(DATA!G763,"AAAAAF/unQ8=")</f>
        <v>#VALUE!</v>
      </c>
      <c r="Q79" t="e">
        <f>AND(DATA!H763,"AAAAAF/unRA=")</f>
        <v>#VALUE!</v>
      </c>
      <c r="R79" t="e">
        <f>AND(DATA!I763,"AAAAAF/unRE=")</f>
        <v>#VALUE!</v>
      </c>
      <c r="S79" t="e">
        <f>AND(DATA!J763,"AAAAAF/unRI=")</f>
        <v>#VALUE!</v>
      </c>
      <c r="T79" t="e">
        <f>AND(DATA!K763,"AAAAAF/unRM=")</f>
        <v>#VALUE!</v>
      </c>
      <c r="U79" t="b">
        <f>AND(DATA!L763,"AAAAAF/unRQ=")</f>
        <v>1</v>
      </c>
      <c r="V79" t="b">
        <f>AND(DATA!M763,"AAAAAF/unRU=")</f>
        <v>1</v>
      </c>
      <c r="W79" t="b">
        <f>AND(DATA!N763,"AAAAAF/unRY=")</f>
        <v>1</v>
      </c>
      <c r="X79">
        <f>IF(DATA!764:764,"AAAAAF/unRc=",0)</f>
        <v>0</v>
      </c>
      <c r="Y79" t="e">
        <f>AND(DATA!A764,"AAAAAF/unRg=")</f>
        <v>#VALUE!</v>
      </c>
      <c r="Z79" t="e">
        <f>AND(DATA!B764,"AAAAAF/unRk=")</f>
        <v>#VALUE!</v>
      </c>
      <c r="AA79" t="e">
        <f>AND(DATA!C764,"AAAAAF/unRo=")</f>
        <v>#VALUE!</v>
      </c>
      <c r="AB79" t="e">
        <f>AND(DATA!D764,"AAAAAF/unRs=")</f>
        <v>#VALUE!</v>
      </c>
      <c r="AC79" t="e">
        <f>AND(DATA!E764,"AAAAAF/unRw=")</f>
        <v>#VALUE!</v>
      </c>
      <c r="AD79" t="e">
        <f>AND(DATA!F764,"AAAAAF/unR0=")</f>
        <v>#VALUE!</v>
      </c>
      <c r="AE79" t="e">
        <f>AND(DATA!G764,"AAAAAF/unR4=")</f>
        <v>#VALUE!</v>
      </c>
      <c r="AF79" t="e">
        <f>AND(DATA!H764,"AAAAAF/unR8=")</f>
        <v>#VALUE!</v>
      </c>
      <c r="AG79" t="e">
        <f>AND(DATA!I764,"AAAAAF/unSA=")</f>
        <v>#VALUE!</v>
      </c>
      <c r="AH79" t="e">
        <f>AND(DATA!J764,"AAAAAF/unSE=")</f>
        <v>#VALUE!</v>
      </c>
      <c r="AI79" t="e">
        <f>AND(DATA!K764,"AAAAAF/unSI=")</f>
        <v>#VALUE!</v>
      </c>
      <c r="AJ79" t="b">
        <f>AND(DATA!L764,"AAAAAF/unSM=")</f>
        <v>1</v>
      </c>
      <c r="AK79" t="b">
        <f>AND(DATA!M764,"AAAAAF/unSQ=")</f>
        <v>1</v>
      </c>
      <c r="AL79" t="b">
        <f>AND(DATA!N764,"AAAAAF/unSU=")</f>
        <v>1</v>
      </c>
      <c r="AM79">
        <f>IF(DATA!765:765,"AAAAAF/unSY=",0)</f>
        <v>0</v>
      </c>
      <c r="AN79" t="e">
        <f>AND(DATA!A765,"AAAAAF/unSc=")</f>
        <v>#VALUE!</v>
      </c>
      <c r="AO79" t="e">
        <f>AND(DATA!B765,"AAAAAF/unSg=")</f>
        <v>#VALUE!</v>
      </c>
      <c r="AP79" t="e">
        <f>AND(DATA!C765,"AAAAAF/unSk=")</f>
        <v>#VALUE!</v>
      </c>
      <c r="AQ79" t="e">
        <f>AND(DATA!D765,"AAAAAF/unSo=")</f>
        <v>#VALUE!</v>
      </c>
      <c r="AR79" t="e">
        <f>AND(DATA!E765,"AAAAAF/unSs=")</f>
        <v>#VALUE!</v>
      </c>
      <c r="AS79" t="e">
        <f>AND(DATA!F765,"AAAAAF/unSw=")</f>
        <v>#VALUE!</v>
      </c>
      <c r="AT79" t="e">
        <f>AND(DATA!G765,"AAAAAF/unS0=")</f>
        <v>#VALUE!</v>
      </c>
      <c r="AU79" t="e">
        <f>AND(DATA!H765,"AAAAAF/unS4=")</f>
        <v>#VALUE!</v>
      </c>
      <c r="AV79" t="e">
        <f>AND(DATA!I765,"AAAAAF/unS8=")</f>
        <v>#VALUE!</v>
      </c>
      <c r="AW79" t="e">
        <f>AND(DATA!J765,"AAAAAF/unTA=")</f>
        <v>#VALUE!</v>
      </c>
      <c r="AX79" t="e">
        <f>AND(DATA!K765,"AAAAAF/unTE=")</f>
        <v>#VALUE!</v>
      </c>
      <c r="AY79" t="b">
        <f>AND(DATA!L765,"AAAAAF/unTI=")</f>
        <v>1</v>
      </c>
      <c r="AZ79" t="b">
        <f>AND(DATA!M765,"AAAAAF/unTM=")</f>
        <v>1</v>
      </c>
      <c r="BA79" t="b">
        <f>AND(DATA!N765,"AAAAAF/unTQ=")</f>
        <v>1</v>
      </c>
      <c r="BB79">
        <f>IF(DATA!766:766,"AAAAAF/unTU=",0)</f>
        <v>0</v>
      </c>
      <c r="BC79" t="e">
        <f>AND(DATA!A766,"AAAAAF/unTY=")</f>
        <v>#VALUE!</v>
      </c>
      <c r="BD79" t="e">
        <f>AND(DATA!B766,"AAAAAF/unTc=")</f>
        <v>#VALUE!</v>
      </c>
      <c r="BE79" t="e">
        <f>AND(DATA!C766,"AAAAAF/unTg=")</f>
        <v>#VALUE!</v>
      </c>
      <c r="BF79" t="e">
        <f>AND(DATA!D766,"AAAAAF/unTk=")</f>
        <v>#VALUE!</v>
      </c>
      <c r="BG79" t="e">
        <f>AND(DATA!E766,"AAAAAF/unTo=")</f>
        <v>#VALUE!</v>
      </c>
      <c r="BH79" t="e">
        <f>AND(DATA!F766,"AAAAAF/unTs=")</f>
        <v>#VALUE!</v>
      </c>
      <c r="BI79" t="e">
        <f>AND(DATA!G766,"AAAAAF/unTw=")</f>
        <v>#VALUE!</v>
      </c>
      <c r="BJ79" t="e">
        <f>AND(DATA!H766,"AAAAAF/unT0=")</f>
        <v>#VALUE!</v>
      </c>
      <c r="BK79" t="e">
        <f>AND(DATA!I766,"AAAAAF/unT4=")</f>
        <v>#VALUE!</v>
      </c>
      <c r="BL79" t="e">
        <f>AND(DATA!J766,"AAAAAF/unT8=")</f>
        <v>#VALUE!</v>
      </c>
      <c r="BM79" t="e">
        <f>AND(DATA!K766,"AAAAAF/unUA=")</f>
        <v>#VALUE!</v>
      </c>
      <c r="BN79" t="b">
        <f>AND(DATA!L766,"AAAAAF/unUE=")</f>
        <v>1</v>
      </c>
      <c r="BO79" t="b">
        <f>AND(DATA!M766,"AAAAAF/unUI=")</f>
        <v>1</v>
      </c>
      <c r="BP79" t="b">
        <f>AND(DATA!N766,"AAAAAF/unUM=")</f>
        <v>1</v>
      </c>
      <c r="BQ79">
        <f>IF(DATA!767:767,"AAAAAF/unUQ=",0)</f>
        <v>0</v>
      </c>
      <c r="BR79" t="e">
        <f>AND(DATA!A767,"AAAAAF/unUU=")</f>
        <v>#VALUE!</v>
      </c>
      <c r="BS79" t="e">
        <f>AND(DATA!B767,"AAAAAF/unUY=")</f>
        <v>#VALUE!</v>
      </c>
      <c r="BT79" t="e">
        <f>AND(DATA!C767,"AAAAAF/unUc=")</f>
        <v>#VALUE!</v>
      </c>
      <c r="BU79" t="e">
        <f>AND(DATA!D767,"AAAAAF/unUg=")</f>
        <v>#VALUE!</v>
      </c>
      <c r="BV79" t="e">
        <f>AND(DATA!E767,"AAAAAF/unUk=")</f>
        <v>#VALUE!</v>
      </c>
      <c r="BW79" t="e">
        <f>AND(DATA!F767,"AAAAAF/unUo=")</f>
        <v>#VALUE!</v>
      </c>
      <c r="BX79" t="e">
        <f>AND(DATA!G767,"AAAAAF/unUs=")</f>
        <v>#VALUE!</v>
      </c>
      <c r="BY79" t="e">
        <f>AND(DATA!H767,"AAAAAF/unUw=")</f>
        <v>#VALUE!</v>
      </c>
      <c r="BZ79" t="e">
        <f>AND(DATA!I767,"AAAAAF/unU0=")</f>
        <v>#VALUE!</v>
      </c>
      <c r="CA79" t="e">
        <f>AND(DATA!J767,"AAAAAF/unU4=")</f>
        <v>#VALUE!</v>
      </c>
      <c r="CB79" t="e">
        <f>AND(DATA!K767,"AAAAAF/unU8=")</f>
        <v>#VALUE!</v>
      </c>
      <c r="CC79" t="b">
        <f>AND(DATA!L767,"AAAAAF/unVA=")</f>
        <v>1</v>
      </c>
      <c r="CD79" t="b">
        <f>AND(DATA!M767,"AAAAAF/unVE=")</f>
        <v>1</v>
      </c>
      <c r="CE79" t="b">
        <f>AND(DATA!N767,"AAAAAF/unVI=")</f>
        <v>1</v>
      </c>
      <c r="CF79">
        <f>IF(DATA!768:768,"AAAAAF/unVM=",0)</f>
        <v>0</v>
      </c>
      <c r="CG79" t="e">
        <f>AND(DATA!A768,"AAAAAF/unVQ=")</f>
        <v>#VALUE!</v>
      </c>
      <c r="CH79" t="e">
        <f>AND(DATA!B768,"AAAAAF/unVU=")</f>
        <v>#VALUE!</v>
      </c>
      <c r="CI79" t="e">
        <f>AND(DATA!C768,"AAAAAF/unVY=")</f>
        <v>#VALUE!</v>
      </c>
      <c r="CJ79" t="e">
        <f>AND(DATA!D768,"AAAAAF/unVc=")</f>
        <v>#VALUE!</v>
      </c>
      <c r="CK79" t="e">
        <f>AND(DATA!E768,"AAAAAF/unVg=")</f>
        <v>#VALUE!</v>
      </c>
      <c r="CL79" t="e">
        <f>AND(DATA!F768,"AAAAAF/unVk=")</f>
        <v>#VALUE!</v>
      </c>
      <c r="CM79" t="e">
        <f>AND(DATA!G768,"AAAAAF/unVo=")</f>
        <v>#VALUE!</v>
      </c>
      <c r="CN79" t="e">
        <f>AND(DATA!H768,"AAAAAF/unVs=")</f>
        <v>#VALUE!</v>
      </c>
      <c r="CO79" t="e">
        <f>AND(DATA!I768,"AAAAAF/unVw=")</f>
        <v>#VALUE!</v>
      </c>
      <c r="CP79" t="e">
        <f>AND(DATA!J768,"AAAAAF/unV0=")</f>
        <v>#VALUE!</v>
      </c>
      <c r="CQ79" t="e">
        <f>AND(DATA!K768,"AAAAAF/unV4=")</f>
        <v>#VALUE!</v>
      </c>
      <c r="CR79" t="b">
        <f>AND(DATA!L768,"AAAAAF/unV8=")</f>
        <v>1</v>
      </c>
      <c r="CS79" t="b">
        <f>AND(DATA!M768,"AAAAAF/unWA=")</f>
        <v>1</v>
      </c>
      <c r="CT79" t="b">
        <f>AND(DATA!N768,"AAAAAF/unWE=")</f>
        <v>1</v>
      </c>
      <c r="CU79">
        <f>IF(DATA!769:769,"AAAAAF/unWI=",0)</f>
        <v>0</v>
      </c>
      <c r="CV79" t="e">
        <f>AND(DATA!A769,"AAAAAF/unWM=")</f>
        <v>#VALUE!</v>
      </c>
      <c r="CW79" t="e">
        <f>AND(DATA!B769,"AAAAAF/unWQ=")</f>
        <v>#VALUE!</v>
      </c>
      <c r="CX79" t="e">
        <f>AND(DATA!C769,"AAAAAF/unWU=")</f>
        <v>#VALUE!</v>
      </c>
      <c r="CY79" t="e">
        <f>AND(DATA!D769,"AAAAAF/unWY=")</f>
        <v>#VALUE!</v>
      </c>
      <c r="CZ79" t="e">
        <f>AND(DATA!E769,"AAAAAF/unWc=")</f>
        <v>#VALUE!</v>
      </c>
      <c r="DA79" t="e">
        <f>AND(DATA!F769,"AAAAAF/unWg=")</f>
        <v>#VALUE!</v>
      </c>
      <c r="DB79" t="e">
        <f>AND(DATA!G769,"AAAAAF/unWk=")</f>
        <v>#VALUE!</v>
      </c>
      <c r="DC79" t="e">
        <f>AND(DATA!H769,"AAAAAF/unWo=")</f>
        <v>#VALUE!</v>
      </c>
      <c r="DD79" t="e">
        <f>AND(DATA!I769,"AAAAAF/unWs=")</f>
        <v>#VALUE!</v>
      </c>
      <c r="DE79" t="e">
        <f>AND(DATA!J769,"AAAAAF/unWw=")</f>
        <v>#VALUE!</v>
      </c>
      <c r="DF79" t="e">
        <f>AND(DATA!K769,"AAAAAF/unW0=")</f>
        <v>#VALUE!</v>
      </c>
      <c r="DG79" t="b">
        <f>AND(DATA!L769,"AAAAAF/unW4=")</f>
        <v>1</v>
      </c>
      <c r="DH79" t="b">
        <f>AND(DATA!M769,"AAAAAF/unW8=")</f>
        <v>1</v>
      </c>
      <c r="DI79" t="b">
        <f>AND(DATA!N769,"AAAAAF/unXA=")</f>
        <v>1</v>
      </c>
      <c r="DJ79">
        <f>IF(DATA!770:770,"AAAAAF/unXE=",0)</f>
        <v>0</v>
      </c>
      <c r="DK79" t="e">
        <f>AND(DATA!A770,"AAAAAF/unXI=")</f>
        <v>#VALUE!</v>
      </c>
      <c r="DL79" t="e">
        <f>AND(DATA!B770,"AAAAAF/unXM=")</f>
        <v>#VALUE!</v>
      </c>
      <c r="DM79" t="e">
        <f>AND(DATA!C770,"AAAAAF/unXQ=")</f>
        <v>#VALUE!</v>
      </c>
      <c r="DN79" t="e">
        <f>AND(DATA!D770,"AAAAAF/unXU=")</f>
        <v>#VALUE!</v>
      </c>
      <c r="DO79" t="e">
        <f>AND(DATA!E770,"AAAAAF/unXY=")</f>
        <v>#VALUE!</v>
      </c>
      <c r="DP79" t="e">
        <f>AND(DATA!F770,"AAAAAF/unXc=")</f>
        <v>#VALUE!</v>
      </c>
      <c r="DQ79" t="e">
        <f>AND(DATA!G770,"AAAAAF/unXg=")</f>
        <v>#VALUE!</v>
      </c>
      <c r="DR79" t="e">
        <f>AND(DATA!H770,"AAAAAF/unXk=")</f>
        <v>#VALUE!</v>
      </c>
      <c r="DS79" t="e">
        <f>AND(DATA!I770,"AAAAAF/unXo=")</f>
        <v>#VALUE!</v>
      </c>
      <c r="DT79" t="e">
        <f>AND(DATA!J770,"AAAAAF/unXs=")</f>
        <v>#VALUE!</v>
      </c>
      <c r="DU79" t="e">
        <f>AND(DATA!K770,"AAAAAF/unXw=")</f>
        <v>#VALUE!</v>
      </c>
      <c r="DV79" t="b">
        <f>AND(DATA!L770,"AAAAAF/unX0=")</f>
        <v>1</v>
      </c>
      <c r="DW79" t="b">
        <f>AND(DATA!M770,"AAAAAF/unX4=")</f>
        <v>1</v>
      </c>
      <c r="DX79" t="b">
        <f>AND(DATA!N770,"AAAAAF/unX8=")</f>
        <v>1</v>
      </c>
      <c r="DY79">
        <f>IF(DATA!771:771,"AAAAAF/unYA=",0)</f>
        <v>0</v>
      </c>
      <c r="DZ79" t="e">
        <f>AND(DATA!A771,"AAAAAF/unYE=")</f>
        <v>#VALUE!</v>
      </c>
      <c r="EA79" t="e">
        <f>AND(DATA!B771,"AAAAAF/unYI=")</f>
        <v>#VALUE!</v>
      </c>
      <c r="EB79" t="e">
        <f>AND(DATA!C771,"AAAAAF/unYM=")</f>
        <v>#VALUE!</v>
      </c>
      <c r="EC79" t="e">
        <f>AND(DATA!D771,"AAAAAF/unYQ=")</f>
        <v>#VALUE!</v>
      </c>
      <c r="ED79" t="e">
        <f>AND(DATA!E771,"AAAAAF/unYU=")</f>
        <v>#VALUE!</v>
      </c>
      <c r="EE79" t="e">
        <f>AND(DATA!F771,"AAAAAF/unYY=")</f>
        <v>#VALUE!</v>
      </c>
      <c r="EF79" t="e">
        <f>AND(DATA!G771,"AAAAAF/unYc=")</f>
        <v>#VALUE!</v>
      </c>
      <c r="EG79" t="e">
        <f>AND(DATA!H771,"AAAAAF/unYg=")</f>
        <v>#VALUE!</v>
      </c>
      <c r="EH79" t="e">
        <f>AND(DATA!I771,"AAAAAF/unYk=")</f>
        <v>#VALUE!</v>
      </c>
      <c r="EI79" t="e">
        <f>AND(DATA!J771,"AAAAAF/unYo=")</f>
        <v>#VALUE!</v>
      </c>
      <c r="EJ79" t="e">
        <f>AND(DATA!K771,"AAAAAF/unYs=")</f>
        <v>#VALUE!</v>
      </c>
      <c r="EK79" t="b">
        <f>AND(DATA!L771,"AAAAAF/unYw=")</f>
        <v>1</v>
      </c>
      <c r="EL79" t="b">
        <f>AND(DATA!M771,"AAAAAF/unY0=")</f>
        <v>1</v>
      </c>
      <c r="EM79" t="b">
        <f>AND(DATA!N771,"AAAAAF/unY4=")</f>
        <v>1</v>
      </c>
      <c r="EN79">
        <f>IF(DATA!772:772,"AAAAAF/unY8=",0)</f>
        <v>0</v>
      </c>
      <c r="EO79" t="e">
        <f>AND(DATA!A772,"AAAAAF/unZA=")</f>
        <v>#VALUE!</v>
      </c>
      <c r="EP79" t="e">
        <f>AND(DATA!B772,"AAAAAF/unZE=")</f>
        <v>#VALUE!</v>
      </c>
      <c r="EQ79" t="e">
        <f>AND(DATA!C772,"AAAAAF/unZI=")</f>
        <v>#VALUE!</v>
      </c>
      <c r="ER79" t="e">
        <f>AND(DATA!D772,"AAAAAF/unZM=")</f>
        <v>#VALUE!</v>
      </c>
      <c r="ES79" t="e">
        <f>AND(DATA!E772,"AAAAAF/unZQ=")</f>
        <v>#VALUE!</v>
      </c>
      <c r="ET79" t="e">
        <f>AND(DATA!F772,"AAAAAF/unZU=")</f>
        <v>#VALUE!</v>
      </c>
      <c r="EU79" t="e">
        <f>AND(DATA!G772,"AAAAAF/unZY=")</f>
        <v>#VALUE!</v>
      </c>
      <c r="EV79" t="e">
        <f>AND(DATA!H772,"AAAAAF/unZc=")</f>
        <v>#VALUE!</v>
      </c>
      <c r="EW79" t="e">
        <f>AND(DATA!I772,"AAAAAF/unZg=")</f>
        <v>#VALUE!</v>
      </c>
      <c r="EX79" t="e">
        <f>AND(DATA!J772,"AAAAAF/unZk=")</f>
        <v>#VALUE!</v>
      </c>
      <c r="EY79" t="e">
        <f>AND(DATA!K772,"AAAAAF/unZo=")</f>
        <v>#VALUE!</v>
      </c>
      <c r="EZ79" t="b">
        <f>AND(DATA!L772,"AAAAAF/unZs=")</f>
        <v>1</v>
      </c>
      <c r="FA79" t="b">
        <f>AND(DATA!M772,"AAAAAF/unZw=")</f>
        <v>1</v>
      </c>
      <c r="FB79" t="b">
        <f>AND(DATA!N772,"AAAAAF/unZ0=")</f>
        <v>1</v>
      </c>
      <c r="FC79">
        <f>IF(DATA!773:773,"AAAAAF/unZ4=",0)</f>
        <v>0</v>
      </c>
      <c r="FD79" t="e">
        <f>AND(DATA!A773,"AAAAAF/unZ8=")</f>
        <v>#VALUE!</v>
      </c>
      <c r="FE79" t="e">
        <f>AND(DATA!B773,"AAAAAF/unaA=")</f>
        <v>#VALUE!</v>
      </c>
      <c r="FF79" t="e">
        <f>AND(DATA!C773,"AAAAAF/unaE=")</f>
        <v>#VALUE!</v>
      </c>
      <c r="FG79" t="e">
        <f>AND(DATA!D773,"AAAAAF/unaI=")</f>
        <v>#VALUE!</v>
      </c>
      <c r="FH79" t="e">
        <f>AND(DATA!E773,"AAAAAF/unaM=")</f>
        <v>#VALUE!</v>
      </c>
      <c r="FI79" t="e">
        <f>AND(DATA!F773,"AAAAAF/unaQ=")</f>
        <v>#VALUE!</v>
      </c>
      <c r="FJ79" t="e">
        <f>AND(DATA!G773,"AAAAAF/unaU=")</f>
        <v>#VALUE!</v>
      </c>
      <c r="FK79" t="e">
        <f>AND(DATA!H773,"AAAAAF/unaY=")</f>
        <v>#VALUE!</v>
      </c>
      <c r="FL79" t="e">
        <f>AND(DATA!I773,"AAAAAF/unac=")</f>
        <v>#VALUE!</v>
      </c>
      <c r="FM79" t="e">
        <f>AND(DATA!J773,"AAAAAF/unag=")</f>
        <v>#VALUE!</v>
      </c>
      <c r="FN79" t="e">
        <f>AND(DATA!K773,"AAAAAF/unak=")</f>
        <v>#VALUE!</v>
      </c>
      <c r="FO79" t="b">
        <f>AND(DATA!L773,"AAAAAF/unao=")</f>
        <v>1</v>
      </c>
      <c r="FP79" t="b">
        <f>AND(DATA!M773,"AAAAAF/unas=")</f>
        <v>1</v>
      </c>
      <c r="FQ79" t="b">
        <f>AND(DATA!N773,"AAAAAF/unaw=")</f>
        <v>1</v>
      </c>
      <c r="FR79">
        <f>IF(DATA!774:774,"AAAAAF/una0=",0)</f>
        <v>0</v>
      </c>
      <c r="FS79" t="e">
        <f>AND(DATA!A774,"AAAAAF/una4=")</f>
        <v>#VALUE!</v>
      </c>
      <c r="FT79" t="e">
        <f>AND(DATA!B774,"AAAAAF/una8=")</f>
        <v>#VALUE!</v>
      </c>
      <c r="FU79" t="e">
        <f>AND(DATA!C774,"AAAAAF/unbA=")</f>
        <v>#VALUE!</v>
      </c>
      <c r="FV79" t="e">
        <f>AND(DATA!D774,"AAAAAF/unbE=")</f>
        <v>#VALUE!</v>
      </c>
      <c r="FW79" t="e">
        <f>AND(DATA!E774,"AAAAAF/unbI=")</f>
        <v>#VALUE!</v>
      </c>
      <c r="FX79" t="e">
        <f>AND(DATA!F774,"AAAAAF/unbM=")</f>
        <v>#VALUE!</v>
      </c>
      <c r="FY79" t="e">
        <f>AND(DATA!G774,"AAAAAF/unbQ=")</f>
        <v>#VALUE!</v>
      </c>
      <c r="FZ79" t="e">
        <f>AND(DATA!H774,"AAAAAF/unbU=")</f>
        <v>#VALUE!</v>
      </c>
      <c r="GA79" t="e">
        <f>AND(DATA!I774,"AAAAAF/unbY=")</f>
        <v>#VALUE!</v>
      </c>
      <c r="GB79" t="e">
        <f>AND(DATA!J774,"AAAAAF/unbc=")</f>
        <v>#VALUE!</v>
      </c>
      <c r="GC79" t="e">
        <f>AND(DATA!K774,"AAAAAF/unbg=")</f>
        <v>#VALUE!</v>
      </c>
      <c r="GD79" t="b">
        <f>AND(DATA!L774,"AAAAAF/unbk=")</f>
        <v>1</v>
      </c>
      <c r="GE79" t="b">
        <f>AND(DATA!M774,"AAAAAF/unbo=")</f>
        <v>1</v>
      </c>
      <c r="GF79" t="b">
        <f>AND(DATA!N774,"AAAAAF/unbs=")</f>
        <v>1</v>
      </c>
      <c r="GG79">
        <f>IF(DATA!775:775,"AAAAAF/unbw=",0)</f>
        <v>0</v>
      </c>
      <c r="GH79" t="e">
        <f>AND(DATA!A775,"AAAAAF/unb0=")</f>
        <v>#VALUE!</v>
      </c>
      <c r="GI79" t="e">
        <f>AND(DATA!B775,"AAAAAF/unb4=")</f>
        <v>#VALUE!</v>
      </c>
      <c r="GJ79" t="e">
        <f>AND(DATA!C775,"AAAAAF/unb8=")</f>
        <v>#VALUE!</v>
      </c>
      <c r="GK79" t="e">
        <f>AND(DATA!D775,"AAAAAF/uncA=")</f>
        <v>#VALUE!</v>
      </c>
      <c r="GL79" t="e">
        <f>AND(DATA!E775,"AAAAAF/uncE=")</f>
        <v>#VALUE!</v>
      </c>
      <c r="GM79" t="e">
        <f>AND(DATA!F775,"AAAAAF/uncI=")</f>
        <v>#VALUE!</v>
      </c>
      <c r="GN79" t="e">
        <f>AND(DATA!G775,"AAAAAF/uncM=")</f>
        <v>#VALUE!</v>
      </c>
      <c r="GO79" t="e">
        <f>AND(DATA!H775,"AAAAAF/uncQ=")</f>
        <v>#VALUE!</v>
      </c>
      <c r="GP79" t="e">
        <f>AND(DATA!I775,"AAAAAF/uncU=")</f>
        <v>#VALUE!</v>
      </c>
      <c r="GQ79" t="e">
        <f>AND(DATA!J775,"AAAAAF/uncY=")</f>
        <v>#VALUE!</v>
      </c>
      <c r="GR79" t="e">
        <f>AND(DATA!K775,"AAAAAF/uncc=")</f>
        <v>#VALUE!</v>
      </c>
      <c r="GS79" t="b">
        <f>AND(DATA!L775,"AAAAAF/uncg=")</f>
        <v>1</v>
      </c>
      <c r="GT79" t="b">
        <f>AND(DATA!M775,"AAAAAF/unck=")</f>
        <v>1</v>
      </c>
      <c r="GU79" t="b">
        <f>AND(DATA!N775,"AAAAAF/unco=")</f>
        <v>1</v>
      </c>
      <c r="GV79">
        <f>IF(DATA!776:776,"AAAAAF/uncs=",0)</f>
        <v>0</v>
      </c>
      <c r="GW79" t="e">
        <f>AND(DATA!A776,"AAAAAF/uncw=")</f>
        <v>#VALUE!</v>
      </c>
      <c r="GX79" t="e">
        <f>AND(DATA!B776,"AAAAAF/unc0=")</f>
        <v>#VALUE!</v>
      </c>
      <c r="GY79" t="e">
        <f>AND(DATA!C776,"AAAAAF/unc4=")</f>
        <v>#VALUE!</v>
      </c>
      <c r="GZ79" t="e">
        <f>AND(DATA!D776,"AAAAAF/unc8=")</f>
        <v>#VALUE!</v>
      </c>
      <c r="HA79" t="e">
        <f>AND(DATA!E776,"AAAAAF/undA=")</f>
        <v>#VALUE!</v>
      </c>
      <c r="HB79" t="e">
        <f>AND(DATA!F776,"AAAAAF/undE=")</f>
        <v>#VALUE!</v>
      </c>
      <c r="HC79" t="e">
        <f>AND(DATA!G776,"AAAAAF/undI=")</f>
        <v>#VALUE!</v>
      </c>
      <c r="HD79" t="e">
        <f>AND(DATA!H776,"AAAAAF/undM=")</f>
        <v>#VALUE!</v>
      </c>
      <c r="HE79" t="e">
        <f>AND(DATA!I776,"AAAAAF/undQ=")</f>
        <v>#VALUE!</v>
      </c>
      <c r="HF79" t="e">
        <f>AND(DATA!J776,"AAAAAF/undU=")</f>
        <v>#VALUE!</v>
      </c>
      <c r="HG79" t="e">
        <f>AND(DATA!K776,"AAAAAF/undY=")</f>
        <v>#VALUE!</v>
      </c>
      <c r="HH79" t="b">
        <f>AND(DATA!L776,"AAAAAF/undc=")</f>
        <v>1</v>
      </c>
      <c r="HI79" t="b">
        <f>AND(DATA!M776,"AAAAAF/undg=")</f>
        <v>1</v>
      </c>
      <c r="HJ79" t="b">
        <f>AND(DATA!N776,"AAAAAF/undk=")</f>
        <v>1</v>
      </c>
      <c r="HK79">
        <f>IF(DATA!777:777,"AAAAAF/undo=",0)</f>
        <v>0</v>
      </c>
      <c r="HL79" t="e">
        <f>AND(DATA!A777,"AAAAAF/unds=")</f>
        <v>#VALUE!</v>
      </c>
      <c r="HM79" t="e">
        <f>AND(DATA!B777,"AAAAAF/undw=")</f>
        <v>#VALUE!</v>
      </c>
      <c r="HN79" t="e">
        <f>AND(DATA!C777,"AAAAAF/und0=")</f>
        <v>#VALUE!</v>
      </c>
      <c r="HO79" t="e">
        <f>AND(DATA!D777,"AAAAAF/und4=")</f>
        <v>#VALUE!</v>
      </c>
      <c r="HP79" t="e">
        <f>AND(DATA!E777,"AAAAAF/und8=")</f>
        <v>#VALUE!</v>
      </c>
      <c r="HQ79" t="e">
        <f>AND(DATA!F777,"AAAAAF/uneA=")</f>
        <v>#VALUE!</v>
      </c>
      <c r="HR79" t="e">
        <f>AND(DATA!G777,"AAAAAF/uneE=")</f>
        <v>#VALUE!</v>
      </c>
      <c r="HS79" t="e">
        <f>AND(DATA!H777,"AAAAAF/uneI=")</f>
        <v>#VALUE!</v>
      </c>
      <c r="HT79" t="e">
        <f>AND(DATA!I777,"AAAAAF/uneM=")</f>
        <v>#VALUE!</v>
      </c>
      <c r="HU79" t="e">
        <f>AND(DATA!J777,"AAAAAF/uneQ=")</f>
        <v>#VALUE!</v>
      </c>
      <c r="HV79" t="e">
        <f>AND(DATA!K777,"AAAAAF/uneU=")</f>
        <v>#VALUE!</v>
      </c>
      <c r="HW79" t="b">
        <f>AND(DATA!L777,"AAAAAF/uneY=")</f>
        <v>1</v>
      </c>
      <c r="HX79" t="b">
        <f>AND(DATA!M777,"AAAAAF/unec=")</f>
        <v>1</v>
      </c>
      <c r="HY79" t="b">
        <f>AND(DATA!N777,"AAAAAF/uneg=")</f>
        <v>1</v>
      </c>
      <c r="HZ79">
        <f>IF(DATA!778:778,"AAAAAF/unek=",0)</f>
        <v>0</v>
      </c>
      <c r="IA79" t="e">
        <f>AND(DATA!A778,"AAAAAF/uneo=")</f>
        <v>#VALUE!</v>
      </c>
      <c r="IB79" t="e">
        <f>AND(DATA!B778,"AAAAAF/unes=")</f>
        <v>#VALUE!</v>
      </c>
      <c r="IC79" t="e">
        <f>AND(DATA!C778,"AAAAAF/unew=")</f>
        <v>#VALUE!</v>
      </c>
      <c r="ID79" t="e">
        <f>AND(DATA!D778,"AAAAAF/une0=")</f>
        <v>#VALUE!</v>
      </c>
      <c r="IE79" t="e">
        <f>AND(DATA!E778,"AAAAAF/une4=")</f>
        <v>#VALUE!</v>
      </c>
      <c r="IF79" t="e">
        <f>AND(DATA!F778,"AAAAAF/une8=")</f>
        <v>#VALUE!</v>
      </c>
      <c r="IG79" t="e">
        <f>AND(DATA!G778,"AAAAAF/unfA=")</f>
        <v>#VALUE!</v>
      </c>
      <c r="IH79" t="e">
        <f>AND(DATA!H778,"AAAAAF/unfE=")</f>
        <v>#VALUE!</v>
      </c>
      <c r="II79" t="e">
        <f>AND(DATA!I778,"AAAAAF/unfI=")</f>
        <v>#VALUE!</v>
      </c>
      <c r="IJ79" t="e">
        <f>AND(DATA!J778,"AAAAAF/unfM=")</f>
        <v>#VALUE!</v>
      </c>
      <c r="IK79" t="e">
        <f>AND(DATA!K778,"AAAAAF/unfQ=")</f>
        <v>#VALUE!</v>
      </c>
      <c r="IL79" t="b">
        <f>AND(DATA!L778,"AAAAAF/unfU=")</f>
        <v>1</v>
      </c>
      <c r="IM79" t="b">
        <f>AND(DATA!M778,"AAAAAF/unfY=")</f>
        <v>1</v>
      </c>
      <c r="IN79" t="b">
        <f>AND(DATA!N778,"AAAAAF/unfc=")</f>
        <v>1</v>
      </c>
      <c r="IO79">
        <f>IF(DATA!779:779,"AAAAAF/unfg=",0)</f>
        <v>0</v>
      </c>
      <c r="IP79" t="e">
        <f>AND(DATA!A779,"AAAAAF/unfk=")</f>
        <v>#VALUE!</v>
      </c>
      <c r="IQ79" t="e">
        <f>AND(DATA!B779,"AAAAAF/unfo=")</f>
        <v>#VALUE!</v>
      </c>
      <c r="IR79" t="e">
        <f>AND(DATA!C779,"AAAAAF/unfs=")</f>
        <v>#VALUE!</v>
      </c>
      <c r="IS79" t="e">
        <f>AND(DATA!D779,"AAAAAF/unfw=")</f>
        <v>#VALUE!</v>
      </c>
      <c r="IT79" t="e">
        <f>AND(DATA!E779,"AAAAAF/unf0=")</f>
        <v>#VALUE!</v>
      </c>
      <c r="IU79" t="e">
        <f>AND(DATA!F779,"AAAAAF/unf4=")</f>
        <v>#VALUE!</v>
      </c>
      <c r="IV79" t="e">
        <f>AND(DATA!G779,"AAAAAF/unf8=")</f>
        <v>#VALUE!</v>
      </c>
    </row>
    <row r="80" spans="1:256">
      <c r="A80" t="e">
        <f>AND(DATA!H779,"AAAAADd3DwA=")</f>
        <v>#VALUE!</v>
      </c>
      <c r="B80" t="e">
        <f>AND(DATA!I779,"AAAAADd3DwE=")</f>
        <v>#VALUE!</v>
      </c>
      <c r="C80" t="e">
        <f>AND(DATA!J779,"AAAAADd3DwI=")</f>
        <v>#VALUE!</v>
      </c>
      <c r="D80" t="e">
        <f>AND(DATA!K779,"AAAAADd3DwM=")</f>
        <v>#VALUE!</v>
      </c>
      <c r="E80" t="b">
        <f>AND(DATA!L779,"AAAAADd3DwQ=")</f>
        <v>1</v>
      </c>
      <c r="F80" t="b">
        <f>AND(DATA!M779,"AAAAADd3DwU=")</f>
        <v>1</v>
      </c>
      <c r="G80" t="b">
        <f>AND(DATA!N779,"AAAAADd3DwY=")</f>
        <v>1</v>
      </c>
      <c r="H80">
        <f>IF(DATA!780:780,"AAAAADd3Dwc=",0)</f>
        <v>0</v>
      </c>
      <c r="I80" t="e">
        <f>AND(DATA!A780,"AAAAADd3Dwg=")</f>
        <v>#VALUE!</v>
      </c>
      <c r="J80" t="e">
        <f>AND(DATA!B780,"AAAAADd3Dwk=")</f>
        <v>#VALUE!</v>
      </c>
      <c r="K80" t="e">
        <f>AND(DATA!C780,"AAAAADd3Dwo=")</f>
        <v>#VALUE!</v>
      </c>
      <c r="L80" t="e">
        <f>AND(DATA!D780,"AAAAADd3Dws=")</f>
        <v>#VALUE!</v>
      </c>
      <c r="M80" t="e">
        <f>AND(DATA!E780,"AAAAADd3Dww=")</f>
        <v>#VALUE!</v>
      </c>
      <c r="N80" t="e">
        <f>AND(DATA!F780,"AAAAADd3Dw0=")</f>
        <v>#VALUE!</v>
      </c>
      <c r="O80" t="e">
        <f>AND(DATA!G780,"AAAAADd3Dw4=")</f>
        <v>#VALUE!</v>
      </c>
      <c r="P80" t="e">
        <f>AND(DATA!H780,"AAAAADd3Dw8=")</f>
        <v>#VALUE!</v>
      </c>
      <c r="Q80" t="e">
        <f>AND(DATA!I780,"AAAAADd3DxA=")</f>
        <v>#VALUE!</v>
      </c>
      <c r="R80" t="e">
        <f>AND(DATA!J780,"AAAAADd3DxE=")</f>
        <v>#VALUE!</v>
      </c>
      <c r="S80" t="e">
        <f>AND(DATA!K780,"AAAAADd3DxI=")</f>
        <v>#VALUE!</v>
      </c>
      <c r="T80" t="b">
        <f>AND(DATA!L780,"AAAAADd3DxM=")</f>
        <v>1</v>
      </c>
      <c r="U80" t="b">
        <f>AND(DATA!M780,"AAAAADd3DxQ=")</f>
        <v>1</v>
      </c>
      <c r="V80" t="b">
        <f>AND(DATA!N780,"AAAAADd3DxU=")</f>
        <v>1</v>
      </c>
      <c r="W80">
        <f>IF(DATA!781:781,"AAAAADd3DxY=",0)</f>
        <v>0</v>
      </c>
      <c r="X80" t="e">
        <f>AND(DATA!A781,"AAAAADd3Dxc=")</f>
        <v>#VALUE!</v>
      </c>
      <c r="Y80" t="e">
        <f>AND(DATA!B781,"AAAAADd3Dxg=")</f>
        <v>#VALUE!</v>
      </c>
      <c r="Z80" t="e">
        <f>AND(DATA!C781,"AAAAADd3Dxk=")</f>
        <v>#VALUE!</v>
      </c>
      <c r="AA80" t="e">
        <f>AND(DATA!D781,"AAAAADd3Dxo=")</f>
        <v>#VALUE!</v>
      </c>
      <c r="AB80" t="e">
        <f>AND(DATA!E781,"AAAAADd3Dxs=")</f>
        <v>#VALUE!</v>
      </c>
      <c r="AC80" t="e">
        <f>AND(DATA!F781,"AAAAADd3Dxw=")</f>
        <v>#VALUE!</v>
      </c>
      <c r="AD80" t="e">
        <f>AND(DATA!G781,"AAAAADd3Dx0=")</f>
        <v>#VALUE!</v>
      </c>
      <c r="AE80" t="e">
        <f>AND(DATA!H781,"AAAAADd3Dx4=")</f>
        <v>#VALUE!</v>
      </c>
      <c r="AF80" t="e">
        <f>AND(DATA!I781,"AAAAADd3Dx8=")</f>
        <v>#VALUE!</v>
      </c>
      <c r="AG80" t="e">
        <f>AND(DATA!J781,"AAAAADd3DyA=")</f>
        <v>#VALUE!</v>
      </c>
      <c r="AH80" t="e">
        <f>AND(DATA!K781,"AAAAADd3DyE=")</f>
        <v>#VALUE!</v>
      </c>
      <c r="AI80" t="b">
        <f>AND(DATA!L781,"AAAAADd3DyI=")</f>
        <v>1</v>
      </c>
      <c r="AJ80" t="b">
        <f>AND(DATA!M781,"AAAAADd3DyM=")</f>
        <v>1</v>
      </c>
      <c r="AK80" t="b">
        <f>AND(DATA!N781,"AAAAADd3DyQ=")</f>
        <v>1</v>
      </c>
      <c r="AL80">
        <f>IF(DATA!782:782,"AAAAADd3DyU=",0)</f>
        <v>0</v>
      </c>
      <c r="AM80" t="e">
        <f>AND(DATA!A782,"AAAAADd3DyY=")</f>
        <v>#VALUE!</v>
      </c>
      <c r="AN80" t="e">
        <f>AND(DATA!B782,"AAAAADd3Dyc=")</f>
        <v>#VALUE!</v>
      </c>
      <c r="AO80" t="e">
        <f>AND(DATA!C782,"AAAAADd3Dyg=")</f>
        <v>#VALUE!</v>
      </c>
      <c r="AP80" t="e">
        <f>AND(DATA!D782,"AAAAADd3Dyk=")</f>
        <v>#VALUE!</v>
      </c>
      <c r="AQ80" t="e">
        <f>AND(DATA!E782,"AAAAADd3Dyo=")</f>
        <v>#VALUE!</v>
      </c>
      <c r="AR80" t="e">
        <f>AND(DATA!F782,"AAAAADd3Dys=")</f>
        <v>#VALUE!</v>
      </c>
      <c r="AS80" t="e">
        <f>AND(DATA!G782,"AAAAADd3Dyw=")</f>
        <v>#VALUE!</v>
      </c>
      <c r="AT80" t="e">
        <f>AND(DATA!H782,"AAAAADd3Dy0=")</f>
        <v>#VALUE!</v>
      </c>
      <c r="AU80" t="e">
        <f>AND(DATA!I782,"AAAAADd3Dy4=")</f>
        <v>#VALUE!</v>
      </c>
      <c r="AV80" t="e">
        <f>AND(DATA!J782,"AAAAADd3Dy8=")</f>
        <v>#VALUE!</v>
      </c>
      <c r="AW80" t="e">
        <f>AND(DATA!K782,"AAAAADd3DzA=")</f>
        <v>#VALUE!</v>
      </c>
      <c r="AX80" t="b">
        <f>AND(DATA!L782,"AAAAADd3DzE=")</f>
        <v>1</v>
      </c>
      <c r="AY80" t="b">
        <f>AND(DATA!M782,"AAAAADd3DzI=")</f>
        <v>1</v>
      </c>
      <c r="AZ80" t="b">
        <f>AND(DATA!N782,"AAAAADd3DzM=")</f>
        <v>1</v>
      </c>
      <c r="BA80">
        <f>IF(DATA!783:783,"AAAAADd3DzQ=",0)</f>
        <v>0</v>
      </c>
      <c r="BB80" t="e">
        <f>AND(DATA!A783,"AAAAADd3DzU=")</f>
        <v>#VALUE!</v>
      </c>
      <c r="BC80" t="e">
        <f>AND(DATA!B783,"AAAAADd3DzY=")</f>
        <v>#VALUE!</v>
      </c>
      <c r="BD80" t="e">
        <f>AND(DATA!C783,"AAAAADd3Dzc=")</f>
        <v>#VALUE!</v>
      </c>
      <c r="BE80" t="e">
        <f>AND(DATA!D783,"AAAAADd3Dzg=")</f>
        <v>#VALUE!</v>
      </c>
      <c r="BF80" t="e">
        <f>AND(DATA!E783,"AAAAADd3Dzk=")</f>
        <v>#VALUE!</v>
      </c>
      <c r="BG80" t="e">
        <f>AND(DATA!F783,"AAAAADd3Dzo=")</f>
        <v>#VALUE!</v>
      </c>
      <c r="BH80" t="e">
        <f>AND(DATA!G783,"AAAAADd3Dzs=")</f>
        <v>#VALUE!</v>
      </c>
      <c r="BI80" t="e">
        <f>AND(DATA!H783,"AAAAADd3Dzw=")</f>
        <v>#VALUE!</v>
      </c>
      <c r="BJ80" t="e">
        <f>AND(DATA!I783,"AAAAADd3Dz0=")</f>
        <v>#VALUE!</v>
      </c>
      <c r="BK80" t="e">
        <f>AND(DATA!J783,"AAAAADd3Dz4=")</f>
        <v>#VALUE!</v>
      </c>
      <c r="BL80" t="e">
        <f>AND(DATA!K783,"AAAAADd3Dz8=")</f>
        <v>#VALUE!</v>
      </c>
      <c r="BM80" t="b">
        <f>AND(DATA!L783,"AAAAADd3D0A=")</f>
        <v>1</v>
      </c>
      <c r="BN80" t="b">
        <f>AND(DATA!M783,"AAAAADd3D0E=")</f>
        <v>1</v>
      </c>
      <c r="BO80" t="b">
        <f>AND(DATA!N783,"AAAAADd3D0I=")</f>
        <v>1</v>
      </c>
      <c r="BP80">
        <f>IF(DATA!784:784,"AAAAADd3D0M=",0)</f>
        <v>0</v>
      </c>
      <c r="BQ80" t="e">
        <f>AND(DATA!A784,"AAAAADd3D0Q=")</f>
        <v>#VALUE!</v>
      </c>
      <c r="BR80" t="e">
        <f>AND(DATA!B784,"AAAAADd3D0U=")</f>
        <v>#VALUE!</v>
      </c>
      <c r="BS80" t="e">
        <f>AND(DATA!C784,"AAAAADd3D0Y=")</f>
        <v>#VALUE!</v>
      </c>
      <c r="BT80" t="e">
        <f>AND(DATA!D784,"AAAAADd3D0c=")</f>
        <v>#VALUE!</v>
      </c>
      <c r="BU80" t="e">
        <f>AND(DATA!E784,"AAAAADd3D0g=")</f>
        <v>#VALUE!</v>
      </c>
      <c r="BV80" t="e">
        <f>AND(DATA!F784,"AAAAADd3D0k=")</f>
        <v>#VALUE!</v>
      </c>
      <c r="BW80" t="e">
        <f>AND(DATA!G784,"AAAAADd3D0o=")</f>
        <v>#VALUE!</v>
      </c>
      <c r="BX80" t="e">
        <f>AND(DATA!H784,"AAAAADd3D0s=")</f>
        <v>#VALUE!</v>
      </c>
      <c r="BY80" t="e">
        <f>AND(DATA!I784,"AAAAADd3D0w=")</f>
        <v>#VALUE!</v>
      </c>
      <c r="BZ80" t="e">
        <f>AND(DATA!J784,"AAAAADd3D00=")</f>
        <v>#VALUE!</v>
      </c>
      <c r="CA80" t="e">
        <f>AND(DATA!K784,"AAAAADd3D04=")</f>
        <v>#VALUE!</v>
      </c>
      <c r="CB80" t="b">
        <f>AND(DATA!L784,"AAAAADd3D08=")</f>
        <v>1</v>
      </c>
      <c r="CC80" t="b">
        <f>AND(DATA!M784,"AAAAADd3D1A=")</f>
        <v>1</v>
      </c>
      <c r="CD80" t="b">
        <f>AND(DATA!N784,"AAAAADd3D1E=")</f>
        <v>1</v>
      </c>
      <c r="CE80">
        <f>IF(DATA!785:785,"AAAAADd3D1I=",0)</f>
        <v>0</v>
      </c>
      <c r="CF80" t="e">
        <f>AND(DATA!A785,"AAAAADd3D1M=")</f>
        <v>#VALUE!</v>
      </c>
      <c r="CG80" t="e">
        <f>AND(DATA!B785,"AAAAADd3D1Q=")</f>
        <v>#VALUE!</v>
      </c>
      <c r="CH80" t="e">
        <f>AND(DATA!C785,"AAAAADd3D1U=")</f>
        <v>#VALUE!</v>
      </c>
      <c r="CI80" t="e">
        <f>AND(DATA!D785,"AAAAADd3D1Y=")</f>
        <v>#VALUE!</v>
      </c>
      <c r="CJ80" t="e">
        <f>AND(DATA!E785,"AAAAADd3D1c=")</f>
        <v>#VALUE!</v>
      </c>
      <c r="CK80" t="e">
        <f>AND(DATA!F785,"AAAAADd3D1g=")</f>
        <v>#VALUE!</v>
      </c>
      <c r="CL80" t="e">
        <f>AND(DATA!G785,"AAAAADd3D1k=")</f>
        <v>#VALUE!</v>
      </c>
      <c r="CM80" t="e">
        <f>AND(DATA!H785,"AAAAADd3D1o=")</f>
        <v>#VALUE!</v>
      </c>
      <c r="CN80" t="e">
        <f>AND(DATA!I785,"AAAAADd3D1s=")</f>
        <v>#VALUE!</v>
      </c>
      <c r="CO80" t="e">
        <f>AND(DATA!J785,"AAAAADd3D1w=")</f>
        <v>#VALUE!</v>
      </c>
      <c r="CP80" t="e">
        <f>AND(DATA!K785,"AAAAADd3D10=")</f>
        <v>#VALUE!</v>
      </c>
      <c r="CQ80" t="b">
        <f>AND(DATA!L785,"AAAAADd3D14=")</f>
        <v>1</v>
      </c>
      <c r="CR80" t="b">
        <f>AND(DATA!M785,"AAAAADd3D18=")</f>
        <v>1</v>
      </c>
      <c r="CS80" t="b">
        <f>AND(DATA!N785,"AAAAADd3D2A=")</f>
        <v>1</v>
      </c>
      <c r="CT80">
        <f>IF(DATA!786:786,"AAAAADd3D2E=",0)</f>
        <v>0</v>
      </c>
      <c r="CU80" t="e">
        <f>AND(DATA!A786,"AAAAADd3D2I=")</f>
        <v>#VALUE!</v>
      </c>
      <c r="CV80" t="e">
        <f>AND(DATA!B786,"AAAAADd3D2M=")</f>
        <v>#VALUE!</v>
      </c>
      <c r="CW80" t="e">
        <f>AND(DATA!C786,"AAAAADd3D2Q=")</f>
        <v>#VALUE!</v>
      </c>
      <c r="CX80" t="e">
        <f>AND(DATA!D786,"AAAAADd3D2U=")</f>
        <v>#VALUE!</v>
      </c>
      <c r="CY80" t="e">
        <f>AND(DATA!E786,"AAAAADd3D2Y=")</f>
        <v>#VALUE!</v>
      </c>
      <c r="CZ80" t="e">
        <f>AND(DATA!F786,"AAAAADd3D2c=")</f>
        <v>#VALUE!</v>
      </c>
      <c r="DA80" t="e">
        <f>AND(DATA!G786,"AAAAADd3D2g=")</f>
        <v>#VALUE!</v>
      </c>
      <c r="DB80" t="e">
        <f>AND(DATA!H786,"AAAAADd3D2k=")</f>
        <v>#VALUE!</v>
      </c>
      <c r="DC80" t="e">
        <f>AND(DATA!I786,"AAAAADd3D2o=")</f>
        <v>#VALUE!</v>
      </c>
      <c r="DD80" t="e">
        <f>AND(DATA!J786,"AAAAADd3D2s=")</f>
        <v>#VALUE!</v>
      </c>
      <c r="DE80" t="e">
        <f>AND(DATA!K786,"AAAAADd3D2w=")</f>
        <v>#VALUE!</v>
      </c>
      <c r="DF80" t="b">
        <f>AND(DATA!L786,"AAAAADd3D20=")</f>
        <v>1</v>
      </c>
      <c r="DG80" t="b">
        <f>AND(DATA!M786,"AAAAADd3D24=")</f>
        <v>1</v>
      </c>
      <c r="DH80" t="b">
        <f>AND(DATA!N786,"AAAAADd3D28=")</f>
        <v>1</v>
      </c>
      <c r="DI80">
        <f>IF(DATA!787:787,"AAAAADd3D3A=",0)</f>
        <v>0</v>
      </c>
      <c r="DJ80" t="e">
        <f>AND(DATA!A787,"AAAAADd3D3E=")</f>
        <v>#VALUE!</v>
      </c>
      <c r="DK80" t="e">
        <f>AND(DATA!B787,"AAAAADd3D3I=")</f>
        <v>#VALUE!</v>
      </c>
      <c r="DL80" t="e">
        <f>AND(DATA!C787,"AAAAADd3D3M=")</f>
        <v>#VALUE!</v>
      </c>
      <c r="DM80" t="e">
        <f>AND(DATA!D787,"AAAAADd3D3Q=")</f>
        <v>#VALUE!</v>
      </c>
      <c r="DN80" t="e">
        <f>AND(DATA!E787,"AAAAADd3D3U=")</f>
        <v>#VALUE!</v>
      </c>
      <c r="DO80" t="e">
        <f>AND(DATA!F787,"AAAAADd3D3Y=")</f>
        <v>#VALUE!</v>
      </c>
      <c r="DP80" t="e">
        <f>AND(DATA!G787,"AAAAADd3D3c=")</f>
        <v>#VALUE!</v>
      </c>
      <c r="DQ80" t="e">
        <f>AND(DATA!H787,"AAAAADd3D3g=")</f>
        <v>#VALUE!</v>
      </c>
      <c r="DR80" t="e">
        <f>AND(DATA!I787,"AAAAADd3D3k=")</f>
        <v>#VALUE!</v>
      </c>
      <c r="DS80" t="e">
        <f>AND(DATA!J787,"AAAAADd3D3o=")</f>
        <v>#VALUE!</v>
      </c>
      <c r="DT80" t="e">
        <f>AND(DATA!K787,"AAAAADd3D3s=")</f>
        <v>#VALUE!</v>
      </c>
      <c r="DU80" t="b">
        <f>AND(DATA!L787,"AAAAADd3D3w=")</f>
        <v>1</v>
      </c>
      <c r="DV80" t="b">
        <f>AND(DATA!M787,"AAAAADd3D30=")</f>
        <v>1</v>
      </c>
      <c r="DW80" t="b">
        <f>AND(DATA!N787,"AAAAADd3D34=")</f>
        <v>1</v>
      </c>
      <c r="DX80">
        <f>IF(DATA!788:788,"AAAAADd3D38=",0)</f>
        <v>0</v>
      </c>
      <c r="DY80" t="e">
        <f>AND(DATA!A788,"AAAAADd3D4A=")</f>
        <v>#VALUE!</v>
      </c>
      <c r="DZ80" t="e">
        <f>AND(DATA!B788,"AAAAADd3D4E=")</f>
        <v>#VALUE!</v>
      </c>
      <c r="EA80" t="e">
        <f>AND(DATA!C788,"AAAAADd3D4I=")</f>
        <v>#VALUE!</v>
      </c>
      <c r="EB80" t="e">
        <f>AND(DATA!D788,"AAAAADd3D4M=")</f>
        <v>#VALUE!</v>
      </c>
      <c r="EC80" t="e">
        <f>AND(DATA!E788,"AAAAADd3D4Q=")</f>
        <v>#VALUE!</v>
      </c>
      <c r="ED80" t="e">
        <f>AND(DATA!F788,"AAAAADd3D4U=")</f>
        <v>#VALUE!</v>
      </c>
      <c r="EE80" t="e">
        <f>AND(DATA!G788,"AAAAADd3D4Y=")</f>
        <v>#VALUE!</v>
      </c>
      <c r="EF80" t="e">
        <f>AND(DATA!H788,"AAAAADd3D4c=")</f>
        <v>#VALUE!</v>
      </c>
      <c r="EG80" t="e">
        <f>AND(DATA!I788,"AAAAADd3D4g=")</f>
        <v>#VALUE!</v>
      </c>
      <c r="EH80" t="e">
        <f>AND(DATA!J788,"AAAAADd3D4k=")</f>
        <v>#VALUE!</v>
      </c>
      <c r="EI80" t="e">
        <f>AND(DATA!K788,"AAAAADd3D4o=")</f>
        <v>#VALUE!</v>
      </c>
      <c r="EJ80" t="b">
        <f>AND(DATA!L788,"AAAAADd3D4s=")</f>
        <v>1</v>
      </c>
      <c r="EK80" t="b">
        <f>AND(DATA!M788,"AAAAADd3D4w=")</f>
        <v>1</v>
      </c>
      <c r="EL80" t="b">
        <f>AND(DATA!N788,"AAAAADd3D40=")</f>
        <v>1</v>
      </c>
      <c r="EM80">
        <f>IF(DATA!789:789,"AAAAADd3D44=",0)</f>
        <v>0</v>
      </c>
      <c r="EN80" t="e">
        <f>AND(DATA!A789,"AAAAADd3D48=")</f>
        <v>#VALUE!</v>
      </c>
      <c r="EO80" t="e">
        <f>AND(DATA!B789,"AAAAADd3D5A=")</f>
        <v>#VALUE!</v>
      </c>
      <c r="EP80" t="e">
        <f>AND(DATA!C789,"AAAAADd3D5E=")</f>
        <v>#VALUE!</v>
      </c>
      <c r="EQ80" t="e">
        <f>AND(DATA!D789,"AAAAADd3D5I=")</f>
        <v>#VALUE!</v>
      </c>
      <c r="ER80" t="e">
        <f>AND(DATA!E789,"AAAAADd3D5M=")</f>
        <v>#VALUE!</v>
      </c>
      <c r="ES80" t="e">
        <f>AND(DATA!F789,"AAAAADd3D5Q=")</f>
        <v>#VALUE!</v>
      </c>
      <c r="ET80" t="e">
        <f>AND(DATA!G789,"AAAAADd3D5U=")</f>
        <v>#VALUE!</v>
      </c>
      <c r="EU80" t="e">
        <f>AND(DATA!H789,"AAAAADd3D5Y=")</f>
        <v>#VALUE!</v>
      </c>
      <c r="EV80" t="e">
        <f>AND(DATA!I789,"AAAAADd3D5c=")</f>
        <v>#VALUE!</v>
      </c>
      <c r="EW80" t="e">
        <f>AND(DATA!J789,"AAAAADd3D5g=")</f>
        <v>#VALUE!</v>
      </c>
      <c r="EX80" t="e">
        <f>AND(DATA!K789,"AAAAADd3D5k=")</f>
        <v>#VALUE!</v>
      </c>
      <c r="EY80" t="b">
        <f>AND(DATA!L789,"AAAAADd3D5o=")</f>
        <v>1</v>
      </c>
      <c r="EZ80" t="b">
        <f>AND(DATA!M789,"AAAAADd3D5s=")</f>
        <v>1</v>
      </c>
      <c r="FA80" t="b">
        <f>AND(DATA!N789,"AAAAADd3D5w=")</f>
        <v>1</v>
      </c>
      <c r="FB80">
        <f>IF(DATA!790:790,"AAAAADd3D50=",0)</f>
        <v>0</v>
      </c>
      <c r="FC80" t="e">
        <f>AND(DATA!A790,"AAAAADd3D54=")</f>
        <v>#VALUE!</v>
      </c>
      <c r="FD80" t="e">
        <f>AND(DATA!B790,"AAAAADd3D58=")</f>
        <v>#VALUE!</v>
      </c>
      <c r="FE80" t="e">
        <f>AND(DATA!C790,"AAAAADd3D6A=")</f>
        <v>#VALUE!</v>
      </c>
      <c r="FF80" t="e">
        <f>AND(DATA!D790,"AAAAADd3D6E=")</f>
        <v>#VALUE!</v>
      </c>
      <c r="FG80" t="e">
        <f>AND(DATA!E790,"AAAAADd3D6I=")</f>
        <v>#VALUE!</v>
      </c>
      <c r="FH80" t="e">
        <f>AND(DATA!F790,"AAAAADd3D6M=")</f>
        <v>#VALUE!</v>
      </c>
      <c r="FI80" t="e">
        <f>AND(DATA!G790,"AAAAADd3D6Q=")</f>
        <v>#VALUE!</v>
      </c>
      <c r="FJ80" t="e">
        <f>AND(DATA!H790,"AAAAADd3D6U=")</f>
        <v>#VALUE!</v>
      </c>
      <c r="FK80" t="e">
        <f>AND(DATA!I790,"AAAAADd3D6Y=")</f>
        <v>#VALUE!</v>
      </c>
      <c r="FL80" t="e">
        <f>AND(DATA!J790,"AAAAADd3D6c=")</f>
        <v>#VALUE!</v>
      </c>
      <c r="FM80" t="e">
        <f>AND(DATA!K790,"AAAAADd3D6g=")</f>
        <v>#VALUE!</v>
      </c>
      <c r="FN80" t="b">
        <f>AND(DATA!L790,"AAAAADd3D6k=")</f>
        <v>1</v>
      </c>
      <c r="FO80" t="b">
        <f>AND(DATA!M790,"AAAAADd3D6o=")</f>
        <v>1</v>
      </c>
      <c r="FP80" t="b">
        <f>AND(DATA!N790,"AAAAADd3D6s=")</f>
        <v>1</v>
      </c>
      <c r="FQ80">
        <f>IF(DATA!791:791,"AAAAADd3D6w=",0)</f>
        <v>0</v>
      </c>
      <c r="FR80" t="e">
        <f>AND(DATA!A791,"AAAAADd3D60=")</f>
        <v>#VALUE!</v>
      </c>
      <c r="FS80" t="e">
        <f>AND(DATA!B791,"AAAAADd3D64=")</f>
        <v>#VALUE!</v>
      </c>
      <c r="FT80" t="e">
        <f>AND(DATA!C791,"AAAAADd3D68=")</f>
        <v>#VALUE!</v>
      </c>
      <c r="FU80" t="e">
        <f>AND(DATA!D791,"AAAAADd3D7A=")</f>
        <v>#VALUE!</v>
      </c>
      <c r="FV80" t="e">
        <f>AND(DATA!E791,"AAAAADd3D7E=")</f>
        <v>#VALUE!</v>
      </c>
      <c r="FW80" t="e">
        <f>AND(DATA!F791,"AAAAADd3D7I=")</f>
        <v>#VALUE!</v>
      </c>
      <c r="FX80" t="e">
        <f>AND(DATA!G791,"AAAAADd3D7M=")</f>
        <v>#VALUE!</v>
      </c>
      <c r="FY80" t="e">
        <f>AND(DATA!H791,"AAAAADd3D7Q=")</f>
        <v>#VALUE!</v>
      </c>
      <c r="FZ80" t="e">
        <f>AND(DATA!I791,"AAAAADd3D7U=")</f>
        <v>#VALUE!</v>
      </c>
      <c r="GA80" t="e">
        <f>AND(DATA!J791,"AAAAADd3D7Y=")</f>
        <v>#VALUE!</v>
      </c>
      <c r="GB80" t="e">
        <f>AND(DATA!K791,"AAAAADd3D7c=")</f>
        <v>#VALUE!</v>
      </c>
      <c r="GC80" t="b">
        <f>AND(DATA!L791,"AAAAADd3D7g=")</f>
        <v>1</v>
      </c>
      <c r="GD80" t="b">
        <f>AND(DATA!M791,"AAAAADd3D7k=")</f>
        <v>1</v>
      </c>
      <c r="GE80" t="b">
        <f>AND(DATA!N791,"AAAAADd3D7o=")</f>
        <v>1</v>
      </c>
      <c r="GF80">
        <f>IF(DATA!792:792,"AAAAADd3D7s=",0)</f>
        <v>0</v>
      </c>
      <c r="GG80" t="e">
        <f>AND(DATA!A792,"AAAAADd3D7w=")</f>
        <v>#VALUE!</v>
      </c>
      <c r="GH80" t="e">
        <f>AND(DATA!B792,"AAAAADd3D70=")</f>
        <v>#VALUE!</v>
      </c>
      <c r="GI80" t="e">
        <f>AND(DATA!C792,"AAAAADd3D74=")</f>
        <v>#VALUE!</v>
      </c>
      <c r="GJ80" t="e">
        <f>AND(DATA!D792,"AAAAADd3D78=")</f>
        <v>#VALUE!</v>
      </c>
      <c r="GK80" t="e">
        <f>AND(DATA!E792,"AAAAADd3D8A=")</f>
        <v>#VALUE!</v>
      </c>
      <c r="GL80" t="e">
        <f>AND(DATA!F792,"AAAAADd3D8E=")</f>
        <v>#VALUE!</v>
      </c>
      <c r="GM80" t="e">
        <f>AND(DATA!G792,"AAAAADd3D8I=")</f>
        <v>#VALUE!</v>
      </c>
      <c r="GN80" t="e">
        <f>AND(DATA!H792,"AAAAADd3D8M=")</f>
        <v>#VALUE!</v>
      </c>
      <c r="GO80" t="e">
        <f>AND(DATA!I792,"AAAAADd3D8Q=")</f>
        <v>#VALUE!</v>
      </c>
      <c r="GP80" t="e">
        <f>AND(DATA!J792,"AAAAADd3D8U=")</f>
        <v>#VALUE!</v>
      </c>
      <c r="GQ80" t="e">
        <f>AND(DATA!K792,"AAAAADd3D8Y=")</f>
        <v>#VALUE!</v>
      </c>
      <c r="GR80" t="b">
        <f>AND(DATA!L792,"AAAAADd3D8c=")</f>
        <v>1</v>
      </c>
      <c r="GS80" t="b">
        <f>AND(DATA!M792,"AAAAADd3D8g=")</f>
        <v>1</v>
      </c>
      <c r="GT80" t="b">
        <f>AND(DATA!N792,"AAAAADd3D8k=")</f>
        <v>1</v>
      </c>
      <c r="GU80">
        <f>IF(DATA!793:793,"AAAAADd3D8o=",0)</f>
        <v>0</v>
      </c>
      <c r="GV80" t="e">
        <f>AND(DATA!A793,"AAAAADd3D8s=")</f>
        <v>#VALUE!</v>
      </c>
      <c r="GW80" t="e">
        <f>AND(DATA!B793,"AAAAADd3D8w=")</f>
        <v>#VALUE!</v>
      </c>
      <c r="GX80" t="e">
        <f>AND(DATA!C793,"AAAAADd3D80=")</f>
        <v>#VALUE!</v>
      </c>
      <c r="GY80" t="e">
        <f>AND(DATA!D793,"AAAAADd3D84=")</f>
        <v>#VALUE!</v>
      </c>
      <c r="GZ80" t="e">
        <f>AND(DATA!E793,"AAAAADd3D88=")</f>
        <v>#VALUE!</v>
      </c>
      <c r="HA80" t="e">
        <f>AND(DATA!F793,"AAAAADd3D9A=")</f>
        <v>#VALUE!</v>
      </c>
      <c r="HB80" t="e">
        <f>AND(DATA!G793,"AAAAADd3D9E=")</f>
        <v>#VALUE!</v>
      </c>
      <c r="HC80" t="e">
        <f>AND(DATA!H793,"AAAAADd3D9I=")</f>
        <v>#VALUE!</v>
      </c>
      <c r="HD80" t="e">
        <f>AND(DATA!I793,"AAAAADd3D9M=")</f>
        <v>#VALUE!</v>
      </c>
      <c r="HE80" t="e">
        <f>AND(DATA!J793,"AAAAADd3D9Q=")</f>
        <v>#VALUE!</v>
      </c>
      <c r="HF80" t="e">
        <f>AND(DATA!K793,"AAAAADd3D9U=")</f>
        <v>#VALUE!</v>
      </c>
      <c r="HG80" t="b">
        <f>AND(DATA!L793,"AAAAADd3D9Y=")</f>
        <v>1</v>
      </c>
      <c r="HH80" t="b">
        <f>AND(DATA!M793,"AAAAADd3D9c=")</f>
        <v>1</v>
      </c>
      <c r="HI80" t="b">
        <f>AND(DATA!N793,"AAAAADd3D9g=")</f>
        <v>1</v>
      </c>
      <c r="HJ80">
        <f>IF(DATA!794:794,"AAAAADd3D9k=",0)</f>
        <v>0</v>
      </c>
      <c r="HK80" t="e">
        <f>AND(DATA!A794,"AAAAADd3D9o=")</f>
        <v>#VALUE!</v>
      </c>
      <c r="HL80" t="e">
        <f>AND(DATA!B794,"AAAAADd3D9s=")</f>
        <v>#VALUE!</v>
      </c>
      <c r="HM80" t="e">
        <f>AND(DATA!C794,"AAAAADd3D9w=")</f>
        <v>#VALUE!</v>
      </c>
      <c r="HN80" t="e">
        <f>AND(DATA!D794,"AAAAADd3D90=")</f>
        <v>#VALUE!</v>
      </c>
      <c r="HO80" t="e">
        <f>AND(DATA!E794,"AAAAADd3D94=")</f>
        <v>#VALUE!</v>
      </c>
      <c r="HP80" t="e">
        <f>AND(DATA!F794,"AAAAADd3D98=")</f>
        <v>#VALUE!</v>
      </c>
      <c r="HQ80" t="e">
        <f>AND(DATA!G794,"AAAAADd3D+A=")</f>
        <v>#VALUE!</v>
      </c>
      <c r="HR80" t="e">
        <f>AND(DATA!H794,"AAAAADd3D+E=")</f>
        <v>#VALUE!</v>
      </c>
      <c r="HS80" t="e">
        <f>AND(DATA!I794,"AAAAADd3D+I=")</f>
        <v>#VALUE!</v>
      </c>
      <c r="HT80" t="e">
        <f>AND(DATA!J794,"AAAAADd3D+M=")</f>
        <v>#VALUE!</v>
      </c>
      <c r="HU80" t="e">
        <f>AND(DATA!K794,"AAAAADd3D+Q=")</f>
        <v>#VALUE!</v>
      </c>
      <c r="HV80" t="b">
        <f>AND(DATA!L794,"AAAAADd3D+U=")</f>
        <v>1</v>
      </c>
      <c r="HW80" t="b">
        <f>AND(DATA!M794,"AAAAADd3D+Y=")</f>
        <v>1</v>
      </c>
      <c r="HX80" t="b">
        <f>AND(DATA!N794,"AAAAADd3D+c=")</f>
        <v>1</v>
      </c>
      <c r="HY80">
        <f>IF(DATA!795:795,"AAAAADd3D+g=",0)</f>
        <v>0</v>
      </c>
      <c r="HZ80" t="e">
        <f>AND(DATA!A795,"AAAAADd3D+k=")</f>
        <v>#VALUE!</v>
      </c>
      <c r="IA80" t="e">
        <f>AND(DATA!B795,"AAAAADd3D+o=")</f>
        <v>#VALUE!</v>
      </c>
      <c r="IB80" t="e">
        <f>AND(DATA!C795,"AAAAADd3D+s=")</f>
        <v>#VALUE!</v>
      </c>
      <c r="IC80" t="e">
        <f>AND(DATA!D795,"AAAAADd3D+w=")</f>
        <v>#VALUE!</v>
      </c>
      <c r="ID80" t="e">
        <f>AND(DATA!E795,"AAAAADd3D+0=")</f>
        <v>#VALUE!</v>
      </c>
      <c r="IE80" t="e">
        <f>AND(DATA!F795,"AAAAADd3D+4=")</f>
        <v>#VALUE!</v>
      </c>
      <c r="IF80" t="e">
        <f>AND(DATA!G795,"AAAAADd3D+8=")</f>
        <v>#VALUE!</v>
      </c>
      <c r="IG80" t="e">
        <f>AND(DATA!H795,"AAAAADd3D/A=")</f>
        <v>#VALUE!</v>
      </c>
      <c r="IH80" t="e">
        <f>AND(DATA!I795,"AAAAADd3D/E=")</f>
        <v>#VALUE!</v>
      </c>
      <c r="II80" t="e">
        <f>AND(DATA!J795,"AAAAADd3D/I=")</f>
        <v>#VALUE!</v>
      </c>
      <c r="IJ80" t="e">
        <f>AND(DATA!K795,"AAAAADd3D/M=")</f>
        <v>#VALUE!</v>
      </c>
      <c r="IK80" t="b">
        <f>AND(DATA!L795,"AAAAADd3D/Q=")</f>
        <v>1</v>
      </c>
      <c r="IL80" t="b">
        <f>AND(DATA!M795,"AAAAADd3D/U=")</f>
        <v>1</v>
      </c>
      <c r="IM80" t="b">
        <f>AND(DATA!N795,"AAAAADd3D/Y=")</f>
        <v>1</v>
      </c>
      <c r="IN80">
        <f>IF(DATA!796:796,"AAAAADd3D/c=",0)</f>
        <v>0</v>
      </c>
      <c r="IO80" t="e">
        <f>AND(DATA!A796,"AAAAADd3D/g=")</f>
        <v>#VALUE!</v>
      </c>
      <c r="IP80" t="e">
        <f>AND(DATA!B796,"AAAAADd3D/k=")</f>
        <v>#VALUE!</v>
      </c>
      <c r="IQ80" t="e">
        <f>AND(DATA!C796,"AAAAADd3D/o=")</f>
        <v>#VALUE!</v>
      </c>
      <c r="IR80" t="e">
        <f>AND(DATA!D796,"AAAAADd3D/s=")</f>
        <v>#VALUE!</v>
      </c>
      <c r="IS80" t="e">
        <f>AND(DATA!E796,"AAAAADd3D/w=")</f>
        <v>#VALUE!</v>
      </c>
      <c r="IT80" t="e">
        <f>AND(DATA!F796,"AAAAADd3D/0=")</f>
        <v>#VALUE!</v>
      </c>
      <c r="IU80" t="e">
        <f>AND(DATA!G796,"AAAAADd3D/4=")</f>
        <v>#VALUE!</v>
      </c>
      <c r="IV80" t="e">
        <f>AND(DATA!H796,"AAAAADd3D/8=")</f>
        <v>#VALUE!</v>
      </c>
    </row>
    <row r="81" spans="1:256">
      <c r="A81" t="e">
        <f>AND(DATA!I796,"AAAAAHqb9QA=")</f>
        <v>#VALUE!</v>
      </c>
      <c r="B81" t="e">
        <f>AND(DATA!J796,"AAAAAHqb9QE=")</f>
        <v>#VALUE!</v>
      </c>
      <c r="C81" t="e">
        <f>AND(DATA!K796,"AAAAAHqb9QI=")</f>
        <v>#VALUE!</v>
      </c>
      <c r="D81" t="b">
        <f>AND(DATA!L796,"AAAAAHqb9QM=")</f>
        <v>1</v>
      </c>
      <c r="E81" t="b">
        <f>AND(DATA!M796,"AAAAAHqb9QQ=")</f>
        <v>1</v>
      </c>
      <c r="F81" t="b">
        <f>AND(DATA!N796,"AAAAAHqb9QU=")</f>
        <v>1</v>
      </c>
      <c r="G81">
        <f>IF(DATA!797:797,"AAAAAHqb9QY=",0)</f>
        <v>0</v>
      </c>
      <c r="H81" t="e">
        <f>AND(DATA!A797,"AAAAAHqb9Qc=")</f>
        <v>#VALUE!</v>
      </c>
      <c r="I81" t="e">
        <f>AND(DATA!B797,"AAAAAHqb9Qg=")</f>
        <v>#VALUE!</v>
      </c>
      <c r="J81" t="e">
        <f>AND(DATA!C797,"AAAAAHqb9Qk=")</f>
        <v>#VALUE!</v>
      </c>
      <c r="K81" t="e">
        <f>AND(DATA!D797,"AAAAAHqb9Qo=")</f>
        <v>#VALUE!</v>
      </c>
      <c r="L81" t="e">
        <f>AND(DATA!E797,"AAAAAHqb9Qs=")</f>
        <v>#VALUE!</v>
      </c>
      <c r="M81" t="e">
        <f>AND(DATA!F797,"AAAAAHqb9Qw=")</f>
        <v>#VALUE!</v>
      </c>
      <c r="N81" t="e">
        <f>AND(DATA!G797,"AAAAAHqb9Q0=")</f>
        <v>#VALUE!</v>
      </c>
      <c r="O81" t="e">
        <f>AND(DATA!H797,"AAAAAHqb9Q4=")</f>
        <v>#VALUE!</v>
      </c>
      <c r="P81" t="e">
        <f>AND(DATA!I797,"AAAAAHqb9Q8=")</f>
        <v>#VALUE!</v>
      </c>
      <c r="Q81" t="e">
        <f>AND(DATA!J797,"AAAAAHqb9RA=")</f>
        <v>#VALUE!</v>
      </c>
      <c r="R81" t="e">
        <f>AND(DATA!K797,"AAAAAHqb9RE=")</f>
        <v>#VALUE!</v>
      </c>
      <c r="S81" t="b">
        <f>AND(DATA!L797,"AAAAAHqb9RI=")</f>
        <v>1</v>
      </c>
      <c r="T81" t="b">
        <f>AND(DATA!M797,"AAAAAHqb9RM=")</f>
        <v>1</v>
      </c>
      <c r="U81" t="b">
        <f>AND(DATA!N797,"AAAAAHqb9RQ=")</f>
        <v>1</v>
      </c>
      <c r="V81">
        <f>IF(DATA!798:798,"AAAAAHqb9RU=",0)</f>
        <v>0</v>
      </c>
      <c r="W81" t="e">
        <f>AND(DATA!A798,"AAAAAHqb9RY=")</f>
        <v>#VALUE!</v>
      </c>
      <c r="X81" t="e">
        <f>AND(DATA!B798,"AAAAAHqb9Rc=")</f>
        <v>#VALUE!</v>
      </c>
      <c r="Y81" t="e">
        <f>AND(DATA!C798,"AAAAAHqb9Rg=")</f>
        <v>#VALUE!</v>
      </c>
      <c r="Z81" t="e">
        <f>AND(DATA!D798,"AAAAAHqb9Rk=")</f>
        <v>#VALUE!</v>
      </c>
      <c r="AA81" t="e">
        <f>AND(DATA!E798,"AAAAAHqb9Ro=")</f>
        <v>#VALUE!</v>
      </c>
      <c r="AB81" t="e">
        <f>AND(DATA!F798,"AAAAAHqb9Rs=")</f>
        <v>#VALUE!</v>
      </c>
      <c r="AC81" t="e">
        <f>AND(DATA!G798,"AAAAAHqb9Rw=")</f>
        <v>#VALUE!</v>
      </c>
      <c r="AD81" t="e">
        <f>AND(DATA!H798,"AAAAAHqb9R0=")</f>
        <v>#VALUE!</v>
      </c>
      <c r="AE81" t="e">
        <f>AND(DATA!I798,"AAAAAHqb9R4=")</f>
        <v>#VALUE!</v>
      </c>
      <c r="AF81" t="e">
        <f>AND(DATA!J798,"AAAAAHqb9R8=")</f>
        <v>#VALUE!</v>
      </c>
      <c r="AG81" t="e">
        <f>AND(DATA!K798,"AAAAAHqb9SA=")</f>
        <v>#VALUE!</v>
      </c>
      <c r="AH81" t="b">
        <f>AND(DATA!L798,"AAAAAHqb9SE=")</f>
        <v>1</v>
      </c>
      <c r="AI81" t="b">
        <f>AND(DATA!M798,"AAAAAHqb9SI=")</f>
        <v>1</v>
      </c>
      <c r="AJ81" t="b">
        <f>AND(DATA!N798,"AAAAAHqb9SM=")</f>
        <v>1</v>
      </c>
      <c r="AK81">
        <f>IF(DATA!799:799,"AAAAAHqb9SQ=",0)</f>
        <v>0</v>
      </c>
      <c r="AL81" t="e">
        <f>AND(DATA!A799,"AAAAAHqb9SU=")</f>
        <v>#VALUE!</v>
      </c>
      <c r="AM81" t="e">
        <f>AND(DATA!B799,"AAAAAHqb9SY=")</f>
        <v>#VALUE!</v>
      </c>
      <c r="AN81" t="e">
        <f>AND(DATA!C799,"AAAAAHqb9Sc=")</f>
        <v>#VALUE!</v>
      </c>
      <c r="AO81" t="e">
        <f>AND(DATA!D799,"AAAAAHqb9Sg=")</f>
        <v>#VALUE!</v>
      </c>
      <c r="AP81" t="e">
        <f>AND(DATA!E799,"AAAAAHqb9Sk=")</f>
        <v>#VALUE!</v>
      </c>
      <c r="AQ81" t="e">
        <f>AND(DATA!F799,"AAAAAHqb9So=")</f>
        <v>#VALUE!</v>
      </c>
      <c r="AR81" t="e">
        <f>AND(DATA!G799,"AAAAAHqb9Ss=")</f>
        <v>#VALUE!</v>
      </c>
      <c r="AS81" t="e">
        <f>AND(DATA!H799,"AAAAAHqb9Sw=")</f>
        <v>#VALUE!</v>
      </c>
      <c r="AT81" t="e">
        <f>AND(DATA!I799,"AAAAAHqb9S0=")</f>
        <v>#VALUE!</v>
      </c>
      <c r="AU81" t="e">
        <f>AND(DATA!J799,"AAAAAHqb9S4=")</f>
        <v>#VALUE!</v>
      </c>
      <c r="AV81" t="e">
        <f>AND(DATA!K799,"AAAAAHqb9S8=")</f>
        <v>#VALUE!</v>
      </c>
      <c r="AW81" t="b">
        <f>AND(DATA!L799,"AAAAAHqb9TA=")</f>
        <v>1</v>
      </c>
      <c r="AX81" t="b">
        <f>AND(DATA!M799,"AAAAAHqb9TE=")</f>
        <v>1</v>
      </c>
      <c r="AY81" t="b">
        <f>AND(DATA!N799,"AAAAAHqb9TI=")</f>
        <v>1</v>
      </c>
      <c r="AZ81">
        <f>IF(DATA!800:800,"AAAAAHqb9TM=",0)</f>
        <v>0</v>
      </c>
      <c r="BA81" t="e">
        <f>AND(DATA!A800,"AAAAAHqb9TQ=")</f>
        <v>#VALUE!</v>
      </c>
      <c r="BB81" t="e">
        <f>AND(DATA!B800,"AAAAAHqb9TU=")</f>
        <v>#VALUE!</v>
      </c>
      <c r="BC81" t="e">
        <f>AND(DATA!C800,"AAAAAHqb9TY=")</f>
        <v>#VALUE!</v>
      </c>
      <c r="BD81" t="e">
        <f>AND(DATA!D800,"AAAAAHqb9Tc=")</f>
        <v>#VALUE!</v>
      </c>
      <c r="BE81" t="e">
        <f>AND(DATA!E800,"AAAAAHqb9Tg=")</f>
        <v>#VALUE!</v>
      </c>
      <c r="BF81" t="e">
        <f>AND(DATA!F800,"AAAAAHqb9Tk=")</f>
        <v>#VALUE!</v>
      </c>
      <c r="BG81" t="e">
        <f>AND(DATA!G800,"AAAAAHqb9To=")</f>
        <v>#VALUE!</v>
      </c>
      <c r="BH81" t="e">
        <f>AND(DATA!H800,"AAAAAHqb9Ts=")</f>
        <v>#VALUE!</v>
      </c>
      <c r="BI81" t="e">
        <f>AND(DATA!I800,"AAAAAHqb9Tw=")</f>
        <v>#VALUE!</v>
      </c>
      <c r="BJ81" t="e">
        <f>AND(DATA!J800,"AAAAAHqb9T0=")</f>
        <v>#VALUE!</v>
      </c>
      <c r="BK81" t="e">
        <f>AND(DATA!K800,"AAAAAHqb9T4=")</f>
        <v>#VALUE!</v>
      </c>
      <c r="BL81" t="b">
        <f>AND(DATA!L800,"AAAAAHqb9T8=")</f>
        <v>1</v>
      </c>
      <c r="BM81" t="b">
        <f>AND(DATA!M800,"AAAAAHqb9UA=")</f>
        <v>1</v>
      </c>
      <c r="BN81" t="b">
        <f>AND(DATA!N800,"AAAAAHqb9UE=")</f>
        <v>1</v>
      </c>
      <c r="BO81">
        <f>IF(DATA!801:801,"AAAAAHqb9UI=",0)</f>
        <v>0</v>
      </c>
      <c r="BP81" t="e">
        <f>AND(DATA!A801,"AAAAAHqb9UM=")</f>
        <v>#VALUE!</v>
      </c>
      <c r="BQ81" t="e">
        <f>AND(DATA!B801,"AAAAAHqb9UQ=")</f>
        <v>#VALUE!</v>
      </c>
      <c r="BR81" t="e">
        <f>AND(DATA!C801,"AAAAAHqb9UU=")</f>
        <v>#VALUE!</v>
      </c>
      <c r="BS81" t="e">
        <f>AND(DATA!D801,"AAAAAHqb9UY=")</f>
        <v>#VALUE!</v>
      </c>
      <c r="BT81" t="e">
        <f>AND(DATA!E801,"AAAAAHqb9Uc=")</f>
        <v>#VALUE!</v>
      </c>
      <c r="BU81" t="e">
        <f>AND(DATA!F801,"AAAAAHqb9Ug=")</f>
        <v>#VALUE!</v>
      </c>
      <c r="BV81" t="e">
        <f>AND(DATA!G801,"AAAAAHqb9Uk=")</f>
        <v>#VALUE!</v>
      </c>
      <c r="BW81" t="e">
        <f>AND(DATA!H801,"AAAAAHqb9Uo=")</f>
        <v>#VALUE!</v>
      </c>
      <c r="BX81" t="e">
        <f>AND(DATA!I801,"AAAAAHqb9Us=")</f>
        <v>#VALUE!</v>
      </c>
      <c r="BY81" t="e">
        <f>AND(DATA!J801,"AAAAAHqb9Uw=")</f>
        <v>#VALUE!</v>
      </c>
      <c r="BZ81" t="e">
        <f>AND(DATA!K801,"AAAAAHqb9U0=")</f>
        <v>#VALUE!</v>
      </c>
      <c r="CA81" t="b">
        <f>AND(DATA!L801,"AAAAAHqb9U4=")</f>
        <v>1</v>
      </c>
      <c r="CB81" t="b">
        <f>AND(DATA!M801,"AAAAAHqb9U8=")</f>
        <v>1</v>
      </c>
      <c r="CC81" t="b">
        <f>AND(DATA!N801,"AAAAAHqb9VA=")</f>
        <v>1</v>
      </c>
      <c r="CD81">
        <f>IF(DATA!802:802,"AAAAAHqb9VE=",0)</f>
        <v>0</v>
      </c>
      <c r="CE81" t="e">
        <f>AND(DATA!A802,"AAAAAHqb9VI=")</f>
        <v>#VALUE!</v>
      </c>
      <c r="CF81" t="e">
        <f>AND(DATA!B802,"AAAAAHqb9VM=")</f>
        <v>#VALUE!</v>
      </c>
      <c r="CG81" t="e">
        <f>AND(DATA!C802,"AAAAAHqb9VQ=")</f>
        <v>#VALUE!</v>
      </c>
      <c r="CH81" t="e">
        <f>AND(DATA!D802,"AAAAAHqb9VU=")</f>
        <v>#VALUE!</v>
      </c>
      <c r="CI81" t="e">
        <f>AND(DATA!E802,"AAAAAHqb9VY=")</f>
        <v>#VALUE!</v>
      </c>
      <c r="CJ81" t="e">
        <f>AND(DATA!F802,"AAAAAHqb9Vc=")</f>
        <v>#VALUE!</v>
      </c>
      <c r="CK81" t="e">
        <f>AND(DATA!G802,"AAAAAHqb9Vg=")</f>
        <v>#VALUE!</v>
      </c>
      <c r="CL81" t="e">
        <f>AND(DATA!H802,"AAAAAHqb9Vk=")</f>
        <v>#VALUE!</v>
      </c>
      <c r="CM81" t="e">
        <f>AND(DATA!I802,"AAAAAHqb9Vo=")</f>
        <v>#VALUE!</v>
      </c>
      <c r="CN81" t="e">
        <f>AND(DATA!J802,"AAAAAHqb9Vs=")</f>
        <v>#VALUE!</v>
      </c>
      <c r="CO81" t="e">
        <f>AND(DATA!K802,"AAAAAHqb9Vw=")</f>
        <v>#VALUE!</v>
      </c>
      <c r="CP81" t="b">
        <f>AND(DATA!L802,"AAAAAHqb9V0=")</f>
        <v>1</v>
      </c>
      <c r="CQ81" t="b">
        <f>AND(DATA!M802,"AAAAAHqb9V4=")</f>
        <v>1</v>
      </c>
      <c r="CR81" t="b">
        <f>AND(DATA!N802,"AAAAAHqb9V8=")</f>
        <v>1</v>
      </c>
      <c r="CS81">
        <f>IF(DATA!803:803,"AAAAAHqb9WA=",0)</f>
        <v>0</v>
      </c>
      <c r="CT81" t="e">
        <f>AND(DATA!A803,"AAAAAHqb9WE=")</f>
        <v>#VALUE!</v>
      </c>
      <c r="CU81" t="e">
        <f>AND(DATA!B803,"AAAAAHqb9WI=")</f>
        <v>#VALUE!</v>
      </c>
      <c r="CV81" t="e">
        <f>AND(DATA!C803,"AAAAAHqb9WM=")</f>
        <v>#VALUE!</v>
      </c>
      <c r="CW81" t="e">
        <f>AND(DATA!D803,"AAAAAHqb9WQ=")</f>
        <v>#VALUE!</v>
      </c>
      <c r="CX81" t="e">
        <f>AND(DATA!E803,"AAAAAHqb9WU=")</f>
        <v>#VALUE!</v>
      </c>
      <c r="CY81" t="e">
        <f>AND(DATA!F803,"AAAAAHqb9WY=")</f>
        <v>#VALUE!</v>
      </c>
      <c r="CZ81" t="e">
        <f>AND(DATA!G803,"AAAAAHqb9Wc=")</f>
        <v>#VALUE!</v>
      </c>
      <c r="DA81" t="e">
        <f>AND(DATA!H803,"AAAAAHqb9Wg=")</f>
        <v>#VALUE!</v>
      </c>
      <c r="DB81" t="e">
        <f>AND(DATA!I803,"AAAAAHqb9Wk=")</f>
        <v>#VALUE!</v>
      </c>
      <c r="DC81" t="e">
        <f>AND(DATA!J803,"AAAAAHqb9Wo=")</f>
        <v>#VALUE!</v>
      </c>
      <c r="DD81" t="e">
        <f>AND(DATA!K803,"AAAAAHqb9Ws=")</f>
        <v>#VALUE!</v>
      </c>
      <c r="DE81" t="b">
        <f>AND(DATA!L803,"AAAAAHqb9Ww=")</f>
        <v>1</v>
      </c>
      <c r="DF81" t="b">
        <f>AND(DATA!M803,"AAAAAHqb9W0=")</f>
        <v>1</v>
      </c>
      <c r="DG81" t="b">
        <f>AND(DATA!N803,"AAAAAHqb9W4=")</f>
        <v>1</v>
      </c>
      <c r="DH81">
        <f>IF(DATA!804:804,"AAAAAHqb9W8=",0)</f>
        <v>0</v>
      </c>
      <c r="DI81" t="e">
        <f>AND(DATA!A804,"AAAAAHqb9XA=")</f>
        <v>#VALUE!</v>
      </c>
      <c r="DJ81" t="e">
        <f>AND(DATA!B804,"AAAAAHqb9XE=")</f>
        <v>#VALUE!</v>
      </c>
      <c r="DK81" t="e">
        <f>AND(DATA!C804,"AAAAAHqb9XI=")</f>
        <v>#VALUE!</v>
      </c>
      <c r="DL81" t="e">
        <f>AND(DATA!D804,"AAAAAHqb9XM=")</f>
        <v>#VALUE!</v>
      </c>
      <c r="DM81" t="e">
        <f>AND(DATA!E804,"AAAAAHqb9XQ=")</f>
        <v>#VALUE!</v>
      </c>
      <c r="DN81" t="e">
        <f>AND(DATA!F804,"AAAAAHqb9XU=")</f>
        <v>#VALUE!</v>
      </c>
      <c r="DO81" t="e">
        <f>AND(DATA!G804,"AAAAAHqb9XY=")</f>
        <v>#VALUE!</v>
      </c>
      <c r="DP81" t="e">
        <f>AND(DATA!H804,"AAAAAHqb9Xc=")</f>
        <v>#VALUE!</v>
      </c>
      <c r="DQ81" t="e">
        <f>AND(DATA!I804,"AAAAAHqb9Xg=")</f>
        <v>#VALUE!</v>
      </c>
      <c r="DR81" t="e">
        <f>AND(DATA!J804,"AAAAAHqb9Xk=")</f>
        <v>#VALUE!</v>
      </c>
      <c r="DS81" t="e">
        <f>AND(DATA!K804,"AAAAAHqb9Xo=")</f>
        <v>#VALUE!</v>
      </c>
      <c r="DT81" t="b">
        <f>AND(DATA!L804,"AAAAAHqb9Xs=")</f>
        <v>1</v>
      </c>
      <c r="DU81" t="b">
        <f>AND(DATA!M804,"AAAAAHqb9Xw=")</f>
        <v>1</v>
      </c>
      <c r="DV81" t="b">
        <f>AND(DATA!N804,"AAAAAHqb9X0=")</f>
        <v>1</v>
      </c>
      <c r="DW81">
        <f>IF(DATA!805:805,"AAAAAHqb9X4=",0)</f>
        <v>0</v>
      </c>
      <c r="DX81" t="e">
        <f>AND(DATA!A805,"AAAAAHqb9X8=")</f>
        <v>#VALUE!</v>
      </c>
      <c r="DY81" t="e">
        <f>AND(DATA!B805,"AAAAAHqb9YA=")</f>
        <v>#VALUE!</v>
      </c>
      <c r="DZ81" t="e">
        <f>AND(DATA!C805,"AAAAAHqb9YE=")</f>
        <v>#VALUE!</v>
      </c>
      <c r="EA81" t="e">
        <f>AND(DATA!D805,"AAAAAHqb9YI=")</f>
        <v>#VALUE!</v>
      </c>
      <c r="EB81" t="e">
        <f>AND(DATA!E805,"AAAAAHqb9YM=")</f>
        <v>#VALUE!</v>
      </c>
      <c r="EC81" t="e">
        <f>AND(DATA!F805,"AAAAAHqb9YQ=")</f>
        <v>#VALUE!</v>
      </c>
      <c r="ED81" t="e">
        <f>AND(DATA!G805,"AAAAAHqb9YU=")</f>
        <v>#VALUE!</v>
      </c>
      <c r="EE81" t="e">
        <f>AND(DATA!H805,"AAAAAHqb9YY=")</f>
        <v>#VALUE!</v>
      </c>
      <c r="EF81" t="e">
        <f>AND(DATA!I805,"AAAAAHqb9Yc=")</f>
        <v>#VALUE!</v>
      </c>
      <c r="EG81" t="e">
        <f>AND(DATA!J805,"AAAAAHqb9Yg=")</f>
        <v>#VALUE!</v>
      </c>
      <c r="EH81" t="e">
        <f>AND(DATA!K805,"AAAAAHqb9Yk=")</f>
        <v>#VALUE!</v>
      </c>
      <c r="EI81" t="b">
        <f>AND(DATA!L805,"AAAAAHqb9Yo=")</f>
        <v>1</v>
      </c>
      <c r="EJ81" t="b">
        <f>AND(DATA!M805,"AAAAAHqb9Ys=")</f>
        <v>1</v>
      </c>
      <c r="EK81" t="b">
        <f>AND(DATA!N805,"AAAAAHqb9Yw=")</f>
        <v>1</v>
      </c>
      <c r="EL81">
        <f>IF(DATA!806:806,"AAAAAHqb9Y0=",0)</f>
        <v>0</v>
      </c>
      <c r="EM81" t="e">
        <f>AND(DATA!A806,"AAAAAHqb9Y4=")</f>
        <v>#VALUE!</v>
      </c>
      <c r="EN81" t="e">
        <f>AND(DATA!B806,"AAAAAHqb9Y8=")</f>
        <v>#VALUE!</v>
      </c>
      <c r="EO81" t="e">
        <f>AND(DATA!C806,"AAAAAHqb9ZA=")</f>
        <v>#VALUE!</v>
      </c>
      <c r="EP81" t="e">
        <f>AND(DATA!D806,"AAAAAHqb9ZE=")</f>
        <v>#VALUE!</v>
      </c>
      <c r="EQ81" t="e">
        <f>AND(DATA!E806,"AAAAAHqb9ZI=")</f>
        <v>#VALUE!</v>
      </c>
      <c r="ER81" t="e">
        <f>AND(DATA!F806,"AAAAAHqb9ZM=")</f>
        <v>#VALUE!</v>
      </c>
      <c r="ES81" t="e">
        <f>AND(DATA!G806,"AAAAAHqb9ZQ=")</f>
        <v>#VALUE!</v>
      </c>
      <c r="ET81" t="e">
        <f>AND(DATA!H806,"AAAAAHqb9ZU=")</f>
        <v>#VALUE!</v>
      </c>
      <c r="EU81" t="e">
        <f>AND(DATA!I806,"AAAAAHqb9ZY=")</f>
        <v>#VALUE!</v>
      </c>
      <c r="EV81" t="e">
        <f>AND(DATA!J806,"AAAAAHqb9Zc=")</f>
        <v>#VALUE!</v>
      </c>
      <c r="EW81" t="e">
        <f>AND(DATA!K806,"AAAAAHqb9Zg=")</f>
        <v>#VALUE!</v>
      </c>
      <c r="EX81" t="b">
        <f>AND(DATA!L806,"AAAAAHqb9Zk=")</f>
        <v>1</v>
      </c>
      <c r="EY81" t="b">
        <f>AND(DATA!M806,"AAAAAHqb9Zo=")</f>
        <v>1</v>
      </c>
      <c r="EZ81" t="b">
        <f>AND(DATA!N806,"AAAAAHqb9Zs=")</f>
        <v>1</v>
      </c>
      <c r="FA81">
        <f>IF(DATA!807:807,"AAAAAHqb9Zw=",0)</f>
        <v>0</v>
      </c>
      <c r="FB81" t="e">
        <f>AND(DATA!A807,"AAAAAHqb9Z0=")</f>
        <v>#VALUE!</v>
      </c>
      <c r="FC81" t="e">
        <f>AND(DATA!B807,"AAAAAHqb9Z4=")</f>
        <v>#VALUE!</v>
      </c>
      <c r="FD81" t="e">
        <f>AND(DATA!C807,"AAAAAHqb9Z8=")</f>
        <v>#VALUE!</v>
      </c>
      <c r="FE81" t="e">
        <f>AND(DATA!D807,"AAAAAHqb9aA=")</f>
        <v>#VALUE!</v>
      </c>
      <c r="FF81" t="e">
        <f>AND(DATA!E807,"AAAAAHqb9aE=")</f>
        <v>#VALUE!</v>
      </c>
      <c r="FG81" t="e">
        <f>AND(DATA!F807,"AAAAAHqb9aI=")</f>
        <v>#VALUE!</v>
      </c>
      <c r="FH81" t="e">
        <f>AND(DATA!G807,"AAAAAHqb9aM=")</f>
        <v>#VALUE!</v>
      </c>
      <c r="FI81" t="e">
        <f>AND(DATA!H807,"AAAAAHqb9aQ=")</f>
        <v>#VALUE!</v>
      </c>
      <c r="FJ81" t="e">
        <f>AND(DATA!I807,"AAAAAHqb9aU=")</f>
        <v>#VALUE!</v>
      </c>
      <c r="FK81" t="e">
        <f>AND(DATA!J807,"AAAAAHqb9aY=")</f>
        <v>#VALUE!</v>
      </c>
      <c r="FL81" t="e">
        <f>AND(DATA!K807,"AAAAAHqb9ac=")</f>
        <v>#VALUE!</v>
      </c>
      <c r="FM81" t="b">
        <f>AND(DATA!L807,"AAAAAHqb9ag=")</f>
        <v>1</v>
      </c>
      <c r="FN81" t="b">
        <f>AND(DATA!M807,"AAAAAHqb9ak=")</f>
        <v>1</v>
      </c>
      <c r="FO81" t="b">
        <f>AND(DATA!N807,"AAAAAHqb9ao=")</f>
        <v>1</v>
      </c>
      <c r="FP81">
        <f>IF(DATA!808:808,"AAAAAHqb9as=",0)</f>
        <v>0</v>
      </c>
      <c r="FQ81" t="e">
        <f>AND(DATA!A808,"AAAAAHqb9aw=")</f>
        <v>#VALUE!</v>
      </c>
      <c r="FR81" t="e">
        <f>AND(DATA!B808,"AAAAAHqb9a0=")</f>
        <v>#VALUE!</v>
      </c>
      <c r="FS81" t="e">
        <f>AND(DATA!C808,"AAAAAHqb9a4=")</f>
        <v>#VALUE!</v>
      </c>
      <c r="FT81" t="e">
        <f>AND(DATA!D808,"AAAAAHqb9a8=")</f>
        <v>#VALUE!</v>
      </c>
      <c r="FU81" t="e">
        <f>AND(DATA!E808,"AAAAAHqb9bA=")</f>
        <v>#VALUE!</v>
      </c>
      <c r="FV81" t="e">
        <f>AND(DATA!F808,"AAAAAHqb9bE=")</f>
        <v>#VALUE!</v>
      </c>
      <c r="FW81" t="e">
        <f>AND(DATA!G808,"AAAAAHqb9bI=")</f>
        <v>#VALUE!</v>
      </c>
      <c r="FX81" t="e">
        <f>AND(DATA!H808,"AAAAAHqb9bM=")</f>
        <v>#VALUE!</v>
      </c>
      <c r="FY81" t="e">
        <f>AND(DATA!I808,"AAAAAHqb9bQ=")</f>
        <v>#VALUE!</v>
      </c>
      <c r="FZ81" t="e">
        <f>AND(DATA!J808,"AAAAAHqb9bU=")</f>
        <v>#VALUE!</v>
      </c>
      <c r="GA81" t="e">
        <f>AND(DATA!K808,"AAAAAHqb9bY=")</f>
        <v>#VALUE!</v>
      </c>
      <c r="GB81" t="b">
        <f>AND(DATA!L808,"AAAAAHqb9bc=")</f>
        <v>1</v>
      </c>
      <c r="GC81" t="b">
        <f>AND(DATA!M808,"AAAAAHqb9bg=")</f>
        <v>1</v>
      </c>
      <c r="GD81" t="b">
        <f>AND(DATA!N808,"AAAAAHqb9bk=")</f>
        <v>1</v>
      </c>
      <c r="GE81">
        <f>IF(DATA!809:809,"AAAAAHqb9bo=",0)</f>
        <v>0</v>
      </c>
      <c r="GF81" t="e">
        <f>AND(DATA!A809,"AAAAAHqb9bs=")</f>
        <v>#VALUE!</v>
      </c>
      <c r="GG81" t="e">
        <f>AND(DATA!B809,"AAAAAHqb9bw=")</f>
        <v>#VALUE!</v>
      </c>
      <c r="GH81" t="e">
        <f>AND(DATA!C809,"AAAAAHqb9b0=")</f>
        <v>#VALUE!</v>
      </c>
      <c r="GI81" t="e">
        <f>AND(DATA!D809,"AAAAAHqb9b4=")</f>
        <v>#VALUE!</v>
      </c>
      <c r="GJ81" t="e">
        <f>AND(DATA!E809,"AAAAAHqb9b8=")</f>
        <v>#VALUE!</v>
      </c>
      <c r="GK81" t="e">
        <f>AND(DATA!F809,"AAAAAHqb9cA=")</f>
        <v>#VALUE!</v>
      </c>
      <c r="GL81" t="e">
        <f>AND(DATA!G809,"AAAAAHqb9cE=")</f>
        <v>#VALUE!</v>
      </c>
      <c r="GM81" t="e">
        <f>AND(DATA!H809,"AAAAAHqb9cI=")</f>
        <v>#VALUE!</v>
      </c>
      <c r="GN81" t="e">
        <f>AND(DATA!I809,"AAAAAHqb9cM=")</f>
        <v>#VALUE!</v>
      </c>
      <c r="GO81" t="e">
        <f>AND(DATA!J809,"AAAAAHqb9cQ=")</f>
        <v>#VALUE!</v>
      </c>
      <c r="GP81" t="e">
        <f>AND(DATA!K809,"AAAAAHqb9cU=")</f>
        <v>#VALUE!</v>
      </c>
      <c r="GQ81" t="b">
        <f>AND(DATA!L809,"AAAAAHqb9cY=")</f>
        <v>1</v>
      </c>
      <c r="GR81" t="b">
        <f>AND(DATA!M809,"AAAAAHqb9cc=")</f>
        <v>1</v>
      </c>
      <c r="GS81" t="b">
        <f>AND(DATA!N809,"AAAAAHqb9cg=")</f>
        <v>1</v>
      </c>
      <c r="GT81">
        <f>IF(DATA!810:810,"AAAAAHqb9ck=",0)</f>
        <v>0</v>
      </c>
      <c r="GU81" t="e">
        <f>AND(DATA!A810,"AAAAAHqb9co=")</f>
        <v>#VALUE!</v>
      </c>
      <c r="GV81" t="e">
        <f>AND(DATA!B810,"AAAAAHqb9cs=")</f>
        <v>#VALUE!</v>
      </c>
      <c r="GW81" t="e">
        <f>AND(DATA!C810,"AAAAAHqb9cw=")</f>
        <v>#VALUE!</v>
      </c>
      <c r="GX81" t="e">
        <f>AND(DATA!D810,"AAAAAHqb9c0=")</f>
        <v>#VALUE!</v>
      </c>
      <c r="GY81" t="e">
        <f>AND(DATA!E810,"AAAAAHqb9c4=")</f>
        <v>#VALUE!</v>
      </c>
      <c r="GZ81" t="e">
        <f>AND(DATA!F810,"AAAAAHqb9c8=")</f>
        <v>#VALUE!</v>
      </c>
      <c r="HA81" t="e">
        <f>AND(DATA!G810,"AAAAAHqb9dA=")</f>
        <v>#VALUE!</v>
      </c>
      <c r="HB81" t="e">
        <f>AND(DATA!H810,"AAAAAHqb9dE=")</f>
        <v>#VALUE!</v>
      </c>
      <c r="HC81" t="e">
        <f>AND(DATA!I810,"AAAAAHqb9dI=")</f>
        <v>#VALUE!</v>
      </c>
      <c r="HD81" t="e">
        <f>AND(DATA!J810,"AAAAAHqb9dM=")</f>
        <v>#VALUE!</v>
      </c>
      <c r="HE81" t="e">
        <f>AND(DATA!K810,"AAAAAHqb9dQ=")</f>
        <v>#VALUE!</v>
      </c>
      <c r="HF81" t="b">
        <f>AND(DATA!L810,"AAAAAHqb9dU=")</f>
        <v>1</v>
      </c>
      <c r="HG81" t="b">
        <f>AND(DATA!M810,"AAAAAHqb9dY=")</f>
        <v>1</v>
      </c>
      <c r="HH81" t="b">
        <f>AND(DATA!N810,"AAAAAHqb9dc=")</f>
        <v>1</v>
      </c>
      <c r="HI81">
        <f>IF(DATA!811:811,"AAAAAHqb9dg=",0)</f>
        <v>0</v>
      </c>
      <c r="HJ81" t="e">
        <f>AND(DATA!A811,"AAAAAHqb9dk=")</f>
        <v>#VALUE!</v>
      </c>
      <c r="HK81" t="e">
        <f>AND(DATA!B811,"AAAAAHqb9do=")</f>
        <v>#VALUE!</v>
      </c>
      <c r="HL81" t="e">
        <f>AND(DATA!C811,"AAAAAHqb9ds=")</f>
        <v>#VALUE!</v>
      </c>
      <c r="HM81" t="e">
        <f>AND(DATA!D811,"AAAAAHqb9dw=")</f>
        <v>#VALUE!</v>
      </c>
      <c r="HN81" t="e">
        <f>AND(DATA!E811,"AAAAAHqb9d0=")</f>
        <v>#VALUE!</v>
      </c>
      <c r="HO81" t="e">
        <f>AND(DATA!F811,"AAAAAHqb9d4=")</f>
        <v>#VALUE!</v>
      </c>
      <c r="HP81" t="e">
        <f>AND(DATA!G811,"AAAAAHqb9d8=")</f>
        <v>#VALUE!</v>
      </c>
      <c r="HQ81" t="e">
        <f>AND(DATA!H811,"AAAAAHqb9eA=")</f>
        <v>#VALUE!</v>
      </c>
      <c r="HR81" t="e">
        <f>AND(DATA!I811,"AAAAAHqb9eE=")</f>
        <v>#VALUE!</v>
      </c>
      <c r="HS81" t="e">
        <f>AND(DATA!J811,"AAAAAHqb9eI=")</f>
        <v>#VALUE!</v>
      </c>
      <c r="HT81" t="e">
        <f>AND(DATA!K811,"AAAAAHqb9eM=")</f>
        <v>#VALUE!</v>
      </c>
      <c r="HU81" t="b">
        <f>AND(DATA!L811,"AAAAAHqb9eQ=")</f>
        <v>1</v>
      </c>
      <c r="HV81" t="b">
        <f>AND(DATA!M811,"AAAAAHqb9eU=")</f>
        <v>1</v>
      </c>
      <c r="HW81" t="b">
        <f>AND(DATA!N811,"AAAAAHqb9eY=")</f>
        <v>1</v>
      </c>
      <c r="HX81">
        <f>IF(DATA!812:812,"AAAAAHqb9ec=",0)</f>
        <v>0</v>
      </c>
      <c r="HY81" t="e">
        <f>AND(DATA!A812,"AAAAAHqb9eg=")</f>
        <v>#VALUE!</v>
      </c>
      <c r="HZ81" t="e">
        <f>AND(DATA!B812,"AAAAAHqb9ek=")</f>
        <v>#VALUE!</v>
      </c>
      <c r="IA81" t="e">
        <f>AND(DATA!C812,"AAAAAHqb9eo=")</f>
        <v>#VALUE!</v>
      </c>
      <c r="IB81" t="e">
        <f>AND(DATA!D812,"AAAAAHqb9es=")</f>
        <v>#VALUE!</v>
      </c>
      <c r="IC81" t="e">
        <f>AND(DATA!E812,"AAAAAHqb9ew=")</f>
        <v>#VALUE!</v>
      </c>
      <c r="ID81" t="e">
        <f>AND(DATA!F812,"AAAAAHqb9e0=")</f>
        <v>#VALUE!</v>
      </c>
      <c r="IE81" t="e">
        <f>AND(DATA!G812,"AAAAAHqb9e4=")</f>
        <v>#VALUE!</v>
      </c>
      <c r="IF81" t="e">
        <f>AND(DATA!H812,"AAAAAHqb9e8=")</f>
        <v>#VALUE!</v>
      </c>
      <c r="IG81" t="e">
        <f>AND(DATA!I812,"AAAAAHqb9fA=")</f>
        <v>#VALUE!</v>
      </c>
      <c r="IH81" t="e">
        <f>AND(DATA!J812,"AAAAAHqb9fE=")</f>
        <v>#VALUE!</v>
      </c>
      <c r="II81" t="e">
        <f>AND(DATA!K812,"AAAAAHqb9fI=")</f>
        <v>#VALUE!</v>
      </c>
      <c r="IJ81" t="b">
        <f>AND(DATA!L812,"AAAAAHqb9fM=")</f>
        <v>1</v>
      </c>
      <c r="IK81" t="b">
        <f>AND(DATA!M812,"AAAAAHqb9fQ=")</f>
        <v>1</v>
      </c>
      <c r="IL81" t="b">
        <f>AND(DATA!N812,"AAAAAHqb9fU=")</f>
        <v>1</v>
      </c>
      <c r="IM81">
        <f>IF(DATA!813:813,"AAAAAHqb9fY=",0)</f>
        <v>0</v>
      </c>
      <c r="IN81" t="e">
        <f>AND(DATA!A813,"AAAAAHqb9fc=")</f>
        <v>#VALUE!</v>
      </c>
      <c r="IO81" t="e">
        <f>AND(DATA!B813,"AAAAAHqb9fg=")</f>
        <v>#VALUE!</v>
      </c>
      <c r="IP81" t="e">
        <f>AND(DATA!C813,"AAAAAHqb9fk=")</f>
        <v>#VALUE!</v>
      </c>
      <c r="IQ81" t="e">
        <f>AND(DATA!D813,"AAAAAHqb9fo=")</f>
        <v>#VALUE!</v>
      </c>
      <c r="IR81" t="e">
        <f>AND(DATA!E813,"AAAAAHqb9fs=")</f>
        <v>#VALUE!</v>
      </c>
      <c r="IS81" t="e">
        <f>AND(DATA!F813,"AAAAAHqb9fw=")</f>
        <v>#VALUE!</v>
      </c>
      <c r="IT81" t="e">
        <f>AND(DATA!G813,"AAAAAHqb9f0=")</f>
        <v>#VALUE!</v>
      </c>
      <c r="IU81" t="e">
        <f>AND(DATA!H813,"AAAAAHqb9f4=")</f>
        <v>#VALUE!</v>
      </c>
      <c r="IV81" t="e">
        <f>AND(DATA!I813,"AAAAAHqb9f8=")</f>
        <v>#VALUE!</v>
      </c>
    </row>
    <row r="82" spans="1:256">
      <c r="A82" t="e">
        <f>AND(DATA!J813,"AAAAADU8/wA=")</f>
        <v>#VALUE!</v>
      </c>
      <c r="B82" t="e">
        <f>AND(DATA!K813,"AAAAADU8/wE=")</f>
        <v>#VALUE!</v>
      </c>
      <c r="C82" t="b">
        <f>AND(DATA!L813,"AAAAADU8/wI=")</f>
        <v>1</v>
      </c>
      <c r="D82" t="b">
        <f>AND(DATA!M813,"AAAAADU8/wM=")</f>
        <v>1</v>
      </c>
      <c r="E82" t="b">
        <f>AND(DATA!N813,"AAAAADU8/wQ=")</f>
        <v>1</v>
      </c>
      <c r="F82">
        <f>IF(DATA!814:814,"AAAAADU8/wU=",0)</f>
        <v>0</v>
      </c>
      <c r="G82" t="e">
        <f>AND(DATA!A814,"AAAAADU8/wY=")</f>
        <v>#VALUE!</v>
      </c>
      <c r="H82" t="e">
        <f>AND(DATA!B814,"AAAAADU8/wc=")</f>
        <v>#VALUE!</v>
      </c>
      <c r="I82" t="e">
        <f>AND(DATA!C814,"AAAAADU8/wg=")</f>
        <v>#VALUE!</v>
      </c>
      <c r="J82" t="e">
        <f>AND(DATA!D814,"AAAAADU8/wk=")</f>
        <v>#VALUE!</v>
      </c>
      <c r="K82" t="e">
        <f>AND(DATA!E814,"AAAAADU8/wo=")</f>
        <v>#VALUE!</v>
      </c>
      <c r="L82" t="e">
        <f>AND(DATA!F814,"AAAAADU8/ws=")</f>
        <v>#VALUE!</v>
      </c>
      <c r="M82" t="e">
        <f>AND(DATA!G814,"AAAAADU8/ww=")</f>
        <v>#VALUE!</v>
      </c>
      <c r="N82" t="e">
        <f>AND(DATA!H814,"AAAAADU8/w0=")</f>
        <v>#VALUE!</v>
      </c>
      <c r="O82" t="e">
        <f>AND(DATA!I814,"AAAAADU8/w4=")</f>
        <v>#VALUE!</v>
      </c>
      <c r="P82" t="e">
        <f>AND(DATA!J814,"AAAAADU8/w8=")</f>
        <v>#VALUE!</v>
      </c>
      <c r="Q82" t="e">
        <f>AND(DATA!K814,"AAAAADU8/xA=")</f>
        <v>#VALUE!</v>
      </c>
      <c r="R82" t="b">
        <f>AND(DATA!L814,"AAAAADU8/xE=")</f>
        <v>1</v>
      </c>
      <c r="S82" t="b">
        <f>AND(DATA!M814,"AAAAADU8/xI=")</f>
        <v>1</v>
      </c>
      <c r="T82" t="b">
        <f>AND(DATA!N814,"AAAAADU8/xM=")</f>
        <v>1</v>
      </c>
      <c r="U82">
        <f>IF(DATA!815:815,"AAAAADU8/xQ=",0)</f>
        <v>0</v>
      </c>
      <c r="V82" t="e">
        <f>AND(DATA!A815,"AAAAADU8/xU=")</f>
        <v>#VALUE!</v>
      </c>
      <c r="W82" t="e">
        <f>AND(DATA!B815,"AAAAADU8/xY=")</f>
        <v>#VALUE!</v>
      </c>
      <c r="X82" t="e">
        <f>AND(DATA!C815,"AAAAADU8/xc=")</f>
        <v>#VALUE!</v>
      </c>
      <c r="Y82" t="e">
        <f>AND(DATA!D815,"AAAAADU8/xg=")</f>
        <v>#VALUE!</v>
      </c>
      <c r="Z82" t="e">
        <f>AND(DATA!E815,"AAAAADU8/xk=")</f>
        <v>#VALUE!</v>
      </c>
      <c r="AA82" t="e">
        <f>AND(DATA!F815,"AAAAADU8/xo=")</f>
        <v>#VALUE!</v>
      </c>
      <c r="AB82" t="e">
        <f>AND(DATA!G815,"AAAAADU8/xs=")</f>
        <v>#VALUE!</v>
      </c>
      <c r="AC82" t="e">
        <f>AND(DATA!H815,"AAAAADU8/xw=")</f>
        <v>#VALUE!</v>
      </c>
      <c r="AD82" t="e">
        <f>AND(DATA!I815,"AAAAADU8/x0=")</f>
        <v>#VALUE!</v>
      </c>
      <c r="AE82" t="e">
        <f>AND(DATA!J815,"AAAAADU8/x4=")</f>
        <v>#VALUE!</v>
      </c>
      <c r="AF82" t="e">
        <f>AND(DATA!K815,"AAAAADU8/x8=")</f>
        <v>#VALUE!</v>
      </c>
      <c r="AG82" t="b">
        <f>AND(DATA!L815,"AAAAADU8/yA=")</f>
        <v>1</v>
      </c>
      <c r="AH82" t="b">
        <f>AND(DATA!M815,"AAAAADU8/yE=")</f>
        <v>1</v>
      </c>
      <c r="AI82" t="b">
        <f>AND(DATA!N815,"AAAAADU8/yI=")</f>
        <v>1</v>
      </c>
      <c r="AJ82">
        <f>IF(DATA!816:816,"AAAAADU8/yM=",0)</f>
        <v>0</v>
      </c>
      <c r="AK82" t="e">
        <f>AND(DATA!A816,"AAAAADU8/yQ=")</f>
        <v>#VALUE!</v>
      </c>
      <c r="AL82" t="e">
        <f>AND(DATA!B816,"AAAAADU8/yU=")</f>
        <v>#VALUE!</v>
      </c>
      <c r="AM82" t="e">
        <f>AND(DATA!C816,"AAAAADU8/yY=")</f>
        <v>#VALUE!</v>
      </c>
      <c r="AN82" t="e">
        <f>AND(DATA!D816,"AAAAADU8/yc=")</f>
        <v>#VALUE!</v>
      </c>
      <c r="AO82" t="e">
        <f>AND(DATA!E816,"AAAAADU8/yg=")</f>
        <v>#VALUE!</v>
      </c>
      <c r="AP82" t="e">
        <f>AND(DATA!F816,"AAAAADU8/yk=")</f>
        <v>#VALUE!</v>
      </c>
      <c r="AQ82" t="e">
        <f>AND(DATA!G816,"AAAAADU8/yo=")</f>
        <v>#VALUE!</v>
      </c>
      <c r="AR82" t="e">
        <f>AND(DATA!H816,"AAAAADU8/ys=")</f>
        <v>#VALUE!</v>
      </c>
      <c r="AS82" t="e">
        <f>AND(DATA!I816,"AAAAADU8/yw=")</f>
        <v>#VALUE!</v>
      </c>
      <c r="AT82" t="e">
        <f>AND(DATA!J816,"AAAAADU8/y0=")</f>
        <v>#VALUE!</v>
      </c>
      <c r="AU82" t="e">
        <f>AND(DATA!K816,"AAAAADU8/y4=")</f>
        <v>#VALUE!</v>
      </c>
      <c r="AV82" t="b">
        <f>AND(DATA!L816,"AAAAADU8/y8=")</f>
        <v>1</v>
      </c>
      <c r="AW82" t="b">
        <f>AND(DATA!M816,"AAAAADU8/zA=")</f>
        <v>1</v>
      </c>
      <c r="AX82" t="b">
        <f>AND(DATA!N816,"AAAAADU8/zE=")</f>
        <v>1</v>
      </c>
      <c r="AY82">
        <f>IF(DATA!817:817,"AAAAADU8/zI=",0)</f>
        <v>0</v>
      </c>
      <c r="AZ82" t="e">
        <f>AND(DATA!A817,"AAAAADU8/zM=")</f>
        <v>#VALUE!</v>
      </c>
      <c r="BA82" t="e">
        <f>AND(DATA!B817,"AAAAADU8/zQ=")</f>
        <v>#VALUE!</v>
      </c>
      <c r="BB82" t="e">
        <f>AND(DATA!C817,"AAAAADU8/zU=")</f>
        <v>#VALUE!</v>
      </c>
      <c r="BC82" t="e">
        <f>AND(DATA!D817,"AAAAADU8/zY=")</f>
        <v>#VALUE!</v>
      </c>
      <c r="BD82" t="e">
        <f>AND(DATA!E817,"AAAAADU8/zc=")</f>
        <v>#VALUE!</v>
      </c>
      <c r="BE82" t="e">
        <f>AND(DATA!F817,"AAAAADU8/zg=")</f>
        <v>#VALUE!</v>
      </c>
      <c r="BF82" t="e">
        <f>AND(DATA!G817,"AAAAADU8/zk=")</f>
        <v>#VALUE!</v>
      </c>
      <c r="BG82" t="e">
        <f>AND(DATA!H817,"AAAAADU8/zo=")</f>
        <v>#VALUE!</v>
      </c>
      <c r="BH82" t="e">
        <f>AND(DATA!I817,"AAAAADU8/zs=")</f>
        <v>#VALUE!</v>
      </c>
      <c r="BI82" t="e">
        <f>AND(DATA!J817,"AAAAADU8/zw=")</f>
        <v>#VALUE!</v>
      </c>
      <c r="BJ82" t="e">
        <f>AND(DATA!K817,"AAAAADU8/z0=")</f>
        <v>#VALUE!</v>
      </c>
      <c r="BK82" t="b">
        <f>AND(DATA!L817,"AAAAADU8/z4=")</f>
        <v>1</v>
      </c>
      <c r="BL82" t="b">
        <f>AND(DATA!M817,"AAAAADU8/z8=")</f>
        <v>1</v>
      </c>
      <c r="BM82" t="b">
        <f>AND(DATA!N817,"AAAAADU8/0A=")</f>
        <v>1</v>
      </c>
      <c r="BN82">
        <f>IF(DATA!818:818,"AAAAADU8/0E=",0)</f>
        <v>0</v>
      </c>
      <c r="BO82" t="e">
        <f>AND(DATA!A818,"AAAAADU8/0I=")</f>
        <v>#VALUE!</v>
      </c>
      <c r="BP82" t="e">
        <f>AND(DATA!B818,"AAAAADU8/0M=")</f>
        <v>#VALUE!</v>
      </c>
      <c r="BQ82" t="e">
        <f>AND(DATA!C818,"AAAAADU8/0Q=")</f>
        <v>#VALUE!</v>
      </c>
      <c r="BR82" t="e">
        <f>AND(DATA!D818,"AAAAADU8/0U=")</f>
        <v>#VALUE!</v>
      </c>
      <c r="BS82" t="e">
        <f>AND(DATA!E818,"AAAAADU8/0Y=")</f>
        <v>#VALUE!</v>
      </c>
      <c r="BT82" t="e">
        <f>AND(DATA!F818,"AAAAADU8/0c=")</f>
        <v>#VALUE!</v>
      </c>
      <c r="BU82" t="e">
        <f>AND(DATA!G818,"AAAAADU8/0g=")</f>
        <v>#VALUE!</v>
      </c>
      <c r="BV82" t="e">
        <f>AND(DATA!H818,"AAAAADU8/0k=")</f>
        <v>#VALUE!</v>
      </c>
      <c r="BW82" t="e">
        <f>AND(DATA!I818,"AAAAADU8/0o=")</f>
        <v>#VALUE!</v>
      </c>
      <c r="BX82" t="e">
        <f>AND(DATA!J818,"AAAAADU8/0s=")</f>
        <v>#VALUE!</v>
      </c>
      <c r="BY82" t="e">
        <f>AND(DATA!K818,"AAAAADU8/0w=")</f>
        <v>#VALUE!</v>
      </c>
      <c r="BZ82" t="b">
        <f>AND(DATA!L818,"AAAAADU8/00=")</f>
        <v>1</v>
      </c>
      <c r="CA82" t="b">
        <f>AND(DATA!M818,"AAAAADU8/04=")</f>
        <v>1</v>
      </c>
      <c r="CB82" t="b">
        <f>AND(DATA!N818,"AAAAADU8/08=")</f>
        <v>1</v>
      </c>
      <c r="CC82">
        <f>IF(DATA!819:819,"AAAAADU8/1A=",0)</f>
        <v>0</v>
      </c>
      <c r="CD82" t="e">
        <f>AND(DATA!A819,"AAAAADU8/1E=")</f>
        <v>#VALUE!</v>
      </c>
      <c r="CE82" t="e">
        <f>AND(DATA!B819,"AAAAADU8/1I=")</f>
        <v>#VALUE!</v>
      </c>
      <c r="CF82" t="e">
        <f>AND(DATA!C819,"AAAAADU8/1M=")</f>
        <v>#VALUE!</v>
      </c>
      <c r="CG82" t="e">
        <f>AND(DATA!D819,"AAAAADU8/1Q=")</f>
        <v>#VALUE!</v>
      </c>
      <c r="CH82" t="e">
        <f>AND(DATA!E819,"AAAAADU8/1U=")</f>
        <v>#VALUE!</v>
      </c>
      <c r="CI82" t="e">
        <f>AND(DATA!F819,"AAAAADU8/1Y=")</f>
        <v>#VALUE!</v>
      </c>
      <c r="CJ82" t="e">
        <f>AND(DATA!G819,"AAAAADU8/1c=")</f>
        <v>#VALUE!</v>
      </c>
      <c r="CK82" t="e">
        <f>AND(DATA!H819,"AAAAADU8/1g=")</f>
        <v>#VALUE!</v>
      </c>
      <c r="CL82" t="e">
        <f>AND(DATA!I819,"AAAAADU8/1k=")</f>
        <v>#VALUE!</v>
      </c>
      <c r="CM82" t="e">
        <f>AND(DATA!J819,"AAAAADU8/1o=")</f>
        <v>#VALUE!</v>
      </c>
      <c r="CN82" t="e">
        <f>AND(DATA!K819,"AAAAADU8/1s=")</f>
        <v>#VALUE!</v>
      </c>
      <c r="CO82" t="b">
        <f>AND(DATA!L819,"AAAAADU8/1w=")</f>
        <v>1</v>
      </c>
      <c r="CP82" t="b">
        <f>AND(DATA!M819,"AAAAADU8/10=")</f>
        <v>1</v>
      </c>
      <c r="CQ82" t="b">
        <f>AND(DATA!N819,"AAAAADU8/14=")</f>
        <v>1</v>
      </c>
      <c r="CR82">
        <f>IF(DATA!820:820,"AAAAADU8/18=",0)</f>
        <v>0</v>
      </c>
      <c r="CS82" t="e">
        <f>AND(DATA!A820,"AAAAADU8/2A=")</f>
        <v>#VALUE!</v>
      </c>
      <c r="CT82" t="e">
        <f>AND(DATA!B820,"AAAAADU8/2E=")</f>
        <v>#VALUE!</v>
      </c>
      <c r="CU82" t="e">
        <f>AND(DATA!C820,"AAAAADU8/2I=")</f>
        <v>#VALUE!</v>
      </c>
      <c r="CV82" t="e">
        <f>AND(DATA!D820,"AAAAADU8/2M=")</f>
        <v>#VALUE!</v>
      </c>
      <c r="CW82" t="e">
        <f>AND(DATA!E820,"AAAAADU8/2Q=")</f>
        <v>#VALUE!</v>
      </c>
      <c r="CX82" t="e">
        <f>AND(DATA!F820,"AAAAADU8/2U=")</f>
        <v>#VALUE!</v>
      </c>
      <c r="CY82" t="e">
        <f>AND(DATA!G820,"AAAAADU8/2Y=")</f>
        <v>#VALUE!</v>
      </c>
      <c r="CZ82" t="e">
        <f>AND(DATA!H820,"AAAAADU8/2c=")</f>
        <v>#VALUE!</v>
      </c>
      <c r="DA82" t="e">
        <f>AND(DATA!I820,"AAAAADU8/2g=")</f>
        <v>#VALUE!</v>
      </c>
      <c r="DB82" t="e">
        <f>AND(DATA!J820,"AAAAADU8/2k=")</f>
        <v>#VALUE!</v>
      </c>
      <c r="DC82" t="e">
        <f>AND(DATA!K820,"AAAAADU8/2o=")</f>
        <v>#VALUE!</v>
      </c>
      <c r="DD82" t="b">
        <f>AND(DATA!L820,"AAAAADU8/2s=")</f>
        <v>1</v>
      </c>
      <c r="DE82" t="b">
        <f>AND(DATA!M820,"AAAAADU8/2w=")</f>
        <v>1</v>
      </c>
      <c r="DF82" t="b">
        <f>AND(DATA!N820,"AAAAADU8/20=")</f>
        <v>1</v>
      </c>
      <c r="DG82">
        <f>IF(DATA!821:821,"AAAAADU8/24=",0)</f>
        <v>0</v>
      </c>
      <c r="DH82" t="e">
        <f>AND(DATA!A821,"AAAAADU8/28=")</f>
        <v>#VALUE!</v>
      </c>
      <c r="DI82" t="e">
        <f>AND(DATA!B821,"AAAAADU8/3A=")</f>
        <v>#VALUE!</v>
      </c>
      <c r="DJ82" t="e">
        <f>AND(DATA!C821,"AAAAADU8/3E=")</f>
        <v>#VALUE!</v>
      </c>
      <c r="DK82" t="e">
        <f>AND(DATA!D821,"AAAAADU8/3I=")</f>
        <v>#VALUE!</v>
      </c>
      <c r="DL82" t="e">
        <f>AND(DATA!E821,"AAAAADU8/3M=")</f>
        <v>#VALUE!</v>
      </c>
      <c r="DM82" t="e">
        <f>AND(DATA!F821,"AAAAADU8/3Q=")</f>
        <v>#VALUE!</v>
      </c>
      <c r="DN82" t="e">
        <f>AND(DATA!G821,"AAAAADU8/3U=")</f>
        <v>#VALUE!</v>
      </c>
      <c r="DO82" t="e">
        <f>AND(DATA!H821,"AAAAADU8/3Y=")</f>
        <v>#VALUE!</v>
      </c>
      <c r="DP82" t="e">
        <f>AND(DATA!I821,"AAAAADU8/3c=")</f>
        <v>#VALUE!</v>
      </c>
      <c r="DQ82" t="e">
        <f>AND(DATA!J821,"AAAAADU8/3g=")</f>
        <v>#VALUE!</v>
      </c>
      <c r="DR82" t="e">
        <f>AND(DATA!K821,"AAAAADU8/3k=")</f>
        <v>#VALUE!</v>
      </c>
      <c r="DS82" t="b">
        <f>AND(DATA!L821,"AAAAADU8/3o=")</f>
        <v>1</v>
      </c>
      <c r="DT82" t="b">
        <f>AND(DATA!M821,"AAAAADU8/3s=")</f>
        <v>1</v>
      </c>
      <c r="DU82" t="b">
        <f>AND(DATA!N821,"AAAAADU8/3w=")</f>
        <v>1</v>
      </c>
      <c r="DV82">
        <f>IF(DATA!822:822,"AAAAADU8/30=",0)</f>
        <v>0</v>
      </c>
      <c r="DW82" t="e">
        <f>AND(DATA!A822,"AAAAADU8/34=")</f>
        <v>#VALUE!</v>
      </c>
      <c r="DX82" t="e">
        <f>AND(DATA!B822,"AAAAADU8/38=")</f>
        <v>#VALUE!</v>
      </c>
      <c r="DY82" t="e">
        <f>AND(DATA!C822,"AAAAADU8/4A=")</f>
        <v>#VALUE!</v>
      </c>
      <c r="DZ82" t="e">
        <f>AND(DATA!D822,"AAAAADU8/4E=")</f>
        <v>#VALUE!</v>
      </c>
      <c r="EA82" t="e">
        <f>AND(DATA!E822,"AAAAADU8/4I=")</f>
        <v>#VALUE!</v>
      </c>
      <c r="EB82" t="e">
        <f>AND(DATA!F822,"AAAAADU8/4M=")</f>
        <v>#VALUE!</v>
      </c>
      <c r="EC82" t="e">
        <f>AND(DATA!G822,"AAAAADU8/4Q=")</f>
        <v>#VALUE!</v>
      </c>
      <c r="ED82" t="e">
        <f>AND(DATA!H822,"AAAAADU8/4U=")</f>
        <v>#VALUE!</v>
      </c>
      <c r="EE82" t="e">
        <f>AND(DATA!I822,"AAAAADU8/4Y=")</f>
        <v>#VALUE!</v>
      </c>
      <c r="EF82" t="e">
        <f>AND(DATA!J822,"AAAAADU8/4c=")</f>
        <v>#VALUE!</v>
      </c>
      <c r="EG82" t="e">
        <f>AND(DATA!K822,"AAAAADU8/4g=")</f>
        <v>#VALUE!</v>
      </c>
      <c r="EH82" t="b">
        <f>AND(DATA!L822,"AAAAADU8/4k=")</f>
        <v>1</v>
      </c>
      <c r="EI82" t="b">
        <f>AND(DATA!M822,"AAAAADU8/4o=")</f>
        <v>1</v>
      </c>
      <c r="EJ82" t="b">
        <f>AND(DATA!N822,"AAAAADU8/4s=")</f>
        <v>1</v>
      </c>
      <c r="EK82">
        <f>IF(DATA!823:823,"AAAAADU8/4w=",0)</f>
        <v>0</v>
      </c>
      <c r="EL82" t="e">
        <f>AND(DATA!A823,"AAAAADU8/40=")</f>
        <v>#VALUE!</v>
      </c>
      <c r="EM82" t="e">
        <f>AND(DATA!B823,"AAAAADU8/44=")</f>
        <v>#VALUE!</v>
      </c>
      <c r="EN82" t="e">
        <f>AND(DATA!C823,"AAAAADU8/48=")</f>
        <v>#VALUE!</v>
      </c>
      <c r="EO82" t="e">
        <f>AND(DATA!D823,"AAAAADU8/5A=")</f>
        <v>#VALUE!</v>
      </c>
      <c r="EP82" t="e">
        <f>AND(DATA!E823,"AAAAADU8/5E=")</f>
        <v>#VALUE!</v>
      </c>
      <c r="EQ82" t="e">
        <f>AND(DATA!F823,"AAAAADU8/5I=")</f>
        <v>#VALUE!</v>
      </c>
      <c r="ER82" t="e">
        <f>AND(DATA!G823,"AAAAADU8/5M=")</f>
        <v>#VALUE!</v>
      </c>
      <c r="ES82" t="e">
        <f>AND(DATA!H823,"AAAAADU8/5Q=")</f>
        <v>#VALUE!</v>
      </c>
      <c r="ET82" t="e">
        <f>AND(DATA!I823,"AAAAADU8/5U=")</f>
        <v>#VALUE!</v>
      </c>
      <c r="EU82" t="e">
        <f>AND(DATA!J823,"AAAAADU8/5Y=")</f>
        <v>#VALUE!</v>
      </c>
      <c r="EV82" t="e">
        <f>AND(DATA!K823,"AAAAADU8/5c=")</f>
        <v>#VALUE!</v>
      </c>
      <c r="EW82" t="b">
        <f>AND(DATA!L823,"AAAAADU8/5g=")</f>
        <v>1</v>
      </c>
      <c r="EX82" t="b">
        <f>AND(DATA!M823,"AAAAADU8/5k=")</f>
        <v>1</v>
      </c>
      <c r="EY82" t="b">
        <f>AND(DATA!N823,"AAAAADU8/5o=")</f>
        <v>1</v>
      </c>
      <c r="EZ82">
        <f>IF(DATA!824:824,"AAAAADU8/5s=",0)</f>
        <v>0</v>
      </c>
      <c r="FA82" t="e">
        <f>AND(DATA!A824,"AAAAADU8/5w=")</f>
        <v>#VALUE!</v>
      </c>
      <c r="FB82" t="e">
        <f>AND(DATA!B824,"AAAAADU8/50=")</f>
        <v>#VALUE!</v>
      </c>
      <c r="FC82" t="e">
        <f>AND(DATA!C824,"AAAAADU8/54=")</f>
        <v>#VALUE!</v>
      </c>
      <c r="FD82" t="e">
        <f>AND(DATA!D824,"AAAAADU8/58=")</f>
        <v>#VALUE!</v>
      </c>
      <c r="FE82" t="e">
        <f>AND(DATA!E824,"AAAAADU8/6A=")</f>
        <v>#VALUE!</v>
      </c>
      <c r="FF82" t="e">
        <f>AND(DATA!F824,"AAAAADU8/6E=")</f>
        <v>#VALUE!</v>
      </c>
      <c r="FG82" t="e">
        <f>AND(DATA!G824,"AAAAADU8/6I=")</f>
        <v>#VALUE!</v>
      </c>
      <c r="FH82" t="e">
        <f>AND(DATA!H824,"AAAAADU8/6M=")</f>
        <v>#VALUE!</v>
      </c>
      <c r="FI82" t="e">
        <f>AND(DATA!I824,"AAAAADU8/6Q=")</f>
        <v>#VALUE!</v>
      </c>
      <c r="FJ82" t="e">
        <f>AND(DATA!J824,"AAAAADU8/6U=")</f>
        <v>#VALUE!</v>
      </c>
      <c r="FK82" t="e">
        <f>AND(DATA!K824,"AAAAADU8/6Y=")</f>
        <v>#VALUE!</v>
      </c>
      <c r="FL82" t="b">
        <f>AND(DATA!L824,"AAAAADU8/6c=")</f>
        <v>1</v>
      </c>
      <c r="FM82" t="b">
        <f>AND(DATA!M824,"AAAAADU8/6g=")</f>
        <v>1</v>
      </c>
      <c r="FN82" t="b">
        <f>AND(DATA!N824,"AAAAADU8/6k=")</f>
        <v>1</v>
      </c>
      <c r="FO82">
        <f>IF(DATA!825:825,"AAAAADU8/6o=",0)</f>
        <v>0</v>
      </c>
      <c r="FP82" t="e">
        <f>AND(DATA!A825,"AAAAADU8/6s=")</f>
        <v>#VALUE!</v>
      </c>
      <c r="FQ82" t="e">
        <f>AND(DATA!B825,"AAAAADU8/6w=")</f>
        <v>#VALUE!</v>
      </c>
      <c r="FR82" t="e">
        <f>AND(DATA!C825,"AAAAADU8/60=")</f>
        <v>#VALUE!</v>
      </c>
      <c r="FS82" t="e">
        <f>AND(DATA!D825,"AAAAADU8/64=")</f>
        <v>#VALUE!</v>
      </c>
      <c r="FT82" t="e">
        <f>AND(DATA!E825,"AAAAADU8/68=")</f>
        <v>#VALUE!</v>
      </c>
      <c r="FU82" t="e">
        <f>AND(DATA!F825,"AAAAADU8/7A=")</f>
        <v>#VALUE!</v>
      </c>
      <c r="FV82" t="e">
        <f>AND(DATA!G825,"AAAAADU8/7E=")</f>
        <v>#VALUE!</v>
      </c>
      <c r="FW82" t="e">
        <f>AND(DATA!H825,"AAAAADU8/7I=")</f>
        <v>#VALUE!</v>
      </c>
      <c r="FX82" t="e">
        <f>AND(DATA!I825,"AAAAADU8/7M=")</f>
        <v>#VALUE!</v>
      </c>
      <c r="FY82" t="e">
        <f>AND(DATA!J825,"AAAAADU8/7Q=")</f>
        <v>#VALUE!</v>
      </c>
      <c r="FZ82" t="e">
        <f>AND(DATA!K825,"AAAAADU8/7U=")</f>
        <v>#VALUE!</v>
      </c>
      <c r="GA82" t="b">
        <f>AND(DATA!L825,"AAAAADU8/7Y=")</f>
        <v>1</v>
      </c>
      <c r="GB82" t="b">
        <f>AND(DATA!M825,"AAAAADU8/7c=")</f>
        <v>1</v>
      </c>
      <c r="GC82" t="b">
        <f>AND(DATA!N825,"AAAAADU8/7g=")</f>
        <v>1</v>
      </c>
      <c r="GD82">
        <f>IF(DATA!826:826,"AAAAADU8/7k=",0)</f>
        <v>0</v>
      </c>
      <c r="GE82" t="e">
        <f>AND(DATA!A826,"AAAAADU8/7o=")</f>
        <v>#VALUE!</v>
      </c>
      <c r="GF82" t="e">
        <f>AND(DATA!B826,"AAAAADU8/7s=")</f>
        <v>#VALUE!</v>
      </c>
      <c r="GG82" t="e">
        <f>AND(DATA!C826,"AAAAADU8/7w=")</f>
        <v>#VALUE!</v>
      </c>
      <c r="GH82" t="e">
        <f>AND(DATA!D826,"AAAAADU8/70=")</f>
        <v>#VALUE!</v>
      </c>
      <c r="GI82" t="e">
        <f>AND(DATA!E826,"AAAAADU8/74=")</f>
        <v>#VALUE!</v>
      </c>
      <c r="GJ82" t="e">
        <f>AND(DATA!F826,"AAAAADU8/78=")</f>
        <v>#VALUE!</v>
      </c>
      <c r="GK82" t="e">
        <f>AND(DATA!G826,"AAAAADU8/8A=")</f>
        <v>#VALUE!</v>
      </c>
      <c r="GL82" t="e">
        <f>AND(DATA!H826,"AAAAADU8/8E=")</f>
        <v>#VALUE!</v>
      </c>
      <c r="GM82" t="e">
        <f>AND(DATA!I826,"AAAAADU8/8I=")</f>
        <v>#VALUE!</v>
      </c>
      <c r="GN82" t="e">
        <f>AND(DATA!J826,"AAAAADU8/8M=")</f>
        <v>#VALUE!</v>
      </c>
      <c r="GO82" t="e">
        <f>AND(DATA!K826,"AAAAADU8/8Q=")</f>
        <v>#VALUE!</v>
      </c>
      <c r="GP82" t="b">
        <f>AND(DATA!L826,"AAAAADU8/8U=")</f>
        <v>1</v>
      </c>
      <c r="GQ82" t="b">
        <f>AND(DATA!M826,"AAAAADU8/8Y=")</f>
        <v>1</v>
      </c>
      <c r="GR82" t="b">
        <f>AND(DATA!N826,"AAAAADU8/8c=")</f>
        <v>1</v>
      </c>
      <c r="GS82">
        <f>IF(DATA!827:827,"AAAAADU8/8g=",0)</f>
        <v>0</v>
      </c>
      <c r="GT82" t="e">
        <f>AND(DATA!A827,"AAAAADU8/8k=")</f>
        <v>#VALUE!</v>
      </c>
      <c r="GU82" t="e">
        <f>AND(DATA!B827,"AAAAADU8/8o=")</f>
        <v>#VALUE!</v>
      </c>
      <c r="GV82" t="e">
        <f>AND(DATA!C827,"AAAAADU8/8s=")</f>
        <v>#VALUE!</v>
      </c>
      <c r="GW82" t="e">
        <f>AND(DATA!D827,"AAAAADU8/8w=")</f>
        <v>#VALUE!</v>
      </c>
      <c r="GX82" t="e">
        <f>AND(DATA!E827,"AAAAADU8/80=")</f>
        <v>#VALUE!</v>
      </c>
      <c r="GY82" t="e">
        <f>AND(DATA!F827,"AAAAADU8/84=")</f>
        <v>#VALUE!</v>
      </c>
      <c r="GZ82" t="e">
        <f>AND(DATA!G827,"AAAAADU8/88=")</f>
        <v>#VALUE!</v>
      </c>
      <c r="HA82" t="e">
        <f>AND(DATA!H827,"AAAAADU8/9A=")</f>
        <v>#VALUE!</v>
      </c>
      <c r="HB82" t="e">
        <f>AND(DATA!I827,"AAAAADU8/9E=")</f>
        <v>#VALUE!</v>
      </c>
      <c r="HC82" t="e">
        <f>AND(DATA!J827,"AAAAADU8/9I=")</f>
        <v>#VALUE!</v>
      </c>
      <c r="HD82" t="e">
        <f>AND(DATA!K827,"AAAAADU8/9M=")</f>
        <v>#VALUE!</v>
      </c>
      <c r="HE82" t="b">
        <f>AND(DATA!L827,"AAAAADU8/9Q=")</f>
        <v>1</v>
      </c>
      <c r="HF82" t="b">
        <f>AND(DATA!M827,"AAAAADU8/9U=")</f>
        <v>1</v>
      </c>
      <c r="HG82" t="b">
        <f>AND(DATA!N827,"AAAAADU8/9Y=")</f>
        <v>1</v>
      </c>
      <c r="HH82">
        <f>IF(DATA!828:828,"AAAAADU8/9c=",0)</f>
        <v>0</v>
      </c>
      <c r="HI82" t="e">
        <f>AND(DATA!A828,"AAAAADU8/9g=")</f>
        <v>#VALUE!</v>
      </c>
      <c r="HJ82" t="e">
        <f>AND(DATA!B828,"AAAAADU8/9k=")</f>
        <v>#VALUE!</v>
      </c>
      <c r="HK82" t="e">
        <f>AND(DATA!C828,"AAAAADU8/9o=")</f>
        <v>#VALUE!</v>
      </c>
      <c r="HL82" t="e">
        <f>AND(DATA!D828,"AAAAADU8/9s=")</f>
        <v>#VALUE!</v>
      </c>
      <c r="HM82" t="e">
        <f>AND(DATA!E828,"AAAAADU8/9w=")</f>
        <v>#VALUE!</v>
      </c>
      <c r="HN82" t="e">
        <f>AND(DATA!F828,"AAAAADU8/90=")</f>
        <v>#VALUE!</v>
      </c>
      <c r="HO82" t="e">
        <f>AND(DATA!G828,"AAAAADU8/94=")</f>
        <v>#VALUE!</v>
      </c>
      <c r="HP82" t="e">
        <f>AND(DATA!H828,"AAAAADU8/98=")</f>
        <v>#VALUE!</v>
      </c>
      <c r="HQ82" t="e">
        <f>AND(DATA!I828,"AAAAADU8/+A=")</f>
        <v>#VALUE!</v>
      </c>
      <c r="HR82" t="e">
        <f>AND(DATA!J828,"AAAAADU8/+E=")</f>
        <v>#VALUE!</v>
      </c>
      <c r="HS82" t="e">
        <f>AND(DATA!K828,"AAAAADU8/+I=")</f>
        <v>#VALUE!</v>
      </c>
      <c r="HT82" t="b">
        <f>AND(DATA!L828,"AAAAADU8/+M=")</f>
        <v>1</v>
      </c>
      <c r="HU82" t="b">
        <f>AND(DATA!M828,"AAAAADU8/+Q=")</f>
        <v>1</v>
      </c>
      <c r="HV82" t="b">
        <f>AND(DATA!N828,"AAAAADU8/+U=")</f>
        <v>1</v>
      </c>
      <c r="HW82">
        <f>IF(DATA!829:829,"AAAAADU8/+Y=",0)</f>
        <v>0</v>
      </c>
      <c r="HX82" t="e">
        <f>AND(DATA!A829,"AAAAADU8/+c=")</f>
        <v>#VALUE!</v>
      </c>
      <c r="HY82" t="e">
        <f>AND(DATA!B829,"AAAAADU8/+g=")</f>
        <v>#VALUE!</v>
      </c>
      <c r="HZ82" t="e">
        <f>AND(DATA!C829,"AAAAADU8/+k=")</f>
        <v>#VALUE!</v>
      </c>
      <c r="IA82" t="e">
        <f>AND(DATA!D829,"AAAAADU8/+o=")</f>
        <v>#VALUE!</v>
      </c>
      <c r="IB82" t="e">
        <f>AND(DATA!E829,"AAAAADU8/+s=")</f>
        <v>#VALUE!</v>
      </c>
      <c r="IC82" t="e">
        <f>AND(DATA!F829,"AAAAADU8/+w=")</f>
        <v>#VALUE!</v>
      </c>
      <c r="ID82" t="e">
        <f>AND(DATA!G829,"AAAAADU8/+0=")</f>
        <v>#VALUE!</v>
      </c>
      <c r="IE82" t="e">
        <f>AND(DATA!H829,"AAAAADU8/+4=")</f>
        <v>#VALUE!</v>
      </c>
      <c r="IF82" t="e">
        <f>AND(DATA!I829,"AAAAADU8/+8=")</f>
        <v>#VALUE!</v>
      </c>
      <c r="IG82" t="e">
        <f>AND(DATA!J829,"AAAAADU8//A=")</f>
        <v>#VALUE!</v>
      </c>
      <c r="IH82" t="e">
        <f>AND(DATA!K829,"AAAAADU8//E=")</f>
        <v>#VALUE!</v>
      </c>
      <c r="II82" t="b">
        <f>AND(DATA!L829,"AAAAADU8//I=")</f>
        <v>1</v>
      </c>
      <c r="IJ82" t="b">
        <f>AND(DATA!M829,"AAAAADU8//M=")</f>
        <v>1</v>
      </c>
      <c r="IK82" t="b">
        <f>AND(DATA!N829,"AAAAADU8//Q=")</f>
        <v>1</v>
      </c>
      <c r="IL82">
        <f>IF(DATA!830:830,"AAAAADU8//U=",0)</f>
        <v>0</v>
      </c>
      <c r="IM82" t="e">
        <f>AND(DATA!A830,"AAAAADU8//Y=")</f>
        <v>#VALUE!</v>
      </c>
      <c r="IN82" t="e">
        <f>AND(DATA!B830,"AAAAADU8//c=")</f>
        <v>#VALUE!</v>
      </c>
      <c r="IO82" t="e">
        <f>AND(DATA!C830,"AAAAADU8//g=")</f>
        <v>#VALUE!</v>
      </c>
      <c r="IP82" t="e">
        <f>AND(DATA!D830,"AAAAADU8//k=")</f>
        <v>#VALUE!</v>
      </c>
      <c r="IQ82" t="e">
        <f>AND(DATA!E830,"AAAAADU8//o=")</f>
        <v>#VALUE!</v>
      </c>
      <c r="IR82" t="e">
        <f>AND(DATA!F830,"AAAAADU8//s=")</f>
        <v>#VALUE!</v>
      </c>
      <c r="IS82" t="e">
        <f>AND(DATA!G830,"AAAAADU8//w=")</f>
        <v>#VALUE!</v>
      </c>
      <c r="IT82" t="e">
        <f>AND(DATA!H830,"AAAAADU8//0=")</f>
        <v>#VALUE!</v>
      </c>
      <c r="IU82" t="e">
        <f>AND(DATA!I830,"AAAAADU8//4=")</f>
        <v>#VALUE!</v>
      </c>
      <c r="IV82" t="e">
        <f>AND(DATA!J830,"AAAAADU8//8=")</f>
        <v>#VALUE!</v>
      </c>
    </row>
    <row r="83" spans="1:256">
      <c r="A83" t="e">
        <f>AND(DATA!K830,"AAAAAH7/cwA=")</f>
        <v>#VALUE!</v>
      </c>
      <c r="B83" t="b">
        <f>AND(DATA!L830,"AAAAAH7/cwE=")</f>
        <v>1</v>
      </c>
      <c r="C83" t="b">
        <f>AND(DATA!M830,"AAAAAH7/cwI=")</f>
        <v>1</v>
      </c>
      <c r="D83" t="b">
        <f>AND(DATA!N830,"AAAAAH7/cwM=")</f>
        <v>1</v>
      </c>
      <c r="E83">
        <f>IF(DATA!831:831,"AAAAAH7/cwQ=",0)</f>
        <v>0</v>
      </c>
      <c r="F83" t="e">
        <f>AND(DATA!A831,"AAAAAH7/cwU=")</f>
        <v>#VALUE!</v>
      </c>
      <c r="G83" t="e">
        <f>AND(DATA!B831,"AAAAAH7/cwY=")</f>
        <v>#VALUE!</v>
      </c>
      <c r="H83" t="e">
        <f>AND(DATA!C831,"AAAAAH7/cwc=")</f>
        <v>#VALUE!</v>
      </c>
      <c r="I83" t="e">
        <f>AND(DATA!D831,"AAAAAH7/cwg=")</f>
        <v>#VALUE!</v>
      </c>
      <c r="J83" t="e">
        <f>AND(DATA!E831,"AAAAAH7/cwk=")</f>
        <v>#VALUE!</v>
      </c>
      <c r="K83" t="e">
        <f>AND(DATA!F831,"AAAAAH7/cwo=")</f>
        <v>#VALUE!</v>
      </c>
      <c r="L83" t="e">
        <f>AND(DATA!G831,"AAAAAH7/cws=")</f>
        <v>#VALUE!</v>
      </c>
      <c r="M83" t="e">
        <f>AND(DATA!H831,"AAAAAH7/cww=")</f>
        <v>#VALUE!</v>
      </c>
      <c r="N83" t="e">
        <f>AND(DATA!I831,"AAAAAH7/cw0=")</f>
        <v>#VALUE!</v>
      </c>
      <c r="O83" t="e">
        <f>AND(DATA!J831,"AAAAAH7/cw4=")</f>
        <v>#VALUE!</v>
      </c>
      <c r="P83" t="e">
        <f>AND(DATA!K831,"AAAAAH7/cw8=")</f>
        <v>#VALUE!</v>
      </c>
      <c r="Q83" t="b">
        <f>AND(DATA!L831,"AAAAAH7/cxA=")</f>
        <v>1</v>
      </c>
      <c r="R83" t="b">
        <f>AND(DATA!M831,"AAAAAH7/cxE=")</f>
        <v>1</v>
      </c>
      <c r="S83" t="b">
        <f>AND(DATA!N831,"AAAAAH7/cxI=")</f>
        <v>1</v>
      </c>
      <c r="T83">
        <f>IF(DATA!832:832,"AAAAAH7/cxM=",0)</f>
        <v>0</v>
      </c>
      <c r="U83" t="e">
        <f>AND(DATA!A832,"AAAAAH7/cxQ=")</f>
        <v>#VALUE!</v>
      </c>
      <c r="V83" t="e">
        <f>AND(DATA!B832,"AAAAAH7/cxU=")</f>
        <v>#VALUE!</v>
      </c>
      <c r="W83" t="e">
        <f>AND(DATA!C832,"AAAAAH7/cxY=")</f>
        <v>#VALUE!</v>
      </c>
      <c r="X83" t="e">
        <f>AND(DATA!D832,"AAAAAH7/cxc=")</f>
        <v>#VALUE!</v>
      </c>
      <c r="Y83" t="e">
        <f>AND(DATA!E832,"AAAAAH7/cxg=")</f>
        <v>#VALUE!</v>
      </c>
      <c r="Z83" t="e">
        <f>AND(DATA!F832,"AAAAAH7/cxk=")</f>
        <v>#VALUE!</v>
      </c>
      <c r="AA83" t="e">
        <f>AND(DATA!G832,"AAAAAH7/cxo=")</f>
        <v>#VALUE!</v>
      </c>
      <c r="AB83" t="e">
        <f>AND(DATA!H832,"AAAAAH7/cxs=")</f>
        <v>#VALUE!</v>
      </c>
      <c r="AC83" t="e">
        <f>AND(DATA!I832,"AAAAAH7/cxw=")</f>
        <v>#VALUE!</v>
      </c>
      <c r="AD83" t="e">
        <f>AND(DATA!J832,"AAAAAH7/cx0=")</f>
        <v>#VALUE!</v>
      </c>
      <c r="AE83" t="e">
        <f>AND(DATA!K832,"AAAAAH7/cx4=")</f>
        <v>#VALUE!</v>
      </c>
      <c r="AF83" t="b">
        <f>AND(DATA!L832,"AAAAAH7/cx8=")</f>
        <v>1</v>
      </c>
      <c r="AG83" t="b">
        <f>AND(DATA!M832,"AAAAAH7/cyA=")</f>
        <v>1</v>
      </c>
      <c r="AH83" t="b">
        <f>AND(DATA!N832,"AAAAAH7/cyE=")</f>
        <v>1</v>
      </c>
      <c r="AI83">
        <f>IF(DATA!833:833,"AAAAAH7/cyI=",0)</f>
        <v>0</v>
      </c>
      <c r="AJ83" t="e">
        <f>AND(DATA!A833,"AAAAAH7/cyM=")</f>
        <v>#VALUE!</v>
      </c>
      <c r="AK83" t="e">
        <f>AND(DATA!B833,"AAAAAH7/cyQ=")</f>
        <v>#VALUE!</v>
      </c>
      <c r="AL83" t="e">
        <f>AND(DATA!C833,"AAAAAH7/cyU=")</f>
        <v>#VALUE!</v>
      </c>
      <c r="AM83" t="e">
        <f>AND(DATA!D833,"AAAAAH7/cyY=")</f>
        <v>#VALUE!</v>
      </c>
      <c r="AN83" t="e">
        <f>AND(DATA!E833,"AAAAAH7/cyc=")</f>
        <v>#VALUE!</v>
      </c>
      <c r="AO83" t="e">
        <f>AND(DATA!F833,"AAAAAH7/cyg=")</f>
        <v>#VALUE!</v>
      </c>
      <c r="AP83" t="e">
        <f>AND(DATA!G833,"AAAAAH7/cyk=")</f>
        <v>#VALUE!</v>
      </c>
      <c r="AQ83" t="e">
        <f>AND(DATA!H833,"AAAAAH7/cyo=")</f>
        <v>#VALUE!</v>
      </c>
      <c r="AR83" t="e">
        <f>AND(DATA!I833,"AAAAAH7/cys=")</f>
        <v>#VALUE!</v>
      </c>
      <c r="AS83" t="e">
        <f>AND(DATA!J833,"AAAAAH7/cyw=")</f>
        <v>#VALUE!</v>
      </c>
      <c r="AT83" t="e">
        <f>AND(DATA!K833,"AAAAAH7/cy0=")</f>
        <v>#VALUE!</v>
      </c>
      <c r="AU83" t="b">
        <f>AND(DATA!L833,"AAAAAH7/cy4=")</f>
        <v>1</v>
      </c>
      <c r="AV83" t="b">
        <f>AND(DATA!M833,"AAAAAH7/cy8=")</f>
        <v>1</v>
      </c>
      <c r="AW83" t="b">
        <f>AND(DATA!N833,"AAAAAH7/czA=")</f>
        <v>1</v>
      </c>
      <c r="AX83">
        <f>IF(DATA!834:834,"AAAAAH7/czE=",0)</f>
        <v>0</v>
      </c>
      <c r="AY83" t="e">
        <f>AND(DATA!A834,"AAAAAH7/czI=")</f>
        <v>#VALUE!</v>
      </c>
      <c r="AZ83" t="e">
        <f>AND(DATA!B834,"AAAAAH7/czM=")</f>
        <v>#VALUE!</v>
      </c>
      <c r="BA83" t="e">
        <f>AND(DATA!C834,"AAAAAH7/czQ=")</f>
        <v>#VALUE!</v>
      </c>
      <c r="BB83" t="e">
        <f>AND(DATA!D834,"AAAAAH7/czU=")</f>
        <v>#VALUE!</v>
      </c>
      <c r="BC83" t="e">
        <f>AND(DATA!E834,"AAAAAH7/czY=")</f>
        <v>#VALUE!</v>
      </c>
      <c r="BD83" t="e">
        <f>AND(DATA!F834,"AAAAAH7/czc=")</f>
        <v>#VALUE!</v>
      </c>
      <c r="BE83" t="e">
        <f>AND(DATA!G834,"AAAAAH7/czg=")</f>
        <v>#VALUE!</v>
      </c>
      <c r="BF83" t="e">
        <f>AND(DATA!H834,"AAAAAH7/czk=")</f>
        <v>#VALUE!</v>
      </c>
      <c r="BG83" t="e">
        <f>AND(DATA!I834,"AAAAAH7/czo=")</f>
        <v>#VALUE!</v>
      </c>
      <c r="BH83" t="e">
        <f>AND(DATA!J834,"AAAAAH7/czs=")</f>
        <v>#VALUE!</v>
      </c>
      <c r="BI83" t="e">
        <f>AND(DATA!K834,"AAAAAH7/czw=")</f>
        <v>#VALUE!</v>
      </c>
      <c r="BJ83" t="b">
        <f>AND(DATA!L834,"AAAAAH7/cz0=")</f>
        <v>1</v>
      </c>
      <c r="BK83" t="b">
        <f>AND(DATA!M834,"AAAAAH7/cz4=")</f>
        <v>1</v>
      </c>
      <c r="BL83" t="b">
        <f>AND(DATA!N834,"AAAAAH7/cz8=")</f>
        <v>1</v>
      </c>
      <c r="BM83">
        <f>IF(DATA!835:835,"AAAAAH7/c0A=",0)</f>
        <v>0</v>
      </c>
      <c r="BN83" t="e">
        <f>AND(DATA!A835,"AAAAAH7/c0E=")</f>
        <v>#VALUE!</v>
      </c>
      <c r="BO83" t="e">
        <f>AND(DATA!B835,"AAAAAH7/c0I=")</f>
        <v>#VALUE!</v>
      </c>
      <c r="BP83" t="e">
        <f>AND(DATA!C835,"AAAAAH7/c0M=")</f>
        <v>#VALUE!</v>
      </c>
      <c r="BQ83" t="e">
        <f>AND(DATA!D835,"AAAAAH7/c0Q=")</f>
        <v>#VALUE!</v>
      </c>
      <c r="BR83" t="e">
        <f>AND(DATA!E835,"AAAAAH7/c0U=")</f>
        <v>#VALUE!</v>
      </c>
      <c r="BS83" t="e">
        <f>AND(DATA!F835,"AAAAAH7/c0Y=")</f>
        <v>#VALUE!</v>
      </c>
      <c r="BT83" t="e">
        <f>AND(DATA!G835,"AAAAAH7/c0c=")</f>
        <v>#VALUE!</v>
      </c>
      <c r="BU83" t="e">
        <f>AND(DATA!H835,"AAAAAH7/c0g=")</f>
        <v>#VALUE!</v>
      </c>
      <c r="BV83" t="e">
        <f>AND(DATA!I835,"AAAAAH7/c0k=")</f>
        <v>#VALUE!</v>
      </c>
      <c r="BW83" t="e">
        <f>AND(DATA!J835,"AAAAAH7/c0o=")</f>
        <v>#VALUE!</v>
      </c>
      <c r="BX83" t="e">
        <f>AND(DATA!K835,"AAAAAH7/c0s=")</f>
        <v>#VALUE!</v>
      </c>
      <c r="BY83" t="b">
        <f>AND(DATA!L835,"AAAAAH7/c0w=")</f>
        <v>1</v>
      </c>
      <c r="BZ83" t="b">
        <f>AND(DATA!M835,"AAAAAH7/c00=")</f>
        <v>1</v>
      </c>
      <c r="CA83" t="b">
        <f>AND(DATA!N835,"AAAAAH7/c04=")</f>
        <v>1</v>
      </c>
      <c r="CB83">
        <f>IF(DATA!836:836,"AAAAAH7/c08=",0)</f>
        <v>0</v>
      </c>
      <c r="CC83" t="e">
        <f>AND(DATA!A836,"AAAAAH7/c1A=")</f>
        <v>#VALUE!</v>
      </c>
      <c r="CD83" t="e">
        <f>AND(DATA!B836,"AAAAAH7/c1E=")</f>
        <v>#VALUE!</v>
      </c>
      <c r="CE83" t="e">
        <f>AND(DATA!C836,"AAAAAH7/c1I=")</f>
        <v>#VALUE!</v>
      </c>
      <c r="CF83" t="e">
        <f>AND(DATA!D836,"AAAAAH7/c1M=")</f>
        <v>#VALUE!</v>
      </c>
      <c r="CG83" t="e">
        <f>AND(DATA!E836,"AAAAAH7/c1Q=")</f>
        <v>#VALUE!</v>
      </c>
      <c r="CH83" t="e">
        <f>AND(DATA!F836,"AAAAAH7/c1U=")</f>
        <v>#VALUE!</v>
      </c>
      <c r="CI83" t="e">
        <f>AND(DATA!G836,"AAAAAH7/c1Y=")</f>
        <v>#VALUE!</v>
      </c>
      <c r="CJ83" t="e">
        <f>AND(DATA!H836,"AAAAAH7/c1c=")</f>
        <v>#VALUE!</v>
      </c>
      <c r="CK83" t="e">
        <f>AND(DATA!I836,"AAAAAH7/c1g=")</f>
        <v>#VALUE!</v>
      </c>
      <c r="CL83" t="e">
        <f>AND(DATA!J836,"AAAAAH7/c1k=")</f>
        <v>#VALUE!</v>
      </c>
      <c r="CM83" t="e">
        <f>AND(DATA!K836,"AAAAAH7/c1o=")</f>
        <v>#VALUE!</v>
      </c>
      <c r="CN83" t="b">
        <f>AND(DATA!L836,"AAAAAH7/c1s=")</f>
        <v>1</v>
      </c>
      <c r="CO83" t="b">
        <f>AND(DATA!M836,"AAAAAH7/c1w=")</f>
        <v>1</v>
      </c>
      <c r="CP83" t="b">
        <f>AND(DATA!N836,"AAAAAH7/c10=")</f>
        <v>1</v>
      </c>
      <c r="CQ83">
        <f>IF(DATA!837:837,"AAAAAH7/c14=",0)</f>
        <v>0</v>
      </c>
      <c r="CR83" t="e">
        <f>AND(DATA!A837,"AAAAAH7/c18=")</f>
        <v>#VALUE!</v>
      </c>
      <c r="CS83" t="e">
        <f>AND(DATA!B837,"AAAAAH7/c2A=")</f>
        <v>#VALUE!</v>
      </c>
      <c r="CT83" t="e">
        <f>AND(DATA!C837,"AAAAAH7/c2E=")</f>
        <v>#VALUE!</v>
      </c>
      <c r="CU83" t="e">
        <f>AND(DATA!D837,"AAAAAH7/c2I=")</f>
        <v>#VALUE!</v>
      </c>
      <c r="CV83" t="e">
        <f>AND(DATA!E837,"AAAAAH7/c2M=")</f>
        <v>#VALUE!</v>
      </c>
      <c r="CW83" t="e">
        <f>AND(DATA!F837,"AAAAAH7/c2Q=")</f>
        <v>#VALUE!</v>
      </c>
      <c r="CX83" t="e">
        <f>AND(DATA!G837,"AAAAAH7/c2U=")</f>
        <v>#VALUE!</v>
      </c>
      <c r="CY83" t="e">
        <f>AND(DATA!H837,"AAAAAH7/c2Y=")</f>
        <v>#VALUE!</v>
      </c>
      <c r="CZ83" t="e">
        <f>AND(DATA!I837,"AAAAAH7/c2c=")</f>
        <v>#VALUE!</v>
      </c>
      <c r="DA83" t="e">
        <f>AND(DATA!J837,"AAAAAH7/c2g=")</f>
        <v>#VALUE!</v>
      </c>
      <c r="DB83" t="e">
        <f>AND(DATA!K837,"AAAAAH7/c2k=")</f>
        <v>#VALUE!</v>
      </c>
      <c r="DC83" t="b">
        <f>AND(DATA!L837,"AAAAAH7/c2o=")</f>
        <v>1</v>
      </c>
      <c r="DD83" t="b">
        <f>AND(DATA!M837,"AAAAAH7/c2s=")</f>
        <v>1</v>
      </c>
      <c r="DE83" t="b">
        <f>AND(DATA!N837,"AAAAAH7/c2w=")</f>
        <v>1</v>
      </c>
      <c r="DF83">
        <f>IF(DATA!838:838,"AAAAAH7/c20=",0)</f>
        <v>0</v>
      </c>
      <c r="DG83" t="e">
        <f>AND(DATA!A838,"AAAAAH7/c24=")</f>
        <v>#VALUE!</v>
      </c>
      <c r="DH83" t="e">
        <f>AND(DATA!B838,"AAAAAH7/c28=")</f>
        <v>#VALUE!</v>
      </c>
      <c r="DI83" t="e">
        <f>AND(DATA!C838,"AAAAAH7/c3A=")</f>
        <v>#VALUE!</v>
      </c>
      <c r="DJ83" t="e">
        <f>AND(DATA!D838,"AAAAAH7/c3E=")</f>
        <v>#VALUE!</v>
      </c>
      <c r="DK83" t="e">
        <f>AND(DATA!E838,"AAAAAH7/c3I=")</f>
        <v>#VALUE!</v>
      </c>
      <c r="DL83" t="e">
        <f>AND(DATA!F838,"AAAAAH7/c3M=")</f>
        <v>#VALUE!</v>
      </c>
      <c r="DM83" t="e">
        <f>AND(DATA!G838,"AAAAAH7/c3Q=")</f>
        <v>#VALUE!</v>
      </c>
      <c r="DN83" t="e">
        <f>AND(DATA!H838,"AAAAAH7/c3U=")</f>
        <v>#VALUE!</v>
      </c>
      <c r="DO83" t="e">
        <f>AND(DATA!I838,"AAAAAH7/c3Y=")</f>
        <v>#VALUE!</v>
      </c>
      <c r="DP83" t="e">
        <f>AND(DATA!J838,"AAAAAH7/c3c=")</f>
        <v>#VALUE!</v>
      </c>
      <c r="DQ83" t="e">
        <f>AND(DATA!K838,"AAAAAH7/c3g=")</f>
        <v>#VALUE!</v>
      </c>
      <c r="DR83" t="b">
        <f>AND(DATA!L838,"AAAAAH7/c3k=")</f>
        <v>1</v>
      </c>
      <c r="DS83" t="b">
        <f>AND(DATA!M838,"AAAAAH7/c3o=")</f>
        <v>1</v>
      </c>
      <c r="DT83" t="b">
        <f>AND(DATA!N838,"AAAAAH7/c3s=")</f>
        <v>1</v>
      </c>
      <c r="DU83">
        <f>IF(DATA!839:839,"AAAAAH7/c3w=",0)</f>
        <v>0</v>
      </c>
      <c r="DV83" t="e">
        <f>AND(DATA!A839,"AAAAAH7/c30=")</f>
        <v>#VALUE!</v>
      </c>
      <c r="DW83" t="e">
        <f>AND(DATA!B839,"AAAAAH7/c34=")</f>
        <v>#VALUE!</v>
      </c>
      <c r="DX83" t="e">
        <f>AND(DATA!C839,"AAAAAH7/c38=")</f>
        <v>#VALUE!</v>
      </c>
      <c r="DY83" t="e">
        <f>AND(DATA!D839,"AAAAAH7/c4A=")</f>
        <v>#VALUE!</v>
      </c>
      <c r="DZ83" t="e">
        <f>AND(DATA!E839,"AAAAAH7/c4E=")</f>
        <v>#VALUE!</v>
      </c>
      <c r="EA83" t="e">
        <f>AND(DATA!F839,"AAAAAH7/c4I=")</f>
        <v>#VALUE!</v>
      </c>
      <c r="EB83" t="e">
        <f>AND(DATA!G839,"AAAAAH7/c4M=")</f>
        <v>#VALUE!</v>
      </c>
      <c r="EC83" t="e">
        <f>AND(DATA!H839,"AAAAAH7/c4Q=")</f>
        <v>#VALUE!</v>
      </c>
      <c r="ED83" t="e">
        <f>AND(DATA!I839,"AAAAAH7/c4U=")</f>
        <v>#VALUE!</v>
      </c>
      <c r="EE83" t="e">
        <f>AND(DATA!J839,"AAAAAH7/c4Y=")</f>
        <v>#VALUE!</v>
      </c>
      <c r="EF83" t="e">
        <f>AND(DATA!K839,"AAAAAH7/c4c=")</f>
        <v>#VALUE!</v>
      </c>
      <c r="EG83" t="b">
        <f>AND(DATA!L839,"AAAAAH7/c4g=")</f>
        <v>1</v>
      </c>
      <c r="EH83" t="b">
        <f>AND(DATA!M839,"AAAAAH7/c4k=")</f>
        <v>1</v>
      </c>
      <c r="EI83" t="b">
        <f>AND(DATA!N839,"AAAAAH7/c4o=")</f>
        <v>1</v>
      </c>
      <c r="EJ83">
        <f>IF(DATA!840:840,"AAAAAH7/c4s=",0)</f>
        <v>0</v>
      </c>
      <c r="EK83" t="e">
        <f>AND(DATA!A840,"AAAAAH7/c4w=")</f>
        <v>#VALUE!</v>
      </c>
      <c r="EL83" t="e">
        <f>AND(DATA!B840,"AAAAAH7/c40=")</f>
        <v>#VALUE!</v>
      </c>
      <c r="EM83" t="e">
        <f>AND(DATA!C840,"AAAAAH7/c44=")</f>
        <v>#VALUE!</v>
      </c>
      <c r="EN83" t="e">
        <f>AND(DATA!D840,"AAAAAH7/c48=")</f>
        <v>#VALUE!</v>
      </c>
      <c r="EO83" t="e">
        <f>AND(DATA!E840,"AAAAAH7/c5A=")</f>
        <v>#VALUE!</v>
      </c>
      <c r="EP83" t="e">
        <f>AND(DATA!F840,"AAAAAH7/c5E=")</f>
        <v>#VALUE!</v>
      </c>
      <c r="EQ83" t="e">
        <f>AND(DATA!G840,"AAAAAH7/c5I=")</f>
        <v>#VALUE!</v>
      </c>
      <c r="ER83" t="e">
        <f>AND(DATA!H840,"AAAAAH7/c5M=")</f>
        <v>#VALUE!</v>
      </c>
      <c r="ES83" t="e">
        <f>AND(DATA!I840,"AAAAAH7/c5Q=")</f>
        <v>#VALUE!</v>
      </c>
      <c r="ET83" t="e">
        <f>AND(DATA!J840,"AAAAAH7/c5U=")</f>
        <v>#VALUE!</v>
      </c>
      <c r="EU83" t="e">
        <f>AND(DATA!K840,"AAAAAH7/c5Y=")</f>
        <v>#VALUE!</v>
      </c>
      <c r="EV83" t="b">
        <f>AND(DATA!L840,"AAAAAH7/c5c=")</f>
        <v>1</v>
      </c>
      <c r="EW83" t="b">
        <f>AND(DATA!M840,"AAAAAH7/c5g=")</f>
        <v>1</v>
      </c>
      <c r="EX83" t="b">
        <f>AND(DATA!N840,"AAAAAH7/c5k=")</f>
        <v>1</v>
      </c>
      <c r="EY83">
        <f>IF(DATA!841:841,"AAAAAH7/c5o=",0)</f>
        <v>0</v>
      </c>
      <c r="EZ83" t="e">
        <f>AND(DATA!A841,"AAAAAH7/c5s=")</f>
        <v>#VALUE!</v>
      </c>
      <c r="FA83" t="e">
        <f>AND(DATA!B841,"AAAAAH7/c5w=")</f>
        <v>#VALUE!</v>
      </c>
      <c r="FB83" t="e">
        <f>AND(DATA!C841,"AAAAAH7/c50=")</f>
        <v>#VALUE!</v>
      </c>
      <c r="FC83" t="e">
        <f>AND(DATA!D841,"AAAAAH7/c54=")</f>
        <v>#VALUE!</v>
      </c>
      <c r="FD83" t="e">
        <f>AND(DATA!E841,"AAAAAH7/c58=")</f>
        <v>#VALUE!</v>
      </c>
      <c r="FE83" t="e">
        <f>AND(DATA!F841,"AAAAAH7/c6A=")</f>
        <v>#VALUE!</v>
      </c>
      <c r="FF83" t="e">
        <f>AND(DATA!G841,"AAAAAH7/c6E=")</f>
        <v>#VALUE!</v>
      </c>
      <c r="FG83" t="e">
        <f>AND(DATA!H841,"AAAAAH7/c6I=")</f>
        <v>#VALUE!</v>
      </c>
      <c r="FH83" t="e">
        <f>AND(DATA!I841,"AAAAAH7/c6M=")</f>
        <v>#VALUE!</v>
      </c>
      <c r="FI83" t="e">
        <f>AND(DATA!J841,"AAAAAH7/c6Q=")</f>
        <v>#VALUE!</v>
      </c>
      <c r="FJ83" t="e">
        <f>AND(DATA!K841,"AAAAAH7/c6U=")</f>
        <v>#VALUE!</v>
      </c>
      <c r="FK83" t="b">
        <f>AND(DATA!L841,"AAAAAH7/c6Y=")</f>
        <v>1</v>
      </c>
      <c r="FL83" t="b">
        <f>AND(DATA!M841,"AAAAAH7/c6c=")</f>
        <v>1</v>
      </c>
      <c r="FM83" t="b">
        <f>AND(DATA!N841,"AAAAAH7/c6g=")</f>
        <v>1</v>
      </c>
      <c r="FN83">
        <f>IF(DATA!842:842,"AAAAAH7/c6k=",0)</f>
        <v>0</v>
      </c>
      <c r="FO83" t="e">
        <f>AND(DATA!A842,"AAAAAH7/c6o=")</f>
        <v>#VALUE!</v>
      </c>
      <c r="FP83" t="e">
        <f>AND(DATA!B842,"AAAAAH7/c6s=")</f>
        <v>#VALUE!</v>
      </c>
      <c r="FQ83" t="e">
        <f>AND(DATA!C842,"AAAAAH7/c6w=")</f>
        <v>#VALUE!</v>
      </c>
      <c r="FR83" t="e">
        <f>AND(DATA!D842,"AAAAAH7/c60=")</f>
        <v>#VALUE!</v>
      </c>
      <c r="FS83" t="e">
        <f>AND(DATA!E842,"AAAAAH7/c64=")</f>
        <v>#VALUE!</v>
      </c>
      <c r="FT83" t="e">
        <f>AND(DATA!F842,"AAAAAH7/c68=")</f>
        <v>#VALUE!</v>
      </c>
      <c r="FU83" t="e">
        <f>AND(DATA!G842,"AAAAAH7/c7A=")</f>
        <v>#VALUE!</v>
      </c>
      <c r="FV83" t="e">
        <f>AND(DATA!H842,"AAAAAH7/c7E=")</f>
        <v>#VALUE!</v>
      </c>
      <c r="FW83" t="e">
        <f>AND(DATA!I842,"AAAAAH7/c7I=")</f>
        <v>#VALUE!</v>
      </c>
      <c r="FX83" t="e">
        <f>AND(DATA!J842,"AAAAAH7/c7M=")</f>
        <v>#VALUE!</v>
      </c>
      <c r="FY83" t="e">
        <f>AND(DATA!K842,"AAAAAH7/c7Q=")</f>
        <v>#VALUE!</v>
      </c>
      <c r="FZ83" t="b">
        <f>AND(DATA!L842,"AAAAAH7/c7U=")</f>
        <v>1</v>
      </c>
      <c r="GA83" t="b">
        <f>AND(DATA!M842,"AAAAAH7/c7Y=")</f>
        <v>1</v>
      </c>
      <c r="GB83" t="b">
        <f>AND(DATA!N842,"AAAAAH7/c7c=")</f>
        <v>1</v>
      </c>
      <c r="GC83">
        <f>IF(DATA!843:843,"AAAAAH7/c7g=",0)</f>
        <v>0</v>
      </c>
      <c r="GD83" t="e">
        <f>AND(DATA!A843,"AAAAAH7/c7k=")</f>
        <v>#VALUE!</v>
      </c>
      <c r="GE83" t="e">
        <f>AND(DATA!B843,"AAAAAH7/c7o=")</f>
        <v>#VALUE!</v>
      </c>
      <c r="GF83" t="e">
        <f>AND(DATA!C843,"AAAAAH7/c7s=")</f>
        <v>#VALUE!</v>
      </c>
      <c r="GG83" t="e">
        <f>AND(DATA!D843,"AAAAAH7/c7w=")</f>
        <v>#VALUE!</v>
      </c>
      <c r="GH83" t="e">
        <f>AND(DATA!E843,"AAAAAH7/c70=")</f>
        <v>#VALUE!</v>
      </c>
      <c r="GI83" t="e">
        <f>AND(DATA!F843,"AAAAAH7/c74=")</f>
        <v>#VALUE!</v>
      </c>
      <c r="GJ83" t="e">
        <f>AND(DATA!G843,"AAAAAH7/c78=")</f>
        <v>#VALUE!</v>
      </c>
      <c r="GK83" t="e">
        <f>AND(DATA!H843,"AAAAAH7/c8A=")</f>
        <v>#VALUE!</v>
      </c>
      <c r="GL83" t="e">
        <f>AND(DATA!I843,"AAAAAH7/c8E=")</f>
        <v>#VALUE!</v>
      </c>
      <c r="GM83" t="e">
        <f>AND(DATA!J843,"AAAAAH7/c8I=")</f>
        <v>#VALUE!</v>
      </c>
      <c r="GN83" t="e">
        <f>AND(DATA!K843,"AAAAAH7/c8M=")</f>
        <v>#VALUE!</v>
      </c>
      <c r="GO83" t="b">
        <f>AND(DATA!L843,"AAAAAH7/c8Q=")</f>
        <v>1</v>
      </c>
      <c r="GP83" t="e">
        <f>AND(DATA!M843,"AAAAAH7/c8U=")</f>
        <v>#VALUE!</v>
      </c>
      <c r="GQ83" t="b">
        <f>AND(DATA!N843,"AAAAAH7/c8Y=")</f>
        <v>1</v>
      </c>
      <c r="GR83">
        <f>IF(DATA!844:844,"AAAAAH7/c8c=",0)</f>
        <v>0</v>
      </c>
      <c r="GS83" t="e">
        <f>AND(DATA!A844,"AAAAAH7/c8g=")</f>
        <v>#VALUE!</v>
      </c>
      <c r="GT83" t="e">
        <f>AND(DATA!B844,"AAAAAH7/c8k=")</f>
        <v>#VALUE!</v>
      </c>
      <c r="GU83" t="e">
        <f>AND(DATA!C844,"AAAAAH7/c8o=")</f>
        <v>#VALUE!</v>
      </c>
      <c r="GV83" t="e">
        <f>AND(DATA!D844,"AAAAAH7/c8s=")</f>
        <v>#VALUE!</v>
      </c>
      <c r="GW83" t="e">
        <f>AND(DATA!E844,"AAAAAH7/c8w=")</f>
        <v>#VALUE!</v>
      </c>
      <c r="GX83" t="e">
        <f>AND(DATA!F844,"AAAAAH7/c80=")</f>
        <v>#VALUE!</v>
      </c>
      <c r="GY83" t="e">
        <f>AND(DATA!G844,"AAAAAH7/c84=")</f>
        <v>#VALUE!</v>
      </c>
      <c r="GZ83" t="e">
        <f>AND(DATA!H844,"AAAAAH7/c88=")</f>
        <v>#VALUE!</v>
      </c>
      <c r="HA83" t="e">
        <f>AND(DATA!I844,"AAAAAH7/c9A=")</f>
        <v>#VALUE!</v>
      </c>
      <c r="HB83" t="e">
        <f>AND(DATA!J844,"AAAAAH7/c9E=")</f>
        <v>#VALUE!</v>
      </c>
      <c r="HC83" t="e">
        <f>AND(DATA!K844,"AAAAAH7/c9I=")</f>
        <v>#VALUE!</v>
      </c>
      <c r="HD83" t="b">
        <f>AND(DATA!L844,"AAAAAH7/c9M=")</f>
        <v>1</v>
      </c>
      <c r="HE83" t="e">
        <f>AND(DATA!M844,"AAAAAH7/c9Q=")</f>
        <v>#VALUE!</v>
      </c>
      <c r="HF83" t="b">
        <f>AND(DATA!N844,"AAAAAH7/c9U=")</f>
        <v>1</v>
      </c>
      <c r="HG83">
        <f>IF(DATA!845:845,"AAAAAH7/c9Y=",0)</f>
        <v>0</v>
      </c>
      <c r="HH83" t="e">
        <f>AND(DATA!A845,"AAAAAH7/c9c=")</f>
        <v>#VALUE!</v>
      </c>
      <c r="HI83" t="e">
        <f>AND(DATA!B845,"AAAAAH7/c9g=")</f>
        <v>#VALUE!</v>
      </c>
      <c r="HJ83" t="e">
        <f>AND(DATA!C845,"AAAAAH7/c9k=")</f>
        <v>#VALUE!</v>
      </c>
      <c r="HK83" t="e">
        <f>AND(DATA!D845,"AAAAAH7/c9o=")</f>
        <v>#VALUE!</v>
      </c>
      <c r="HL83" t="e">
        <f>AND(DATA!E845,"AAAAAH7/c9s=")</f>
        <v>#VALUE!</v>
      </c>
      <c r="HM83" t="e">
        <f>AND(DATA!F845,"AAAAAH7/c9w=")</f>
        <v>#VALUE!</v>
      </c>
      <c r="HN83" t="e">
        <f>AND(DATA!G845,"AAAAAH7/c90=")</f>
        <v>#VALUE!</v>
      </c>
      <c r="HO83" t="e">
        <f>AND(DATA!H845,"AAAAAH7/c94=")</f>
        <v>#VALUE!</v>
      </c>
      <c r="HP83" t="e">
        <f>AND(DATA!I845,"AAAAAH7/c98=")</f>
        <v>#VALUE!</v>
      </c>
      <c r="HQ83" t="e">
        <f>AND(DATA!J845,"AAAAAH7/c+A=")</f>
        <v>#VALUE!</v>
      </c>
      <c r="HR83" t="e">
        <f>AND(DATA!K845,"AAAAAH7/c+E=")</f>
        <v>#VALUE!</v>
      </c>
      <c r="HS83" t="b">
        <f>AND(DATA!L845,"AAAAAH7/c+I=")</f>
        <v>1</v>
      </c>
      <c r="HT83" t="e">
        <f>AND(DATA!M845,"AAAAAH7/c+M=")</f>
        <v>#VALUE!</v>
      </c>
      <c r="HU83" t="b">
        <f>AND(DATA!N845,"AAAAAH7/c+Q=")</f>
        <v>1</v>
      </c>
      <c r="HV83">
        <f>IF(DATA!846:846,"AAAAAH7/c+U=",0)</f>
        <v>0</v>
      </c>
      <c r="HW83" t="e">
        <f>AND(DATA!A846,"AAAAAH7/c+Y=")</f>
        <v>#VALUE!</v>
      </c>
      <c r="HX83" t="e">
        <f>AND(DATA!B846,"AAAAAH7/c+c=")</f>
        <v>#VALUE!</v>
      </c>
      <c r="HY83" t="e">
        <f>AND(DATA!C846,"AAAAAH7/c+g=")</f>
        <v>#VALUE!</v>
      </c>
      <c r="HZ83" t="e">
        <f>AND(DATA!D846,"AAAAAH7/c+k=")</f>
        <v>#VALUE!</v>
      </c>
      <c r="IA83" t="e">
        <f>AND(DATA!E846,"AAAAAH7/c+o=")</f>
        <v>#VALUE!</v>
      </c>
      <c r="IB83" t="e">
        <f>AND(DATA!F846,"AAAAAH7/c+s=")</f>
        <v>#VALUE!</v>
      </c>
      <c r="IC83" t="e">
        <f>AND(DATA!G846,"AAAAAH7/c+w=")</f>
        <v>#VALUE!</v>
      </c>
      <c r="ID83" t="e">
        <f>AND(DATA!H846,"AAAAAH7/c+0=")</f>
        <v>#VALUE!</v>
      </c>
      <c r="IE83" t="e">
        <f>AND(DATA!I846,"AAAAAH7/c+4=")</f>
        <v>#VALUE!</v>
      </c>
      <c r="IF83" t="e">
        <f>AND(DATA!J846,"AAAAAH7/c+8=")</f>
        <v>#VALUE!</v>
      </c>
      <c r="IG83" t="e">
        <f>AND(DATA!K846,"AAAAAH7/c/A=")</f>
        <v>#VALUE!</v>
      </c>
      <c r="IH83" t="b">
        <f>AND(DATA!L846,"AAAAAH7/c/E=")</f>
        <v>1</v>
      </c>
      <c r="II83" t="e">
        <f>AND(DATA!M846,"AAAAAH7/c/I=")</f>
        <v>#VALUE!</v>
      </c>
      <c r="IJ83" t="b">
        <f>AND(DATA!N846,"AAAAAH7/c/M=")</f>
        <v>1</v>
      </c>
      <c r="IK83">
        <f>IF(DATA!847:847,"AAAAAH7/c/Q=",0)</f>
        <v>0</v>
      </c>
      <c r="IL83" t="e">
        <f>AND(DATA!A847,"AAAAAH7/c/U=")</f>
        <v>#VALUE!</v>
      </c>
      <c r="IM83" t="e">
        <f>AND(DATA!B847,"AAAAAH7/c/Y=")</f>
        <v>#VALUE!</v>
      </c>
      <c r="IN83" t="e">
        <f>AND(DATA!C847,"AAAAAH7/c/c=")</f>
        <v>#VALUE!</v>
      </c>
      <c r="IO83" t="e">
        <f>AND(DATA!D847,"AAAAAH7/c/g=")</f>
        <v>#VALUE!</v>
      </c>
      <c r="IP83" t="e">
        <f>AND(DATA!E847,"AAAAAH7/c/k=")</f>
        <v>#VALUE!</v>
      </c>
      <c r="IQ83" t="e">
        <f>AND(DATA!F847,"AAAAAH7/c/o=")</f>
        <v>#VALUE!</v>
      </c>
      <c r="IR83" t="e">
        <f>AND(DATA!G847,"AAAAAH7/c/s=")</f>
        <v>#VALUE!</v>
      </c>
      <c r="IS83" t="e">
        <f>AND(DATA!H847,"AAAAAH7/c/w=")</f>
        <v>#VALUE!</v>
      </c>
      <c r="IT83" t="e">
        <f>AND(DATA!I847,"AAAAAH7/c/0=")</f>
        <v>#VALUE!</v>
      </c>
      <c r="IU83" t="e">
        <f>AND(DATA!J847,"AAAAAH7/c/4=")</f>
        <v>#VALUE!</v>
      </c>
      <c r="IV83" t="e">
        <f>AND(DATA!K847,"AAAAAH7/c/8=")</f>
        <v>#VALUE!</v>
      </c>
    </row>
    <row r="84" spans="1:256">
      <c r="A84" t="b">
        <f>AND(DATA!L847,"AAAAAH/3/AA=")</f>
        <v>1</v>
      </c>
      <c r="B84" t="e">
        <f>AND(DATA!M847,"AAAAAH/3/AE=")</f>
        <v>#VALUE!</v>
      </c>
      <c r="C84" t="b">
        <f>AND(DATA!N847,"AAAAAH/3/AI=")</f>
        <v>1</v>
      </c>
      <c r="D84">
        <f>IF(DATA!848:848,"AAAAAH/3/AM=",0)</f>
        <v>0</v>
      </c>
      <c r="E84" t="e">
        <f>AND(DATA!A848,"AAAAAH/3/AQ=")</f>
        <v>#VALUE!</v>
      </c>
      <c r="F84" t="e">
        <f>AND(DATA!B848,"AAAAAH/3/AU=")</f>
        <v>#VALUE!</v>
      </c>
      <c r="G84" t="e">
        <f>AND(DATA!C848,"AAAAAH/3/AY=")</f>
        <v>#VALUE!</v>
      </c>
      <c r="H84" t="e">
        <f>AND(DATA!D848,"AAAAAH/3/Ac=")</f>
        <v>#VALUE!</v>
      </c>
      <c r="I84" t="e">
        <f>AND(DATA!E848,"AAAAAH/3/Ag=")</f>
        <v>#VALUE!</v>
      </c>
      <c r="J84" t="e">
        <f>AND(DATA!F848,"AAAAAH/3/Ak=")</f>
        <v>#VALUE!</v>
      </c>
      <c r="K84" t="e">
        <f>AND(DATA!G848,"AAAAAH/3/Ao=")</f>
        <v>#VALUE!</v>
      </c>
      <c r="L84" t="e">
        <f>AND(DATA!H848,"AAAAAH/3/As=")</f>
        <v>#VALUE!</v>
      </c>
      <c r="M84" t="e">
        <f>AND(DATA!I848,"AAAAAH/3/Aw=")</f>
        <v>#VALUE!</v>
      </c>
      <c r="N84" t="e">
        <f>AND(DATA!J848,"AAAAAH/3/A0=")</f>
        <v>#VALUE!</v>
      </c>
      <c r="O84" t="e">
        <f>AND(DATA!K848,"AAAAAH/3/A4=")</f>
        <v>#VALUE!</v>
      </c>
      <c r="P84" t="b">
        <f>AND(DATA!L848,"AAAAAH/3/A8=")</f>
        <v>1</v>
      </c>
      <c r="Q84" t="e">
        <f>AND(DATA!M848,"AAAAAH/3/BA=")</f>
        <v>#VALUE!</v>
      </c>
      <c r="R84" t="b">
        <f>AND(DATA!N848,"AAAAAH/3/BE=")</f>
        <v>1</v>
      </c>
      <c r="S84">
        <f>IF(DATA!849:849,"AAAAAH/3/BI=",0)</f>
        <v>0</v>
      </c>
      <c r="T84" t="e">
        <f>AND(DATA!A849,"AAAAAH/3/BM=")</f>
        <v>#VALUE!</v>
      </c>
      <c r="U84" t="e">
        <f>AND(DATA!B849,"AAAAAH/3/BQ=")</f>
        <v>#VALUE!</v>
      </c>
      <c r="V84" t="e">
        <f>AND(DATA!C849,"AAAAAH/3/BU=")</f>
        <v>#VALUE!</v>
      </c>
      <c r="W84" t="e">
        <f>AND(DATA!D849,"AAAAAH/3/BY=")</f>
        <v>#VALUE!</v>
      </c>
      <c r="X84" t="e">
        <f>AND(DATA!E849,"AAAAAH/3/Bc=")</f>
        <v>#VALUE!</v>
      </c>
      <c r="Y84" t="e">
        <f>AND(DATA!F849,"AAAAAH/3/Bg=")</f>
        <v>#VALUE!</v>
      </c>
      <c r="Z84" t="e">
        <f>AND(DATA!G849,"AAAAAH/3/Bk=")</f>
        <v>#VALUE!</v>
      </c>
      <c r="AA84" t="e">
        <f>AND(DATA!H849,"AAAAAH/3/Bo=")</f>
        <v>#VALUE!</v>
      </c>
      <c r="AB84" t="e">
        <f>AND(DATA!I849,"AAAAAH/3/Bs=")</f>
        <v>#VALUE!</v>
      </c>
      <c r="AC84" t="e">
        <f>AND(DATA!J849,"AAAAAH/3/Bw=")</f>
        <v>#VALUE!</v>
      </c>
      <c r="AD84" t="e">
        <f>AND(DATA!K849,"AAAAAH/3/B0=")</f>
        <v>#VALUE!</v>
      </c>
      <c r="AE84" t="b">
        <f>AND(DATA!L849,"AAAAAH/3/B4=")</f>
        <v>1</v>
      </c>
      <c r="AF84" t="e">
        <f>AND(DATA!M849,"AAAAAH/3/B8=")</f>
        <v>#VALUE!</v>
      </c>
      <c r="AG84" t="b">
        <f>AND(DATA!N849,"AAAAAH/3/CA=")</f>
        <v>1</v>
      </c>
      <c r="AH84">
        <f>IF(DATA!850:850,"AAAAAH/3/CE=",0)</f>
        <v>0</v>
      </c>
      <c r="AI84" t="e">
        <f>AND(DATA!A850,"AAAAAH/3/CI=")</f>
        <v>#VALUE!</v>
      </c>
      <c r="AJ84" t="e">
        <f>AND(DATA!B850,"AAAAAH/3/CM=")</f>
        <v>#VALUE!</v>
      </c>
      <c r="AK84" t="e">
        <f>AND(DATA!C850,"AAAAAH/3/CQ=")</f>
        <v>#VALUE!</v>
      </c>
      <c r="AL84" t="e">
        <f>AND(DATA!D850,"AAAAAH/3/CU=")</f>
        <v>#VALUE!</v>
      </c>
      <c r="AM84" t="e">
        <f>AND(DATA!E850,"AAAAAH/3/CY=")</f>
        <v>#VALUE!</v>
      </c>
      <c r="AN84" t="e">
        <f>AND(DATA!F850,"AAAAAH/3/Cc=")</f>
        <v>#VALUE!</v>
      </c>
      <c r="AO84" t="e">
        <f>AND(DATA!G850,"AAAAAH/3/Cg=")</f>
        <v>#VALUE!</v>
      </c>
      <c r="AP84" t="e">
        <f>AND(DATA!H850,"AAAAAH/3/Ck=")</f>
        <v>#VALUE!</v>
      </c>
      <c r="AQ84" t="e">
        <f>AND(DATA!I850,"AAAAAH/3/Co=")</f>
        <v>#VALUE!</v>
      </c>
      <c r="AR84" t="e">
        <f>AND(DATA!J850,"AAAAAH/3/Cs=")</f>
        <v>#VALUE!</v>
      </c>
      <c r="AS84" t="e">
        <f>AND(DATA!K850,"AAAAAH/3/Cw=")</f>
        <v>#VALUE!</v>
      </c>
      <c r="AT84" t="b">
        <f>AND(DATA!L850,"AAAAAH/3/C0=")</f>
        <v>1</v>
      </c>
      <c r="AU84" t="e">
        <f>AND(DATA!M850,"AAAAAH/3/C4=")</f>
        <v>#VALUE!</v>
      </c>
      <c r="AV84" t="b">
        <f>AND(DATA!N850,"AAAAAH/3/C8=")</f>
        <v>1</v>
      </c>
      <c r="AW84">
        <f>IF(DATA!851:851,"AAAAAH/3/DA=",0)</f>
        <v>0</v>
      </c>
      <c r="AX84" t="e">
        <f>AND(DATA!A851,"AAAAAH/3/DE=")</f>
        <v>#VALUE!</v>
      </c>
      <c r="AY84" t="e">
        <f>AND(DATA!B851,"AAAAAH/3/DI=")</f>
        <v>#VALUE!</v>
      </c>
      <c r="AZ84" t="e">
        <f>AND(DATA!C851,"AAAAAH/3/DM=")</f>
        <v>#VALUE!</v>
      </c>
      <c r="BA84" t="e">
        <f>AND(DATA!D851,"AAAAAH/3/DQ=")</f>
        <v>#VALUE!</v>
      </c>
      <c r="BB84" t="e">
        <f>AND(DATA!E851,"AAAAAH/3/DU=")</f>
        <v>#VALUE!</v>
      </c>
      <c r="BC84" t="e">
        <f>AND(DATA!F851,"AAAAAH/3/DY=")</f>
        <v>#VALUE!</v>
      </c>
      <c r="BD84" t="e">
        <f>AND(DATA!G851,"AAAAAH/3/Dc=")</f>
        <v>#VALUE!</v>
      </c>
      <c r="BE84" t="e">
        <f>AND(DATA!H851,"AAAAAH/3/Dg=")</f>
        <v>#VALUE!</v>
      </c>
      <c r="BF84" t="e">
        <f>AND(DATA!I851,"AAAAAH/3/Dk=")</f>
        <v>#VALUE!</v>
      </c>
      <c r="BG84" t="e">
        <f>AND(DATA!J851,"AAAAAH/3/Do=")</f>
        <v>#VALUE!</v>
      </c>
      <c r="BH84" t="e">
        <f>AND(DATA!K851,"AAAAAH/3/Ds=")</f>
        <v>#VALUE!</v>
      </c>
      <c r="BI84" t="b">
        <f>AND(DATA!L851,"AAAAAH/3/Dw=")</f>
        <v>1</v>
      </c>
      <c r="BJ84" t="e">
        <f>AND(DATA!M851,"AAAAAH/3/D0=")</f>
        <v>#VALUE!</v>
      </c>
      <c r="BK84" t="b">
        <f>AND(DATA!N851,"AAAAAH/3/D4=")</f>
        <v>1</v>
      </c>
      <c r="BL84">
        <f>IF(DATA!852:852,"AAAAAH/3/D8=",0)</f>
        <v>0</v>
      </c>
      <c r="BM84" t="e">
        <f>AND(DATA!A852,"AAAAAH/3/EA=")</f>
        <v>#VALUE!</v>
      </c>
      <c r="BN84" t="e">
        <f>AND(DATA!B852,"AAAAAH/3/EE=")</f>
        <v>#VALUE!</v>
      </c>
      <c r="BO84" t="e">
        <f>AND(DATA!C852,"AAAAAH/3/EI=")</f>
        <v>#VALUE!</v>
      </c>
      <c r="BP84" t="e">
        <f>AND(DATA!D852,"AAAAAH/3/EM=")</f>
        <v>#VALUE!</v>
      </c>
      <c r="BQ84" t="e">
        <f>AND(DATA!E852,"AAAAAH/3/EQ=")</f>
        <v>#VALUE!</v>
      </c>
      <c r="BR84" t="e">
        <f>AND(DATA!F852,"AAAAAH/3/EU=")</f>
        <v>#VALUE!</v>
      </c>
      <c r="BS84" t="e">
        <f>AND(DATA!G852,"AAAAAH/3/EY=")</f>
        <v>#VALUE!</v>
      </c>
      <c r="BT84" t="e">
        <f>AND(DATA!H852,"AAAAAH/3/Ec=")</f>
        <v>#VALUE!</v>
      </c>
      <c r="BU84" t="e">
        <f>AND(DATA!I852,"AAAAAH/3/Eg=")</f>
        <v>#VALUE!</v>
      </c>
      <c r="BV84" t="e">
        <f>AND(DATA!J852,"AAAAAH/3/Ek=")</f>
        <v>#VALUE!</v>
      </c>
      <c r="BW84" t="e">
        <f>AND(DATA!K852,"AAAAAH/3/Eo=")</f>
        <v>#VALUE!</v>
      </c>
      <c r="BX84" t="b">
        <f>AND(DATA!L852,"AAAAAH/3/Es=")</f>
        <v>1</v>
      </c>
      <c r="BY84" t="e">
        <f>AND(DATA!M852,"AAAAAH/3/Ew=")</f>
        <v>#VALUE!</v>
      </c>
      <c r="BZ84" t="b">
        <f>AND(DATA!N852,"AAAAAH/3/E0=")</f>
        <v>1</v>
      </c>
      <c r="CA84">
        <f>IF(DATA!853:853,"AAAAAH/3/E4=",0)</f>
        <v>0</v>
      </c>
      <c r="CB84" t="e">
        <f>AND(DATA!A853,"AAAAAH/3/E8=")</f>
        <v>#VALUE!</v>
      </c>
      <c r="CC84" t="e">
        <f>AND(DATA!B853,"AAAAAH/3/FA=")</f>
        <v>#VALUE!</v>
      </c>
      <c r="CD84" t="e">
        <f>AND(DATA!C853,"AAAAAH/3/FE=")</f>
        <v>#VALUE!</v>
      </c>
      <c r="CE84" t="e">
        <f>AND(DATA!D853,"AAAAAH/3/FI=")</f>
        <v>#VALUE!</v>
      </c>
      <c r="CF84" t="e">
        <f>AND(DATA!E853,"AAAAAH/3/FM=")</f>
        <v>#VALUE!</v>
      </c>
      <c r="CG84" t="e">
        <f>AND(DATA!F853,"AAAAAH/3/FQ=")</f>
        <v>#VALUE!</v>
      </c>
      <c r="CH84" t="e">
        <f>AND(DATA!G853,"AAAAAH/3/FU=")</f>
        <v>#VALUE!</v>
      </c>
      <c r="CI84" t="e">
        <f>AND(DATA!H853,"AAAAAH/3/FY=")</f>
        <v>#VALUE!</v>
      </c>
      <c r="CJ84" t="e">
        <f>AND(DATA!I853,"AAAAAH/3/Fc=")</f>
        <v>#VALUE!</v>
      </c>
      <c r="CK84" t="e">
        <f>AND(DATA!J853,"AAAAAH/3/Fg=")</f>
        <v>#VALUE!</v>
      </c>
      <c r="CL84" t="e">
        <f>AND(DATA!K853,"AAAAAH/3/Fk=")</f>
        <v>#VALUE!</v>
      </c>
      <c r="CM84" t="b">
        <f>AND(DATA!L853,"AAAAAH/3/Fo=")</f>
        <v>1</v>
      </c>
      <c r="CN84" t="e">
        <f>AND(DATA!M853,"AAAAAH/3/Fs=")</f>
        <v>#VALUE!</v>
      </c>
      <c r="CO84" t="b">
        <f>AND(DATA!N853,"AAAAAH/3/Fw=")</f>
        <v>1</v>
      </c>
      <c r="CP84">
        <f>IF(DATA!854:854,"AAAAAH/3/F0=",0)</f>
        <v>0</v>
      </c>
      <c r="CQ84" t="e">
        <f>AND(DATA!A854,"AAAAAH/3/F4=")</f>
        <v>#VALUE!</v>
      </c>
      <c r="CR84" t="e">
        <f>AND(DATA!B854,"AAAAAH/3/F8=")</f>
        <v>#VALUE!</v>
      </c>
      <c r="CS84" t="e">
        <f>AND(DATA!C854,"AAAAAH/3/GA=")</f>
        <v>#VALUE!</v>
      </c>
      <c r="CT84" t="e">
        <f>AND(DATA!D854,"AAAAAH/3/GE=")</f>
        <v>#VALUE!</v>
      </c>
      <c r="CU84" t="e">
        <f>AND(DATA!E854,"AAAAAH/3/GI=")</f>
        <v>#VALUE!</v>
      </c>
      <c r="CV84" t="e">
        <f>AND(DATA!F854,"AAAAAH/3/GM=")</f>
        <v>#VALUE!</v>
      </c>
      <c r="CW84" t="e">
        <f>AND(DATA!G854,"AAAAAH/3/GQ=")</f>
        <v>#VALUE!</v>
      </c>
      <c r="CX84" t="e">
        <f>AND(DATA!H854,"AAAAAH/3/GU=")</f>
        <v>#VALUE!</v>
      </c>
      <c r="CY84" t="e">
        <f>AND(DATA!I854,"AAAAAH/3/GY=")</f>
        <v>#VALUE!</v>
      </c>
      <c r="CZ84" t="e">
        <f>AND(DATA!J854,"AAAAAH/3/Gc=")</f>
        <v>#VALUE!</v>
      </c>
      <c r="DA84" t="e">
        <f>AND(DATA!K854,"AAAAAH/3/Gg=")</f>
        <v>#VALUE!</v>
      </c>
      <c r="DB84" t="b">
        <f>AND(DATA!L854,"AAAAAH/3/Gk=")</f>
        <v>1</v>
      </c>
      <c r="DC84" t="e">
        <f>AND(DATA!M854,"AAAAAH/3/Go=")</f>
        <v>#VALUE!</v>
      </c>
      <c r="DD84" t="b">
        <f>AND(DATA!N854,"AAAAAH/3/Gs=")</f>
        <v>1</v>
      </c>
      <c r="DE84">
        <f>IF(DATA!855:855,"AAAAAH/3/Gw=",0)</f>
        <v>0</v>
      </c>
      <c r="DF84" t="e">
        <f>AND(DATA!A855,"AAAAAH/3/G0=")</f>
        <v>#VALUE!</v>
      </c>
      <c r="DG84" t="e">
        <f>AND(DATA!B855,"AAAAAH/3/G4=")</f>
        <v>#VALUE!</v>
      </c>
      <c r="DH84" t="e">
        <f>AND(DATA!C855,"AAAAAH/3/G8=")</f>
        <v>#VALUE!</v>
      </c>
      <c r="DI84" t="e">
        <f>AND(DATA!D855,"AAAAAH/3/HA=")</f>
        <v>#VALUE!</v>
      </c>
      <c r="DJ84" t="e">
        <f>AND(DATA!E855,"AAAAAH/3/HE=")</f>
        <v>#VALUE!</v>
      </c>
      <c r="DK84" t="e">
        <f>AND(DATA!F855,"AAAAAH/3/HI=")</f>
        <v>#VALUE!</v>
      </c>
      <c r="DL84" t="e">
        <f>AND(DATA!G855,"AAAAAH/3/HM=")</f>
        <v>#VALUE!</v>
      </c>
      <c r="DM84" t="e">
        <f>AND(DATA!H855,"AAAAAH/3/HQ=")</f>
        <v>#VALUE!</v>
      </c>
      <c r="DN84" t="e">
        <f>AND(DATA!I855,"AAAAAH/3/HU=")</f>
        <v>#VALUE!</v>
      </c>
      <c r="DO84" t="e">
        <f>AND(DATA!J855,"AAAAAH/3/HY=")</f>
        <v>#VALUE!</v>
      </c>
      <c r="DP84" t="e">
        <f>AND(DATA!K855,"AAAAAH/3/Hc=")</f>
        <v>#VALUE!</v>
      </c>
      <c r="DQ84" t="b">
        <f>AND(DATA!L855,"AAAAAH/3/Hg=")</f>
        <v>1</v>
      </c>
      <c r="DR84" t="e">
        <f>AND(DATA!M855,"AAAAAH/3/Hk=")</f>
        <v>#VALUE!</v>
      </c>
      <c r="DS84" t="b">
        <f>AND(DATA!N855,"AAAAAH/3/Ho=")</f>
        <v>1</v>
      </c>
      <c r="DT84">
        <f>IF(DATA!856:856,"AAAAAH/3/Hs=",0)</f>
        <v>0</v>
      </c>
      <c r="DU84" t="e">
        <f>AND(DATA!A856,"AAAAAH/3/Hw=")</f>
        <v>#VALUE!</v>
      </c>
      <c r="DV84" t="e">
        <f>AND(DATA!B856,"AAAAAH/3/H0=")</f>
        <v>#VALUE!</v>
      </c>
      <c r="DW84" t="e">
        <f>AND(DATA!C856,"AAAAAH/3/H4=")</f>
        <v>#VALUE!</v>
      </c>
      <c r="DX84" t="e">
        <f>AND(DATA!D856,"AAAAAH/3/H8=")</f>
        <v>#VALUE!</v>
      </c>
      <c r="DY84" t="e">
        <f>AND(DATA!E856,"AAAAAH/3/IA=")</f>
        <v>#VALUE!</v>
      </c>
      <c r="DZ84" t="e">
        <f>AND(DATA!F856,"AAAAAH/3/IE=")</f>
        <v>#VALUE!</v>
      </c>
      <c r="EA84" t="e">
        <f>AND(DATA!G856,"AAAAAH/3/II=")</f>
        <v>#VALUE!</v>
      </c>
      <c r="EB84" t="e">
        <f>AND(DATA!H856,"AAAAAH/3/IM=")</f>
        <v>#VALUE!</v>
      </c>
      <c r="EC84" t="e">
        <f>AND(DATA!I856,"AAAAAH/3/IQ=")</f>
        <v>#VALUE!</v>
      </c>
      <c r="ED84" t="e">
        <f>AND(DATA!J856,"AAAAAH/3/IU=")</f>
        <v>#VALUE!</v>
      </c>
      <c r="EE84" t="e">
        <f>AND(DATA!K856,"AAAAAH/3/IY=")</f>
        <v>#VALUE!</v>
      </c>
      <c r="EF84" t="b">
        <f>AND(DATA!L856,"AAAAAH/3/Ic=")</f>
        <v>1</v>
      </c>
      <c r="EG84" t="e">
        <f>AND(DATA!M856,"AAAAAH/3/Ig=")</f>
        <v>#VALUE!</v>
      </c>
      <c r="EH84" t="b">
        <f>AND(DATA!N856,"AAAAAH/3/Ik=")</f>
        <v>1</v>
      </c>
      <c r="EI84">
        <f>IF(DATA!857:857,"AAAAAH/3/Io=",0)</f>
        <v>0</v>
      </c>
      <c r="EJ84" t="e">
        <f>AND(DATA!A857,"AAAAAH/3/Is=")</f>
        <v>#VALUE!</v>
      </c>
      <c r="EK84" t="e">
        <f>AND(DATA!B857,"AAAAAH/3/Iw=")</f>
        <v>#VALUE!</v>
      </c>
      <c r="EL84" t="e">
        <f>AND(DATA!C857,"AAAAAH/3/I0=")</f>
        <v>#VALUE!</v>
      </c>
      <c r="EM84" t="e">
        <f>AND(DATA!D857,"AAAAAH/3/I4=")</f>
        <v>#VALUE!</v>
      </c>
      <c r="EN84" t="e">
        <f>AND(DATA!E857,"AAAAAH/3/I8=")</f>
        <v>#VALUE!</v>
      </c>
      <c r="EO84" t="e">
        <f>AND(DATA!F857,"AAAAAH/3/JA=")</f>
        <v>#VALUE!</v>
      </c>
      <c r="EP84" t="e">
        <f>AND(DATA!G857,"AAAAAH/3/JE=")</f>
        <v>#VALUE!</v>
      </c>
      <c r="EQ84" t="e">
        <f>AND(DATA!H857,"AAAAAH/3/JI=")</f>
        <v>#VALUE!</v>
      </c>
      <c r="ER84" t="e">
        <f>AND(DATA!I857,"AAAAAH/3/JM=")</f>
        <v>#VALUE!</v>
      </c>
      <c r="ES84" t="e">
        <f>AND(DATA!J857,"AAAAAH/3/JQ=")</f>
        <v>#VALUE!</v>
      </c>
      <c r="ET84" t="e">
        <f>AND(DATA!K857,"AAAAAH/3/JU=")</f>
        <v>#VALUE!</v>
      </c>
      <c r="EU84" t="b">
        <f>AND(DATA!L857,"AAAAAH/3/JY=")</f>
        <v>1</v>
      </c>
      <c r="EV84" t="e">
        <f>AND(DATA!M857,"AAAAAH/3/Jc=")</f>
        <v>#VALUE!</v>
      </c>
      <c r="EW84" t="b">
        <f>AND(DATA!N857,"AAAAAH/3/Jg=")</f>
        <v>1</v>
      </c>
      <c r="EX84">
        <f>IF(DATA!858:858,"AAAAAH/3/Jk=",0)</f>
        <v>0</v>
      </c>
      <c r="EY84" t="e">
        <f>AND(DATA!A858,"AAAAAH/3/Jo=")</f>
        <v>#VALUE!</v>
      </c>
      <c r="EZ84" t="e">
        <f>AND(DATA!B858,"AAAAAH/3/Js=")</f>
        <v>#VALUE!</v>
      </c>
      <c r="FA84" t="e">
        <f>AND(DATA!C858,"AAAAAH/3/Jw=")</f>
        <v>#VALUE!</v>
      </c>
      <c r="FB84" t="e">
        <f>AND(DATA!D858,"AAAAAH/3/J0=")</f>
        <v>#VALUE!</v>
      </c>
      <c r="FC84" t="e">
        <f>AND(DATA!E858,"AAAAAH/3/J4=")</f>
        <v>#VALUE!</v>
      </c>
      <c r="FD84" t="e">
        <f>AND(DATA!F858,"AAAAAH/3/J8=")</f>
        <v>#VALUE!</v>
      </c>
      <c r="FE84" t="e">
        <f>AND(DATA!G858,"AAAAAH/3/KA=")</f>
        <v>#VALUE!</v>
      </c>
      <c r="FF84" t="e">
        <f>AND(DATA!H858,"AAAAAH/3/KE=")</f>
        <v>#VALUE!</v>
      </c>
      <c r="FG84" t="e">
        <f>AND(DATA!I858,"AAAAAH/3/KI=")</f>
        <v>#VALUE!</v>
      </c>
      <c r="FH84" t="e">
        <f>AND(DATA!J858,"AAAAAH/3/KM=")</f>
        <v>#VALUE!</v>
      </c>
      <c r="FI84" t="e">
        <f>AND(DATA!K858,"AAAAAH/3/KQ=")</f>
        <v>#VALUE!</v>
      </c>
      <c r="FJ84" t="b">
        <f>AND(DATA!L858,"AAAAAH/3/KU=")</f>
        <v>1</v>
      </c>
      <c r="FK84" t="e">
        <f>AND(DATA!M858,"AAAAAH/3/KY=")</f>
        <v>#VALUE!</v>
      </c>
      <c r="FL84" t="b">
        <f>AND(DATA!N858,"AAAAAH/3/Kc=")</f>
        <v>1</v>
      </c>
      <c r="FM84">
        <f>IF(DATA!859:859,"AAAAAH/3/Kg=",0)</f>
        <v>0</v>
      </c>
      <c r="FN84" t="e">
        <f>AND(DATA!A859,"AAAAAH/3/Kk=")</f>
        <v>#VALUE!</v>
      </c>
      <c r="FO84" t="e">
        <f>AND(DATA!B859,"AAAAAH/3/Ko=")</f>
        <v>#VALUE!</v>
      </c>
      <c r="FP84" t="e">
        <f>AND(DATA!C859,"AAAAAH/3/Ks=")</f>
        <v>#VALUE!</v>
      </c>
      <c r="FQ84" t="e">
        <f>AND(DATA!D859,"AAAAAH/3/Kw=")</f>
        <v>#VALUE!</v>
      </c>
      <c r="FR84" t="e">
        <f>AND(DATA!E859,"AAAAAH/3/K0=")</f>
        <v>#VALUE!</v>
      </c>
      <c r="FS84" t="e">
        <f>AND(DATA!F859,"AAAAAH/3/K4=")</f>
        <v>#VALUE!</v>
      </c>
      <c r="FT84" t="e">
        <f>AND(DATA!G859,"AAAAAH/3/K8=")</f>
        <v>#VALUE!</v>
      </c>
      <c r="FU84" t="e">
        <f>AND(DATA!H859,"AAAAAH/3/LA=")</f>
        <v>#VALUE!</v>
      </c>
      <c r="FV84" t="e">
        <f>AND(DATA!I859,"AAAAAH/3/LE=")</f>
        <v>#VALUE!</v>
      </c>
      <c r="FW84" t="e">
        <f>AND(DATA!J859,"AAAAAH/3/LI=")</f>
        <v>#VALUE!</v>
      </c>
      <c r="FX84" t="e">
        <f>AND(DATA!K859,"AAAAAH/3/LM=")</f>
        <v>#VALUE!</v>
      </c>
      <c r="FY84" t="b">
        <f>AND(DATA!L859,"AAAAAH/3/LQ=")</f>
        <v>1</v>
      </c>
      <c r="FZ84" t="e">
        <f>AND(DATA!M859,"AAAAAH/3/LU=")</f>
        <v>#VALUE!</v>
      </c>
      <c r="GA84" t="b">
        <f>AND(DATA!N859,"AAAAAH/3/LY=")</f>
        <v>1</v>
      </c>
      <c r="GB84">
        <f>IF(DATA!860:860,"AAAAAH/3/Lc=",0)</f>
        <v>0</v>
      </c>
      <c r="GC84" t="e">
        <f>AND(DATA!A860,"AAAAAH/3/Lg=")</f>
        <v>#VALUE!</v>
      </c>
      <c r="GD84" t="e">
        <f>AND(DATA!B860,"AAAAAH/3/Lk=")</f>
        <v>#VALUE!</v>
      </c>
      <c r="GE84" t="e">
        <f>AND(DATA!C860,"AAAAAH/3/Lo=")</f>
        <v>#VALUE!</v>
      </c>
      <c r="GF84" t="e">
        <f>AND(DATA!D860,"AAAAAH/3/Ls=")</f>
        <v>#VALUE!</v>
      </c>
      <c r="GG84" t="e">
        <f>AND(DATA!E860,"AAAAAH/3/Lw=")</f>
        <v>#VALUE!</v>
      </c>
      <c r="GH84" t="e">
        <f>AND(DATA!F860,"AAAAAH/3/L0=")</f>
        <v>#VALUE!</v>
      </c>
      <c r="GI84" t="e">
        <f>AND(DATA!G860,"AAAAAH/3/L4=")</f>
        <v>#VALUE!</v>
      </c>
      <c r="GJ84" t="e">
        <f>AND(DATA!H860,"AAAAAH/3/L8=")</f>
        <v>#VALUE!</v>
      </c>
      <c r="GK84" t="e">
        <f>AND(DATA!I860,"AAAAAH/3/MA=")</f>
        <v>#VALUE!</v>
      </c>
      <c r="GL84" t="e">
        <f>AND(DATA!J860,"AAAAAH/3/ME=")</f>
        <v>#VALUE!</v>
      </c>
      <c r="GM84" t="e">
        <f>AND(DATA!K860,"AAAAAH/3/MI=")</f>
        <v>#VALUE!</v>
      </c>
      <c r="GN84" t="b">
        <f>AND(DATA!L860,"AAAAAH/3/MM=")</f>
        <v>1</v>
      </c>
      <c r="GO84" t="e">
        <f>AND(DATA!M860,"AAAAAH/3/MQ=")</f>
        <v>#VALUE!</v>
      </c>
      <c r="GP84" t="b">
        <f>AND(DATA!N860,"AAAAAH/3/MU=")</f>
        <v>1</v>
      </c>
      <c r="GQ84">
        <f>IF(DATA!861:861,"AAAAAH/3/MY=",0)</f>
        <v>0</v>
      </c>
      <c r="GR84" t="e">
        <f>AND(DATA!A861,"AAAAAH/3/Mc=")</f>
        <v>#VALUE!</v>
      </c>
      <c r="GS84" t="e">
        <f>AND(DATA!B861,"AAAAAH/3/Mg=")</f>
        <v>#VALUE!</v>
      </c>
      <c r="GT84" t="e">
        <f>AND(DATA!C861,"AAAAAH/3/Mk=")</f>
        <v>#VALUE!</v>
      </c>
      <c r="GU84" t="e">
        <f>AND(DATA!D861,"AAAAAH/3/Mo=")</f>
        <v>#VALUE!</v>
      </c>
      <c r="GV84" t="e">
        <f>AND(DATA!E861,"AAAAAH/3/Ms=")</f>
        <v>#VALUE!</v>
      </c>
      <c r="GW84" t="e">
        <f>AND(DATA!F861,"AAAAAH/3/Mw=")</f>
        <v>#VALUE!</v>
      </c>
      <c r="GX84" t="e">
        <f>AND(DATA!G861,"AAAAAH/3/M0=")</f>
        <v>#VALUE!</v>
      </c>
      <c r="GY84" t="e">
        <f>AND(DATA!H861,"AAAAAH/3/M4=")</f>
        <v>#VALUE!</v>
      </c>
      <c r="GZ84" t="e">
        <f>AND(DATA!I861,"AAAAAH/3/M8=")</f>
        <v>#VALUE!</v>
      </c>
      <c r="HA84" t="e">
        <f>AND(DATA!J861,"AAAAAH/3/NA=")</f>
        <v>#VALUE!</v>
      </c>
      <c r="HB84" t="e">
        <f>AND(DATA!K861,"AAAAAH/3/NE=")</f>
        <v>#VALUE!</v>
      </c>
      <c r="HC84" t="b">
        <f>AND(DATA!L861,"AAAAAH/3/NI=")</f>
        <v>1</v>
      </c>
      <c r="HD84" t="e">
        <f>AND(DATA!M861,"AAAAAH/3/NM=")</f>
        <v>#VALUE!</v>
      </c>
      <c r="HE84" t="b">
        <f>AND(DATA!N861,"AAAAAH/3/NQ=")</f>
        <v>1</v>
      </c>
      <c r="HF84">
        <f>IF(DATA!862:862,"AAAAAH/3/NU=",0)</f>
        <v>0</v>
      </c>
      <c r="HG84" t="e">
        <f>AND(DATA!A862,"AAAAAH/3/NY=")</f>
        <v>#VALUE!</v>
      </c>
      <c r="HH84" t="e">
        <f>AND(DATA!B862,"AAAAAH/3/Nc=")</f>
        <v>#VALUE!</v>
      </c>
      <c r="HI84" t="e">
        <f>AND(DATA!C862,"AAAAAH/3/Ng=")</f>
        <v>#VALUE!</v>
      </c>
      <c r="HJ84" t="e">
        <f>AND(DATA!D862,"AAAAAH/3/Nk=")</f>
        <v>#VALUE!</v>
      </c>
      <c r="HK84" t="e">
        <f>AND(DATA!E862,"AAAAAH/3/No=")</f>
        <v>#VALUE!</v>
      </c>
      <c r="HL84" t="e">
        <f>AND(DATA!F862,"AAAAAH/3/Ns=")</f>
        <v>#VALUE!</v>
      </c>
      <c r="HM84" t="e">
        <f>AND(DATA!G862,"AAAAAH/3/Nw=")</f>
        <v>#VALUE!</v>
      </c>
      <c r="HN84" t="e">
        <f>AND(DATA!H862,"AAAAAH/3/N0=")</f>
        <v>#VALUE!</v>
      </c>
      <c r="HO84" t="e">
        <f>AND(DATA!I862,"AAAAAH/3/N4=")</f>
        <v>#VALUE!</v>
      </c>
      <c r="HP84" t="e">
        <f>AND(DATA!J862,"AAAAAH/3/N8=")</f>
        <v>#VALUE!</v>
      </c>
      <c r="HQ84" t="e">
        <f>AND(DATA!K862,"AAAAAH/3/OA=")</f>
        <v>#VALUE!</v>
      </c>
      <c r="HR84" t="b">
        <f>AND(DATA!L862,"AAAAAH/3/OE=")</f>
        <v>1</v>
      </c>
      <c r="HS84" t="e">
        <f>AND(DATA!M862,"AAAAAH/3/OI=")</f>
        <v>#VALUE!</v>
      </c>
      <c r="HT84" t="b">
        <f>AND(DATA!N862,"AAAAAH/3/OM=")</f>
        <v>1</v>
      </c>
      <c r="HU84">
        <f>IF(DATA!863:863,"AAAAAH/3/OQ=",0)</f>
        <v>0</v>
      </c>
      <c r="HV84" t="e">
        <f>AND(DATA!A863,"AAAAAH/3/OU=")</f>
        <v>#VALUE!</v>
      </c>
      <c r="HW84" t="e">
        <f>AND(DATA!B863,"AAAAAH/3/OY=")</f>
        <v>#VALUE!</v>
      </c>
      <c r="HX84" t="e">
        <f>AND(DATA!C863,"AAAAAH/3/Oc=")</f>
        <v>#VALUE!</v>
      </c>
      <c r="HY84" t="e">
        <f>AND(DATA!D863,"AAAAAH/3/Og=")</f>
        <v>#VALUE!</v>
      </c>
      <c r="HZ84" t="e">
        <f>AND(DATA!E863,"AAAAAH/3/Ok=")</f>
        <v>#VALUE!</v>
      </c>
      <c r="IA84" t="e">
        <f>AND(DATA!F863,"AAAAAH/3/Oo=")</f>
        <v>#VALUE!</v>
      </c>
      <c r="IB84" t="e">
        <f>AND(DATA!G863,"AAAAAH/3/Os=")</f>
        <v>#VALUE!</v>
      </c>
      <c r="IC84" t="e">
        <f>AND(DATA!H863,"AAAAAH/3/Ow=")</f>
        <v>#VALUE!</v>
      </c>
      <c r="ID84" t="e">
        <f>AND(DATA!I863,"AAAAAH/3/O0=")</f>
        <v>#VALUE!</v>
      </c>
      <c r="IE84" t="e">
        <f>AND(DATA!J863,"AAAAAH/3/O4=")</f>
        <v>#VALUE!</v>
      </c>
      <c r="IF84" t="e">
        <f>AND(DATA!K863,"AAAAAH/3/O8=")</f>
        <v>#VALUE!</v>
      </c>
      <c r="IG84" t="b">
        <f>AND(DATA!L863,"AAAAAH/3/PA=")</f>
        <v>1</v>
      </c>
      <c r="IH84" t="e">
        <f>AND(DATA!M863,"AAAAAH/3/PE=")</f>
        <v>#VALUE!</v>
      </c>
      <c r="II84" t="b">
        <f>AND(DATA!N863,"AAAAAH/3/PI=")</f>
        <v>1</v>
      </c>
      <c r="IJ84">
        <f>IF(DATA!864:864,"AAAAAH/3/PM=",0)</f>
        <v>0</v>
      </c>
      <c r="IK84" t="e">
        <f>AND(DATA!A864,"AAAAAH/3/PQ=")</f>
        <v>#VALUE!</v>
      </c>
      <c r="IL84" t="e">
        <f>AND(DATA!B864,"AAAAAH/3/PU=")</f>
        <v>#VALUE!</v>
      </c>
      <c r="IM84" t="e">
        <f>AND(DATA!C864,"AAAAAH/3/PY=")</f>
        <v>#VALUE!</v>
      </c>
      <c r="IN84" t="e">
        <f>AND(DATA!D864,"AAAAAH/3/Pc=")</f>
        <v>#VALUE!</v>
      </c>
      <c r="IO84" t="e">
        <f>AND(DATA!E864,"AAAAAH/3/Pg=")</f>
        <v>#VALUE!</v>
      </c>
      <c r="IP84" t="e">
        <f>AND(DATA!F864,"AAAAAH/3/Pk=")</f>
        <v>#VALUE!</v>
      </c>
      <c r="IQ84" t="e">
        <f>AND(DATA!G864,"AAAAAH/3/Po=")</f>
        <v>#VALUE!</v>
      </c>
      <c r="IR84" t="e">
        <f>AND(DATA!H864,"AAAAAH/3/Ps=")</f>
        <v>#VALUE!</v>
      </c>
      <c r="IS84" t="e">
        <f>AND(DATA!I864,"AAAAAH/3/Pw=")</f>
        <v>#VALUE!</v>
      </c>
      <c r="IT84" t="e">
        <f>AND(DATA!J864,"AAAAAH/3/P0=")</f>
        <v>#VALUE!</v>
      </c>
      <c r="IU84" t="e">
        <f>AND(DATA!K864,"AAAAAH/3/P4=")</f>
        <v>#VALUE!</v>
      </c>
      <c r="IV84" t="b">
        <f>AND(DATA!L864,"AAAAAH/3/P8=")</f>
        <v>1</v>
      </c>
    </row>
    <row r="85" spans="1:256">
      <c r="A85" t="e">
        <f>AND(DATA!M864,"AAAAAH367QA=")</f>
        <v>#VALUE!</v>
      </c>
      <c r="B85" t="b">
        <f>AND(DATA!N864,"AAAAAH367QE=")</f>
        <v>1</v>
      </c>
      <c r="C85">
        <f>IF(DATA!865:865,"AAAAAH367QI=",0)</f>
        <v>0</v>
      </c>
      <c r="D85" t="e">
        <f>AND(DATA!A865,"AAAAAH367QM=")</f>
        <v>#VALUE!</v>
      </c>
      <c r="E85" t="e">
        <f>AND(DATA!B865,"AAAAAH367QQ=")</f>
        <v>#VALUE!</v>
      </c>
      <c r="F85" t="e">
        <f>AND(DATA!C865,"AAAAAH367QU=")</f>
        <v>#VALUE!</v>
      </c>
      <c r="G85" t="e">
        <f>AND(DATA!D865,"AAAAAH367QY=")</f>
        <v>#VALUE!</v>
      </c>
      <c r="H85" t="e">
        <f>AND(DATA!E865,"AAAAAH367Qc=")</f>
        <v>#VALUE!</v>
      </c>
      <c r="I85" t="e">
        <f>AND(DATA!F865,"AAAAAH367Qg=")</f>
        <v>#VALUE!</v>
      </c>
      <c r="J85" t="e">
        <f>AND(DATA!G865,"AAAAAH367Qk=")</f>
        <v>#VALUE!</v>
      </c>
      <c r="K85" t="e">
        <f>AND(DATA!H865,"AAAAAH367Qo=")</f>
        <v>#VALUE!</v>
      </c>
      <c r="L85" t="e">
        <f>AND(DATA!I865,"AAAAAH367Qs=")</f>
        <v>#VALUE!</v>
      </c>
      <c r="M85" t="e">
        <f>AND(DATA!J865,"AAAAAH367Qw=")</f>
        <v>#VALUE!</v>
      </c>
      <c r="N85" t="e">
        <f>AND(DATA!K865,"AAAAAH367Q0=")</f>
        <v>#VALUE!</v>
      </c>
      <c r="O85" t="b">
        <f>AND(DATA!L865,"AAAAAH367Q4=")</f>
        <v>1</v>
      </c>
      <c r="P85" t="e">
        <f>AND(DATA!M865,"AAAAAH367Q8=")</f>
        <v>#VALUE!</v>
      </c>
      <c r="Q85" t="b">
        <f>AND(DATA!N865,"AAAAAH367RA=")</f>
        <v>1</v>
      </c>
      <c r="R85">
        <f>IF(DATA!866:866,"AAAAAH367RE=",0)</f>
        <v>0</v>
      </c>
      <c r="S85" t="e">
        <f>AND(DATA!A866,"AAAAAH367RI=")</f>
        <v>#VALUE!</v>
      </c>
      <c r="T85" t="e">
        <f>AND(DATA!B866,"AAAAAH367RM=")</f>
        <v>#VALUE!</v>
      </c>
      <c r="U85" t="e">
        <f>AND(DATA!C866,"AAAAAH367RQ=")</f>
        <v>#VALUE!</v>
      </c>
      <c r="V85" t="e">
        <f>AND(DATA!D866,"AAAAAH367RU=")</f>
        <v>#VALUE!</v>
      </c>
      <c r="W85" t="e">
        <f>AND(DATA!E866,"AAAAAH367RY=")</f>
        <v>#VALUE!</v>
      </c>
      <c r="X85" t="e">
        <f>AND(DATA!F866,"AAAAAH367Rc=")</f>
        <v>#VALUE!</v>
      </c>
      <c r="Y85" t="e">
        <f>AND(DATA!G866,"AAAAAH367Rg=")</f>
        <v>#VALUE!</v>
      </c>
      <c r="Z85" t="e">
        <f>AND(DATA!H866,"AAAAAH367Rk=")</f>
        <v>#VALUE!</v>
      </c>
      <c r="AA85" t="e">
        <f>AND(DATA!I866,"AAAAAH367Ro=")</f>
        <v>#VALUE!</v>
      </c>
      <c r="AB85" t="e">
        <f>AND(DATA!J866,"AAAAAH367Rs=")</f>
        <v>#VALUE!</v>
      </c>
      <c r="AC85" t="e">
        <f>AND(DATA!K866,"AAAAAH367Rw=")</f>
        <v>#VALUE!</v>
      </c>
      <c r="AD85" t="b">
        <f>AND(DATA!L866,"AAAAAH367R0=")</f>
        <v>1</v>
      </c>
      <c r="AE85" t="e">
        <f>AND(DATA!M866,"AAAAAH367R4=")</f>
        <v>#VALUE!</v>
      </c>
      <c r="AF85" t="b">
        <f>AND(DATA!N866,"AAAAAH367R8=")</f>
        <v>1</v>
      </c>
      <c r="AG85">
        <f>IF(DATA!867:867,"AAAAAH367SA=",0)</f>
        <v>0</v>
      </c>
      <c r="AH85" t="e">
        <f>AND(DATA!A867,"AAAAAH367SE=")</f>
        <v>#VALUE!</v>
      </c>
      <c r="AI85" t="e">
        <f>AND(DATA!B867,"AAAAAH367SI=")</f>
        <v>#VALUE!</v>
      </c>
      <c r="AJ85" t="e">
        <f>AND(DATA!C867,"AAAAAH367SM=")</f>
        <v>#VALUE!</v>
      </c>
      <c r="AK85" t="e">
        <f>AND(DATA!D867,"AAAAAH367SQ=")</f>
        <v>#VALUE!</v>
      </c>
      <c r="AL85" t="e">
        <f>AND(DATA!E867,"AAAAAH367SU=")</f>
        <v>#VALUE!</v>
      </c>
      <c r="AM85" t="e">
        <f>AND(DATA!F867,"AAAAAH367SY=")</f>
        <v>#VALUE!</v>
      </c>
      <c r="AN85" t="e">
        <f>AND(DATA!G867,"AAAAAH367Sc=")</f>
        <v>#VALUE!</v>
      </c>
      <c r="AO85" t="e">
        <f>AND(DATA!H867,"AAAAAH367Sg=")</f>
        <v>#VALUE!</v>
      </c>
      <c r="AP85" t="e">
        <f>AND(DATA!I867,"AAAAAH367Sk=")</f>
        <v>#VALUE!</v>
      </c>
      <c r="AQ85" t="e">
        <f>AND(DATA!J867,"AAAAAH367So=")</f>
        <v>#VALUE!</v>
      </c>
      <c r="AR85" t="e">
        <f>AND(DATA!K867,"AAAAAH367Ss=")</f>
        <v>#VALUE!</v>
      </c>
      <c r="AS85" t="b">
        <f>AND(DATA!L867,"AAAAAH367Sw=")</f>
        <v>1</v>
      </c>
      <c r="AT85" t="e">
        <f>AND(DATA!M867,"AAAAAH367S0=")</f>
        <v>#VALUE!</v>
      </c>
      <c r="AU85" t="b">
        <f>AND(DATA!N867,"AAAAAH367S4=")</f>
        <v>1</v>
      </c>
      <c r="AV85">
        <f>IF(DATA!868:868,"AAAAAH367S8=",0)</f>
        <v>0</v>
      </c>
      <c r="AW85" t="e">
        <f>AND(DATA!A868,"AAAAAH367TA=")</f>
        <v>#VALUE!</v>
      </c>
      <c r="AX85" t="e">
        <f>AND(DATA!B868,"AAAAAH367TE=")</f>
        <v>#VALUE!</v>
      </c>
      <c r="AY85" t="e">
        <f>AND(DATA!C868,"AAAAAH367TI=")</f>
        <v>#VALUE!</v>
      </c>
      <c r="AZ85" t="e">
        <f>AND(DATA!D868,"AAAAAH367TM=")</f>
        <v>#VALUE!</v>
      </c>
      <c r="BA85" t="e">
        <f>AND(DATA!E868,"AAAAAH367TQ=")</f>
        <v>#VALUE!</v>
      </c>
      <c r="BB85" t="e">
        <f>AND(DATA!F868,"AAAAAH367TU=")</f>
        <v>#VALUE!</v>
      </c>
      <c r="BC85" t="e">
        <f>AND(DATA!G868,"AAAAAH367TY=")</f>
        <v>#VALUE!</v>
      </c>
      <c r="BD85" t="e">
        <f>AND(DATA!H868,"AAAAAH367Tc=")</f>
        <v>#VALUE!</v>
      </c>
      <c r="BE85" t="e">
        <f>AND(DATA!I868,"AAAAAH367Tg=")</f>
        <v>#VALUE!</v>
      </c>
      <c r="BF85" t="e">
        <f>AND(DATA!J868,"AAAAAH367Tk=")</f>
        <v>#VALUE!</v>
      </c>
      <c r="BG85" t="e">
        <f>AND(DATA!K868,"AAAAAH367To=")</f>
        <v>#VALUE!</v>
      </c>
      <c r="BH85" t="b">
        <f>AND(DATA!L868,"AAAAAH367Ts=")</f>
        <v>1</v>
      </c>
      <c r="BI85" t="e">
        <f>AND(DATA!M868,"AAAAAH367Tw=")</f>
        <v>#VALUE!</v>
      </c>
      <c r="BJ85" t="b">
        <f>AND(DATA!N868,"AAAAAH367T0=")</f>
        <v>1</v>
      </c>
      <c r="BK85">
        <f>IF(DATA!869:869,"AAAAAH367T4=",0)</f>
        <v>0</v>
      </c>
      <c r="BL85" t="e">
        <f>AND(DATA!A869,"AAAAAH367T8=")</f>
        <v>#VALUE!</v>
      </c>
      <c r="BM85" t="e">
        <f>AND(DATA!B869,"AAAAAH367UA=")</f>
        <v>#VALUE!</v>
      </c>
      <c r="BN85" t="e">
        <f>AND(DATA!C869,"AAAAAH367UE=")</f>
        <v>#VALUE!</v>
      </c>
      <c r="BO85" t="e">
        <f>AND(DATA!D869,"AAAAAH367UI=")</f>
        <v>#VALUE!</v>
      </c>
      <c r="BP85" t="e">
        <f>AND(DATA!E869,"AAAAAH367UM=")</f>
        <v>#VALUE!</v>
      </c>
      <c r="BQ85" t="e">
        <f>AND(DATA!F869,"AAAAAH367UQ=")</f>
        <v>#VALUE!</v>
      </c>
      <c r="BR85" t="e">
        <f>AND(DATA!G869,"AAAAAH367UU=")</f>
        <v>#VALUE!</v>
      </c>
      <c r="BS85" t="e">
        <f>AND(DATA!H869,"AAAAAH367UY=")</f>
        <v>#VALUE!</v>
      </c>
      <c r="BT85" t="e">
        <f>AND(DATA!I869,"AAAAAH367Uc=")</f>
        <v>#VALUE!</v>
      </c>
      <c r="BU85" t="e">
        <f>AND(DATA!J869,"AAAAAH367Ug=")</f>
        <v>#VALUE!</v>
      </c>
      <c r="BV85" t="e">
        <f>AND(DATA!K869,"AAAAAH367Uk=")</f>
        <v>#VALUE!</v>
      </c>
      <c r="BW85" t="b">
        <f>AND(DATA!L869,"AAAAAH367Uo=")</f>
        <v>1</v>
      </c>
      <c r="BX85" t="e">
        <f>AND(DATA!M869,"AAAAAH367Us=")</f>
        <v>#VALUE!</v>
      </c>
      <c r="BY85" t="b">
        <f>AND(DATA!N869,"AAAAAH367Uw=")</f>
        <v>1</v>
      </c>
      <c r="BZ85">
        <f>IF(DATA!870:870,"AAAAAH367U0=",0)</f>
        <v>0</v>
      </c>
      <c r="CA85" t="e">
        <f>AND(DATA!A870,"AAAAAH367U4=")</f>
        <v>#VALUE!</v>
      </c>
      <c r="CB85" t="e">
        <f>AND(DATA!B870,"AAAAAH367U8=")</f>
        <v>#VALUE!</v>
      </c>
      <c r="CC85" t="e">
        <f>AND(DATA!C870,"AAAAAH367VA=")</f>
        <v>#VALUE!</v>
      </c>
      <c r="CD85" t="e">
        <f>AND(DATA!D870,"AAAAAH367VE=")</f>
        <v>#VALUE!</v>
      </c>
      <c r="CE85" t="e">
        <f>AND(DATA!E870,"AAAAAH367VI=")</f>
        <v>#VALUE!</v>
      </c>
      <c r="CF85" t="e">
        <f>AND(DATA!F870,"AAAAAH367VM=")</f>
        <v>#VALUE!</v>
      </c>
      <c r="CG85" t="e">
        <f>AND(DATA!G870,"AAAAAH367VQ=")</f>
        <v>#VALUE!</v>
      </c>
      <c r="CH85" t="e">
        <f>AND(DATA!H870,"AAAAAH367VU=")</f>
        <v>#VALUE!</v>
      </c>
      <c r="CI85" t="e">
        <f>AND(DATA!I870,"AAAAAH367VY=")</f>
        <v>#VALUE!</v>
      </c>
      <c r="CJ85" t="e">
        <f>AND(DATA!J870,"AAAAAH367Vc=")</f>
        <v>#VALUE!</v>
      </c>
      <c r="CK85" t="e">
        <f>AND(DATA!K870,"AAAAAH367Vg=")</f>
        <v>#VALUE!</v>
      </c>
      <c r="CL85" t="b">
        <f>AND(DATA!L870,"AAAAAH367Vk=")</f>
        <v>1</v>
      </c>
      <c r="CM85" t="e">
        <f>AND(DATA!M870,"AAAAAH367Vo=")</f>
        <v>#VALUE!</v>
      </c>
      <c r="CN85" t="b">
        <f>AND(DATA!N870,"AAAAAH367Vs=")</f>
        <v>1</v>
      </c>
      <c r="CO85">
        <f>IF(DATA!871:871,"AAAAAH367Vw=",0)</f>
        <v>0</v>
      </c>
      <c r="CP85" t="e">
        <f>AND(DATA!A871,"AAAAAH367V0=")</f>
        <v>#VALUE!</v>
      </c>
      <c r="CQ85" t="e">
        <f>AND(DATA!B871,"AAAAAH367V4=")</f>
        <v>#VALUE!</v>
      </c>
      <c r="CR85" t="e">
        <f>AND(DATA!C871,"AAAAAH367V8=")</f>
        <v>#VALUE!</v>
      </c>
      <c r="CS85" t="e">
        <f>AND(DATA!D871,"AAAAAH367WA=")</f>
        <v>#VALUE!</v>
      </c>
      <c r="CT85" t="e">
        <f>AND(DATA!E871,"AAAAAH367WE=")</f>
        <v>#VALUE!</v>
      </c>
      <c r="CU85" t="e">
        <f>AND(DATA!F871,"AAAAAH367WI=")</f>
        <v>#VALUE!</v>
      </c>
      <c r="CV85" t="e">
        <f>AND(DATA!G871,"AAAAAH367WM=")</f>
        <v>#VALUE!</v>
      </c>
      <c r="CW85" t="e">
        <f>AND(DATA!H871,"AAAAAH367WQ=")</f>
        <v>#VALUE!</v>
      </c>
      <c r="CX85" t="e">
        <f>AND(DATA!I871,"AAAAAH367WU=")</f>
        <v>#VALUE!</v>
      </c>
      <c r="CY85" t="e">
        <f>AND(DATA!J871,"AAAAAH367WY=")</f>
        <v>#VALUE!</v>
      </c>
      <c r="CZ85" t="e">
        <f>AND(DATA!K871,"AAAAAH367Wc=")</f>
        <v>#VALUE!</v>
      </c>
      <c r="DA85" t="b">
        <f>AND(DATA!L871,"AAAAAH367Wg=")</f>
        <v>1</v>
      </c>
      <c r="DB85" t="e">
        <f>AND(DATA!M871,"AAAAAH367Wk=")</f>
        <v>#VALUE!</v>
      </c>
      <c r="DC85" t="b">
        <f>AND(DATA!N871,"AAAAAH367Wo=")</f>
        <v>1</v>
      </c>
      <c r="DD85">
        <f>IF(DATA!872:872,"AAAAAH367Ws=",0)</f>
        <v>0</v>
      </c>
      <c r="DE85" t="e">
        <f>AND(DATA!A872,"AAAAAH367Ww=")</f>
        <v>#VALUE!</v>
      </c>
      <c r="DF85" t="e">
        <f>AND(DATA!B872,"AAAAAH367W0=")</f>
        <v>#VALUE!</v>
      </c>
      <c r="DG85" t="e">
        <f>AND(DATA!C872,"AAAAAH367W4=")</f>
        <v>#VALUE!</v>
      </c>
      <c r="DH85" t="e">
        <f>AND(DATA!D872,"AAAAAH367W8=")</f>
        <v>#VALUE!</v>
      </c>
      <c r="DI85" t="e">
        <f>AND(DATA!E872,"AAAAAH367XA=")</f>
        <v>#VALUE!</v>
      </c>
      <c r="DJ85" t="e">
        <f>AND(DATA!F872,"AAAAAH367XE=")</f>
        <v>#VALUE!</v>
      </c>
      <c r="DK85" t="e">
        <f>AND(DATA!G872,"AAAAAH367XI=")</f>
        <v>#VALUE!</v>
      </c>
      <c r="DL85" t="e">
        <f>AND(DATA!H872,"AAAAAH367XM=")</f>
        <v>#VALUE!</v>
      </c>
      <c r="DM85" t="e">
        <f>AND(DATA!I872,"AAAAAH367XQ=")</f>
        <v>#VALUE!</v>
      </c>
      <c r="DN85" t="e">
        <f>AND(DATA!J872,"AAAAAH367XU=")</f>
        <v>#VALUE!</v>
      </c>
      <c r="DO85" t="e">
        <f>AND(DATA!K872,"AAAAAH367XY=")</f>
        <v>#VALUE!</v>
      </c>
      <c r="DP85" t="b">
        <f>AND(DATA!L872,"AAAAAH367Xc=")</f>
        <v>1</v>
      </c>
      <c r="DQ85" t="e">
        <f>AND(DATA!M872,"AAAAAH367Xg=")</f>
        <v>#VALUE!</v>
      </c>
      <c r="DR85" t="b">
        <f>AND(DATA!N872,"AAAAAH367Xk=")</f>
        <v>1</v>
      </c>
      <c r="DS85">
        <f>IF(DATA!873:873,"AAAAAH367Xo=",0)</f>
        <v>0</v>
      </c>
      <c r="DT85" t="e">
        <f>AND(DATA!A873,"AAAAAH367Xs=")</f>
        <v>#VALUE!</v>
      </c>
      <c r="DU85" t="e">
        <f>AND(DATA!B873,"AAAAAH367Xw=")</f>
        <v>#VALUE!</v>
      </c>
      <c r="DV85" t="e">
        <f>AND(DATA!C873,"AAAAAH367X0=")</f>
        <v>#VALUE!</v>
      </c>
      <c r="DW85" t="e">
        <f>AND(DATA!D873,"AAAAAH367X4=")</f>
        <v>#VALUE!</v>
      </c>
      <c r="DX85" t="e">
        <f>AND(DATA!E873,"AAAAAH367X8=")</f>
        <v>#VALUE!</v>
      </c>
      <c r="DY85" t="e">
        <f>AND(DATA!F873,"AAAAAH367YA=")</f>
        <v>#VALUE!</v>
      </c>
      <c r="DZ85" t="e">
        <f>AND(DATA!G873,"AAAAAH367YE=")</f>
        <v>#VALUE!</v>
      </c>
      <c r="EA85" t="e">
        <f>AND(DATA!H873,"AAAAAH367YI=")</f>
        <v>#VALUE!</v>
      </c>
      <c r="EB85" t="e">
        <f>AND(DATA!I873,"AAAAAH367YM=")</f>
        <v>#VALUE!</v>
      </c>
      <c r="EC85" t="e">
        <f>AND(DATA!J873,"AAAAAH367YQ=")</f>
        <v>#VALUE!</v>
      </c>
      <c r="ED85" t="e">
        <f>AND(DATA!K873,"AAAAAH367YU=")</f>
        <v>#VALUE!</v>
      </c>
      <c r="EE85" t="b">
        <f>AND(DATA!L873,"AAAAAH367YY=")</f>
        <v>1</v>
      </c>
      <c r="EF85" t="e">
        <f>AND(DATA!M873,"AAAAAH367Yc=")</f>
        <v>#VALUE!</v>
      </c>
      <c r="EG85" t="b">
        <f>AND(DATA!N873,"AAAAAH367Yg=")</f>
        <v>1</v>
      </c>
      <c r="EH85">
        <f>IF(DATA!874:874,"AAAAAH367Yk=",0)</f>
        <v>0</v>
      </c>
      <c r="EI85" t="e">
        <f>AND(DATA!A874,"AAAAAH367Yo=")</f>
        <v>#VALUE!</v>
      </c>
      <c r="EJ85" t="e">
        <f>AND(DATA!B874,"AAAAAH367Ys=")</f>
        <v>#VALUE!</v>
      </c>
      <c r="EK85" t="e">
        <f>AND(DATA!C874,"AAAAAH367Yw=")</f>
        <v>#VALUE!</v>
      </c>
      <c r="EL85" t="e">
        <f>AND(DATA!D874,"AAAAAH367Y0=")</f>
        <v>#VALUE!</v>
      </c>
      <c r="EM85" t="e">
        <f>AND(DATA!E874,"AAAAAH367Y4=")</f>
        <v>#VALUE!</v>
      </c>
      <c r="EN85" t="e">
        <f>AND(DATA!F874,"AAAAAH367Y8=")</f>
        <v>#VALUE!</v>
      </c>
      <c r="EO85" t="e">
        <f>AND(DATA!G874,"AAAAAH367ZA=")</f>
        <v>#VALUE!</v>
      </c>
      <c r="EP85" t="e">
        <f>AND(DATA!H874,"AAAAAH367ZE=")</f>
        <v>#VALUE!</v>
      </c>
      <c r="EQ85" t="e">
        <f>AND(DATA!I874,"AAAAAH367ZI=")</f>
        <v>#VALUE!</v>
      </c>
      <c r="ER85" t="e">
        <f>AND(DATA!J874,"AAAAAH367ZM=")</f>
        <v>#VALUE!</v>
      </c>
      <c r="ES85" t="e">
        <f>AND(DATA!K874,"AAAAAH367ZQ=")</f>
        <v>#VALUE!</v>
      </c>
      <c r="ET85" t="b">
        <f>AND(DATA!L874,"AAAAAH367ZU=")</f>
        <v>1</v>
      </c>
      <c r="EU85" t="e">
        <f>AND(DATA!M874,"AAAAAH367ZY=")</f>
        <v>#VALUE!</v>
      </c>
      <c r="EV85" t="b">
        <f>AND(DATA!N874,"AAAAAH367Zc=")</f>
        <v>1</v>
      </c>
      <c r="EW85">
        <f>IF(DATA!875:875,"AAAAAH367Zg=",0)</f>
        <v>0</v>
      </c>
      <c r="EX85" t="e">
        <f>AND(DATA!A875,"AAAAAH367Zk=")</f>
        <v>#VALUE!</v>
      </c>
      <c r="EY85" t="e">
        <f>AND(DATA!B875,"AAAAAH367Zo=")</f>
        <v>#VALUE!</v>
      </c>
      <c r="EZ85" t="e">
        <f>AND(DATA!C875,"AAAAAH367Zs=")</f>
        <v>#VALUE!</v>
      </c>
      <c r="FA85" t="e">
        <f>AND(DATA!D875,"AAAAAH367Zw=")</f>
        <v>#VALUE!</v>
      </c>
      <c r="FB85" t="e">
        <f>AND(DATA!E875,"AAAAAH367Z0=")</f>
        <v>#VALUE!</v>
      </c>
      <c r="FC85" t="e">
        <f>AND(DATA!F875,"AAAAAH367Z4=")</f>
        <v>#VALUE!</v>
      </c>
      <c r="FD85" t="e">
        <f>AND(DATA!G875,"AAAAAH367Z8=")</f>
        <v>#VALUE!</v>
      </c>
      <c r="FE85" t="e">
        <f>AND(DATA!H875,"AAAAAH367aA=")</f>
        <v>#VALUE!</v>
      </c>
      <c r="FF85" t="e">
        <f>AND(DATA!I875,"AAAAAH367aE=")</f>
        <v>#VALUE!</v>
      </c>
      <c r="FG85" t="e">
        <f>AND(DATA!J875,"AAAAAH367aI=")</f>
        <v>#VALUE!</v>
      </c>
      <c r="FH85" t="e">
        <f>AND(DATA!K875,"AAAAAH367aM=")</f>
        <v>#VALUE!</v>
      </c>
      <c r="FI85" t="b">
        <f>AND(DATA!L875,"AAAAAH367aQ=")</f>
        <v>1</v>
      </c>
      <c r="FJ85" t="e">
        <f>AND(DATA!M875,"AAAAAH367aU=")</f>
        <v>#VALUE!</v>
      </c>
      <c r="FK85" t="b">
        <f>AND(DATA!N875,"AAAAAH367aY=")</f>
        <v>1</v>
      </c>
      <c r="FL85">
        <f>IF(DATA!876:876,"AAAAAH367ac=",0)</f>
        <v>0</v>
      </c>
      <c r="FM85" t="e">
        <f>AND(DATA!A876,"AAAAAH367ag=")</f>
        <v>#VALUE!</v>
      </c>
      <c r="FN85" t="e">
        <f>AND(DATA!B876,"AAAAAH367ak=")</f>
        <v>#VALUE!</v>
      </c>
      <c r="FO85" t="e">
        <f>AND(DATA!C876,"AAAAAH367ao=")</f>
        <v>#VALUE!</v>
      </c>
      <c r="FP85" t="e">
        <f>AND(DATA!D876,"AAAAAH367as=")</f>
        <v>#VALUE!</v>
      </c>
      <c r="FQ85" t="e">
        <f>AND(DATA!E876,"AAAAAH367aw=")</f>
        <v>#VALUE!</v>
      </c>
      <c r="FR85" t="e">
        <f>AND(DATA!F876,"AAAAAH367a0=")</f>
        <v>#VALUE!</v>
      </c>
      <c r="FS85" t="e">
        <f>AND(DATA!G876,"AAAAAH367a4=")</f>
        <v>#VALUE!</v>
      </c>
      <c r="FT85" t="e">
        <f>AND(DATA!H876,"AAAAAH367a8=")</f>
        <v>#VALUE!</v>
      </c>
      <c r="FU85" t="e">
        <f>AND(DATA!I876,"AAAAAH367bA=")</f>
        <v>#VALUE!</v>
      </c>
      <c r="FV85" t="e">
        <f>AND(DATA!J876,"AAAAAH367bE=")</f>
        <v>#VALUE!</v>
      </c>
      <c r="FW85" t="e">
        <f>AND(DATA!K876,"AAAAAH367bI=")</f>
        <v>#VALUE!</v>
      </c>
      <c r="FX85" t="b">
        <f>AND(DATA!L876,"AAAAAH367bM=")</f>
        <v>1</v>
      </c>
      <c r="FY85" t="e">
        <f>AND(DATA!M876,"AAAAAH367bQ=")</f>
        <v>#VALUE!</v>
      </c>
      <c r="FZ85" t="b">
        <f>AND(DATA!N876,"AAAAAH367bU=")</f>
        <v>1</v>
      </c>
      <c r="GA85">
        <f>IF(DATA!877:877,"AAAAAH367bY=",0)</f>
        <v>0</v>
      </c>
      <c r="GB85" t="e">
        <f>AND(DATA!A877,"AAAAAH367bc=")</f>
        <v>#VALUE!</v>
      </c>
      <c r="GC85" t="e">
        <f>AND(DATA!B877,"AAAAAH367bg=")</f>
        <v>#VALUE!</v>
      </c>
      <c r="GD85" t="e">
        <f>AND(DATA!C877,"AAAAAH367bk=")</f>
        <v>#VALUE!</v>
      </c>
      <c r="GE85" t="e">
        <f>AND(DATA!D877,"AAAAAH367bo=")</f>
        <v>#VALUE!</v>
      </c>
      <c r="GF85" t="e">
        <f>AND(DATA!E877,"AAAAAH367bs=")</f>
        <v>#VALUE!</v>
      </c>
      <c r="GG85" t="e">
        <f>AND(DATA!F877,"AAAAAH367bw=")</f>
        <v>#VALUE!</v>
      </c>
      <c r="GH85" t="e">
        <f>AND(DATA!G877,"AAAAAH367b0=")</f>
        <v>#VALUE!</v>
      </c>
      <c r="GI85" t="e">
        <f>AND(DATA!H877,"AAAAAH367b4=")</f>
        <v>#VALUE!</v>
      </c>
      <c r="GJ85" t="e">
        <f>AND(DATA!I877,"AAAAAH367b8=")</f>
        <v>#VALUE!</v>
      </c>
      <c r="GK85" t="e">
        <f>AND(DATA!J877,"AAAAAH367cA=")</f>
        <v>#VALUE!</v>
      </c>
      <c r="GL85" t="e">
        <f>AND(DATA!K877,"AAAAAH367cE=")</f>
        <v>#VALUE!</v>
      </c>
      <c r="GM85" t="b">
        <f>AND(DATA!L877,"AAAAAH367cI=")</f>
        <v>1</v>
      </c>
      <c r="GN85" t="e">
        <f>AND(DATA!M877,"AAAAAH367cM=")</f>
        <v>#VALUE!</v>
      </c>
      <c r="GO85" t="b">
        <f>AND(DATA!N877,"AAAAAH367cQ=")</f>
        <v>1</v>
      </c>
      <c r="GP85">
        <f>IF(DATA!878:878,"AAAAAH367cU=",0)</f>
        <v>0</v>
      </c>
      <c r="GQ85" t="e">
        <f>AND(DATA!A878,"AAAAAH367cY=")</f>
        <v>#VALUE!</v>
      </c>
      <c r="GR85" t="e">
        <f>AND(DATA!B878,"AAAAAH367cc=")</f>
        <v>#VALUE!</v>
      </c>
      <c r="GS85" t="e">
        <f>AND(DATA!C878,"AAAAAH367cg=")</f>
        <v>#VALUE!</v>
      </c>
      <c r="GT85" t="e">
        <f>AND(DATA!D878,"AAAAAH367ck=")</f>
        <v>#VALUE!</v>
      </c>
      <c r="GU85" t="e">
        <f>AND(DATA!E878,"AAAAAH367co=")</f>
        <v>#VALUE!</v>
      </c>
      <c r="GV85" t="e">
        <f>AND(DATA!F878,"AAAAAH367cs=")</f>
        <v>#VALUE!</v>
      </c>
      <c r="GW85" t="e">
        <f>AND(DATA!G878,"AAAAAH367cw=")</f>
        <v>#VALUE!</v>
      </c>
      <c r="GX85" t="e">
        <f>AND(DATA!H878,"AAAAAH367c0=")</f>
        <v>#VALUE!</v>
      </c>
      <c r="GY85" t="e">
        <f>AND(DATA!I878,"AAAAAH367c4=")</f>
        <v>#VALUE!</v>
      </c>
      <c r="GZ85" t="e">
        <f>AND(DATA!J878,"AAAAAH367c8=")</f>
        <v>#VALUE!</v>
      </c>
      <c r="HA85" t="e">
        <f>AND(DATA!K878,"AAAAAH367dA=")</f>
        <v>#VALUE!</v>
      </c>
      <c r="HB85" t="b">
        <f>AND(DATA!L878,"AAAAAH367dE=")</f>
        <v>1</v>
      </c>
      <c r="HC85" t="e">
        <f>AND(DATA!M878,"AAAAAH367dI=")</f>
        <v>#VALUE!</v>
      </c>
      <c r="HD85" t="b">
        <f>AND(DATA!N878,"AAAAAH367dM=")</f>
        <v>1</v>
      </c>
      <c r="HE85">
        <f>IF(DATA!879:879,"AAAAAH367dQ=",0)</f>
        <v>0</v>
      </c>
      <c r="HF85" t="e">
        <f>AND(DATA!A879,"AAAAAH367dU=")</f>
        <v>#VALUE!</v>
      </c>
      <c r="HG85" t="e">
        <f>AND(DATA!B879,"AAAAAH367dY=")</f>
        <v>#VALUE!</v>
      </c>
      <c r="HH85" t="e">
        <f>AND(DATA!C879,"AAAAAH367dc=")</f>
        <v>#VALUE!</v>
      </c>
      <c r="HI85" t="e">
        <f>AND(DATA!D879,"AAAAAH367dg=")</f>
        <v>#VALUE!</v>
      </c>
      <c r="HJ85" t="e">
        <f>AND(DATA!E879,"AAAAAH367dk=")</f>
        <v>#VALUE!</v>
      </c>
      <c r="HK85" t="e">
        <f>AND(DATA!F879,"AAAAAH367do=")</f>
        <v>#VALUE!</v>
      </c>
      <c r="HL85" t="e">
        <f>AND(DATA!G879,"AAAAAH367ds=")</f>
        <v>#VALUE!</v>
      </c>
      <c r="HM85" t="e">
        <f>AND(DATA!H879,"AAAAAH367dw=")</f>
        <v>#VALUE!</v>
      </c>
      <c r="HN85" t="e">
        <f>AND(DATA!I879,"AAAAAH367d0=")</f>
        <v>#VALUE!</v>
      </c>
      <c r="HO85" t="e">
        <f>AND(DATA!J879,"AAAAAH367d4=")</f>
        <v>#VALUE!</v>
      </c>
      <c r="HP85" t="e">
        <f>AND(DATA!K879,"AAAAAH367d8=")</f>
        <v>#VALUE!</v>
      </c>
      <c r="HQ85" t="b">
        <f>AND(DATA!L879,"AAAAAH367eA=")</f>
        <v>1</v>
      </c>
      <c r="HR85" t="e">
        <f>AND(DATA!M879,"AAAAAH367eE=")</f>
        <v>#VALUE!</v>
      </c>
      <c r="HS85" t="b">
        <f>AND(DATA!N879,"AAAAAH367eI=")</f>
        <v>1</v>
      </c>
      <c r="HT85">
        <f>IF(DATA!880:880,"AAAAAH367eM=",0)</f>
        <v>0</v>
      </c>
      <c r="HU85" t="e">
        <f>AND(DATA!A880,"AAAAAH367eQ=")</f>
        <v>#VALUE!</v>
      </c>
      <c r="HV85" t="e">
        <f>AND(DATA!B880,"AAAAAH367eU=")</f>
        <v>#VALUE!</v>
      </c>
      <c r="HW85" t="e">
        <f>AND(DATA!C880,"AAAAAH367eY=")</f>
        <v>#VALUE!</v>
      </c>
      <c r="HX85" t="e">
        <f>AND(DATA!D880,"AAAAAH367ec=")</f>
        <v>#VALUE!</v>
      </c>
      <c r="HY85" t="e">
        <f>AND(DATA!E880,"AAAAAH367eg=")</f>
        <v>#VALUE!</v>
      </c>
      <c r="HZ85" t="e">
        <f>AND(DATA!F880,"AAAAAH367ek=")</f>
        <v>#VALUE!</v>
      </c>
      <c r="IA85" t="e">
        <f>AND(DATA!G880,"AAAAAH367eo=")</f>
        <v>#VALUE!</v>
      </c>
      <c r="IB85" t="e">
        <f>AND(DATA!H880,"AAAAAH367es=")</f>
        <v>#VALUE!</v>
      </c>
      <c r="IC85" t="e">
        <f>AND(DATA!I880,"AAAAAH367ew=")</f>
        <v>#VALUE!</v>
      </c>
      <c r="ID85" t="e">
        <f>AND(DATA!J880,"AAAAAH367e0=")</f>
        <v>#VALUE!</v>
      </c>
      <c r="IE85" t="e">
        <f>AND(DATA!K880,"AAAAAH367e4=")</f>
        <v>#VALUE!</v>
      </c>
      <c r="IF85" t="b">
        <f>AND(DATA!L880,"AAAAAH367e8=")</f>
        <v>1</v>
      </c>
      <c r="IG85" t="e">
        <f>AND(DATA!M880,"AAAAAH367fA=")</f>
        <v>#VALUE!</v>
      </c>
      <c r="IH85" t="b">
        <f>AND(DATA!N880,"AAAAAH367fE=")</f>
        <v>1</v>
      </c>
      <c r="II85">
        <f>IF(DATA!881:881,"AAAAAH367fI=",0)</f>
        <v>0</v>
      </c>
      <c r="IJ85" t="e">
        <f>AND(DATA!A881,"AAAAAH367fM=")</f>
        <v>#VALUE!</v>
      </c>
      <c r="IK85" t="e">
        <f>AND(DATA!B881,"AAAAAH367fQ=")</f>
        <v>#VALUE!</v>
      </c>
      <c r="IL85" t="e">
        <f>AND(DATA!C881,"AAAAAH367fU=")</f>
        <v>#VALUE!</v>
      </c>
      <c r="IM85" t="e">
        <f>AND(DATA!D881,"AAAAAH367fY=")</f>
        <v>#VALUE!</v>
      </c>
      <c r="IN85" t="e">
        <f>AND(DATA!E881,"AAAAAH367fc=")</f>
        <v>#VALUE!</v>
      </c>
      <c r="IO85" t="e">
        <f>AND(DATA!F881,"AAAAAH367fg=")</f>
        <v>#VALUE!</v>
      </c>
      <c r="IP85" t="e">
        <f>AND(DATA!G881,"AAAAAH367fk=")</f>
        <v>#VALUE!</v>
      </c>
      <c r="IQ85" t="e">
        <f>AND(DATA!H881,"AAAAAH367fo=")</f>
        <v>#VALUE!</v>
      </c>
      <c r="IR85" t="e">
        <f>AND(DATA!I881,"AAAAAH367fs=")</f>
        <v>#VALUE!</v>
      </c>
      <c r="IS85" t="e">
        <f>AND(DATA!J881,"AAAAAH367fw=")</f>
        <v>#VALUE!</v>
      </c>
      <c r="IT85" t="e">
        <f>AND(DATA!K881,"AAAAAH367f0=")</f>
        <v>#VALUE!</v>
      </c>
      <c r="IU85" t="b">
        <f>AND(DATA!L881,"AAAAAH367f4=")</f>
        <v>1</v>
      </c>
      <c r="IV85" t="e">
        <f>AND(DATA!M881,"AAAAAH367f8=")</f>
        <v>#VALUE!</v>
      </c>
    </row>
    <row r="86" spans="1:256">
      <c r="A86" t="b">
        <f>AND(DATA!N881,"AAAAAB7f3gA=")</f>
        <v>1</v>
      </c>
      <c r="B86">
        <f>IF(DATA!882:882,"AAAAAB7f3gE=",0)</f>
        <v>0</v>
      </c>
      <c r="C86" t="e">
        <f>AND(DATA!A882,"AAAAAB7f3gI=")</f>
        <v>#VALUE!</v>
      </c>
      <c r="D86" t="e">
        <f>AND(DATA!B882,"AAAAAB7f3gM=")</f>
        <v>#VALUE!</v>
      </c>
      <c r="E86" t="e">
        <f>AND(DATA!C882,"AAAAAB7f3gQ=")</f>
        <v>#VALUE!</v>
      </c>
      <c r="F86" t="e">
        <f>AND(DATA!D882,"AAAAAB7f3gU=")</f>
        <v>#VALUE!</v>
      </c>
      <c r="G86" t="e">
        <f>AND(DATA!E882,"AAAAAB7f3gY=")</f>
        <v>#VALUE!</v>
      </c>
      <c r="H86" t="e">
        <f>AND(DATA!F882,"AAAAAB7f3gc=")</f>
        <v>#VALUE!</v>
      </c>
      <c r="I86" t="e">
        <f>AND(DATA!G882,"AAAAAB7f3gg=")</f>
        <v>#VALUE!</v>
      </c>
      <c r="J86" t="e">
        <f>AND(DATA!H882,"AAAAAB7f3gk=")</f>
        <v>#VALUE!</v>
      </c>
      <c r="K86" t="e">
        <f>AND(DATA!I882,"AAAAAB7f3go=")</f>
        <v>#VALUE!</v>
      </c>
      <c r="L86" t="e">
        <f>AND(DATA!J882,"AAAAAB7f3gs=")</f>
        <v>#VALUE!</v>
      </c>
      <c r="M86" t="e">
        <f>AND(DATA!K882,"AAAAAB7f3gw=")</f>
        <v>#VALUE!</v>
      </c>
      <c r="N86" t="b">
        <f>AND(DATA!L882,"AAAAAB7f3g0=")</f>
        <v>1</v>
      </c>
      <c r="O86" t="e">
        <f>AND(DATA!M882,"AAAAAB7f3g4=")</f>
        <v>#VALUE!</v>
      </c>
      <c r="P86" t="b">
        <f>AND(DATA!N882,"AAAAAB7f3g8=")</f>
        <v>1</v>
      </c>
      <c r="Q86">
        <f>IF(DATA!883:883,"AAAAAB7f3hA=",0)</f>
        <v>0</v>
      </c>
      <c r="R86" t="e">
        <f>AND(DATA!A883,"AAAAAB7f3hE=")</f>
        <v>#VALUE!</v>
      </c>
      <c r="S86" t="e">
        <f>AND(DATA!B883,"AAAAAB7f3hI=")</f>
        <v>#VALUE!</v>
      </c>
      <c r="T86" t="e">
        <f>AND(DATA!C883,"AAAAAB7f3hM=")</f>
        <v>#VALUE!</v>
      </c>
      <c r="U86" t="e">
        <f>AND(DATA!D883,"AAAAAB7f3hQ=")</f>
        <v>#VALUE!</v>
      </c>
      <c r="V86" t="e">
        <f>AND(DATA!E883,"AAAAAB7f3hU=")</f>
        <v>#VALUE!</v>
      </c>
      <c r="W86" t="e">
        <f>AND(DATA!F883,"AAAAAB7f3hY=")</f>
        <v>#VALUE!</v>
      </c>
      <c r="X86" t="e">
        <f>AND(DATA!G883,"AAAAAB7f3hc=")</f>
        <v>#VALUE!</v>
      </c>
      <c r="Y86" t="e">
        <f>AND(DATA!H883,"AAAAAB7f3hg=")</f>
        <v>#VALUE!</v>
      </c>
      <c r="Z86" t="e">
        <f>AND(DATA!I883,"AAAAAB7f3hk=")</f>
        <v>#VALUE!</v>
      </c>
      <c r="AA86" t="e">
        <f>AND(DATA!J883,"AAAAAB7f3ho=")</f>
        <v>#VALUE!</v>
      </c>
      <c r="AB86" t="e">
        <f>AND(DATA!K883,"AAAAAB7f3hs=")</f>
        <v>#VALUE!</v>
      </c>
      <c r="AC86" t="b">
        <f>AND(DATA!L883,"AAAAAB7f3hw=")</f>
        <v>1</v>
      </c>
      <c r="AD86" t="e">
        <f>AND(DATA!M883,"AAAAAB7f3h0=")</f>
        <v>#VALUE!</v>
      </c>
      <c r="AE86" t="b">
        <f>AND(DATA!N883,"AAAAAB7f3h4=")</f>
        <v>1</v>
      </c>
      <c r="AF86">
        <f>IF(DATA!884:884,"AAAAAB7f3h8=",0)</f>
        <v>0</v>
      </c>
      <c r="AG86" t="e">
        <f>AND(DATA!A884,"AAAAAB7f3iA=")</f>
        <v>#VALUE!</v>
      </c>
      <c r="AH86" t="e">
        <f>AND(DATA!B884,"AAAAAB7f3iE=")</f>
        <v>#VALUE!</v>
      </c>
      <c r="AI86" t="e">
        <f>AND(DATA!C884,"AAAAAB7f3iI=")</f>
        <v>#VALUE!</v>
      </c>
      <c r="AJ86" t="e">
        <f>AND(DATA!D884,"AAAAAB7f3iM=")</f>
        <v>#VALUE!</v>
      </c>
      <c r="AK86" t="e">
        <f>AND(DATA!E884,"AAAAAB7f3iQ=")</f>
        <v>#VALUE!</v>
      </c>
      <c r="AL86" t="e">
        <f>AND(DATA!F884,"AAAAAB7f3iU=")</f>
        <v>#VALUE!</v>
      </c>
      <c r="AM86" t="e">
        <f>AND(DATA!G884,"AAAAAB7f3iY=")</f>
        <v>#VALUE!</v>
      </c>
      <c r="AN86" t="e">
        <f>AND(DATA!H884,"AAAAAB7f3ic=")</f>
        <v>#VALUE!</v>
      </c>
      <c r="AO86" t="e">
        <f>AND(DATA!I884,"AAAAAB7f3ig=")</f>
        <v>#VALUE!</v>
      </c>
      <c r="AP86" t="e">
        <f>AND(DATA!J884,"AAAAAB7f3ik=")</f>
        <v>#VALUE!</v>
      </c>
      <c r="AQ86" t="e">
        <f>AND(DATA!K884,"AAAAAB7f3io=")</f>
        <v>#VALUE!</v>
      </c>
      <c r="AR86" t="b">
        <f>AND(DATA!L884,"AAAAAB7f3is=")</f>
        <v>1</v>
      </c>
      <c r="AS86" t="e">
        <f>AND(DATA!M884,"AAAAAB7f3iw=")</f>
        <v>#VALUE!</v>
      </c>
      <c r="AT86" t="b">
        <f>AND(DATA!N884,"AAAAAB7f3i0=")</f>
        <v>1</v>
      </c>
      <c r="AU86">
        <f>IF(DATA!885:885,"AAAAAB7f3i4=",0)</f>
        <v>0</v>
      </c>
      <c r="AV86" t="e">
        <f>AND(DATA!A885,"AAAAAB7f3i8=")</f>
        <v>#VALUE!</v>
      </c>
      <c r="AW86" t="e">
        <f>AND(DATA!B885,"AAAAAB7f3jA=")</f>
        <v>#VALUE!</v>
      </c>
      <c r="AX86" t="e">
        <f>AND(DATA!C885,"AAAAAB7f3jE=")</f>
        <v>#VALUE!</v>
      </c>
      <c r="AY86" t="e">
        <f>AND(DATA!D885,"AAAAAB7f3jI=")</f>
        <v>#VALUE!</v>
      </c>
      <c r="AZ86" t="e">
        <f>AND(DATA!E885,"AAAAAB7f3jM=")</f>
        <v>#VALUE!</v>
      </c>
      <c r="BA86" t="e">
        <f>AND(DATA!F885,"AAAAAB7f3jQ=")</f>
        <v>#VALUE!</v>
      </c>
      <c r="BB86" t="e">
        <f>AND(DATA!G885,"AAAAAB7f3jU=")</f>
        <v>#VALUE!</v>
      </c>
      <c r="BC86" t="e">
        <f>AND(DATA!H885,"AAAAAB7f3jY=")</f>
        <v>#VALUE!</v>
      </c>
      <c r="BD86" t="e">
        <f>AND(DATA!I885,"AAAAAB7f3jc=")</f>
        <v>#VALUE!</v>
      </c>
      <c r="BE86" t="e">
        <f>AND(DATA!J885,"AAAAAB7f3jg=")</f>
        <v>#VALUE!</v>
      </c>
      <c r="BF86" t="e">
        <f>AND(DATA!K885,"AAAAAB7f3jk=")</f>
        <v>#VALUE!</v>
      </c>
      <c r="BG86" t="b">
        <f>AND(DATA!L885,"AAAAAB7f3jo=")</f>
        <v>1</v>
      </c>
      <c r="BH86" t="e">
        <f>AND(DATA!M885,"AAAAAB7f3js=")</f>
        <v>#VALUE!</v>
      </c>
      <c r="BI86" t="b">
        <f>AND(DATA!N885,"AAAAAB7f3jw=")</f>
        <v>1</v>
      </c>
      <c r="BJ86">
        <f>IF(DATA!886:886,"AAAAAB7f3j0=",0)</f>
        <v>0</v>
      </c>
      <c r="BK86" t="e">
        <f>AND(DATA!A886,"AAAAAB7f3j4=")</f>
        <v>#VALUE!</v>
      </c>
      <c r="BL86" t="e">
        <f>AND(DATA!B886,"AAAAAB7f3j8=")</f>
        <v>#VALUE!</v>
      </c>
      <c r="BM86" t="e">
        <f>AND(DATA!C886,"AAAAAB7f3kA=")</f>
        <v>#VALUE!</v>
      </c>
      <c r="BN86" t="e">
        <f>AND(DATA!D886,"AAAAAB7f3kE=")</f>
        <v>#VALUE!</v>
      </c>
      <c r="BO86" t="e">
        <f>AND(DATA!E886,"AAAAAB7f3kI=")</f>
        <v>#VALUE!</v>
      </c>
      <c r="BP86" t="e">
        <f>AND(DATA!F886,"AAAAAB7f3kM=")</f>
        <v>#VALUE!</v>
      </c>
      <c r="BQ86" t="e">
        <f>AND(DATA!G886,"AAAAAB7f3kQ=")</f>
        <v>#VALUE!</v>
      </c>
      <c r="BR86" t="e">
        <f>AND(DATA!H886,"AAAAAB7f3kU=")</f>
        <v>#VALUE!</v>
      </c>
      <c r="BS86" t="e">
        <f>AND(DATA!I886,"AAAAAB7f3kY=")</f>
        <v>#VALUE!</v>
      </c>
      <c r="BT86" t="e">
        <f>AND(DATA!J886,"AAAAAB7f3kc=")</f>
        <v>#VALUE!</v>
      </c>
      <c r="BU86" t="e">
        <f>AND(DATA!K886,"AAAAAB7f3kg=")</f>
        <v>#VALUE!</v>
      </c>
      <c r="BV86" t="b">
        <f>AND(DATA!L886,"AAAAAB7f3kk=")</f>
        <v>1</v>
      </c>
      <c r="BW86" t="e">
        <f>AND(DATA!M886,"AAAAAB7f3ko=")</f>
        <v>#VALUE!</v>
      </c>
      <c r="BX86" t="b">
        <f>AND(DATA!N886,"AAAAAB7f3ks=")</f>
        <v>1</v>
      </c>
      <c r="BY86">
        <f>IF(DATA!887:887,"AAAAAB7f3kw=",0)</f>
        <v>0</v>
      </c>
      <c r="BZ86" t="e">
        <f>AND(DATA!A887,"AAAAAB7f3k0=")</f>
        <v>#VALUE!</v>
      </c>
      <c r="CA86" t="e">
        <f>AND(DATA!B887,"AAAAAB7f3k4=")</f>
        <v>#VALUE!</v>
      </c>
      <c r="CB86" t="e">
        <f>AND(DATA!C887,"AAAAAB7f3k8=")</f>
        <v>#VALUE!</v>
      </c>
      <c r="CC86" t="e">
        <f>AND(DATA!D887,"AAAAAB7f3lA=")</f>
        <v>#VALUE!</v>
      </c>
      <c r="CD86" t="e">
        <f>AND(DATA!E887,"AAAAAB7f3lE=")</f>
        <v>#VALUE!</v>
      </c>
      <c r="CE86" t="e">
        <f>AND(DATA!F887,"AAAAAB7f3lI=")</f>
        <v>#VALUE!</v>
      </c>
      <c r="CF86" t="e">
        <f>AND(DATA!G887,"AAAAAB7f3lM=")</f>
        <v>#VALUE!</v>
      </c>
      <c r="CG86" t="e">
        <f>AND(DATA!H887,"AAAAAB7f3lQ=")</f>
        <v>#VALUE!</v>
      </c>
      <c r="CH86" t="e">
        <f>AND(DATA!I887,"AAAAAB7f3lU=")</f>
        <v>#VALUE!</v>
      </c>
      <c r="CI86" t="e">
        <f>AND(DATA!J887,"AAAAAB7f3lY=")</f>
        <v>#VALUE!</v>
      </c>
      <c r="CJ86" t="e">
        <f>AND(DATA!K887,"AAAAAB7f3lc=")</f>
        <v>#VALUE!</v>
      </c>
      <c r="CK86" t="b">
        <f>AND(DATA!L887,"AAAAAB7f3lg=")</f>
        <v>1</v>
      </c>
      <c r="CL86" t="e">
        <f>AND(DATA!M887,"AAAAAB7f3lk=")</f>
        <v>#VALUE!</v>
      </c>
      <c r="CM86" t="b">
        <f>AND(DATA!N887,"AAAAAB7f3lo=")</f>
        <v>1</v>
      </c>
      <c r="CN86">
        <f>IF(DATA!888:888,"AAAAAB7f3ls=",0)</f>
        <v>0</v>
      </c>
      <c r="CO86" t="e">
        <f>AND(DATA!A888,"AAAAAB7f3lw=")</f>
        <v>#VALUE!</v>
      </c>
      <c r="CP86" t="e">
        <f>AND(DATA!B888,"AAAAAB7f3l0=")</f>
        <v>#VALUE!</v>
      </c>
      <c r="CQ86" t="e">
        <f>AND(DATA!C888,"AAAAAB7f3l4=")</f>
        <v>#VALUE!</v>
      </c>
      <c r="CR86" t="e">
        <f>AND(DATA!D888,"AAAAAB7f3l8=")</f>
        <v>#VALUE!</v>
      </c>
      <c r="CS86" t="e">
        <f>AND(DATA!E888,"AAAAAB7f3mA=")</f>
        <v>#VALUE!</v>
      </c>
      <c r="CT86" t="e">
        <f>AND(DATA!F888,"AAAAAB7f3mE=")</f>
        <v>#VALUE!</v>
      </c>
      <c r="CU86" t="e">
        <f>AND(DATA!G888,"AAAAAB7f3mI=")</f>
        <v>#VALUE!</v>
      </c>
      <c r="CV86" t="e">
        <f>AND(DATA!H888,"AAAAAB7f3mM=")</f>
        <v>#VALUE!</v>
      </c>
      <c r="CW86" t="e">
        <f>AND(DATA!I888,"AAAAAB7f3mQ=")</f>
        <v>#VALUE!</v>
      </c>
      <c r="CX86" t="e">
        <f>AND(DATA!J888,"AAAAAB7f3mU=")</f>
        <v>#VALUE!</v>
      </c>
      <c r="CY86" t="e">
        <f>AND(DATA!K888,"AAAAAB7f3mY=")</f>
        <v>#VALUE!</v>
      </c>
      <c r="CZ86" t="b">
        <f>AND(DATA!L888,"AAAAAB7f3mc=")</f>
        <v>1</v>
      </c>
      <c r="DA86" t="e">
        <f>AND(DATA!M888,"AAAAAB7f3mg=")</f>
        <v>#VALUE!</v>
      </c>
      <c r="DB86" t="b">
        <f>AND(DATA!N888,"AAAAAB7f3mk=")</f>
        <v>1</v>
      </c>
      <c r="DC86">
        <f>IF(DATA!889:889,"AAAAAB7f3mo=",0)</f>
        <v>0</v>
      </c>
      <c r="DD86" t="e">
        <f>AND(DATA!A889,"AAAAAB7f3ms=")</f>
        <v>#VALUE!</v>
      </c>
      <c r="DE86" t="e">
        <f>AND(DATA!B889,"AAAAAB7f3mw=")</f>
        <v>#VALUE!</v>
      </c>
      <c r="DF86" t="e">
        <f>AND(DATA!C889,"AAAAAB7f3m0=")</f>
        <v>#VALUE!</v>
      </c>
      <c r="DG86" t="e">
        <f>AND(DATA!D889,"AAAAAB7f3m4=")</f>
        <v>#VALUE!</v>
      </c>
      <c r="DH86" t="e">
        <f>AND(DATA!E889,"AAAAAB7f3m8=")</f>
        <v>#VALUE!</v>
      </c>
      <c r="DI86" t="e">
        <f>AND(DATA!F889,"AAAAAB7f3nA=")</f>
        <v>#VALUE!</v>
      </c>
      <c r="DJ86" t="e">
        <f>AND(DATA!G889,"AAAAAB7f3nE=")</f>
        <v>#VALUE!</v>
      </c>
      <c r="DK86" t="e">
        <f>AND(DATA!H889,"AAAAAB7f3nI=")</f>
        <v>#VALUE!</v>
      </c>
      <c r="DL86" t="e">
        <f>AND(DATA!I889,"AAAAAB7f3nM=")</f>
        <v>#VALUE!</v>
      </c>
      <c r="DM86" t="e">
        <f>AND(DATA!J889,"AAAAAB7f3nQ=")</f>
        <v>#VALUE!</v>
      </c>
      <c r="DN86" t="e">
        <f>AND(DATA!K889,"AAAAAB7f3nU=")</f>
        <v>#VALUE!</v>
      </c>
      <c r="DO86" t="b">
        <f>AND(DATA!L889,"AAAAAB7f3nY=")</f>
        <v>1</v>
      </c>
      <c r="DP86" t="e">
        <f>AND(DATA!M889,"AAAAAB7f3nc=")</f>
        <v>#VALUE!</v>
      </c>
      <c r="DQ86" t="b">
        <f>AND(DATA!N889,"AAAAAB7f3ng=")</f>
        <v>1</v>
      </c>
      <c r="DR86">
        <f>IF(DATA!890:890,"AAAAAB7f3nk=",0)</f>
        <v>0</v>
      </c>
      <c r="DS86" t="e">
        <f>AND(DATA!A890,"AAAAAB7f3no=")</f>
        <v>#VALUE!</v>
      </c>
      <c r="DT86" t="e">
        <f>AND(DATA!B890,"AAAAAB7f3ns=")</f>
        <v>#VALUE!</v>
      </c>
      <c r="DU86" t="e">
        <f>AND(DATA!C890,"AAAAAB7f3nw=")</f>
        <v>#VALUE!</v>
      </c>
      <c r="DV86" t="e">
        <f>AND(DATA!D890,"AAAAAB7f3n0=")</f>
        <v>#VALUE!</v>
      </c>
      <c r="DW86" t="e">
        <f>AND(DATA!E890,"AAAAAB7f3n4=")</f>
        <v>#VALUE!</v>
      </c>
      <c r="DX86" t="e">
        <f>AND(DATA!F890,"AAAAAB7f3n8=")</f>
        <v>#VALUE!</v>
      </c>
      <c r="DY86" t="e">
        <f>AND(DATA!G890,"AAAAAB7f3oA=")</f>
        <v>#VALUE!</v>
      </c>
      <c r="DZ86" t="e">
        <f>AND(DATA!H890,"AAAAAB7f3oE=")</f>
        <v>#VALUE!</v>
      </c>
      <c r="EA86" t="e">
        <f>AND(DATA!I890,"AAAAAB7f3oI=")</f>
        <v>#VALUE!</v>
      </c>
      <c r="EB86" t="e">
        <f>AND(DATA!J890,"AAAAAB7f3oM=")</f>
        <v>#VALUE!</v>
      </c>
      <c r="EC86" t="e">
        <f>AND(DATA!K890,"AAAAAB7f3oQ=")</f>
        <v>#VALUE!</v>
      </c>
      <c r="ED86" t="b">
        <f>AND(DATA!L890,"AAAAAB7f3oU=")</f>
        <v>1</v>
      </c>
      <c r="EE86" t="e">
        <f>AND(DATA!M890,"AAAAAB7f3oY=")</f>
        <v>#VALUE!</v>
      </c>
      <c r="EF86" t="b">
        <f>AND(DATA!N890,"AAAAAB7f3oc=")</f>
        <v>1</v>
      </c>
      <c r="EG86">
        <f>IF(DATA!891:891,"AAAAAB7f3og=",0)</f>
        <v>0</v>
      </c>
      <c r="EH86" t="e">
        <f>AND(DATA!A891,"AAAAAB7f3ok=")</f>
        <v>#VALUE!</v>
      </c>
      <c r="EI86" t="e">
        <f>AND(DATA!B891,"AAAAAB7f3oo=")</f>
        <v>#VALUE!</v>
      </c>
      <c r="EJ86" t="e">
        <f>AND(DATA!C891,"AAAAAB7f3os=")</f>
        <v>#VALUE!</v>
      </c>
      <c r="EK86" t="e">
        <f>AND(DATA!D891,"AAAAAB7f3ow=")</f>
        <v>#VALUE!</v>
      </c>
      <c r="EL86" t="e">
        <f>AND(DATA!E891,"AAAAAB7f3o0=")</f>
        <v>#VALUE!</v>
      </c>
      <c r="EM86" t="e">
        <f>AND(DATA!F891,"AAAAAB7f3o4=")</f>
        <v>#VALUE!</v>
      </c>
      <c r="EN86" t="e">
        <f>AND(DATA!G891,"AAAAAB7f3o8=")</f>
        <v>#VALUE!</v>
      </c>
      <c r="EO86" t="e">
        <f>AND(DATA!H891,"AAAAAB7f3pA=")</f>
        <v>#VALUE!</v>
      </c>
      <c r="EP86" t="e">
        <f>AND(DATA!I891,"AAAAAB7f3pE=")</f>
        <v>#VALUE!</v>
      </c>
      <c r="EQ86" t="e">
        <f>AND(DATA!J891,"AAAAAB7f3pI=")</f>
        <v>#VALUE!</v>
      </c>
      <c r="ER86" t="e">
        <f>AND(DATA!K891,"AAAAAB7f3pM=")</f>
        <v>#VALUE!</v>
      </c>
      <c r="ES86" t="b">
        <f>AND(DATA!L891,"AAAAAB7f3pQ=")</f>
        <v>1</v>
      </c>
      <c r="ET86" t="e">
        <f>AND(DATA!M891,"AAAAAB7f3pU=")</f>
        <v>#VALUE!</v>
      </c>
      <c r="EU86" t="b">
        <f>AND(DATA!N891,"AAAAAB7f3pY=")</f>
        <v>1</v>
      </c>
      <c r="EV86">
        <f>IF(DATA!892:892,"AAAAAB7f3pc=",0)</f>
        <v>0</v>
      </c>
      <c r="EW86" t="e">
        <f>AND(DATA!A892,"AAAAAB7f3pg=")</f>
        <v>#VALUE!</v>
      </c>
      <c r="EX86" t="e">
        <f>AND(DATA!B892,"AAAAAB7f3pk=")</f>
        <v>#VALUE!</v>
      </c>
      <c r="EY86" t="e">
        <f>AND(DATA!C892,"AAAAAB7f3po=")</f>
        <v>#VALUE!</v>
      </c>
      <c r="EZ86" t="e">
        <f>AND(DATA!D892,"AAAAAB7f3ps=")</f>
        <v>#VALUE!</v>
      </c>
      <c r="FA86" t="e">
        <f>AND(DATA!E892,"AAAAAB7f3pw=")</f>
        <v>#VALUE!</v>
      </c>
      <c r="FB86" t="e">
        <f>AND(DATA!F892,"AAAAAB7f3p0=")</f>
        <v>#VALUE!</v>
      </c>
      <c r="FC86" t="e">
        <f>AND(DATA!G892,"AAAAAB7f3p4=")</f>
        <v>#VALUE!</v>
      </c>
      <c r="FD86" t="e">
        <f>AND(DATA!H892,"AAAAAB7f3p8=")</f>
        <v>#VALUE!</v>
      </c>
      <c r="FE86" t="e">
        <f>AND(DATA!I892,"AAAAAB7f3qA=")</f>
        <v>#VALUE!</v>
      </c>
      <c r="FF86" t="e">
        <f>AND(DATA!J892,"AAAAAB7f3qE=")</f>
        <v>#VALUE!</v>
      </c>
      <c r="FG86" t="e">
        <f>AND(DATA!K892,"AAAAAB7f3qI=")</f>
        <v>#VALUE!</v>
      </c>
      <c r="FH86" t="b">
        <f>AND(DATA!L892,"AAAAAB7f3qM=")</f>
        <v>1</v>
      </c>
      <c r="FI86" t="e">
        <f>AND(DATA!M892,"AAAAAB7f3qQ=")</f>
        <v>#VALUE!</v>
      </c>
      <c r="FJ86" t="b">
        <f>AND(DATA!N892,"AAAAAB7f3qU=")</f>
        <v>1</v>
      </c>
      <c r="FK86">
        <f>IF(DATA!893:893,"AAAAAB7f3qY=",0)</f>
        <v>0</v>
      </c>
      <c r="FL86" t="e">
        <f>AND(DATA!A893,"AAAAAB7f3qc=")</f>
        <v>#VALUE!</v>
      </c>
      <c r="FM86" t="e">
        <f>AND(DATA!B893,"AAAAAB7f3qg=")</f>
        <v>#VALUE!</v>
      </c>
      <c r="FN86" t="e">
        <f>AND(DATA!C893,"AAAAAB7f3qk=")</f>
        <v>#VALUE!</v>
      </c>
      <c r="FO86" t="e">
        <f>AND(DATA!D893,"AAAAAB7f3qo=")</f>
        <v>#VALUE!</v>
      </c>
      <c r="FP86" t="e">
        <f>AND(DATA!E893,"AAAAAB7f3qs=")</f>
        <v>#VALUE!</v>
      </c>
      <c r="FQ86" t="e">
        <f>AND(DATA!F893,"AAAAAB7f3qw=")</f>
        <v>#VALUE!</v>
      </c>
      <c r="FR86" t="e">
        <f>AND(DATA!G893,"AAAAAB7f3q0=")</f>
        <v>#VALUE!</v>
      </c>
      <c r="FS86" t="e">
        <f>AND(DATA!H893,"AAAAAB7f3q4=")</f>
        <v>#VALUE!</v>
      </c>
      <c r="FT86" t="e">
        <f>AND(DATA!I893,"AAAAAB7f3q8=")</f>
        <v>#VALUE!</v>
      </c>
      <c r="FU86" t="e">
        <f>AND(DATA!J893,"AAAAAB7f3rA=")</f>
        <v>#VALUE!</v>
      </c>
      <c r="FV86" t="e">
        <f>AND(DATA!K893,"AAAAAB7f3rE=")</f>
        <v>#VALUE!</v>
      </c>
      <c r="FW86" t="b">
        <f>AND(DATA!L893,"AAAAAB7f3rI=")</f>
        <v>1</v>
      </c>
      <c r="FX86" t="e">
        <f>AND(DATA!M893,"AAAAAB7f3rM=")</f>
        <v>#VALUE!</v>
      </c>
      <c r="FY86" t="b">
        <f>AND(DATA!N893,"AAAAAB7f3rQ=")</f>
        <v>1</v>
      </c>
      <c r="FZ86">
        <f>IF(DATA!894:894,"AAAAAB7f3rU=",0)</f>
        <v>0</v>
      </c>
      <c r="GA86" t="e">
        <f>AND(DATA!A894,"AAAAAB7f3rY=")</f>
        <v>#VALUE!</v>
      </c>
      <c r="GB86" t="e">
        <f>AND(DATA!B894,"AAAAAB7f3rc=")</f>
        <v>#VALUE!</v>
      </c>
      <c r="GC86" t="e">
        <f>AND(DATA!C894,"AAAAAB7f3rg=")</f>
        <v>#VALUE!</v>
      </c>
      <c r="GD86" t="e">
        <f>AND(DATA!D894,"AAAAAB7f3rk=")</f>
        <v>#VALUE!</v>
      </c>
      <c r="GE86" t="e">
        <f>AND(DATA!E894,"AAAAAB7f3ro=")</f>
        <v>#VALUE!</v>
      </c>
      <c r="GF86" t="e">
        <f>AND(DATA!F894,"AAAAAB7f3rs=")</f>
        <v>#VALUE!</v>
      </c>
      <c r="GG86" t="e">
        <f>AND(DATA!G894,"AAAAAB7f3rw=")</f>
        <v>#VALUE!</v>
      </c>
      <c r="GH86" t="e">
        <f>AND(DATA!H894,"AAAAAB7f3r0=")</f>
        <v>#VALUE!</v>
      </c>
      <c r="GI86" t="e">
        <f>AND(DATA!I894,"AAAAAB7f3r4=")</f>
        <v>#VALUE!</v>
      </c>
      <c r="GJ86" t="e">
        <f>AND(DATA!J894,"AAAAAB7f3r8=")</f>
        <v>#VALUE!</v>
      </c>
      <c r="GK86" t="e">
        <f>AND(DATA!K894,"AAAAAB7f3sA=")</f>
        <v>#VALUE!</v>
      </c>
      <c r="GL86" t="b">
        <f>AND(DATA!L894,"AAAAAB7f3sE=")</f>
        <v>1</v>
      </c>
      <c r="GM86" t="e">
        <f>AND(DATA!M894,"AAAAAB7f3sI=")</f>
        <v>#VALUE!</v>
      </c>
      <c r="GN86" t="b">
        <f>AND(DATA!N894,"AAAAAB7f3sM=")</f>
        <v>1</v>
      </c>
      <c r="GO86">
        <f>IF(DATA!895:895,"AAAAAB7f3sQ=",0)</f>
        <v>0</v>
      </c>
      <c r="GP86" t="e">
        <f>AND(DATA!A895,"AAAAAB7f3sU=")</f>
        <v>#VALUE!</v>
      </c>
      <c r="GQ86" t="e">
        <f>AND(DATA!B895,"AAAAAB7f3sY=")</f>
        <v>#VALUE!</v>
      </c>
      <c r="GR86" t="e">
        <f>AND(DATA!C895,"AAAAAB7f3sc=")</f>
        <v>#VALUE!</v>
      </c>
      <c r="GS86" t="e">
        <f>AND(DATA!D895,"AAAAAB7f3sg=")</f>
        <v>#VALUE!</v>
      </c>
      <c r="GT86" t="e">
        <f>AND(DATA!E895,"AAAAAB7f3sk=")</f>
        <v>#VALUE!</v>
      </c>
      <c r="GU86" t="e">
        <f>AND(DATA!F895,"AAAAAB7f3so=")</f>
        <v>#VALUE!</v>
      </c>
      <c r="GV86" t="e">
        <f>AND(DATA!G895,"AAAAAB7f3ss=")</f>
        <v>#VALUE!</v>
      </c>
      <c r="GW86" t="e">
        <f>AND(DATA!H895,"AAAAAB7f3sw=")</f>
        <v>#VALUE!</v>
      </c>
      <c r="GX86" t="e">
        <f>AND(DATA!I895,"AAAAAB7f3s0=")</f>
        <v>#VALUE!</v>
      </c>
      <c r="GY86" t="e">
        <f>AND(DATA!J895,"AAAAAB7f3s4=")</f>
        <v>#VALUE!</v>
      </c>
      <c r="GZ86" t="e">
        <f>AND(DATA!K895,"AAAAAB7f3s8=")</f>
        <v>#VALUE!</v>
      </c>
      <c r="HA86" t="b">
        <f>AND(DATA!L895,"AAAAAB7f3tA=")</f>
        <v>1</v>
      </c>
      <c r="HB86" t="e">
        <f>AND(DATA!M895,"AAAAAB7f3tE=")</f>
        <v>#VALUE!</v>
      </c>
      <c r="HC86" t="b">
        <f>AND(DATA!N895,"AAAAAB7f3tI=")</f>
        <v>1</v>
      </c>
      <c r="HD86">
        <f>IF(DATA!896:896,"AAAAAB7f3tM=",0)</f>
        <v>0</v>
      </c>
      <c r="HE86" t="e">
        <f>AND(DATA!A896,"AAAAAB7f3tQ=")</f>
        <v>#VALUE!</v>
      </c>
      <c r="HF86" t="e">
        <f>AND(DATA!B896,"AAAAAB7f3tU=")</f>
        <v>#VALUE!</v>
      </c>
      <c r="HG86" t="e">
        <f>AND(DATA!C896,"AAAAAB7f3tY=")</f>
        <v>#VALUE!</v>
      </c>
      <c r="HH86" t="e">
        <f>AND(DATA!D896,"AAAAAB7f3tc=")</f>
        <v>#VALUE!</v>
      </c>
      <c r="HI86" t="e">
        <f>AND(DATA!E896,"AAAAAB7f3tg=")</f>
        <v>#VALUE!</v>
      </c>
      <c r="HJ86" t="e">
        <f>AND(DATA!F896,"AAAAAB7f3tk=")</f>
        <v>#VALUE!</v>
      </c>
      <c r="HK86" t="e">
        <f>AND(DATA!G896,"AAAAAB7f3to=")</f>
        <v>#VALUE!</v>
      </c>
      <c r="HL86" t="e">
        <f>AND(DATA!H896,"AAAAAB7f3ts=")</f>
        <v>#VALUE!</v>
      </c>
      <c r="HM86" t="e">
        <f>AND(DATA!I896,"AAAAAB7f3tw=")</f>
        <v>#VALUE!</v>
      </c>
      <c r="HN86" t="e">
        <f>AND(DATA!J896,"AAAAAB7f3t0=")</f>
        <v>#VALUE!</v>
      </c>
      <c r="HO86" t="e">
        <f>AND(DATA!K896,"AAAAAB7f3t4=")</f>
        <v>#VALUE!</v>
      </c>
      <c r="HP86" t="b">
        <f>AND(DATA!L896,"AAAAAB7f3t8=")</f>
        <v>1</v>
      </c>
      <c r="HQ86" t="e">
        <f>AND(DATA!M896,"AAAAAB7f3uA=")</f>
        <v>#VALUE!</v>
      </c>
      <c r="HR86" t="b">
        <f>AND(DATA!N896,"AAAAAB7f3uE=")</f>
        <v>1</v>
      </c>
      <c r="HS86">
        <f>IF(DATA!897:897,"AAAAAB7f3uI=",0)</f>
        <v>0</v>
      </c>
      <c r="HT86" t="e">
        <f>AND(DATA!A897,"AAAAAB7f3uM=")</f>
        <v>#VALUE!</v>
      </c>
      <c r="HU86" t="e">
        <f>AND(DATA!B897,"AAAAAB7f3uQ=")</f>
        <v>#VALUE!</v>
      </c>
      <c r="HV86" t="e">
        <f>AND(DATA!C897,"AAAAAB7f3uU=")</f>
        <v>#VALUE!</v>
      </c>
      <c r="HW86" t="e">
        <f>AND(DATA!D897,"AAAAAB7f3uY=")</f>
        <v>#VALUE!</v>
      </c>
      <c r="HX86" t="e">
        <f>AND(DATA!E897,"AAAAAB7f3uc=")</f>
        <v>#VALUE!</v>
      </c>
      <c r="HY86" t="e">
        <f>AND(DATA!F897,"AAAAAB7f3ug=")</f>
        <v>#VALUE!</v>
      </c>
      <c r="HZ86" t="e">
        <f>AND(DATA!G897,"AAAAAB7f3uk=")</f>
        <v>#VALUE!</v>
      </c>
      <c r="IA86" t="e">
        <f>AND(DATA!H897,"AAAAAB7f3uo=")</f>
        <v>#VALUE!</v>
      </c>
      <c r="IB86" t="e">
        <f>AND(DATA!I897,"AAAAAB7f3us=")</f>
        <v>#VALUE!</v>
      </c>
      <c r="IC86" t="e">
        <f>AND(DATA!J897,"AAAAAB7f3uw=")</f>
        <v>#VALUE!</v>
      </c>
      <c r="ID86" t="e">
        <f>AND(DATA!K897,"AAAAAB7f3u0=")</f>
        <v>#VALUE!</v>
      </c>
      <c r="IE86" t="b">
        <f>AND(DATA!L897,"AAAAAB7f3u4=")</f>
        <v>1</v>
      </c>
      <c r="IF86" t="e">
        <f>AND(DATA!M897,"AAAAAB7f3u8=")</f>
        <v>#VALUE!</v>
      </c>
      <c r="IG86" t="b">
        <f>AND(DATA!N897,"AAAAAB7f3vA=")</f>
        <v>1</v>
      </c>
      <c r="IH86">
        <f>IF(DATA!898:898,"AAAAAB7f3vE=",0)</f>
        <v>0</v>
      </c>
      <c r="II86" t="e">
        <f>AND(DATA!A898,"AAAAAB7f3vI=")</f>
        <v>#VALUE!</v>
      </c>
      <c r="IJ86" t="e">
        <f>AND(DATA!B898,"AAAAAB7f3vM=")</f>
        <v>#VALUE!</v>
      </c>
      <c r="IK86" t="e">
        <f>AND(DATA!C898,"AAAAAB7f3vQ=")</f>
        <v>#VALUE!</v>
      </c>
      <c r="IL86" t="e">
        <f>AND(DATA!D898,"AAAAAB7f3vU=")</f>
        <v>#VALUE!</v>
      </c>
      <c r="IM86" t="e">
        <f>AND(DATA!E898,"AAAAAB7f3vY=")</f>
        <v>#VALUE!</v>
      </c>
      <c r="IN86" t="e">
        <f>AND(DATA!F898,"AAAAAB7f3vc=")</f>
        <v>#VALUE!</v>
      </c>
      <c r="IO86" t="e">
        <f>AND(DATA!G898,"AAAAAB7f3vg=")</f>
        <v>#VALUE!</v>
      </c>
      <c r="IP86" t="e">
        <f>AND(DATA!H898,"AAAAAB7f3vk=")</f>
        <v>#VALUE!</v>
      </c>
      <c r="IQ86" t="e">
        <f>AND(DATA!I898,"AAAAAB7f3vo=")</f>
        <v>#VALUE!</v>
      </c>
      <c r="IR86" t="e">
        <f>AND(DATA!J898,"AAAAAB7f3vs=")</f>
        <v>#VALUE!</v>
      </c>
      <c r="IS86" t="e">
        <f>AND(DATA!K898,"AAAAAB7f3vw=")</f>
        <v>#VALUE!</v>
      </c>
      <c r="IT86" t="b">
        <f>AND(DATA!L898,"AAAAAB7f3v0=")</f>
        <v>1</v>
      </c>
      <c r="IU86" t="e">
        <f>AND(DATA!M898,"AAAAAB7f3v4=")</f>
        <v>#VALUE!</v>
      </c>
      <c r="IV86" t="b">
        <f>AND(DATA!N898,"AAAAAB7f3v8=")</f>
        <v>1</v>
      </c>
    </row>
    <row r="87" spans="1:256">
      <c r="A87">
        <f>IF(DATA!899:899,"AAAAAH9+tQA=",0)</f>
        <v>0</v>
      </c>
      <c r="B87" t="e">
        <f>AND(DATA!A899,"AAAAAH9+tQE=")</f>
        <v>#VALUE!</v>
      </c>
      <c r="C87" t="e">
        <f>AND(DATA!B899,"AAAAAH9+tQI=")</f>
        <v>#VALUE!</v>
      </c>
      <c r="D87" t="e">
        <f>AND(DATA!C899,"AAAAAH9+tQM=")</f>
        <v>#VALUE!</v>
      </c>
      <c r="E87" t="e">
        <f>AND(DATA!D899,"AAAAAH9+tQQ=")</f>
        <v>#VALUE!</v>
      </c>
      <c r="F87" t="e">
        <f>AND(DATA!E899,"AAAAAH9+tQU=")</f>
        <v>#VALUE!</v>
      </c>
      <c r="G87" t="e">
        <f>AND(DATA!F899,"AAAAAH9+tQY=")</f>
        <v>#VALUE!</v>
      </c>
      <c r="H87" t="e">
        <f>AND(DATA!G899,"AAAAAH9+tQc=")</f>
        <v>#VALUE!</v>
      </c>
      <c r="I87" t="e">
        <f>AND(DATA!H899,"AAAAAH9+tQg=")</f>
        <v>#VALUE!</v>
      </c>
      <c r="J87" t="e">
        <f>AND(DATA!I899,"AAAAAH9+tQk=")</f>
        <v>#VALUE!</v>
      </c>
      <c r="K87" t="e">
        <f>AND(DATA!J899,"AAAAAH9+tQo=")</f>
        <v>#VALUE!</v>
      </c>
      <c r="L87" t="e">
        <f>AND(DATA!K899,"AAAAAH9+tQs=")</f>
        <v>#VALUE!</v>
      </c>
      <c r="M87" t="b">
        <f>AND(DATA!L899,"AAAAAH9+tQw=")</f>
        <v>1</v>
      </c>
      <c r="N87" t="e">
        <f>AND(DATA!M899,"AAAAAH9+tQ0=")</f>
        <v>#VALUE!</v>
      </c>
      <c r="O87" t="b">
        <f>AND(DATA!N899,"AAAAAH9+tQ4=")</f>
        <v>1</v>
      </c>
      <c r="P87">
        <f>IF(DATA!900:900,"AAAAAH9+tQ8=",0)</f>
        <v>0</v>
      </c>
      <c r="Q87" t="e">
        <f>AND(DATA!A900,"AAAAAH9+tRA=")</f>
        <v>#VALUE!</v>
      </c>
      <c r="R87" t="e">
        <f>AND(DATA!B900,"AAAAAH9+tRE=")</f>
        <v>#VALUE!</v>
      </c>
      <c r="S87" t="e">
        <f>AND(DATA!C900,"AAAAAH9+tRI=")</f>
        <v>#VALUE!</v>
      </c>
      <c r="T87" t="e">
        <f>AND(DATA!D900,"AAAAAH9+tRM=")</f>
        <v>#VALUE!</v>
      </c>
      <c r="U87" t="e">
        <f>AND(DATA!E900,"AAAAAH9+tRQ=")</f>
        <v>#VALUE!</v>
      </c>
      <c r="V87" t="e">
        <f>AND(DATA!F900,"AAAAAH9+tRU=")</f>
        <v>#VALUE!</v>
      </c>
      <c r="W87" t="e">
        <f>AND(DATA!G900,"AAAAAH9+tRY=")</f>
        <v>#VALUE!</v>
      </c>
      <c r="X87" t="e">
        <f>AND(DATA!H900,"AAAAAH9+tRc=")</f>
        <v>#VALUE!</v>
      </c>
      <c r="Y87" t="e">
        <f>AND(DATA!I900,"AAAAAH9+tRg=")</f>
        <v>#VALUE!</v>
      </c>
      <c r="Z87" t="e">
        <f>AND(DATA!J900,"AAAAAH9+tRk=")</f>
        <v>#VALUE!</v>
      </c>
      <c r="AA87" t="e">
        <f>AND(DATA!K900,"AAAAAH9+tRo=")</f>
        <v>#VALUE!</v>
      </c>
      <c r="AB87" t="b">
        <f>AND(DATA!L900,"AAAAAH9+tRs=")</f>
        <v>1</v>
      </c>
      <c r="AC87" t="e">
        <f>AND(DATA!M900,"AAAAAH9+tRw=")</f>
        <v>#VALUE!</v>
      </c>
      <c r="AD87" t="b">
        <f>AND(DATA!N900,"AAAAAH9+tR0=")</f>
        <v>1</v>
      </c>
      <c r="AE87">
        <f>IF(DATA!901:901,"AAAAAH9+tR4=",0)</f>
        <v>0</v>
      </c>
      <c r="AF87" t="e">
        <f>AND(DATA!A901,"AAAAAH9+tR8=")</f>
        <v>#VALUE!</v>
      </c>
      <c r="AG87" t="e">
        <f>AND(DATA!B901,"AAAAAH9+tSA=")</f>
        <v>#VALUE!</v>
      </c>
      <c r="AH87" t="e">
        <f>AND(DATA!C901,"AAAAAH9+tSE=")</f>
        <v>#VALUE!</v>
      </c>
      <c r="AI87" t="e">
        <f>AND(DATA!D901,"AAAAAH9+tSI=")</f>
        <v>#VALUE!</v>
      </c>
      <c r="AJ87" t="e">
        <f>AND(DATA!E901,"AAAAAH9+tSM=")</f>
        <v>#VALUE!</v>
      </c>
      <c r="AK87" t="e">
        <f>AND(DATA!F901,"AAAAAH9+tSQ=")</f>
        <v>#VALUE!</v>
      </c>
      <c r="AL87" t="e">
        <f>AND(DATA!G901,"AAAAAH9+tSU=")</f>
        <v>#VALUE!</v>
      </c>
      <c r="AM87" t="e">
        <f>AND(DATA!H901,"AAAAAH9+tSY=")</f>
        <v>#VALUE!</v>
      </c>
      <c r="AN87" t="e">
        <f>AND(DATA!I901,"AAAAAH9+tSc=")</f>
        <v>#VALUE!</v>
      </c>
      <c r="AO87" t="e">
        <f>AND(DATA!J901,"AAAAAH9+tSg=")</f>
        <v>#VALUE!</v>
      </c>
      <c r="AP87" t="e">
        <f>AND(DATA!K901,"AAAAAH9+tSk=")</f>
        <v>#VALUE!</v>
      </c>
      <c r="AQ87" t="b">
        <f>AND(DATA!L901,"AAAAAH9+tSo=")</f>
        <v>1</v>
      </c>
      <c r="AR87" t="e">
        <f>AND(DATA!M901,"AAAAAH9+tSs=")</f>
        <v>#VALUE!</v>
      </c>
      <c r="AS87" t="b">
        <f>AND(DATA!N901,"AAAAAH9+tSw=")</f>
        <v>1</v>
      </c>
      <c r="AT87">
        <f>IF(DATA!902:902,"AAAAAH9+tS0=",0)</f>
        <v>0</v>
      </c>
      <c r="AU87" t="e">
        <f>AND(DATA!A902,"AAAAAH9+tS4=")</f>
        <v>#VALUE!</v>
      </c>
      <c r="AV87" t="e">
        <f>AND(DATA!B902,"AAAAAH9+tS8=")</f>
        <v>#VALUE!</v>
      </c>
      <c r="AW87" t="e">
        <f>AND(DATA!C902,"AAAAAH9+tTA=")</f>
        <v>#VALUE!</v>
      </c>
      <c r="AX87" t="e">
        <f>AND(DATA!D902,"AAAAAH9+tTE=")</f>
        <v>#VALUE!</v>
      </c>
      <c r="AY87" t="e">
        <f>AND(DATA!E902,"AAAAAH9+tTI=")</f>
        <v>#VALUE!</v>
      </c>
      <c r="AZ87" t="e">
        <f>AND(DATA!F902,"AAAAAH9+tTM=")</f>
        <v>#VALUE!</v>
      </c>
      <c r="BA87" t="e">
        <f>AND(DATA!G902,"AAAAAH9+tTQ=")</f>
        <v>#VALUE!</v>
      </c>
      <c r="BB87" t="e">
        <f>AND(DATA!H902,"AAAAAH9+tTU=")</f>
        <v>#VALUE!</v>
      </c>
      <c r="BC87" t="e">
        <f>AND(DATA!I902,"AAAAAH9+tTY=")</f>
        <v>#VALUE!</v>
      </c>
      <c r="BD87" t="e">
        <f>AND(DATA!J902,"AAAAAH9+tTc=")</f>
        <v>#VALUE!</v>
      </c>
      <c r="BE87" t="e">
        <f>AND(DATA!K902,"AAAAAH9+tTg=")</f>
        <v>#VALUE!</v>
      </c>
      <c r="BF87" t="b">
        <f>AND(DATA!L902,"AAAAAH9+tTk=")</f>
        <v>1</v>
      </c>
      <c r="BG87" t="e">
        <f>AND(DATA!M902,"AAAAAH9+tTo=")</f>
        <v>#VALUE!</v>
      </c>
      <c r="BH87" t="b">
        <f>AND(DATA!N902,"AAAAAH9+tTs=")</f>
        <v>1</v>
      </c>
      <c r="BI87">
        <f>IF(DATA!903:903,"AAAAAH9+tTw=",0)</f>
        <v>0</v>
      </c>
      <c r="BJ87" t="e">
        <f>AND(DATA!A903,"AAAAAH9+tT0=")</f>
        <v>#VALUE!</v>
      </c>
      <c r="BK87" t="e">
        <f>AND(DATA!B903,"AAAAAH9+tT4=")</f>
        <v>#VALUE!</v>
      </c>
      <c r="BL87" t="e">
        <f>AND(DATA!C903,"AAAAAH9+tT8=")</f>
        <v>#VALUE!</v>
      </c>
      <c r="BM87" t="e">
        <f>AND(DATA!D903,"AAAAAH9+tUA=")</f>
        <v>#VALUE!</v>
      </c>
      <c r="BN87" t="e">
        <f>AND(DATA!E903,"AAAAAH9+tUE=")</f>
        <v>#VALUE!</v>
      </c>
      <c r="BO87" t="e">
        <f>AND(DATA!F903,"AAAAAH9+tUI=")</f>
        <v>#VALUE!</v>
      </c>
      <c r="BP87" t="e">
        <f>AND(DATA!G903,"AAAAAH9+tUM=")</f>
        <v>#VALUE!</v>
      </c>
      <c r="BQ87" t="e">
        <f>AND(DATA!H903,"AAAAAH9+tUQ=")</f>
        <v>#VALUE!</v>
      </c>
      <c r="BR87" t="e">
        <f>AND(DATA!I903,"AAAAAH9+tUU=")</f>
        <v>#VALUE!</v>
      </c>
      <c r="BS87" t="e">
        <f>AND(DATA!J903,"AAAAAH9+tUY=")</f>
        <v>#VALUE!</v>
      </c>
      <c r="BT87" t="e">
        <f>AND(DATA!K903,"AAAAAH9+tUc=")</f>
        <v>#VALUE!</v>
      </c>
      <c r="BU87" t="b">
        <f>AND(DATA!L903,"AAAAAH9+tUg=")</f>
        <v>1</v>
      </c>
      <c r="BV87" t="e">
        <f>AND(DATA!M903,"AAAAAH9+tUk=")</f>
        <v>#VALUE!</v>
      </c>
      <c r="BW87" t="b">
        <f>AND(DATA!N903,"AAAAAH9+tUo=")</f>
        <v>1</v>
      </c>
      <c r="BX87">
        <f>IF(DATA!904:904,"AAAAAH9+tUs=",0)</f>
        <v>0</v>
      </c>
      <c r="BY87" t="e">
        <f>AND(DATA!A904,"AAAAAH9+tUw=")</f>
        <v>#VALUE!</v>
      </c>
      <c r="BZ87" t="e">
        <f>AND(DATA!B904,"AAAAAH9+tU0=")</f>
        <v>#VALUE!</v>
      </c>
      <c r="CA87" t="e">
        <f>AND(DATA!C904,"AAAAAH9+tU4=")</f>
        <v>#VALUE!</v>
      </c>
      <c r="CB87" t="e">
        <f>AND(DATA!D904,"AAAAAH9+tU8=")</f>
        <v>#VALUE!</v>
      </c>
      <c r="CC87" t="e">
        <f>AND(DATA!E904,"AAAAAH9+tVA=")</f>
        <v>#VALUE!</v>
      </c>
      <c r="CD87" t="e">
        <f>AND(DATA!F904,"AAAAAH9+tVE=")</f>
        <v>#VALUE!</v>
      </c>
      <c r="CE87" t="e">
        <f>AND(DATA!G904,"AAAAAH9+tVI=")</f>
        <v>#VALUE!</v>
      </c>
      <c r="CF87" t="e">
        <f>AND(DATA!H904,"AAAAAH9+tVM=")</f>
        <v>#VALUE!</v>
      </c>
      <c r="CG87" t="e">
        <f>AND(DATA!I904,"AAAAAH9+tVQ=")</f>
        <v>#VALUE!</v>
      </c>
      <c r="CH87" t="e">
        <f>AND(DATA!J904,"AAAAAH9+tVU=")</f>
        <v>#VALUE!</v>
      </c>
      <c r="CI87" t="e">
        <f>AND(DATA!K904,"AAAAAH9+tVY=")</f>
        <v>#VALUE!</v>
      </c>
      <c r="CJ87" t="b">
        <f>AND(DATA!L904,"AAAAAH9+tVc=")</f>
        <v>1</v>
      </c>
      <c r="CK87" t="e">
        <f>AND(DATA!M904,"AAAAAH9+tVg=")</f>
        <v>#VALUE!</v>
      </c>
      <c r="CL87" t="b">
        <f>AND(DATA!N904,"AAAAAH9+tVk=")</f>
        <v>1</v>
      </c>
      <c r="CM87">
        <f>IF(DATA!905:905,"AAAAAH9+tVo=",0)</f>
        <v>0</v>
      </c>
      <c r="CN87" t="e">
        <f>AND(DATA!A905,"AAAAAH9+tVs=")</f>
        <v>#VALUE!</v>
      </c>
      <c r="CO87" t="e">
        <f>AND(DATA!B905,"AAAAAH9+tVw=")</f>
        <v>#VALUE!</v>
      </c>
      <c r="CP87" t="e">
        <f>AND(DATA!C905,"AAAAAH9+tV0=")</f>
        <v>#VALUE!</v>
      </c>
      <c r="CQ87" t="e">
        <f>AND(DATA!D905,"AAAAAH9+tV4=")</f>
        <v>#VALUE!</v>
      </c>
      <c r="CR87" t="e">
        <f>AND(DATA!E905,"AAAAAH9+tV8=")</f>
        <v>#VALUE!</v>
      </c>
      <c r="CS87" t="e">
        <f>AND(DATA!F905,"AAAAAH9+tWA=")</f>
        <v>#VALUE!</v>
      </c>
      <c r="CT87" t="e">
        <f>AND(DATA!G905,"AAAAAH9+tWE=")</f>
        <v>#VALUE!</v>
      </c>
      <c r="CU87" t="e">
        <f>AND(DATA!H905,"AAAAAH9+tWI=")</f>
        <v>#VALUE!</v>
      </c>
      <c r="CV87" t="e">
        <f>AND(DATA!I905,"AAAAAH9+tWM=")</f>
        <v>#VALUE!</v>
      </c>
      <c r="CW87" t="e">
        <f>AND(DATA!J905,"AAAAAH9+tWQ=")</f>
        <v>#VALUE!</v>
      </c>
      <c r="CX87" t="e">
        <f>AND(DATA!K905,"AAAAAH9+tWU=")</f>
        <v>#VALUE!</v>
      </c>
      <c r="CY87" t="b">
        <f>AND(DATA!L905,"AAAAAH9+tWY=")</f>
        <v>1</v>
      </c>
      <c r="CZ87" t="e">
        <f>AND(DATA!M905,"AAAAAH9+tWc=")</f>
        <v>#VALUE!</v>
      </c>
      <c r="DA87" t="b">
        <f>AND(DATA!N905,"AAAAAH9+tWg=")</f>
        <v>1</v>
      </c>
      <c r="DB87">
        <f>IF(DATA!906:906,"AAAAAH9+tWk=",0)</f>
        <v>0</v>
      </c>
      <c r="DC87" t="e">
        <f>AND(DATA!A906,"AAAAAH9+tWo=")</f>
        <v>#VALUE!</v>
      </c>
      <c r="DD87" t="e">
        <f>AND(DATA!B906,"AAAAAH9+tWs=")</f>
        <v>#VALUE!</v>
      </c>
      <c r="DE87" t="e">
        <f>AND(DATA!C906,"AAAAAH9+tWw=")</f>
        <v>#VALUE!</v>
      </c>
      <c r="DF87" t="e">
        <f>AND(DATA!D906,"AAAAAH9+tW0=")</f>
        <v>#VALUE!</v>
      </c>
      <c r="DG87" t="e">
        <f>AND(DATA!E906,"AAAAAH9+tW4=")</f>
        <v>#VALUE!</v>
      </c>
      <c r="DH87" t="e">
        <f>AND(DATA!F906,"AAAAAH9+tW8=")</f>
        <v>#VALUE!</v>
      </c>
      <c r="DI87" t="e">
        <f>AND(DATA!G906,"AAAAAH9+tXA=")</f>
        <v>#VALUE!</v>
      </c>
      <c r="DJ87" t="e">
        <f>AND(DATA!H906,"AAAAAH9+tXE=")</f>
        <v>#VALUE!</v>
      </c>
      <c r="DK87" t="e">
        <f>AND(DATA!I906,"AAAAAH9+tXI=")</f>
        <v>#VALUE!</v>
      </c>
      <c r="DL87" t="e">
        <f>AND(DATA!J906,"AAAAAH9+tXM=")</f>
        <v>#VALUE!</v>
      </c>
      <c r="DM87" t="e">
        <f>AND(DATA!K906,"AAAAAH9+tXQ=")</f>
        <v>#VALUE!</v>
      </c>
      <c r="DN87" t="b">
        <f>AND(DATA!L906,"AAAAAH9+tXU=")</f>
        <v>1</v>
      </c>
      <c r="DO87" t="e">
        <f>AND(DATA!M906,"AAAAAH9+tXY=")</f>
        <v>#VALUE!</v>
      </c>
      <c r="DP87" t="b">
        <f>AND(DATA!N906,"AAAAAH9+tXc=")</f>
        <v>1</v>
      </c>
      <c r="DQ87">
        <f>IF(DATA!907:907,"AAAAAH9+tXg=",0)</f>
        <v>0</v>
      </c>
      <c r="DR87" t="e">
        <f>AND(DATA!A907,"AAAAAH9+tXk=")</f>
        <v>#VALUE!</v>
      </c>
      <c r="DS87" t="e">
        <f>AND(DATA!B907,"AAAAAH9+tXo=")</f>
        <v>#VALUE!</v>
      </c>
      <c r="DT87" t="e">
        <f>AND(DATA!C907,"AAAAAH9+tXs=")</f>
        <v>#VALUE!</v>
      </c>
      <c r="DU87" t="e">
        <f>AND(DATA!D907,"AAAAAH9+tXw=")</f>
        <v>#VALUE!</v>
      </c>
      <c r="DV87" t="e">
        <f>AND(DATA!E907,"AAAAAH9+tX0=")</f>
        <v>#VALUE!</v>
      </c>
      <c r="DW87" t="e">
        <f>AND(DATA!F907,"AAAAAH9+tX4=")</f>
        <v>#VALUE!</v>
      </c>
      <c r="DX87" t="e">
        <f>AND(DATA!G907,"AAAAAH9+tX8=")</f>
        <v>#VALUE!</v>
      </c>
      <c r="DY87" t="e">
        <f>AND(DATA!H907,"AAAAAH9+tYA=")</f>
        <v>#VALUE!</v>
      </c>
      <c r="DZ87" t="e">
        <f>AND(DATA!I907,"AAAAAH9+tYE=")</f>
        <v>#VALUE!</v>
      </c>
      <c r="EA87" t="e">
        <f>AND(DATA!J907,"AAAAAH9+tYI=")</f>
        <v>#VALUE!</v>
      </c>
      <c r="EB87" t="e">
        <f>AND(DATA!K907,"AAAAAH9+tYM=")</f>
        <v>#VALUE!</v>
      </c>
      <c r="EC87" t="b">
        <f>AND(DATA!L907,"AAAAAH9+tYQ=")</f>
        <v>1</v>
      </c>
      <c r="ED87" t="e">
        <f>AND(DATA!M907,"AAAAAH9+tYU=")</f>
        <v>#VALUE!</v>
      </c>
      <c r="EE87" t="b">
        <f>AND(DATA!N907,"AAAAAH9+tYY=")</f>
        <v>1</v>
      </c>
      <c r="EF87">
        <f>IF(DATA!908:908,"AAAAAH9+tYc=",0)</f>
        <v>0</v>
      </c>
      <c r="EG87" t="e">
        <f>AND(DATA!A908,"AAAAAH9+tYg=")</f>
        <v>#VALUE!</v>
      </c>
      <c r="EH87" t="e">
        <f>AND(DATA!B908,"AAAAAH9+tYk=")</f>
        <v>#VALUE!</v>
      </c>
      <c r="EI87" t="e">
        <f>AND(DATA!C908,"AAAAAH9+tYo=")</f>
        <v>#VALUE!</v>
      </c>
      <c r="EJ87" t="e">
        <f>AND(DATA!D908,"AAAAAH9+tYs=")</f>
        <v>#VALUE!</v>
      </c>
      <c r="EK87" t="e">
        <f>AND(DATA!E908,"AAAAAH9+tYw=")</f>
        <v>#VALUE!</v>
      </c>
      <c r="EL87" t="e">
        <f>AND(DATA!F908,"AAAAAH9+tY0=")</f>
        <v>#VALUE!</v>
      </c>
      <c r="EM87" t="e">
        <f>AND(DATA!G908,"AAAAAH9+tY4=")</f>
        <v>#VALUE!</v>
      </c>
      <c r="EN87" t="e">
        <f>AND(DATA!H908,"AAAAAH9+tY8=")</f>
        <v>#VALUE!</v>
      </c>
      <c r="EO87" t="e">
        <f>AND(DATA!I908,"AAAAAH9+tZA=")</f>
        <v>#VALUE!</v>
      </c>
      <c r="EP87" t="e">
        <f>AND(DATA!J908,"AAAAAH9+tZE=")</f>
        <v>#VALUE!</v>
      </c>
      <c r="EQ87" t="e">
        <f>AND(DATA!K908,"AAAAAH9+tZI=")</f>
        <v>#VALUE!</v>
      </c>
      <c r="ER87" t="b">
        <f>AND(DATA!L908,"AAAAAH9+tZM=")</f>
        <v>1</v>
      </c>
      <c r="ES87" t="e">
        <f>AND(DATA!M908,"AAAAAH9+tZQ=")</f>
        <v>#VALUE!</v>
      </c>
      <c r="ET87" t="b">
        <f>AND(DATA!N908,"AAAAAH9+tZU=")</f>
        <v>1</v>
      </c>
      <c r="EU87">
        <f>IF(DATA!909:909,"AAAAAH9+tZY=",0)</f>
        <v>0</v>
      </c>
      <c r="EV87" t="e">
        <f>AND(DATA!A909,"AAAAAH9+tZc=")</f>
        <v>#VALUE!</v>
      </c>
      <c r="EW87" t="e">
        <f>AND(DATA!B909,"AAAAAH9+tZg=")</f>
        <v>#VALUE!</v>
      </c>
      <c r="EX87" t="e">
        <f>AND(DATA!C909,"AAAAAH9+tZk=")</f>
        <v>#VALUE!</v>
      </c>
      <c r="EY87" t="e">
        <f>AND(DATA!D909,"AAAAAH9+tZo=")</f>
        <v>#VALUE!</v>
      </c>
      <c r="EZ87" t="e">
        <f>AND(DATA!E909,"AAAAAH9+tZs=")</f>
        <v>#VALUE!</v>
      </c>
      <c r="FA87" t="e">
        <f>AND(DATA!F909,"AAAAAH9+tZw=")</f>
        <v>#VALUE!</v>
      </c>
      <c r="FB87" t="e">
        <f>AND(DATA!G909,"AAAAAH9+tZ0=")</f>
        <v>#VALUE!</v>
      </c>
      <c r="FC87" t="e">
        <f>AND(DATA!H909,"AAAAAH9+tZ4=")</f>
        <v>#VALUE!</v>
      </c>
      <c r="FD87" t="e">
        <f>AND(DATA!I909,"AAAAAH9+tZ8=")</f>
        <v>#VALUE!</v>
      </c>
      <c r="FE87" t="e">
        <f>AND(DATA!J909,"AAAAAH9+taA=")</f>
        <v>#VALUE!</v>
      </c>
      <c r="FF87" t="e">
        <f>AND(DATA!K909,"AAAAAH9+taE=")</f>
        <v>#VALUE!</v>
      </c>
      <c r="FG87" t="b">
        <f>AND(DATA!L909,"AAAAAH9+taI=")</f>
        <v>1</v>
      </c>
      <c r="FH87" t="e">
        <f>AND(DATA!M909,"AAAAAH9+taM=")</f>
        <v>#VALUE!</v>
      </c>
      <c r="FI87" t="b">
        <f>AND(DATA!N909,"AAAAAH9+taQ=")</f>
        <v>1</v>
      </c>
      <c r="FJ87">
        <f>IF(DATA!910:910,"AAAAAH9+taU=",0)</f>
        <v>0</v>
      </c>
      <c r="FK87" t="e">
        <f>AND(DATA!A910,"AAAAAH9+taY=")</f>
        <v>#VALUE!</v>
      </c>
      <c r="FL87" t="e">
        <f>AND(DATA!B910,"AAAAAH9+tac=")</f>
        <v>#VALUE!</v>
      </c>
      <c r="FM87" t="e">
        <f>AND(DATA!C910,"AAAAAH9+tag=")</f>
        <v>#VALUE!</v>
      </c>
      <c r="FN87" t="e">
        <f>AND(DATA!D910,"AAAAAH9+tak=")</f>
        <v>#VALUE!</v>
      </c>
      <c r="FO87" t="e">
        <f>AND(DATA!E910,"AAAAAH9+tao=")</f>
        <v>#VALUE!</v>
      </c>
      <c r="FP87" t="e">
        <f>AND(DATA!F910,"AAAAAH9+tas=")</f>
        <v>#VALUE!</v>
      </c>
      <c r="FQ87" t="e">
        <f>AND(DATA!G910,"AAAAAH9+taw=")</f>
        <v>#VALUE!</v>
      </c>
      <c r="FR87" t="e">
        <f>AND(DATA!H910,"AAAAAH9+ta0=")</f>
        <v>#VALUE!</v>
      </c>
      <c r="FS87" t="e">
        <f>AND(DATA!I910,"AAAAAH9+ta4=")</f>
        <v>#VALUE!</v>
      </c>
      <c r="FT87" t="e">
        <f>AND(DATA!J910,"AAAAAH9+ta8=")</f>
        <v>#VALUE!</v>
      </c>
      <c r="FU87" t="e">
        <f>AND(DATA!K910,"AAAAAH9+tbA=")</f>
        <v>#VALUE!</v>
      </c>
      <c r="FV87" t="b">
        <f>AND(DATA!L910,"AAAAAH9+tbE=")</f>
        <v>1</v>
      </c>
      <c r="FW87" t="e">
        <f>AND(DATA!M910,"AAAAAH9+tbI=")</f>
        <v>#VALUE!</v>
      </c>
      <c r="FX87" t="b">
        <f>AND(DATA!N910,"AAAAAH9+tbM=")</f>
        <v>1</v>
      </c>
      <c r="FY87">
        <f>IF(DATA!911:911,"AAAAAH9+tbQ=",0)</f>
        <v>0</v>
      </c>
      <c r="FZ87" t="e">
        <f>AND(DATA!A911,"AAAAAH9+tbU=")</f>
        <v>#VALUE!</v>
      </c>
      <c r="GA87" t="e">
        <f>AND(DATA!B911,"AAAAAH9+tbY=")</f>
        <v>#VALUE!</v>
      </c>
      <c r="GB87" t="e">
        <f>AND(DATA!C911,"AAAAAH9+tbc=")</f>
        <v>#VALUE!</v>
      </c>
      <c r="GC87" t="e">
        <f>AND(DATA!D911,"AAAAAH9+tbg=")</f>
        <v>#VALUE!</v>
      </c>
      <c r="GD87" t="e">
        <f>AND(DATA!E911,"AAAAAH9+tbk=")</f>
        <v>#VALUE!</v>
      </c>
      <c r="GE87" t="e">
        <f>AND(DATA!F911,"AAAAAH9+tbo=")</f>
        <v>#VALUE!</v>
      </c>
      <c r="GF87" t="e">
        <f>AND(DATA!G911,"AAAAAH9+tbs=")</f>
        <v>#VALUE!</v>
      </c>
      <c r="GG87" t="e">
        <f>AND(DATA!H911,"AAAAAH9+tbw=")</f>
        <v>#VALUE!</v>
      </c>
      <c r="GH87" t="e">
        <f>AND(DATA!I911,"AAAAAH9+tb0=")</f>
        <v>#VALUE!</v>
      </c>
      <c r="GI87" t="e">
        <f>AND(DATA!J911,"AAAAAH9+tb4=")</f>
        <v>#VALUE!</v>
      </c>
      <c r="GJ87" t="e">
        <f>AND(DATA!K911,"AAAAAH9+tb8=")</f>
        <v>#VALUE!</v>
      </c>
      <c r="GK87" t="b">
        <f>AND(DATA!L911,"AAAAAH9+tcA=")</f>
        <v>1</v>
      </c>
      <c r="GL87" t="e">
        <f>AND(DATA!M911,"AAAAAH9+tcE=")</f>
        <v>#VALUE!</v>
      </c>
      <c r="GM87" t="b">
        <f>AND(DATA!N911,"AAAAAH9+tcI=")</f>
        <v>1</v>
      </c>
      <c r="GN87">
        <f>IF(DATA!912:912,"AAAAAH9+tcM=",0)</f>
        <v>0</v>
      </c>
      <c r="GO87" t="e">
        <f>AND(DATA!A912,"AAAAAH9+tcQ=")</f>
        <v>#VALUE!</v>
      </c>
      <c r="GP87" t="e">
        <f>AND(DATA!B912,"AAAAAH9+tcU=")</f>
        <v>#VALUE!</v>
      </c>
      <c r="GQ87" t="e">
        <f>AND(DATA!C912,"AAAAAH9+tcY=")</f>
        <v>#VALUE!</v>
      </c>
      <c r="GR87" t="e">
        <f>AND(DATA!D912,"AAAAAH9+tcc=")</f>
        <v>#VALUE!</v>
      </c>
      <c r="GS87" t="e">
        <f>AND(DATA!E912,"AAAAAH9+tcg=")</f>
        <v>#VALUE!</v>
      </c>
      <c r="GT87" t="e">
        <f>AND(DATA!F912,"AAAAAH9+tck=")</f>
        <v>#VALUE!</v>
      </c>
      <c r="GU87" t="e">
        <f>AND(DATA!G912,"AAAAAH9+tco=")</f>
        <v>#VALUE!</v>
      </c>
      <c r="GV87" t="e">
        <f>AND(DATA!H912,"AAAAAH9+tcs=")</f>
        <v>#VALUE!</v>
      </c>
      <c r="GW87" t="e">
        <f>AND(DATA!I912,"AAAAAH9+tcw=")</f>
        <v>#VALUE!</v>
      </c>
      <c r="GX87" t="e">
        <f>AND(DATA!J912,"AAAAAH9+tc0=")</f>
        <v>#VALUE!</v>
      </c>
      <c r="GY87" t="e">
        <f>AND(DATA!K912,"AAAAAH9+tc4=")</f>
        <v>#VALUE!</v>
      </c>
      <c r="GZ87" t="b">
        <f>AND(DATA!L912,"AAAAAH9+tc8=")</f>
        <v>1</v>
      </c>
      <c r="HA87" t="e">
        <f>AND(DATA!M912,"AAAAAH9+tdA=")</f>
        <v>#VALUE!</v>
      </c>
      <c r="HB87" t="b">
        <f>AND(DATA!N912,"AAAAAH9+tdE=")</f>
        <v>1</v>
      </c>
      <c r="HC87">
        <f>IF(DATA!913:913,"AAAAAH9+tdI=",0)</f>
        <v>0</v>
      </c>
      <c r="HD87" t="e">
        <f>AND(DATA!A913,"AAAAAH9+tdM=")</f>
        <v>#VALUE!</v>
      </c>
      <c r="HE87" t="e">
        <f>AND(DATA!B913,"AAAAAH9+tdQ=")</f>
        <v>#VALUE!</v>
      </c>
      <c r="HF87" t="e">
        <f>AND(DATA!C913,"AAAAAH9+tdU=")</f>
        <v>#VALUE!</v>
      </c>
      <c r="HG87" t="e">
        <f>AND(DATA!D913,"AAAAAH9+tdY=")</f>
        <v>#VALUE!</v>
      </c>
      <c r="HH87" t="e">
        <f>AND(DATA!E913,"AAAAAH9+tdc=")</f>
        <v>#VALUE!</v>
      </c>
      <c r="HI87" t="e">
        <f>AND(DATA!F913,"AAAAAH9+tdg=")</f>
        <v>#VALUE!</v>
      </c>
      <c r="HJ87" t="e">
        <f>AND(DATA!G913,"AAAAAH9+tdk=")</f>
        <v>#VALUE!</v>
      </c>
      <c r="HK87" t="e">
        <f>AND(DATA!H913,"AAAAAH9+tdo=")</f>
        <v>#VALUE!</v>
      </c>
      <c r="HL87" t="e">
        <f>AND(DATA!I913,"AAAAAH9+tds=")</f>
        <v>#VALUE!</v>
      </c>
      <c r="HM87" t="e">
        <f>AND(DATA!J913,"AAAAAH9+tdw=")</f>
        <v>#VALUE!</v>
      </c>
      <c r="HN87" t="e">
        <f>AND(DATA!K913,"AAAAAH9+td0=")</f>
        <v>#VALUE!</v>
      </c>
      <c r="HO87" t="b">
        <f>AND(DATA!L913,"AAAAAH9+td4=")</f>
        <v>1</v>
      </c>
      <c r="HP87" t="e">
        <f>AND(DATA!M913,"AAAAAH9+td8=")</f>
        <v>#VALUE!</v>
      </c>
      <c r="HQ87" t="b">
        <f>AND(DATA!N913,"AAAAAH9+teA=")</f>
        <v>1</v>
      </c>
      <c r="HR87">
        <f>IF(DATA!914:914,"AAAAAH9+teE=",0)</f>
        <v>0</v>
      </c>
      <c r="HS87" t="e">
        <f>AND(DATA!A914,"AAAAAH9+teI=")</f>
        <v>#VALUE!</v>
      </c>
      <c r="HT87" t="e">
        <f>AND(DATA!B914,"AAAAAH9+teM=")</f>
        <v>#VALUE!</v>
      </c>
      <c r="HU87" t="e">
        <f>AND(DATA!C914,"AAAAAH9+teQ=")</f>
        <v>#VALUE!</v>
      </c>
      <c r="HV87" t="e">
        <f>AND(DATA!D914,"AAAAAH9+teU=")</f>
        <v>#VALUE!</v>
      </c>
      <c r="HW87" t="e">
        <f>AND(DATA!E914,"AAAAAH9+teY=")</f>
        <v>#VALUE!</v>
      </c>
      <c r="HX87" t="e">
        <f>AND(DATA!F914,"AAAAAH9+tec=")</f>
        <v>#VALUE!</v>
      </c>
      <c r="HY87" t="e">
        <f>AND(DATA!G914,"AAAAAH9+teg=")</f>
        <v>#VALUE!</v>
      </c>
      <c r="HZ87" t="e">
        <f>AND(DATA!H914,"AAAAAH9+tek=")</f>
        <v>#VALUE!</v>
      </c>
      <c r="IA87" t="e">
        <f>AND(DATA!I914,"AAAAAH9+teo=")</f>
        <v>#VALUE!</v>
      </c>
      <c r="IB87" t="e">
        <f>AND(DATA!J914,"AAAAAH9+tes=")</f>
        <v>#VALUE!</v>
      </c>
      <c r="IC87" t="e">
        <f>AND(DATA!K914,"AAAAAH9+tew=")</f>
        <v>#VALUE!</v>
      </c>
      <c r="ID87" t="b">
        <f>AND(DATA!L914,"AAAAAH9+te0=")</f>
        <v>1</v>
      </c>
      <c r="IE87" t="e">
        <f>AND(DATA!M914,"AAAAAH9+te4=")</f>
        <v>#VALUE!</v>
      </c>
      <c r="IF87" t="b">
        <f>AND(DATA!N914,"AAAAAH9+te8=")</f>
        <v>1</v>
      </c>
      <c r="IG87">
        <f>IF(DATA!915:915,"AAAAAH9+tfA=",0)</f>
        <v>0</v>
      </c>
      <c r="IH87" t="e">
        <f>AND(DATA!A915,"AAAAAH9+tfE=")</f>
        <v>#VALUE!</v>
      </c>
      <c r="II87" t="e">
        <f>AND(DATA!B915,"AAAAAH9+tfI=")</f>
        <v>#VALUE!</v>
      </c>
      <c r="IJ87" t="e">
        <f>AND(DATA!C915,"AAAAAH9+tfM=")</f>
        <v>#VALUE!</v>
      </c>
      <c r="IK87" t="e">
        <f>AND(DATA!D915,"AAAAAH9+tfQ=")</f>
        <v>#VALUE!</v>
      </c>
      <c r="IL87" t="e">
        <f>AND(DATA!E915,"AAAAAH9+tfU=")</f>
        <v>#VALUE!</v>
      </c>
      <c r="IM87" t="e">
        <f>AND(DATA!F915,"AAAAAH9+tfY=")</f>
        <v>#VALUE!</v>
      </c>
      <c r="IN87" t="e">
        <f>AND(DATA!G915,"AAAAAH9+tfc=")</f>
        <v>#VALUE!</v>
      </c>
      <c r="IO87" t="e">
        <f>AND(DATA!H915,"AAAAAH9+tfg=")</f>
        <v>#VALUE!</v>
      </c>
      <c r="IP87" t="e">
        <f>AND(DATA!I915,"AAAAAH9+tfk=")</f>
        <v>#VALUE!</v>
      </c>
      <c r="IQ87" t="e">
        <f>AND(DATA!J915,"AAAAAH9+tfo=")</f>
        <v>#VALUE!</v>
      </c>
      <c r="IR87" t="e">
        <f>AND(DATA!K915,"AAAAAH9+tfs=")</f>
        <v>#VALUE!</v>
      </c>
      <c r="IS87" t="b">
        <f>AND(DATA!L915,"AAAAAH9+tfw=")</f>
        <v>1</v>
      </c>
      <c r="IT87" t="e">
        <f>AND(DATA!M915,"AAAAAH9+tf0=")</f>
        <v>#VALUE!</v>
      </c>
      <c r="IU87" t="b">
        <f>AND(DATA!N915,"AAAAAH9+tf4=")</f>
        <v>1</v>
      </c>
      <c r="IV87">
        <f>IF(DATA!916:916,"AAAAAH9+tf8=",0)</f>
        <v>0</v>
      </c>
    </row>
    <row r="88" spans="1:256">
      <c r="A88" t="e">
        <f>AND(DATA!A916,"AAAAAHP8/gA=")</f>
        <v>#VALUE!</v>
      </c>
      <c r="B88" t="e">
        <f>AND(DATA!B916,"AAAAAHP8/gE=")</f>
        <v>#VALUE!</v>
      </c>
      <c r="C88" t="e">
        <f>AND(DATA!C916,"AAAAAHP8/gI=")</f>
        <v>#VALUE!</v>
      </c>
      <c r="D88" t="e">
        <f>AND(DATA!D916,"AAAAAHP8/gM=")</f>
        <v>#VALUE!</v>
      </c>
      <c r="E88" t="e">
        <f>AND(DATA!E916,"AAAAAHP8/gQ=")</f>
        <v>#VALUE!</v>
      </c>
      <c r="F88" t="e">
        <f>AND(DATA!F916,"AAAAAHP8/gU=")</f>
        <v>#VALUE!</v>
      </c>
      <c r="G88" t="e">
        <f>AND(DATA!G916,"AAAAAHP8/gY=")</f>
        <v>#VALUE!</v>
      </c>
      <c r="H88" t="e">
        <f>AND(DATA!H916,"AAAAAHP8/gc=")</f>
        <v>#VALUE!</v>
      </c>
      <c r="I88" t="e">
        <f>AND(DATA!I916,"AAAAAHP8/gg=")</f>
        <v>#VALUE!</v>
      </c>
      <c r="J88" t="e">
        <f>AND(DATA!J916,"AAAAAHP8/gk=")</f>
        <v>#VALUE!</v>
      </c>
      <c r="K88" t="e">
        <f>AND(DATA!K916,"AAAAAHP8/go=")</f>
        <v>#VALUE!</v>
      </c>
      <c r="L88" t="b">
        <f>AND(DATA!L916,"AAAAAHP8/gs=")</f>
        <v>1</v>
      </c>
      <c r="M88" t="e">
        <f>AND(DATA!M916,"AAAAAHP8/gw=")</f>
        <v>#VALUE!</v>
      </c>
      <c r="N88" t="b">
        <f>AND(DATA!N916,"AAAAAHP8/g0=")</f>
        <v>1</v>
      </c>
      <c r="O88">
        <f>IF(DATA!917:917,"AAAAAHP8/g4=",0)</f>
        <v>0</v>
      </c>
      <c r="P88" t="e">
        <f>AND(DATA!A917,"AAAAAHP8/g8=")</f>
        <v>#VALUE!</v>
      </c>
      <c r="Q88" t="e">
        <f>AND(DATA!B917,"AAAAAHP8/hA=")</f>
        <v>#VALUE!</v>
      </c>
      <c r="R88" t="e">
        <f>AND(DATA!C917,"AAAAAHP8/hE=")</f>
        <v>#VALUE!</v>
      </c>
      <c r="S88" t="e">
        <f>AND(DATA!D917,"AAAAAHP8/hI=")</f>
        <v>#VALUE!</v>
      </c>
      <c r="T88" t="e">
        <f>AND(DATA!E917,"AAAAAHP8/hM=")</f>
        <v>#VALUE!</v>
      </c>
      <c r="U88" t="e">
        <f>AND(DATA!F917,"AAAAAHP8/hQ=")</f>
        <v>#VALUE!</v>
      </c>
      <c r="V88" t="e">
        <f>AND(DATA!G917,"AAAAAHP8/hU=")</f>
        <v>#VALUE!</v>
      </c>
      <c r="W88" t="e">
        <f>AND(DATA!H917,"AAAAAHP8/hY=")</f>
        <v>#VALUE!</v>
      </c>
      <c r="X88" t="e">
        <f>AND(DATA!I917,"AAAAAHP8/hc=")</f>
        <v>#VALUE!</v>
      </c>
      <c r="Y88" t="e">
        <f>AND(DATA!J917,"AAAAAHP8/hg=")</f>
        <v>#VALUE!</v>
      </c>
      <c r="Z88" t="e">
        <f>AND(DATA!K917,"AAAAAHP8/hk=")</f>
        <v>#VALUE!</v>
      </c>
      <c r="AA88" t="b">
        <f>AND(DATA!L917,"AAAAAHP8/ho=")</f>
        <v>1</v>
      </c>
      <c r="AB88" t="e">
        <f>AND(DATA!M917,"AAAAAHP8/hs=")</f>
        <v>#VALUE!</v>
      </c>
      <c r="AC88" t="b">
        <f>AND(DATA!N917,"AAAAAHP8/hw=")</f>
        <v>1</v>
      </c>
      <c r="AD88">
        <f>IF(DATA!918:918,"AAAAAHP8/h0=",0)</f>
        <v>0</v>
      </c>
      <c r="AE88" t="e">
        <f>AND(DATA!A918,"AAAAAHP8/h4=")</f>
        <v>#VALUE!</v>
      </c>
      <c r="AF88" t="e">
        <f>AND(DATA!B918,"AAAAAHP8/h8=")</f>
        <v>#VALUE!</v>
      </c>
      <c r="AG88" t="e">
        <f>AND(DATA!C918,"AAAAAHP8/iA=")</f>
        <v>#VALUE!</v>
      </c>
      <c r="AH88" t="e">
        <f>AND(DATA!D918,"AAAAAHP8/iE=")</f>
        <v>#VALUE!</v>
      </c>
      <c r="AI88" t="e">
        <f>AND(DATA!E918,"AAAAAHP8/iI=")</f>
        <v>#VALUE!</v>
      </c>
      <c r="AJ88" t="e">
        <f>AND(DATA!F918,"AAAAAHP8/iM=")</f>
        <v>#VALUE!</v>
      </c>
      <c r="AK88" t="e">
        <f>AND(DATA!G918,"AAAAAHP8/iQ=")</f>
        <v>#VALUE!</v>
      </c>
      <c r="AL88" t="e">
        <f>AND(DATA!H918,"AAAAAHP8/iU=")</f>
        <v>#VALUE!</v>
      </c>
      <c r="AM88" t="e">
        <f>AND(DATA!I918,"AAAAAHP8/iY=")</f>
        <v>#VALUE!</v>
      </c>
      <c r="AN88" t="e">
        <f>AND(DATA!J918,"AAAAAHP8/ic=")</f>
        <v>#VALUE!</v>
      </c>
      <c r="AO88" t="e">
        <f>AND(DATA!K918,"AAAAAHP8/ig=")</f>
        <v>#VALUE!</v>
      </c>
      <c r="AP88" t="b">
        <f>AND(DATA!L918,"AAAAAHP8/ik=")</f>
        <v>1</v>
      </c>
      <c r="AQ88" t="e">
        <f>AND(DATA!M918,"AAAAAHP8/io=")</f>
        <v>#VALUE!</v>
      </c>
      <c r="AR88" t="b">
        <f>AND(DATA!N918,"AAAAAHP8/is=")</f>
        <v>1</v>
      </c>
      <c r="AS88">
        <f>IF(DATA!919:919,"AAAAAHP8/iw=",0)</f>
        <v>0</v>
      </c>
      <c r="AT88" t="e">
        <f>AND(DATA!A919,"AAAAAHP8/i0=")</f>
        <v>#VALUE!</v>
      </c>
      <c r="AU88" t="e">
        <f>AND(DATA!B919,"AAAAAHP8/i4=")</f>
        <v>#VALUE!</v>
      </c>
      <c r="AV88" t="e">
        <f>AND(DATA!C919,"AAAAAHP8/i8=")</f>
        <v>#VALUE!</v>
      </c>
      <c r="AW88" t="e">
        <f>AND(DATA!D919,"AAAAAHP8/jA=")</f>
        <v>#VALUE!</v>
      </c>
      <c r="AX88" t="e">
        <f>AND(DATA!E919,"AAAAAHP8/jE=")</f>
        <v>#VALUE!</v>
      </c>
      <c r="AY88" t="e">
        <f>AND(DATA!F919,"AAAAAHP8/jI=")</f>
        <v>#VALUE!</v>
      </c>
      <c r="AZ88" t="e">
        <f>AND(DATA!G919,"AAAAAHP8/jM=")</f>
        <v>#VALUE!</v>
      </c>
      <c r="BA88" t="e">
        <f>AND(DATA!H919,"AAAAAHP8/jQ=")</f>
        <v>#VALUE!</v>
      </c>
      <c r="BB88" t="e">
        <f>AND(DATA!I919,"AAAAAHP8/jU=")</f>
        <v>#VALUE!</v>
      </c>
      <c r="BC88" t="e">
        <f>AND(DATA!J919,"AAAAAHP8/jY=")</f>
        <v>#VALUE!</v>
      </c>
      <c r="BD88" t="e">
        <f>AND(DATA!K919,"AAAAAHP8/jc=")</f>
        <v>#VALUE!</v>
      </c>
      <c r="BE88" t="b">
        <f>AND(DATA!L919,"AAAAAHP8/jg=")</f>
        <v>1</v>
      </c>
      <c r="BF88" t="e">
        <f>AND(DATA!M919,"AAAAAHP8/jk=")</f>
        <v>#VALUE!</v>
      </c>
      <c r="BG88" t="b">
        <f>AND(DATA!N919,"AAAAAHP8/jo=")</f>
        <v>1</v>
      </c>
      <c r="BH88">
        <f>IF(DATA!920:920,"AAAAAHP8/js=",0)</f>
        <v>0</v>
      </c>
      <c r="BI88" t="e">
        <f>AND(DATA!A920,"AAAAAHP8/jw=")</f>
        <v>#VALUE!</v>
      </c>
      <c r="BJ88" t="e">
        <f>AND(DATA!B920,"AAAAAHP8/j0=")</f>
        <v>#VALUE!</v>
      </c>
      <c r="BK88" t="e">
        <f>AND(DATA!C920,"AAAAAHP8/j4=")</f>
        <v>#VALUE!</v>
      </c>
      <c r="BL88" t="e">
        <f>AND(DATA!D920,"AAAAAHP8/j8=")</f>
        <v>#VALUE!</v>
      </c>
      <c r="BM88" t="e">
        <f>AND(DATA!E920,"AAAAAHP8/kA=")</f>
        <v>#VALUE!</v>
      </c>
      <c r="BN88" t="e">
        <f>AND(DATA!F920,"AAAAAHP8/kE=")</f>
        <v>#VALUE!</v>
      </c>
      <c r="BO88" t="e">
        <f>AND(DATA!G920,"AAAAAHP8/kI=")</f>
        <v>#VALUE!</v>
      </c>
      <c r="BP88" t="e">
        <f>AND(DATA!H920,"AAAAAHP8/kM=")</f>
        <v>#VALUE!</v>
      </c>
      <c r="BQ88" t="e">
        <f>AND(DATA!I920,"AAAAAHP8/kQ=")</f>
        <v>#VALUE!</v>
      </c>
      <c r="BR88" t="e">
        <f>AND(DATA!J920,"AAAAAHP8/kU=")</f>
        <v>#VALUE!</v>
      </c>
      <c r="BS88" t="e">
        <f>AND(DATA!K920,"AAAAAHP8/kY=")</f>
        <v>#VALUE!</v>
      </c>
      <c r="BT88" t="b">
        <f>AND(DATA!L920,"AAAAAHP8/kc=")</f>
        <v>1</v>
      </c>
      <c r="BU88" t="e">
        <f>AND(DATA!M920,"AAAAAHP8/kg=")</f>
        <v>#VALUE!</v>
      </c>
      <c r="BV88" t="b">
        <f>AND(DATA!N920,"AAAAAHP8/kk=")</f>
        <v>1</v>
      </c>
      <c r="BW88">
        <f>IF(DATA!921:921,"AAAAAHP8/ko=",0)</f>
        <v>0</v>
      </c>
      <c r="BX88" t="e">
        <f>AND(DATA!A921,"AAAAAHP8/ks=")</f>
        <v>#VALUE!</v>
      </c>
      <c r="BY88" t="e">
        <f>AND(DATA!B921,"AAAAAHP8/kw=")</f>
        <v>#VALUE!</v>
      </c>
      <c r="BZ88" t="e">
        <f>AND(DATA!C921,"AAAAAHP8/k0=")</f>
        <v>#VALUE!</v>
      </c>
      <c r="CA88" t="e">
        <f>AND(DATA!D921,"AAAAAHP8/k4=")</f>
        <v>#VALUE!</v>
      </c>
      <c r="CB88" t="e">
        <f>AND(DATA!E921,"AAAAAHP8/k8=")</f>
        <v>#VALUE!</v>
      </c>
      <c r="CC88" t="e">
        <f>AND(DATA!F921,"AAAAAHP8/lA=")</f>
        <v>#VALUE!</v>
      </c>
      <c r="CD88" t="e">
        <f>AND(DATA!G921,"AAAAAHP8/lE=")</f>
        <v>#VALUE!</v>
      </c>
      <c r="CE88" t="e">
        <f>AND(DATA!H921,"AAAAAHP8/lI=")</f>
        <v>#VALUE!</v>
      </c>
      <c r="CF88" t="e">
        <f>AND(DATA!I921,"AAAAAHP8/lM=")</f>
        <v>#VALUE!</v>
      </c>
      <c r="CG88" t="e">
        <f>AND(DATA!J921,"AAAAAHP8/lQ=")</f>
        <v>#VALUE!</v>
      </c>
      <c r="CH88" t="e">
        <f>AND(DATA!K921,"AAAAAHP8/lU=")</f>
        <v>#VALUE!</v>
      </c>
      <c r="CI88" t="b">
        <f>AND(DATA!L921,"AAAAAHP8/lY=")</f>
        <v>1</v>
      </c>
      <c r="CJ88" t="e">
        <f>AND(DATA!M921,"AAAAAHP8/lc=")</f>
        <v>#VALUE!</v>
      </c>
      <c r="CK88" t="b">
        <f>AND(DATA!N921,"AAAAAHP8/lg=")</f>
        <v>1</v>
      </c>
      <c r="CL88">
        <f>IF(DATA!922:922,"AAAAAHP8/lk=",0)</f>
        <v>0</v>
      </c>
      <c r="CM88" t="e">
        <f>AND(DATA!A922,"AAAAAHP8/lo=")</f>
        <v>#VALUE!</v>
      </c>
      <c r="CN88" t="e">
        <f>AND(DATA!B922,"AAAAAHP8/ls=")</f>
        <v>#VALUE!</v>
      </c>
      <c r="CO88" t="e">
        <f>AND(DATA!C922,"AAAAAHP8/lw=")</f>
        <v>#VALUE!</v>
      </c>
      <c r="CP88" t="e">
        <f>AND(DATA!D922,"AAAAAHP8/l0=")</f>
        <v>#VALUE!</v>
      </c>
      <c r="CQ88" t="e">
        <f>AND(DATA!E922,"AAAAAHP8/l4=")</f>
        <v>#VALUE!</v>
      </c>
      <c r="CR88" t="e">
        <f>AND(DATA!F922,"AAAAAHP8/l8=")</f>
        <v>#VALUE!</v>
      </c>
      <c r="CS88" t="e">
        <f>AND(DATA!G922,"AAAAAHP8/mA=")</f>
        <v>#VALUE!</v>
      </c>
      <c r="CT88" t="e">
        <f>AND(DATA!H922,"AAAAAHP8/mE=")</f>
        <v>#VALUE!</v>
      </c>
      <c r="CU88" t="e">
        <f>AND(DATA!I922,"AAAAAHP8/mI=")</f>
        <v>#VALUE!</v>
      </c>
      <c r="CV88" t="e">
        <f>AND(DATA!J922,"AAAAAHP8/mM=")</f>
        <v>#VALUE!</v>
      </c>
      <c r="CW88" t="e">
        <f>AND(DATA!K922,"AAAAAHP8/mQ=")</f>
        <v>#VALUE!</v>
      </c>
      <c r="CX88" t="b">
        <f>AND(DATA!L922,"AAAAAHP8/mU=")</f>
        <v>1</v>
      </c>
      <c r="CY88" t="e">
        <f>AND(DATA!M922,"AAAAAHP8/mY=")</f>
        <v>#VALUE!</v>
      </c>
      <c r="CZ88" t="b">
        <f>AND(DATA!N922,"AAAAAHP8/mc=")</f>
        <v>1</v>
      </c>
      <c r="DA88">
        <f>IF(DATA!923:923,"AAAAAHP8/mg=",0)</f>
        <v>0</v>
      </c>
      <c r="DB88" t="e">
        <f>AND(DATA!A923,"AAAAAHP8/mk=")</f>
        <v>#VALUE!</v>
      </c>
      <c r="DC88" t="e">
        <f>AND(DATA!B923,"AAAAAHP8/mo=")</f>
        <v>#VALUE!</v>
      </c>
      <c r="DD88" t="e">
        <f>AND(DATA!C923,"AAAAAHP8/ms=")</f>
        <v>#VALUE!</v>
      </c>
      <c r="DE88" t="e">
        <f>AND(DATA!D923,"AAAAAHP8/mw=")</f>
        <v>#VALUE!</v>
      </c>
      <c r="DF88" t="e">
        <f>AND(DATA!E923,"AAAAAHP8/m0=")</f>
        <v>#VALUE!</v>
      </c>
      <c r="DG88" t="e">
        <f>AND(DATA!F923,"AAAAAHP8/m4=")</f>
        <v>#VALUE!</v>
      </c>
      <c r="DH88" t="e">
        <f>AND(DATA!G923,"AAAAAHP8/m8=")</f>
        <v>#VALUE!</v>
      </c>
      <c r="DI88" t="e">
        <f>AND(DATA!H923,"AAAAAHP8/nA=")</f>
        <v>#VALUE!</v>
      </c>
      <c r="DJ88" t="e">
        <f>AND(DATA!I923,"AAAAAHP8/nE=")</f>
        <v>#VALUE!</v>
      </c>
      <c r="DK88" t="e">
        <f>AND(DATA!J923,"AAAAAHP8/nI=")</f>
        <v>#VALUE!</v>
      </c>
      <c r="DL88" t="e">
        <f>AND(DATA!K923,"AAAAAHP8/nM=")</f>
        <v>#VALUE!</v>
      </c>
      <c r="DM88" t="b">
        <f>AND(DATA!L923,"AAAAAHP8/nQ=")</f>
        <v>1</v>
      </c>
      <c r="DN88" t="e">
        <f>AND(DATA!M923,"AAAAAHP8/nU=")</f>
        <v>#VALUE!</v>
      </c>
      <c r="DO88" t="b">
        <f>AND(DATA!N923,"AAAAAHP8/nY=")</f>
        <v>1</v>
      </c>
      <c r="DP88">
        <f>IF(DATA!924:924,"AAAAAHP8/nc=",0)</f>
        <v>0</v>
      </c>
      <c r="DQ88" t="e">
        <f>AND(DATA!A924,"AAAAAHP8/ng=")</f>
        <v>#VALUE!</v>
      </c>
      <c r="DR88" t="e">
        <f>AND(DATA!B924,"AAAAAHP8/nk=")</f>
        <v>#VALUE!</v>
      </c>
      <c r="DS88" t="e">
        <f>AND(DATA!C924,"AAAAAHP8/no=")</f>
        <v>#VALUE!</v>
      </c>
      <c r="DT88" t="e">
        <f>AND(DATA!D924,"AAAAAHP8/ns=")</f>
        <v>#VALUE!</v>
      </c>
      <c r="DU88" t="e">
        <f>AND(DATA!E924,"AAAAAHP8/nw=")</f>
        <v>#VALUE!</v>
      </c>
      <c r="DV88" t="e">
        <f>AND(DATA!F924,"AAAAAHP8/n0=")</f>
        <v>#VALUE!</v>
      </c>
      <c r="DW88" t="e">
        <f>AND(DATA!G924,"AAAAAHP8/n4=")</f>
        <v>#VALUE!</v>
      </c>
      <c r="DX88" t="e">
        <f>AND(DATA!H924,"AAAAAHP8/n8=")</f>
        <v>#VALUE!</v>
      </c>
      <c r="DY88" t="e">
        <f>AND(DATA!I924,"AAAAAHP8/oA=")</f>
        <v>#VALUE!</v>
      </c>
      <c r="DZ88" t="e">
        <f>AND(DATA!J924,"AAAAAHP8/oE=")</f>
        <v>#VALUE!</v>
      </c>
      <c r="EA88" t="e">
        <f>AND(DATA!K924,"AAAAAHP8/oI=")</f>
        <v>#VALUE!</v>
      </c>
      <c r="EB88" t="b">
        <f>AND(DATA!L924,"AAAAAHP8/oM=")</f>
        <v>1</v>
      </c>
      <c r="EC88" t="e">
        <f>AND(DATA!M924,"AAAAAHP8/oQ=")</f>
        <v>#VALUE!</v>
      </c>
      <c r="ED88" t="b">
        <f>AND(DATA!N924,"AAAAAHP8/oU=")</f>
        <v>1</v>
      </c>
      <c r="EE88">
        <f>IF(DATA!925:925,"AAAAAHP8/oY=",0)</f>
        <v>0</v>
      </c>
      <c r="EF88" t="e">
        <f>AND(DATA!A925,"AAAAAHP8/oc=")</f>
        <v>#VALUE!</v>
      </c>
      <c r="EG88" t="e">
        <f>AND(DATA!B925,"AAAAAHP8/og=")</f>
        <v>#VALUE!</v>
      </c>
      <c r="EH88" t="e">
        <f>AND(DATA!C925,"AAAAAHP8/ok=")</f>
        <v>#VALUE!</v>
      </c>
      <c r="EI88" t="e">
        <f>AND(DATA!D925,"AAAAAHP8/oo=")</f>
        <v>#VALUE!</v>
      </c>
      <c r="EJ88" t="e">
        <f>AND(DATA!E925,"AAAAAHP8/os=")</f>
        <v>#VALUE!</v>
      </c>
      <c r="EK88" t="e">
        <f>AND(DATA!F925,"AAAAAHP8/ow=")</f>
        <v>#VALUE!</v>
      </c>
      <c r="EL88" t="e">
        <f>AND(DATA!G925,"AAAAAHP8/o0=")</f>
        <v>#VALUE!</v>
      </c>
      <c r="EM88" t="e">
        <f>AND(DATA!H925,"AAAAAHP8/o4=")</f>
        <v>#VALUE!</v>
      </c>
      <c r="EN88" t="e">
        <f>AND(DATA!I925,"AAAAAHP8/o8=")</f>
        <v>#VALUE!</v>
      </c>
      <c r="EO88" t="e">
        <f>AND(DATA!J925,"AAAAAHP8/pA=")</f>
        <v>#VALUE!</v>
      </c>
      <c r="EP88" t="e">
        <f>AND(DATA!K925,"AAAAAHP8/pE=")</f>
        <v>#VALUE!</v>
      </c>
      <c r="EQ88" t="b">
        <f>AND(DATA!L925,"AAAAAHP8/pI=")</f>
        <v>1</v>
      </c>
      <c r="ER88" t="e">
        <f>AND(DATA!M925,"AAAAAHP8/pM=")</f>
        <v>#VALUE!</v>
      </c>
      <c r="ES88" t="b">
        <f>AND(DATA!N925,"AAAAAHP8/pQ=")</f>
        <v>1</v>
      </c>
      <c r="ET88">
        <f>IF(DATA!926:926,"AAAAAHP8/pU=",0)</f>
        <v>0</v>
      </c>
      <c r="EU88" t="e">
        <f>AND(DATA!A926,"AAAAAHP8/pY=")</f>
        <v>#VALUE!</v>
      </c>
      <c r="EV88" t="e">
        <f>AND(DATA!B926,"AAAAAHP8/pc=")</f>
        <v>#VALUE!</v>
      </c>
      <c r="EW88" t="e">
        <f>AND(DATA!C926,"AAAAAHP8/pg=")</f>
        <v>#VALUE!</v>
      </c>
      <c r="EX88" t="e">
        <f>AND(DATA!D926,"AAAAAHP8/pk=")</f>
        <v>#VALUE!</v>
      </c>
      <c r="EY88" t="e">
        <f>AND(DATA!E926,"AAAAAHP8/po=")</f>
        <v>#VALUE!</v>
      </c>
      <c r="EZ88" t="e">
        <f>AND(DATA!F926,"AAAAAHP8/ps=")</f>
        <v>#VALUE!</v>
      </c>
      <c r="FA88" t="e">
        <f>AND(DATA!G926,"AAAAAHP8/pw=")</f>
        <v>#VALUE!</v>
      </c>
      <c r="FB88" t="e">
        <f>AND(DATA!H926,"AAAAAHP8/p0=")</f>
        <v>#VALUE!</v>
      </c>
      <c r="FC88" t="e">
        <f>AND(DATA!I926,"AAAAAHP8/p4=")</f>
        <v>#VALUE!</v>
      </c>
      <c r="FD88" t="e">
        <f>AND(DATA!J926,"AAAAAHP8/p8=")</f>
        <v>#VALUE!</v>
      </c>
      <c r="FE88" t="e">
        <f>AND(DATA!K926,"AAAAAHP8/qA=")</f>
        <v>#VALUE!</v>
      </c>
      <c r="FF88" t="b">
        <f>AND(DATA!L926,"AAAAAHP8/qE=")</f>
        <v>1</v>
      </c>
      <c r="FG88" t="e">
        <f>AND(DATA!M926,"AAAAAHP8/qI=")</f>
        <v>#VALUE!</v>
      </c>
      <c r="FH88" t="b">
        <f>AND(DATA!N926,"AAAAAHP8/qM=")</f>
        <v>1</v>
      </c>
      <c r="FI88">
        <f>IF(DATA!927:927,"AAAAAHP8/qQ=",0)</f>
        <v>0</v>
      </c>
      <c r="FJ88" t="e">
        <f>AND(DATA!A927,"AAAAAHP8/qU=")</f>
        <v>#VALUE!</v>
      </c>
      <c r="FK88" t="e">
        <f>AND(DATA!B927,"AAAAAHP8/qY=")</f>
        <v>#VALUE!</v>
      </c>
      <c r="FL88" t="e">
        <f>AND(DATA!C927,"AAAAAHP8/qc=")</f>
        <v>#VALUE!</v>
      </c>
      <c r="FM88" t="e">
        <f>AND(DATA!D927,"AAAAAHP8/qg=")</f>
        <v>#VALUE!</v>
      </c>
      <c r="FN88" t="e">
        <f>AND(DATA!E927,"AAAAAHP8/qk=")</f>
        <v>#VALUE!</v>
      </c>
      <c r="FO88" t="e">
        <f>AND(DATA!F927,"AAAAAHP8/qo=")</f>
        <v>#VALUE!</v>
      </c>
      <c r="FP88" t="e">
        <f>AND(DATA!G927,"AAAAAHP8/qs=")</f>
        <v>#VALUE!</v>
      </c>
      <c r="FQ88" t="e">
        <f>AND(DATA!H927,"AAAAAHP8/qw=")</f>
        <v>#VALUE!</v>
      </c>
      <c r="FR88" t="e">
        <f>AND(DATA!I927,"AAAAAHP8/q0=")</f>
        <v>#VALUE!</v>
      </c>
      <c r="FS88" t="e">
        <f>AND(DATA!J927,"AAAAAHP8/q4=")</f>
        <v>#VALUE!</v>
      </c>
      <c r="FT88" t="e">
        <f>AND(DATA!K927,"AAAAAHP8/q8=")</f>
        <v>#VALUE!</v>
      </c>
      <c r="FU88" t="b">
        <f>AND(DATA!L927,"AAAAAHP8/rA=")</f>
        <v>1</v>
      </c>
      <c r="FV88" t="e">
        <f>AND(DATA!M927,"AAAAAHP8/rE=")</f>
        <v>#VALUE!</v>
      </c>
      <c r="FW88" t="b">
        <f>AND(DATA!N927,"AAAAAHP8/rI=")</f>
        <v>1</v>
      </c>
      <c r="FX88">
        <f>IF(DATA!928:928,"AAAAAHP8/rM=",0)</f>
        <v>0</v>
      </c>
      <c r="FY88" t="e">
        <f>AND(DATA!A928,"AAAAAHP8/rQ=")</f>
        <v>#VALUE!</v>
      </c>
      <c r="FZ88" t="e">
        <f>AND(DATA!B928,"AAAAAHP8/rU=")</f>
        <v>#VALUE!</v>
      </c>
      <c r="GA88" t="e">
        <f>AND(DATA!C928,"AAAAAHP8/rY=")</f>
        <v>#VALUE!</v>
      </c>
      <c r="GB88" t="e">
        <f>AND(DATA!D928,"AAAAAHP8/rc=")</f>
        <v>#VALUE!</v>
      </c>
      <c r="GC88" t="e">
        <f>AND(DATA!E928,"AAAAAHP8/rg=")</f>
        <v>#VALUE!</v>
      </c>
      <c r="GD88" t="e">
        <f>AND(DATA!F928,"AAAAAHP8/rk=")</f>
        <v>#VALUE!</v>
      </c>
      <c r="GE88" t="e">
        <f>AND(DATA!G928,"AAAAAHP8/ro=")</f>
        <v>#VALUE!</v>
      </c>
      <c r="GF88" t="e">
        <f>AND(DATA!H928,"AAAAAHP8/rs=")</f>
        <v>#VALUE!</v>
      </c>
      <c r="GG88" t="e">
        <f>AND(DATA!I928,"AAAAAHP8/rw=")</f>
        <v>#VALUE!</v>
      </c>
      <c r="GH88" t="e">
        <f>AND(DATA!J928,"AAAAAHP8/r0=")</f>
        <v>#VALUE!</v>
      </c>
      <c r="GI88" t="e">
        <f>AND(DATA!K928,"AAAAAHP8/r4=")</f>
        <v>#VALUE!</v>
      </c>
      <c r="GJ88" t="b">
        <f>AND(DATA!L928,"AAAAAHP8/r8=")</f>
        <v>1</v>
      </c>
      <c r="GK88" t="e">
        <f>AND(DATA!M928,"AAAAAHP8/sA=")</f>
        <v>#VALUE!</v>
      </c>
      <c r="GL88" t="b">
        <f>AND(DATA!N928,"AAAAAHP8/sE=")</f>
        <v>1</v>
      </c>
      <c r="GM88">
        <f>IF(DATA!929:929,"AAAAAHP8/sI=",0)</f>
        <v>0</v>
      </c>
      <c r="GN88" t="e">
        <f>AND(DATA!A929,"AAAAAHP8/sM=")</f>
        <v>#VALUE!</v>
      </c>
      <c r="GO88" t="e">
        <f>AND(DATA!B929,"AAAAAHP8/sQ=")</f>
        <v>#VALUE!</v>
      </c>
      <c r="GP88" t="e">
        <f>AND(DATA!C929,"AAAAAHP8/sU=")</f>
        <v>#VALUE!</v>
      </c>
      <c r="GQ88" t="e">
        <f>AND(DATA!D929,"AAAAAHP8/sY=")</f>
        <v>#VALUE!</v>
      </c>
      <c r="GR88" t="e">
        <f>AND(DATA!E929,"AAAAAHP8/sc=")</f>
        <v>#VALUE!</v>
      </c>
      <c r="GS88" t="e">
        <f>AND(DATA!F929,"AAAAAHP8/sg=")</f>
        <v>#VALUE!</v>
      </c>
      <c r="GT88" t="e">
        <f>AND(DATA!G929,"AAAAAHP8/sk=")</f>
        <v>#VALUE!</v>
      </c>
      <c r="GU88" t="e">
        <f>AND(DATA!H929,"AAAAAHP8/so=")</f>
        <v>#VALUE!</v>
      </c>
      <c r="GV88" t="e">
        <f>AND(DATA!I929,"AAAAAHP8/ss=")</f>
        <v>#VALUE!</v>
      </c>
      <c r="GW88" t="e">
        <f>AND(DATA!J929,"AAAAAHP8/sw=")</f>
        <v>#VALUE!</v>
      </c>
      <c r="GX88" t="e">
        <f>AND(DATA!K929,"AAAAAHP8/s0=")</f>
        <v>#VALUE!</v>
      </c>
      <c r="GY88" t="b">
        <f>AND(DATA!L929,"AAAAAHP8/s4=")</f>
        <v>1</v>
      </c>
      <c r="GZ88" t="e">
        <f>AND(DATA!M929,"AAAAAHP8/s8=")</f>
        <v>#VALUE!</v>
      </c>
      <c r="HA88" t="b">
        <f>AND(DATA!N929,"AAAAAHP8/tA=")</f>
        <v>1</v>
      </c>
      <c r="HB88">
        <f>IF(DATA!930:930,"AAAAAHP8/tE=",0)</f>
        <v>0</v>
      </c>
      <c r="HC88" t="e">
        <f>AND(DATA!A930,"AAAAAHP8/tI=")</f>
        <v>#VALUE!</v>
      </c>
      <c r="HD88" t="e">
        <f>AND(DATA!B930,"AAAAAHP8/tM=")</f>
        <v>#VALUE!</v>
      </c>
      <c r="HE88" t="e">
        <f>AND(DATA!C930,"AAAAAHP8/tQ=")</f>
        <v>#VALUE!</v>
      </c>
      <c r="HF88" t="e">
        <f>AND(DATA!D930,"AAAAAHP8/tU=")</f>
        <v>#VALUE!</v>
      </c>
      <c r="HG88" t="e">
        <f>AND(DATA!E930,"AAAAAHP8/tY=")</f>
        <v>#VALUE!</v>
      </c>
      <c r="HH88" t="e">
        <f>AND(DATA!F930,"AAAAAHP8/tc=")</f>
        <v>#VALUE!</v>
      </c>
      <c r="HI88" t="e">
        <f>AND(DATA!G930,"AAAAAHP8/tg=")</f>
        <v>#VALUE!</v>
      </c>
      <c r="HJ88" t="e">
        <f>AND(DATA!H930,"AAAAAHP8/tk=")</f>
        <v>#VALUE!</v>
      </c>
      <c r="HK88" t="e">
        <f>AND(DATA!I930,"AAAAAHP8/to=")</f>
        <v>#VALUE!</v>
      </c>
      <c r="HL88" t="e">
        <f>AND(DATA!J930,"AAAAAHP8/ts=")</f>
        <v>#VALUE!</v>
      </c>
      <c r="HM88" t="e">
        <f>AND(DATA!K930,"AAAAAHP8/tw=")</f>
        <v>#VALUE!</v>
      </c>
      <c r="HN88" t="b">
        <f>AND(DATA!L930,"AAAAAHP8/t0=")</f>
        <v>1</v>
      </c>
      <c r="HO88" t="e">
        <f>AND(DATA!M930,"AAAAAHP8/t4=")</f>
        <v>#VALUE!</v>
      </c>
      <c r="HP88" t="b">
        <f>AND(DATA!N930,"AAAAAHP8/t8=")</f>
        <v>1</v>
      </c>
      <c r="HQ88">
        <f>IF(DATA!931:931,"AAAAAHP8/uA=",0)</f>
        <v>0</v>
      </c>
      <c r="HR88" t="e">
        <f>AND(DATA!A931,"AAAAAHP8/uE=")</f>
        <v>#VALUE!</v>
      </c>
      <c r="HS88" t="e">
        <f>AND(DATA!B931,"AAAAAHP8/uI=")</f>
        <v>#VALUE!</v>
      </c>
      <c r="HT88" t="e">
        <f>AND(DATA!C931,"AAAAAHP8/uM=")</f>
        <v>#VALUE!</v>
      </c>
      <c r="HU88" t="e">
        <f>AND(DATA!D931,"AAAAAHP8/uQ=")</f>
        <v>#VALUE!</v>
      </c>
      <c r="HV88" t="e">
        <f>AND(DATA!E931,"AAAAAHP8/uU=")</f>
        <v>#VALUE!</v>
      </c>
      <c r="HW88" t="e">
        <f>AND(DATA!F931,"AAAAAHP8/uY=")</f>
        <v>#VALUE!</v>
      </c>
      <c r="HX88" t="e">
        <f>AND(DATA!G931,"AAAAAHP8/uc=")</f>
        <v>#VALUE!</v>
      </c>
      <c r="HY88" t="e">
        <f>AND(DATA!H931,"AAAAAHP8/ug=")</f>
        <v>#VALUE!</v>
      </c>
      <c r="HZ88" t="e">
        <f>AND(DATA!I931,"AAAAAHP8/uk=")</f>
        <v>#VALUE!</v>
      </c>
      <c r="IA88" t="e">
        <f>AND(DATA!J931,"AAAAAHP8/uo=")</f>
        <v>#VALUE!</v>
      </c>
      <c r="IB88" t="e">
        <f>AND(DATA!K931,"AAAAAHP8/us=")</f>
        <v>#VALUE!</v>
      </c>
      <c r="IC88" t="b">
        <f>AND(DATA!L931,"AAAAAHP8/uw=")</f>
        <v>1</v>
      </c>
      <c r="ID88" t="e">
        <f>AND(DATA!M931,"AAAAAHP8/u0=")</f>
        <v>#VALUE!</v>
      </c>
      <c r="IE88" t="b">
        <f>AND(DATA!N931,"AAAAAHP8/u4=")</f>
        <v>1</v>
      </c>
      <c r="IF88">
        <f>IF(DATA!932:932,"AAAAAHP8/u8=",0)</f>
        <v>0</v>
      </c>
      <c r="IG88" t="e">
        <f>AND(DATA!A932,"AAAAAHP8/vA=")</f>
        <v>#VALUE!</v>
      </c>
      <c r="IH88" t="e">
        <f>AND(DATA!B932,"AAAAAHP8/vE=")</f>
        <v>#VALUE!</v>
      </c>
      <c r="II88" t="e">
        <f>AND(DATA!C932,"AAAAAHP8/vI=")</f>
        <v>#VALUE!</v>
      </c>
      <c r="IJ88" t="e">
        <f>AND(DATA!D932,"AAAAAHP8/vM=")</f>
        <v>#VALUE!</v>
      </c>
      <c r="IK88" t="e">
        <f>AND(DATA!E932,"AAAAAHP8/vQ=")</f>
        <v>#VALUE!</v>
      </c>
      <c r="IL88" t="e">
        <f>AND(DATA!F932,"AAAAAHP8/vU=")</f>
        <v>#VALUE!</v>
      </c>
      <c r="IM88" t="e">
        <f>AND(DATA!G932,"AAAAAHP8/vY=")</f>
        <v>#VALUE!</v>
      </c>
      <c r="IN88" t="e">
        <f>AND(DATA!H932,"AAAAAHP8/vc=")</f>
        <v>#VALUE!</v>
      </c>
      <c r="IO88" t="e">
        <f>AND(DATA!I932,"AAAAAHP8/vg=")</f>
        <v>#VALUE!</v>
      </c>
      <c r="IP88" t="e">
        <f>AND(DATA!J932,"AAAAAHP8/vk=")</f>
        <v>#VALUE!</v>
      </c>
      <c r="IQ88" t="e">
        <f>AND(DATA!K932,"AAAAAHP8/vo=")</f>
        <v>#VALUE!</v>
      </c>
      <c r="IR88" t="b">
        <f>AND(DATA!L932,"AAAAAHP8/vs=")</f>
        <v>1</v>
      </c>
      <c r="IS88" t="e">
        <f>AND(DATA!M932,"AAAAAHP8/vw=")</f>
        <v>#VALUE!</v>
      </c>
      <c r="IT88" t="b">
        <f>AND(DATA!N932,"AAAAAHP8/v0=")</f>
        <v>1</v>
      </c>
      <c r="IU88">
        <f>IF(DATA!933:933,"AAAAAHP8/v4=",0)</f>
        <v>0</v>
      </c>
      <c r="IV88" t="e">
        <f>AND(DATA!A933,"AAAAAHP8/v8=")</f>
        <v>#VALUE!</v>
      </c>
    </row>
    <row r="89" spans="1:256">
      <c r="A89" t="e">
        <f>AND(DATA!B933,"AAAAAFt/uwA=")</f>
        <v>#VALUE!</v>
      </c>
      <c r="B89" t="e">
        <f>AND(DATA!C933,"AAAAAFt/uwE=")</f>
        <v>#VALUE!</v>
      </c>
      <c r="C89" t="e">
        <f>AND(DATA!D933,"AAAAAFt/uwI=")</f>
        <v>#VALUE!</v>
      </c>
      <c r="D89" t="e">
        <f>AND(DATA!E933,"AAAAAFt/uwM=")</f>
        <v>#VALUE!</v>
      </c>
      <c r="E89" t="e">
        <f>AND(DATA!F933,"AAAAAFt/uwQ=")</f>
        <v>#VALUE!</v>
      </c>
      <c r="F89" t="e">
        <f>AND(DATA!G933,"AAAAAFt/uwU=")</f>
        <v>#VALUE!</v>
      </c>
      <c r="G89" t="e">
        <f>AND(DATA!H933,"AAAAAFt/uwY=")</f>
        <v>#VALUE!</v>
      </c>
      <c r="H89" t="e">
        <f>AND(DATA!I933,"AAAAAFt/uwc=")</f>
        <v>#VALUE!</v>
      </c>
      <c r="I89" t="e">
        <f>AND(DATA!J933,"AAAAAFt/uwg=")</f>
        <v>#VALUE!</v>
      </c>
      <c r="J89" t="e">
        <f>AND(DATA!K933,"AAAAAFt/uwk=")</f>
        <v>#VALUE!</v>
      </c>
      <c r="K89" t="b">
        <f>AND(DATA!L933,"AAAAAFt/uwo=")</f>
        <v>1</v>
      </c>
      <c r="L89" t="e">
        <f>AND(DATA!M933,"AAAAAFt/uws=")</f>
        <v>#VALUE!</v>
      </c>
      <c r="M89" t="b">
        <f>AND(DATA!N933,"AAAAAFt/uww=")</f>
        <v>1</v>
      </c>
      <c r="N89" t="str">
        <f>IF(DATA!934:934,"AAAAAFt/uw0=",0)</f>
        <v>AAAAAFt/uw0=</v>
      </c>
      <c r="O89" t="e">
        <f>AND(DATA!A934,"AAAAAFt/uw4=")</f>
        <v>#VALUE!</v>
      </c>
      <c r="P89" t="e">
        <f>AND(DATA!B934,"AAAAAFt/uw8=")</f>
        <v>#VALUE!</v>
      </c>
      <c r="Q89" t="e">
        <f>AND(DATA!C934,"AAAAAFt/uxA=")</f>
        <v>#VALUE!</v>
      </c>
      <c r="R89" t="e">
        <f>AND(DATA!D934,"AAAAAFt/uxE=")</f>
        <v>#VALUE!</v>
      </c>
      <c r="S89" t="e">
        <f>AND(DATA!E934,"AAAAAFt/uxI=")</f>
        <v>#VALUE!</v>
      </c>
      <c r="T89" t="e">
        <f>AND(DATA!F934,"AAAAAFt/uxM=")</f>
        <v>#VALUE!</v>
      </c>
      <c r="U89" t="e">
        <f>AND(DATA!G934,"AAAAAFt/uxQ=")</f>
        <v>#VALUE!</v>
      </c>
      <c r="V89" t="e">
        <f>AND(DATA!H934,"AAAAAFt/uxU=")</f>
        <v>#VALUE!</v>
      </c>
      <c r="W89" t="e">
        <f>AND(DATA!I934,"AAAAAFt/uxY=")</f>
        <v>#VALUE!</v>
      </c>
      <c r="X89" t="e">
        <f>AND(DATA!J934,"AAAAAFt/uxc=")</f>
        <v>#VALUE!</v>
      </c>
      <c r="Y89" t="e">
        <f>AND(DATA!K934,"AAAAAFt/uxg=")</f>
        <v>#VALUE!</v>
      </c>
      <c r="Z89" t="b">
        <f>AND(DATA!L934,"AAAAAFt/uxk=")</f>
        <v>1</v>
      </c>
      <c r="AA89" t="e">
        <f>AND(DATA!M934,"AAAAAFt/uxo=")</f>
        <v>#VALUE!</v>
      </c>
      <c r="AB89" t="b">
        <f>AND(DATA!N934,"AAAAAFt/uxs=")</f>
        <v>1</v>
      </c>
      <c r="AC89">
        <f>IF(DATA!935:935,"AAAAAFt/uxw=",0)</f>
        <v>0</v>
      </c>
      <c r="AD89" t="e">
        <f>AND(DATA!A935,"AAAAAFt/ux0=")</f>
        <v>#VALUE!</v>
      </c>
      <c r="AE89" t="e">
        <f>AND(DATA!B935,"AAAAAFt/ux4=")</f>
        <v>#VALUE!</v>
      </c>
      <c r="AF89" t="e">
        <f>AND(DATA!C935,"AAAAAFt/ux8=")</f>
        <v>#VALUE!</v>
      </c>
      <c r="AG89" t="e">
        <f>AND(DATA!D935,"AAAAAFt/uyA=")</f>
        <v>#VALUE!</v>
      </c>
      <c r="AH89" t="e">
        <f>AND(DATA!E935,"AAAAAFt/uyE=")</f>
        <v>#VALUE!</v>
      </c>
      <c r="AI89" t="e">
        <f>AND(DATA!F935,"AAAAAFt/uyI=")</f>
        <v>#VALUE!</v>
      </c>
      <c r="AJ89" t="e">
        <f>AND(DATA!G935,"AAAAAFt/uyM=")</f>
        <v>#VALUE!</v>
      </c>
      <c r="AK89" t="e">
        <f>AND(DATA!H935,"AAAAAFt/uyQ=")</f>
        <v>#VALUE!</v>
      </c>
      <c r="AL89" t="e">
        <f>AND(DATA!I935,"AAAAAFt/uyU=")</f>
        <v>#VALUE!</v>
      </c>
      <c r="AM89" t="e">
        <f>AND(DATA!J935,"AAAAAFt/uyY=")</f>
        <v>#VALUE!</v>
      </c>
      <c r="AN89" t="e">
        <f>AND(DATA!K935,"AAAAAFt/uyc=")</f>
        <v>#VALUE!</v>
      </c>
      <c r="AO89" t="b">
        <f>AND(DATA!L935,"AAAAAFt/uyg=")</f>
        <v>1</v>
      </c>
      <c r="AP89" t="e">
        <f>AND(DATA!M935,"AAAAAFt/uyk=")</f>
        <v>#VALUE!</v>
      </c>
      <c r="AQ89" t="b">
        <f>AND(DATA!N935,"AAAAAFt/uyo=")</f>
        <v>1</v>
      </c>
      <c r="AR89">
        <f>IF(DATA!936:936,"AAAAAFt/uys=",0)</f>
        <v>0</v>
      </c>
      <c r="AS89" t="e">
        <f>AND(DATA!A936,"AAAAAFt/uyw=")</f>
        <v>#VALUE!</v>
      </c>
      <c r="AT89" t="e">
        <f>AND(DATA!B936,"AAAAAFt/uy0=")</f>
        <v>#VALUE!</v>
      </c>
      <c r="AU89" t="e">
        <f>AND(DATA!C936,"AAAAAFt/uy4=")</f>
        <v>#VALUE!</v>
      </c>
      <c r="AV89" t="e">
        <f>AND(DATA!D936,"AAAAAFt/uy8=")</f>
        <v>#VALUE!</v>
      </c>
      <c r="AW89" t="e">
        <f>AND(DATA!E936,"AAAAAFt/uzA=")</f>
        <v>#VALUE!</v>
      </c>
      <c r="AX89" t="e">
        <f>AND(DATA!F936,"AAAAAFt/uzE=")</f>
        <v>#VALUE!</v>
      </c>
      <c r="AY89" t="e">
        <f>AND(DATA!G936,"AAAAAFt/uzI=")</f>
        <v>#VALUE!</v>
      </c>
      <c r="AZ89" t="e">
        <f>AND(DATA!H936,"AAAAAFt/uzM=")</f>
        <v>#VALUE!</v>
      </c>
      <c r="BA89" t="e">
        <f>AND(DATA!I936,"AAAAAFt/uzQ=")</f>
        <v>#VALUE!</v>
      </c>
      <c r="BB89" t="e">
        <f>AND(DATA!J936,"AAAAAFt/uzU=")</f>
        <v>#VALUE!</v>
      </c>
      <c r="BC89" t="e">
        <f>AND(DATA!K936,"AAAAAFt/uzY=")</f>
        <v>#VALUE!</v>
      </c>
      <c r="BD89" t="b">
        <f>AND(DATA!L936,"AAAAAFt/uzc=")</f>
        <v>1</v>
      </c>
      <c r="BE89" t="e">
        <f>AND(DATA!M936,"AAAAAFt/uzg=")</f>
        <v>#VALUE!</v>
      </c>
      <c r="BF89" t="b">
        <f>AND(DATA!N936,"AAAAAFt/uzk=")</f>
        <v>1</v>
      </c>
      <c r="BG89">
        <f>IF(DATA!937:937,"AAAAAFt/uzo=",0)</f>
        <v>0</v>
      </c>
      <c r="BH89" t="e">
        <f>AND(DATA!A937,"AAAAAFt/uzs=")</f>
        <v>#VALUE!</v>
      </c>
      <c r="BI89" t="e">
        <f>AND(DATA!B937,"AAAAAFt/uzw=")</f>
        <v>#VALUE!</v>
      </c>
      <c r="BJ89" t="e">
        <f>AND(DATA!C937,"AAAAAFt/uz0=")</f>
        <v>#VALUE!</v>
      </c>
      <c r="BK89" t="e">
        <f>AND(DATA!D937,"AAAAAFt/uz4=")</f>
        <v>#VALUE!</v>
      </c>
      <c r="BL89" t="e">
        <f>AND(DATA!E937,"AAAAAFt/uz8=")</f>
        <v>#VALUE!</v>
      </c>
      <c r="BM89" t="e">
        <f>AND(DATA!F937,"AAAAAFt/u0A=")</f>
        <v>#VALUE!</v>
      </c>
      <c r="BN89" t="e">
        <f>AND(DATA!G937,"AAAAAFt/u0E=")</f>
        <v>#VALUE!</v>
      </c>
      <c r="BO89" t="e">
        <f>AND(DATA!H937,"AAAAAFt/u0I=")</f>
        <v>#VALUE!</v>
      </c>
      <c r="BP89" t="e">
        <f>AND(DATA!I937,"AAAAAFt/u0M=")</f>
        <v>#VALUE!</v>
      </c>
      <c r="BQ89" t="e">
        <f>AND(DATA!J937,"AAAAAFt/u0Q=")</f>
        <v>#VALUE!</v>
      </c>
      <c r="BR89" t="e">
        <f>AND(DATA!K937,"AAAAAFt/u0U=")</f>
        <v>#VALUE!</v>
      </c>
      <c r="BS89" t="b">
        <f>AND(DATA!L937,"AAAAAFt/u0Y=")</f>
        <v>1</v>
      </c>
      <c r="BT89" t="e">
        <f>AND(DATA!M937,"AAAAAFt/u0c=")</f>
        <v>#VALUE!</v>
      </c>
      <c r="BU89" t="b">
        <f>AND(DATA!N937,"AAAAAFt/u0g=")</f>
        <v>1</v>
      </c>
      <c r="BV89">
        <f>IF(DATA!938:938,"AAAAAFt/u0k=",0)</f>
        <v>0</v>
      </c>
      <c r="BW89" t="e">
        <f>AND(DATA!A938,"AAAAAFt/u0o=")</f>
        <v>#VALUE!</v>
      </c>
      <c r="BX89" t="e">
        <f>AND(DATA!B938,"AAAAAFt/u0s=")</f>
        <v>#VALUE!</v>
      </c>
      <c r="BY89" t="e">
        <f>AND(DATA!C938,"AAAAAFt/u0w=")</f>
        <v>#VALUE!</v>
      </c>
      <c r="BZ89" t="e">
        <f>AND(DATA!D938,"AAAAAFt/u00=")</f>
        <v>#VALUE!</v>
      </c>
      <c r="CA89" t="e">
        <f>AND(DATA!E938,"AAAAAFt/u04=")</f>
        <v>#VALUE!</v>
      </c>
      <c r="CB89" t="e">
        <f>AND(DATA!F938,"AAAAAFt/u08=")</f>
        <v>#VALUE!</v>
      </c>
      <c r="CC89" t="e">
        <f>AND(DATA!G938,"AAAAAFt/u1A=")</f>
        <v>#VALUE!</v>
      </c>
      <c r="CD89" t="e">
        <f>AND(DATA!H938,"AAAAAFt/u1E=")</f>
        <v>#VALUE!</v>
      </c>
      <c r="CE89" t="e">
        <f>AND(DATA!I938,"AAAAAFt/u1I=")</f>
        <v>#VALUE!</v>
      </c>
      <c r="CF89" t="e">
        <f>AND(DATA!J938,"AAAAAFt/u1M=")</f>
        <v>#VALUE!</v>
      </c>
      <c r="CG89" t="e">
        <f>AND(DATA!K938,"AAAAAFt/u1Q=")</f>
        <v>#VALUE!</v>
      </c>
      <c r="CH89" t="b">
        <f>AND(DATA!L938,"AAAAAFt/u1U=")</f>
        <v>1</v>
      </c>
      <c r="CI89" t="e">
        <f>AND(DATA!M938,"AAAAAFt/u1Y=")</f>
        <v>#VALUE!</v>
      </c>
      <c r="CJ89" t="b">
        <f>AND(DATA!N938,"AAAAAFt/u1c=")</f>
        <v>1</v>
      </c>
      <c r="CK89">
        <f>IF(DATA!939:939,"AAAAAFt/u1g=",0)</f>
        <v>0</v>
      </c>
      <c r="CL89" t="e">
        <f>AND(DATA!A939,"AAAAAFt/u1k=")</f>
        <v>#VALUE!</v>
      </c>
      <c r="CM89" t="e">
        <f>AND(DATA!B939,"AAAAAFt/u1o=")</f>
        <v>#VALUE!</v>
      </c>
      <c r="CN89" t="e">
        <f>AND(DATA!C939,"AAAAAFt/u1s=")</f>
        <v>#VALUE!</v>
      </c>
      <c r="CO89" t="e">
        <f>AND(DATA!D939,"AAAAAFt/u1w=")</f>
        <v>#VALUE!</v>
      </c>
      <c r="CP89" t="e">
        <f>AND(DATA!E939,"AAAAAFt/u10=")</f>
        <v>#VALUE!</v>
      </c>
      <c r="CQ89" t="e">
        <f>AND(DATA!F939,"AAAAAFt/u14=")</f>
        <v>#VALUE!</v>
      </c>
      <c r="CR89" t="e">
        <f>AND(DATA!G939,"AAAAAFt/u18=")</f>
        <v>#VALUE!</v>
      </c>
      <c r="CS89" t="e">
        <f>AND(DATA!H939,"AAAAAFt/u2A=")</f>
        <v>#VALUE!</v>
      </c>
      <c r="CT89" t="e">
        <f>AND(DATA!I939,"AAAAAFt/u2E=")</f>
        <v>#VALUE!</v>
      </c>
      <c r="CU89" t="e">
        <f>AND(DATA!J939,"AAAAAFt/u2I=")</f>
        <v>#VALUE!</v>
      </c>
      <c r="CV89" t="e">
        <f>AND(DATA!K939,"AAAAAFt/u2M=")</f>
        <v>#VALUE!</v>
      </c>
      <c r="CW89" t="b">
        <f>AND(DATA!L939,"AAAAAFt/u2Q=")</f>
        <v>1</v>
      </c>
      <c r="CX89" t="e">
        <f>AND(DATA!M939,"AAAAAFt/u2U=")</f>
        <v>#VALUE!</v>
      </c>
      <c r="CY89" t="b">
        <f>AND(DATA!N939,"AAAAAFt/u2Y=")</f>
        <v>1</v>
      </c>
      <c r="CZ89">
        <f>IF(DATA!940:940,"AAAAAFt/u2c=",0)</f>
        <v>0</v>
      </c>
      <c r="DA89" t="e">
        <f>AND(DATA!A940,"AAAAAFt/u2g=")</f>
        <v>#VALUE!</v>
      </c>
      <c r="DB89" t="e">
        <f>AND(DATA!B940,"AAAAAFt/u2k=")</f>
        <v>#VALUE!</v>
      </c>
      <c r="DC89" t="e">
        <f>AND(DATA!C940,"AAAAAFt/u2o=")</f>
        <v>#VALUE!</v>
      </c>
      <c r="DD89" t="e">
        <f>AND(DATA!D940,"AAAAAFt/u2s=")</f>
        <v>#VALUE!</v>
      </c>
      <c r="DE89" t="e">
        <f>AND(DATA!E940,"AAAAAFt/u2w=")</f>
        <v>#VALUE!</v>
      </c>
      <c r="DF89" t="e">
        <f>AND(DATA!F940,"AAAAAFt/u20=")</f>
        <v>#VALUE!</v>
      </c>
      <c r="DG89" t="e">
        <f>AND(DATA!G940,"AAAAAFt/u24=")</f>
        <v>#VALUE!</v>
      </c>
      <c r="DH89" t="e">
        <f>AND(DATA!H940,"AAAAAFt/u28=")</f>
        <v>#VALUE!</v>
      </c>
      <c r="DI89" t="e">
        <f>AND(DATA!I940,"AAAAAFt/u3A=")</f>
        <v>#VALUE!</v>
      </c>
      <c r="DJ89" t="e">
        <f>AND(DATA!J940,"AAAAAFt/u3E=")</f>
        <v>#VALUE!</v>
      </c>
      <c r="DK89" t="e">
        <f>AND(DATA!K940,"AAAAAFt/u3I=")</f>
        <v>#VALUE!</v>
      </c>
      <c r="DL89" t="b">
        <f>AND(DATA!L940,"AAAAAFt/u3M=")</f>
        <v>1</v>
      </c>
      <c r="DM89" t="e">
        <f>AND(DATA!M940,"AAAAAFt/u3Q=")</f>
        <v>#VALUE!</v>
      </c>
      <c r="DN89" t="b">
        <f>AND(DATA!N940,"AAAAAFt/u3U=")</f>
        <v>1</v>
      </c>
      <c r="DO89">
        <f>IF(DATA!941:941,"AAAAAFt/u3Y=",0)</f>
        <v>0</v>
      </c>
      <c r="DP89" t="e">
        <f>AND(DATA!A941,"AAAAAFt/u3c=")</f>
        <v>#VALUE!</v>
      </c>
      <c r="DQ89" t="e">
        <f>AND(DATA!B941,"AAAAAFt/u3g=")</f>
        <v>#VALUE!</v>
      </c>
      <c r="DR89" t="e">
        <f>AND(DATA!C941,"AAAAAFt/u3k=")</f>
        <v>#VALUE!</v>
      </c>
      <c r="DS89" t="e">
        <f>AND(DATA!D941,"AAAAAFt/u3o=")</f>
        <v>#VALUE!</v>
      </c>
      <c r="DT89" t="e">
        <f>AND(DATA!E941,"AAAAAFt/u3s=")</f>
        <v>#VALUE!</v>
      </c>
      <c r="DU89" t="e">
        <f>AND(DATA!F941,"AAAAAFt/u3w=")</f>
        <v>#VALUE!</v>
      </c>
      <c r="DV89" t="e">
        <f>AND(DATA!G941,"AAAAAFt/u30=")</f>
        <v>#VALUE!</v>
      </c>
      <c r="DW89" t="e">
        <f>AND(DATA!H941,"AAAAAFt/u34=")</f>
        <v>#VALUE!</v>
      </c>
      <c r="DX89" t="e">
        <f>AND(DATA!I941,"AAAAAFt/u38=")</f>
        <v>#VALUE!</v>
      </c>
      <c r="DY89" t="e">
        <f>AND(DATA!J941,"AAAAAFt/u4A=")</f>
        <v>#VALUE!</v>
      </c>
      <c r="DZ89" t="e">
        <f>AND(DATA!K941,"AAAAAFt/u4E=")</f>
        <v>#VALUE!</v>
      </c>
      <c r="EA89" t="b">
        <f>AND(DATA!L941,"AAAAAFt/u4I=")</f>
        <v>1</v>
      </c>
      <c r="EB89" t="e">
        <f>AND(DATA!M941,"AAAAAFt/u4M=")</f>
        <v>#VALUE!</v>
      </c>
      <c r="EC89" t="b">
        <f>AND(DATA!N941,"AAAAAFt/u4Q=")</f>
        <v>1</v>
      </c>
      <c r="ED89">
        <f>IF(DATA!942:942,"AAAAAFt/u4U=",0)</f>
        <v>0</v>
      </c>
      <c r="EE89" t="e">
        <f>AND(DATA!A942,"AAAAAFt/u4Y=")</f>
        <v>#VALUE!</v>
      </c>
      <c r="EF89" t="e">
        <f>AND(DATA!B942,"AAAAAFt/u4c=")</f>
        <v>#VALUE!</v>
      </c>
      <c r="EG89" t="e">
        <f>AND(DATA!C942,"AAAAAFt/u4g=")</f>
        <v>#VALUE!</v>
      </c>
      <c r="EH89" t="e">
        <f>AND(DATA!D942,"AAAAAFt/u4k=")</f>
        <v>#VALUE!</v>
      </c>
      <c r="EI89" t="e">
        <f>AND(DATA!E942,"AAAAAFt/u4o=")</f>
        <v>#VALUE!</v>
      </c>
      <c r="EJ89" t="e">
        <f>AND(DATA!F942,"AAAAAFt/u4s=")</f>
        <v>#VALUE!</v>
      </c>
      <c r="EK89" t="e">
        <f>AND(DATA!G942,"AAAAAFt/u4w=")</f>
        <v>#VALUE!</v>
      </c>
      <c r="EL89" t="e">
        <f>AND(DATA!H942,"AAAAAFt/u40=")</f>
        <v>#VALUE!</v>
      </c>
      <c r="EM89" t="e">
        <f>AND(DATA!I942,"AAAAAFt/u44=")</f>
        <v>#VALUE!</v>
      </c>
      <c r="EN89" t="e">
        <f>AND(DATA!J942,"AAAAAFt/u48=")</f>
        <v>#VALUE!</v>
      </c>
      <c r="EO89" t="e">
        <f>AND(DATA!K942,"AAAAAFt/u5A=")</f>
        <v>#VALUE!</v>
      </c>
      <c r="EP89" t="b">
        <f>AND(DATA!L942,"AAAAAFt/u5E=")</f>
        <v>1</v>
      </c>
      <c r="EQ89" t="e">
        <f>AND(DATA!M942,"AAAAAFt/u5I=")</f>
        <v>#VALUE!</v>
      </c>
      <c r="ER89" t="b">
        <f>AND(DATA!N942,"AAAAAFt/u5M=")</f>
        <v>1</v>
      </c>
      <c r="ES89">
        <f>IF(DATA!943:943,"AAAAAFt/u5Q=",0)</f>
        <v>0</v>
      </c>
      <c r="ET89" t="e">
        <f>AND(DATA!A943,"AAAAAFt/u5U=")</f>
        <v>#VALUE!</v>
      </c>
      <c r="EU89" t="e">
        <f>AND(DATA!B943,"AAAAAFt/u5Y=")</f>
        <v>#VALUE!</v>
      </c>
      <c r="EV89" t="e">
        <f>AND(DATA!C943,"AAAAAFt/u5c=")</f>
        <v>#VALUE!</v>
      </c>
      <c r="EW89" t="e">
        <f>AND(DATA!D943,"AAAAAFt/u5g=")</f>
        <v>#VALUE!</v>
      </c>
      <c r="EX89" t="e">
        <f>AND(DATA!E943,"AAAAAFt/u5k=")</f>
        <v>#VALUE!</v>
      </c>
      <c r="EY89" t="e">
        <f>AND(DATA!F943,"AAAAAFt/u5o=")</f>
        <v>#VALUE!</v>
      </c>
      <c r="EZ89" t="e">
        <f>AND(DATA!G943,"AAAAAFt/u5s=")</f>
        <v>#VALUE!</v>
      </c>
      <c r="FA89" t="e">
        <f>AND(DATA!H943,"AAAAAFt/u5w=")</f>
        <v>#VALUE!</v>
      </c>
      <c r="FB89" t="e">
        <f>AND(DATA!I943,"AAAAAFt/u50=")</f>
        <v>#VALUE!</v>
      </c>
      <c r="FC89" t="e">
        <f>AND(DATA!J943,"AAAAAFt/u54=")</f>
        <v>#VALUE!</v>
      </c>
      <c r="FD89" t="e">
        <f>AND(DATA!K943,"AAAAAFt/u58=")</f>
        <v>#VALUE!</v>
      </c>
      <c r="FE89" t="b">
        <f>AND(DATA!L943,"AAAAAFt/u6A=")</f>
        <v>1</v>
      </c>
      <c r="FF89" t="e">
        <f>AND(DATA!M943,"AAAAAFt/u6E=")</f>
        <v>#VALUE!</v>
      </c>
      <c r="FG89" t="b">
        <f>AND(DATA!N943,"AAAAAFt/u6I=")</f>
        <v>1</v>
      </c>
      <c r="FH89">
        <f>IF(DATA!944:944,"AAAAAFt/u6M=",0)</f>
        <v>0</v>
      </c>
      <c r="FI89" t="e">
        <f>AND(DATA!A944,"AAAAAFt/u6Q=")</f>
        <v>#VALUE!</v>
      </c>
      <c r="FJ89" t="e">
        <f>AND(DATA!B944,"AAAAAFt/u6U=")</f>
        <v>#VALUE!</v>
      </c>
      <c r="FK89" t="e">
        <f>AND(DATA!C944,"AAAAAFt/u6Y=")</f>
        <v>#VALUE!</v>
      </c>
      <c r="FL89" t="e">
        <f>AND(DATA!D944,"AAAAAFt/u6c=")</f>
        <v>#VALUE!</v>
      </c>
      <c r="FM89" t="e">
        <f>AND(DATA!E944,"AAAAAFt/u6g=")</f>
        <v>#VALUE!</v>
      </c>
      <c r="FN89" t="e">
        <f>AND(DATA!F944,"AAAAAFt/u6k=")</f>
        <v>#VALUE!</v>
      </c>
      <c r="FO89" t="e">
        <f>AND(DATA!G944,"AAAAAFt/u6o=")</f>
        <v>#VALUE!</v>
      </c>
      <c r="FP89" t="e">
        <f>AND(DATA!H944,"AAAAAFt/u6s=")</f>
        <v>#VALUE!</v>
      </c>
      <c r="FQ89" t="e">
        <f>AND(DATA!I944,"AAAAAFt/u6w=")</f>
        <v>#VALUE!</v>
      </c>
      <c r="FR89" t="e">
        <f>AND(DATA!J944,"AAAAAFt/u60=")</f>
        <v>#VALUE!</v>
      </c>
      <c r="FS89" t="e">
        <f>AND(DATA!K944,"AAAAAFt/u64=")</f>
        <v>#VALUE!</v>
      </c>
      <c r="FT89" t="b">
        <f>AND(DATA!L944,"AAAAAFt/u68=")</f>
        <v>1</v>
      </c>
      <c r="FU89" t="e">
        <f>AND(DATA!M944,"AAAAAFt/u7A=")</f>
        <v>#VALUE!</v>
      </c>
      <c r="FV89" t="b">
        <f>AND(DATA!N944,"AAAAAFt/u7E=")</f>
        <v>1</v>
      </c>
      <c r="FW89">
        <f>IF(DATA!945:945,"AAAAAFt/u7I=",0)</f>
        <v>0</v>
      </c>
      <c r="FX89" t="e">
        <f>AND(DATA!A945,"AAAAAFt/u7M=")</f>
        <v>#VALUE!</v>
      </c>
      <c r="FY89" t="e">
        <f>AND(DATA!B945,"AAAAAFt/u7Q=")</f>
        <v>#VALUE!</v>
      </c>
      <c r="FZ89" t="e">
        <f>AND(DATA!C945,"AAAAAFt/u7U=")</f>
        <v>#VALUE!</v>
      </c>
      <c r="GA89" t="e">
        <f>AND(DATA!D945,"AAAAAFt/u7Y=")</f>
        <v>#VALUE!</v>
      </c>
      <c r="GB89" t="e">
        <f>AND(DATA!E945,"AAAAAFt/u7c=")</f>
        <v>#VALUE!</v>
      </c>
      <c r="GC89" t="e">
        <f>AND(DATA!F945,"AAAAAFt/u7g=")</f>
        <v>#VALUE!</v>
      </c>
      <c r="GD89" t="e">
        <f>AND(DATA!G945,"AAAAAFt/u7k=")</f>
        <v>#VALUE!</v>
      </c>
      <c r="GE89" t="e">
        <f>AND(DATA!H945,"AAAAAFt/u7o=")</f>
        <v>#VALUE!</v>
      </c>
      <c r="GF89" t="e">
        <f>AND(DATA!I945,"AAAAAFt/u7s=")</f>
        <v>#VALUE!</v>
      </c>
      <c r="GG89" t="e">
        <f>AND(DATA!J945,"AAAAAFt/u7w=")</f>
        <v>#VALUE!</v>
      </c>
      <c r="GH89" t="e">
        <f>AND(DATA!K945,"AAAAAFt/u70=")</f>
        <v>#VALUE!</v>
      </c>
      <c r="GI89" t="b">
        <f>AND(DATA!L945,"AAAAAFt/u74=")</f>
        <v>1</v>
      </c>
      <c r="GJ89" t="e">
        <f>AND(DATA!M945,"AAAAAFt/u78=")</f>
        <v>#VALUE!</v>
      </c>
      <c r="GK89" t="b">
        <f>AND(DATA!N945,"AAAAAFt/u8A=")</f>
        <v>1</v>
      </c>
      <c r="GL89">
        <f>IF(DATA!946:946,"AAAAAFt/u8E=",0)</f>
        <v>0</v>
      </c>
      <c r="GM89" t="e">
        <f>AND(DATA!A946,"AAAAAFt/u8I=")</f>
        <v>#VALUE!</v>
      </c>
      <c r="GN89" t="e">
        <f>AND(DATA!B946,"AAAAAFt/u8M=")</f>
        <v>#VALUE!</v>
      </c>
      <c r="GO89" t="e">
        <f>AND(DATA!C946,"AAAAAFt/u8Q=")</f>
        <v>#VALUE!</v>
      </c>
      <c r="GP89" t="e">
        <f>AND(DATA!D946,"AAAAAFt/u8U=")</f>
        <v>#VALUE!</v>
      </c>
      <c r="GQ89" t="e">
        <f>AND(DATA!E946,"AAAAAFt/u8Y=")</f>
        <v>#VALUE!</v>
      </c>
      <c r="GR89" t="e">
        <f>AND(DATA!F946,"AAAAAFt/u8c=")</f>
        <v>#VALUE!</v>
      </c>
      <c r="GS89" t="e">
        <f>AND(DATA!G946,"AAAAAFt/u8g=")</f>
        <v>#VALUE!</v>
      </c>
      <c r="GT89" t="e">
        <f>AND(DATA!H946,"AAAAAFt/u8k=")</f>
        <v>#VALUE!</v>
      </c>
      <c r="GU89" t="e">
        <f>AND(DATA!I946,"AAAAAFt/u8o=")</f>
        <v>#VALUE!</v>
      </c>
      <c r="GV89" t="e">
        <f>AND(DATA!J946,"AAAAAFt/u8s=")</f>
        <v>#VALUE!</v>
      </c>
      <c r="GW89" t="e">
        <f>AND(DATA!K946,"AAAAAFt/u8w=")</f>
        <v>#VALUE!</v>
      </c>
      <c r="GX89" t="b">
        <f>AND(DATA!L946,"AAAAAFt/u80=")</f>
        <v>1</v>
      </c>
      <c r="GY89" t="e">
        <f>AND(DATA!M946,"AAAAAFt/u84=")</f>
        <v>#VALUE!</v>
      </c>
      <c r="GZ89" t="b">
        <f>AND(DATA!N946,"AAAAAFt/u88=")</f>
        <v>1</v>
      </c>
      <c r="HA89">
        <f>IF(DATA!947:947,"AAAAAFt/u9A=",0)</f>
        <v>0</v>
      </c>
      <c r="HB89" t="e">
        <f>AND(DATA!A947,"AAAAAFt/u9E=")</f>
        <v>#VALUE!</v>
      </c>
      <c r="HC89" t="e">
        <f>AND(DATA!B947,"AAAAAFt/u9I=")</f>
        <v>#VALUE!</v>
      </c>
      <c r="HD89" t="e">
        <f>AND(DATA!C947,"AAAAAFt/u9M=")</f>
        <v>#VALUE!</v>
      </c>
      <c r="HE89" t="e">
        <f>AND(DATA!D947,"AAAAAFt/u9Q=")</f>
        <v>#VALUE!</v>
      </c>
      <c r="HF89" t="e">
        <f>AND(DATA!E947,"AAAAAFt/u9U=")</f>
        <v>#VALUE!</v>
      </c>
      <c r="HG89" t="e">
        <f>AND(DATA!F947,"AAAAAFt/u9Y=")</f>
        <v>#VALUE!</v>
      </c>
      <c r="HH89" t="e">
        <f>AND(DATA!G947,"AAAAAFt/u9c=")</f>
        <v>#VALUE!</v>
      </c>
      <c r="HI89" t="e">
        <f>AND(DATA!H947,"AAAAAFt/u9g=")</f>
        <v>#VALUE!</v>
      </c>
      <c r="HJ89" t="e">
        <f>AND(DATA!I947,"AAAAAFt/u9k=")</f>
        <v>#VALUE!</v>
      </c>
      <c r="HK89" t="e">
        <f>AND(DATA!J947,"AAAAAFt/u9o=")</f>
        <v>#VALUE!</v>
      </c>
      <c r="HL89" t="e">
        <f>AND(DATA!K947,"AAAAAFt/u9s=")</f>
        <v>#VALUE!</v>
      </c>
      <c r="HM89" t="b">
        <f>AND(DATA!L947,"AAAAAFt/u9w=")</f>
        <v>1</v>
      </c>
      <c r="HN89" t="e">
        <f>AND(DATA!M947,"AAAAAFt/u90=")</f>
        <v>#VALUE!</v>
      </c>
      <c r="HO89" t="b">
        <f>AND(DATA!N947,"AAAAAFt/u94=")</f>
        <v>1</v>
      </c>
      <c r="HP89">
        <f>IF(DATA!948:948,"AAAAAFt/u98=",0)</f>
        <v>0</v>
      </c>
      <c r="HQ89" t="e">
        <f>AND(DATA!A948,"AAAAAFt/u+A=")</f>
        <v>#VALUE!</v>
      </c>
      <c r="HR89" t="e">
        <f>AND(DATA!B948,"AAAAAFt/u+E=")</f>
        <v>#VALUE!</v>
      </c>
      <c r="HS89" t="e">
        <f>AND(DATA!C948,"AAAAAFt/u+I=")</f>
        <v>#VALUE!</v>
      </c>
      <c r="HT89" t="e">
        <f>AND(DATA!D948,"AAAAAFt/u+M=")</f>
        <v>#VALUE!</v>
      </c>
      <c r="HU89" t="e">
        <f>AND(DATA!E948,"AAAAAFt/u+Q=")</f>
        <v>#VALUE!</v>
      </c>
      <c r="HV89" t="e">
        <f>AND(DATA!F948,"AAAAAFt/u+U=")</f>
        <v>#VALUE!</v>
      </c>
      <c r="HW89" t="e">
        <f>AND(DATA!G948,"AAAAAFt/u+Y=")</f>
        <v>#VALUE!</v>
      </c>
      <c r="HX89" t="e">
        <f>AND(DATA!H948,"AAAAAFt/u+c=")</f>
        <v>#VALUE!</v>
      </c>
      <c r="HY89" t="e">
        <f>AND(DATA!I948,"AAAAAFt/u+g=")</f>
        <v>#VALUE!</v>
      </c>
      <c r="HZ89" t="e">
        <f>AND(DATA!J948,"AAAAAFt/u+k=")</f>
        <v>#VALUE!</v>
      </c>
      <c r="IA89" t="e">
        <f>AND(DATA!K948,"AAAAAFt/u+o=")</f>
        <v>#VALUE!</v>
      </c>
      <c r="IB89" t="b">
        <f>AND(DATA!L948,"AAAAAFt/u+s=")</f>
        <v>1</v>
      </c>
      <c r="IC89" t="e">
        <f>AND(DATA!M948,"AAAAAFt/u+w=")</f>
        <v>#VALUE!</v>
      </c>
      <c r="ID89" t="b">
        <f>AND(DATA!N948,"AAAAAFt/u+0=")</f>
        <v>1</v>
      </c>
      <c r="IE89">
        <f>IF(DATA!949:949,"AAAAAFt/u+4=",0)</f>
        <v>0</v>
      </c>
      <c r="IF89" t="e">
        <f>AND(DATA!A949,"AAAAAFt/u+8=")</f>
        <v>#VALUE!</v>
      </c>
      <c r="IG89" t="e">
        <f>AND(DATA!B949,"AAAAAFt/u/A=")</f>
        <v>#VALUE!</v>
      </c>
      <c r="IH89" t="e">
        <f>AND(DATA!C949,"AAAAAFt/u/E=")</f>
        <v>#VALUE!</v>
      </c>
      <c r="II89" t="e">
        <f>AND(DATA!D949,"AAAAAFt/u/I=")</f>
        <v>#VALUE!</v>
      </c>
      <c r="IJ89" t="e">
        <f>AND(DATA!E949,"AAAAAFt/u/M=")</f>
        <v>#VALUE!</v>
      </c>
      <c r="IK89" t="e">
        <f>AND(DATA!F949,"AAAAAFt/u/Q=")</f>
        <v>#VALUE!</v>
      </c>
      <c r="IL89" t="e">
        <f>AND(DATA!G949,"AAAAAFt/u/U=")</f>
        <v>#VALUE!</v>
      </c>
      <c r="IM89" t="e">
        <f>AND(DATA!H949,"AAAAAFt/u/Y=")</f>
        <v>#VALUE!</v>
      </c>
      <c r="IN89" t="e">
        <f>AND(DATA!I949,"AAAAAFt/u/c=")</f>
        <v>#VALUE!</v>
      </c>
      <c r="IO89" t="e">
        <f>AND(DATA!J949,"AAAAAFt/u/g=")</f>
        <v>#VALUE!</v>
      </c>
      <c r="IP89" t="e">
        <f>AND(DATA!K949,"AAAAAFt/u/k=")</f>
        <v>#VALUE!</v>
      </c>
      <c r="IQ89" t="b">
        <f>AND(DATA!L949,"AAAAAFt/u/o=")</f>
        <v>1</v>
      </c>
      <c r="IR89" t="e">
        <f>AND(DATA!M949,"AAAAAFt/u/s=")</f>
        <v>#VALUE!</v>
      </c>
      <c r="IS89" t="b">
        <f>AND(DATA!N949,"AAAAAFt/u/w=")</f>
        <v>1</v>
      </c>
      <c r="IT89">
        <f>IF(DATA!950:950,"AAAAAFt/u/0=",0)</f>
        <v>0</v>
      </c>
      <c r="IU89" t="e">
        <f>AND(DATA!A950,"AAAAAFt/u/4=")</f>
        <v>#VALUE!</v>
      </c>
      <c r="IV89" t="e">
        <f>AND(DATA!B950,"AAAAAFt/u/8=")</f>
        <v>#VALUE!</v>
      </c>
    </row>
    <row r="90" spans="1:256">
      <c r="A90" t="e">
        <f>AND(DATA!C950,"AAAAAG9duwA=")</f>
        <v>#VALUE!</v>
      </c>
      <c r="B90" t="e">
        <f>AND(DATA!D950,"AAAAAG9duwE=")</f>
        <v>#VALUE!</v>
      </c>
      <c r="C90" t="e">
        <f>AND(DATA!E950,"AAAAAG9duwI=")</f>
        <v>#VALUE!</v>
      </c>
      <c r="D90" t="e">
        <f>AND(DATA!F950,"AAAAAG9duwM=")</f>
        <v>#VALUE!</v>
      </c>
      <c r="E90" t="e">
        <f>AND(DATA!G950,"AAAAAG9duwQ=")</f>
        <v>#VALUE!</v>
      </c>
      <c r="F90" t="e">
        <f>AND(DATA!H950,"AAAAAG9duwU=")</f>
        <v>#VALUE!</v>
      </c>
      <c r="G90" t="e">
        <f>AND(DATA!I950,"AAAAAG9duwY=")</f>
        <v>#VALUE!</v>
      </c>
      <c r="H90" t="e">
        <f>AND(DATA!J950,"AAAAAG9duwc=")</f>
        <v>#VALUE!</v>
      </c>
      <c r="I90" t="e">
        <f>AND(DATA!K950,"AAAAAG9duwg=")</f>
        <v>#VALUE!</v>
      </c>
      <c r="J90" t="b">
        <f>AND(DATA!L950,"AAAAAG9duwk=")</f>
        <v>1</v>
      </c>
      <c r="K90" t="e">
        <f>AND(DATA!M950,"AAAAAG9duwo=")</f>
        <v>#VALUE!</v>
      </c>
      <c r="L90" t="b">
        <f>AND(DATA!N950,"AAAAAG9duws=")</f>
        <v>1</v>
      </c>
      <c r="M90">
        <f>IF(DATA!951:951,"AAAAAG9duww=",0)</f>
        <v>0</v>
      </c>
      <c r="N90" t="e">
        <f>AND(DATA!A951,"AAAAAG9duw0=")</f>
        <v>#VALUE!</v>
      </c>
      <c r="O90" t="e">
        <f>AND(DATA!B951,"AAAAAG9duw4=")</f>
        <v>#VALUE!</v>
      </c>
      <c r="P90" t="e">
        <f>AND(DATA!C951,"AAAAAG9duw8=")</f>
        <v>#VALUE!</v>
      </c>
      <c r="Q90" t="e">
        <f>AND(DATA!D951,"AAAAAG9duxA=")</f>
        <v>#VALUE!</v>
      </c>
      <c r="R90" t="e">
        <f>AND(DATA!E951,"AAAAAG9duxE=")</f>
        <v>#VALUE!</v>
      </c>
      <c r="S90" t="e">
        <f>AND(DATA!F951,"AAAAAG9duxI=")</f>
        <v>#VALUE!</v>
      </c>
      <c r="T90" t="e">
        <f>AND(DATA!G951,"AAAAAG9duxM=")</f>
        <v>#VALUE!</v>
      </c>
      <c r="U90" t="e">
        <f>AND(DATA!H951,"AAAAAG9duxQ=")</f>
        <v>#VALUE!</v>
      </c>
      <c r="V90" t="e">
        <f>AND(DATA!I951,"AAAAAG9duxU=")</f>
        <v>#VALUE!</v>
      </c>
      <c r="W90" t="e">
        <f>AND(DATA!J951,"AAAAAG9duxY=")</f>
        <v>#VALUE!</v>
      </c>
      <c r="X90" t="e">
        <f>AND(DATA!K951,"AAAAAG9duxc=")</f>
        <v>#VALUE!</v>
      </c>
      <c r="Y90" t="b">
        <f>AND(DATA!L951,"AAAAAG9duxg=")</f>
        <v>1</v>
      </c>
      <c r="Z90" t="e">
        <f>AND(DATA!M951,"AAAAAG9duxk=")</f>
        <v>#VALUE!</v>
      </c>
      <c r="AA90" t="b">
        <f>AND(DATA!N951,"AAAAAG9duxo=")</f>
        <v>1</v>
      </c>
      <c r="AB90">
        <f>IF(DATA!952:952,"AAAAAG9duxs=",0)</f>
        <v>0</v>
      </c>
      <c r="AC90" t="e">
        <f>AND(DATA!A952,"AAAAAG9duxw=")</f>
        <v>#VALUE!</v>
      </c>
      <c r="AD90" t="e">
        <f>AND(DATA!B952,"AAAAAG9dux0=")</f>
        <v>#VALUE!</v>
      </c>
      <c r="AE90" t="e">
        <f>AND(DATA!C952,"AAAAAG9dux4=")</f>
        <v>#VALUE!</v>
      </c>
      <c r="AF90" t="e">
        <f>AND(DATA!D952,"AAAAAG9dux8=")</f>
        <v>#VALUE!</v>
      </c>
      <c r="AG90" t="e">
        <f>AND(DATA!E952,"AAAAAG9duyA=")</f>
        <v>#VALUE!</v>
      </c>
      <c r="AH90" t="e">
        <f>AND(DATA!F952,"AAAAAG9duyE=")</f>
        <v>#VALUE!</v>
      </c>
      <c r="AI90" t="e">
        <f>AND(DATA!G952,"AAAAAG9duyI=")</f>
        <v>#VALUE!</v>
      </c>
      <c r="AJ90" t="e">
        <f>AND(DATA!H952,"AAAAAG9duyM=")</f>
        <v>#VALUE!</v>
      </c>
      <c r="AK90" t="e">
        <f>AND(DATA!I952,"AAAAAG9duyQ=")</f>
        <v>#VALUE!</v>
      </c>
      <c r="AL90" t="e">
        <f>AND(DATA!J952,"AAAAAG9duyU=")</f>
        <v>#VALUE!</v>
      </c>
      <c r="AM90" t="e">
        <f>AND(DATA!K952,"AAAAAG9duyY=")</f>
        <v>#VALUE!</v>
      </c>
      <c r="AN90" t="b">
        <f>AND(DATA!L952,"AAAAAG9duyc=")</f>
        <v>1</v>
      </c>
      <c r="AO90" t="e">
        <f>AND(DATA!M952,"AAAAAG9duyg=")</f>
        <v>#VALUE!</v>
      </c>
      <c r="AP90" t="b">
        <f>AND(DATA!N952,"AAAAAG9duyk=")</f>
        <v>1</v>
      </c>
      <c r="AQ90">
        <f>IF(DATA!953:953,"AAAAAG9duyo=",0)</f>
        <v>0</v>
      </c>
      <c r="AR90" t="e">
        <f>AND(DATA!A953,"AAAAAG9duys=")</f>
        <v>#VALUE!</v>
      </c>
      <c r="AS90" t="e">
        <f>AND(DATA!B953,"AAAAAG9duyw=")</f>
        <v>#VALUE!</v>
      </c>
      <c r="AT90" t="e">
        <f>AND(DATA!C953,"AAAAAG9duy0=")</f>
        <v>#VALUE!</v>
      </c>
      <c r="AU90" t="e">
        <f>AND(DATA!D953,"AAAAAG9duy4=")</f>
        <v>#VALUE!</v>
      </c>
      <c r="AV90" t="e">
        <f>AND(DATA!E953,"AAAAAG9duy8=")</f>
        <v>#VALUE!</v>
      </c>
      <c r="AW90" t="e">
        <f>AND(DATA!F953,"AAAAAG9duzA=")</f>
        <v>#VALUE!</v>
      </c>
      <c r="AX90" t="e">
        <f>AND(DATA!G953,"AAAAAG9duzE=")</f>
        <v>#VALUE!</v>
      </c>
      <c r="AY90" t="e">
        <f>AND(DATA!H953,"AAAAAG9duzI=")</f>
        <v>#VALUE!</v>
      </c>
      <c r="AZ90" t="e">
        <f>AND(DATA!I953,"AAAAAG9duzM=")</f>
        <v>#VALUE!</v>
      </c>
      <c r="BA90" t="e">
        <f>AND(DATA!J953,"AAAAAG9duzQ=")</f>
        <v>#VALUE!</v>
      </c>
      <c r="BB90" t="e">
        <f>AND(DATA!K953,"AAAAAG9duzU=")</f>
        <v>#VALUE!</v>
      </c>
      <c r="BC90" t="b">
        <f>AND(DATA!L953,"AAAAAG9duzY=")</f>
        <v>1</v>
      </c>
      <c r="BD90" t="e">
        <f>AND(DATA!M953,"AAAAAG9duzc=")</f>
        <v>#VALUE!</v>
      </c>
      <c r="BE90" t="b">
        <f>AND(DATA!N953,"AAAAAG9duzg=")</f>
        <v>1</v>
      </c>
      <c r="BF90">
        <f>IF(DATA!954:954,"AAAAAG9duzk=",0)</f>
        <v>0</v>
      </c>
      <c r="BG90" t="e">
        <f>AND(DATA!A954,"AAAAAG9duzo=")</f>
        <v>#VALUE!</v>
      </c>
      <c r="BH90" t="e">
        <f>AND(DATA!B954,"AAAAAG9duzs=")</f>
        <v>#VALUE!</v>
      </c>
      <c r="BI90" t="e">
        <f>AND(DATA!C954,"AAAAAG9duzw=")</f>
        <v>#VALUE!</v>
      </c>
      <c r="BJ90" t="e">
        <f>AND(DATA!D954,"AAAAAG9duz0=")</f>
        <v>#VALUE!</v>
      </c>
      <c r="BK90" t="e">
        <f>AND(DATA!E954,"AAAAAG9duz4=")</f>
        <v>#VALUE!</v>
      </c>
      <c r="BL90" t="e">
        <f>AND(DATA!F954,"AAAAAG9duz8=")</f>
        <v>#VALUE!</v>
      </c>
      <c r="BM90" t="e">
        <f>AND(DATA!G954,"AAAAAG9du0A=")</f>
        <v>#VALUE!</v>
      </c>
      <c r="BN90" t="e">
        <f>AND(DATA!H954,"AAAAAG9du0E=")</f>
        <v>#VALUE!</v>
      </c>
      <c r="BO90" t="e">
        <f>AND(DATA!I954,"AAAAAG9du0I=")</f>
        <v>#VALUE!</v>
      </c>
      <c r="BP90" t="e">
        <f>AND(DATA!J954,"AAAAAG9du0M=")</f>
        <v>#VALUE!</v>
      </c>
      <c r="BQ90" t="e">
        <f>AND(DATA!K954,"AAAAAG9du0Q=")</f>
        <v>#VALUE!</v>
      </c>
      <c r="BR90" t="b">
        <f>AND(DATA!L954,"AAAAAG9du0U=")</f>
        <v>1</v>
      </c>
      <c r="BS90" t="e">
        <f>AND(DATA!M954,"AAAAAG9du0Y=")</f>
        <v>#VALUE!</v>
      </c>
      <c r="BT90" t="b">
        <f>AND(DATA!N954,"AAAAAG9du0c=")</f>
        <v>1</v>
      </c>
      <c r="BU90">
        <f>IF(DATA!955:955,"AAAAAG9du0g=",0)</f>
        <v>0</v>
      </c>
      <c r="BV90" t="e">
        <f>AND(DATA!A955,"AAAAAG9du0k=")</f>
        <v>#VALUE!</v>
      </c>
      <c r="BW90" t="e">
        <f>AND(DATA!B955,"AAAAAG9du0o=")</f>
        <v>#VALUE!</v>
      </c>
      <c r="BX90" t="e">
        <f>AND(DATA!C955,"AAAAAG9du0s=")</f>
        <v>#VALUE!</v>
      </c>
      <c r="BY90" t="e">
        <f>AND(DATA!D955,"AAAAAG9du0w=")</f>
        <v>#VALUE!</v>
      </c>
      <c r="BZ90" t="e">
        <f>AND(DATA!E955,"AAAAAG9du00=")</f>
        <v>#VALUE!</v>
      </c>
      <c r="CA90" t="e">
        <f>AND(DATA!F955,"AAAAAG9du04=")</f>
        <v>#VALUE!</v>
      </c>
      <c r="CB90" t="e">
        <f>AND(DATA!G955,"AAAAAG9du08=")</f>
        <v>#VALUE!</v>
      </c>
      <c r="CC90" t="e">
        <f>AND(DATA!H955,"AAAAAG9du1A=")</f>
        <v>#VALUE!</v>
      </c>
      <c r="CD90" t="e">
        <f>AND(DATA!I955,"AAAAAG9du1E=")</f>
        <v>#VALUE!</v>
      </c>
      <c r="CE90" t="e">
        <f>AND(DATA!J955,"AAAAAG9du1I=")</f>
        <v>#VALUE!</v>
      </c>
      <c r="CF90" t="e">
        <f>AND(DATA!K955,"AAAAAG9du1M=")</f>
        <v>#VALUE!</v>
      </c>
      <c r="CG90" t="b">
        <f>AND(DATA!L955,"AAAAAG9du1Q=")</f>
        <v>1</v>
      </c>
      <c r="CH90" t="e">
        <f>AND(DATA!M955,"AAAAAG9du1U=")</f>
        <v>#VALUE!</v>
      </c>
      <c r="CI90" t="b">
        <f>AND(DATA!N955,"AAAAAG9du1Y=")</f>
        <v>1</v>
      </c>
      <c r="CJ90">
        <f>IF(DATA!956:956,"AAAAAG9du1c=",0)</f>
        <v>0</v>
      </c>
      <c r="CK90" t="e">
        <f>AND(DATA!A956,"AAAAAG9du1g=")</f>
        <v>#VALUE!</v>
      </c>
      <c r="CL90" t="e">
        <f>AND(DATA!B956,"AAAAAG9du1k=")</f>
        <v>#VALUE!</v>
      </c>
      <c r="CM90" t="e">
        <f>AND(DATA!C956,"AAAAAG9du1o=")</f>
        <v>#VALUE!</v>
      </c>
      <c r="CN90" t="e">
        <f>AND(DATA!D956,"AAAAAG9du1s=")</f>
        <v>#VALUE!</v>
      </c>
      <c r="CO90" t="e">
        <f>AND(DATA!E956,"AAAAAG9du1w=")</f>
        <v>#VALUE!</v>
      </c>
      <c r="CP90" t="e">
        <f>AND(DATA!F956,"AAAAAG9du10=")</f>
        <v>#VALUE!</v>
      </c>
      <c r="CQ90" t="e">
        <f>AND(DATA!G956,"AAAAAG9du14=")</f>
        <v>#VALUE!</v>
      </c>
      <c r="CR90" t="e">
        <f>AND(DATA!H956,"AAAAAG9du18=")</f>
        <v>#VALUE!</v>
      </c>
      <c r="CS90" t="e">
        <f>AND(DATA!I956,"AAAAAG9du2A=")</f>
        <v>#VALUE!</v>
      </c>
      <c r="CT90" t="e">
        <f>AND(DATA!J956,"AAAAAG9du2E=")</f>
        <v>#VALUE!</v>
      </c>
      <c r="CU90" t="e">
        <f>AND(DATA!K956,"AAAAAG9du2I=")</f>
        <v>#VALUE!</v>
      </c>
      <c r="CV90" t="b">
        <f>AND(DATA!L956,"AAAAAG9du2M=")</f>
        <v>1</v>
      </c>
      <c r="CW90" t="e">
        <f>AND(DATA!M956,"AAAAAG9du2Q=")</f>
        <v>#VALUE!</v>
      </c>
      <c r="CX90" t="b">
        <f>AND(DATA!N956,"AAAAAG9du2U=")</f>
        <v>1</v>
      </c>
      <c r="CY90">
        <f>IF(DATA!957:957,"AAAAAG9du2Y=",0)</f>
        <v>0</v>
      </c>
      <c r="CZ90" t="e">
        <f>AND(DATA!A957,"AAAAAG9du2c=")</f>
        <v>#VALUE!</v>
      </c>
      <c r="DA90" t="e">
        <f>AND(DATA!B957,"AAAAAG9du2g=")</f>
        <v>#VALUE!</v>
      </c>
      <c r="DB90" t="e">
        <f>AND(DATA!C957,"AAAAAG9du2k=")</f>
        <v>#VALUE!</v>
      </c>
      <c r="DC90" t="e">
        <f>AND(DATA!D957,"AAAAAG9du2o=")</f>
        <v>#VALUE!</v>
      </c>
      <c r="DD90" t="e">
        <f>AND(DATA!E957,"AAAAAG9du2s=")</f>
        <v>#VALUE!</v>
      </c>
      <c r="DE90" t="e">
        <f>AND(DATA!F957,"AAAAAG9du2w=")</f>
        <v>#VALUE!</v>
      </c>
      <c r="DF90" t="e">
        <f>AND(DATA!G957,"AAAAAG9du20=")</f>
        <v>#VALUE!</v>
      </c>
      <c r="DG90" t="e">
        <f>AND(DATA!H957,"AAAAAG9du24=")</f>
        <v>#VALUE!</v>
      </c>
      <c r="DH90" t="e">
        <f>AND(DATA!I957,"AAAAAG9du28=")</f>
        <v>#VALUE!</v>
      </c>
      <c r="DI90" t="e">
        <f>AND(DATA!J957,"AAAAAG9du3A=")</f>
        <v>#VALUE!</v>
      </c>
      <c r="DJ90" t="e">
        <f>AND(DATA!K957,"AAAAAG9du3E=")</f>
        <v>#VALUE!</v>
      </c>
      <c r="DK90" t="b">
        <f>AND(DATA!L957,"AAAAAG9du3I=")</f>
        <v>1</v>
      </c>
      <c r="DL90" t="e">
        <f>AND(DATA!M957,"AAAAAG9du3M=")</f>
        <v>#VALUE!</v>
      </c>
      <c r="DM90" t="b">
        <f>AND(DATA!N957,"AAAAAG9du3Q=")</f>
        <v>1</v>
      </c>
      <c r="DN90">
        <f>IF(DATA!958:958,"AAAAAG9du3U=",0)</f>
        <v>0</v>
      </c>
      <c r="DO90" t="e">
        <f>AND(DATA!A958,"AAAAAG9du3Y=")</f>
        <v>#VALUE!</v>
      </c>
      <c r="DP90" t="e">
        <f>AND(DATA!B958,"AAAAAG9du3c=")</f>
        <v>#VALUE!</v>
      </c>
      <c r="DQ90" t="e">
        <f>AND(DATA!C958,"AAAAAG9du3g=")</f>
        <v>#VALUE!</v>
      </c>
      <c r="DR90" t="e">
        <f>AND(DATA!D958,"AAAAAG9du3k=")</f>
        <v>#VALUE!</v>
      </c>
      <c r="DS90" t="e">
        <f>AND(DATA!E958,"AAAAAG9du3o=")</f>
        <v>#VALUE!</v>
      </c>
      <c r="DT90" t="e">
        <f>AND(DATA!F958,"AAAAAG9du3s=")</f>
        <v>#VALUE!</v>
      </c>
      <c r="DU90" t="e">
        <f>AND(DATA!G958,"AAAAAG9du3w=")</f>
        <v>#VALUE!</v>
      </c>
      <c r="DV90" t="e">
        <f>AND(DATA!H958,"AAAAAG9du30=")</f>
        <v>#VALUE!</v>
      </c>
      <c r="DW90" t="e">
        <f>AND(DATA!I958,"AAAAAG9du34=")</f>
        <v>#VALUE!</v>
      </c>
      <c r="DX90" t="e">
        <f>AND(DATA!J958,"AAAAAG9du38=")</f>
        <v>#VALUE!</v>
      </c>
      <c r="DY90" t="e">
        <f>AND(DATA!K958,"AAAAAG9du4A=")</f>
        <v>#VALUE!</v>
      </c>
      <c r="DZ90" t="b">
        <f>AND(DATA!L958,"AAAAAG9du4E=")</f>
        <v>1</v>
      </c>
      <c r="EA90" t="e">
        <f>AND(DATA!M958,"AAAAAG9du4I=")</f>
        <v>#VALUE!</v>
      </c>
      <c r="EB90" t="b">
        <f>AND(DATA!N958,"AAAAAG9du4M=")</f>
        <v>1</v>
      </c>
      <c r="EC90">
        <f>IF(DATA!959:959,"AAAAAG9du4Q=",0)</f>
        <v>0</v>
      </c>
      <c r="ED90" t="e">
        <f>AND(DATA!A959,"AAAAAG9du4U=")</f>
        <v>#VALUE!</v>
      </c>
      <c r="EE90" t="e">
        <f>AND(DATA!B959,"AAAAAG9du4Y=")</f>
        <v>#VALUE!</v>
      </c>
      <c r="EF90" t="e">
        <f>AND(DATA!C959,"AAAAAG9du4c=")</f>
        <v>#VALUE!</v>
      </c>
      <c r="EG90" t="e">
        <f>AND(DATA!D959,"AAAAAG9du4g=")</f>
        <v>#VALUE!</v>
      </c>
      <c r="EH90" t="e">
        <f>AND(DATA!E959,"AAAAAG9du4k=")</f>
        <v>#VALUE!</v>
      </c>
      <c r="EI90" t="e">
        <f>AND(DATA!F959,"AAAAAG9du4o=")</f>
        <v>#VALUE!</v>
      </c>
      <c r="EJ90" t="e">
        <f>AND(DATA!G959,"AAAAAG9du4s=")</f>
        <v>#VALUE!</v>
      </c>
      <c r="EK90" t="e">
        <f>AND(DATA!H959,"AAAAAG9du4w=")</f>
        <v>#VALUE!</v>
      </c>
      <c r="EL90" t="e">
        <f>AND(DATA!I959,"AAAAAG9du40=")</f>
        <v>#VALUE!</v>
      </c>
      <c r="EM90" t="e">
        <f>AND(DATA!J959,"AAAAAG9du44=")</f>
        <v>#VALUE!</v>
      </c>
      <c r="EN90" t="e">
        <f>AND(DATA!K959,"AAAAAG9du48=")</f>
        <v>#VALUE!</v>
      </c>
      <c r="EO90" t="b">
        <f>AND(DATA!L959,"AAAAAG9du5A=")</f>
        <v>1</v>
      </c>
      <c r="EP90" t="e">
        <f>AND(DATA!M959,"AAAAAG9du5E=")</f>
        <v>#VALUE!</v>
      </c>
      <c r="EQ90" t="b">
        <f>AND(DATA!N959,"AAAAAG9du5I=")</f>
        <v>1</v>
      </c>
      <c r="ER90">
        <f>IF(DATA!960:960,"AAAAAG9du5M=",0)</f>
        <v>0</v>
      </c>
      <c r="ES90" t="e">
        <f>AND(DATA!A960,"AAAAAG9du5Q=")</f>
        <v>#VALUE!</v>
      </c>
      <c r="ET90" t="e">
        <f>AND(DATA!B960,"AAAAAG9du5U=")</f>
        <v>#VALUE!</v>
      </c>
      <c r="EU90" t="e">
        <f>AND(DATA!C960,"AAAAAG9du5Y=")</f>
        <v>#VALUE!</v>
      </c>
      <c r="EV90" t="e">
        <f>AND(DATA!D960,"AAAAAG9du5c=")</f>
        <v>#VALUE!</v>
      </c>
      <c r="EW90" t="e">
        <f>AND(DATA!E960,"AAAAAG9du5g=")</f>
        <v>#VALUE!</v>
      </c>
      <c r="EX90" t="e">
        <f>AND(DATA!F960,"AAAAAG9du5k=")</f>
        <v>#VALUE!</v>
      </c>
      <c r="EY90" t="e">
        <f>AND(DATA!G960,"AAAAAG9du5o=")</f>
        <v>#VALUE!</v>
      </c>
      <c r="EZ90" t="e">
        <f>AND(DATA!H960,"AAAAAG9du5s=")</f>
        <v>#VALUE!</v>
      </c>
      <c r="FA90" t="e">
        <f>AND(DATA!I960,"AAAAAG9du5w=")</f>
        <v>#VALUE!</v>
      </c>
      <c r="FB90" t="e">
        <f>AND(DATA!J960,"AAAAAG9du50=")</f>
        <v>#VALUE!</v>
      </c>
      <c r="FC90" t="e">
        <f>AND(DATA!K960,"AAAAAG9du54=")</f>
        <v>#VALUE!</v>
      </c>
      <c r="FD90" t="b">
        <f>AND(DATA!L960,"AAAAAG9du58=")</f>
        <v>1</v>
      </c>
      <c r="FE90" t="e">
        <f>AND(DATA!M960,"AAAAAG9du6A=")</f>
        <v>#VALUE!</v>
      </c>
      <c r="FF90" t="b">
        <f>AND(DATA!N960,"AAAAAG9du6E=")</f>
        <v>1</v>
      </c>
      <c r="FG90">
        <f>IF(DATA!961:961,"AAAAAG9du6I=",0)</f>
        <v>0</v>
      </c>
      <c r="FH90" t="e">
        <f>AND(DATA!A961,"AAAAAG9du6M=")</f>
        <v>#VALUE!</v>
      </c>
      <c r="FI90" t="e">
        <f>AND(DATA!B961,"AAAAAG9du6Q=")</f>
        <v>#VALUE!</v>
      </c>
      <c r="FJ90" t="e">
        <f>AND(DATA!C961,"AAAAAG9du6U=")</f>
        <v>#VALUE!</v>
      </c>
      <c r="FK90" t="e">
        <f>AND(DATA!D961,"AAAAAG9du6Y=")</f>
        <v>#VALUE!</v>
      </c>
      <c r="FL90" t="e">
        <f>AND(DATA!E961,"AAAAAG9du6c=")</f>
        <v>#VALUE!</v>
      </c>
      <c r="FM90" t="e">
        <f>AND(DATA!F961,"AAAAAG9du6g=")</f>
        <v>#VALUE!</v>
      </c>
      <c r="FN90" t="e">
        <f>AND(DATA!G961,"AAAAAG9du6k=")</f>
        <v>#VALUE!</v>
      </c>
      <c r="FO90" t="e">
        <f>AND(DATA!H961,"AAAAAG9du6o=")</f>
        <v>#VALUE!</v>
      </c>
      <c r="FP90" t="e">
        <f>AND(DATA!I961,"AAAAAG9du6s=")</f>
        <v>#VALUE!</v>
      </c>
      <c r="FQ90" t="e">
        <f>AND(DATA!J961,"AAAAAG9du6w=")</f>
        <v>#VALUE!</v>
      </c>
      <c r="FR90" t="e">
        <f>AND(DATA!K961,"AAAAAG9du60=")</f>
        <v>#VALUE!</v>
      </c>
      <c r="FS90" t="b">
        <f>AND(DATA!L961,"AAAAAG9du64=")</f>
        <v>1</v>
      </c>
      <c r="FT90" t="e">
        <f>AND(DATA!M961,"AAAAAG9du68=")</f>
        <v>#VALUE!</v>
      </c>
      <c r="FU90" t="b">
        <f>AND(DATA!N961,"AAAAAG9du7A=")</f>
        <v>1</v>
      </c>
      <c r="FV90">
        <f>IF(DATA!962:962,"AAAAAG9du7E=",0)</f>
        <v>0</v>
      </c>
      <c r="FW90" t="e">
        <f>AND(DATA!A962,"AAAAAG9du7I=")</f>
        <v>#VALUE!</v>
      </c>
      <c r="FX90" t="e">
        <f>AND(DATA!B962,"AAAAAG9du7M=")</f>
        <v>#VALUE!</v>
      </c>
      <c r="FY90" t="e">
        <f>AND(DATA!C962,"AAAAAG9du7Q=")</f>
        <v>#VALUE!</v>
      </c>
      <c r="FZ90" t="e">
        <f>AND(DATA!D962,"AAAAAG9du7U=")</f>
        <v>#VALUE!</v>
      </c>
      <c r="GA90" t="e">
        <f>AND(DATA!E962,"AAAAAG9du7Y=")</f>
        <v>#VALUE!</v>
      </c>
      <c r="GB90" t="e">
        <f>AND(DATA!F962,"AAAAAG9du7c=")</f>
        <v>#VALUE!</v>
      </c>
      <c r="GC90" t="e">
        <f>AND(DATA!G962,"AAAAAG9du7g=")</f>
        <v>#VALUE!</v>
      </c>
      <c r="GD90" t="e">
        <f>AND(DATA!H962,"AAAAAG9du7k=")</f>
        <v>#VALUE!</v>
      </c>
      <c r="GE90" t="e">
        <f>AND(DATA!I962,"AAAAAG9du7o=")</f>
        <v>#VALUE!</v>
      </c>
      <c r="GF90" t="e">
        <f>AND(DATA!J962,"AAAAAG9du7s=")</f>
        <v>#VALUE!</v>
      </c>
      <c r="GG90" t="e">
        <f>AND(DATA!K962,"AAAAAG9du7w=")</f>
        <v>#VALUE!</v>
      </c>
      <c r="GH90" t="b">
        <f>AND(DATA!L962,"AAAAAG9du70=")</f>
        <v>1</v>
      </c>
      <c r="GI90" t="e">
        <f>AND(DATA!M962,"AAAAAG9du74=")</f>
        <v>#VALUE!</v>
      </c>
      <c r="GJ90" t="b">
        <f>AND(DATA!N962,"AAAAAG9du78=")</f>
        <v>1</v>
      </c>
      <c r="GK90">
        <f>IF(DATA!963:963,"AAAAAG9du8A=",0)</f>
        <v>0</v>
      </c>
      <c r="GL90" t="e">
        <f>AND(DATA!A963,"AAAAAG9du8E=")</f>
        <v>#VALUE!</v>
      </c>
      <c r="GM90" t="e">
        <f>AND(DATA!B963,"AAAAAG9du8I=")</f>
        <v>#VALUE!</v>
      </c>
      <c r="GN90" t="e">
        <f>AND(DATA!C963,"AAAAAG9du8M=")</f>
        <v>#VALUE!</v>
      </c>
      <c r="GO90" t="e">
        <f>AND(DATA!D963,"AAAAAG9du8Q=")</f>
        <v>#VALUE!</v>
      </c>
      <c r="GP90" t="e">
        <f>AND(DATA!E963,"AAAAAG9du8U=")</f>
        <v>#VALUE!</v>
      </c>
      <c r="GQ90" t="e">
        <f>AND(DATA!F963,"AAAAAG9du8Y=")</f>
        <v>#VALUE!</v>
      </c>
      <c r="GR90" t="e">
        <f>AND(DATA!G963,"AAAAAG9du8c=")</f>
        <v>#VALUE!</v>
      </c>
      <c r="GS90" t="e">
        <f>AND(DATA!H963,"AAAAAG9du8g=")</f>
        <v>#VALUE!</v>
      </c>
      <c r="GT90" t="e">
        <f>AND(DATA!I963,"AAAAAG9du8k=")</f>
        <v>#VALUE!</v>
      </c>
      <c r="GU90" t="e">
        <f>AND(DATA!J963,"AAAAAG9du8o=")</f>
        <v>#VALUE!</v>
      </c>
      <c r="GV90" t="e">
        <f>AND(DATA!K963,"AAAAAG9du8s=")</f>
        <v>#VALUE!</v>
      </c>
      <c r="GW90" t="b">
        <f>AND(DATA!L963,"AAAAAG9du8w=")</f>
        <v>1</v>
      </c>
      <c r="GX90" t="e">
        <f>AND(DATA!M963,"AAAAAG9du80=")</f>
        <v>#VALUE!</v>
      </c>
      <c r="GY90" t="b">
        <f>AND(DATA!N963,"AAAAAG9du84=")</f>
        <v>1</v>
      </c>
      <c r="GZ90">
        <f>IF(DATA!964:964,"AAAAAG9du88=",0)</f>
        <v>0</v>
      </c>
      <c r="HA90" t="e">
        <f>AND(DATA!A964,"AAAAAG9du9A=")</f>
        <v>#VALUE!</v>
      </c>
      <c r="HB90" t="e">
        <f>AND(DATA!B964,"AAAAAG9du9E=")</f>
        <v>#VALUE!</v>
      </c>
      <c r="HC90" t="e">
        <f>AND(DATA!C964,"AAAAAG9du9I=")</f>
        <v>#VALUE!</v>
      </c>
      <c r="HD90" t="e">
        <f>AND(DATA!D964,"AAAAAG9du9M=")</f>
        <v>#VALUE!</v>
      </c>
      <c r="HE90" t="e">
        <f>AND(DATA!E964,"AAAAAG9du9Q=")</f>
        <v>#VALUE!</v>
      </c>
      <c r="HF90" t="e">
        <f>AND(DATA!F964,"AAAAAG9du9U=")</f>
        <v>#VALUE!</v>
      </c>
      <c r="HG90" t="e">
        <f>AND(DATA!G964,"AAAAAG9du9Y=")</f>
        <v>#VALUE!</v>
      </c>
      <c r="HH90" t="e">
        <f>AND(DATA!H964,"AAAAAG9du9c=")</f>
        <v>#VALUE!</v>
      </c>
      <c r="HI90" t="e">
        <f>AND(DATA!I964,"AAAAAG9du9g=")</f>
        <v>#VALUE!</v>
      </c>
      <c r="HJ90" t="e">
        <f>AND(DATA!J964,"AAAAAG9du9k=")</f>
        <v>#VALUE!</v>
      </c>
      <c r="HK90" t="e">
        <f>AND(DATA!K964,"AAAAAG9du9o=")</f>
        <v>#VALUE!</v>
      </c>
      <c r="HL90" t="b">
        <f>AND(DATA!L964,"AAAAAG9du9s=")</f>
        <v>1</v>
      </c>
      <c r="HM90" t="e">
        <f>AND(DATA!M964,"AAAAAG9du9w=")</f>
        <v>#VALUE!</v>
      </c>
      <c r="HN90" t="b">
        <f>AND(DATA!N964,"AAAAAG9du90=")</f>
        <v>1</v>
      </c>
      <c r="HO90">
        <f>IF(DATA!965:965,"AAAAAG9du94=",0)</f>
        <v>0</v>
      </c>
      <c r="HP90" t="e">
        <f>AND(DATA!A965,"AAAAAG9du98=")</f>
        <v>#VALUE!</v>
      </c>
      <c r="HQ90" t="e">
        <f>AND(DATA!B965,"AAAAAG9du+A=")</f>
        <v>#VALUE!</v>
      </c>
      <c r="HR90" t="e">
        <f>AND(DATA!C965,"AAAAAG9du+E=")</f>
        <v>#VALUE!</v>
      </c>
      <c r="HS90" t="e">
        <f>AND(DATA!D965,"AAAAAG9du+I=")</f>
        <v>#VALUE!</v>
      </c>
      <c r="HT90" t="e">
        <f>AND(DATA!E965,"AAAAAG9du+M=")</f>
        <v>#VALUE!</v>
      </c>
      <c r="HU90" t="e">
        <f>AND(DATA!F965,"AAAAAG9du+Q=")</f>
        <v>#VALUE!</v>
      </c>
      <c r="HV90" t="e">
        <f>AND(DATA!G965,"AAAAAG9du+U=")</f>
        <v>#VALUE!</v>
      </c>
      <c r="HW90" t="e">
        <f>AND(DATA!H965,"AAAAAG9du+Y=")</f>
        <v>#VALUE!</v>
      </c>
      <c r="HX90" t="e">
        <f>AND(DATA!I965,"AAAAAG9du+c=")</f>
        <v>#VALUE!</v>
      </c>
      <c r="HY90" t="e">
        <f>AND(DATA!J965,"AAAAAG9du+g=")</f>
        <v>#VALUE!</v>
      </c>
      <c r="HZ90" t="e">
        <f>AND(DATA!K965,"AAAAAG9du+k=")</f>
        <v>#VALUE!</v>
      </c>
      <c r="IA90" t="b">
        <f>AND(DATA!L965,"AAAAAG9du+o=")</f>
        <v>1</v>
      </c>
      <c r="IB90" t="e">
        <f>AND(DATA!M965,"AAAAAG9du+s=")</f>
        <v>#VALUE!</v>
      </c>
      <c r="IC90" t="b">
        <f>AND(DATA!N965,"AAAAAG9du+w=")</f>
        <v>1</v>
      </c>
      <c r="ID90">
        <f>IF(DATA!966:966,"AAAAAG9du+0=",0)</f>
        <v>0</v>
      </c>
      <c r="IE90" t="e">
        <f>AND(DATA!A966,"AAAAAG9du+4=")</f>
        <v>#VALUE!</v>
      </c>
      <c r="IF90" t="e">
        <f>AND(DATA!B966,"AAAAAG9du+8=")</f>
        <v>#VALUE!</v>
      </c>
      <c r="IG90" t="e">
        <f>AND(DATA!C966,"AAAAAG9du/A=")</f>
        <v>#VALUE!</v>
      </c>
      <c r="IH90" t="e">
        <f>AND(DATA!D966,"AAAAAG9du/E=")</f>
        <v>#VALUE!</v>
      </c>
      <c r="II90" t="e">
        <f>AND(DATA!E966,"AAAAAG9du/I=")</f>
        <v>#VALUE!</v>
      </c>
      <c r="IJ90" t="e">
        <f>AND(DATA!F966,"AAAAAG9du/M=")</f>
        <v>#VALUE!</v>
      </c>
      <c r="IK90" t="e">
        <f>AND(DATA!G966,"AAAAAG9du/Q=")</f>
        <v>#VALUE!</v>
      </c>
      <c r="IL90" t="e">
        <f>AND(DATA!H966,"AAAAAG9du/U=")</f>
        <v>#VALUE!</v>
      </c>
      <c r="IM90" t="e">
        <f>AND(DATA!I966,"AAAAAG9du/Y=")</f>
        <v>#VALUE!</v>
      </c>
      <c r="IN90" t="e">
        <f>AND(DATA!J966,"AAAAAG9du/c=")</f>
        <v>#VALUE!</v>
      </c>
      <c r="IO90" t="e">
        <f>AND(DATA!K966,"AAAAAG9du/g=")</f>
        <v>#VALUE!</v>
      </c>
      <c r="IP90" t="b">
        <f>AND(DATA!L966,"AAAAAG9du/k=")</f>
        <v>1</v>
      </c>
      <c r="IQ90" t="e">
        <f>AND(DATA!M966,"AAAAAG9du/o=")</f>
        <v>#VALUE!</v>
      </c>
      <c r="IR90" t="b">
        <f>AND(DATA!N966,"AAAAAG9du/s=")</f>
        <v>1</v>
      </c>
      <c r="IS90">
        <f>IF(DATA!967:967,"AAAAAG9du/w=",0)</f>
        <v>0</v>
      </c>
      <c r="IT90" t="e">
        <f>AND(DATA!A967,"AAAAAG9du/0=")</f>
        <v>#VALUE!</v>
      </c>
      <c r="IU90" t="e">
        <f>AND(DATA!B967,"AAAAAG9du/4=")</f>
        <v>#VALUE!</v>
      </c>
      <c r="IV90" t="e">
        <f>AND(DATA!C967,"AAAAAG9du/8=")</f>
        <v>#VALUE!</v>
      </c>
    </row>
    <row r="91" spans="1:256">
      <c r="A91" t="e">
        <f>AND(DATA!D967,"AAAAAHdrPgA=")</f>
        <v>#VALUE!</v>
      </c>
      <c r="B91" t="e">
        <f>AND(DATA!E967,"AAAAAHdrPgE=")</f>
        <v>#VALUE!</v>
      </c>
      <c r="C91" t="e">
        <f>AND(DATA!F967,"AAAAAHdrPgI=")</f>
        <v>#VALUE!</v>
      </c>
      <c r="D91" t="e">
        <f>AND(DATA!G967,"AAAAAHdrPgM=")</f>
        <v>#VALUE!</v>
      </c>
      <c r="E91" t="e">
        <f>AND(DATA!H967,"AAAAAHdrPgQ=")</f>
        <v>#VALUE!</v>
      </c>
      <c r="F91" t="e">
        <f>AND(DATA!I967,"AAAAAHdrPgU=")</f>
        <v>#VALUE!</v>
      </c>
      <c r="G91" t="e">
        <f>AND(DATA!J967,"AAAAAHdrPgY=")</f>
        <v>#VALUE!</v>
      </c>
      <c r="H91" t="e">
        <f>AND(DATA!K967,"AAAAAHdrPgc=")</f>
        <v>#VALUE!</v>
      </c>
      <c r="I91" t="b">
        <f>AND(DATA!L967,"AAAAAHdrPgg=")</f>
        <v>1</v>
      </c>
      <c r="J91" t="e">
        <f>AND(DATA!M967,"AAAAAHdrPgk=")</f>
        <v>#VALUE!</v>
      </c>
      <c r="K91" t="b">
        <f>AND(DATA!N967,"AAAAAHdrPgo=")</f>
        <v>1</v>
      </c>
      <c r="L91" t="str">
        <f>IF(DATA!968:968,"AAAAAHdrPgs=",0)</f>
        <v>AAAAAHdrPgs=</v>
      </c>
      <c r="M91" t="e">
        <f>AND(DATA!A968,"AAAAAHdrPgw=")</f>
        <v>#VALUE!</v>
      </c>
      <c r="N91" t="e">
        <f>AND(DATA!B968,"AAAAAHdrPg0=")</f>
        <v>#VALUE!</v>
      </c>
      <c r="O91" t="e">
        <f>AND(DATA!C968,"AAAAAHdrPg4=")</f>
        <v>#VALUE!</v>
      </c>
      <c r="P91" t="e">
        <f>AND(DATA!D968,"AAAAAHdrPg8=")</f>
        <v>#VALUE!</v>
      </c>
      <c r="Q91" t="e">
        <f>AND(DATA!E968,"AAAAAHdrPhA=")</f>
        <v>#VALUE!</v>
      </c>
      <c r="R91" t="e">
        <f>AND(DATA!F968,"AAAAAHdrPhE=")</f>
        <v>#VALUE!</v>
      </c>
      <c r="S91" t="e">
        <f>AND(DATA!G968,"AAAAAHdrPhI=")</f>
        <v>#VALUE!</v>
      </c>
      <c r="T91" t="e">
        <f>AND(DATA!H968,"AAAAAHdrPhM=")</f>
        <v>#VALUE!</v>
      </c>
      <c r="U91" t="e">
        <f>AND(DATA!I968,"AAAAAHdrPhQ=")</f>
        <v>#VALUE!</v>
      </c>
      <c r="V91" t="e">
        <f>AND(DATA!J968,"AAAAAHdrPhU=")</f>
        <v>#VALUE!</v>
      </c>
      <c r="W91" t="e">
        <f>AND(DATA!K968,"AAAAAHdrPhY=")</f>
        <v>#VALUE!</v>
      </c>
      <c r="X91" t="b">
        <f>AND(DATA!L968,"AAAAAHdrPhc=")</f>
        <v>1</v>
      </c>
      <c r="Y91" t="e">
        <f>AND(DATA!M968,"AAAAAHdrPhg=")</f>
        <v>#VALUE!</v>
      </c>
      <c r="Z91" t="b">
        <f>AND(DATA!N968,"AAAAAHdrPhk=")</f>
        <v>1</v>
      </c>
      <c r="AA91">
        <f>IF(DATA!969:969,"AAAAAHdrPho=",0)</f>
        <v>0</v>
      </c>
      <c r="AB91" t="e">
        <f>AND(DATA!A969,"AAAAAHdrPhs=")</f>
        <v>#VALUE!</v>
      </c>
      <c r="AC91" t="e">
        <f>AND(DATA!B969,"AAAAAHdrPhw=")</f>
        <v>#VALUE!</v>
      </c>
      <c r="AD91" t="e">
        <f>AND(DATA!C969,"AAAAAHdrPh0=")</f>
        <v>#VALUE!</v>
      </c>
      <c r="AE91" t="e">
        <f>AND(DATA!D969,"AAAAAHdrPh4=")</f>
        <v>#VALUE!</v>
      </c>
      <c r="AF91" t="e">
        <f>AND(DATA!E969,"AAAAAHdrPh8=")</f>
        <v>#VALUE!</v>
      </c>
      <c r="AG91" t="e">
        <f>AND(DATA!F969,"AAAAAHdrPiA=")</f>
        <v>#VALUE!</v>
      </c>
      <c r="AH91" t="e">
        <f>AND(DATA!G969,"AAAAAHdrPiE=")</f>
        <v>#VALUE!</v>
      </c>
      <c r="AI91" t="e">
        <f>AND(DATA!H969,"AAAAAHdrPiI=")</f>
        <v>#VALUE!</v>
      </c>
      <c r="AJ91" t="e">
        <f>AND(DATA!I969,"AAAAAHdrPiM=")</f>
        <v>#VALUE!</v>
      </c>
      <c r="AK91" t="e">
        <f>AND(DATA!J969,"AAAAAHdrPiQ=")</f>
        <v>#VALUE!</v>
      </c>
      <c r="AL91" t="e">
        <f>AND(DATA!K969,"AAAAAHdrPiU=")</f>
        <v>#VALUE!</v>
      </c>
      <c r="AM91" t="b">
        <f>AND(DATA!L969,"AAAAAHdrPiY=")</f>
        <v>1</v>
      </c>
      <c r="AN91" t="e">
        <f>AND(DATA!M969,"AAAAAHdrPic=")</f>
        <v>#VALUE!</v>
      </c>
      <c r="AO91" t="b">
        <f>AND(DATA!N969,"AAAAAHdrPig=")</f>
        <v>1</v>
      </c>
      <c r="AP91">
        <f>IF(DATA!970:970,"AAAAAHdrPik=",0)</f>
        <v>0</v>
      </c>
      <c r="AQ91" t="e">
        <f>AND(DATA!A970,"AAAAAHdrPio=")</f>
        <v>#VALUE!</v>
      </c>
      <c r="AR91" t="e">
        <f>AND(DATA!B970,"AAAAAHdrPis=")</f>
        <v>#VALUE!</v>
      </c>
      <c r="AS91" t="e">
        <f>AND(DATA!C970,"AAAAAHdrPiw=")</f>
        <v>#VALUE!</v>
      </c>
      <c r="AT91" t="e">
        <f>AND(DATA!D970,"AAAAAHdrPi0=")</f>
        <v>#VALUE!</v>
      </c>
      <c r="AU91" t="e">
        <f>AND(DATA!E970,"AAAAAHdrPi4=")</f>
        <v>#VALUE!</v>
      </c>
      <c r="AV91" t="e">
        <f>AND(DATA!F970,"AAAAAHdrPi8=")</f>
        <v>#VALUE!</v>
      </c>
      <c r="AW91" t="e">
        <f>AND(DATA!G970,"AAAAAHdrPjA=")</f>
        <v>#VALUE!</v>
      </c>
      <c r="AX91" t="e">
        <f>AND(DATA!H970,"AAAAAHdrPjE=")</f>
        <v>#VALUE!</v>
      </c>
      <c r="AY91" t="e">
        <f>AND(DATA!I970,"AAAAAHdrPjI=")</f>
        <v>#VALUE!</v>
      </c>
      <c r="AZ91" t="e">
        <f>AND(DATA!J970,"AAAAAHdrPjM=")</f>
        <v>#VALUE!</v>
      </c>
      <c r="BA91" t="e">
        <f>AND(DATA!K970,"AAAAAHdrPjQ=")</f>
        <v>#VALUE!</v>
      </c>
      <c r="BB91" t="b">
        <f>AND(DATA!L970,"AAAAAHdrPjU=")</f>
        <v>1</v>
      </c>
      <c r="BC91" t="e">
        <f>AND(DATA!M970,"AAAAAHdrPjY=")</f>
        <v>#VALUE!</v>
      </c>
      <c r="BD91" t="b">
        <f>AND(DATA!N970,"AAAAAHdrPjc=")</f>
        <v>1</v>
      </c>
      <c r="BE91">
        <f>IF(DATA!971:971,"AAAAAHdrPjg=",0)</f>
        <v>0</v>
      </c>
      <c r="BF91" t="e">
        <f>AND(DATA!A971,"AAAAAHdrPjk=")</f>
        <v>#VALUE!</v>
      </c>
      <c r="BG91" t="e">
        <f>AND(DATA!B971,"AAAAAHdrPjo=")</f>
        <v>#VALUE!</v>
      </c>
      <c r="BH91" t="e">
        <f>AND(DATA!C971,"AAAAAHdrPjs=")</f>
        <v>#VALUE!</v>
      </c>
      <c r="BI91" t="e">
        <f>AND(DATA!D971,"AAAAAHdrPjw=")</f>
        <v>#VALUE!</v>
      </c>
      <c r="BJ91" t="e">
        <f>AND(DATA!E971,"AAAAAHdrPj0=")</f>
        <v>#VALUE!</v>
      </c>
      <c r="BK91" t="e">
        <f>AND(DATA!F971,"AAAAAHdrPj4=")</f>
        <v>#VALUE!</v>
      </c>
      <c r="BL91" t="e">
        <f>AND(DATA!G971,"AAAAAHdrPj8=")</f>
        <v>#VALUE!</v>
      </c>
      <c r="BM91" t="e">
        <f>AND(DATA!H971,"AAAAAHdrPkA=")</f>
        <v>#VALUE!</v>
      </c>
      <c r="BN91" t="e">
        <f>AND(DATA!I971,"AAAAAHdrPkE=")</f>
        <v>#VALUE!</v>
      </c>
      <c r="BO91" t="e">
        <f>AND(DATA!J971,"AAAAAHdrPkI=")</f>
        <v>#VALUE!</v>
      </c>
      <c r="BP91" t="e">
        <f>AND(DATA!K971,"AAAAAHdrPkM=")</f>
        <v>#VALUE!</v>
      </c>
      <c r="BQ91" t="b">
        <f>AND(DATA!L971,"AAAAAHdrPkQ=")</f>
        <v>1</v>
      </c>
      <c r="BR91" t="e">
        <f>AND(DATA!M971,"AAAAAHdrPkU=")</f>
        <v>#VALUE!</v>
      </c>
      <c r="BS91" t="b">
        <f>AND(DATA!N971,"AAAAAHdrPkY=")</f>
        <v>1</v>
      </c>
      <c r="BT91">
        <f>IF(DATA!972:972,"AAAAAHdrPkc=",0)</f>
        <v>0</v>
      </c>
      <c r="BU91" t="e">
        <f>AND(DATA!A972,"AAAAAHdrPkg=")</f>
        <v>#VALUE!</v>
      </c>
      <c r="BV91" t="e">
        <f>AND(DATA!B972,"AAAAAHdrPkk=")</f>
        <v>#VALUE!</v>
      </c>
      <c r="BW91" t="e">
        <f>AND(DATA!C972,"AAAAAHdrPko=")</f>
        <v>#VALUE!</v>
      </c>
      <c r="BX91" t="e">
        <f>AND(DATA!D972,"AAAAAHdrPks=")</f>
        <v>#VALUE!</v>
      </c>
      <c r="BY91" t="e">
        <f>AND(DATA!E972,"AAAAAHdrPkw=")</f>
        <v>#VALUE!</v>
      </c>
      <c r="BZ91" t="e">
        <f>AND(DATA!F972,"AAAAAHdrPk0=")</f>
        <v>#VALUE!</v>
      </c>
      <c r="CA91" t="e">
        <f>AND(DATA!G972,"AAAAAHdrPk4=")</f>
        <v>#VALUE!</v>
      </c>
      <c r="CB91" t="e">
        <f>AND(DATA!H972,"AAAAAHdrPk8=")</f>
        <v>#VALUE!</v>
      </c>
      <c r="CC91" t="e">
        <f>AND(DATA!I972,"AAAAAHdrPlA=")</f>
        <v>#VALUE!</v>
      </c>
      <c r="CD91" t="e">
        <f>AND(DATA!J972,"AAAAAHdrPlE=")</f>
        <v>#VALUE!</v>
      </c>
      <c r="CE91" t="e">
        <f>AND(DATA!K972,"AAAAAHdrPlI=")</f>
        <v>#VALUE!</v>
      </c>
      <c r="CF91" t="b">
        <f>AND(DATA!L972,"AAAAAHdrPlM=")</f>
        <v>1</v>
      </c>
      <c r="CG91" t="e">
        <f>AND(DATA!M972,"AAAAAHdrPlQ=")</f>
        <v>#VALUE!</v>
      </c>
      <c r="CH91" t="b">
        <f>AND(DATA!N972,"AAAAAHdrPlU=")</f>
        <v>1</v>
      </c>
      <c r="CI91">
        <f>IF(DATA!973:973,"AAAAAHdrPlY=",0)</f>
        <v>0</v>
      </c>
      <c r="CJ91" t="e">
        <f>AND(DATA!A973,"AAAAAHdrPlc=")</f>
        <v>#VALUE!</v>
      </c>
      <c r="CK91" t="e">
        <f>AND(DATA!B973,"AAAAAHdrPlg=")</f>
        <v>#VALUE!</v>
      </c>
      <c r="CL91" t="e">
        <f>AND(DATA!C973,"AAAAAHdrPlk=")</f>
        <v>#VALUE!</v>
      </c>
      <c r="CM91" t="e">
        <f>AND(DATA!D973,"AAAAAHdrPlo=")</f>
        <v>#VALUE!</v>
      </c>
      <c r="CN91" t="e">
        <f>AND(DATA!E973,"AAAAAHdrPls=")</f>
        <v>#VALUE!</v>
      </c>
      <c r="CO91" t="e">
        <f>AND(DATA!F973,"AAAAAHdrPlw=")</f>
        <v>#VALUE!</v>
      </c>
      <c r="CP91" t="e">
        <f>AND(DATA!G973,"AAAAAHdrPl0=")</f>
        <v>#VALUE!</v>
      </c>
      <c r="CQ91" t="e">
        <f>AND(DATA!H973,"AAAAAHdrPl4=")</f>
        <v>#VALUE!</v>
      </c>
      <c r="CR91" t="e">
        <f>AND(DATA!I973,"AAAAAHdrPl8=")</f>
        <v>#VALUE!</v>
      </c>
      <c r="CS91" t="e">
        <f>AND(DATA!J973,"AAAAAHdrPmA=")</f>
        <v>#VALUE!</v>
      </c>
      <c r="CT91" t="e">
        <f>AND(DATA!K973,"AAAAAHdrPmE=")</f>
        <v>#VALUE!</v>
      </c>
      <c r="CU91" t="b">
        <f>AND(DATA!L973,"AAAAAHdrPmI=")</f>
        <v>1</v>
      </c>
      <c r="CV91" t="e">
        <f>AND(DATA!M973,"AAAAAHdrPmM=")</f>
        <v>#VALUE!</v>
      </c>
      <c r="CW91" t="b">
        <f>AND(DATA!N973,"AAAAAHdrPmQ=")</f>
        <v>1</v>
      </c>
      <c r="CX91">
        <f>IF(DATA!974:974,"AAAAAHdrPmU=",0)</f>
        <v>0</v>
      </c>
      <c r="CY91" t="e">
        <f>AND(DATA!A974,"AAAAAHdrPmY=")</f>
        <v>#VALUE!</v>
      </c>
      <c r="CZ91" t="e">
        <f>AND(DATA!B974,"AAAAAHdrPmc=")</f>
        <v>#VALUE!</v>
      </c>
      <c r="DA91" t="e">
        <f>AND(DATA!C974,"AAAAAHdrPmg=")</f>
        <v>#VALUE!</v>
      </c>
      <c r="DB91" t="e">
        <f>AND(DATA!D974,"AAAAAHdrPmk=")</f>
        <v>#VALUE!</v>
      </c>
      <c r="DC91" t="e">
        <f>AND(DATA!E974,"AAAAAHdrPmo=")</f>
        <v>#VALUE!</v>
      </c>
      <c r="DD91" t="e">
        <f>AND(DATA!F974,"AAAAAHdrPms=")</f>
        <v>#VALUE!</v>
      </c>
      <c r="DE91" t="e">
        <f>AND(DATA!G974,"AAAAAHdrPmw=")</f>
        <v>#VALUE!</v>
      </c>
      <c r="DF91" t="e">
        <f>AND(DATA!H974,"AAAAAHdrPm0=")</f>
        <v>#VALUE!</v>
      </c>
      <c r="DG91" t="e">
        <f>AND(DATA!I974,"AAAAAHdrPm4=")</f>
        <v>#VALUE!</v>
      </c>
      <c r="DH91" t="e">
        <f>AND(DATA!J974,"AAAAAHdrPm8=")</f>
        <v>#VALUE!</v>
      </c>
      <c r="DI91" t="e">
        <f>AND(DATA!K974,"AAAAAHdrPnA=")</f>
        <v>#VALUE!</v>
      </c>
      <c r="DJ91" t="b">
        <f>AND(DATA!L974,"AAAAAHdrPnE=")</f>
        <v>1</v>
      </c>
      <c r="DK91" t="e">
        <f>AND(DATA!M974,"AAAAAHdrPnI=")</f>
        <v>#VALUE!</v>
      </c>
      <c r="DL91" t="b">
        <f>AND(DATA!N974,"AAAAAHdrPnM=")</f>
        <v>1</v>
      </c>
      <c r="DM91">
        <f>IF(DATA!975:975,"AAAAAHdrPnQ=",0)</f>
        <v>0</v>
      </c>
      <c r="DN91" t="e">
        <f>AND(DATA!A975,"AAAAAHdrPnU=")</f>
        <v>#VALUE!</v>
      </c>
      <c r="DO91" t="e">
        <f>AND(DATA!B975,"AAAAAHdrPnY=")</f>
        <v>#VALUE!</v>
      </c>
      <c r="DP91" t="e">
        <f>AND(DATA!C975,"AAAAAHdrPnc=")</f>
        <v>#VALUE!</v>
      </c>
      <c r="DQ91" t="e">
        <f>AND(DATA!D975,"AAAAAHdrPng=")</f>
        <v>#VALUE!</v>
      </c>
      <c r="DR91" t="e">
        <f>AND(DATA!E975,"AAAAAHdrPnk=")</f>
        <v>#VALUE!</v>
      </c>
      <c r="DS91" t="e">
        <f>AND(DATA!F975,"AAAAAHdrPno=")</f>
        <v>#VALUE!</v>
      </c>
      <c r="DT91" t="e">
        <f>AND(DATA!G975,"AAAAAHdrPns=")</f>
        <v>#VALUE!</v>
      </c>
      <c r="DU91" t="e">
        <f>AND(DATA!H975,"AAAAAHdrPnw=")</f>
        <v>#VALUE!</v>
      </c>
      <c r="DV91" t="e">
        <f>AND(DATA!I975,"AAAAAHdrPn0=")</f>
        <v>#VALUE!</v>
      </c>
      <c r="DW91" t="e">
        <f>AND(DATA!J975,"AAAAAHdrPn4=")</f>
        <v>#VALUE!</v>
      </c>
      <c r="DX91" t="e">
        <f>AND(DATA!K975,"AAAAAHdrPn8=")</f>
        <v>#VALUE!</v>
      </c>
      <c r="DY91" t="b">
        <f>AND(DATA!L975,"AAAAAHdrPoA=")</f>
        <v>1</v>
      </c>
      <c r="DZ91" t="e">
        <f>AND(DATA!M975,"AAAAAHdrPoE=")</f>
        <v>#VALUE!</v>
      </c>
      <c r="EA91" t="b">
        <f>AND(DATA!N975,"AAAAAHdrPoI=")</f>
        <v>1</v>
      </c>
      <c r="EB91">
        <f>IF(DATA!976:976,"AAAAAHdrPoM=",0)</f>
        <v>0</v>
      </c>
      <c r="EC91" t="e">
        <f>AND(DATA!A976,"AAAAAHdrPoQ=")</f>
        <v>#VALUE!</v>
      </c>
      <c r="ED91" t="e">
        <f>AND(DATA!B976,"AAAAAHdrPoU=")</f>
        <v>#VALUE!</v>
      </c>
      <c r="EE91" t="e">
        <f>AND(DATA!C976,"AAAAAHdrPoY=")</f>
        <v>#VALUE!</v>
      </c>
      <c r="EF91" t="e">
        <f>AND(DATA!D976,"AAAAAHdrPoc=")</f>
        <v>#VALUE!</v>
      </c>
      <c r="EG91" t="e">
        <f>AND(DATA!E976,"AAAAAHdrPog=")</f>
        <v>#VALUE!</v>
      </c>
      <c r="EH91" t="e">
        <f>AND(DATA!F976,"AAAAAHdrPok=")</f>
        <v>#VALUE!</v>
      </c>
      <c r="EI91" t="e">
        <f>AND(DATA!G976,"AAAAAHdrPoo=")</f>
        <v>#VALUE!</v>
      </c>
      <c r="EJ91" t="e">
        <f>AND(DATA!H976,"AAAAAHdrPos=")</f>
        <v>#VALUE!</v>
      </c>
      <c r="EK91" t="e">
        <f>AND(DATA!I976,"AAAAAHdrPow=")</f>
        <v>#VALUE!</v>
      </c>
      <c r="EL91" t="e">
        <f>AND(DATA!J976,"AAAAAHdrPo0=")</f>
        <v>#VALUE!</v>
      </c>
      <c r="EM91" t="e">
        <f>AND(DATA!K976,"AAAAAHdrPo4=")</f>
        <v>#VALUE!</v>
      </c>
      <c r="EN91" t="b">
        <f>AND(DATA!L976,"AAAAAHdrPo8=")</f>
        <v>1</v>
      </c>
      <c r="EO91" t="e">
        <f>AND(DATA!M976,"AAAAAHdrPpA=")</f>
        <v>#VALUE!</v>
      </c>
      <c r="EP91" t="b">
        <f>AND(DATA!N976,"AAAAAHdrPpE=")</f>
        <v>1</v>
      </c>
      <c r="EQ91">
        <f>IF(DATA!977:977,"AAAAAHdrPpI=",0)</f>
        <v>0</v>
      </c>
      <c r="ER91" t="e">
        <f>AND(DATA!A977,"AAAAAHdrPpM=")</f>
        <v>#VALUE!</v>
      </c>
      <c r="ES91" t="e">
        <f>AND(DATA!B977,"AAAAAHdrPpQ=")</f>
        <v>#VALUE!</v>
      </c>
      <c r="ET91" t="e">
        <f>AND(DATA!C977,"AAAAAHdrPpU=")</f>
        <v>#VALUE!</v>
      </c>
      <c r="EU91" t="e">
        <f>AND(DATA!D977,"AAAAAHdrPpY=")</f>
        <v>#VALUE!</v>
      </c>
      <c r="EV91" t="e">
        <f>AND(DATA!E977,"AAAAAHdrPpc=")</f>
        <v>#VALUE!</v>
      </c>
      <c r="EW91" t="e">
        <f>AND(DATA!F977,"AAAAAHdrPpg=")</f>
        <v>#VALUE!</v>
      </c>
      <c r="EX91" t="e">
        <f>AND(DATA!G977,"AAAAAHdrPpk=")</f>
        <v>#VALUE!</v>
      </c>
      <c r="EY91" t="e">
        <f>AND(DATA!H977,"AAAAAHdrPpo=")</f>
        <v>#VALUE!</v>
      </c>
      <c r="EZ91" t="e">
        <f>AND(DATA!I977,"AAAAAHdrPps=")</f>
        <v>#VALUE!</v>
      </c>
      <c r="FA91" t="e">
        <f>AND(DATA!J977,"AAAAAHdrPpw=")</f>
        <v>#VALUE!</v>
      </c>
      <c r="FB91" t="e">
        <f>AND(DATA!K977,"AAAAAHdrPp0=")</f>
        <v>#VALUE!</v>
      </c>
      <c r="FC91" t="b">
        <f>AND(DATA!L977,"AAAAAHdrPp4=")</f>
        <v>1</v>
      </c>
      <c r="FD91" t="e">
        <f>AND(DATA!M977,"AAAAAHdrPp8=")</f>
        <v>#VALUE!</v>
      </c>
      <c r="FE91" t="b">
        <f>AND(DATA!N977,"AAAAAHdrPqA=")</f>
        <v>1</v>
      </c>
      <c r="FF91">
        <f>IF(DATA!978:978,"AAAAAHdrPqE=",0)</f>
        <v>0</v>
      </c>
      <c r="FG91" t="e">
        <f>AND(DATA!A978,"AAAAAHdrPqI=")</f>
        <v>#VALUE!</v>
      </c>
      <c r="FH91" t="e">
        <f>AND(DATA!B978,"AAAAAHdrPqM=")</f>
        <v>#VALUE!</v>
      </c>
      <c r="FI91" t="e">
        <f>AND(DATA!C978,"AAAAAHdrPqQ=")</f>
        <v>#VALUE!</v>
      </c>
      <c r="FJ91" t="e">
        <f>AND(DATA!D978,"AAAAAHdrPqU=")</f>
        <v>#VALUE!</v>
      </c>
      <c r="FK91" t="e">
        <f>AND(DATA!E978,"AAAAAHdrPqY=")</f>
        <v>#VALUE!</v>
      </c>
      <c r="FL91" t="e">
        <f>AND(DATA!F978,"AAAAAHdrPqc=")</f>
        <v>#VALUE!</v>
      </c>
      <c r="FM91" t="e">
        <f>AND(DATA!G978,"AAAAAHdrPqg=")</f>
        <v>#VALUE!</v>
      </c>
      <c r="FN91" t="e">
        <f>AND(DATA!H978,"AAAAAHdrPqk=")</f>
        <v>#VALUE!</v>
      </c>
      <c r="FO91" t="e">
        <f>AND(DATA!I978,"AAAAAHdrPqo=")</f>
        <v>#VALUE!</v>
      </c>
      <c r="FP91" t="e">
        <f>AND(DATA!J978,"AAAAAHdrPqs=")</f>
        <v>#VALUE!</v>
      </c>
      <c r="FQ91" t="e">
        <f>AND(DATA!K978,"AAAAAHdrPqw=")</f>
        <v>#VALUE!</v>
      </c>
      <c r="FR91" t="b">
        <f>AND(DATA!L978,"AAAAAHdrPq0=")</f>
        <v>1</v>
      </c>
      <c r="FS91" t="e">
        <f>AND(DATA!M978,"AAAAAHdrPq4=")</f>
        <v>#VALUE!</v>
      </c>
      <c r="FT91" t="b">
        <f>AND(DATA!N978,"AAAAAHdrPq8=")</f>
        <v>1</v>
      </c>
      <c r="FU91">
        <f>IF(DATA!979:979,"AAAAAHdrPrA=",0)</f>
        <v>0</v>
      </c>
      <c r="FV91" t="e">
        <f>AND(DATA!A979,"AAAAAHdrPrE=")</f>
        <v>#VALUE!</v>
      </c>
      <c r="FW91" t="e">
        <f>AND(DATA!B979,"AAAAAHdrPrI=")</f>
        <v>#VALUE!</v>
      </c>
      <c r="FX91" t="e">
        <f>AND(DATA!C979,"AAAAAHdrPrM=")</f>
        <v>#VALUE!</v>
      </c>
      <c r="FY91" t="e">
        <f>AND(DATA!D979,"AAAAAHdrPrQ=")</f>
        <v>#VALUE!</v>
      </c>
      <c r="FZ91" t="e">
        <f>AND(DATA!E979,"AAAAAHdrPrU=")</f>
        <v>#VALUE!</v>
      </c>
      <c r="GA91" t="e">
        <f>AND(DATA!F979,"AAAAAHdrPrY=")</f>
        <v>#VALUE!</v>
      </c>
      <c r="GB91" t="e">
        <f>AND(DATA!G979,"AAAAAHdrPrc=")</f>
        <v>#VALUE!</v>
      </c>
      <c r="GC91" t="e">
        <f>AND(DATA!H979,"AAAAAHdrPrg=")</f>
        <v>#VALUE!</v>
      </c>
      <c r="GD91" t="e">
        <f>AND(DATA!I979,"AAAAAHdrPrk=")</f>
        <v>#VALUE!</v>
      </c>
      <c r="GE91" t="e">
        <f>AND(DATA!J979,"AAAAAHdrPro=")</f>
        <v>#VALUE!</v>
      </c>
      <c r="GF91" t="e">
        <f>AND(DATA!K979,"AAAAAHdrPrs=")</f>
        <v>#VALUE!</v>
      </c>
      <c r="GG91" t="b">
        <f>AND(DATA!L979,"AAAAAHdrPrw=")</f>
        <v>1</v>
      </c>
      <c r="GH91" t="e">
        <f>AND(DATA!M979,"AAAAAHdrPr0=")</f>
        <v>#VALUE!</v>
      </c>
      <c r="GI91" t="b">
        <f>AND(DATA!N979,"AAAAAHdrPr4=")</f>
        <v>1</v>
      </c>
      <c r="GJ91">
        <f>IF(DATA!980:980,"AAAAAHdrPr8=",0)</f>
        <v>0</v>
      </c>
      <c r="GK91" t="e">
        <f>AND(DATA!A980,"AAAAAHdrPsA=")</f>
        <v>#VALUE!</v>
      </c>
      <c r="GL91" t="e">
        <f>AND(DATA!B980,"AAAAAHdrPsE=")</f>
        <v>#VALUE!</v>
      </c>
      <c r="GM91" t="e">
        <f>AND(DATA!C980,"AAAAAHdrPsI=")</f>
        <v>#VALUE!</v>
      </c>
      <c r="GN91" t="e">
        <f>AND(DATA!D980,"AAAAAHdrPsM=")</f>
        <v>#VALUE!</v>
      </c>
      <c r="GO91" t="e">
        <f>AND(DATA!E980,"AAAAAHdrPsQ=")</f>
        <v>#VALUE!</v>
      </c>
      <c r="GP91" t="e">
        <f>AND(DATA!F980,"AAAAAHdrPsU=")</f>
        <v>#VALUE!</v>
      </c>
      <c r="GQ91" t="e">
        <f>AND(DATA!G980,"AAAAAHdrPsY=")</f>
        <v>#VALUE!</v>
      </c>
      <c r="GR91" t="e">
        <f>AND(DATA!H980,"AAAAAHdrPsc=")</f>
        <v>#VALUE!</v>
      </c>
      <c r="GS91" t="e">
        <f>AND(DATA!I980,"AAAAAHdrPsg=")</f>
        <v>#VALUE!</v>
      </c>
      <c r="GT91" t="e">
        <f>AND(DATA!J980,"AAAAAHdrPsk=")</f>
        <v>#VALUE!</v>
      </c>
      <c r="GU91" t="e">
        <f>AND(DATA!K980,"AAAAAHdrPso=")</f>
        <v>#VALUE!</v>
      </c>
      <c r="GV91" t="b">
        <f>AND(DATA!L980,"AAAAAHdrPss=")</f>
        <v>1</v>
      </c>
      <c r="GW91" t="e">
        <f>AND(DATA!M980,"AAAAAHdrPsw=")</f>
        <v>#VALUE!</v>
      </c>
      <c r="GX91" t="b">
        <f>AND(DATA!N980,"AAAAAHdrPs0=")</f>
        <v>1</v>
      </c>
      <c r="GY91">
        <f>IF(DATA!981:981,"AAAAAHdrPs4=",0)</f>
        <v>0</v>
      </c>
      <c r="GZ91" t="e">
        <f>AND(DATA!A981,"AAAAAHdrPs8=")</f>
        <v>#VALUE!</v>
      </c>
      <c r="HA91" t="e">
        <f>AND(DATA!B981,"AAAAAHdrPtA=")</f>
        <v>#VALUE!</v>
      </c>
      <c r="HB91" t="e">
        <f>AND(DATA!C981,"AAAAAHdrPtE=")</f>
        <v>#VALUE!</v>
      </c>
      <c r="HC91" t="e">
        <f>AND(DATA!D981,"AAAAAHdrPtI=")</f>
        <v>#VALUE!</v>
      </c>
      <c r="HD91" t="e">
        <f>AND(DATA!E981,"AAAAAHdrPtM=")</f>
        <v>#VALUE!</v>
      </c>
      <c r="HE91" t="e">
        <f>AND(DATA!F981,"AAAAAHdrPtQ=")</f>
        <v>#VALUE!</v>
      </c>
      <c r="HF91" t="e">
        <f>AND(DATA!G981,"AAAAAHdrPtU=")</f>
        <v>#VALUE!</v>
      </c>
      <c r="HG91" t="e">
        <f>AND(DATA!H981,"AAAAAHdrPtY=")</f>
        <v>#VALUE!</v>
      </c>
      <c r="HH91" t="e">
        <f>AND(DATA!I981,"AAAAAHdrPtc=")</f>
        <v>#VALUE!</v>
      </c>
      <c r="HI91" t="e">
        <f>AND(DATA!J981,"AAAAAHdrPtg=")</f>
        <v>#VALUE!</v>
      </c>
      <c r="HJ91" t="e">
        <f>AND(DATA!K981,"AAAAAHdrPtk=")</f>
        <v>#VALUE!</v>
      </c>
      <c r="HK91" t="b">
        <f>AND(DATA!L981,"AAAAAHdrPto=")</f>
        <v>1</v>
      </c>
      <c r="HL91" t="e">
        <f>AND(DATA!M981,"AAAAAHdrPts=")</f>
        <v>#VALUE!</v>
      </c>
      <c r="HM91" t="b">
        <f>AND(DATA!N981,"AAAAAHdrPtw=")</f>
        <v>1</v>
      </c>
      <c r="HN91">
        <f>IF(DATA!982:982,"AAAAAHdrPt0=",0)</f>
        <v>0</v>
      </c>
      <c r="HO91" t="e">
        <f>AND(DATA!A982,"AAAAAHdrPt4=")</f>
        <v>#VALUE!</v>
      </c>
      <c r="HP91" t="e">
        <f>AND(DATA!B982,"AAAAAHdrPt8=")</f>
        <v>#VALUE!</v>
      </c>
      <c r="HQ91" t="e">
        <f>AND(DATA!C982,"AAAAAHdrPuA=")</f>
        <v>#VALUE!</v>
      </c>
      <c r="HR91" t="e">
        <f>AND(DATA!D982,"AAAAAHdrPuE=")</f>
        <v>#VALUE!</v>
      </c>
      <c r="HS91" t="e">
        <f>AND(DATA!E982,"AAAAAHdrPuI=")</f>
        <v>#VALUE!</v>
      </c>
      <c r="HT91" t="e">
        <f>AND(DATA!F982,"AAAAAHdrPuM=")</f>
        <v>#VALUE!</v>
      </c>
      <c r="HU91" t="e">
        <f>AND(DATA!G982,"AAAAAHdrPuQ=")</f>
        <v>#VALUE!</v>
      </c>
      <c r="HV91" t="e">
        <f>AND(DATA!H982,"AAAAAHdrPuU=")</f>
        <v>#VALUE!</v>
      </c>
      <c r="HW91" t="e">
        <f>AND(DATA!I982,"AAAAAHdrPuY=")</f>
        <v>#VALUE!</v>
      </c>
      <c r="HX91" t="e">
        <f>AND(DATA!J982,"AAAAAHdrPuc=")</f>
        <v>#VALUE!</v>
      </c>
      <c r="HY91" t="e">
        <f>AND(DATA!K982,"AAAAAHdrPug=")</f>
        <v>#VALUE!</v>
      </c>
      <c r="HZ91" t="b">
        <f>AND(DATA!L982,"AAAAAHdrPuk=")</f>
        <v>1</v>
      </c>
      <c r="IA91" t="e">
        <f>AND(DATA!M982,"AAAAAHdrPuo=")</f>
        <v>#VALUE!</v>
      </c>
      <c r="IB91" t="b">
        <f>AND(DATA!N982,"AAAAAHdrPus=")</f>
        <v>1</v>
      </c>
      <c r="IC91">
        <f>IF(DATA!983:983,"AAAAAHdrPuw=",0)</f>
        <v>0</v>
      </c>
      <c r="ID91" t="e">
        <f>AND(DATA!A983,"AAAAAHdrPu0=")</f>
        <v>#VALUE!</v>
      </c>
      <c r="IE91" t="e">
        <f>AND(DATA!B983,"AAAAAHdrPu4=")</f>
        <v>#VALUE!</v>
      </c>
      <c r="IF91" t="e">
        <f>AND(DATA!C983,"AAAAAHdrPu8=")</f>
        <v>#VALUE!</v>
      </c>
      <c r="IG91" t="e">
        <f>AND(DATA!D983,"AAAAAHdrPvA=")</f>
        <v>#VALUE!</v>
      </c>
      <c r="IH91" t="e">
        <f>AND(DATA!E983,"AAAAAHdrPvE=")</f>
        <v>#VALUE!</v>
      </c>
      <c r="II91" t="e">
        <f>AND(DATA!F983,"AAAAAHdrPvI=")</f>
        <v>#VALUE!</v>
      </c>
      <c r="IJ91" t="e">
        <f>AND(DATA!G983,"AAAAAHdrPvM=")</f>
        <v>#VALUE!</v>
      </c>
      <c r="IK91" t="e">
        <f>AND(DATA!H983,"AAAAAHdrPvQ=")</f>
        <v>#VALUE!</v>
      </c>
      <c r="IL91" t="e">
        <f>AND(DATA!I983,"AAAAAHdrPvU=")</f>
        <v>#VALUE!</v>
      </c>
      <c r="IM91" t="e">
        <f>AND(DATA!J983,"AAAAAHdrPvY=")</f>
        <v>#VALUE!</v>
      </c>
      <c r="IN91" t="e">
        <f>AND(DATA!K983,"AAAAAHdrPvc=")</f>
        <v>#VALUE!</v>
      </c>
      <c r="IO91" t="b">
        <f>AND(DATA!L983,"AAAAAHdrPvg=")</f>
        <v>1</v>
      </c>
      <c r="IP91" t="e">
        <f>AND(DATA!M983,"AAAAAHdrPvk=")</f>
        <v>#VALUE!</v>
      </c>
      <c r="IQ91" t="b">
        <f>AND(DATA!N983,"AAAAAHdrPvo=")</f>
        <v>1</v>
      </c>
      <c r="IR91">
        <f>IF(DATA!984:984,"AAAAAHdrPvs=",0)</f>
        <v>0</v>
      </c>
      <c r="IS91" t="e">
        <f>AND(DATA!A984,"AAAAAHdrPvw=")</f>
        <v>#VALUE!</v>
      </c>
      <c r="IT91" t="e">
        <f>AND(DATA!B984,"AAAAAHdrPv0=")</f>
        <v>#VALUE!</v>
      </c>
      <c r="IU91" t="e">
        <f>AND(DATA!C984,"AAAAAHdrPv4=")</f>
        <v>#VALUE!</v>
      </c>
      <c r="IV91" t="e">
        <f>AND(DATA!D984,"AAAAAHdrPv8=")</f>
        <v>#VALUE!</v>
      </c>
    </row>
    <row r="92" spans="1:256">
      <c r="A92" t="e">
        <f>AND(DATA!E984,"AAAAAFqbVgA=")</f>
        <v>#VALUE!</v>
      </c>
      <c r="B92" t="e">
        <f>AND(DATA!F984,"AAAAAFqbVgE=")</f>
        <v>#VALUE!</v>
      </c>
      <c r="C92" t="e">
        <f>AND(DATA!G984,"AAAAAFqbVgI=")</f>
        <v>#VALUE!</v>
      </c>
      <c r="D92" t="e">
        <f>AND(DATA!H984,"AAAAAFqbVgM=")</f>
        <v>#VALUE!</v>
      </c>
      <c r="E92" t="e">
        <f>AND(DATA!I984,"AAAAAFqbVgQ=")</f>
        <v>#VALUE!</v>
      </c>
      <c r="F92" t="e">
        <f>AND(DATA!J984,"AAAAAFqbVgU=")</f>
        <v>#VALUE!</v>
      </c>
      <c r="G92" t="e">
        <f>AND(DATA!K984,"AAAAAFqbVgY=")</f>
        <v>#VALUE!</v>
      </c>
      <c r="H92" t="b">
        <f>AND(DATA!L984,"AAAAAFqbVgc=")</f>
        <v>1</v>
      </c>
      <c r="I92" t="e">
        <f>AND(DATA!M984,"AAAAAFqbVgg=")</f>
        <v>#VALUE!</v>
      </c>
      <c r="J92" t="b">
        <f>AND(DATA!N984,"AAAAAFqbVgk=")</f>
        <v>1</v>
      </c>
      <c r="K92">
        <f>IF(DATA!985:985,"AAAAAFqbVgo=",0)</f>
        <v>0</v>
      </c>
      <c r="L92" t="e">
        <f>AND(DATA!A985,"AAAAAFqbVgs=")</f>
        <v>#VALUE!</v>
      </c>
      <c r="M92" t="e">
        <f>AND(DATA!B985,"AAAAAFqbVgw=")</f>
        <v>#VALUE!</v>
      </c>
      <c r="N92" t="e">
        <f>AND(DATA!C985,"AAAAAFqbVg0=")</f>
        <v>#VALUE!</v>
      </c>
      <c r="O92" t="e">
        <f>AND(DATA!D985,"AAAAAFqbVg4=")</f>
        <v>#VALUE!</v>
      </c>
      <c r="P92" t="e">
        <f>AND(DATA!E985,"AAAAAFqbVg8=")</f>
        <v>#VALUE!</v>
      </c>
      <c r="Q92" t="e">
        <f>AND(DATA!F985,"AAAAAFqbVhA=")</f>
        <v>#VALUE!</v>
      </c>
      <c r="R92" t="e">
        <f>AND(DATA!G985,"AAAAAFqbVhE=")</f>
        <v>#VALUE!</v>
      </c>
      <c r="S92" t="e">
        <f>AND(DATA!H985,"AAAAAFqbVhI=")</f>
        <v>#VALUE!</v>
      </c>
      <c r="T92" t="e">
        <f>AND(DATA!I985,"AAAAAFqbVhM=")</f>
        <v>#VALUE!</v>
      </c>
      <c r="U92" t="e">
        <f>AND(DATA!J985,"AAAAAFqbVhQ=")</f>
        <v>#VALUE!</v>
      </c>
      <c r="V92" t="e">
        <f>AND(DATA!K985,"AAAAAFqbVhU=")</f>
        <v>#VALUE!</v>
      </c>
      <c r="W92" t="b">
        <f>AND(DATA!L985,"AAAAAFqbVhY=")</f>
        <v>1</v>
      </c>
      <c r="X92" t="e">
        <f>AND(DATA!M985,"AAAAAFqbVhc=")</f>
        <v>#VALUE!</v>
      </c>
      <c r="Y92" t="b">
        <f>AND(DATA!N985,"AAAAAFqbVhg=")</f>
        <v>1</v>
      </c>
      <c r="Z92">
        <f>IF(DATA!986:986,"AAAAAFqbVhk=",0)</f>
        <v>0</v>
      </c>
      <c r="AA92" t="e">
        <f>AND(DATA!A986,"AAAAAFqbVho=")</f>
        <v>#VALUE!</v>
      </c>
      <c r="AB92" t="e">
        <f>AND(DATA!B986,"AAAAAFqbVhs=")</f>
        <v>#VALUE!</v>
      </c>
      <c r="AC92" t="e">
        <f>AND(DATA!C986,"AAAAAFqbVhw=")</f>
        <v>#VALUE!</v>
      </c>
      <c r="AD92" t="e">
        <f>AND(DATA!D986,"AAAAAFqbVh0=")</f>
        <v>#VALUE!</v>
      </c>
      <c r="AE92" t="e">
        <f>AND(DATA!E986,"AAAAAFqbVh4=")</f>
        <v>#VALUE!</v>
      </c>
      <c r="AF92" t="e">
        <f>AND(DATA!F986,"AAAAAFqbVh8=")</f>
        <v>#VALUE!</v>
      </c>
      <c r="AG92" t="e">
        <f>AND(DATA!G986,"AAAAAFqbViA=")</f>
        <v>#VALUE!</v>
      </c>
      <c r="AH92" t="e">
        <f>AND(DATA!H986,"AAAAAFqbViE=")</f>
        <v>#VALUE!</v>
      </c>
      <c r="AI92" t="e">
        <f>AND(DATA!I986,"AAAAAFqbViI=")</f>
        <v>#VALUE!</v>
      </c>
      <c r="AJ92" t="e">
        <f>AND(DATA!J986,"AAAAAFqbViM=")</f>
        <v>#VALUE!</v>
      </c>
      <c r="AK92" t="e">
        <f>AND(DATA!K986,"AAAAAFqbViQ=")</f>
        <v>#VALUE!</v>
      </c>
      <c r="AL92" t="b">
        <f>AND(DATA!L986,"AAAAAFqbViU=")</f>
        <v>1</v>
      </c>
      <c r="AM92" t="e">
        <f>AND(DATA!M986,"AAAAAFqbViY=")</f>
        <v>#VALUE!</v>
      </c>
      <c r="AN92" t="b">
        <f>AND(DATA!N986,"AAAAAFqbVic=")</f>
        <v>1</v>
      </c>
      <c r="AO92">
        <f>IF(DATA!987:987,"AAAAAFqbVig=",0)</f>
        <v>0</v>
      </c>
      <c r="AP92" t="e">
        <f>AND(DATA!A987,"AAAAAFqbVik=")</f>
        <v>#VALUE!</v>
      </c>
      <c r="AQ92" t="e">
        <f>AND(DATA!B987,"AAAAAFqbVio=")</f>
        <v>#VALUE!</v>
      </c>
      <c r="AR92" t="e">
        <f>AND(DATA!C987,"AAAAAFqbVis=")</f>
        <v>#VALUE!</v>
      </c>
      <c r="AS92" t="e">
        <f>AND(DATA!D987,"AAAAAFqbViw=")</f>
        <v>#VALUE!</v>
      </c>
      <c r="AT92" t="e">
        <f>AND(DATA!E987,"AAAAAFqbVi0=")</f>
        <v>#VALUE!</v>
      </c>
      <c r="AU92" t="e">
        <f>AND(DATA!F987,"AAAAAFqbVi4=")</f>
        <v>#VALUE!</v>
      </c>
      <c r="AV92" t="e">
        <f>AND(DATA!G987,"AAAAAFqbVi8=")</f>
        <v>#VALUE!</v>
      </c>
      <c r="AW92" t="e">
        <f>AND(DATA!H987,"AAAAAFqbVjA=")</f>
        <v>#VALUE!</v>
      </c>
      <c r="AX92" t="e">
        <f>AND(DATA!I987,"AAAAAFqbVjE=")</f>
        <v>#VALUE!</v>
      </c>
      <c r="AY92" t="e">
        <f>AND(DATA!J987,"AAAAAFqbVjI=")</f>
        <v>#VALUE!</v>
      </c>
      <c r="AZ92" t="e">
        <f>AND(DATA!K987,"AAAAAFqbVjM=")</f>
        <v>#VALUE!</v>
      </c>
      <c r="BA92" t="b">
        <f>AND(DATA!L987,"AAAAAFqbVjQ=")</f>
        <v>1</v>
      </c>
      <c r="BB92" t="e">
        <f>AND(DATA!M987,"AAAAAFqbVjU=")</f>
        <v>#VALUE!</v>
      </c>
      <c r="BC92" t="b">
        <f>AND(DATA!N987,"AAAAAFqbVjY=")</f>
        <v>1</v>
      </c>
      <c r="BD92">
        <f>IF(DATA!988:988,"AAAAAFqbVjc=",0)</f>
        <v>0</v>
      </c>
      <c r="BE92" t="e">
        <f>AND(DATA!A988,"AAAAAFqbVjg=")</f>
        <v>#VALUE!</v>
      </c>
      <c r="BF92" t="e">
        <f>AND(DATA!B988,"AAAAAFqbVjk=")</f>
        <v>#VALUE!</v>
      </c>
      <c r="BG92" t="e">
        <f>AND(DATA!C988,"AAAAAFqbVjo=")</f>
        <v>#VALUE!</v>
      </c>
      <c r="BH92" t="e">
        <f>AND(DATA!D988,"AAAAAFqbVjs=")</f>
        <v>#VALUE!</v>
      </c>
      <c r="BI92" t="e">
        <f>AND(DATA!E988,"AAAAAFqbVjw=")</f>
        <v>#VALUE!</v>
      </c>
      <c r="BJ92" t="e">
        <f>AND(DATA!F988,"AAAAAFqbVj0=")</f>
        <v>#VALUE!</v>
      </c>
      <c r="BK92" t="e">
        <f>AND(DATA!G988,"AAAAAFqbVj4=")</f>
        <v>#VALUE!</v>
      </c>
      <c r="BL92" t="e">
        <f>AND(DATA!H988,"AAAAAFqbVj8=")</f>
        <v>#VALUE!</v>
      </c>
      <c r="BM92" t="e">
        <f>AND(DATA!I988,"AAAAAFqbVkA=")</f>
        <v>#VALUE!</v>
      </c>
      <c r="BN92" t="e">
        <f>AND(DATA!J988,"AAAAAFqbVkE=")</f>
        <v>#VALUE!</v>
      </c>
      <c r="BO92" t="e">
        <f>AND(DATA!K988,"AAAAAFqbVkI=")</f>
        <v>#VALUE!</v>
      </c>
      <c r="BP92" t="b">
        <f>AND(DATA!L988,"AAAAAFqbVkM=")</f>
        <v>1</v>
      </c>
      <c r="BQ92" t="e">
        <f>AND(DATA!M988,"AAAAAFqbVkQ=")</f>
        <v>#VALUE!</v>
      </c>
      <c r="BR92" t="b">
        <f>AND(DATA!N988,"AAAAAFqbVkU=")</f>
        <v>1</v>
      </c>
      <c r="BS92">
        <f>IF(DATA!989:989,"AAAAAFqbVkY=",0)</f>
        <v>0</v>
      </c>
      <c r="BT92" t="e">
        <f>AND(DATA!A989,"AAAAAFqbVkc=")</f>
        <v>#VALUE!</v>
      </c>
      <c r="BU92" t="e">
        <f>AND(DATA!B989,"AAAAAFqbVkg=")</f>
        <v>#VALUE!</v>
      </c>
      <c r="BV92" t="e">
        <f>AND(DATA!C989,"AAAAAFqbVkk=")</f>
        <v>#VALUE!</v>
      </c>
      <c r="BW92" t="e">
        <f>AND(DATA!D989,"AAAAAFqbVko=")</f>
        <v>#VALUE!</v>
      </c>
      <c r="BX92" t="e">
        <f>AND(DATA!E989,"AAAAAFqbVks=")</f>
        <v>#VALUE!</v>
      </c>
      <c r="BY92" t="e">
        <f>AND(DATA!F989,"AAAAAFqbVkw=")</f>
        <v>#VALUE!</v>
      </c>
      <c r="BZ92" t="e">
        <f>AND(DATA!G989,"AAAAAFqbVk0=")</f>
        <v>#VALUE!</v>
      </c>
      <c r="CA92" t="e">
        <f>AND(DATA!H989,"AAAAAFqbVk4=")</f>
        <v>#VALUE!</v>
      </c>
      <c r="CB92" t="e">
        <f>AND(DATA!I989,"AAAAAFqbVk8=")</f>
        <v>#VALUE!</v>
      </c>
      <c r="CC92" t="e">
        <f>AND(DATA!J989,"AAAAAFqbVlA=")</f>
        <v>#VALUE!</v>
      </c>
      <c r="CD92" t="e">
        <f>AND(DATA!K989,"AAAAAFqbVlE=")</f>
        <v>#VALUE!</v>
      </c>
      <c r="CE92" t="b">
        <f>AND(DATA!L989,"AAAAAFqbVlI=")</f>
        <v>1</v>
      </c>
      <c r="CF92" t="e">
        <f>AND(DATA!M989,"AAAAAFqbVlM=")</f>
        <v>#VALUE!</v>
      </c>
      <c r="CG92" t="b">
        <f>AND(DATA!N989,"AAAAAFqbVlQ=")</f>
        <v>1</v>
      </c>
      <c r="CH92">
        <f>IF(DATA!990:990,"AAAAAFqbVlU=",0)</f>
        <v>0</v>
      </c>
      <c r="CI92" t="e">
        <f>AND(DATA!A990,"AAAAAFqbVlY=")</f>
        <v>#VALUE!</v>
      </c>
      <c r="CJ92" t="e">
        <f>AND(DATA!B990,"AAAAAFqbVlc=")</f>
        <v>#VALUE!</v>
      </c>
      <c r="CK92" t="e">
        <f>AND(DATA!C990,"AAAAAFqbVlg=")</f>
        <v>#VALUE!</v>
      </c>
      <c r="CL92" t="e">
        <f>AND(DATA!D990,"AAAAAFqbVlk=")</f>
        <v>#VALUE!</v>
      </c>
      <c r="CM92" t="e">
        <f>AND(DATA!E990,"AAAAAFqbVlo=")</f>
        <v>#VALUE!</v>
      </c>
      <c r="CN92" t="e">
        <f>AND(DATA!F990,"AAAAAFqbVls=")</f>
        <v>#VALUE!</v>
      </c>
      <c r="CO92" t="e">
        <f>AND(DATA!G990,"AAAAAFqbVlw=")</f>
        <v>#VALUE!</v>
      </c>
      <c r="CP92" t="e">
        <f>AND(DATA!H990,"AAAAAFqbVl0=")</f>
        <v>#VALUE!</v>
      </c>
      <c r="CQ92" t="e">
        <f>AND(DATA!I990,"AAAAAFqbVl4=")</f>
        <v>#VALUE!</v>
      </c>
      <c r="CR92" t="e">
        <f>AND(DATA!J990,"AAAAAFqbVl8=")</f>
        <v>#VALUE!</v>
      </c>
      <c r="CS92" t="e">
        <f>AND(DATA!K990,"AAAAAFqbVmA=")</f>
        <v>#VALUE!</v>
      </c>
      <c r="CT92" t="b">
        <f>AND(DATA!L990,"AAAAAFqbVmE=")</f>
        <v>1</v>
      </c>
      <c r="CU92" t="e">
        <f>AND(DATA!M990,"AAAAAFqbVmI=")</f>
        <v>#VALUE!</v>
      </c>
      <c r="CV92" t="b">
        <f>AND(DATA!N990,"AAAAAFqbVmM=")</f>
        <v>1</v>
      </c>
      <c r="CW92">
        <f>IF(DATA!991:991,"AAAAAFqbVmQ=",0)</f>
        <v>0</v>
      </c>
      <c r="CX92" t="e">
        <f>AND(DATA!A991,"AAAAAFqbVmU=")</f>
        <v>#VALUE!</v>
      </c>
      <c r="CY92" t="e">
        <f>AND(DATA!B991,"AAAAAFqbVmY=")</f>
        <v>#VALUE!</v>
      </c>
      <c r="CZ92" t="e">
        <f>AND(DATA!C991,"AAAAAFqbVmc=")</f>
        <v>#VALUE!</v>
      </c>
      <c r="DA92" t="e">
        <f>AND(DATA!D991,"AAAAAFqbVmg=")</f>
        <v>#VALUE!</v>
      </c>
      <c r="DB92" t="e">
        <f>AND(DATA!E991,"AAAAAFqbVmk=")</f>
        <v>#VALUE!</v>
      </c>
      <c r="DC92" t="e">
        <f>AND(DATA!F991,"AAAAAFqbVmo=")</f>
        <v>#VALUE!</v>
      </c>
      <c r="DD92" t="e">
        <f>AND(DATA!G991,"AAAAAFqbVms=")</f>
        <v>#VALUE!</v>
      </c>
      <c r="DE92" t="e">
        <f>AND(DATA!H991,"AAAAAFqbVmw=")</f>
        <v>#VALUE!</v>
      </c>
      <c r="DF92" t="e">
        <f>AND(DATA!I991,"AAAAAFqbVm0=")</f>
        <v>#VALUE!</v>
      </c>
      <c r="DG92" t="e">
        <f>AND(DATA!J991,"AAAAAFqbVm4=")</f>
        <v>#VALUE!</v>
      </c>
      <c r="DH92" t="e">
        <f>AND(DATA!K991,"AAAAAFqbVm8=")</f>
        <v>#VALUE!</v>
      </c>
      <c r="DI92" t="b">
        <f>AND(DATA!L991,"AAAAAFqbVnA=")</f>
        <v>1</v>
      </c>
      <c r="DJ92" t="e">
        <f>AND(DATA!M991,"AAAAAFqbVnE=")</f>
        <v>#VALUE!</v>
      </c>
      <c r="DK92" t="b">
        <f>AND(DATA!N991,"AAAAAFqbVnI=")</f>
        <v>1</v>
      </c>
      <c r="DL92">
        <f>IF(DATA!992:992,"AAAAAFqbVnM=",0)</f>
        <v>0</v>
      </c>
      <c r="DM92" t="e">
        <f>AND(DATA!A992,"AAAAAFqbVnQ=")</f>
        <v>#VALUE!</v>
      </c>
      <c r="DN92" t="e">
        <f>AND(DATA!B992,"AAAAAFqbVnU=")</f>
        <v>#VALUE!</v>
      </c>
      <c r="DO92" t="e">
        <f>AND(DATA!C992,"AAAAAFqbVnY=")</f>
        <v>#VALUE!</v>
      </c>
      <c r="DP92" t="e">
        <f>AND(DATA!D992,"AAAAAFqbVnc=")</f>
        <v>#VALUE!</v>
      </c>
      <c r="DQ92" t="e">
        <f>AND(DATA!E992,"AAAAAFqbVng=")</f>
        <v>#VALUE!</v>
      </c>
      <c r="DR92" t="e">
        <f>AND(DATA!F992,"AAAAAFqbVnk=")</f>
        <v>#VALUE!</v>
      </c>
      <c r="DS92" t="e">
        <f>AND(DATA!G992,"AAAAAFqbVno=")</f>
        <v>#VALUE!</v>
      </c>
      <c r="DT92" t="e">
        <f>AND(DATA!H992,"AAAAAFqbVns=")</f>
        <v>#VALUE!</v>
      </c>
      <c r="DU92" t="e">
        <f>AND(DATA!I992,"AAAAAFqbVnw=")</f>
        <v>#VALUE!</v>
      </c>
      <c r="DV92" t="e">
        <f>AND(DATA!J992,"AAAAAFqbVn0=")</f>
        <v>#VALUE!</v>
      </c>
      <c r="DW92" t="e">
        <f>AND(DATA!K992,"AAAAAFqbVn4=")</f>
        <v>#VALUE!</v>
      </c>
      <c r="DX92" t="b">
        <f>AND(DATA!L992,"AAAAAFqbVn8=")</f>
        <v>1</v>
      </c>
      <c r="DY92" t="e">
        <f>AND(DATA!M992,"AAAAAFqbVoA=")</f>
        <v>#VALUE!</v>
      </c>
      <c r="DZ92" t="b">
        <f>AND(DATA!N992,"AAAAAFqbVoE=")</f>
        <v>1</v>
      </c>
      <c r="EA92">
        <f>IF(DATA!993:993,"AAAAAFqbVoI=",0)</f>
        <v>0</v>
      </c>
      <c r="EB92" t="e">
        <f>AND(DATA!A993,"AAAAAFqbVoM=")</f>
        <v>#VALUE!</v>
      </c>
      <c r="EC92" t="e">
        <f>AND(DATA!B993,"AAAAAFqbVoQ=")</f>
        <v>#VALUE!</v>
      </c>
      <c r="ED92" t="e">
        <f>AND(DATA!C993,"AAAAAFqbVoU=")</f>
        <v>#VALUE!</v>
      </c>
      <c r="EE92" t="e">
        <f>AND(DATA!D993,"AAAAAFqbVoY=")</f>
        <v>#VALUE!</v>
      </c>
      <c r="EF92" t="e">
        <f>AND(DATA!E993,"AAAAAFqbVoc=")</f>
        <v>#VALUE!</v>
      </c>
      <c r="EG92" t="e">
        <f>AND(DATA!F993,"AAAAAFqbVog=")</f>
        <v>#VALUE!</v>
      </c>
      <c r="EH92" t="e">
        <f>AND(DATA!G993,"AAAAAFqbVok=")</f>
        <v>#VALUE!</v>
      </c>
      <c r="EI92" t="e">
        <f>AND(DATA!H993,"AAAAAFqbVoo=")</f>
        <v>#VALUE!</v>
      </c>
      <c r="EJ92" t="e">
        <f>AND(DATA!I993,"AAAAAFqbVos=")</f>
        <v>#VALUE!</v>
      </c>
      <c r="EK92" t="e">
        <f>AND(DATA!J993,"AAAAAFqbVow=")</f>
        <v>#VALUE!</v>
      </c>
      <c r="EL92" t="e">
        <f>AND(DATA!K993,"AAAAAFqbVo0=")</f>
        <v>#VALUE!</v>
      </c>
      <c r="EM92" t="b">
        <f>AND(DATA!L993,"AAAAAFqbVo4=")</f>
        <v>1</v>
      </c>
      <c r="EN92" t="e">
        <f>AND(DATA!M993,"AAAAAFqbVo8=")</f>
        <v>#VALUE!</v>
      </c>
      <c r="EO92" t="b">
        <f>AND(DATA!N993,"AAAAAFqbVpA=")</f>
        <v>1</v>
      </c>
      <c r="EP92">
        <f>IF(DATA!994:994,"AAAAAFqbVpE=",0)</f>
        <v>0</v>
      </c>
      <c r="EQ92" t="e">
        <f>AND(DATA!A994,"AAAAAFqbVpI=")</f>
        <v>#VALUE!</v>
      </c>
      <c r="ER92" t="e">
        <f>AND(DATA!B994,"AAAAAFqbVpM=")</f>
        <v>#VALUE!</v>
      </c>
      <c r="ES92" t="e">
        <f>AND(DATA!C994,"AAAAAFqbVpQ=")</f>
        <v>#VALUE!</v>
      </c>
      <c r="ET92" t="e">
        <f>AND(DATA!D994,"AAAAAFqbVpU=")</f>
        <v>#VALUE!</v>
      </c>
      <c r="EU92" t="e">
        <f>AND(DATA!E994,"AAAAAFqbVpY=")</f>
        <v>#VALUE!</v>
      </c>
      <c r="EV92" t="e">
        <f>AND(DATA!F994,"AAAAAFqbVpc=")</f>
        <v>#VALUE!</v>
      </c>
      <c r="EW92" t="e">
        <f>AND(DATA!G994,"AAAAAFqbVpg=")</f>
        <v>#VALUE!</v>
      </c>
      <c r="EX92" t="e">
        <f>AND(DATA!H994,"AAAAAFqbVpk=")</f>
        <v>#VALUE!</v>
      </c>
      <c r="EY92" t="e">
        <f>AND(DATA!I994,"AAAAAFqbVpo=")</f>
        <v>#VALUE!</v>
      </c>
      <c r="EZ92" t="e">
        <f>AND(DATA!J994,"AAAAAFqbVps=")</f>
        <v>#VALUE!</v>
      </c>
      <c r="FA92" t="e">
        <f>AND(DATA!K994,"AAAAAFqbVpw=")</f>
        <v>#VALUE!</v>
      </c>
      <c r="FB92" t="b">
        <f>AND(DATA!L994,"AAAAAFqbVp0=")</f>
        <v>1</v>
      </c>
      <c r="FC92" t="e">
        <f>AND(DATA!M994,"AAAAAFqbVp4=")</f>
        <v>#VALUE!</v>
      </c>
      <c r="FD92" t="b">
        <f>AND(DATA!N994,"AAAAAFqbVp8=")</f>
        <v>1</v>
      </c>
      <c r="FE92">
        <f>IF(DATA!995:995,"AAAAAFqbVqA=",0)</f>
        <v>0</v>
      </c>
      <c r="FF92" t="e">
        <f>AND(DATA!A995,"AAAAAFqbVqE=")</f>
        <v>#VALUE!</v>
      </c>
      <c r="FG92" t="e">
        <f>AND(DATA!B995,"AAAAAFqbVqI=")</f>
        <v>#VALUE!</v>
      </c>
      <c r="FH92" t="e">
        <f>AND(DATA!C995,"AAAAAFqbVqM=")</f>
        <v>#VALUE!</v>
      </c>
      <c r="FI92" t="e">
        <f>AND(DATA!D995,"AAAAAFqbVqQ=")</f>
        <v>#VALUE!</v>
      </c>
      <c r="FJ92" t="e">
        <f>AND(DATA!E995,"AAAAAFqbVqU=")</f>
        <v>#VALUE!</v>
      </c>
      <c r="FK92" t="e">
        <f>AND(DATA!F995,"AAAAAFqbVqY=")</f>
        <v>#VALUE!</v>
      </c>
      <c r="FL92" t="e">
        <f>AND(DATA!G995,"AAAAAFqbVqc=")</f>
        <v>#VALUE!</v>
      </c>
      <c r="FM92" t="e">
        <f>AND(DATA!H995,"AAAAAFqbVqg=")</f>
        <v>#VALUE!</v>
      </c>
      <c r="FN92" t="e">
        <f>AND(DATA!I995,"AAAAAFqbVqk=")</f>
        <v>#VALUE!</v>
      </c>
      <c r="FO92" t="e">
        <f>AND(DATA!J995,"AAAAAFqbVqo=")</f>
        <v>#VALUE!</v>
      </c>
      <c r="FP92" t="e">
        <f>AND(DATA!K995,"AAAAAFqbVqs=")</f>
        <v>#VALUE!</v>
      </c>
      <c r="FQ92" t="b">
        <f>AND(DATA!L995,"AAAAAFqbVqw=")</f>
        <v>1</v>
      </c>
      <c r="FR92" t="e">
        <f>AND(DATA!M995,"AAAAAFqbVq0=")</f>
        <v>#VALUE!</v>
      </c>
      <c r="FS92" t="b">
        <f>AND(DATA!N995,"AAAAAFqbVq4=")</f>
        <v>1</v>
      </c>
      <c r="FT92">
        <f>IF(DATA!996:996,"AAAAAFqbVq8=",0)</f>
        <v>0</v>
      </c>
      <c r="FU92" t="e">
        <f>AND(DATA!A996,"AAAAAFqbVrA=")</f>
        <v>#VALUE!</v>
      </c>
      <c r="FV92" t="e">
        <f>AND(DATA!B996,"AAAAAFqbVrE=")</f>
        <v>#VALUE!</v>
      </c>
      <c r="FW92" t="e">
        <f>AND(DATA!C996,"AAAAAFqbVrI=")</f>
        <v>#VALUE!</v>
      </c>
      <c r="FX92" t="e">
        <f>AND(DATA!D996,"AAAAAFqbVrM=")</f>
        <v>#VALUE!</v>
      </c>
      <c r="FY92" t="e">
        <f>AND(DATA!E996,"AAAAAFqbVrQ=")</f>
        <v>#VALUE!</v>
      </c>
      <c r="FZ92" t="e">
        <f>AND(DATA!F996,"AAAAAFqbVrU=")</f>
        <v>#VALUE!</v>
      </c>
      <c r="GA92" t="e">
        <f>AND(DATA!G996,"AAAAAFqbVrY=")</f>
        <v>#VALUE!</v>
      </c>
      <c r="GB92" t="e">
        <f>AND(DATA!H996,"AAAAAFqbVrc=")</f>
        <v>#VALUE!</v>
      </c>
      <c r="GC92" t="e">
        <f>AND(DATA!I996,"AAAAAFqbVrg=")</f>
        <v>#VALUE!</v>
      </c>
      <c r="GD92" t="e">
        <f>AND(DATA!J996,"AAAAAFqbVrk=")</f>
        <v>#VALUE!</v>
      </c>
      <c r="GE92" t="e">
        <f>AND(DATA!K996,"AAAAAFqbVro=")</f>
        <v>#VALUE!</v>
      </c>
      <c r="GF92" t="b">
        <f>AND(DATA!L996,"AAAAAFqbVrs=")</f>
        <v>1</v>
      </c>
      <c r="GG92" t="e">
        <f>AND(DATA!M996,"AAAAAFqbVrw=")</f>
        <v>#VALUE!</v>
      </c>
      <c r="GH92" t="b">
        <f>AND(DATA!N996,"AAAAAFqbVr0=")</f>
        <v>1</v>
      </c>
      <c r="GI92">
        <f>IF(DATA!997:997,"AAAAAFqbVr4=",0)</f>
        <v>0</v>
      </c>
      <c r="GJ92" t="e">
        <f>AND(DATA!A997,"AAAAAFqbVr8=")</f>
        <v>#VALUE!</v>
      </c>
      <c r="GK92" t="e">
        <f>AND(DATA!B997,"AAAAAFqbVsA=")</f>
        <v>#VALUE!</v>
      </c>
      <c r="GL92" t="e">
        <f>AND(DATA!C997,"AAAAAFqbVsE=")</f>
        <v>#VALUE!</v>
      </c>
      <c r="GM92" t="e">
        <f>AND(DATA!D997,"AAAAAFqbVsI=")</f>
        <v>#VALUE!</v>
      </c>
      <c r="GN92" t="e">
        <f>AND(DATA!E997,"AAAAAFqbVsM=")</f>
        <v>#VALUE!</v>
      </c>
      <c r="GO92" t="e">
        <f>AND(DATA!F997,"AAAAAFqbVsQ=")</f>
        <v>#VALUE!</v>
      </c>
      <c r="GP92" t="e">
        <f>AND(DATA!G997,"AAAAAFqbVsU=")</f>
        <v>#VALUE!</v>
      </c>
      <c r="GQ92" t="e">
        <f>AND(DATA!H997,"AAAAAFqbVsY=")</f>
        <v>#VALUE!</v>
      </c>
      <c r="GR92" t="e">
        <f>AND(DATA!I997,"AAAAAFqbVsc=")</f>
        <v>#VALUE!</v>
      </c>
      <c r="GS92" t="e">
        <f>AND(DATA!J997,"AAAAAFqbVsg=")</f>
        <v>#VALUE!</v>
      </c>
      <c r="GT92" t="e">
        <f>AND(DATA!K997,"AAAAAFqbVsk=")</f>
        <v>#VALUE!</v>
      </c>
      <c r="GU92" t="b">
        <f>AND(DATA!L997,"AAAAAFqbVso=")</f>
        <v>1</v>
      </c>
      <c r="GV92" t="e">
        <f>AND(DATA!M997,"AAAAAFqbVss=")</f>
        <v>#VALUE!</v>
      </c>
      <c r="GW92" t="b">
        <f>AND(DATA!N997,"AAAAAFqbVsw=")</f>
        <v>1</v>
      </c>
      <c r="GX92">
        <f>IF(DATA!998:998,"AAAAAFqbVs0=",0)</f>
        <v>0</v>
      </c>
      <c r="GY92" t="e">
        <f>AND(DATA!A998,"AAAAAFqbVs4=")</f>
        <v>#VALUE!</v>
      </c>
      <c r="GZ92" t="e">
        <f>AND(DATA!B998,"AAAAAFqbVs8=")</f>
        <v>#VALUE!</v>
      </c>
      <c r="HA92" t="e">
        <f>AND(DATA!C998,"AAAAAFqbVtA=")</f>
        <v>#VALUE!</v>
      </c>
      <c r="HB92" t="e">
        <f>AND(DATA!D998,"AAAAAFqbVtE=")</f>
        <v>#VALUE!</v>
      </c>
      <c r="HC92" t="e">
        <f>AND(DATA!E998,"AAAAAFqbVtI=")</f>
        <v>#VALUE!</v>
      </c>
      <c r="HD92" t="e">
        <f>AND(DATA!F998,"AAAAAFqbVtM=")</f>
        <v>#VALUE!</v>
      </c>
      <c r="HE92" t="e">
        <f>AND(DATA!G998,"AAAAAFqbVtQ=")</f>
        <v>#VALUE!</v>
      </c>
      <c r="HF92" t="e">
        <f>AND(DATA!H998,"AAAAAFqbVtU=")</f>
        <v>#VALUE!</v>
      </c>
      <c r="HG92" t="e">
        <f>AND(DATA!I998,"AAAAAFqbVtY=")</f>
        <v>#VALUE!</v>
      </c>
      <c r="HH92" t="e">
        <f>AND(DATA!J998,"AAAAAFqbVtc=")</f>
        <v>#VALUE!</v>
      </c>
      <c r="HI92" t="e">
        <f>AND(DATA!K998,"AAAAAFqbVtg=")</f>
        <v>#VALUE!</v>
      </c>
      <c r="HJ92" t="b">
        <f>AND(DATA!L998,"AAAAAFqbVtk=")</f>
        <v>1</v>
      </c>
      <c r="HK92" t="e">
        <f>AND(DATA!M998,"AAAAAFqbVto=")</f>
        <v>#VALUE!</v>
      </c>
      <c r="HL92" t="b">
        <f>AND(DATA!N998,"AAAAAFqbVts=")</f>
        <v>1</v>
      </c>
      <c r="HM92">
        <f>IF(DATA!999:999,"AAAAAFqbVtw=",0)</f>
        <v>0</v>
      </c>
      <c r="HN92" t="e">
        <f>AND(DATA!A999,"AAAAAFqbVt0=")</f>
        <v>#VALUE!</v>
      </c>
      <c r="HO92" t="e">
        <f>AND(DATA!B999,"AAAAAFqbVt4=")</f>
        <v>#VALUE!</v>
      </c>
      <c r="HP92" t="e">
        <f>AND(DATA!C999,"AAAAAFqbVt8=")</f>
        <v>#VALUE!</v>
      </c>
      <c r="HQ92" t="e">
        <f>AND(DATA!D999,"AAAAAFqbVuA=")</f>
        <v>#VALUE!</v>
      </c>
      <c r="HR92" t="e">
        <f>AND(DATA!E999,"AAAAAFqbVuE=")</f>
        <v>#VALUE!</v>
      </c>
      <c r="HS92" t="e">
        <f>AND(DATA!F999,"AAAAAFqbVuI=")</f>
        <v>#VALUE!</v>
      </c>
      <c r="HT92" t="e">
        <f>AND(DATA!G999,"AAAAAFqbVuM=")</f>
        <v>#VALUE!</v>
      </c>
      <c r="HU92" t="e">
        <f>AND(DATA!H999,"AAAAAFqbVuQ=")</f>
        <v>#VALUE!</v>
      </c>
      <c r="HV92" t="e">
        <f>AND(DATA!I999,"AAAAAFqbVuU=")</f>
        <v>#VALUE!</v>
      </c>
      <c r="HW92" t="e">
        <f>AND(DATA!J999,"AAAAAFqbVuY=")</f>
        <v>#VALUE!</v>
      </c>
      <c r="HX92" t="e">
        <f>AND(DATA!K999,"AAAAAFqbVuc=")</f>
        <v>#VALUE!</v>
      </c>
      <c r="HY92" t="b">
        <f>AND(DATA!L999,"AAAAAFqbVug=")</f>
        <v>1</v>
      </c>
      <c r="HZ92" t="e">
        <f>AND(DATA!M999,"AAAAAFqbVuk=")</f>
        <v>#VALUE!</v>
      </c>
      <c r="IA92" t="b">
        <f>AND(DATA!N999,"AAAAAFqbVuo=")</f>
        <v>1</v>
      </c>
      <c r="IB92">
        <f>IF(DATA!1000:1000,"AAAAAFqbVus=",0)</f>
        <v>0</v>
      </c>
      <c r="IC92" t="e">
        <f>AND(DATA!A1000,"AAAAAFqbVuw=")</f>
        <v>#VALUE!</v>
      </c>
      <c r="ID92" t="e">
        <f>AND(DATA!B1000,"AAAAAFqbVu0=")</f>
        <v>#VALUE!</v>
      </c>
      <c r="IE92" t="e">
        <f>AND(DATA!C1000,"AAAAAFqbVu4=")</f>
        <v>#VALUE!</v>
      </c>
      <c r="IF92" t="e">
        <f>AND(DATA!D1000,"AAAAAFqbVu8=")</f>
        <v>#VALUE!</v>
      </c>
      <c r="IG92" t="e">
        <f>AND(DATA!E1000,"AAAAAFqbVvA=")</f>
        <v>#VALUE!</v>
      </c>
      <c r="IH92" t="e">
        <f>AND(DATA!F1000,"AAAAAFqbVvE=")</f>
        <v>#VALUE!</v>
      </c>
      <c r="II92" t="e">
        <f>AND(DATA!G1000,"AAAAAFqbVvI=")</f>
        <v>#VALUE!</v>
      </c>
      <c r="IJ92" t="e">
        <f>AND(DATA!H1000,"AAAAAFqbVvM=")</f>
        <v>#VALUE!</v>
      </c>
      <c r="IK92" t="e">
        <f>AND(DATA!I1000,"AAAAAFqbVvQ=")</f>
        <v>#VALUE!</v>
      </c>
      <c r="IL92" t="e">
        <f>AND(DATA!J1000,"AAAAAFqbVvU=")</f>
        <v>#VALUE!</v>
      </c>
      <c r="IM92" t="e">
        <f>AND(DATA!K1000,"AAAAAFqbVvY=")</f>
        <v>#VALUE!</v>
      </c>
      <c r="IN92" t="b">
        <f>AND(DATA!L1000,"AAAAAFqbVvc=")</f>
        <v>1</v>
      </c>
      <c r="IO92" t="e">
        <f>AND(DATA!M1000,"AAAAAFqbVvg=")</f>
        <v>#VALUE!</v>
      </c>
      <c r="IP92" t="b">
        <f>AND(DATA!N1000,"AAAAAFqbVvk=")</f>
        <v>1</v>
      </c>
      <c r="IQ92">
        <f>IF(DATA!1001:1001,"AAAAAFqbVvo=",0)</f>
        <v>0</v>
      </c>
      <c r="IR92" t="e">
        <f>AND(DATA!A1001,"AAAAAFqbVvs=")</f>
        <v>#VALUE!</v>
      </c>
      <c r="IS92" t="e">
        <f>AND(DATA!B1001,"AAAAAFqbVvw=")</f>
        <v>#VALUE!</v>
      </c>
      <c r="IT92" t="e">
        <f>AND(DATA!C1001,"AAAAAFqbVv0=")</f>
        <v>#VALUE!</v>
      </c>
      <c r="IU92" t="e">
        <f>AND(DATA!D1001,"AAAAAFqbVv4=")</f>
        <v>#VALUE!</v>
      </c>
      <c r="IV92" t="e">
        <f>AND(DATA!E1001,"AAAAAFqbVv8=")</f>
        <v>#VALUE!</v>
      </c>
    </row>
    <row r="93" spans="1:256">
      <c r="A93" t="e">
        <f>AND(DATA!F1001,"AAAAAH2/2wA=")</f>
        <v>#VALUE!</v>
      </c>
      <c r="B93" t="e">
        <f>AND(DATA!G1001,"AAAAAH2/2wE=")</f>
        <v>#VALUE!</v>
      </c>
      <c r="C93" t="e">
        <f>AND(DATA!H1001,"AAAAAH2/2wI=")</f>
        <v>#VALUE!</v>
      </c>
      <c r="D93" t="e">
        <f>AND(DATA!I1001,"AAAAAH2/2wM=")</f>
        <v>#VALUE!</v>
      </c>
      <c r="E93" t="e">
        <f>AND(DATA!J1001,"AAAAAH2/2wQ=")</f>
        <v>#VALUE!</v>
      </c>
      <c r="F93" t="e">
        <f>AND(DATA!K1001,"AAAAAH2/2wU=")</f>
        <v>#VALUE!</v>
      </c>
      <c r="G93" t="b">
        <f>AND(DATA!L1001,"AAAAAH2/2wY=")</f>
        <v>1</v>
      </c>
      <c r="H93" t="e">
        <f>AND(DATA!M1001,"AAAAAH2/2wc=")</f>
        <v>#VALUE!</v>
      </c>
      <c r="I93" t="b">
        <f>AND(DATA!N1001,"AAAAAH2/2wg=")</f>
        <v>1</v>
      </c>
      <c r="J93">
        <f>IF(DATA!1002:1002,"AAAAAH2/2wk=",0)</f>
        <v>0</v>
      </c>
      <c r="K93" t="e">
        <f>AND(DATA!A1002,"AAAAAH2/2wo=")</f>
        <v>#VALUE!</v>
      </c>
      <c r="L93" t="e">
        <f>AND(DATA!B1002,"AAAAAH2/2ws=")</f>
        <v>#VALUE!</v>
      </c>
      <c r="M93" t="e">
        <f>AND(DATA!C1002,"AAAAAH2/2ww=")</f>
        <v>#VALUE!</v>
      </c>
      <c r="N93" t="e">
        <f>AND(DATA!D1002,"AAAAAH2/2w0=")</f>
        <v>#VALUE!</v>
      </c>
      <c r="O93" t="e">
        <f>AND(DATA!E1002,"AAAAAH2/2w4=")</f>
        <v>#VALUE!</v>
      </c>
      <c r="P93" t="e">
        <f>AND(DATA!F1002,"AAAAAH2/2w8=")</f>
        <v>#VALUE!</v>
      </c>
      <c r="Q93" t="e">
        <f>AND(DATA!G1002,"AAAAAH2/2xA=")</f>
        <v>#VALUE!</v>
      </c>
      <c r="R93" t="e">
        <f>AND(DATA!H1002,"AAAAAH2/2xE=")</f>
        <v>#VALUE!</v>
      </c>
      <c r="S93" t="e">
        <f>AND(DATA!I1002,"AAAAAH2/2xI=")</f>
        <v>#VALUE!</v>
      </c>
      <c r="T93" t="e">
        <f>AND(DATA!J1002,"AAAAAH2/2xM=")</f>
        <v>#VALUE!</v>
      </c>
      <c r="U93" t="e">
        <f>AND(DATA!K1002,"AAAAAH2/2xQ=")</f>
        <v>#VALUE!</v>
      </c>
      <c r="V93" t="b">
        <f>AND(DATA!L1002,"AAAAAH2/2xU=")</f>
        <v>1</v>
      </c>
      <c r="W93" t="e">
        <f>AND(DATA!M1002,"AAAAAH2/2xY=")</f>
        <v>#VALUE!</v>
      </c>
      <c r="X93" t="b">
        <f>AND(DATA!N1002,"AAAAAH2/2xc=")</f>
        <v>1</v>
      </c>
      <c r="Y93">
        <f>IF(DATA!1003:1003,"AAAAAH2/2xg=",0)</f>
        <v>0</v>
      </c>
      <c r="Z93" t="e">
        <f>AND(DATA!A1003,"AAAAAH2/2xk=")</f>
        <v>#VALUE!</v>
      </c>
      <c r="AA93" t="e">
        <f>AND(DATA!B1003,"AAAAAH2/2xo=")</f>
        <v>#VALUE!</v>
      </c>
      <c r="AB93" t="e">
        <f>AND(DATA!C1003,"AAAAAH2/2xs=")</f>
        <v>#VALUE!</v>
      </c>
      <c r="AC93" t="e">
        <f>AND(DATA!D1003,"AAAAAH2/2xw=")</f>
        <v>#VALUE!</v>
      </c>
      <c r="AD93" t="e">
        <f>AND(DATA!E1003,"AAAAAH2/2x0=")</f>
        <v>#VALUE!</v>
      </c>
      <c r="AE93" t="e">
        <f>AND(DATA!F1003,"AAAAAH2/2x4=")</f>
        <v>#VALUE!</v>
      </c>
      <c r="AF93" t="e">
        <f>AND(DATA!G1003,"AAAAAH2/2x8=")</f>
        <v>#VALUE!</v>
      </c>
      <c r="AG93" t="e">
        <f>AND(DATA!H1003,"AAAAAH2/2yA=")</f>
        <v>#VALUE!</v>
      </c>
      <c r="AH93" t="e">
        <f>AND(DATA!I1003,"AAAAAH2/2yE=")</f>
        <v>#VALUE!</v>
      </c>
      <c r="AI93" t="e">
        <f>AND(DATA!J1003,"AAAAAH2/2yI=")</f>
        <v>#VALUE!</v>
      </c>
      <c r="AJ93" t="e">
        <f>AND(DATA!K1003,"AAAAAH2/2yM=")</f>
        <v>#VALUE!</v>
      </c>
      <c r="AK93" t="b">
        <f>AND(DATA!L1003,"AAAAAH2/2yQ=")</f>
        <v>1</v>
      </c>
      <c r="AL93" t="e">
        <f>AND(DATA!M1003,"AAAAAH2/2yU=")</f>
        <v>#VALUE!</v>
      </c>
      <c r="AM93" t="b">
        <f>AND(DATA!N1003,"AAAAAH2/2yY=")</f>
        <v>1</v>
      </c>
      <c r="AN93">
        <f>IF(DATA!1004:1004,"AAAAAH2/2yc=",0)</f>
        <v>0</v>
      </c>
      <c r="AO93" t="e">
        <f>AND(DATA!A1004,"AAAAAH2/2yg=")</f>
        <v>#VALUE!</v>
      </c>
      <c r="AP93" t="e">
        <f>AND(DATA!B1004,"AAAAAH2/2yk=")</f>
        <v>#VALUE!</v>
      </c>
      <c r="AQ93" t="e">
        <f>AND(DATA!C1004,"AAAAAH2/2yo=")</f>
        <v>#VALUE!</v>
      </c>
      <c r="AR93" t="e">
        <f>AND(DATA!D1004,"AAAAAH2/2ys=")</f>
        <v>#VALUE!</v>
      </c>
      <c r="AS93" t="e">
        <f>AND(DATA!E1004,"AAAAAH2/2yw=")</f>
        <v>#VALUE!</v>
      </c>
      <c r="AT93" t="e">
        <f>AND(DATA!F1004,"AAAAAH2/2y0=")</f>
        <v>#VALUE!</v>
      </c>
      <c r="AU93" t="e">
        <f>AND(DATA!G1004,"AAAAAH2/2y4=")</f>
        <v>#VALUE!</v>
      </c>
      <c r="AV93" t="e">
        <f>AND(DATA!H1004,"AAAAAH2/2y8=")</f>
        <v>#VALUE!</v>
      </c>
      <c r="AW93" t="e">
        <f>AND(DATA!I1004,"AAAAAH2/2zA=")</f>
        <v>#VALUE!</v>
      </c>
      <c r="AX93" t="e">
        <f>AND(DATA!J1004,"AAAAAH2/2zE=")</f>
        <v>#VALUE!</v>
      </c>
      <c r="AY93" t="e">
        <f>AND(DATA!K1004,"AAAAAH2/2zI=")</f>
        <v>#VALUE!</v>
      </c>
      <c r="AZ93" t="b">
        <f>AND(DATA!L1004,"AAAAAH2/2zM=")</f>
        <v>1</v>
      </c>
      <c r="BA93" t="e">
        <f>AND(DATA!M1004,"AAAAAH2/2zQ=")</f>
        <v>#VALUE!</v>
      </c>
      <c r="BB93" t="b">
        <f>AND(DATA!N1004,"AAAAAH2/2zU=")</f>
        <v>1</v>
      </c>
      <c r="BC93">
        <f>IF(DATA!1005:1005,"AAAAAH2/2zY=",0)</f>
        <v>0</v>
      </c>
      <c r="BD93" t="e">
        <f>AND(DATA!A1005,"AAAAAH2/2zc=")</f>
        <v>#VALUE!</v>
      </c>
      <c r="BE93" t="e">
        <f>AND(DATA!B1005,"AAAAAH2/2zg=")</f>
        <v>#VALUE!</v>
      </c>
      <c r="BF93" t="e">
        <f>AND(DATA!C1005,"AAAAAH2/2zk=")</f>
        <v>#VALUE!</v>
      </c>
      <c r="BG93" t="e">
        <f>AND(DATA!D1005,"AAAAAH2/2zo=")</f>
        <v>#VALUE!</v>
      </c>
      <c r="BH93" t="e">
        <f>AND(DATA!E1005,"AAAAAH2/2zs=")</f>
        <v>#VALUE!</v>
      </c>
      <c r="BI93" t="e">
        <f>AND(DATA!F1005,"AAAAAH2/2zw=")</f>
        <v>#VALUE!</v>
      </c>
      <c r="BJ93" t="e">
        <f>AND(DATA!G1005,"AAAAAH2/2z0=")</f>
        <v>#VALUE!</v>
      </c>
      <c r="BK93" t="e">
        <f>AND(DATA!H1005,"AAAAAH2/2z4=")</f>
        <v>#VALUE!</v>
      </c>
      <c r="BL93" t="e">
        <f>AND(DATA!I1005,"AAAAAH2/2z8=")</f>
        <v>#VALUE!</v>
      </c>
      <c r="BM93" t="e">
        <f>AND(DATA!J1005,"AAAAAH2/20A=")</f>
        <v>#VALUE!</v>
      </c>
      <c r="BN93" t="e">
        <f>AND(DATA!K1005,"AAAAAH2/20E=")</f>
        <v>#VALUE!</v>
      </c>
      <c r="BO93" t="b">
        <f>AND(DATA!L1005,"AAAAAH2/20I=")</f>
        <v>1</v>
      </c>
      <c r="BP93" t="e">
        <f>AND(DATA!M1005,"AAAAAH2/20M=")</f>
        <v>#VALUE!</v>
      </c>
      <c r="BQ93" t="b">
        <f>AND(DATA!N1005,"AAAAAH2/20Q=")</f>
        <v>1</v>
      </c>
      <c r="BR93">
        <f>IF(DATA!1006:1006,"AAAAAH2/20U=",0)</f>
        <v>0</v>
      </c>
      <c r="BS93" t="e">
        <f>AND(DATA!A1006,"AAAAAH2/20Y=")</f>
        <v>#VALUE!</v>
      </c>
      <c r="BT93" t="e">
        <f>AND(DATA!B1006,"AAAAAH2/20c=")</f>
        <v>#VALUE!</v>
      </c>
      <c r="BU93" t="e">
        <f>AND(DATA!C1006,"AAAAAH2/20g=")</f>
        <v>#VALUE!</v>
      </c>
      <c r="BV93" t="e">
        <f>AND(DATA!D1006,"AAAAAH2/20k=")</f>
        <v>#VALUE!</v>
      </c>
      <c r="BW93" t="e">
        <f>AND(DATA!E1006,"AAAAAH2/20o=")</f>
        <v>#VALUE!</v>
      </c>
      <c r="BX93" t="e">
        <f>AND(DATA!F1006,"AAAAAH2/20s=")</f>
        <v>#VALUE!</v>
      </c>
      <c r="BY93" t="e">
        <f>AND(DATA!G1006,"AAAAAH2/20w=")</f>
        <v>#VALUE!</v>
      </c>
      <c r="BZ93" t="e">
        <f>AND(DATA!H1006,"AAAAAH2/200=")</f>
        <v>#VALUE!</v>
      </c>
      <c r="CA93" t="e">
        <f>AND(DATA!I1006,"AAAAAH2/204=")</f>
        <v>#VALUE!</v>
      </c>
      <c r="CB93" t="e">
        <f>AND(DATA!J1006,"AAAAAH2/208=")</f>
        <v>#VALUE!</v>
      </c>
      <c r="CC93" t="e">
        <f>AND(DATA!K1006,"AAAAAH2/21A=")</f>
        <v>#VALUE!</v>
      </c>
      <c r="CD93" t="b">
        <f>AND(DATA!L1006,"AAAAAH2/21E=")</f>
        <v>1</v>
      </c>
      <c r="CE93" t="e">
        <f>AND(DATA!M1006,"AAAAAH2/21I=")</f>
        <v>#VALUE!</v>
      </c>
      <c r="CF93" t="b">
        <f>AND(DATA!N1006,"AAAAAH2/21M=")</f>
        <v>1</v>
      </c>
      <c r="CG93">
        <f>IF(DATA!1007:1007,"AAAAAH2/21Q=",0)</f>
        <v>0</v>
      </c>
      <c r="CH93" t="e">
        <f>AND(DATA!A1007,"AAAAAH2/21U=")</f>
        <v>#VALUE!</v>
      </c>
      <c r="CI93" t="e">
        <f>AND(DATA!B1007,"AAAAAH2/21Y=")</f>
        <v>#VALUE!</v>
      </c>
      <c r="CJ93" t="e">
        <f>AND(DATA!C1007,"AAAAAH2/21c=")</f>
        <v>#VALUE!</v>
      </c>
      <c r="CK93" t="e">
        <f>AND(DATA!D1007,"AAAAAH2/21g=")</f>
        <v>#VALUE!</v>
      </c>
      <c r="CL93" t="e">
        <f>AND(DATA!E1007,"AAAAAH2/21k=")</f>
        <v>#VALUE!</v>
      </c>
      <c r="CM93" t="e">
        <f>AND(DATA!F1007,"AAAAAH2/21o=")</f>
        <v>#VALUE!</v>
      </c>
      <c r="CN93" t="e">
        <f>AND(DATA!G1007,"AAAAAH2/21s=")</f>
        <v>#VALUE!</v>
      </c>
      <c r="CO93" t="e">
        <f>AND(DATA!H1007,"AAAAAH2/21w=")</f>
        <v>#VALUE!</v>
      </c>
      <c r="CP93" t="e">
        <f>AND(DATA!I1007,"AAAAAH2/210=")</f>
        <v>#VALUE!</v>
      </c>
      <c r="CQ93" t="e">
        <f>AND(DATA!J1007,"AAAAAH2/214=")</f>
        <v>#VALUE!</v>
      </c>
      <c r="CR93" t="e">
        <f>AND(DATA!K1007,"AAAAAH2/218=")</f>
        <v>#VALUE!</v>
      </c>
      <c r="CS93" t="b">
        <f>AND(DATA!L1007,"AAAAAH2/22A=")</f>
        <v>1</v>
      </c>
      <c r="CT93" t="e">
        <f>AND(DATA!M1007,"AAAAAH2/22E=")</f>
        <v>#VALUE!</v>
      </c>
      <c r="CU93" t="b">
        <f>AND(DATA!N1007,"AAAAAH2/22I=")</f>
        <v>1</v>
      </c>
      <c r="CV93">
        <f>IF(DATA!1008:1008,"AAAAAH2/22M=",0)</f>
        <v>0</v>
      </c>
      <c r="CW93" t="e">
        <f>AND(DATA!A1008,"AAAAAH2/22Q=")</f>
        <v>#VALUE!</v>
      </c>
      <c r="CX93" t="e">
        <f>AND(DATA!B1008,"AAAAAH2/22U=")</f>
        <v>#VALUE!</v>
      </c>
      <c r="CY93" t="e">
        <f>AND(DATA!C1008,"AAAAAH2/22Y=")</f>
        <v>#VALUE!</v>
      </c>
      <c r="CZ93" t="e">
        <f>AND(DATA!D1008,"AAAAAH2/22c=")</f>
        <v>#VALUE!</v>
      </c>
      <c r="DA93" t="e">
        <f>AND(DATA!E1008,"AAAAAH2/22g=")</f>
        <v>#VALUE!</v>
      </c>
      <c r="DB93" t="e">
        <f>AND(DATA!F1008,"AAAAAH2/22k=")</f>
        <v>#VALUE!</v>
      </c>
      <c r="DC93" t="e">
        <f>AND(DATA!G1008,"AAAAAH2/22o=")</f>
        <v>#VALUE!</v>
      </c>
      <c r="DD93" t="e">
        <f>AND(DATA!H1008,"AAAAAH2/22s=")</f>
        <v>#VALUE!</v>
      </c>
      <c r="DE93" t="e">
        <f>AND(DATA!I1008,"AAAAAH2/22w=")</f>
        <v>#VALUE!</v>
      </c>
      <c r="DF93" t="e">
        <f>AND(DATA!J1008,"AAAAAH2/220=")</f>
        <v>#VALUE!</v>
      </c>
      <c r="DG93" t="e">
        <f>AND(DATA!K1008,"AAAAAH2/224=")</f>
        <v>#VALUE!</v>
      </c>
      <c r="DH93" t="b">
        <f>AND(DATA!L1008,"AAAAAH2/228=")</f>
        <v>1</v>
      </c>
      <c r="DI93" t="e">
        <f>AND(DATA!M1008,"AAAAAH2/23A=")</f>
        <v>#VALUE!</v>
      </c>
      <c r="DJ93" t="b">
        <f>AND(DATA!N1008,"AAAAAH2/23E=")</f>
        <v>1</v>
      </c>
      <c r="DK93">
        <f>IF(DATA!1009:1009,"AAAAAH2/23I=",0)</f>
        <v>0</v>
      </c>
      <c r="DL93" t="e">
        <f>AND(DATA!A1009,"AAAAAH2/23M=")</f>
        <v>#VALUE!</v>
      </c>
      <c r="DM93" t="e">
        <f>AND(DATA!B1009,"AAAAAH2/23Q=")</f>
        <v>#VALUE!</v>
      </c>
      <c r="DN93" t="e">
        <f>AND(DATA!C1009,"AAAAAH2/23U=")</f>
        <v>#VALUE!</v>
      </c>
      <c r="DO93" t="e">
        <f>AND(DATA!D1009,"AAAAAH2/23Y=")</f>
        <v>#VALUE!</v>
      </c>
      <c r="DP93" t="e">
        <f>AND(DATA!E1009,"AAAAAH2/23c=")</f>
        <v>#VALUE!</v>
      </c>
      <c r="DQ93" t="e">
        <f>AND(DATA!F1009,"AAAAAH2/23g=")</f>
        <v>#VALUE!</v>
      </c>
      <c r="DR93" t="e">
        <f>AND(DATA!G1009,"AAAAAH2/23k=")</f>
        <v>#VALUE!</v>
      </c>
      <c r="DS93" t="e">
        <f>AND(DATA!H1009,"AAAAAH2/23o=")</f>
        <v>#VALUE!</v>
      </c>
      <c r="DT93" t="e">
        <f>AND(DATA!I1009,"AAAAAH2/23s=")</f>
        <v>#VALUE!</v>
      </c>
      <c r="DU93" t="e">
        <f>AND(DATA!J1009,"AAAAAH2/23w=")</f>
        <v>#VALUE!</v>
      </c>
      <c r="DV93" t="e">
        <f>AND(DATA!K1009,"AAAAAH2/230=")</f>
        <v>#VALUE!</v>
      </c>
      <c r="DW93" t="b">
        <f>AND(DATA!L1009,"AAAAAH2/234=")</f>
        <v>1</v>
      </c>
      <c r="DX93" t="e">
        <f>AND(DATA!M1009,"AAAAAH2/238=")</f>
        <v>#VALUE!</v>
      </c>
      <c r="DY93" t="b">
        <f>AND(DATA!N1009,"AAAAAH2/24A=")</f>
        <v>1</v>
      </c>
      <c r="DZ93">
        <f>IF(DATA!1010:1010,"AAAAAH2/24E=",0)</f>
        <v>0</v>
      </c>
      <c r="EA93" t="e">
        <f>AND(DATA!A1010,"AAAAAH2/24I=")</f>
        <v>#VALUE!</v>
      </c>
      <c r="EB93" t="e">
        <f>AND(DATA!B1010,"AAAAAH2/24M=")</f>
        <v>#VALUE!</v>
      </c>
      <c r="EC93" t="e">
        <f>AND(DATA!C1010,"AAAAAH2/24Q=")</f>
        <v>#VALUE!</v>
      </c>
      <c r="ED93" t="e">
        <f>AND(DATA!D1010,"AAAAAH2/24U=")</f>
        <v>#VALUE!</v>
      </c>
      <c r="EE93" t="e">
        <f>AND(DATA!E1010,"AAAAAH2/24Y=")</f>
        <v>#VALUE!</v>
      </c>
      <c r="EF93" t="e">
        <f>AND(DATA!F1010,"AAAAAH2/24c=")</f>
        <v>#VALUE!</v>
      </c>
      <c r="EG93" t="e">
        <f>AND(DATA!G1010,"AAAAAH2/24g=")</f>
        <v>#VALUE!</v>
      </c>
      <c r="EH93" t="e">
        <f>AND(DATA!H1010,"AAAAAH2/24k=")</f>
        <v>#VALUE!</v>
      </c>
      <c r="EI93" t="e">
        <f>AND(DATA!I1010,"AAAAAH2/24o=")</f>
        <v>#VALUE!</v>
      </c>
      <c r="EJ93" t="e">
        <f>AND(DATA!J1010,"AAAAAH2/24s=")</f>
        <v>#VALUE!</v>
      </c>
      <c r="EK93" t="e">
        <f>AND(DATA!K1010,"AAAAAH2/24w=")</f>
        <v>#VALUE!</v>
      </c>
      <c r="EL93" t="b">
        <f>AND(DATA!L1010,"AAAAAH2/240=")</f>
        <v>1</v>
      </c>
      <c r="EM93" t="e">
        <f>AND(DATA!M1010,"AAAAAH2/244=")</f>
        <v>#VALUE!</v>
      </c>
      <c r="EN93" t="b">
        <f>AND(DATA!N1010,"AAAAAH2/248=")</f>
        <v>1</v>
      </c>
      <c r="EO93">
        <f>IF(DATA!1011:1011,"AAAAAH2/25A=",0)</f>
        <v>0</v>
      </c>
      <c r="EP93" t="e">
        <f>AND(DATA!A1011,"AAAAAH2/25E=")</f>
        <v>#VALUE!</v>
      </c>
      <c r="EQ93" t="e">
        <f>AND(DATA!B1011,"AAAAAH2/25I=")</f>
        <v>#VALUE!</v>
      </c>
      <c r="ER93" t="e">
        <f>AND(DATA!C1011,"AAAAAH2/25M=")</f>
        <v>#VALUE!</v>
      </c>
      <c r="ES93" t="e">
        <f>AND(DATA!D1011,"AAAAAH2/25Q=")</f>
        <v>#VALUE!</v>
      </c>
      <c r="ET93" t="e">
        <f>AND(DATA!E1011,"AAAAAH2/25U=")</f>
        <v>#VALUE!</v>
      </c>
      <c r="EU93" t="e">
        <f>AND(DATA!F1011,"AAAAAH2/25Y=")</f>
        <v>#VALUE!</v>
      </c>
      <c r="EV93" t="e">
        <f>AND(DATA!G1011,"AAAAAH2/25c=")</f>
        <v>#VALUE!</v>
      </c>
      <c r="EW93" t="e">
        <f>AND(DATA!H1011,"AAAAAH2/25g=")</f>
        <v>#VALUE!</v>
      </c>
      <c r="EX93" t="e">
        <f>AND(DATA!I1011,"AAAAAH2/25k=")</f>
        <v>#VALUE!</v>
      </c>
      <c r="EY93" t="e">
        <f>AND(DATA!J1011,"AAAAAH2/25o=")</f>
        <v>#VALUE!</v>
      </c>
      <c r="EZ93" t="e">
        <f>AND(DATA!K1011,"AAAAAH2/25s=")</f>
        <v>#VALUE!</v>
      </c>
      <c r="FA93" t="b">
        <f>AND(DATA!L1011,"AAAAAH2/25w=")</f>
        <v>1</v>
      </c>
      <c r="FB93" t="e">
        <f>AND(DATA!M1011,"AAAAAH2/250=")</f>
        <v>#VALUE!</v>
      </c>
      <c r="FC93" t="b">
        <f>AND(DATA!N1011,"AAAAAH2/254=")</f>
        <v>1</v>
      </c>
      <c r="FD93">
        <f>IF(DATA!1012:1012,"AAAAAH2/258=",0)</f>
        <v>0</v>
      </c>
      <c r="FE93" t="e">
        <f>AND(DATA!A1012,"AAAAAH2/26A=")</f>
        <v>#VALUE!</v>
      </c>
      <c r="FF93" t="e">
        <f>AND(DATA!B1012,"AAAAAH2/26E=")</f>
        <v>#VALUE!</v>
      </c>
      <c r="FG93" t="e">
        <f>AND(DATA!C1012,"AAAAAH2/26I=")</f>
        <v>#VALUE!</v>
      </c>
      <c r="FH93" t="e">
        <f>AND(DATA!D1012,"AAAAAH2/26M=")</f>
        <v>#VALUE!</v>
      </c>
      <c r="FI93" t="e">
        <f>AND(DATA!E1012,"AAAAAH2/26Q=")</f>
        <v>#VALUE!</v>
      </c>
      <c r="FJ93" t="e">
        <f>AND(DATA!F1012,"AAAAAH2/26U=")</f>
        <v>#VALUE!</v>
      </c>
      <c r="FK93" t="e">
        <f>AND(DATA!G1012,"AAAAAH2/26Y=")</f>
        <v>#VALUE!</v>
      </c>
      <c r="FL93" t="e">
        <f>AND(DATA!H1012,"AAAAAH2/26c=")</f>
        <v>#VALUE!</v>
      </c>
      <c r="FM93" t="e">
        <f>AND(DATA!I1012,"AAAAAH2/26g=")</f>
        <v>#VALUE!</v>
      </c>
      <c r="FN93" t="e">
        <f>AND(DATA!J1012,"AAAAAH2/26k=")</f>
        <v>#VALUE!</v>
      </c>
      <c r="FO93" t="e">
        <f>AND(DATA!K1012,"AAAAAH2/26o=")</f>
        <v>#VALUE!</v>
      </c>
      <c r="FP93" t="b">
        <f>AND(DATA!L1012,"AAAAAH2/26s=")</f>
        <v>1</v>
      </c>
      <c r="FQ93" t="e">
        <f>AND(DATA!M1012,"AAAAAH2/26w=")</f>
        <v>#VALUE!</v>
      </c>
      <c r="FR93" t="b">
        <f>AND(DATA!N1012,"AAAAAH2/260=")</f>
        <v>1</v>
      </c>
      <c r="FS93">
        <f>IF(DATA!1013:1013,"AAAAAH2/264=",0)</f>
        <v>0</v>
      </c>
      <c r="FT93" t="e">
        <f>AND(DATA!A1013,"AAAAAH2/268=")</f>
        <v>#VALUE!</v>
      </c>
      <c r="FU93" t="e">
        <f>AND(DATA!B1013,"AAAAAH2/27A=")</f>
        <v>#VALUE!</v>
      </c>
      <c r="FV93" t="e">
        <f>AND(DATA!C1013,"AAAAAH2/27E=")</f>
        <v>#VALUE!</v>
      </c>
      <c r="FW93" t="e">
        <f>AND(DATA!D1013,"AAAAAH2/27I=")</f>
        <v>#VALUE!</v>
      </c>
      <c r="FX93" t="e">
        <f>AND(DATA!E1013,"AAAAAH2/27M=")</f>
        <v>#VALUE!</v>
      </c>
      <c r="FY93" t="e">
        <f>AND(DATA!F1013,"AAAAAH2/27Q=")</f>
        <v>#VALUE!</v>
      </c>
      <c r="FZ93" t="e">
        <f>AND(DATA!G1013,"AAAAAH2/27U=")</f>
        <v>#VALUE!</v>
      </c>
      <c r="GA93" t="e">
        <f>AND(DATA!H1013,"AAAAAH2/27Y=")</f>
        <v>#VALUE!</v>
      </c>
      <c r="GB93" t="e">
        <f>AND(DATA!I1013,"AAAAAH2/27c=")</f>
        <v>#VALUE!</v>
      </c>
      <c r="GC93" t="e">
        <f>AND(DATA!J1013,"AAAAAH2/27g=")</f>
        <v>#VALUE!</v>
      </c>
      <c r="GD93" t="e">
        <f>AND(DATA!K1013,"AAAAAH2/27k=")</f>
        <v>#VALUE!</v>
      </c>
      <c r="GE93" t="b">
        <f>AND(DATA!L1013,"AAAAAH2/27o=")</f>
        <v>1</v>
      </c>
      <c r="GF93" t="e">
        <f>AND(DATA!M1013,"AAAAAH2/27s=")</f>
        <v>#VALUE!</v>
      </c>
      <c r="GG93" t="b">
        <f>AND(DATA!N1013,"AAAAAH2/27w=")</f>
        <v>1</v>
      </c>
      <c r="GH93">
        <f>IF(DATA!1014:1014,"AAAAAH2/270=",0)</f>
        <v>0</v>
      </c>
      <c r="GI93" t="e">
        <f>AND(DATA!A1014,"AAAAAH2/274=")</f>
        <v>#VALUE!</v>
      </c>
      <c r="GJ93" t="e">
        <f>AND(DATA!B1014,"AAAAAH2/278=")</f>
        <v>#VALUE!</v>
      </c>
      <c r="GK93" t="e">
        <f>AND(DATA!C1014,"AAAAAH2/28A=")</f>
        <v>#VALUE!</v>
      </c>
      <c r="GL93" t="e">
        <f>AND(DATA!D1014,"AAAAAH2/28E=")</f>
        <v>#VALUE!</v>
      </c>
      <c r="GM93" t="e">
        <f>AND(DATA!E1014,"AAAAAH2/28I=")</f>
        <v>#VALUE!</v>
      </c>
      <c r="GN93" t="e">
        <f>AND(DATA!F1014,"AAAAAH2/28M=")</f>
        <v>#VALUE!</v>
      </c>
      <c r="GO93" t="e">
        <f>AND(DATA!G1014,"AAAAAH2/28Q=")</f>
        <v>#VALUE!</v>
      </c>
      <c r="GP93" t="e">
        <f>AND(DATA!H1014,"AAAAAH2/28U=")</f>
        <v>#VALUE!</v>
      </c>
      <c r="GQ93" t="e">
        <f>AND(DATA!I1014,"AAAAAH2/28Y=")</f>
        <v>#VALUE!</v>
      </c>
      <c r="GR93" t="e">
        <f>AND(DATA!J1014,"AAAAAH2/28c=")</f>
        <v>#VALUE!</v>
      </c>
      <c r="GS93" t="e">
        <f>AND(DATA!K1014,"AAAAAH2/28g=")</f>
        <v>#VALUE!</v>
      </c>
      <c r="GT93" t="b">
        <f>AND(DATA!L1014,"AAAAAH2/28k=")</f>
        <v>1</v>
      </c>
      <c r="GU93" t="e">
        <f>AND(DATA!M1014,"AAAAAH2/28o=")</f>
        <v>#VALUE!</v>
      </c>
      <c r="GV93" t="b">
        <f>AND(DATA!N1014,"AAAAAH2/28s=")</f>
        <v>1</v>
      </c>
      <c r="GW93">
        <f>IF(DATA!1015:1015,"AAAAAH2/28w=",0)</f>
        <v>0</v>
      </c>
      <c r="GX93" t="e">
        <f>AND(DATA!A1015,"AAAAAH2/280=")</f>
        <v>#VALUE!</v>
      </c>
      <c r="GY93" t="e">
        <f>AND(DATA!B1015,"AAAAAH2/284=")</f>
        <v>#VALUE!</v>
      </c>
      <c r="GZ93" t="e">
        <f>AND(DATA!C1015,"AAAAAH2/288=")</f>
        <v>#VALUE!</v>
      </c>
      <c r="HA93" t="e">
        <f>AND(DATA!D1015,"AAAAAH2/29A=")</f>
        <v>#VALUE!</v>
      </c>
      <c r="HB93" t="e">
        <f>AND(DATA!E1015,"AAAAAH2/29E=")</f>
        <v>#VALUE!</v>
      </c>
      <c r="HC93" t="e">
        <f>AND(DATA!F1015,"AAAAAH2/29I=")</f>
        <v>#VALUE!</v>
      </c>
      <c r="HD93" t="e">
        <f>AND(DATA!G1015,"AAAAAH2/29M=")</f>
        <v>#VALUE!</v>
      </c>
      <c r="HE93" t="e">
        <f>AND(DATA!H1015,"AAAAAH2/29Q=")</f>
        <v>#VALUE!</v>
      </c>
      <c r="HF93" t="e">
        <f>AND(DATA!I1015,"AAAAAH2/29U=")</f>
        <v>#VALUE!</v>
      </c>
      <c r="HG93" t="e">
        <f>AND(DATA!J1015,"AAAAAH2/29Y=")</f>
        <v>#VALUE!</v>
      </c>
      <c r="HH93" t="e">
        <f>AND(DATA!K1015,"AAAAAH2/29c=")</f>
        <v>#VALUE!</v>
      </c>
      <c r="HI93" t="b">
        <f>AND(DATA!L1015,"AAAAAH2/29g=")</f>
        <v>1</v>
      </c>
      <c r="HJ93" t="e">
        <f>AND(DATA!M1015,"AAAAAH2/29k=")</f>
        <v>#VALUE!</v>
      </c>
      <c r="HK93" t="b">
        <f>AND(DATA!N1015,"AAAAAH2/29o=")</f>
        <v>1</v>
      </c>
      <c r="HL93">
        <f>IF(DATA!1016:1016,"AAAAAH2/29s=",0)</f>
        <v>0</v>
      </c>
      <c r="HM93" t="e">
        <f>AND(DATA!A1016,"AAAAAH2/29w=")</f>
        <v>#VALUE!</v>
      </c>
      <c r="HN93" t="e">
        <f>AND(DATA!B1016,"AAAAAH2/290=")</f>
        <v>#VALUE!</v>
      </c>
      <c r="HO93" t="e">
        <f>AND(DATA!C1016,"AAAAAH2/294=")</f>
        <v>#VALUE!</v>
      </c>
      <c r="HP93" t="e">
        <f>AND(DATA!D1016,"AAAAAH2/298=")</f>
        <v>#VALUE!</v>
      </c>
      <c r="HQ93" t="e">
        <f>AND(DATA!E1016,"AAAAAH2/2+A=")</f>
        <v>#VALUE!</v>
      </c>
      <c r="HR93" t="e">
        <f>AND(DATA!F1016,"AAAAAH2/2+E=")</f>
        <v>#VALUE!</v>
      </c>
      <c r="HS93" t="e">
        <f>AND(DATA!G1016,"AAAAAH2/2+I=")</f>
        <v>#VALUE!</v>
      </c>
      <c r="HT93" t="e">
        <f>AND(DATA!H1016,"AAAAAH2/2+M=")</f>
        <v>#VALUE!</v>
      </c>
      <c r="HU93" t="e">
        <f>AND(DATA!I1016,"AAAAAH2/2+Q=")</f>
        <v>#VALUE!</v>
      </c>
      <c r="HV93" t="e">
        <f>AND(DATA!J1016,"AAAAAH2/2+U=")</f>
        <v>#VALUE!</v>
      </c>
      <c r="HW93" t="e">
        <f>AND(DATA!K1016,"AAAAAH2/2+Y=")</f>
        <v>#VALUE!</v>
      </c>
      <c r="HX93" t="b">
        <f>AND(DATA!L1016,"AAAAAH2/2+c=")</f>
        <v>1</v>
      </c>
      <c r="HY93" t="e">
        <f>AND(DATA!M1016,"AAAAAH2/2+g=")</f>
        <v>#VALUE!</v>
      </c>
      <c r="HZ93" t="b">
        <f>AND(DATA!N1016,"AAAAAH2/2+k=")</f>
        <v>1</v>
      </c>
      <c r="IA93">
        <f>IF(DATA!1017:1017,"AAAAAH2/2+o=",0)</f>
        <v>0</v>
      </c>
      <c r="IB93" t="e">
        <f>AND(DATA!A1017,"AAAAAH2/2+s=")</f>
        <v>#VALUE!</v>
      </c>
      <c r="IC93" t="e">
        <f>AND(DATA!B1017,"AAAAAH2/2+w=")</f>
        <v>#VALUE!</v>
      </c>
      <c r="ID93" t="e">
        <f>AND(DATA!C1017,"AAAAAH2/2+0=")</f>
        <v>#VALUE!</v>
      </c>
      <c r="IE93" t="e">
        <f>AND(DATA!D1017,"AAAAAH2/2+4=")</f>
        <v>#VALUE!</v>
      </c>
      <c r="IF93" t="e">
        <f>AND(DATA!E1017,"AAAAAH2/2+8=")</f>
        <v>#VALUE!</v>
      </c>
      <c r="IG93" t="e">
        <f>AND(DATA!F1017,"AAAAAH2/2/A=")</f>
        <v>#VALUE!</v>
      </c>
      <c r="IH93" t="e">
        <f>AND(DATA!G1017,"AAAAAH2/2/E=")</f>
        <v>#VALUE!</v>
      </c>
      <c r="II93" t="e">
        <f>AND(DATA!H1017,"AAAAAH2/2/I=")</f>
        <v>#VALUE!</v>
      </c>
      <c r="IJ93" t="e">
        <f>AND(DATA!I1017,"AAAAAH2/2/M=")</f>
        <v>#VALUE!</v>
      </c>
      <c r="IK93" t="e">
        <f>AND(DATA!J1017,"AAAAAH2/2/Q=")</f>
        <v>#VALUE!</v>
      </c>
      <c r="IL93" t="e">
        <f>AND(DATA!K1017,"AAAAAH2/2/U=")</f>
        <v>#VALUE!</v>
      </c>
      <c r="IM93" t="b">
        <f>AND(DATA!L1017,"AAAAAH2/2/Y=")</f>
        <v>1</v>
      </c>
      <c r="IN93" t="e">
        <f>AND(DATA!M1017,"AAAAAH2/2/c=")</f>
        <v>#VALUE!</v>
      </c>
      <c r="IO93" t="b">
        <f>AND(DATA!N1017,"AAAAAH2/2/g=")</f>
        <v>1</v>
      </c>
      <c r="IP93">
        <f>IF(DATA!1018:1018,"AAAAAH2/2/k=",0)</f>
        <v>0</v>
      </c>
      <c r="IQ93" t="e">
        <f>AND(DATA!A1018,"AAAAAH2/2/o=")</f>
        <v>#VALUE!</v>
      </c>
      <c r="IR93" t="e">
        <f>AND(DATA!B1018,"AAAAAH2/2/s=")</f>
        <v>#VALUE!</v>
      </c>
      <c r="IS93" t="e">
        <f>AND(DATA!C1018,"AAAAAH2/2/w=")</f>
        <v>#VALUE!</v>
      </c>
      <c r="IT93" t="e">
        <f>AND(DATA!D1018,"AAAAAH2/2/0=")</f>
        <v>#VALUE!</v>
      </c>
      <c r="IU93" t="e">
        <f>AND(DATA!E1018,"AAAAAH2/2/4=")</f>
        <v>#VALUE!</v>
      </c>
      <c r="IV93" t="e">
        <f>AND(DATA!F1018,"AAAAAH2/2/8=")</f>
        <v>#VALUE!</v>
      </c>
    </row>
    <row r="94" spans="1:256">
      <c r="A94" t="e">
        <f>AND(DATA!G1018,"AAAAADfv7wA=")</f>
        <v>#VALUE!</v>
      </c>
      <c r="B94" t="e">
        <f>AND(DATA!H1018,"AAAAADfv7wE=")</f>
        <v>#VALUE!</v>
      </c>
      <c r="C94" t="e">
        <f>AND(DATA!I1018,"AAAAADfv7wI=")</f>
        <v>#VALUE!</v>
      </c>
      <c r="D94" t="e">
        <f>AND(DATA!J1018,"AAAAADfv7wM=")</f>
        <v>#VALUE!</v>
      </c>
      <c r="E94" t="e">
        <f>AND(DATA!K1018,"AAAAADfv7wQ=")</f>
        <v>#VALUE!</v>
      </c>
      <c r="F94" t="b">
        <f>AND(DATA!L1018,"AAAAADfv7wU=")</f>
        <v>1</v>
      </c>
      <c r="G94" t="e">
        <f>AND(DATA!M1018,"AAAAADfv7wY=")</f>
        <v>#VALUE!</v>
      </c>
      <c r="H94" t="b">
        <f>AND(DATA!N1018,"AAAAADfv7wc=")</f>
        <v>1</v>
      </c>
      <c r="I94">
        <f>IF(DATA!1019:1019,"AAAAADfv7wg=",0)</f>
        <v>0</v>
      </c>
      <c r="J94" t="e">
        <f>AND(DATA!A1019,"AAAAADfv7wk=")</f>
        <v>#VALUE!</v>
      </c>
      <c r="K94" t="e">
        <f>AND(DATA!B1019,"AAAAADfv7wo=")</f>
        <v>#VALUE!</v>
      </c>
      <c r="L94" t="e">
        <f>AND(DATA!C1019,"AAAAADfv7ws=")</f>
        <v>#VALUE!</v>
      </c>
      <c r="M94" t="e">
        <f>AND(DATA!D1019,"AAAAADfv7ww=")</f>
        <v>#VALUE!</v>
      </c>
      <c r="N94" t="e">
        <f>AND(DATA!E1019,"AAAAADfv7w0=")</f>
        <v>#VALUE!</v>
      </c>
      <c r="O94" t="e">
        <f>AND(DATA!F1019,"AAAAADfv7w4=")</f>
        <v>#VALUE!</v>
      </c>
      <c r="P94" t="e">
        <f>AND(DATA!G1019,"AAAAADfv7w8=")</f>
        <v>#VALUE!</v>
      </c>
      <c r="Q94" t="e">
        <f>AND(DATA!H1019,"AAAAADfv7xA=")</f>
        <v>#VALUE!</v>
      </c>
      <c r="R94" t="e">
        <f>AND(DATA!I1019,"AAAAADfv7xE=")</f>
        <v>#VALUE!</v>
      </c>
      <c r="S94" t="e">
        <f>AND(DATA!J1019,"AAAAADfv7xI=")</f>
        <v>#VALUE!</v>
      </c>
      <c r="T94" t="e">
        <f>AND(DATA!K1019,"AAAAADfv7xM=")</f>
        <v>#VALUE!</v>
      </c>
      <c r="U94" t="b">
        <f>AND(DATA!L1019,"AAAAADfv7xQ=")</f>
        <v>1</v>
      </c>
      <c r="V94" t="e">
        <f>AND(DATA!M1019,"AAAAADfv7xU=")</f>
        <v>#VALUE!</v>
      </c>
      <c r="W94" t="b">
        <f>AND(DATA!N1019,"AAAAADfv7xY=")</f>
        <v>1</v>
      </c>
      <c r="X94">
        <f>IF(DATA!1020:1020,"AAAAADfv7xc=",0)</f>
        <v>0</v>
      </c>
      <c r="Y94" t="e">
        <f>AND(DATA!A1020,"AAAAADfv7xg=")</f>
        <v>#VALUE!</v>
      </c>
      <c r="Z94" t="e">
        <f>AND(DATA!B1020,"AAAAADfv7xk=")</f>
        <v>#VALUE!</v>
      </c>
      <c r="AA94" t="e">
        <f>AND(DATA!C1020,"AAAAADfv7xo=")</f>
        <v>#VALUE!</v>
      </c>
      <c r="AB94" t="e">
        <f>AND(DATA!D1020,"AAAAADfv7xs=")</f>
        <v>#VALUE!</v>
      </c>
      <c r="AC94" t="e">
        <f>AND(DATA!E1020,"AAAAADfv7xw=")</f>
        <v>#VALUE!</v>
      </c>
      <c r="AD94" t="e">
        <f>AND(DATA!F1020,"AAAAADfv7x0=")</f>
        <v>#VALUE!</v>
      </c>
      <c r="AE94" t="e">
        <f>AND(DATA!G1020,"AAAAADfv7x4=")</f>
        <v>#VALUE!</v>
      </c>
      <c r="AF94" t="e">
        <f>AND(DATA!H1020,"AAAAADfv7x8=")</f>
        <v>#VALUE!</v>
      </c>
      <c r="AG94" t="e">
        <f>AND(DATA!I1020,"AAAAADfv7yA=")</f>
        <v>#VALUE!</v>
      </c>
      <c r="AH94" t="e">
        <f>AND(DATA!J1020,"AAAAADfv7yE=")</f>
        <v>#VALUE!</v>
      </c>
      <c r="AI94" t="e">
        <f>AND(DATA!K1020,"AAAAADfv7yI=")</f>
        <v>#VALUE!</v>
      </c>
      <c r="AJ94" t="b">
        <f>AND(DATA!L1020,"AAAAADfv7yM=")</f>
        <v>1</v>
      </c>
      <c r="AK94" t="e">
        <f>AND(DATA!M1020,"AAAAADfv7yQ=")</f>
        <v>#VALUE!</v>
      </c>
      <c r="AL94" t="b">
        <f>AND(DATA!N1020,"AAAAADfv7yU=")</f>
        <v>1</v>
      </c>
      <c r="AM94">
        <f>IF(DATA!1021:1021,"AAAAADfv7yY=",0)</f>
        <v>0</v>
      </c>
      <c r="AN94" t="e">
        <f>AND(DATA!A1021,"AAAAADfv7yc=")</f>
        <v>#VALUE!</v>
      </c>
      <c r="AO94" t="e">
        <f>AND(DATA!B1021,"AAAAADfv7yg=")</f>
        <v>#VALUE!</v>
      </c>
      <c r="AP94" t="e">
        <f>AND(DATA!C1021,"AAAAADfv7yk=")</f>
        <v>#VALUE!</v>
      </c>
      <c r="AQ94" t="e">
        <f>AND(DATA!D1021,"AAAAADfv7yo=")</f>
        <v>#VALUE!</v>
      </c>
      <c r="AR94" t="e">
        <f>AND(DATA!E1021,"AAAAADfv7ys=")</f>
        <v>#VALUE!</v>
      </c>
      <c r="AS94" t="e">
        <f>AND(DATA!F1021,"AAAAADfv7yw=")</f>
        <v>#VALUE!</v>
      </c>
      <c r="AT94" t="e">
        <f>AND(DATA!G1021,"AAAAADfv7y0=")</f>
        <v>#VALUE!</v>
      </c>
      <c r="AU94" t="e">
        <f>AND(DATA!H1021,"AAAAADfv7y4=")</f>
        <v>#VALUE!</v>
      </c>
      <c r="AV94" t="e">
        <f>AND(DATA!I1021,"AAAAADfv7y8=")</f>
        <v>#VALUE!</v>
      </c>
      <c r="AW94" t="e">
        <f>AND(DATA!J1021,"AAAAADfv7zA=")</f>
        <v>#VALUE!</v>
      </c>
      <c r="AX94" t="e">
        <f>AND(DATA!K1021,"AAAAADfv7zE=")</f>
        <v>#VALUE!</v>
      </c>
      <c r="AY94" t="b">
        <f>AND(DATA!L1021,"AAAAADfv7zI=")</f>
        <v>1</v>
      </c>
      <c r="AZ94" t="e">
        <f>AND(DATA!M1021,"AAAAADfv7zM=")</f>
        <v>#VALUE!</v>
      </c>
      <c r="BA94" t="b">
        <f>AND(DATA!N1021,"AAAAADfv7zQ=")</f>
        <v>1</v>
      </c>
      <c r="BB94">
        <f>IF(DATA!1022:1022,"AAAAADfv7zU=",0)</f>
        <v>0</v>
      </c>
      <c r="BC94" t="e">
        <f>AND(DATA!A1022,"AAAAADfv7zY=")</f>
        <v>#VALUE!</v>
      </c>
      <c r="BD94" t="e">
        <f>AND(DATA!B1022,"AAAAADfv7zc=")</f>
        <v>#VALUE!</v>
      </c>
      <c r="BE94" t="e">
        <f>AND(DATA!C1022,"AAAAADfv7zg=")</f>
        <v>#VALUE!</v>
      </c>
      <c r="BF94" t="e">
        <f>AND(DATA!D1022,"AAAAADfv7zk=")</f>
        <v>#VALUE!</v>
      </c>
      <c r="BG94" t="e">
        <f>AND(DATA!E1022,"AAAAADfv7zo=")</f>
        <v>#VALUE!</v>
      </c>
      <c r="BH94" t="e">
        <f>AND(DATA!F1022,"AAAAADfv7zs=")</f>
        <v>#VALUE!</v>
      </c>
      <c r="BI94" t="e">
        <f>AND(DATA!G1022,"AAAAADfv7zw=")</f>
        <v>#VALUE!</v>
      </c>
      <c r="BJ94" t="e">
        <f>AND(DATA!H1022,"AAAAADfv7z0=")</f>
        <v>#VALUE!</v>
      </c>
      <c r="BK94" t="e">
        <f>AND(DATA!I1022,"AAAAADfv7z4=")</f>
        <v>#VALUE!</v>
      </c>
      <c r="BL94" t="e">
        <f>AND(DATA!J1022,"AAAAADfv7z8=")</f>
        <v>#VALUE!</v>
      </c>
      <c r="BM94" t="e">
        <f>AND(DATA!K1022,"AAAAADfv70A=")</f>
        <v>#VALUE!</v>
      </c>
      <c r="BN94" t="b">
        <f>AND(DATA!L1022,"AAAAADfv70E=")</f>
        <v>1</v>
      </c>
      <c r="BO94" t="e">
        <f>AND(DATA!M1022,"AAAAADfv70I=")</f>
        <v>#VALUE!</v>
      </c>
      <c r="BP94" t="b">
        <f>AND(DATA!N1022,"AAAAADfv70M=")</f>
        <v>1</v>
      </c>
      <c r="BQ94">
        <f>IF(DATA!1023:1023,"AAAAADfv70Q=",0)</f>
        <v>0</v>
      </c>
      <c r="BR94" t="e">
        <f>AND(DATA!A1023,"AAAAADfv70U=")</f>
        <v>#VALUE!</v>
      </c>
      <c r="BS94" t="e">
        <f>AND(DATA!B1023,"AAAAADfv70Y=")</f>
        <v>#VALUE!</v>
      </c>
      <c r="BT94" t="e">
        <f>AND(DATA!C1023,"AAAAADfv70c=")</f>
        <v>#VALUE!</v>
      </c>
      <c r="BU94" t="e">
        <f>AND(DATA!D1023,"AAAAADfv70g=")</f>
        <v>#VALUE!</v>
      </c>
      <c r="BV94" t="e">
        <f>AND(DATA!E1023,"AAAAADfv70k=")</f>
        <v>#VALUE!</v>
      </c>
      <c r="BW94" t="e">
        <f>AND(DATA!F1023,"AAAAADfv70o=")</f>
        <v>#VALUE!</v>
      </c>
      <c r="BX94" t="e">
        <f>AND(DATA!G1023,"AAAAADfv70s=")</f>
        <v>#VALUE!</v>
      </c>
      <c r="BY94" t="e">
        <f>AND(DATA!H1023,"AAAAADfv70w=")</f>
        <v>#VALUE!</v>
      </c>
      <c r="BZ94" t="e">
        <f>AND(DATA!I1023,"AAAAADfv700=")</f>
        <v>#VALUE!</v>
      </c>
      <c r="CA94" t="e">
        <f>AND(DATA!J1023,"AAAAADfv704=")</f>
        <v>#VALUE!</v>
      </c>
      <c r="CB94" t="e">
        <f>AND(DATA!K1023,"AAAAADfv708=")</f>
        <v>#VALUE!</v>
      </c>
      <c r="CC94" t="b">
        <f>AND(DATA!L1023,"AAAAADfv71A=")</f>
        <v>1</v>
      </c>
      <c r="CD94" t="e">
        <f>AND(DATA!M1023,"AAAAADfv71E=")</f>
        <v>#VALUE!</v>
      </c>
      <c r="CE94" t="b">
        <f>AND(DATA!N1023,"AAAAADfv71I=")</f>
        <v>1</v>
      </c>
      <c r="CF94">
        <f>IF(DATA!1024:1024,"AAAAADfv71M=",0)</f>
        <v>0</v>
      </c>
      <c r="CG94" t="e">
        <f>AND(DATA!A1024,"AAAAADfv71Q=")</f>
        <v>#VALUE!</v>
      </c>
      <c r="CH94" t="e">
        <f>AND(DATA!B1024,"AAAAADfv71U=")</f>
        <v>#VALUE!</v>
      </c>
      <c r="CI94" t="e">
        <f>AND(DATA!C1024,"AAAAADfv71Y=")</f>
        <v>#VALUE!</v>
      </c>
      <c r="CJ94" t="e">
        <f>AND(DATA!D1024,"AAAAADfv71c=")</f>
        <v>#VALUE!</v>
      </c>
      <c r="CK94" t="e">
        <f>AND(DATA!E1024,"AAAAADfv71g=")</f>
        <v>#VALUE!</v>
      </c>
      <c r="CL94" t="e">
        <f>AND(DATA!F1024,"AAAAADfv71k=")</f>
        <v>#VALUE!</v>
      </c>
      <c r="CM94" t="e">
        <f>AND(DATA!G1024,"AAAAADfv71o=")</f>
        <v>#VALUE!</v>
      </c>
      <c r="CN94" t="e">
        <f>AND(DATA!H1024,"AAAAADfv71s=")</f>
        <v>#VALUE!</v>
      </c>
      <c r="CO94" t="e">
        <f>AND(DATA!I1024,"AAAAADfv71w=")</f>
        <v>#VALUE!</v>
      </c>
      <c r="CP94" t="e">
        <f>AND(DATA!J1024,"AAAAADfv710=")</f>
        <v>#VALUE!</v>
      </c>
      <c r="CQ94" t="e">
        <f>AND(DATA!K1024,"AAAAADfv714=")</f>
        <v>#VALUE!</v>
      </c>
      <c r="CR94" t="b">
        <f>AND(DATA!L1024,"AAAAADfv718=")</f>
        <v>1</v>
      </c>
      <c r="CS94" t="e">
        <f>AND(DATA!M1024,"AAAAADfv72A=")</f>
        <v>#VALUE!</v>
      </c>
      <c r="CT94" t="b">
        <f>AND(DATA!N1024,"AAAAADfv72E=")</f>
        <v>1</v>
      </c>
      <c r="CU94">
        <f>IF(DATA!1025:1025,"AAAAADfv72I=",0)</f>
        <v>0</v>
      </c>
      <c r="CV94" t="e">
        <f>AND(DATA!A1025,"AAAAADfv72M=")</f>
        <v>#VALUE!</v>
      </c>
      <c r="CW94" t="e">
        <f>AND(DATA!B1025,"AAAAADfv72Q=")</f>
        <v>#VALUE!</v>
      </c>
      <c r="CX94" t="e">
        <f>AND(DATA!C1025,"AAAAADfv72U=")</f>
        <v>#VALUE!</v>
      </c>
      <c r="CY94" t="e">
        <f>AND(DATA!D1025,"AAAAADfv72Y=")</f>
        <v>#VALUE!</v>
      </c>
      <c r="CZ94" t="e">
        <f>AND(DATA!E1025,"AAAAADfv72c=")</f>
        <v>#VALUE!</v>
      </c>
      <c r="DA94" t="e">
        <f>AND(DATA!F1025,"AAAAADfv72g=")</f>
        <v>#VALUE!</v>
      </c>
      <c r="DB94" t="e">
        <f>AND(DATA!G1025,"AAAAADfv72k=")</f>
        <v>#VALUE!</v>
      </c>
      <c r="DC94" t="e">
        <f>AND(DATA!H1025,"AAAAADfv72o=")</f>
        <v>#VALUE!</v>
      </c>
      <c r="DD94" t="e">
        <f>AND(DATA!I1025,"AAAAADfv72s=")</f>
        <v>#VALUE!</v>
      </c>
      <c r="DE94" t="e">
        <f>AND(DATA!J1025,"AAAAADfv72w=")</f>
        <v>#VALUE!</v>
      </c>
      <c r="DF94" t="e">
        <f>AND(DATA!K1025,"AAAAADfv720=")</f>
        <v>#VALUE!</v>
      </c>
      <c r="DG94" t="b">
        <f>AND(DATA!L1025,"AAAAADfv724=")</f>
        <v>1</v>
      </c>
      <c r="DH94" t="e">
        <f>AND(DATA!M1025,"AAAAADfv728=")</f>
        <v>#VALUE!</v>
      </c>
      <c r="DI94" t="b">
        <f>AND(DATA!N1025,"AAAAADfv73A=")</f>
        <v>1</v>
      </c>
      <c r="DJ94">
        <f>IF(DATA!1026:1026,"AAAAADfv73E=",0)</f>
        <v>0</v>
      </c>
      <c r="DK94" t="e">
        <f>AND(DATA!A1026,"AAAAADfv73I=")</f>
        <v>#VALUE!</v>
      </c>
      <c r="DL94" t="e">
        <f>AND(DATA!B1026,"AAAAADfv73M=")</f>
        <v>#VALUE!</v>
      </c>
      <c r="DM94" t="e">
        <f>AND(DATA!C1026,"AAAAADfv73Q=")</f>
        <v>#VALUE!</v>
      </c>
      <c r="DN94" t="e">
        <f>AND(DATA!D1026,"AAAAADfv73U=")</f>
        <v>#VALUE!</v>
      </c>
      <c r="DO94" t="e">
        <f>AND(DATA!E1026,"AAAAADfv73Y=")</f>
        <v>#VALUE!</v>
      </c>
      <c r="DP94" t="e">
        <f>AND(DATA!F1026,"AAAAADfv73c=")</f>
        <v>#VALUE!</v>
      </c>
      <c r="DQ94" t="e">
        <f>AND(DATA!G1026,"AAAAADfv73g=")</f>
        <v>#VALUE!</v>
      </c>
      <c r="DR94" t="e">
        <f>AND(DATA!H1026,"AAAAADfv73k=")</f>
        <v>#VALUE!</v>
      </c>
      <c r="DS94" t="e">
        <f>AND(DATA!I1026,"AAAAADfv73o=")</f>
        <v>#VALUE!</v>
      </c>
      <c r="DT94" t="e">
        <f>AND(DATA!J1026,"AAAAADfv73s=")</f>
        <v>#VALUE!</v>
      </c>
      <c r="DU94" t="e">
        <f>AND(DATA!K1026,"AAAAADfv73w=")</f>
        <v>#VALUE!</v>
      </c>
      <c r="DV94" t="b">
        <f>AND(DATA!L1026,"AAAAADfv730=")</f>
        <v>1</v>
      </c>
      <c r="DW94" t="e">
        <f>AND(DATA!M1026,"AAAAADfv734=")</f>
        <v>#VALUE!</v>
      </c>
      <c r="DX94" t="b">
        <f>AND(DATA!N1026,"AAAAADfv738=")</f>
        <v>1</v>
      </c>
      <c r="DY94">
        <f>IF(DATA!1027:1027,"AAAAADfv74A=",0)</f>
        <v>0</v>
      </c>
      <c r="DZ94" t="e">
        <f>AND(DATA!A1027,"AAAAADfv74E=")</f>
        <v>#VALUE!</v>
      </c>
      <c r="EA94" t="e">
        <f>AND(DATA!B1027,"AAAAADfv74I=")</f>
        <v>#VALUE!</v>
      </c>
      <c r="EB94" t="e">
        <f>AND(DATA!C1027,"AAAAADfv74M=")</f>
        <v>#VALUE!</v>
      </c>
      <c r="EC94" t="e">
        <f>AND(DATA!D1027,"AAAAADfv74Q=")</f>
        <v>#VALUE!</v>
      </c>
      <c r="ED94" t="e">
        <f>AND(DATA!E1027,"AAAAADfv74U=")</f>
        <v>#VALUE!</v>
      </c>
      <c r="EE94" t="e">
        <f>AND(DATA!F1027,"AAAAADfv74Y=")</f>
        <v>#VALUE!</v>
      </c>
      <c r="EF94" t="e">
        <f>AND(DATA!G1027,"AAAAADfv74c=")</f>
        <v>#VALUE!</v>
      </c>
      <c r="EG94" t="e">
        <f>AND(DATA!H1027,"AAAAADfv74g=")</f>
        <v>#VALUE!</v>
      </c>
      <c r="EH94" t="e">
        <f>AND(DATA!I1027,"AAAAADfv74k=")</f>
        <v>#VALUE!</v>
      </c>
      <c r="EI94" t="e">
        <f>AND(DATA!J1027,"AAAAADfv74o=")</f>
        <v>#VALUE!</v>
      </c>
      <c r="EJ94" t="e">
        <f>AND(DATA!K1027,"AAAAADfv74s=")</f>
        <v>#VALUE!</v>
      </c>
      <c r="EK94" t="b">
        <f>AND(DATA!L1027,"AAAAADfv74w=")</f>
        <v>1</v>
      </c>
      <c r="EL94" t="e">
        <f>AND(DATA!M1027,"AAAAADfv740=")</f>
        <v>#VALUE!</v>
      </c>
      <c r="EM94" t="b">
        <f>AND(DATA!N1027,"AAAAADfv744=")</f>
        <v>1</v>
      </c>
      <c r="EN94">
        <f>IF(DATA!1028:1028,"AAAAADfv748=",0)</f>
        <v>0</v>
      </c>
      <c r="EO94" t="e">
        <f>AND(DATA!A1028,"AAAAADfv75A=")</f>
        <v>#VALUE!</v>
      </c>
      <c r="EP94" t="e">
        <f>AND(DATA!B1028,"AAAAADfv75E=")</f>
        <v>#VALUE!</v>
      </c>
      <c r="EQ94" t="e">
        <f>AND(DATA!C1028,"AAAAADfv75I=")</f>
        <v>#VALUE!</v>
      </c>
      <c r="ER94" t="e">
        <f>AND(DATA!D1028,"AAAAADfv75M=")</f>
        <v>#VALUE!</v>
      </c>
      <c r="ES94" t="e">
        <f>AND(DATA!E1028,"AAAAADfv75Q=")</f>
        <v>#VALUE!</v>
      </c>
      <c r="ET94" t="e">
        <f>AND(DATA!F1028,"AAAAADfv75U=")</f>
        <v>#VALUE!</v>
      </c>
      <c r="EU94" t="e">
        <f>AND(DATA!G1028,"AAAAADfv75Y=")</f>
        <v>#VALUE!</v>
      </c>
      <c r="EV94" t="e">
        <f>AND(DATA!H1028,"AAAAADfv75c=")</f>
        <v>#VALUE!</v>
      </c>
      <c r="EW94" t="e">
        <f>AND(DATA!I1028,"AAAAADfv75g=")</f>
        <v>#VALUE!</v>
      </c>
      <c r="EX94" t="e">
        <f>AND(DATA!J1028,"AAAAADfv75k=")</f>
        <v>#VALUE!</v>
      </c>
      <c r="EY94" t="e">
        <f>AND(DATA!K1028,"AAAAADfv75o=")</f>
        <v>#VALUE!</v>
      </c>
      <c r="EZ94" t="b">
        <f>AND(DATA!L1028,"AAAAADfv75s=")</f>
        <v>1</v>
      </c>
      <c r="FA94" t="e">
        <f>AND(DATA!M1028,"AAAAADfv75w=")</f>
        <v>#VALUE!</v>
      </c>
      <c r="FB94" t="b">
        <f>AND(DATA!N1028,"AAAAADfv750=")</f>
        <v>1</v>
      </c>
      <c r="FC94">
        <f>IF(DATA!1029:1029,"AAAAADfv754=",0)</f>
        <v>0</v>
      </c>
      <c r="FD94" t="e">
        <f>AND(DATA!A1029,"AAAAADfv758=")</f>
        <v>#VALUE!</v>
      </c>
      <c r="FE94" t="e">
        <f>AND(DATA!B1029,"AAAAADfv76A=")</f>
        <v>#VALUE!</v>
      </c>
      <c r="FF94" t="e">
        <f>AND(DATA!C1029,"AAAAADfv76E=")</f>
        <v>#VALUE!</v>
      </c>
      <c r="FG94" t="e">
        <f>AND(DATA!D1029,"AAAAADfv76I=")</f>
        <v>#VALUE!</v>
      </c>
      <c r="FH94" t="e">
        <f>AND(DATA!E1029,"AAAAADfv76M=")</f>
        <v>#VALUE!</v>
      </c>
      <c r="FI94" t="e">
        <f>AND(DATA!F1029,"AAAAADfv76Q=")</f>
        <v>#VALUE!</v>
      </c>
      <c r="FJ94" t="e">
        <f>AND(DATA!G1029,"AAAAADfv76U=")</f>
        <v>#VALUE!</v>
      </c>
      <c r="FK94" t="e">
        <f>AND(DATA!H1029,"AAAAADfv76Y=")</f>
        <v>#VALUE!</v>
      </c>
      <c r="FL94" t="e">
        <f>AND(DATA!I1029,"AAAAADfv76c=")</f>
        <v>#VALUE!</v>
      </c>
      <c r="FM94" t="e">
        <f>AND(DATA!J1029,"AAAAADfv76g=")</f>
        <v>#VALUE!</v>
      </c>
      <c r="FN94" t="e">
        <f>AND(DATA!K1029,"AAAAADfv76k=")</f>
        <v>#VALUE!</v>
      </c>
      <c r="FO94" t="b">
        <f>AND(DATA!L1029,"AAAAADfv76o=")</f>
        <v>1</v>
      </c>
      <c r="FP94" t="e">
        <f>AND(DATA!M1029,"AAAAADfv76s=")</f>
        <v>#VALUE!</v>
      </c>
      <c r="FQ94" t="b">
        <f>AND(DATA!N1029,"AAAAADfv76w=")</f>
        <v>1</v>
      </c>
      <c r="FR94">
        <f>IF(DATA!1030:1030,"AAAAADfv760=",0)</f>
        <v>0</v>
      </c>
      <c r="FS94" t="e">
        <f>AND(DATA!A1030,"AAAAADfv764=")</f>
        <v>#VALUE!</v>
      </c>
      <c r="FT94" t="e">
        <f>AND(DATA!B1030,"AAAAADfv768=")</f>
        <v>#VALUE!</v>
      </c>
      <c r="FU94" t="e">
        <f>AND(DATA!C1030,"AAAAADfv77A=")</f>
        <v>#VALUE!</v>
      </c>
      <c r="FV94" t="e">
        <f>AND(DATA!D1030,"AAAAADfv77E=")</f>
        <v>#VALUE!</v>
      </c>
      <c r="FW94" t="e">
        <f>AND(DATA!E1030,"AAAAADfv77I=")</f>
        <v>#VALUE!</v>
      </c>
      <c r="FX94" t="e">
        <f>AND(DATA!F1030,"AAAAADfv77M=")</f>
        <v>#VALUE!</v>
      </c>
      <c r="FY94" t="e">
        <f>AND(DATA!G1030,"AAAAADfv77Q=")</f>
        <v>#VALUE!</v>
      </c>
      <c r="FZ94" t="e">
        <f>AND(DATA!H1030,"AAAAADfv77U=")</f>
        <v>#VALUE!</v>
      </c>
      <c r="GA94" t="e">
        <f>AND(DATA!I1030,"AAAAADfv77Y=")</f>
        <v>#VALUE!</v>
      </c>
      <c r="GB94" t="e">
        <f>AND(DATA!J1030,"AAAAADfv77c=")</f>
        <v>#VALUE!</v>
      </c>
      <c r="GC94" t="e">
        <f>AND(DATA!K1030,"AAAAADfv77g=")</f>
        <v>#VALUE!</v>
      </c>
      <c r="GD94" t="b">
        <f>AND(DATA!L1030,"AAAAADfv77k=")</f>
        <v>1</v>
      </c>
      <c r="GE94" t="e">
        <f>AND(DATA!M1030,"AAAAADfv77o=")</f>
        <v>#VALUE!</v>
      </c>
      <c r="GF94" t="b">
        <f>AND(DATA!N1030,"AAAAADfv77s=")</f>
        <v>1</v>
      </c>
      <c r="GG94">
        <f>IF(DATA!1031:1031,"AAAAADfv77w=",0)</f>
        <v>0</v>
      </c>
      <c r="GH94" t="e">
        <f>AND(DATA!A1031,"AAAAADfv770=")</f>
        <v>#VALUE!</v>
      </c>
      <c r="GI94" t="e">
        <f>AND(DATA!B1031,"AAAAADfv774=")</f>
        <v>#VALUE!</v>
      </c>
      <c r="GJ94" t="e">
        <f>AND(DATA!C1031,"AAAAADfv778=")</f>
        <v>#VALUE!</v>
      </c>
      <c r="GK94" t="e">
        <f>AND(DATA!D1031,"AAAAADfv78A=")</f>
        <v>#VALUE!</v>
      </c>
      <c r="GL94" t="e">
        <f>AND(DATA!E1031,"AAAAADfv78E=")</f>
        <v>#VALUE!</v>
      </c>
      <c r="GM94" t="e">
        <f>AND(DATA!F1031,"AAAAADfv78I=")</f>
        <v>#VALUE!</v>
      </c>
      <c r="GN94" t="e">
        <f>AND(DATA!G1031,"AAAAADfv78M=")</f>
        <v>#VALUE!</v>
      </c>
      <c r="GO94" t="e">
        <f>AND(DATA!H1031,"AAAAADfv78Q=")</f>
        <v>#VALUE!</v>
      </c>
      <c r="GP94" t="e">
        <f>AND(DATA!I1031,"AAAAADfv78U=")</f>
        <v>#VALUE!</v>
      </c>
      <c r="GQ94" t="e">
        <f>AND(DATA!J1031,"AAAAADfv78Y=")</f>
        <v>#VALUE!</v>
      </c>
      <c r="GR94" t="e">
        <f>AND(DATA!K1031,"AAAAADfv78c=")</f>
        <v>#VALUE!</v>
      </c>
      <c r="GS94" t="b">
        <f>AND(DATA!L1031,"AAAAADfv78g=")</f>
        <v>1</v>
      </c>
      <c r="GT94" t="e">
        <f>AND(DATA!M1031,"AAAAADfv78k=")</f>
        <v>#VALUE!</v>
      </c>
      <c r="GU94" t="b">
        <f>AND(DATA!N1031,"AAAAADfv78o=")</f>
        <v>1</v>
      </c>
      <c r="GV94">
        <f>IF(DATA!1032:1032,"AAAAADfv78s=",0)</f>
        <v>0</v>
      </c>
      <c r="GW94" t="e">
        <f>AND(DATA!A1032,"AAAAADfv78w=")</f>
        <v>#VALUE!</v>
      </c>
      <c r="GX94" t="e">
        <f>AND(DATA!B1032,"AAAAADfv780=")</f>
        <v>#VALUE!</v>
      </c>
      <c r="GY94" t="e">
        <f>AND(DATA!C1032,"AAAAADfv784=")</f>
        <v>#VALUE!</v>
      </c>
      <c r="GZ94" t="e">
        <f>AND(DATA!D1032,"AAAAADfv788=")</f>
        <v>#VALUE!</v>
      </c>
      <c r="HA94" t="e">
        <f>AND(DATA!E1032,"AAAAADfv79A=")</f>
        <v>#VALUE!</v>
      </c>
      <c r="HB94" t="e">
        <f>AND(DATA!F1032,"AAAAADfv79E=")</f>
        <v>#VALUE!</v>
      </c>
      <c r="HC94" t="e">
        <f>AND(DATA!G1032,"AAAAADfv79I=")</f>
        <v>#VALUE!</v>
      </c>
      <c r="HD94" t="e">
        <f>AND(DATA!H1032,"AAAAADfv79M=")</f>
        <v>#VALUE!</v>
      </c>
      <c r="HE94" t="e">
        <f>AND(DATA!I1032,"AAAAADfv79Q=")</f>
        <v>#VALUE!</v>
      </c>
      <c r="HF94" t="e">
        <f>AND(DATA!J1032,"AAAAADfv79U=")</f>
        <v>#VALUE!</v>
      </c>
      <c r="HG94" t="e">
        <f>AND(DATA!K1032,"AAAAADfv79Y=")</f>
        <v>#VALUE!</v>
      </c>
      <c r="HH94" t="b">
        <f>AND(DATA!L1032,"AAAAADfv79c=")</f>
        <v>1</v>
      </c>
      <c r="HI94" t="e">
        <f>AND(DATA!M1032,"AAAAADfv79g=")</f>
        <v>#VALUE!</v>
      </c>
      <c r="HJ94" t="b">
        <f>AND(DATA!N1032,"AAAAADfv79k=")</f>
        <v>1</v>
      </c>
      <c r="HK94">
        <f>IF(DATA!1033:1033,"AAAAADfv79o=",0)</f>
        <v>0</v>
      </c>
      <c r="HL94" t="e">
        <f>AND(DATA!A1033,"AAAAADfv79s=")</f>
        <v>#VALUE!</v>
      </c>
      <c r="HM94" t="e">
        <f>AND(DATA!B1033,"AAAAADfv79w=")</f>
        <v>#VALUE!</v>
      </c>
      <c r="HN94" t="e">
        <f>AND(DATA!C1033,"AAAAADfv790=")</f>
        <v>#VALUE!</v>
      </c>
      <c r="HO94" t="e">
        <f>AND(DATA!D1033,"AAAAADfv794=")</f>
        <v>#VALUE!</v>
      </c>
      <c r="HP94" t="e">
        <f>AND(DATA!E1033,"AAAAADfv798=")</f>
        <v>#VALUE!</v>
      </c>
      <c r="HQ94" t="e">
        <f>AND(DATA!F1033,"AAAAADfv7+A=")</f>
        <v>#VALUE!</v>
      </c>
      <c r="HR94" t="e">
        <f>AND(DATA!G1033,"AAAAADfv7+E=")</f>
        <v>#VALUE!</v>
      </c>
      <c r="HS94" t="e">
        <f>AND(DATA!H1033,"AAAAADfv7+I=")</f>
        <v>#VALUE!</v>
      </c>
      <c r="HT94" t="e">
        <f>AND(DATA!I1033,"AAAAADfv7+M=")</f>
        <v>#VALUE!</v>
      </c>
      <c r="HU94" t="e">
        <f>AND(DATA!J1033,"AAAAADfv7+Q=")</f>
        <v>#VALUE!</v>
      </c>
      <c r="HV94" t="e">
        <f>AND(DATA!K1033,"AAAAADfv7+U=")</f>
        <v>#VALUE!</v>
      </c>
      <c r="HW94" t="b">
        <f>AND(DATA!L1033,"AAAAADfv7+Y=")</f>
        <v>1</v>
      </c>
      <c r="HX94" t="e">
        <f>AND(DATA!M1033,"AAAAADfv7+c=")</f>
        <v>#VALUE!</v>
      </c>
      <c r="HY94" t="b">
        <f>AND(DATA!N1033,"AAAAADfv7+g=")</f>
        <v>1</v>
      </c>
      <c r="HZ94">
        <f>IF(DATA!1034:1034,"AAAAADfv7+k=",0)</f>
        <v>0</v>
      </c>
      <c r="IA94" t="e">
        <f>AND(DATA!A1034,"AAAAADfv7+o=")</f>
        <v>#VALUE!</v>
      </c>
      <c r="IB94" t="e">
        <f>AND(DATA!B1034,"AAAAADfv7+s=")</f>
        <v>#VALUE!</v>
      </c>
      <c r="IC94" t="e">
        <f>AND(DATA!C1034,"AAAAADfv7+w=")</f>
        <v>#VALUE!</v>
      </c>
      <c r="ID94" t="e">
        <f>AND(DATA!D1034,"AAAAADfv7+0=")</f>
        <v>#VALUE!</v>
      </c>
      <c r="IE94" t="e">
        <f>AND(DATA!E1034,"AAAAADfv7+4=")</f>
        <v>#VALUE!</v>
      </c>
      <c r="IF94" t="e">
        <f>AND(DATA!F1034,"AAAAADfv7+8=")</f>
        <v>#VALUE!</v>
      </c>
      <c r="IG94" t="e">
        <f>AND(DATA!G1034,"AAAAADfv7/A=")</f>
        <v>#VALUE!</v>
      </c>
      <c r="IH94" t="e">
        <f>AND(DATA!H1034,"AAAAADfv7/E=")</f>
        <v>#VALUE!</v>
      </c>
      <c r="II94" t="e">
        <f>AND(DATA!I1034,"AAAAADfv7/I=")</f>
        <v>#VALUE!</v>
      </c>
      <c r="IJ94" t="e">
        <f>AND(DATA!J1034,"AAAAADfv7/M=")</f>
        <v>#VALUE!</v>
      </c>
      <c r="IK94" t="e">
        <f>AND(DATA!K1034,"AAAAADfv7/Q=")</f>
        <v>#VALUE!</v>
      </c>
      <c r="IL94" t="b">
        <f>AND(DATA!L1034,"AAAAADfv7/U=")</f>
        <v>1</v>
      </c>
      <c r="IM94" t="e">
        <f>AND(DATA!M1034,"AAAAADfv7/Y=")</f>
        <v>#VALUE!</v>
      </c>
      <c r="IN94" t="b">
        <f>AND(DATA!N1034,"AAAAADfv7/c=")</f>
        <v>1</v>
      </c>
      <c r="IO94">
        <f>IF(DATA!1035:1035,"AAAAADfv7/g=",0)</f>
        <v>0</v>
      </c>
      <c r="IP94" t="e">
        <f>AND(DATA!A1035,"AAAAADfv7/k=")</f>
        <v>#VALUE!</v>
      </c>
      <c r="IQ94" t="e">
        <f>AND(DATA!B1035,"AAAAADfv7/o=")</f>
        <v>#VALUE!</v>
      </c>
      <c r="IR94" t="e">
        <f>AND(DATA!C1035,"AAAAADfv7/s=")</f>
        <v>#VALUE!</v>
      </c>
      <c r="IS94" t="e">
        <f>AND(DATA!D1035,"AAAAADfv7/w=")</f>
        <v>#VALUE!</v>
      </c>
      <c r="IT94" t="e">
        <f>AND(DATA!E1035,"AAAAADfv7/0=")</f>
        <v>#VALUE!</v>
      </c>
      <c r="IU94" t="e">
        <f>AND(DATA!F1035,"AAAAADfv7/4=")</f>
        <v>#VALUE!</v>
      </c>
      <c r="IV94" t="e">
        <f>AND(DATA!G1035,"AAAAADfv7/8=")</f>
        <v>#VALUE!</v>
      </c>
    </row>
    <row r="95" spans="1:256">
      <c r="A95" t="e">
        <f>AND(DATA!H1035,"AAAAAHj//gA=")</f>
        <v>#VALUE!</v>
      </c>
      <c r="B95" t="e">
        <f>AND(DATA!I1035,"AAAAAHj//gE=")</f>
        <v>#VALUE!</v>
      </c>
      <c r="C95" t="e">
        <f>AND(DATA!J1035,"AAAAAHj//gI=")</f>
        <v>#VALUE!</v>
      </c>
      <c r="D95" t="e">
        <f>AND(DATA!K1035,"AAAAAHj//gM=")</f>
        <v>#VALUE!</v>
      </c>
      <c r="E95" t="b">
        <f>AND(DATA!L1035,"AAAAAHj//gQ=")</f>
        <v>1</v>
      </c>
      <c r="F95" t="e">
        <f>AND(DATA!M1035,"AAAAAHj//gU=")</f>
        <v>#VALUE!</v>
      </c>
      <c r="G95" t="b">
        <f>AND(DATA!N1035,"AAAAAHj//gY=")</f>
        <v>1</v>
      </c>
      <c r="H95">
        <f>IF(DATA!1036:1036,"AAAAAHj//gc=",0)</f>
        <v>0</v>
      </c>
      <c r="I95" t="e">
        <f>AND(DATA!A1036,"AAAAAHj//gg=")</f>
        <v>#VALUE!</v>
      </c>
      <c r="J95" t="e">
        <f>AND(DATA!B1036,"AAAAAHj//gk=")</f>
        <v>#VALUE!</v>
      </c>
      <c r="K95" t="e">
        <f>AND(DATA!C1036,"AAAAAHj//go=")</f>
        <v>#VALUE!</v>
      </c>
      <c r="L95" t="e">
        <f>AND(DATA!D1036,"AAAAAHj//gs=")</f>
        <v>#VALUE!</v>
      </c>
      <c r="M95" t="e">
        <f>AND(DATA!E1036,"AAAAAHj//gw=")</f>
        <v>#VALUE!</v>
      </c>
      <c r="N95" t="e">
        <f>AND(DATA!F1036,"AAAAAHj//g0=")</f>
        <v>#VALUE!</v>
      </c>
      <c r="O95" t="e">
        <f>AND(DATA!G1036,"AAAAAHj//g4=")</f>
        <v>#VALUE!</v>
      </c>
      <c r="P95" t="e">
        <f>AND(DATA!H1036,"AAAAAHj//g8=")</f>
        <v>#VALUE!</v>
      </c>
      <c r="Q95" t="e">
        <f>AND(DATA!I1036,"AAAAAHj//hA=")</f>
        <v>#VALUE!</v>
      </c>
      <c r="R95" t="e">
        <f>AND(DATA!J1036,"AAAAAHj//hE=")</f>
        <v>#VALUE!</v>
      </c>
      <c r="S95" t="e">
        <f>AND(DATA!K1036,"AAAAAHj//hI=")</f>
        <v>#VALUE!</v>
      </c>
      <c r="T95" t="b">
        <f>AND(DATA!L1036,"AAAAAHj//hM=")</f>
        <v>1</v>
      </c>
      <c r="U95" t="e">
        <f>AND(DATA!M1036,"AAAAAHj//hQ=")</f>
        <v>#VALUE!</v>
      </c>
      <c r="V95" t="b">
        <f>AND(DATA!N1036,"AAAAAHj//hU=")</f>
        <v>1</v>
      </c>
      <c r="W95">
        <f>IF(DATA!1037:1037,"AAAAAHj//hY=",0)</f>
        <v>0</v>
      </c>
      <c r="X95" t="e">
        <f>AND(DATA!A1037,"AAAAAHj//hc=")</f>
        <v>#VALUE!</v>
      </c>
      <c r="Y95" t="e">
        <f>AND(DATA!B1037,"AAAAAHj//hg=")</f>
        <v>#VALUE!</v>
      </c>
      <c r="Z95" t="e">
        <f>AND(DATA!C1037,"AAAAAHj//hk=")</f>
        <v>#VALUE!</v>
      </c>
      <c r="AA95" t="e">
        <f>AND(DATA!D1037,"AAAAAHj//ho=")</f>
        <v>#VALUE!</v>
      </c>
      <c r="AB95" t="e">
        <f>AND(DATA!E1037,"AAAAAHj//hs=")</f>
        <v>#VALUE!</v>
      </c>
      <c r="AC95" t="e">
        <f>AND(DATA!F1037,"AAAAAHj//hw=")</f>
        <v>#VALUE!</v>
      </c>
      <c r="AD95" t="e">
        <f>AND(DATA!G1037,"AAAAAHj//h0=")</f>
        <v>#VALUE!</v>
      </c>
      <c r="AE95" t="e">
        <f>AND(DATA!H1037,"AAAAAHj//h4=")</f>
        <v>#VALUE!</v>
      </c>
      <c r="AF95" t="e">
        <f>AND(DATA!I1037,"AAAAAHj//h8=")</f>
        <v>#VALUE!</v>
      </c>
      <c r="AG95" t="e">
        <f>AND(DATA!J1037,"AAAAAHj//iA=")</f>
        <v>#VALUE!</v>
      </c>
      <c r="AH95" t="e">
        <f>AND(DATA!K1037,"AAAAAHj//iE=")</f>
        <v>#VALUE!</v>
      </c>
      <c r="AI95" t="b">
        <f>AND(DATA!L1037,"AAAAAHj//iI=")</f>
        <v>1</v>
      </c>
      <c r="AJ95" t="e">
        <f>AND(DATA!M1037,"AAAAAHj//iM=")</f>
        <v>#VALUE!</v>
      </c>
      <c r="AK95" t="b">
        <f>AND(DATA!N1037,"AAAAAHj//iQ=")</f>
        <v>1</v>
      </c>
      <c r="AL95">
        <f>IF(DATA!1038:1038,"AAAAAHj//iU=",0)</f>
        <v>0</v>
      </c>
      <c r="AM95" t="e">
        <f>AND(DATA!A1038,"AAAAAHj//iY=")</f>
        <v>#VALUE!</v>
      </c>
      <c r="AN95" t="e">
        <f>AND(DATA!B1038,"AAAAAHj//ic=")</f>
        <v>#VALUE!</v>
      </c>
      <c r="AO95" t="e">
        <f>AND(DATA!C1038,"AAAAAHj//ig=")</f>
        <v>#VALUE!</v>
      </c>
      <c r="AP95" t="e">
        <f>AND(DATA!D1038,"AAAAAHj//ik=")</f>
        <v>#VALUE!</v>
      </c>
      <c r="AQ95" t="e">
        <f>AND(DATA!E1038,"AAAAAHj//io=")</f>
        <v>#VALUE!</v>
      </c>
      <c r="AR95" t="e">
        <f>AND(DATA!F1038,"AAAAAHj//is=")</f>
        <v>#VALUE!</v>
      </c>
      <c r="AS95" t="e">
        <f>AND(DATA!G1038,"AAAAAHj//iw=")</f>
        <v>#VALUE!</v>
      </c>
      <c r="AT95" t="e">
        <f>AND(DATA!H1038,"AAAAAHj//i0=")</f>
        <v>#VALUE!</v>
      </c>
      <c r="AU95" t="e">
        <f>AND(DATA!I1038,"AAAAAHj//i4=")</f>
        <v>#VALUE!</v>
      </c>
      <c r="AV95" t="e">
        <f>AND(DATA!J1038,"AAAAAHj//i8=")</f>
        <v>#VALUE!</v>
      </c>
      <c r="AW95" t="e">
        <f>AND(DATA!K1038,"AAAAAHj//jA=")</f>
        <v>#VALUE!</v>
      </c>
      <c r="AX95" t="b">
        <f>AND(DATA!L1038,"AAAAAHj//jE=")</f>
        <v>1</v>
      </c>
      <c r="AY95" t="e">
        <f>AND(DATA!M1038,"AAAAAHj//jI=")</f>
        <v>#VALUE!</v>
      </c>
      <c r="AZ95" t="b">
        <f>AND(DATA!N1038,"AAAAAHj//jM=")</f>
        <v>1</v>
      </c>
      <c r="BA95">
        <f>IF(DATA!1039:1039,"AAAAAHj//jQ=",0)</f>
        <v>0</v>
      </c>
      <c r="BB95" t="e">
        <f>AND(DATA!A1039,"AAAAAHj//jU=")</f>
        <v>#VALUE!</v>
      </c>
      <c r="BC95" t="e">
        <f>AND(DATA!B1039,"AAAAAHj//jY=")</f>
        <v>#VALUE!</v>
      </c>
      <c r="BD95" t="e">
        <f>AND(DATA!C1039,"AAAAAHj//jc=")</f>
        <v>#VALUE!</v>
      </c>
      <c r="BE95" t="e">
        <f>AND(DATA!D1039,"AAAAAHj//jg=")</f>
        <v>#VALUE!</v>
      </c>
      <c r="BF95" t="e">
        <f>AND(DATA!E1039,"AAAAAHj//jk=")</f>
        <v>#VALUE!</v>
      </c>
      <c r="BG95" t="e">
        <f>AND(DATA!F1039,"AAAAAHj//jo=")</f>
        <v>#VALUE!</v>
      </c>
      <c r="BH95" t="e">
        <f>AND(DATA!G1039,"AAAAAHj//js=")</f>
        <v>#VALUE!</v>
      </c>
      <c r="BI95" t="e">
        <f>AND(DATA!H1039,"AAAAAHj//jw=")</f>
        <v>#VALUE!</v>
      </c>
      <c r="BJ95" t="e">
        <f>AND(DATA!I1039,"AAAAAHj//j0=")</f>
        <v>#VALUE!</v>
      </c>
      <c r="BK95" t="e">
        <f>AND(DATA!J1039,"AAAAAHj//j4=")</f>
        <v>#VALUE!</v>
      </c>
      <c r="BL95" t="e">
        <f>AND(DATA!K1039,"AAAAAHj//j8=")</f>
        <v>#VALUE!</v>
      </c>
      <c r="BM95" t="b">
        <f>AND(DATA!L1039,"AAAAAHj//kA=")</f>
        <v>1</v>
      </c>
      <c r="BN95" t="e">
        <f>AND(DATA!M1039,"AAAAAHj//kE=")</f>
        <v>#VALUE!</v>
      </c>
      <c r="BO95" t="b">
        <f>AND(DATA!N1039,"AAAAAHj//kI=")</f>
        <v>1</v>
      </c>
      <c r="BP95">
        <f>IF(DATA!1040:1040,"AAAAAHj//kM=",0)</f>
        <v>0</v>
      </c>
      <c r="BQ95" t="e">
        <f>AND(DATA!A1040,"AAAAAHj//kQ=")</f>
        <v>#VALUE!</v>
      </c>
      <c r="BR95" t="e">
        <f>AND(DATA!B1040,"AAAAAHj//kU=")</f>
        <v>#VALUE!</v>
      </c>
      <c r="BS95" t="e">
        <f>AND(DATA!C1040,"AAAAAHj//kY=")</f>
        <v>#VALUE!</v>
      </c>
      <c r="BT95" t="e">
        <f>AND(DATA!D1040,"AAAAAHj//kc=")</f>
        <v>#VALUE!</v>
      </c>
      <c r="BU95" t="e">
        <f>AND(DATA!E1040,"AAAAAHj//kg=")</f>
        <v>#VALUE!</v>
      </c>
      <c r="BV95" t="e">
        <f>AND(DATA!F1040,"AAAAAHj//kk=")</f>
        <v>#VALUE!</v>
      </c>
      <c r="BW95" t="e">
        <f>AND(DATA!G1040,"AAAAAHj//ko=")</f>
        <v>#VALUE!</v>
      </c>
      <c r="BX95" t="e">
        <f>AND(DATA!H1040,"AAAAAHj//ks=")</f>
        <v>#VALUE!</v>
      </c>
      <c r="BY95" t="e">
        <f>AND(DATA!I1040,"AAAAAHj//kw=")</f>
        <v>#VALUE!</v>
      </c>
      <c r="BZ95" t="e">
        <f>AND(DATA!J1040,"AAAAAHj//k0=")</f>
        <v>#VALUE!</v>
      </c>
      <c r="CA95" t="e">
        <f>AND(DATA!K1040,"AAAAAHj//k4=")</f>
        <v>#VALUE!</v>
      </c>
      <c r="CB95" t="b">
        <f>AND(DATA!L1040,"AAAAAHj//k8=")</f>
        <v>1</v>
      </c>
      <c r="CC95" t="e">
        <f>AND(DATA!M1040,"AAAAAHj//lA=")</f>
        <v>#VALUE!</v>
      </c>
      <c r="CD95" t="b">
        <f>AND(DATA!N1040,"AAAAAHj//lE=")</f>
        <v>1</v>
      </c>
      <c r="CE95">
        <f>IF(DATA!1041:1041,"AAAAAHj//lI=",0)</f>
        <v>0</v>
      </c>
      <c r="CF95" t="e">
        <f>AND(DATA!A1041,"AAAAAHj//lM=")</f>
        <v>#VALUE!</v>
      </c>
      <c r="CG95" t="e">
        <f>AND(DATA!B1041,"AAAAAHj//lQ=")</f>
        <v>#VALUE!</v>
      </c>
      <c r="CH95" t="e">
        <f>AND(DATA!C1041,"AAAAAHj//lU=")</f>
        <v>#VALUE!</v>
      </c>
      <c r="CI95" t="e">
        <f>AND(DATA!D1041,"AAAAAHj//lY=")</f>
        <v>#VALUE!</v>
      </c>
      <c r="CJ95" t="e">
        <f>AND(DATA!E1041,"AAAAAHj//lc=")</f>
        <v>#VALUE!</v>
      </c>
      <c r="CK95" t="e">
        <f>AND(DATA!F1041,"AAAAAHj//lg=")</f>
        <v>#VALUE!</v>
      </c>
      <c r="CL95" t="e">
        <f>AND(DATA!G1041,"AAAAAHj//lk=")</f>
        <v>#VALUE!</v>
      </c>
      <c r="CM95" t="e">
        <f>AND(DATA!H1041,"AAAAAHj//lo=")</f>
        <v>#VALUE!</v>
      </c>
      <c r="CN95" t="e">
        <f>AND(DATA!I1041,"AAAAAHj//ls=")</f>
        <v>#VALUE!</v>
      </c>
      <c r="CO95" t="e">
        <f>AND(DATA!J1041,"AAAAAHj//lw=")</f>
        <v>#VALUE!</v>
      </c>
      <c r="CP95" t="e">
        <f>AND(DATA!K1041,"AAAAAHj//l0=")</f>
        <v>#VALUE!</v>
      </c>
      <c r="CQ95" t="b">
        <f>AND(DATA!L1041,"AAAAAHj//l4=")</f>
        <v>1</v>
      </c>
      <c r="CR95" t="e">
        <f>AND(DATA!M1041,"AAAAAHj//l8=")</f>
        <v>#VALUE!</v>
      </c>
      <c r="CS95" t="b">
        <f>AND(DATA!N1041,"AAAAAHj//mA=")</f>
        <v>1</v>
      </c>
      <c r="CT95">
        <f>IF(DATA!1042:1042,"AAAAAHj//mE=",0)</f>
        <v>0</v>
      </c>
      <c r="CU95" t="e">
        <f>AND(DATA!A1042,"AAAAAHj//mI=")</f>
        <v>#VALUE!</v>
      </c>
      <c r="CV95" t="e">
        <f>AND(DATA!B1042,"AAAAAHj//mM=")</f>
        <v>#VALUE!</v>
      </c>
      <c r="CW95" t="e">
        <f>AND(DATA!C1042,"AAAAAHj//mQ=")</f>
        <v>#VALUE!</v>
      </c>
      <c r="CX95" t="e">
        <f>AND(DATA!D1042,"AAAAAHj//mU=")</f>
        <v>#VALUE!</v>
      </c>
      <c r="CY95" t="e">
        <f>AND(DATA!E1042,"AAAAAHj//mY=")</f>
        <v>#VALUE!</v>
      </c>
      <c r="CZ95" t="e">
        <f>AND(DATA!F1042,"AAAAAHj//mc=")</f>
        <v>#VALUE!</v>
      </c>
      <c r="DA95" t="e">
        <f>AND(DATA!G1042,"AAAAAHj//mg=")</f>
        <v>#VALUE!</v>
      </c>
      <c r="DB95" t="e">
        <f>AND(DATA!H1042,"AAAAAHj//mk=")</f>
        <v>#VALUE!</v>
      </c>
      <c r="DC95" t="e">
        <f>AND(DATA!I1042,"AAAAAHj//mo=")</f>
        <v>#VALUE!</v>
      </c>
      <c r="DD95" t="e">
        <f>AND(DATA!J1042,"AAAAAHj//ms=")</f>
        <v>#VALUE!</v>
      </c>
      <c r="DE95" t="e">
        <f>AND(DATA!K1042,"AAAAAHj//mw=")</f>
        <v>#VALUE!</v>
      </c>
      <c r="DF95" t="b">
        <f>AND(DATA!L1042,"AAAAAHj//m0=")</f>
        <v>1</v>
      </c>
      <c r="DG95" t="e">
        <f>AND(DATA!M1042,"AAAAAHj//m4=")</f>
        <v>#VALUE!</v>
      </c>
      <c r="DH95" t="b">
        <f>AND(DATA!N1042,"AAAAAHj//m8=")</f>
        <v>1</v>
      </c>
      <c r="DI95">
        <f>IF(DATA!1043:1043,"AAAAAHj//nA=",0)</f>
        <v>0</v>
      </c>
      <c r="DJ95" t="e">
        <f>AND(DATA!A1043,"AAAAAHj//nE=")</f>
        <v>#VALUE!</v>
      </c>
      <c r="DK95" t="e">
        <f>AND(DATA!B1043,"AAAAAHj//nI=")</f>
        <v>#VALUE!</v>
      </c>
      <c r="DL95" t="e">
        <f>AND(DATA!C1043,"AAAAAHj//nM=")</f>
        <v>#VALUE!</v>
      </c>
      <c r="DM95" t="e">
        <f>AND(DATA!D1043,"AAAAAHj//nQ=")</f>
        <v>#VALUE!</v>
      </c>
      <c r="DN95" t="e">
        <f>AND(DATA!E1043,"AAAAAHj//nU=")</f>
        <v>#VALUE!</v>
      </c>
      <c r="DO95" t="e">
        <f>AND(DATA!F1043,"AAAAAHj//nY=")</f>
        <v>#VALUE!</v>
      </c>
      <c r="DP95" t="e">
        <f>AND(DATA!G1043,"AAAAAHj//nc=")</f>
        <v>#VALUE!</v>
      </c>
      <c r="DQ95" t="e">
        <f>AND(DATA!H1043,"AAAAAHj//ng=")</f>
        <v>#VALUE!</v>
      </c>
      <c r="DR95" t="e">
        <f>AND(DATA!I1043,"AAAAAHj//nk=")</f>
        <v>#VALUE!</v>
      </c>
      <c r="DS95" t="e">
        <f>AND(DATA!J1043,"AAAAAHj//no=")</f>
        <v>#VALUE!</v>
      </c>
      <c r="DT95" t="e">
        <f>AND(DATA!K1043,"AAAAAHj//ns=")</f>
        <v>#VALUE!</v>
      </c>
      <c r="DU95" t="b">
        <f>AND(DATA!L1043,"AAAAAHj//nw=")</f>
        <v>1</v>
      </c>
      <c r="DV95" t="e">
        <f>AND(DATA!M1043,"AAAAAHj//n0=")</f>
        <v>#VALUE!</v>
      </c>
      <c r="DW95" t="b">
        <f>AND(DATA!N1043,"AAAAAHj//n4=")</f>
        <v>1</v>
      </c>
      <c r="DX95">
        <f>IF(DATA!1044:1044,"AAAAAHj//n8=",0)</f>
        <v>0</v>
      </c>
      <c r="DY95" t="e">
        <f>AND(DATA!A1044,"AAAAAHj//oA=")</f>
        <v>#VALUE!</v>
      </c>
      <c r="DZ95" t="e">
        <f>AND(DATA!B1044,"AAAAAHj//oE=")</f>
        <v>#VALUE!</v>
      </c>
      <c r="EA95" t="e">
        <f>AND(DATA!C1044,"AAAAAHj//oI=")</f>
        <v>#VALUE!</v>
      </c>
      <c r="EB95" t="e">
        <f>AND(DATA!D1044,"AAAAAHj//oM=")</f>
        <v>#VALUE!</v>
      </c>
      <c r="EC95" t="e">
        <f>AND(DATA!E1044,"AAAAAHj//oQ=")</f>
        <v>#VALUE!</v>
      </c>
      <c r="ED95" t="e">
        <f>AND(DATA!F1044,"AAAAAHj//oU=")</f>
        <v>#VALUE!</v>
      </c>
      <c r="EE95" t="e">
        <f>AND(DATA!G1044,"AAAAAHj//oY=")</f>
        <v>#VALUE!</v>
      </c>
      <c r="EF95" t="e">
        <f>AND(DATA!H1044,"AAAAAHj//oc=")</f>
        <v>#VALUE!</v>
      </c>
      <c r="EG95" t="e">
        <f>AND(DATA!I1044,"AAAAAHj//og=")</f>
        <v>#VALUE!</v>
      </c>
      <c r="EH95" t="e">
        <f>AND(DATA!J1044,"AAAAAHj//ok=")</f>
        <v>#VALUE!</v>
      </c>
      <c r="EI95" t="e">
        <f>AND(DATA!K1044,"AAAAAHj//oo=")</f>
        <v>#VALUE!</v>
      </c>
      <c r="EJ95" t="b">
        <f>AND(DATA!L1044,"AAAAAHj//os=")</f>
        <v>1</v>
      </c>
      <c r="EK95" t="e">
        <f>AND(DATA!M1044,"AAAAAHj//ow=")</f>
        <v>#VALUE!</v>
      </c>
      <c r="EL95" t="b">
        <f>AND(DATA!N1044,"AAAAAHj//o0=")</f>
        <v>1</v>
      </c>
      <c r="EM95">
        <f>IF(DATA!1045:1045,"AAAAAHj//o4=",0)</f>
        <v>0</v>
      </c>
      <c r="EN95" t="e">
        <f>AND(DATA!A1045,"AAAAAHj//o8=")</f>
        <v>#VALUE!</v>
      </c>
      <c r="EO95" t="e">
        <f>AND(DATA!B1045,"AAAAAHj//pA=")</f>
        <v>#VALUE!</v>
      </c>
      <c r="EP95" t="e">
        <f>AND(DATA!C1045,"AAAAAHj//pE=")</f>
        <v>#VALUE!</v>
      </c>
      <c r="EQ95" t="e">
        <f>AND(DATA!D1045,"AAAAAHj//pI=")</f>
        <v>#VALUE!</v>
      </c>
      <c r="ER95" t="e">
        <f>AND(DATA!E1045,"AAAAAHj//pM=")</f>
        <v>#VALUE!</v>
      </c>
      <c r="ES95" t="e">
        <f>AND(DATA!F1045,"AAAAAHj//pQ=")</f>
        <v>#VALUE!</v>
      </c>
      <c r="ET95" t="e">
        <f>AND(DATA!G1045,"AAAAAHj//pU=")</f>
        <v>#VALUE!</v>
      </c>
      <c r="EU95" t="e">
        <f>AND(DATA!H1045,"AAAAAHj//pY=")</f>
        <v>#VALUE!</v>
      </c>
      <c r="EV95" t="e">
        <f>AND(DATA!I1045,"AAAAAHj//pc=")</f>
        <v>#VALUE!</v>
      </c>
      <c r="EW95" t="e">
        <f>AND(DATA!J1045,"AAAAAHj//pg=")</f>
        <v>#VALUE!</v>
      </c>
      <c r="EX95" t="e">
        <f>AND(DATA!K1045,"AAAAAHj//pk=")</f>
        <v>#VALUE!</v>
      </c>
      <c r="EY95" t="b">
        <f>AND(DATA!L1045,"AAAAAHj//po=")</f>
        <v>1</v>
      </c>
      <c r="EZ95" t="e">
        <f>AND(DATA!M1045,"AAAAAHj//ps=")</f>
        <v>#VALUE!</v>
      </c>
      <c r="FA95" t="b">
        <f>AND(DATA!N1045,"AAAAAHj//pw=")</f>
        <v>1</v>
      </c>
      <c r="FB95">
        <f>IF(DATA!1046:1046,"AAAAAHj//p0=",0)</f>
        <v>0</v>
      </c>
      <c r="FC95" t="e">
        <f>AND(DATA!A1046,"AAAAAHj//p4=")</f>
        <v>#VALUE!</v>
      </c>
      <c r="FD95" t="e">
        <f>AND(DATA!B1046,"AAAAAHj//p8=")</f>
        <v>#VALUE!</v>
      </c>
      <c r="FE95" t="e">
        <f>AND(DATA!C1046,"AAAAAHj//qA=")</f>
        <v>#VALUE!</v>
      </c>
      <c r="FF95" t="e">
        <f>AND(DATA!D1046,"AAAAAHj//qE=")</f>
        <v>#VALUE!</v>
      </c>
      <c r="FG95" t="e">
        <f>AND(DATA!E1046,"AAAAAHj//qI=")</f>
        <v>#VALUE!</v>
      </c>
      <c r="FH95" t="e">
        <f>AND(DATA!F1046,"AAAAAHj//qM=")</f>
        <v>#VALUE!</v>
      </c>
      <c r="FI95" t="e">
        <f>AND(DATA!G1046,"AAAAAHj//qQ=")</f>
        <v>#VALUE!</v>
      </c>
      <c r="FJ95" t="e">
        <f>AND(DATA!H1046,"AAAAAHj//qU=")</f>
        <v>#VALUE!</v>
      </c>
      <c r="FK95" t="e">
        <f>AND(DATA!I1046,"AAAAAHj//qY=")</f>
        <v>#VALUE!</v>
      </c>
      <c r="FL95" t="e">
        <f>AND(DATA!J1046,"AAAAAHj//qc=")</f>
        <v>#VALUE!</v>
      </c>
      <c r="FM95" t="e">
        <f>AND(DATA!K1046,"AAAAAHj//qg=")</f>
        <v>#VALUE!</v>
      </c>
      <c r="FN95" t="b">
        <f>AND(DATA!L1046,"AAAAAHj//qk=")</f>
        <v>1</v>
      </c>
      <c r="FO95" t="e">
        <f>AND(DATA!M1046,"AAAAAHj//qo=")</f>
        <v>#VALUE!</v>
      </c>
      <c r="FP95" t="b">
        <f>AND(DATA!N1046,"AAAAAHj//qs=")</f>
        <v>1</v>
      </c>
      <c r="FQ95">
        <f>IF(DATA!1047:1047,"AAAAAHj//qw=",0)</f>
        <v>0</v>
      </c>
      <c r="FR95" t="e">
        <f>AND(DATA!A1047,"AAAAAHj//q0=")</f>
        <v>#VALUE!</v>
      </c>
      <c r="FS95" t="e">
        <f>AND(DATA!B1047,"AAAAAHj//q4=")</f>
        <v>#VALUE!</v>
      </c>
      <c r="FT95" t="e">
        <f>AND(DATA!C1047,"AAAAAHj//q8=")</f>
        <v>#VALUE!</v>
      </c>
      <c r="FU95" t="e">
        <f>AND(DATA!D1047,"AAAAAHj//rA=")</f>
        <v>#VALUE!</v>
      </c>
      <c r="FV95" t="e">
        <f>AND(DATA!E1047,"AAAAAHj//rE=")</f>
        <v>#VALUE!</v>
      </c>
      <c r="FW95" t="e">
        <f>AND(DATA!F1047,"AAAAAHj//rI=")</f>
        <v>#VALUE!</v>
      </c>
      <c r="FX95" t="e">
        <f>AND(DATA!G1047,"AAAAAHj//rM=")</f>
        <v>#VALUE!</v>
      </c>
      <c r="FY95" t="e">
        <f>AND(DATA!H1047,"AAAAAHj//rQ=")</f>
        <v>#VALUE!</v>
      </c>
      <c r="FZ95" t="e">
        <f>AND(DATA!I1047,"AAAAAHj//rU=")</f>
        <v>#VALUE!</v>
      </c>
      <c r="GA95" t="e">
        <f>AND(DATA!J1047,"AAAAAHj//rY=")</f>
        <v>#VALUE!</v>
      </c>
      <c r="GB95" t="e">
        <f>AND(DATA!K1047,"AAAAAHj//rc=")</f>
        <v>#VALUE!</v>
      </c>
      <c r="GC95" t="b">
        <f>AND(DATA!L1047,"AAAAAHj//rg=")</f>
        <v>1</v>
      </c>
      <c r="GD95" t="e">
        <f>AND(DATA!M1047,"AAAAAHj//rk=")</f>
        <v>#VALUE!</v>
      </c>
      <c r="GE95" t="b">
        <f>AND(DATA!N1047,"AAAAAHj//ro=")</f>
        <v>1</v>
      </c>
      <c r="GF95">
        <f>IF(DATA!1048:1048,"AAAAAHj//rs=",0)</f>
        <v>0</v>
      </c>
      <c r="GG95" t="e">
        <f>AND(DATA!A1048,"AAAAAHj//rw=")</f>
        <v>#VALUE!</v>
      </c>
      <c r="GH95" t="e">
        <f>AND(DATA!B1048,"AAAAAHj//r0=")</f>
        <v>#VALUE!</v>
      </c>
      <c r="GI95" t="e">
        <f>AND(DATA!C1048,"AAAAAHj//r4=")</f>
        <v>#VALUE!</v>
      </c>
      <c r="GJ95" t="e">
        <f>AND(DATA!D1048,"AAAAAHj//r8=")</f>
        <v>#VALUE!</v>
      </c>
      <c r="GK95" t="e">
        <f>AND(DATA!E1048,"AAAAAHj//sA=")</f>
        <v>#VALUE!</v>
      </c>
      <c r="GL95" t="e">
        <f>AND(DATA!F1048,"AAAAAHj//sE=")</f>
        <v>#VALUE!</v>
      </c>
      <c r="GM95" t="e">
        <f>AND(DATA!G1048,"AAAAAHj//sI=")</f>
        <v>#VALUE!</v>
      </c>
      <c r="GN95" t="e">
        <f>AND(DATA!H1048,"AAAAAHj//sM=")</f>
        <v>#VALUE!</v>
      </c>
      <c r="GO95" t="e">
        <f>AND(DATA!I1048,"AAAAAHj//sQ=")</f>
        <v>#VALUE!</v>
      </c>
      <c r="GP95" t="e">
        <f>AND(DATA!J1048,"AAAAAHj//sU=")</f>
        <v>#VALUE!</v>
      </c>
      <c r="GQ95" t="e">
        <f>AND(DATA!K1048,"AAAAAHj//sY=")</f>
        <v>#VALUE!</v>
      </c>
      <c r="GR95" t="b">
        <f>AND(DATA!L1048,"AAAAAHj//sc=")</f>
        <v>1</v>
      </c>
      <c r="GS95" t="e">
        <f>AND(DATA!M1048,"AAAAAHj//sg=")</f>
        <v>#VALUE!</v>
      </c>
      <c r="GT95" t="b">
        <f>AND(DATA!N1048,"AAAAAHj//sk=")</f>
        <v>1</v>
      </c>
      <c r="GU95">
        <f>IF(DATA!1049:1049,"AAAAAHj//so=",0)</f>
        <v>0</v>
      </c>
      <c r="GV95" t="e">
        <f>AND(DATA!A1049,"AAAAAHj//ss=")</f>
        <v>#VALUE!</v>
      </c>
      <c r="GW95" t="e">
        <f>AND(DATA!B1049,"AAAAAHj//sw=")</f>
        <v>#VALUE!</v>
      </c>
      <c r="GX95" t="e">
        <f>AND(DATA!C1049,"AAAAAHj//s0=")</f>
        <v>#VALUE!</v>
      </c>
      <c r="GY95" t="e">
        <f>AND(DATA!D1049,"AAAAAHj//s4=")</f>
        <v>#VALUE!</v>
      </c>
      <c r="GZ95" t="e">
        <f>AND(DATA!E1049,"AAAAAHj//s8=")</f>
        <v>#VALUE!</v>
      </c>
      <c r="HA95" t="e">
        <f>AND(DATA!F1049,"AAAAAHj//tA=")</f>
        <v>#VALUE!</v>
      </c>
      <c r="HB95" t="e">
        <f>AND(DATA!G1049,"AAAAAHj//tE=")</f>
        <v>#VALUE!</v>
      </c>
      <c r="HC95" t="e">
        <f>AND(DATA!H1049,"AAAAAHj//tI=")</f>
        <v>#VALUE!</v>
      </c>
      <c r="HD95" t="e">
        <f>AND(DATA!I1049,"AAAAAHj//tM=")</f>
        <v>#VALUE!</v>
      </c>
      <c r="HE95" t="e">
        <f>AND(DATA!J1049,"AAAAAHj//tQ=")</f>
        <v>#VALUE!</v>
      </c>
      <c r="HF95" t="e">
        <f>AND(DATA!K1049,"AAAAAHj//tU=")</f>
        <v>#VALUE!</v>
      </c>
      <c r="HG95" t="b">
        <f>AND(DATA!L1049,"AAAAAHj//tY=")</f>
        <v>1</v>
      </c>
      <c r="HH95" t="e">
        <f>AND(DATA!M1049,"AAAAAHj//tc=")</f>
        <v>#VALUE!</v>
      </c>
      <c r="HI95" t="b">
        <f>AND(DATA!N1049,"AAAAAHj//tg=")</f>
        <v>1</v>
      </c>
      <c r="HJ95">
        <f>IF(DATA!1050:1050,"AAAAAHj//tk=",0)</f>
        <v>0</v>
      </c>
      <c r="HK95" t="e">
        <f>AND(DATA!A1050,"AAAAAHj//to=")</f>
        <v>#VALUE!</v>
      </c>
      <c r="HL95" t="e">
        <f>AND(DATA!B1050,"AAAAAHj//ts=")</f>
        <v>#VALUE!</v>
      </c>
      <c r="HM95" t="e">
        <f>AND(DATA!C1050,"AAAAAHj//tw=")</f>
        <v>#VALUE!</v>
      </c>
      <c r="HN95" t="e">
        <f>AND(DATA!D1050,"AAAAAHj//t0=")</f>
        <v>#VALUE!</v>
      </c>
      <c r="HO95" t="e">
        <f>AND(DATA!E1050,"AAAAAHj//t4=")</f>
        <v>#VALUE!</v>
      </c>
      <c r="HP95" t="e">
        <f>AND(DATA!F1050,"AAAAAHj//t8=")</f>
        <v>#VALUE!</v>
      </c>
      <c r="HQ95" t="e">
        <f>AND(DATA!G1050,"AAAAAHj//uA=")</f>
        <v>#VALUE!</v>
      </c>
      <c r="HR95" t="e">
        <f>AND(DATA!H1050,"AAAAAHj//uE=")</f>
        <v>#VALUE!</v>
      </c>
      <c r="HS95" t="e">
        <f>AND(DATA!I1050,"AAAAAHj//uI=")</f>
        <v>#VALUE!</v>
      </c>
      <c r="HT95" t="e">
        <f>AND(DATA!J1050,"AAAAAHj//uM=")</f>
        <v>#VALUE!</v>
      </c>
      <c r="HU95" t="e">
        <f>AND(DATA!K1050,"AAAAAHj//uQ=")</f>
        <v>#VALUE!</v>
      </c>
      <c r="HV95" t="b">
        <f>AND(DATA!L1050,"AAAAAHj//uU=")</f>
        <v>1</v>
      </c>
      <c r="HW95" t="e">
        <f>AND(DATA!M1050,"AAAAAHj//uY=")</f>
        <v>#VALUE!</v>
      </c>
      <c r="HX95" t="b">
        <f>AND(DATA!N1050,"AAAAAHj//uc=")</f>
        <v>1</v>
      </c>
      <c r="HY95">
        <f>IF(DATA!1051:1051,"AAAAAHj//ug=",0)</f>
        <v>0</v>
      </c>
      <c r="HZ95" t="e">
        <f>AND(DATA!A1051,"AAAAAHj//uk=")</f>
        <v>#VALUE!</v>
      </c>
      <c r="IA95" t="e">
        <f>AND(DATA!B1051,"AAAAAHj//uo=")</f>
        <v>#VALUE!</v>
      </c>
      <c r="IB95" t="e">
        <f>AND(DATA!C1051,"AAAAAHj//us=")</f>
        <v>#VALUE!</v>
      </c>
      <c r="IC95" t="e">
        <f>AND(DATA!D1051,"AAAAAHj//uw=")</f>
        <v>#VALUE!</v>
      </c>
      <c r="ID95" t="e">
        <f>AND(DATA!E1051,"AAAAAHj//u0=")</f>
        <v>#VALUE!</v>
      </c>
      <c r="IE95" t="e">
        <f>AND(DATA!F1051,"AAAAAHj//u4=")</f>
        <v>#VALUE!</v>
      </c>
      <c r="IF95" t="e">
        <f>AND(DATA!G1051,"AAAAAHj//u8=")</f>
        <v>#VALUE!</v>
      </c>
      <c r="IG95" t="e">
        <f>AND(DATA!H1051,"AAAAAHj//vA=")</f>
        <v>#VALUE!</v>
      </c>
      <c r="IH95" t="e">
        <f>AND(DATA!I1051,"AAAAAHj//vE=")</f>
        <v>#VALUE!</v>
      </c>
      <c r="II95" t="e">
        <f>AND(DATA!J1051,"AAAAAHj//vI=")</f>
        <v>#VALUE!</v>
      </c>
      <c r="IJ95" t="e">
        <f>AND(DATA!K1051,"AAAAAHj//vM=")</f>
        <v>#VALUE!</v>
      </c>
      <c r="IK95" t="b">
        <f>AND(DATA!L1051,"AAAAAHj//vQ=")</f>
        <v>1</v>
      </c>
      <c r="IL95" t="e">
        <f>AND(DATA!M1051,"AAAAAHj//vU=")</f>
        <v>#VALUE!</v>
      </c>
      <c r="IM95" t="b">
        <f>AND(DATA!N1051,"AAAAAHj//vY=")</f>
        <v>1</v>
      </c>
      <c r="IN95">
        <f>IF(DATA!1052:1052,"AAAAAHj//vc=",0)</f>
        <v>0</v>
      </c>
      <c r="IO95" t="e">
        <f>AND(DATA!A1052,"AAAAAHj//vg=")</f>
        <v>#VALUE!</v>
      </c>
      <c r="IP95" t="e">
        <f>AND(DATA!B1052,"AAAAAHj//vk=")</f>
        <v>#VALUE!</v>
      </c>
      <c r="IQ95" t="e">
        <f>AND(DATA!C1052,"AAAAAHj//vo=")</f>
        <v>#VALUE!</v>
      </c>
      <c r="IR95" t="e">
        <f>AND(DATA!D1052,"AAAAAHj//vs=")</f>
        <v>#VALUE!</v>
      </c>
      <c r="IS95" t="e">
        <f>AND(DATA!E1052,"AAAAAHj//vw=")</f>
        <v>#VALUE!</v>
      </c>
      <c r="IT95" t="e">
        <f>AND(DATA!F1052,"AAAAAHj//v0=")</f>
        <v>#VALUE!</v>
      </c>
      <c r="IU95" t="e">
        <f>AND(DATA!G1052,"AAAAAHj//v4=")</f>
        <v>#VALUE!</v>
      </c>
      <c r="IV95" t="e">
        <f>AND(DATA!H1052,"AAAAAHj//v8=")</f>
        <v>#VALUE!</v>
      </c>
    </row>
    <row r="96" spans="1:256">
      <c r="A96" t="e">
        <f>AND(DATA!I1052,"AAAAADYf7QA=")</f>
        <v>#VALUE!</v>
      </c>
      <c r="B96" t="e">
        <f>AND(DATA!J1052,"AAAAADYf7QE=")</f>
        <v>#VALUE!</v>
      </c>
      <c r="C96" t="e">
        <f>AND(DATA!K1052,"AAAAADYf7QI=")</f>
        <v>#VALUE!</v>
      </c>
      <c r="D96" t="b">
        <f>AND(DATA!L1052,"AAAAADYf7QM=")</f>
        <v>1</v>
      </c>
      <c r="E96" t="e">
        <f>AND(DATA!M1052,"AAAAADYf7QQ=")</f>
        <v>#VALUE!</v>
      </c>
      <c r="F96" t="b">
        <f>AND(DATA!N1052,"AAAAADYf7QU=")</f>
        <v>1</v>
      </c>
      <c r="G96">
        <f>IF(DATA!1053:1053,"AAAAADYf7QY=",0)</f>
        <v>0</v>
      </c>
      <c r="H96" t="e">
        <f>AND(DATA!A1053,"AAAAADYf7Qc=")</f>
        <v>#VALUE!</v>
      </c>
      <c r="I96" t="e">
        <f>AND(DATA!B1053,"AAAAADYf7Qg=")</f>
        <v>#VALUE!</v>
      </c>
      <c r="J96" t="e">
        <f>AND(DATA!C1053,"AAAAADYf7Qk=")</f>
        <v>#VALUE!</v>
      </c>
      <c r="K96" t="e">
        <f>AND(DATA!D1053,"AAAAADYf7Qo=")</f>
        <v>#VALUE!</v>
      </c>
      <c r="L96" t="e">
        <f>AND(DATA!E1053,"AAAAADYf7Qs=")</f>
        <v>#VALUE!</v>
      </c>
      <c r="M96" t="e">
        <f>AND(DATA!F1053,"AAAAADYf7Qw=")</f>
        <v>#VALUE!</v>
      </c>
      <c r="N96" t="e">
        <f>AND(DATA!G1053,"AAAAADYf7Q0=")</f>
        <v>#VALUE!</v>
      </c>
      <c r="O96" t="e">
        <f>AND(DATA!H1053,"AAAAADYf7Q4=")</f>
        <v>#VALUE!</v>
      </c>
      <c r="P96" t="e">
        <f>AND(DATA!I1053,"AAAAADYf7Q8=")</f>
        <v>#VALUE!</v>
      </c>
      <c r="Q96" t="e">
        <f>AND(DATA!J1053,"AAAAADYf7RA=")</f>
        <v>#VALUE!</v>
      </c>
      <c r="R96" t="e">
        <f>AND(DATA!K1053,"AAAAADYf7RE=")</f>
        <v>#VALUE!</v>
      </c>
      <c r="S96" t="b">
        <f>AND(DATA!L1053,"AAAAADYf7RI=")</f>
        <v>1</v>
      </c>
      <c r="T96" t="e">
        <f>AND(DATA!M1053,"AAAAADYf7RM=")</f>
        <v>#VALUE!</v>
      </c>
      <c r="U96" t="b">
        <f>AND(DATA!N1053,"AAAAADYf7RQ=")</f>
        <v>1</v>
      </c>
      <c r="V96">
        <f>IF(DATA!1054:1054,"AAAAADYf7RU=",0)</f>
        <v>0</v>
      </c>
      <c r="W96" t="e">
        <f>AND(DATA!A1054,"AAAAADYf7RY=")</f>
        <v>#VALUE!</v>
      </c>
      <c r="X96" t="e">
        <f>AND(DATA!B1054,"AAAAADYf7Rc=")</f>
        <v>#VALUE!</v>
      </c>
      <c r="Y96" t="e">
        <f>AND(DATA!C1054,"AAAAADYf7Rg=")</f>
        <v>#VALUE!</v>
      </c>
      <c r="Z96" t="e">
        <f>AND(DATA!D1054,"AAAAADYf7Rk=")</f>
        <v>#VALUE!</v>
      </c>
      <c r="AA96" t="e">
        <f>AND(DATA!E1054,"AAAAADYf7Ro=")</f>
        <v>#VALUE!</v>
      </c>
      <c r="AB96" t="e">
        <f>AND(DATA!F1054,"AAAAADYf7Rs=")</f>
        <v>#VALUE!</v>
      </c>
      <c r="AC96" t="e">
        <f>AND(DATA!G1054,"AAAAADYf7Rw=")</f>
        <v>#VALUE!</v>
      </c>
      <c r="AD96" t="e">
        <f>AND(DATA!H1054,"AAAAADYf7R0=")</f>
        <v>#VALUE!</v>
      </c>
      <c r="AE96" t="e">
        <f>AND(DATA!I1054,"AAAAADYf7R4=")</f>
        <v>#VALUE!</v>
      </c>
      <c r="AF96" t="e">
        <f>AND(DATA!J1054,"AAAAADYf7R8=")</f>
        <v>#VALUE!</v>
      </c>
      <c r="AG96" t="e">
        <f>AND(DATA!K1054,"AAAAADYf7SA=")</f>
        <v>#VALUE!</v>
      </c>
      <c r="AH96" t="b">
        <f>AND(DATA!L1054,"AAAAADYf7SE=")</f>
        <v>1</v>
      </c>
      <c r="AI96" t="e">
        <f>AND(DATA!M1054,"AAAAADYf7SI=")</f>
        <v>#VALUE!</v>
      </c>
      <c r="AJ96" t="b">
        <f>AND(DATA!N1054,"AAAAADYf7SM=")</f>
        <v>1</v>
      </c>
      <c r="AK96">
        <f>IF(DATA!1055:1055,"AAAAADYf7SQ=",0)</f>
        <v>0</v>
      </c>
      <c r="AL96" t="e">
        <f>AND(DATA!A1055,"AAAAADYf7SU=")</f>
        <v>#VALUE!</v>
      </c>
      <c r="AM96" t="e">
        <f>AND(DATA!B1055,"AAAAADYf7SY=")</f>
        <v>#VALUE!</v>
      </c>
      <c r="AN96" t="e">
        <f>AND(DATA!C1055,"AAAAADYf7Sc=")</f>
        <v>#VALUE!</v>
      </c>
      <c r="AO96" t="e">
        <f>AND(DATA!D1055,"AAAAADYf7Sg=")</f>
        <v>#VALUE!</v>
      </c>
      <c r="AP96" t="e">
        <f>AND(DATA!E1055,"AAAAADYf7Sk=")</f>
        <v>#VALUE!</v>
      </c>
      <c r="AQ96" t="e">
        <f>AND(DATA!F1055,"AAAAADYf7So=")</f>
        <v>#VALUE!</v>
      </c>
      <c r="AR96" t="e">
        <f>AND(DATA!G1055,"AAAAADYf7Ss=")</f>
        <v>#VALUE!</v>
      </c>
      <c r="AS96" t="e">
        <f>AND(DATA!H1055,"AAAAADYf7Sw=")</f>
        <v>#VALUE!</v>
      </c>
      <c r="AT96" t="e">
        <f>AND(DATA!I1055,"AAAAADYf7S0=")</f>
        <v>#VALUE!</v>
      </c>
      <c r="AU96" t="e">
        <f>AND(DATA!J1055,"AAAAADYf7S4=")</f>
        <v>#VALUE!</v>
      </c>
      <c r="AV96" t="e">
        <f>AND(DATA!K1055,"AAAAADYf7S8=")</f>
        <v>#VALUE!</v>
      </c>
      <c r="AW96" t="b">
        <f>AND(DATA!L1055,"AAAAADYf7TA=")</f>
        <v>1</v>
      </c>
      <c r="AX96" t="e">
        <f>AND(DATA!M1055,"AAAAADYf7TE=")</f>
        <v>#VALUE!</v>
      </c>
      <c r="AY96" t="b">
        <f>AND(DATA!N1055,"AAAAADYf7TI=")</f>
        <v>1</v>
      </c>
      <c r="AZ96">
        <f>IF(DATA!1056:1056,"AAAAADYf7TM=",0)</f>
        <v>0</v>
      </c>
      <c r="BA96" t="e">
        <f>AND(DATA!A1056,"AAAAADYf7TQ=")</f>
        <v>#VALUE!</v>
      </c>
      <c r="BB96" t="e">
        <f>AND(DATA!B1056,"AAAAADYf7TU=")</f>
        <v>#VALUE!</v>
      </c>
      <c r="BC96" t="e">
        <f>AND(DATA!C1056,"AAAAADYf7TY=")</f>
        <v>#VALUE!</v>
      </c>
      <c r="BD96" t="e">
        <f>AND(DATA!D1056,"AAAAADYf7Tc=")</f>
        <v>#VALUE!</v>
      </c>
      <c r="BE96" t="e">
        <f>AND(DATA!E1056,"AAAAADYf7Tg=")</f>
        <v>#VALUE!</v>
      </c>
      <c r="BF96" t="e">
        <f>AND(DATA!F1056,"AAAAADYf7Tk=")</f>
        <v>#VALUE!</v>
      </c>
      <c r="BG96" t="e">
        <f>AND(DATA!G1056,"AAAAADYf7To=")</f>
        <v>#VALUE!</v>
      </c>
      <c r="BH96" t="e">
        <f>AND(DATA!H1056,"AAAAADYf7Ts=")</f>
        <v>#VALUE!</v>
      </c>
      <c r="BI96" t="e">
        <f>AND(DATA!I1056,"AAAAADYf7Tw=")</f>
        <v>#VALUE!</v>
      </c>
      <c r="BJ96" t="e">
        <f>AND(DATA!J1056,"AAAAADYf7T0=")</f>
        <v>#VALUE!</v>
      </c>
      <c r="BK96" t="e">
        <f>AND(DATA!K1056,"AAAAADYf7T4=")</f>
        <v>#VALUE!</v>
      </c>
      <c r="BL96" t="b">
        <f>AND(DATA!L1056,"AAAAADYf7T8=")</f>
        <v>1</v>
      </c>
      <c r="BM96" t="e">
        <f>AND(DATA!M1056,"AAAAADYf7UA=")</f>
        <v>#VALUE!</v>
      </c>
      <c r="BN96" t="b">
        <f>AND(DATA!N1056,"AAAAADYf7UE=")</f>
        <v>1</v>
      </c>
      <c r="BO96">
        <f>IF(DATA!1057:1057,"AAAAADYf7UI=",0)</f>
        <v>0</v>
      </c>
      <c r="BP96" t="e">
        <f>AND(DATA!A1057,"AAAAADYf7UM=")</f>
        <v>#VALUE!</v>
      </c>
      <c r="BQ96" t="e">
        <f>AND(DATA!B1057,"AAAAADYf7UQ=")</f>
        <v>#VALUE!</v>
      </c>
      <c r="BR96" t="e">
        <f>AND(DATA!C1057,"AAAAADYf7UU=")</f>
        <v>#VALUE!</v>
      </c>
      <c r="BS96" t="e">
        <f>AND(DATA!D1057,"AAAAADYf7UY=")</f>
        <v>#VALUE!</v>
      </c>
      <c r="BT96" t="e">
        <f>AND(DATA!E1057,"AAAAADYf7Uc=")</f>
        <v>#VALUE!</v>
      </c>
      <c r="BU96" t="e">
        <f>AND(DATA!F1057,"AAAAADYf7Ug=")</f>
        <v>#VALUE!</v>
      </c>
      <c r="BV96" t="e">
        <f>AND(DATA!G1057,"AAAAADYf7Uk=")</f>
        <v>#VALUE!</v>
      </c>
      <c r="BW96" t="e">
        <f>AND(DATA!H1057,"AAAAADYf7Uo=")</f>
        <v>#VALUE!</v>
      </c>
      <c r="BX96" t="e">
        <f>AND(DATA!I1057,"AAAAADYf7Us=")</f>
        <v>#VALUE!</v>
      </c>
      <c r="BY96" t="e">
        <f>AND(DATA!J1057,"AAAAADYf7Uw=")</f>
        <v>#VALUE!</v>
      </c>
      <c r="BZ96" t="e">
        <f>AND(DATA!K1057,"AAAAADYf7U0=")</f>
        <v>#VALUE!</v>
      </c>
      <c r="CA96" t="b">
        <f>AND(DATA!L1057,"AAAAADYf7U4=")</f>
        <v>1</v>
      </c>
      <c r="CB96" t="e">
        <f>AND(DATA!M1057,"AAAAADYf7U8=")</f>
        <v>#VALUE!</v>
      </c>
      <c r="CC96" t="b">
        <f>AND(DATA!N1057,"AAAAADYf7VA=")</f>
        <v>1</v>
      </c>
      <c r="CD96">
        <f>IF(DATA!1058:1058,"AAAAADYf7VE=",0)</f>
        <v>0</v>
      </c>
      <c r="CE96" t="e">
        <f>AND(DATA!A1058,"AAAAADYf7VI=")</f>
        <v>#VALUE!</v>
      </c>
      <c r="CF96" t="e">
        <f>AND(DATA!B1058,"AAAAADYf7VM=")</f>
        <v>#VALUE!</v>
      </c>
      <c r="CG96" t="e">
        <f>AND(DATA!C1058,"AAAAADYf7VQ=")</f>
        <v>#VALUE!</v>
      </c>
      <c r="CH96" t="e">
        <f>AND(DATA!D1058,"AAAAADYf7VU=")</f>
        <v>#VALUE!</v>
      </c>
      <c r="CI96" t="e">
        <f>AND(DATA!E1058,"AAAAADYf7VY=")</f>
        <v>#VALUE!</v>
      </c>
      <c r="CJ96" t="e">
        <f>AND(DATA!F1058,"AAAAADYf7Vc=")</f>
        <v>#VALUE!</v>
      </c>
      <c r="CK96" t="e">
        <f>AND(DATA!G1058,"AAAAADYf7Vg=")</f>
        <v>#VALUE!</v>
      </c>
      <c r="CL96" t="e">
        <f>AND(DATA!H1058,"AAAAADYf7Vk=")</f>
        <v>#VALUE!</v>
      </c>
      <c r="CM96" t="e">
        <f>AND(DATA!I1058,"AAAAADYf7Vo=")</f>
        <v>#VALUE!</v>
      </c>
      <c r="CN96" t="e">
        <f>AND(DATA!J1058,"AAAAADYf7Vs=")</f>
        <v>#VALUE!</v>
      </c>
      <c r="CO96" t="e">
        <f>AND(DATA!K1058,"AAAAADYf7Vw=")</f>
        <v>#VALUE!</v>
      </c>
      <c r="CP96" t="b">
        <f>AND(DATA!L1058,"AAAAADYf7V0=")</f>
        <v>1</v>
      </c>
      <c r="CQ96" t="e">
        <f>AND(DATA!M1058,"AAAAADYf7V4=")</f>
        <v>#VALUE!</v>
      </c>
      <c r="CR96" t="b">
        <f>AND(DATA!N1058,"AAAAADYf7V8=")</f>
        <v>1</v>
      </c>
      <c r="CS96">
        <f>IF(DATA!1059:1059,"AAAAADYf7WA=",0)</f>
        <v>0</v>
      </c>
      <c r="CT96" t="e">
        <f>AND(DATA!A1059,"AAAAADYf7WE=")</f>
        <v>#VALUE!</v>
      </c>
      <c r="CU96" t="e">
        <f>AND(DATA!B1059,"AAAAADYf7WI=")</f>
        <v>#VALUE!</v>
      </c>
      <c r="CV96" t="e">
        <f>AND(DATA!C1059,"AAAAADYf7WM=")</f>
        <v>#VALUE!</v>
      </c>
      <c r="CW96" t="e">
        <f>AND(DATA!D1059,"AAAAADYf7WQ=")</f>
        <v>#VALUE!</v>
      </c>
      <c r="CX96" t="e">
        <f>AND(DATA!E1059,"AAAAADYf7WU=")</f>
        <v>#VALUE!</v>
      </c>
      <c r="CY96" t="e">
        <f>AND(DATA!F1059,"AAAAADYf7WY=")</f>
        <v>#VALUE!</v>
      </c>
      <c r="CZ96" t="e">
        <f>AND(DATA!G1059,"AAAAADYf7Wc=")</f>
        <v>#VALUE!</v>
      </c>
      <c r="DA96" t="e">
        <f>AND(DATA!H1059,"AAAAADYf7Wg=")</f>
        <v>#VALUE!</v>
      </c>
      <c r="DB96" t="e">
        <f>AND(DATA!I1059,"AAAAADYf7Wk=")</f>
        <v>#VALUE!</v>
      </c>
      <c r="DC96" t="e">
        <f>AND(DATA!J1059,"AAAAADYf7Wo=")</f>
        <v>#VALUE!</v>
      </c>
      <c r="DD96" t="e">
        <f>AND(DATA!K1059,"AAAAADYf7Ws=")</f>
        <v>#VALUE!</v>
      </c>
      <c r="DE96" t="b">
        <f>AND(DATA!L1059,"AAAAADYf7Ww=")</f>
        <v>1</v>
      </c>
      <c r="DF96" t="e">
        <f>AND(DATA!M1059,"AAAAADYf7W0=")</f>
        <v>#VALUE!</v>
      </c>
      <c r="DG96" t="b">
        <f>AND(DATA!N1059,"AAAAADYf7W4=")</f>
        <v>1</v>
      </c>
      <c r="DH96">
        <f>IF(DATA!1060:1060,"AAAAADYf7W8=",0)</f>
        <v>0</v>
      </c>
      <c r="DI96" t="e">
        <f>AND(DATA!A1060,"AAAAADYf7XA=")</f>
        <v>#VALUE!</v>
      </c>
      <c r="DJ96" t="e">
        <f>AND(DATA!B1060,"AAAAADYf7XE=")</f>
        <v>#VALUE!</v>
      </c>
      <c r="DK96" t="e">
        <f>AND(DATA!C1060,"AAAAADYf7XI=")</f>
        <v>#VALUE!</v>
      </c>
      <c r="DL96" t="e">
        <f>AND(DATA!D1060,"AAAAADYf7XM=")</f>
        <v>#VALUE!</v>
      </c>
      <c r="DM96" t="e">
        <f>AND(DATA!E1060,"AAAAADYf7XQ=")</f>
        <v>#VALUE!</v>
      </c>
      <c r="DN96" t="e">
        <f>AND(DATA!F1060,"AAAAADYf7XU=")</f>
        <v>#VALUE!</v>
      </c>
      <c r="DO96" t="e">
        <f>AND(DATA!G1060,"AAAAADYf7XY=")</f>
        <v>#VALUE!</v>
      </c>
      <c r="DP96" t="e">
        <f>AND(DATA!H1060,"AAAAADYf7Xc=")</f>
        <v>#VALUE!</v>
      </c>
      <c r="DQ96" t="e">
        <f>AND(DATA!I1060,"AAAAADYf7Xg=")</f>
        <v>#VALUE!</v>
      </c>
      <c r="DR96" t="e">
        <f>AND(DATA!J1060,"AAAAADYf7Xk=")</f>
        <v>#VALUE!</v>
      </c>
      <c r="DS96" t="e">
        <f>AND(DATA!K1060,"AAAAADYf7Xo=")</f>
        <v>#VALUE!</v>
      </c>
      <c r="DT96" t="b">
        <f>AND(DATA!L1060,"AAAAADYf7Xs=")</f>
        <v>1</v>
      </c>
      <c r="DU96" t="e">
        <f>AND(DATA!M1060,"AAAAADYf7Xw=")</f>
        <v>#VALUE!</v>
      </c>
      <c r="DV96" t="b">
        <f>AND(DATA!N1060,"AAAAADYf7X0=")</f>
        <v>1</v>
      </c>
      <c r="DW96">
        <f>IF(DATA!1061:1061,"AAAAADYf7X4=",0)</f>
        <v>0</v>
      </c>
      <c r="DX96" t="e">
        <f>AND(DATA!A1061,"AAAAADYf7X8=")</f>
        <v>#VALUE!</v>
      </c>
      <c r="DY96" t="e">
        <f>AND(DATA!B1061,"AAAAADYf7YA=")</f>
        <v>#VALUE!</v>
      </c>
      <c r="DZ96" t="e">
        <f>AND(DATA!C1061,"AAAAADYf7YE=")</f>
        <v>#VALUE!</v>
      </c>
      <c r="EA96" t="e">
        <f>AND(DATA!D1061,"AAAAADYf7YI=")</f>
        <v>#VALUE!</v>
      </c>
      <c r="EB96" t="e">
        <f>AND(DATA!E1061,"AAAAADYf7YM=")</f>
        <v>#VALUE!</v>
      </c>
      <c r="EC96" t="e">
        <f>AND(DATA!F1061,"AAAAADYf7YQ=")</f>
        <v>#VALUE!</v>
      </c>
      <c r="ED96" t="e">
        <f>AND(DATA!G1061,"AAAAADYf7YU=")</f>
        <v>#VALUE!</v>
      </c>
      <c r="EE96" t="e">
        <f>AND(DATA!H1061,"AAAAADYf7YY=")</f>
        <v>#VALUE!</v>
      </c>
      <c r="EF96" t="e">
        <f>AND(DATA!I1061,"AAAAADYf7Yc=")</f>
        <v>#VALUE!</v>
      </c>
      <c r="EG96" t="e">
        <f>AND(DATA!J1061,"AAAAADYf7Yg=")</f>
        <v>#VALUE!</v>
      </c>
      <c r="EH96" t="e">
        <f>AND(DATA!K1061,"AAAAADYf7Yk=")</f>
        <v>#VALUE!</v>
      </c>
      <c r="EI96" t="b">
        <f>AND(DATA!L1061,"AAAAADYf7Yo=")</f>
        <v>1</v>
      </c>
      <c r="EJ96" t="e">
        <f>AND(DATA!M1061,"AAAAADYf7Ys=")</f>
        <v>#VALUE!</v>
      </c>
      <c r="EK96" t="b">
        <f>AND(DATA!N1061,"AAAAADYf7Yw=")</f>
        <v>1</v>
      </c>
      <c r="EL96">
        <f>IF(DATA!1062:1062,"AAAAADYf7Y0=",0)</f>
        <v>0</v>
      </c>
      <c r="EM96" t="e">
        <f>AND(DATA!A1062,"AAAAADYf7Y4=")</f>
        <v>#VALUE!</v>
      </c>
      <c r="EN96" t="e">
        <f>AND(DATA!B1062,"AAAAADYf7Y8=")</f>
        <v>#VALUE!</v>
      </c>
      <c r="EO96" t="e">
        <f>AND(DATA!C1062,"AAAAADYf7ZA=")</f>
        <v>#VALUE!</v>
      </c>
      <c r="EP96" t="e">
        <f>AND(DATA!D1062,"AAAAADYf7ZE=")</f>
        <v>#VALUE!</v>
      </c>
      <c r="EQ96" t="e">
        <f>AND(DATA!E1062,"AAAAADYf7ZI=")</f>
        <v>#VALUE!</v>
      </c>
      <c r="ER96" t="e">
        <f>AND(DATA!F1062,"AAAAADYf7ZM=")</f>
        <v>#VALUE!</v>
      </c>
      <c r="ES96" t="e">
        <f>AND(DATA!G1062,"AAAAADYf7ZQ=")</f>
        <v>#VALUE!</v>
      </c>
      <c r="ET96" t="e">
        <f>AND(DATA!H1062,"AAAAADYf7ZU=")</f>
        <v>#VALUE!</v>
      </c>
      <c r="EU96" t="e">
        <f>AND(DATA!I1062,"AAAAADYf7ZY=")</f>
        <v>#VALUE!</v>
      </c>
      <c r="EV96" t="e">
        <f>AND(DATA!J1062,"AAAAADYf7Zc=")</f>
        <v>#VALUE!</v>
      </c>
      <c r="EW96" t="e">
        <f>AND(DATA!K1062,"AAAAADYf7Zg=")</f>
        <v>#VALUE!</v>
      </c>
      <c r="EX96" t="b">
        <f>AND(DATA!L1062,"AAAAADYf7Zk=")</f>
        <v>1</v>
      </c>
      <c r="EY96" t="e">
        <f>AND(DATA!M1062,"AAAAADYf7Zo=")</f>
        <v>#VALUE!</v>
      </c>
      <c r="EZ96" t="b">
        <f>AND(DATA!N1062,"AAAAADYf7Zs=")</f>
        <v>1</v>
      </c>
      <c r="FA96">
        <f>IF(DATA!1063:1063,"AAAAADYf7Zw=",0)</f>
        <v>0</v>
      </c>
      <c r="FB96" t="e">
        <f>AND(DATA!A1063,"AAAAADYf7Z0=")</f>
        <v>#VALUE!</v>
      </c>
      <c r="FC96" t="e">
        <f>AND(DATA!B1063,"AAAAADYf7Z4=")</f>
        <v>#VALUE!</v>
      </c>
      <c r="FD96" t="e">
        <f>AND(DATA!C1063,"AAAAADYf7Z8=")</f>
        <v>#VALUE!</v>
      </c>
      <c r="FE96" t="e">
        <f>AND(DATA!D1063,"AAAAADYf7aA=")</f>
        <v>#VALUE!</v>
      </c>
      <c r="FF96" t="e">
        <f>AND(DATA!E1063,"AAAAADYf7aE=")</f>
        <v>#VALUE!</v>
      </c>
      <c r="FG96" t="e">
        <f>AND(DATA!F1063,"AAAAADYf7aI=")</f>
        <v>#VALUE!</v>
      </c>
      <c r="FH96" t="e">
        <f>AND(DATA!G1063,"AAAAADYf7aM=")</f>
        <v>#VALUE!</v>
      </c>
      <c r="FI96" t="e">
        <f>AND(DATA!H1063,"AAAAADYf7aQ=")</f>
        <v>#VALUE!</v>
      </c>
      <c r="FJ96" t="e">
        <f>AND(DATA!I1063,"AAAAADYf7aU=")</f>
        <v>#VALUE!</v>
      </c>
      <c r="FK96" t="e">
        <f>AND(DATA!J1063,"AAAAADYf7aY=")</f>
        <v>#VALUE!</v>
      </c>
      <c r="FL96" t="e">
        <f>AND(DATA!K1063,"AAAAADYf7ac=")</f>
        <v>#VALUE!</v>
      </c>
      <c r="FM96" t="b">
        <f>AND(DATA!L1063,"AAAAADYf7ag=")</f>
        <v>1</v>
      </c>
      <c r="FN96" t="e">
        <f>AND(DATA!M1063,"AAAAADYf7ak=")</f>
        <v>#VALUE!</v>
      </c>
      <c r="FO96" t="b">
        <f>AND(DATA!N1063,"AAAAADYf7ao=")</f>
        <v>1</v>
      </c>
      <c r="FP96">
        <f>IF(DATA!1064:1064,"AAAAADYf7as=",0)</f>
        <v>0</v>
      </c>
      <c r="FQ96" t="e">
        <f>AND(DATA!A1064,"AAAAADYf7aw=")</f>
        <v>#VALUE!</v>
      </c>
      <c r="FR96" t="e">
        <f>AND(DATA!B1064,"AAAAADYf7a0=")</f>
        <v>#VALUE!</v>
      </c>
      <c r="FS96" t="e">
        <f>AND(DATA!C1064,"AAAAADYf7a4=")</f>
        <v>#VALUE!</v>
      </c>
      <c r="FT96" t="e">
        <f>AND(DATA!D1064,"AAAAADYf7a8=")</f>
        <v>#VALUE!</v>
      </c>
      <c r="FU96" t="e">
        <f>AND(DATA!E1064,"AAAAADYf7bA=")</f>
        <v>#VALUE!</v>
      </c>
      <c r="FV96" t="e">
        <f>AND(DATA!F1064,"AAAAADYf7bE=")</f>
        <v>#VALUE!</v>
      </c>
      <c r="FW96" t="e">
        <f>AND(DATA!G1064,"AAAAADYf7bI=")</f>
        <v>#VALUE!</v>
      </c>
      <c r="FX96" t="e">
        <f>AND(DATA!H1064,"AAAAADYf7bM=")</f>
        <v>#VALUE!</v>
      </c>
      <c r="FY96" t="e">
        <f>AND(DATA!I1064,"AAAAADYf7bQ=")</f>
        <v>#VALUE!</v>
      </c>
      <c r="FZ96" t="e">
        <f>AND(DATA!J1064,"AAAAADYf7bU=")</f>
        <v>#VALUE!</v>
      </c>
      <c r="GA96" t="e">
        <f>AND(DATA!K1064,"AAAAADYf7bY=")</f>
        <v>#VALUE!</v>
      </c>
      <c r="GB96" t="b">
        <f>AND(DATA!L1064,"AAAAADYf7bc=")</f>
        <v>1</v>
      </c>
      <c r="GC96" t="e">
        <f>AND(DATA!M1064,"AAAAADYf7bg=")</f>
        <v>#VALUE!</v>
      </c>
      <c r="GD96" t="b">
        <f>AND(DATA!N1064,"AAAAADYf7bk=")</f>
        <v>1</v>
      </c>
      <c r="GE96">
        <f>IF(DATA!1065:1065,"AAAAADYf7bo=",0)</f>
        <v>0</v>
      </c>
      <c r="GF96" t="e">
        <f>AND(DATA!A1065,"AAAAADYf7bs=")</f>
        <v>#VALUE!</v>
      </c>
      <c r="GG96" t="e">
        <f>AND(DATA!B1065,"AAAAADYf7bw=")</f>
        <v>#VALUE!</v>
      </c>
      <c r="GH96" t="e">
        <f>AND(DATA!C1065,"AAAAADYf7b0=")</f>
        <v>#VALUE!</v>
      </c>
      <c r="GI96" t="e">
        <f>AND(DATA!D1065,"AAAAADYf7b4=")</f>
        <v>#VALUE!</v>
      </c>
      <c r="GJ96" t="e">
        <f>AND(DATA!E1065,"AAAAADYf7b8=")</f>
        <v>#VALUE!</v>
      </c>
      <c r="GK96" t="e">
        <f>AND(DATA!F1065,"AAAAADYf7cA=")</f>
        <v>#VALUE!</v>
      </c>
      <c r="GL96" t="e">
        <f>AND(DATA!G1065,"AAAAADYf7cE=")</f>
        <v>#VALUE!</v>
      </c>
      <c r="GM96" t="e">
        <f>AND(DATA!H1065,"AAAAADYf7cI=")</f>
        <v>#VALUE!</v>
      </c>
      <c r="GN96" t="e">
        <f>AND(DATA!I1065,"AAAAADYf7cM=")</f>
        <v>#VALUE!</v>
      </c>
      <c r="GO96" t="e">
        <f>AND(DATA!J1065,"AAAAADYf7cQ=")</f>
        <v>#VALUE!</v>
      </c>
      <c r="GP96" t="e">
        <f>AND(DATA!K1065,"AAAAADYf7cU=")</f>
        <v>#VALUE!</v>
      </c>
      <c r="GQ96" t="b">
        <f>AND(DATA!L1065,"AAAAADYf7cY=")</f>
        <v>1</v>
      </c>
      <c r="GR96" t="e">
        <f>AND(DATA!M1065,"AAAAADYf7cc=")</f>
        <v>#VALUE!</v>
      </c>
      <c r="GS96" t="b">
        <f>AND(DATA!N1065,"AAAAADYf7cg=")</f>
        <v>1</v>
      </c>
      <c r="GT96">
        <f>IF(DATA!1066:1066,"AAAAADYf7ck=",0)</f>
        <v>0</v>
      </c>
      <c r="GU96" t="e">
        <f>AND(DATA!A1066,"AAAAADYf7co=")</f>
        <v>#VALUE!</v>
      </c>
      <c r="GV96" t="e">
        <f>AND(DATA!B1066,"AAAAADYf7cs=")</f>
        <v>#VALUE!</v>
      </c>
      <c r="GW96" t="e">
        <f>AND(DATA!C1066,"AAAAADYf7cw=")</f>
        <v>#VALUE!</v>
      </c>
      <c r="GX96" t="e">
        <f>AND(DATA!D1066,"AAAAADYf7c0=")</f>
        <v>#VALUE!</v>
      </c>
      <c r="GY96" t="e">
        <f>AND(DATA!E1066,"AAAAADYf7c4=")</f>
        <v>#VALUE!</v>
      </c>
      <c r="GZ96" t="e">
        <f>AND(DATA!F1066,"AAAAADYf7c8=")</f>
        <v>#VALUE!</v>
      </c>
      <c r="HA96" t="e">
        <f>AND(DATA!G1066,"AAAAADYf7dA=")</f>
        <v>#VALUE!</v>
      </c>
      <c r="HB96" t="e">
        <f>AND(DATA!H1066,"AAAAADYf7dE=")</f>
        <v>#VALUE!</v>
      </c>
      <c r="HC96" t="e">
        <f>AND(DATA!I1066,"AAAAADYf7dI=")</f>
        <v>#VALUE!</v>
      </c>
      <c r="HD96" t="e">
        <f>AND(DATA!J1066,"AAAAADYf7dM=")</f>
        <v>#VALUE!</v>
      </c>
      <c r="HE96" t="e">
        <f>AND(DATA!K1066,"AAAAADYf7dQ=")</f>
        <v>#VALUE!</v>
      </c>
      <c r="HF96" t="b">
        <f>AND(DATA!L1066,"AAAAADYf7dU=")</f>
        <v>1</v>
      </c>
      <c r="HG96" t="e">
        <f>AND(DATA!M1066,"AAAAADYf7dY=")</f>
        <v>#VALUE!</v>
      </c>
      <c r="HH96" t="b">
        <f>AND(DATA!N1066,"AAAAADYf7dc=")</f>
        <v>1</v>
      </c>
      <c r="HI96">
        <f>IF(DATA!1067:1067,"AAAAADYf7dg=",0)</f>
        <v>0</v>
      </c>
      <c r="HJ96" t="e">
        <f>AND(DATA!A1067,"AAAAADYf7dk=")</f>
        <v>#VALUE!</v>
      </c>
      <c r="HK96" t="e">
        <f>AND(DATA!B1067,"AAAAADYf7do=")</f>
        <v>#VALUE!</v>
      </c>
      <c r="HL96" t="e">
        <f>AND(DATA!C1067,"AAAAADYf7ds=")</f>
        <v>#VALUE!</v>
      </c>
      <c r="HM96" t="e">
        <f>AND(DATA!D1067,"AAAAADYf7dw=")</f>
        <v>#VALUE!</v>
      </c>
      <c r="HN96" t="e">
        <f>AND(DATA!E1067,"AAAAADYf7d0=")</f>
        <v>#VALUE!</v>
      </c>
      <c r="HO96" t="e">
        <f>AND(DATA!F1067,"AAAAADYf7d4=")</f>
        <v>#VALUE!</v>
      </c>
      <c r="HP96" t="e">
        <f>AND(DATA!G1067,"AAAAADYf7d8=")</f>
        <v>#VALUE!</v>
      </c>
      <c r="HQ96" t="e">
        <f>AND(DATA!H1067,"AAAAADYf7eA=")</f>
        <v>#VALUE!</v>
      </c>
      <c r="HR96" t="e">
        <f>AND(DATA!I1067,"AAAAADYf7eE=")</f>
        <v>#VALUE!</v>
      </c>
      <c r="HS96" t="e">
        <f>AND(DATA!J1067,"AAAAADYf7eI=")</f>
        <v>#VALUE!</v>
      </c>
      <c r="HT96" t="e">
        <f>AND(DATA!K1067,"AAAAADYf7eM=")</f>
        <v>#VALUE!</v>
      </c>
      <c r="HU96" t="b">
        <f>AND(DATA!L1067,"AAAAADYf7eQ=")</f>
        <v>1</v>
      </c>
      <c r="HV96" t="e">
        <f>AND(DATA!M1067,"AAAAADYf7eU=")</f>
        <v>#VALUE!</v>
      </c>
      <c r="HW96" t="b">
        <f>AND(DATA!N1067,"AAAAADYf7eY=")</f>
        <v>1</v>
      </c>
      <c r="HX96">
        <f>IF(DATA!1068:1068,"AAAAADYf7ec=",0)</f>
        <v>0</v>
      </c>
      <c r="HY96" t="e">
        <f>AND(DATA!A1068,"AAAAADYf7eg=")</f>
        <v>#VALUE!</v>
      </c>
      <c r="HZ96" t="e">
        <f>AND(DATA!B1068,"AAAAADYf7ek=")</f>
        <v>#VALUE!</v>
      </c>
      <c r="IA96" t="e">
        <f>AND(DATA!C1068,"AAAAADYf7eo=")</f>
        <v>#VALUE!</v>
      </c>
      <c r="IB96" t="e">
        <f>AND(DATA!D1068,"AAAAADYf7es=")</f>
        <v>#VALUE!</v>
      </c>
      <c r="IC96" t="e">
        <f>AND(DATA!E1068,"AAAAADYf7ew=")</f>
        <v>#VALUE!</v>
      </c>
      <c r="ID96" t="e">
        <f>AND(DATA!F1068,"AAAAADYf7e0=")</f>
        <v>#VALUE!</v>
      </c>
      <c r="IE96" t="e">
        <f>AND(DATA!G1068,"AAAAADYf7e4=")</f>
        <v>#VALUE!</v>
      </c>
      <c r="IF96" t="e">
        <f>AND(DATA!H1068,"AAAAADYf7e8=")</f>
        <v>#VALUE!</v>
      </c>
      <c r="IG96" t="e">
        <f>AND(DATA!I1068,"AAAAADYf7fA=")</f>
        <v>#VALUE!</v>
      </c>
      <c r="IH96" t="e">
        <f>AND(DATA!J1068,"AAAAADYf7fE=")</f>
        <v>#VALUE!</v>
      </c>
      <c r="II96" t="e">
        <f>AND(DATA!K1068,"AAAAADYf7fI=")</f>
        <v>#VALUE!</v>
      </c>
      <c r="IJ96" t="b">
        <f>AND(DATA!L1068,"AAAAADYf7fM=")</f>
        <v>1</v>
      </c>
      <c r="IK96" t="e">
        <f>AND(DATA!M1068,"AAAAADYf7fQ=")</f>
        <v>#VALUE!</v>
      </c>
      <c r="IL96" t="b">
        <f>AND(DATA!N1068,"AAAAADYf7fU=")</f>
        <v>1</v>
      </c>
      <c r="IM96">
        <f>IF(DATA!1069:1069,"AAAAADYf7fY=",0)</f>
        <v>0</v>
      </c>
      <c r="IN96" t="e">
        <f>AND(DATA!A1069,"AAAAADYf7fc=")</f>
        <v>#VALUE!</v>
      </c>
      <c r="IO96" t="e">
        <f>AND(DATA!B1069,"AAAAADYf7fg=")</f>
        <v>#VALUE!</v>
      </c>
      <c r="IP96" t="e">
        <f>AND(DATA!C1069,"AAAAADYf7fk=")</f>
        <v>#VALUE!</v>
      </c>
      <c r="IQ96" t="e">
        <f>AND(DATA!D1069,"AAAAADYf7fo=")</f>
        <v>#VALUE!</v>
      </c>
      <c r="IR96" t="e">
        <f>AND(DATA!E1069,"AAAAADYf7fs=")</f>
        <v>#VALUE!</v>
      </c>
      <c r="IS96" t="e">
        <f>AND(DATA!F1069,"AAAAADYf7fw=")</f>
        <v>#VALUE!</v>
      </c>
      <c r="IT96" t="e">
        <f>AND(DATA!G1069,"AAAAADYf7f0=")</f>
        <v>#VALUE!</v>
      </c>
      <c r="IU96" t="e">
        <f>AND(DATA!H1069,"AAAAADYf7f4=")</f>
        <v>#VALUE!</v>
      </c>
      <c r="IV96" t="e">
        <f>AND(DATA!I1069,"AAAAADYf7f8=")</f>
        <v>#VALUE!</v>
      </c>
    </row>
    <row r="97" spans="1:256">
      <c r="A97" t="e">
        <f>AND(DATA!J1069,"AAAAAG21+QA=")</f>
        <v>#VALUE!</v>
      </c>
      <c r="B97" t="e">
        <f>AND(DATA!K1069,"AAAAAG21+QE=")</f>
        <v>#VALUE!</v>
      </c>
      <c r="C97" t="b">
        <f>AND(DATA!L1069,"AAAAAG21+QI=")</f>
        <v>1</v>
      </c>
      <c r="D97" t="e">
        <f>AND(DATA!M1069,"AAAAAG21+QM=")</f>
        <v>#VALUE!</v>
      </c>
      <c r="E97" t="b">
        <f>AND(DATA!N1069,"AAAAAG21+QQ=")</f>
        <v>1</v>
      </c>
      <c r="F97">
        <f>IF(DATA!1070:1070,"AAAAAG21+QU=",0)</f>
        <v>0</v>
      </c>
      <c r="G97" t="e">
        <f>AND(DATA!A1070,"AAAAAG21+QY=")</f>
        <v>#VALUE!</v>
      </c>
      <c r="H97" t="e">
        <f>AND(DATA!B1070,"AAAAAG21+Qc=")</f>
        <v>#VALUE!</v>
      </c>
      <c r="I97" t="e">
        <f>AND(DATA!C1070,"AAAAAG21+Qg=")</f>
        <v>#VALUE!</v>
      </c>
      <c r="J97" t="e">
        <f>AND(DATA!D1070,"AAAAAG21+Qk=")</f>
        <v>#VALUE!</v>
      </c>
      <c r="K97" t="e">
        <f>AND(DATA!E1070,"AAAAAG21+Qo=")</f>
        <v>#VALUE!</v>
      </c>
      <c r="L97" t="e">
        <f>AND(DATA!F1070,"AAAAAG21+Qs=")</f>
        <v>#VALUE!</v>
      </c>
      <c r="M97" t="e">
        <f>AND(DATA!G1070,"AAAAAG21+Qw=")</f>
        <v>#VALUE!</v>
      </c>
      <c r="N97" t="e">
        <f>AND(DATA!H1070,"AAAAAG21+Q0=")</f>
        <v>#VALUE!</v>
      </c>
      <c r="O97" t="e">
        <f>AND(DATA!I1070,"AAAAAG21+Q4=")</f>
        <v>#VALUE!</v>
      </c>
      <c r="P97" t="e">
        <f>AND(DATA!J1070,"AAAAAG21+Q8=")</f>
        <v>#VALUE!</v>
      </c>
      <c r="Q97" t="e">
        <f>AND(DATA!K1070,"AAAAAG21+RA=")</f>
        <v>#VALUE!</v>
      </c>
      <c r="R97" t="b">
        <f>AND(DATA!L1070,"AAAAAG21+RE=")</f>
        <v>1</v>
      </c>
      <c r="S97" t="e">
        <f>AND(DATA!M1070,"AAAAAG21+RI=")</f>
        <v>#VALUE!</v>
      </c>
      <c r="T97" t="b">
        <f>AND(DATA!N1070,"AAAAAG21+RM=")</f>
        <v>1</v>
      </c>
      <c r="U97">
        <f>IF(DATA!1071:1071,"AAAAAG21+RQ=",0)</f>
        <v>0</v>
      </c>
      <c r="V97" t="e">
        <f>AND(DATA!A1071,"AAAAAG21+RU=")</f>
        <v>#VALUE!</v>
      </c>
      <c r="W97" t="e">
        <f>AND(DATA!B1071,"AAAAAG21+RY=")</f>
        <v>#VALUE!</v>
      </c>
      <c r="X97" t="e">
        <f>AND(DATA!C1071,"AAAAAG21+Rc=")</f>
        <v>#VALUE!</v>
      </c>
      <c r="Y97" t="e">
        <f>AND(DATA!D1071,"AAAAAG21+Rg=")</f>
        <v>#VALUE!</v>
      </c>
      <c r="Z97" t="e">
        <f>AND(DATA!E1071,"AAAAAG21+Rk=")</f>
        <v>#VALUE!</v>
      </c>
      <c r="AA97" t="e">
        <f>AND(DATA!F1071,"AAAAAG21+Ro=")</f>
        <v>#VALUE!</v>
      </c>
      <c r="AB97" t="e">
        <f>AND(DATA!G1071,"AAAAAG21+Rs=")</f>
        <v>#VALUE!</v>
      </c>
      <c r="AC97" t="e">
        <f>AND(DATA!H1071,"AAAAAG21+Rw=")</f>
        <v>#VALUE!</v>
      </c>
      <c r="AD97" t="e">
        <f>AND(DATA!I1071,"AAAAAG21+R0=")</f>
        <v>#VALUE!</v>
      </c>
      <c r="AE97" t="e">
        <f>AND(DATA!J1071,"AAAAAG21+R4=")</f>
        <v>#VALUE!</v>
      </c>
      <c r="AF97" t="e">
        <f>AND(DATA!K1071,"AAAAAG21+R8=")</f>
        <v>#VALUE!</v>
      </c>
      <c r="AG97" t="b">
        <f>AND(DATA!L1071,"AAAAAG21+SA=")</f>
        <v>1</v>
      </c>
      <c r="AH97" t="e">
        <f>AND(DATA!M1071,"AAAAAG21+SE=")</f>
        <v>#VALUE!</v>
      </c>
      <c r="AI97" t="b">
        <f>AND(DATA!N1071,"AAAAAG21+SI=")</f>
        <v>1</v>
      </c>
      <c r="AJ97">
        <f>IF(DATA!1072:1072,"AAAAAG21+SM=",0)</f>
        <v>0</v>
      </c>
      <c r="AK97" t="e">
        <f>AND(DATA!A1072,"AAAAAG21+SQ=")</f>
        <v>#VALUE!</v>
      </c>
      <c r="AL97" t="e">
        <f>AND(DATA!B1072,"AAAAAG21+SU=")</f>
        <v>#VALUE!</v>
      </c>
      <c r="AM97" t="e">
        <f>AND(DATA!C1072,"AAAAAG21+SY=")</f>
        <v>#VALUE!</v>
      </c>
      <c r="AN97" t="e">
        <f>AND(DATA!D1072,"AAAAAG21+Sc=")</f>
        <v>#VALUE!</v>
      </c>
      <c r="AO97" t="e">
        <f>AND(DATA!E1072,"AAAAAG21+Sg=")</f>
        <v>#VALUE!</v>
      </c>
      <c r="AP97" t="e">
        <f>AND(DATA!F1072,"AAAAAG21+Sk=")</f>
        <v>#VALUE!</v>
      </c>
      <c r="AQ97" t="e">
        <f>AND(DATA!G1072,"AAAAAG21+So=")</f>
        <v>#VALUE!</v>
      </c>
      <c r="AR97" t="e">
        <f>AND(DATA!H1072,"AAAAAG21+Ss=")</f>
        <v>#VALUE!</v>
      </c>
      <c r="AS97" t="e">
        <f>AND(DATA!I1072,"AAAAAG21+Sw=")</f>
        <v>#VALUE!</v>
      </c>
      <c r="AT97" t="e">
        <f>AND(DATA!J1072,"AAAAAG21+S0=")</f>
        <v>#VALUE!</v>
      </c>
      <c r="AU97" t="e">
        <f>AND(DATA!K1072,"AAAAAG21+S4=")</f>
        <v>#VALUE!</v>
      </c>
      <c r="AV97" t="b">
        <f>AND(DATA!L1072,"AAAAAG21+S8=")</f>
        <v>1</v>
      </c>
      <c r="AW97" t="e">
        <f>AND(DATA!M1072,"AAAAAG21+TA=")</f>
        <v>#VALUE!</v>
      </c>
      <c r="AX97" t="b">
        <f>AND(DATA!N1072,"AAAAAG21+TE=")</f>
        <v>1</v>
      </c>
      <c r="AY97">
        <f>IF(DATA!1073:1073,"AAAAAG21+TI=",0)</f>
        <v>0</v>
      </c>
      <c r="AZ97" t="e">
        <f>AND(DATA!A1073,"AAAAAG21+TM=")</f>
        <v>#VALUE!</v>
      </c>
      <c r="BA97" t="e">
        <f>AND(DATA!B1073,"AAAAAG21+TQ=")</f>
        <v>#VALUE!</v>
      </c>
      <c r="BB97" t="e">
        <f>AND(DATA!C1073,"AAAAAG21+TU=")</f>
        <v>#VALUE!</v>
      </c>
      <c r="BC97" t="e">
        <f>AND(DATA!D1073,"AAAAAG21+TY=")</f>
        <v>#VALUE!</v>
      </c>
      <c r="BD97" t="e">
        <f>AND(DATA!E1073,"AAAAAG21+Tc=")</f>
        <v>#VALUE!</v>
      </c>
      <c r="BE97" t="e">
        <f>AND(DATA!F1073,"AAAAAG21+Tg=")</f>
        <v>#VALUE!</v>
      </c>
      <c r="BF97" t="e">
        <f>AND(DATA!G1073,"AAAAAG21+Tk=")</f>
        <v>#VALUE!</v>
      </c>
      <c r="BG97" t="e">
        <f>AND(DATA!H1073,"AAAAAG21+To=")</f>
        <v>#VALUE!</v>
      </c>
      <c r="BH97" t="e">
        <f>AND(DATA!I1073,"AAAAAG21+Ts=")</f>
        <v>#VALUE!</v>
      </c>
      <c r="BI97" t="e">
        <f>AND(DATA!J1073,"AAAAAG21+Tw=")</f>
        <v>#VALUE!</v>
      </c>
      <c r="BJ97" t="e">
        <f>AND(DATA!K1073,"AAAAAG21+T0=")</f>
        <v>#VALUE!</v>
      </c>
      <c r="BK97" t="b">
        <f>AND(DATA!L1073,"AAAAAG21+T4=")</f>
        <v>1</v>
      </c>
      <c r="BL97" t="e">
        <f>AND(DATA!M1073,"AAAAAG21+T8=")</f>
        <v>#VALUE!</v>
      </c>
      <c r="BM97" t="b">
        <f>AND(DATA!N1073,"AAAAAG21+UA=")</f>
        <v>1</v>
      </c>
      <c r="BN97">
        <f>IF(DATA!1074:1074,"AAAAAG21+UE=",0)</f>
        <v>0</v>
      </c>
      <c r="BO97" t="e">
        <f>AND(DATA!A1074,"AAAAAG21+UI=")</f>
        <v>#VALUE!</v>
      </c>
      <c r="BP97" t="e">
        <f>AND(DATA!B1074,"AAAAAG21+UM=")</f>
        <v>#VALUE!</v>
      </c>
      <c r="BQ97" t="e">
        <f>AND(DATA!C1074,"AAAAAG21+UQ=")</f>
        <v>#VALUE!</v>
      </c>
      <c r="BR97" t="e">
        <f>AND(DATA!D1074,"AAAAAG21+UU=")</f>
        <v>#VALUE!</v>
      </c>
      <c r="BS97" t="e">
        <f>AND(DATA!E1074,"AAAAAG21+UY=")</f>
        <v>#VALUE!</v>
      </c>
      <c r="BT97" t="e">
        <f>AND(DATA!F1074,"AAAAAG21+Uc=")</f>
        <v>#VALUE!</v>
      </c>
      <c r="BU97" t="e">
        <f>AND(DATA!G1074,"AAAAAG21+Ug=")</f>
        <v>#VALUE!</v>
      </c>
      <c r="BV97" t="e">
        <f>AND(DATA!H1074,"AAAAAG21+Uk=")</f>
        <v>#VALUE!</v>
      </c>
      <c r="BW97" t="e">
        <f>AND(DATA!I1074,"AAAAAG21+Uo=")</f>
        <v>#VALUE!</v>
      </c>
      <c r="BX97" t="e">
        <f>AND(DATA!J1074,"AAAAAG21+Us=")</f>
        <v>#VALUE!</v>
      </c>
      <c r="BY97" t="e">
        <f>AND(DATA!K1074,"AAAAAG21+Uw=")</f>
        <v>#VALUE!</v>
      </c>
      <c r="BZ97" t="b">
        <f>AND(DATA!L1074,"AAAAAG21+U0=")</f>
        <v>1</v>
      </c>
      <c r="CA97" t="e">
        <f>AND(DATA!M1074,"AAAAAG21+U4=")</f>
        <v>#VALUE!</v>
      </c>
      <c r="CB97" t="b">
        <f>AND(DATA!N1074,"AAAAAG21+U8=")</f>
        <v>1</v>
      </c>
      <c r="CC97">
        <f>IF(DATA!1075:1075,"AAAAAG21+VA=",0)</f>
        <v>0</v>
      </c>
      <c r="CD97" t="e">
        <f>AND(DATA!A1075,"AAAAAG21+VE=")</f>
        <v>#VALUE!</v>
      </c>
      <c r="CE97" t="e">
        <f>AND(DATA!B1075,"AAAAAG21+VI=")</f>
        <v>#VALUE!</v>
      </c>
      <c r="CF97" t="e">
        <f>AND(DATA!C1075,"AAAAAG21+VM=")</f>
        <v>#VALUE!</v>
      </c>
      <c r="CG97" t="e">
        <f>AND(DATA!D1075,"AAAAAG21+VQ=")</f>
        <v>#VALUE!</v>
      </c>
      <c r="CH97" t="e">
        <f>AND(DATA!E1075,"AAAAAG21+VU=")</f>
        <v>#VALUE!</v>
      </c>
      <c r="CI97" t="e">
        <f>AND(DATA!F1075,"AAAAAG21+VY=")</f>
        <v>#VALUE!</v>
      </c>
      <c r="CJ97" t="e">
        <f>AND(DATA!G1075,"AAAAAG21+Vc=")</f>
        <v>#VALUE!</v>
      </c>
      <c r="CK97" t="e">
        <f>AND(DATA!H1075,"AAAAAG21+Vg=")</f>
        <v>#VALUE!</v>
      </c>
      <c r="CL97" t="e">
        <f>AND(DATA!I1075,"AAAAAG21+Vk=")</f>
        <v>#VALUE!</v>
      </c>
      <c r="CM97" t="e">
        <f>AND(DATA!J1075,"AAAAAG21+Vo=")</f>
        <v>#VALUE!</v>
      </c>
      <c r="CN97" t="e">
        <f>AND(DATA!K1075,"AAAAAG21+Vs=")</f>
        <v>#VALUE!</v>
      </c>
      <c r="CO97" t="b">
        <f>AND(DATA!L1075,"AAAAAG21+Vw=")</f>
        <v>1</v>
      </c>
      <c r="CP97" t="e">
        <f>AND(DATA!M1075,"AAAAAG21+V0=")</f>
        <v>#VALUE!</v>
      </c>
      <c r="CQ97" t="b">
        <f>AND(DATA!N1075,"AAAAAG21+V4=")</f>
        <v>1</v>
      </c>
      <c r="CR97">
        <f>IF(DATA!1076:1076,"AAAAAG21+V8=",0)</f>
        <v>0</v>
      </c>
      <c r="CS97" t="e">
        <f>AND(DATA!A1076,"AAAAAG21+WA=")</f>
        <v>#VALUE!</v>
      </c>
      <c r="CT97" t="e">
        <f>AND(DATA!B1076,"AAAAAG21+WE=")</f>
        <v>#VALUE!</v>
      </c>
      <c r="CU97" t="e">
        <f>AND(DATA!C1076,"AAAAAG21+WI=")</f>
        <v>#VALUE!</v>
      </c>
      <c r="CV97" t="e">
        <f>AND(DATA!D1076,"AAAAAG21+WM=")</f>
        <v>#VALUE!</v>
      </c>
      <c r="CW97" t="e">
        <f>AND(DATA!E1076,"AAAAAG21+WQ=")</f>
        <v>#VALUE!</v>
      </c>
      <c r="CX97" t="e">
        <f>AND(DATA!F1076,"AAAAAG21+WU=")</f>
        <v>#VALUE!</v>
      </c>
      <c r="CY97" t="e">
        <f>AND(DATA!G1076,"AAAAAG21+WY=")</f>
        <v>#VALUE!</v>
      </c>
      <c r="CZ97" t="e">
        <f>AND(DATA!H1076,"AAAAAG21+Wc=")</f>
        <v>#VALUE!</v>
      </c>
      <c r="DA97" t="e">
        <f>AND(DATA!I1076,"AAAAAG21+Wg=")</f>
        <v>#VALUE!</v>
      </c>
      <c r="DB97" t="e">
        <f>AND(DATA!J1076,"AAAAAG21+Wk=")</f>
        <v>#VALUE!</v>
      </c>
      <c r="DC97" t="e">
        <f>AND(DATA!K1076,"AAAAAG21+Wo=")</f>
        <v>#VALUE!</v>
      </c>
      <c r="DD97" t="b">
        <f>AND(DATA!L1076,"AAAAAG21+Ws=")</f>
        <v>1</v>
      </c>
      <c r="DE97" t="e">
        <f>AND(DATA!M1076,"AAAAAG21+Ww=")</f>
        <v>#VALUE!</v>
      </c>
      <c r="DF97" t="b">
        <f>AND(DATA!N1076,"AAAAAG21+W0=")</f>
        <v>1</v>
      </c>
      <c r="DG97">
        <f>IF(DATA!1077:1077,"AAAAAG21+W4=",0)</f>
        <v>0</v>
      </c>
      <c r="DH97" t="e">
        <f>AND(DATA!A1077,"AAAAAG21+W8=")</f>
        <v>#VALUE!</v>
      </c>
      <c r="DI97" t="e">
        <f>AND(DATA!B1077,"AAAAAG21+XA=")</f>
        <v>#VALUE!</v>
      </c>
      <c r="DJ97" t="e">
        <f>AND(DATA!C1077,"AAAAAG21+XE=")</f>
        <v>#VALUE!</v>
      </c>
      <c r="DK97" t="e">
        <f>AND(DATA!D1077,"AAAAAG21+XI=")</f>
        <v>#VALUE!</v>
      </c>
      <c r="DL97" t="e">
        <f>AND(DATA!E1077,"AAAAAG21+XM=")</f>
        <v>#VALUE!</v>
      </c>
      <c r="DM97" t="e">
        <f>AND(DATA!F1077,"AAAAAG21+XQ=")</f>
        <v>#VALUE!</v>
      </c>
      <c r="DN97" t="e">
        <f>AND(DATA!G1077,"AAAAAG21+XU=")</f>
        <v>#VALUE!</v>
      </c>
      <c r="DO97" t="e">
        <f>AND(DATA!H1077,"AAAAAG21+XY=")</f>
        <v>#VALUE!</v>
      </c>
      <c r="DP97" t="e">
        <f>AND(DATA!I1077,"AAAAAG21+Xc=")</f>
        <v>#VALUE!</v>
      </c>
      <c r="DQ97" t="e">
        <f>AND(DATA!J1077,"AAAAAG21+Xg=")</f>
        <v>#VALUE!</v>
      </c>
      <c r="DR97" t="e">
        <f>AND(DATA!K1077,"AAAAAG21+Xk=")</f>
        <v>#VALUE!</v>
      </c>
      <c r="DS97" t="b">
        <f>AND(DATA!L1077,"AAAAAG21+Xo=")</f>
        <v>1</v>
      </c>
      <c r="DT97" t="e">
        <f>AND(DATA!M1077,"AAAAAG21+Xs=")</f>
        <v>#VALUE!</v>
      </c>
      <c r="DU97" t="b">
        <f>AND(DATA!N1077,"AAAAAG21+Xw=")</f>
        <v>1</v>
      </c>
      <c r="DV97">
        <f>IF(DATA!1078:1078,"AAAAAG21+X0=",0)</f>
        <v>0</v>
      </c>
      <c r="DW97" t="e">
        <f>AND(DATA!A1078,"AAAAAG21+X4=")</f>
        <v>#VALUE!</v>
      </c>
      <c r="DX97" t="e">
        <f>AND(DATA!B1078,"AAAAAG21+X8=")</f>
        <v>#VALUE!</v>
      </c>
      <c r="DY97" t="e">
        <f>AND(DATA!C1078,"AAAAAG21+YA=")</f>
        <v>#VALUE!</v>
      </c>
      <c r="DZ97" t="e">
        <f>AND(DATA!D1078,"AAAAAG21+YE=")</f>
        <v>#VALUE!</v>
      </c>
      <c r="EA97" t="e">
        <f>AND(DATA!E1078,"AAAAAG21+YI=")</f>
        <v>#VALUE!</v>
      </c>
      <c r="EB97" t="e">
        <f>AND(DATA!F1078,"AAAAAG21+YM=")</f>
        <v>#VALUE!</v>
      </c>
      <c r="EC97" t="e">
        <f>AND(DATA!G1078,"AAAAAG21+YQ=")</f>
        <v>#VALUE!</v>
      </c>
      <c r="ED97" t="e">
        <f>AND(DATA!H1078,"AAAAAG21+YU=")</f>
        <v>#VALUE!</v>
      </c>
      <c r="EE97" t="e">
        <f>AND(DATA!I1078,"AAAAAG21+YY=")</f>
        <v>#VALUE!</v>
      </c>
      <c r="EF97" t="e">
        <f>AND(DATA!J1078,"AAAAAG21+Yc=")</f>
        <v>#VALUE!</v>
      </c>
      <c r="EG97" t="e">
        <f>AND(DATA!K1078,"AAAAAG21+Yg=")</f>
        <v>#VALUE!</v>
      </c>
      <c r="EH97" t="b">
        <f>AND(DATA!L1078,"AAAAAG21+Yk=")</f>
        <v>1</v>
      </c>
      <c r="EI97" t="e">
        <f>AND(DATA!M1078,"AAAAAG21+Yo=")</f>
        <v>#VALUE!</v>
      </c>
      <c r="EJ97" t="b">
        <f>AND(DATA!N1078,"AAAAAG21+Ys=")</f>
        <v>1</v>
      </c>
      <c r="EK97">
        <f>IF(DATA!1079:1079,"AAAAAG21+Yw=",0)</f>
        <v>0</v>
      </c>
      <c r="EL97" t="e">
        <f>AND(DATA!A1079,"AAAAAG21+Y0=")</f>
        <v>#VALUE!</v>
      </c>
      <c r="EM97" t="e">
        <f>AND(DATA!B1079,"AAAAAG21+Y4=")</f>
        <v>#VALUE!</v>
      </c>
      <c r="EN97" t="e">
        <f>AND(DATA!C1079,"AAAAAG21+Y8=")</f>
        <v>#VALUE!</v>
      </c>
      <c r="EO97" t="e">
        <f>AND(DATA!D1079,"AAAAAG21+ZA=")</f>
        <v>#VALUE!</v>
      </c>
      <c r="EP97" t="e">
        <f>AND(DATA!E1079,"AAAAAG21+ZE=")</f>
        <v>#VALUE!</v>
      </c>
      <c r="EQ97" t="e">
        <f>AND(DATA!F1079,"AAAAAG21+ZI=")</f>
        <v>#VALUE!</v>
      </c>
      <c r="ER97" t="e">
        <f>AND(DATA!G1079,"AAAAAG21+ZM=")</f>
        <v>#VALUE!</v>
      </c>
      <c r="ES97" t="e">
        <f>AND(DATA!H1079,"AAAAAG21+ZQ=")</f>
        <v>#VALUE!</v>
      </c>
      <c r="ET97" t="e">
        <f>AND(DATA!I1079,"AAAAAG21+ZU=")</f>
        <v>#VALUE!</v>
      </c>
      <c r="EU97" t="e">
        <f>AND(DATA!J1079,"AAAAAG21+ZY=")</f>
        <v>#VALUE!</v>
      </c>
      <c r="EV97" t="e">
        <f>AND(DATA!K1079,"AAAAAG21+Zc=")</f>
        <v>#VALUE!</v>
      </c>
      <c r="EW97" t="b">
        <f>AND(DATA!L1079,"AAAAAG21+Zg=")</f>
        <v>1</v>
      </c>
      <c r="EX97" t="e">
        <f>AND(DATA!M1079,"AAAAAG21+Zk=")</f>
        <v>#VALUE!</v>
      </c>
      <c r="EY97" t="b">
        <f>AND(DATA!N1079,"AAAAAG21+Zo=")</f>
        <v>1</v>
      </c>
      <c r="EZ97">
        <f>IF(DATA!1080:1080,"AAAAAG21+Zs=",0)</f>
        <v>0</v>
      </c>
      <c r="FA97" t="e">
        <f>AND(DATA!A1080,"AAAAAG21+Zw=")</f>
        <v>#VALUE!</v>
      </c>
      <c r="FB97" t="e">
        <f>AND(DATA!B1080,"AAAAAG21+Z0=")</f>
        <v>#VALUE!</v>
      </c>
      <c r="FC97" t="e">
        <f>AND(DATA!C1080,"AAAAAG21+Z4=")</f>
        <v>#VALUE!</v>
      </c>
      <c r="FD97" t="e">
        <f>AND(DATA!D1080,"AAAAAG21+Z8=")</f>
        <v>#VALUE!</v>
      </c>
      <c r="FE97" t="e">
        <f>AND(DATA!E1080,"AAAAAG21+aA=")</f>
        <v>#VALUE!</v>
      </c>
      <c r="FF97" t="e">
        <f>AND(DATA!F1080,"AAAAAG21+aE=")</f>
        <v>#VALUE!</v>
      </c>
      <c r="FG97" t="e">
        <f>AND(DATA!G1080,"AAAAAG21+aI=")</f>
        <v>#VALUE!</v>
      </c>
      <c r="FH97" t="e">
        <f>AND(DATA!H1080,"AAAAAG21+aM=")</f>
        <v>#VALUE!</v>
      </c>
      <c r="FI97" t="e">
        <f>AND(DATA!I1080,"AAAAAG21+aQ=")</f>
        <v>#VALUE!</v>
      </c>
      <c r="FJ97" t="e">
        <f>AND(DATA!J1080,"AAAAAG21+aU=")</f>
        <v>#VALUE!</v>
      </c>
      <c r="FK97" t="e">
        <f>AND(DATA!K1080,"AAAAAG21+aY=")</f>
        <v>#VALUE!</v>
      </c>
      <c r="FL97" t="b">
        <f>AND(DATA!L1080,"AAAAAG21+ac=")</f>
        <v>1</v>
      </c>
      <c r="FM97" t="e">
        <f>AND(DATA!M1080,"AAAAAG21+ag=")</f>
        <v>#VALUE!</v>
      </c>
      <c r="FN97" t="b">
        <f>AND(DATA!N1080,"AAAAAG21+ak=")</f>
        <v>1</v>
      </c>
      <c r="FO97">
        <f>IF(DATA!1081:1081,"AAAAAG21+ao=",0)</f>
        <v>0</v>
      </c>
      <c r="FP97" t="e">
        <f>AND(DATA!A1081,"AAAAAG21+as=")</f>
        <v>#VALUE!</v>
      </c>
      <c r="FQ97" t="e">
        <f>AND(DATA!B1081,"AAAAAG21+aw=")</f>
        <v>#VALUE!</v>
      </c>
      <c r="FR97" t="e">
        <f>AND(DATA!C1081,"AAAAAG21+a0=")</f>
        <v>#VALUE!</v>
      </c>
      <c r="FS97" t="e">
        <f>AND(DATA!D1081,"AAAAAG21+a4=")</f>
        <v>#VALUE!</v>
      </c>
      <c r="FT97" t="e">
        <f>AND(DATA!E1081,"AAAAAG21+a8=")</f>
        <v>#VALUE!</v>
      </c>
      <c r="FU97" t="e">
        <f>AND(DATA!F1081,"AAAAAG21+bA=")</f>
        <v>#VALUE!</v>
      </c>
      <c r="FV97" t="e">
        <f>AND(DATA!G1081,"AAAAAG21+bE=")</f>
        <v>#VALUE!</v>
      </c>
      <c r="FW97" t="e">
        <f>AND(DATA!H1081,"AAAAAG21+bI=")</f>
        <v>#VALUE!</v>
      </c>
      <c r="FX97" t="e">
        <f>AND(DATA!I1081,"AAAAAG21+bM=")</f>
        <v>#VALUE!</v>
      </c>
      <c r="FY97" t="e">
        <f>AND(DATA!J1081,"AAAAAG21+bQ=")</f>
        <v>#VALUE!</v>
      </c>
      <c r="FZ97" t="e">
        <f>AND(DATA!K1081,"AAAAAG21+bU=")</f>
        <v>#VALUE!</v>
      </c>
      <c r="GA97" t="b">
        <f>AND(DATA!L1081,"AAAAAG21+bY=")</f>
        <v>1</v>
      </c>
      <c r="GB97" t="e">
        <f>AND(DATA!M1081,"AAAAAG21+bc=")</f>
        <v>#VALUE!</v>
      </c>
      <c r="GC97" t="b">
        <f>AND(DATA!N1081,"AAAAAG21+bg=")</f>
        <v>1</v>
      </c>
      <c r="GD97">
        <f>IF(DATA!1082:1082,"AAAAAG21+bk=",0)</f>
        <v>0</v>
      </c>
      <c r="GE97" t="e">
        <f>AND(DATA!A1082,"AAAAAG21+bo=")</f>
        <v>#VALUE!</v>
      </c>
      <c r="GF97" t="e">
        <f>AND(DATA!B1082,"AAAAAG21+bs=")</f>
        <v>#VALUE!</v>
      </c>
      <c r="GG97" t="e">
        <f>AND(DATA!C1082,"AAAAAG21+bw=")</f>
        <v>#VALUE!</v>
      </c>
      <c r="GH97" t="e">
        <f>AND(DATA!D1082,"AAAAAG21+b0=")</f>
        <v>#VALUE!</v>
      </c>
      <c r="GI97" t="e">
        <f>AND(DATA!E1082,"AAAAAG21+b4=")</f>
        <v>#VALUE!</v>
      </c>
      <c r="GJ97" t="e">
        <f>AND(DATA!F1082,"AAAAAG21+b8=")</f>
        <v>#VALUE!</v>
      </c>
      <c r="GK97" t="e">
        <f>AND(DATA!G1082,"AAAAAG21+cA=")</f>
        <v>#VALUE!</v>
      </c>
      <c r="GL97" t="e">
        <f>AND(DATA!H1082,"AAAAAG21+cE=")</f>
        <v>#VALUE!</v>
      </c>
      <c r="GM97" t="e">
        <f>AND(DATA!I1082,"AAAAAG21+cI=")</f>
        <v>#VALUE!</v>
      </c>
      <c r="GN97" t="e">
        <f>AND(DATA!J1082,"AAAAAG21+cM=")</f>
        <v>#VALUE!</v>
      </c>
      <c r="GO97" t="e">
        <f>AND(DATA!K1082,"AAAAAG21+cQ=")</f>
        <v>#VALUE!</v>
      </c>
      <c r="GP97" t="b">
        <f>AND(DATA!L1082,"AAAAAG21+cU=")</f>
        <v>1</v>
      </c>
      <c r="GQ97" t="e">
        <f>AND(DATA!M1082,"AAAAAG21+cY=")</f>
        <v>#VALUE!</v>
      </c>
      <c r="GR97" t="b">
        <f>AND(DATA!N1082,"AAAAAG21+cc=")</f>
        <v>1</v>
      </c>
      <c r="GS97">
        <f>IF(DATA!1083:1083,"AAAAAG21+cg=",0)</f>
        <v>0</v>
      </c>
      <c r="GT97" t="e">
        <f>AND(DATA!A1083,"AAAAAG21+ck=")</f>
        <v>#VALUE!</v>
      </c>
      <c r="GU97" t="e">
        <f>AND(DATA!B1083,"AAAAAG21+co=")</f>
        <v>#VALUE!</v>
      </c>
      <c r="GV97" t="e">
        <f>AND(DATA!C1083,"AAAAAG21+cs=")</f>
        <v>#VALUE!</v>
      </c>
      <c r="GW97" t="e">
        <f>AND(DATA!D1083,"AAAAAG21+cw=")</f>
        <v>#VALUE!</v>
      </c>
      <c r="GX97" t="e">
        <f>AND(DATA!E1083,"AAAAAG21+c0=")</f>
        <v>#VALUE!</v>
      </c>
      <c r="GY97" t="e">
        <f>AND(DATA!F1083,"AAAAAG21+c4=")</f>
        <v>#VALUE!</v>
      </c>
      <c r="GZ97" t="e">
        <f>AND(DATA!G1083,"AAAAAG21+c8=")</f>
        <v>#VALUE!</v>
      </c>
      <c r="HA97" t="e">
        <f>AND(DATA!H1083,"AAAAAG21+dA=")</f>
        <v>#VALUE!</v>
      </c>
      <c r="HB97" t="e">
        <f>AND(DATA!I1083,"AAAAAG21+dE=")</f>
        <v>#VALUE!</v>
      </c>
      <c r="HC97" t="e">
        <f>AND(DATA!J1083,"AAAAAG21+dI=")</f>
        <v>#VALUE!</v>
      </c>
      <c r="HD97" t="e">
        <f>AND(DATA!K1083,"AAAAAG21+dM=")</f>
        <v>#VALUE!</v>
      </c>
      <c r="HE97" t="b">
        <f>AND(DATA!L1083,"AAAAAG21+dQ=")</f>
        <v>1</v>
      </c>
      <c r="HF97" t="e">
        <f>AND(DATA!M1083,"AAAAAG21+dU=")</f>
        <v>#VALUE!</v>
      </c>
      <c r="HG97" t="b">
        <f>AND(DATA!N1083,"AAAAAG21+dY=")</f>
        <v>1</v>
      </c>
      <c r="HH97">
        <f>IF(DATA!1084:1084,"AAAAAG21+dc=",0)</f>
        <v>0</v>
      </c>
      <c r="HI97" t="e">
        <f>AND(DATA!A1084,"AAAAAG21+dg=")</f>
        <v>#VALUE!</v>
      </c>
      <c r="HJ97" t="e">
        <f>AND(DATA!B1084,"AAAAAG21+dk=")</f>
        <v>#VALUE!</v>
      </c>
      <c r="HK97" t="e">
        <f>AND(DATA!C1084,"AAAAAG21+do=")</f>
        <v>#VALUE!</v>
      </c>
      <c r="HL97" t="e">
        <f>AND(DATA!D1084,"AAAAAG21+ds=")</f>
        <v>#VALUE!</v>
      </c>
      <c r="HM97" t="e">
        <f>AND(DATA!E1084,"AAAAAG21+dw=")</f>
        <v>#VALUE!</v>
      </c>
      <c r="HN97" t="e">
        <f>AND(DATA!F1084,"AAAAAG21+d0=")</f>
        <v>#VALUE!</v>
      </c>
      <c r="HO97" t="e">
        <f>AND(DATA!G1084,"AAAAAG21+d4=")</f>
        <v>#VALUE!</v>
      </c>
      <c r="HP97" t="e">
        <f>AND(DATA!H1084,"AAAAAG21+d8=")</f>
        <v>#VALUE!</v>
      </c>
      <c r="HQ97" t="e">
        <f>AND(DATA!I1084,"AAAAAG21+eA=")</f>
        <v>#VALUE!</v>
      </c>
      <c r="HR97" t="e">
        <f>AND(DATA!J1084,"AAAAAG21+eE=")</f>
        <v>#VALUE!</v>
      </c>
      <c r="HS97" t="e">
        <f>AND(DATA!K1084,"AAAAAG21+eI=")</f>
        <v>#VALUE!</v>
      </c>
      <c r="HT97" t="b">
        <f>AND(DATA!L1084,"AAAAAG21+eM=")</f>
        <v>1</v>
      </c>
      <c r="HU97" t="e">
        <f>AND(DATA!M1084,"AAAAAG21+eQ=")</f>
        <v>#VALUE!</v>
      </c>
      <c r="HV97" t="b">
        <f>AND(DATA!N1084,"AAAAAG21+eU=")</f>
        <v>1</v>
      </c>
      <c r="HW97">
        <f>IF(DATA!1085:1085,"AAAAAG21+eY=",0)</f>
        <v>0</v>
      </c>
      <c r="HX97" t="e">
        <f>AND(DATA!A1085,"AAAAAG21+ec=")</f>
        <v>#VALUE!</v>
      </c>
      <c r="HY97" t="e">
        <f>AND(DATA!B1085,"AAAAAG21+eg=")</f>
        <v>#VALUE!</v>
      </c>
      <c r="HZ97" t="e">
        <f>AND(DATA!C1085,"AAAAAG21+ek=")</f>
        <v>#VALUE!</v>
      </c>
      <c r="IA97" t="e">
        <f>AND(DATA!D1085,"AAAAAG21+eo=")</f>
        <v>#VALUE!</v>
      </c>
      <c r="IB97" t="e">
        <f>AND(DATA!E1085,"AAAAAG21+es=")</f>
        <v>#VALUE!</v>
      </c>
      <c r="IC97" t="e">
        <f>AND(DATA!F1085,"AAAAAG21+ew=")</f>
        <v>#VALUE!</v>
      </c>
      <c r="ID97" t="e">
        <f>AND(DATA!G1085,"AAAAAG21+e0=")</f>
        <v>#VALUE!</v>
      </c>
      <c r="IE97" t="e">
        <f>AND(DATA!H1085,"AAAAAG21+e4=")</f>
        <v>#VALUE!</v>
      </c>
      <c r="IF97" t="e">
        <f>AND(DATA!I1085,"AAAAAG21+e8=")</f>
        <v>#VALUE!</v>
      </c>
      <c r="IG97" t="e">
        <f>AND(DATA!J1085,"AAAAAG21+fA=")</f>
        <v>#VALUE!</v>
      </c>
      <c r="IH97" t="e">
        <f>AND(DATA!K1085,"AAAAAG21+fE=")</f>
        <v>#VALUE!</v>
      </c>
      <c r="II97" t="b">
        <f>AND(DATA!L1085,"AAAAAG21+fI=")</f>
        <v>1</v>
      </c>
      <c r="IJ97" t="e">
        <f>AND(DATA!M1085,"AAAAAG21+fM=")</f>
        <v>#VALUE!</v>
      </c>
      <c r="IK97" t="b">
        <f>AND(DATA!N1085,"AAAAAG21+fQ=")</f>
        <v>1</v>
      </c>
      <c r="IL97">
        <f>IF(DATA!1086:1086,"AAAAAG21+fU=",0)</f>
        <v>0</v>
      </c>
      <c r="IM97" t="e">
        <f>AND(DATA!A1086,"AAAAAG21+fY=")</f>
        <v>#VALUE!</v>
      </c>
      <c r="IN97" t="e">
        <f>AND(DATA!B1086,"AAAAAG21+fc=")</f>
        <v>#VALUE!</v>
      </c>
      <c r="IO97" t="e">
        <f>AND(DATA!C1086,"AAAAAG21+fg=")</f>
        <v>#VALUE!</v>
      </c>
      <c r="IP97" t="e">
        <f>AND(DATA!D1086,"AAAAAG21+fk=")</f>
        <v>#VALUE!</v>
      </c>
      <c r="IQ97" t="e">
        <f>AND(DATA!E1086,"AAAAAG21+fo=")</f>
        <v>#VALUE!</v>
      </c>
      <c r="IR97" t="e">
        <f>AND(DATA!F1086,"AAAAAG21+fs=")</f>
        <v>#VALUE!</v>
      </c>
      <c r="IS97" t="e">
        <f>AND(DATA!G1086,"AAAAAG21+fw=")</f>
        <v>#VALUE!</v>
      </c>
      <c r="IT97" t="e">
        <f>AND(DATA!H1086,"AAAAAG21+f0=")</f>
        <v>#VALUE!</v>
      </c>
      <c r="IU97" t="e">
        <f>AND(DATA!I1086,"AAAAAG21+f4=")</f>
        <v>#VALUE!</v>
      </c>
      <c r="IV97" t="e">
        <f>AND(DATA!J1086,"AAAAAG21+f8=")</f>
        <v>#VALUE!</v>
      </c>
    </row>
    <row r="98" spans="1:256">
      <c r="A98" t="e">
        <f>AND(DATA!K1086,"AAAAAH7/+gA=")</f>
        <v>#VALUE!</v>
      </c>
      <c r="B98" t="b">
        <f>AND(DATA!L1086,"AAAAAH7/+gE=")</f>
        <v>1</v>
      </c>
      <c r="C98" t="e">
        <f>AND(DATA!M1086,"AAAAAH7/+gI=")</f>
        <v>#VALUE!</v>
      </c>
      <c r="D98" t="b">
        <f>AND(DATA!N1086,"AAAAAH7/+gM=")</f>
        <v>1</v>
      </c>
      <c r="E98">
        <f>IF(DATA!1087:1087,"AAAAAH7/+gQ=",0)</f>
        <v>0</v>
      </c>
      <c r="F98" t="e">
        <f>AND(DATA!A1087,"AAAAAH7/+gU=")</f>
        <v>#VALUE!</v>
      </c>
      <c r="G98" t="e">
        <f>AND(DATA!B1087,"AAAAAH7/+gY=")</f>
        <v>#VALUE!</v>
      </c>
      <c r="H98" t="e">
        <f>AND(DATA!C1087,"AAAAAH7/+gc=")</f>
        <v>#VALUE!</v>
      </c>
      <c r="I98" t="e">
        <f>AND(DATA!D1087,"AAAAAH7/+gg=")</f>
        <v>#VALUE!</v>
      </c>
      <c r="J98" t="e">
        <f>AND(DATA!E1087,"AAAAAH7/+gk=")</f>
        <v>#VALUE!</v>
      </c>
      <c r="K98" t="e">
        <f>AND(DATA!F1087,"AAAAAH7/+go=")</f>
        <v>#VALUE!</v>
      </c>
      <c r="L98" t="e">
        <f>AND(DATA!G1087,"AAAAAH7/+gs=")</f>
        <v>#VALUE!</v>
      </c>
      <c r="M98" t="e">
        <f>AND(DATA!H1087,"AAAAAH7/+gw=")</f>
        <v>#VALUE!</v>
      </c>
      <c r="N98" t="e">
        <f>AND(DATA!I1087,"AAAAAH7/+g0=")</f>
        <v>#VALUE!</v>
      </c>
      <c r="O98" t="e">
        <f>AND(DATA!J1087,"AAAAAH7/+g4=")</f>
        <v>#VALUE!</v>
      </c>
      <c r="P98" t="e">
        <f>AND(DATA!K1087,"AAAAAH7/+g8=")</f>
        <v>#VALUE!</v>
      </c>
      <c r="Q98" t="b">
        <f>AND(DATA!L1087,"AAAAAH7/+hA=")</f>
        <v>1</v>
      </c>
      <c r="R98" t="e">
        <f>AND(DATA!M1087,"AAAAAH7/+hE=")</f>
        <v>#VALUE!</v>
      </c>
      <c r="S98" t="b">
        <f>AND(DATA!N1087,"AAAAAH7/+hI=")</f>
        <v>1</v>
      </c>
      <c r="T98">
        <f>IF(DATA!1088:1088,"AAAAAH7/+hM=",0)</f>
        <v>0</v>
      </c>
      <c r="U98" t="e">
        <f>AND(DATA!A1088,"AAAAAH7/+hQ=")</f>
        <v>#VALUE!</v>
      </c>
      <c r="V98" t="e">
        <f>AND(DATA!B1088,"AAAAAH7/+hU=")</f>
        <v>#VALUE!</v>
      </c>
      <c r="W98" t="e">
        <f>AND(DATA!C1088,"AAAAAH7/+hY=")</f>
        <v>#VALUE!</v>
      </c>
      <c r="X98" t="e">
        <f>AND(DATA!D1088,"AAAAAH7/+hc=")</f>
        <v>#VALUE!</v>
      </c>
      <c r="Y98" t="e">
        <f>AND(DATA!E1088,"AAAAAH7/+hg=")</f>
        <v>#VALUE!</v>
      </c>
      <c r="Z98" t="e">
        <f>AND(DATA!F1088,"AAAAAH7/+hk=")</f>
        <v>#VALUE!</v>
      </c>
      <c r="AA98" t="e">
        <f>AND(DATA!G1088,"AAAAAH7/+ho=")</f>
        <v>#VALUE!</v>
      </c>
      <c r="AB98" t="e">
        <f>AND(DATA!H1088,"AAAAAH7/+hs=")</f>
        <v>#VALUE!</v>
      </c>
      <c r="AC98" t="e">
        <f>AND(DATA!I1088,"AAAAAH7/+hw=")</f>
        <v>#VALUE!</v>
      </c>
      <c r="AD98" t="e">
        <f>AND(DATA!J1088,"AAAAAH7/+h0=")</f>
        <v>#VALUE!</v>
      </c>
      <c r="AE98" t="e">
        <f>AND(DATA!K1088,"AAAAAH7/+h4=")</f>
        <v>#VALUE!</v>
      </c>
      <c r="AF98" t="b">
        <f>AND(DATA!L1088,"AAAAAH7/+h8=")</f>
        <v>1</v>
      </c>
      <c r="AG98" t="e">
        <f>AND(DATA!M1088,"AAAAAH7/+iA=")</f>
        <v>#VALUE!</v>
      </c>
      <c r="AH98" t="b">
        <f>AND(DATA!N1088,"AAAAAH7/+iE=")</f>
        <v>1</v>
      </c>
      <c r="AI98">
        <f>IF(DATA!1089:1089,"AAAAAH7/+iI=",0)</f>
        <v>0</v>
      </c>
      <c r="AJ98" t="e">
        <f>AND(DATA!A1089,"AAAAAH7/+iM=")</f>
        <v>#VALUE!</v>
      </c>
      <c r="AK98" t="e">
        <f>AND(DATA!B1089,"AAAAAH7/+iQ=")</f>
        <v>#VALUE!</v>
      </c>
      <c r="AL98" t="e">
        <f>AND(DATA!C1089,"AAAAAH7/+iU=")</f>
        <v>#VALUE!</v>
      </c>
      <c r="AM98" t="e">
        <f>AND(DATA!D1089,"AAAAAH7/+iY=")</f>
        <v>#VALUE!</v>
      </c>
      <c r="AN98" t="e">
        <f>AND(DATA!E1089,"AAAAAH7/+ic=")</f>
        <v>#VALUE!</v>
      </c>
      <c r="AO98" t="e">
        <f>AND(DATA!F1089,"AAAAAH7/+ig=")</f>
        <v>#VALUE!</v>
      </c>
      <c r="AP98" t="e">
        <f>AND(DATA!G1089,"AAAAAH7/+ik=")</f>
        <v>#VALUE!</v>
      </c>
      <c r="AQ98" t="e">
        <f>AND(DATA!H1089,"AAAAAH7/+io=")</f>
        <v>#VALUE!</v>
      </c>
      <c r="AR98" t="e">
        <f>AND(DATA!I1089,"AAAAAH7/+is=")</f>
        <v>#VALUE!</v>
      </c>
      <c r="AS98" t="e">
        <f>AND(DATA!J1089,"AAAAAH7/+iw=")</f>
        <v>#VALUE!</v>
      </c>
      <c r="AT98" t="e">
        <f>AND(DATA!K1089,"AAAAAH7/+i0=")</f>
        <v>#VALUE!</v>
      </c>
      <c r="AU98" t="b">
        <f>AND(DATA!L1089,"AAAAAH7/+i4=")</f>
        <v>1</v>
      </c>
      <c r="AV98" t="e">
        <f>AND(DATA!M1089,"AAAAAH7/+i8=")</f>
        <v>#VALUE!</v>
      </c>
      <c r="AW98" t="b">
        <f>AND(DATA!N1089,"AAAAAH7/+jA=")</f>
        <v>1</v>
      </c>
      <c r="AX98">
        <f>IF(DATA!1090:1090,"AAAAAH7/+jE=",0)</f>
        <v>0</v>
      </c>
      <c r="AY98" t="e">
        <f>AND(DATA!A1090,"AAAAAH7/+jI=")</f>
        <v>#VALUE!</v>
      </c>
      <c r="AZ98" t="e">
        <f>AND(DATA!B1090,"AAAAAH7/+jM=")</f>
        <v>#VALUE!</v>
      </c>
      <c r="BA98" t="e">
        <f>AND(DATA!C1090,"AAAAAH7/+jQ=")</f>
        <v>#VALUE!</v>
      </c>
      <c r="BB98" t="e">
        <f>AND(DATA!D1090,"AAAAAH7/+jU=")</f>
        <v>#VALUE!</v>
      </c>
      <c r="BC98" t="e">
        <f>AND(DATA!E1090,"AAAAAH7/+jY=")</f>
        <v>#VALUE!</v>
      </c>
      <c r="BD98" t="e">
        <f>AND(DATA!F1090,"AAAAAH7/+jc=")</f>
        <v>#VALUE!</v>
      </c>
      <c r="BE98" t="e">
        <f>AND(DATA!G1090,"AAAAAH7/+jg=")</f>
        <v>#VALUE!</v>
      </c>
      <c r="BF98" t="e">
        <f>AND(DATA!H1090,"AAAAAH7/+jk=")</f>
        <v>#VALUE!</v>
      </c>
      <c r="BG98" t="e">
        <f>AND(DATA!I1090,"AAAAAH7/+jo=")</f>
        <v>#VALUE!</v>
      </c>
      <c r="BH98" t="e">
        <f>AND(DATA!J1090,"AAAAAH7/+js=")</f>
        <v>#VALUE!</v>
      </c>
      <c r="BI98" t="e">
        <f>AND(DATA!K1090,"AAAAAH7/+jw=")</f>
        <v>#VALUE!</v>
      </c>
      <c r="BJ98" t="b">
        <f>AND(DATA!L1090,"AAAAAH7/+j0=")</f>
        <v>1</v>
      </c>
      <c r="BK98" t="e">
        <f>AND(DATA!M1090,"AAAAAH7/+j4=")</f>
        <v>#VALUE!</v>
      </c>
      <c r="BL98" t="b">
        <f>AND(DATA!N1090,"AAAAAH7/+j8=")</f>
        <v>1</v>
      </c>
      <c r="BM98">
        <f>IF(DATA!1091:1091,"AAAAAH7/+kA=",0)</f>
        <v>0</v>
      </c>
      <c r="BN98" t="e">
        <f>AND(DATA!A1091,"AAAAAH7/+kE=")</f>
        <v>#VALUE!</v>
      </c>
      <c r="BO98" t="e">
        <f>AND(DATA!B1091,"AAAAAH7/+kI=")</f>
        <v>#VALUE!</v>
      </c>
      <c r="BP98" t="e">
        <f>AND(DATA!C1091,"AAAAAH7/+kM=")</f>
        <v>#VALUE!</v>
      </c>
      <c r="BQ98" t="e">
        <f>AND(DATA!D1091,"AAAAAH7/+kQ=")</f>
        <v>#VALUE!</v>
      </c>
      <c r="BR98" t="e">
        <f>AND(DATA!E1091,"AAAAAH7/+kU=")</f>
        <v>#VALUE!</v>
      </c>
      <c r="BS98" t="e">
        <f>AND(DATA!F1091,"AAAAAH7/+kY=")</f>
        <v>#VALUE!</v>
      </c>
      <c r="BT98" t="e">
        <f>AND(DATA!G1091,"AAAAAH7/+kc=")</f>
        <v>#VALUE!</v>
      </c>
      <c r="BU98" t="e">
        <f>AND(DATA!H1091,"AAAAAH7/+kg=")</f>
        <v>#VALUE!</v>
      </c>
      <c r="BV98" t="e">
        <f>AND(DATA!I1091,"AAAAAH7/+kk=")</f>
        <v>#VALUE!</v>
      </c>
      <c r="BW98" t="e">
        <f>AND(DATA!J1091,"AAAAAH7/+ko=")</f>
        <v>#VALUE!</v>
      </c>
      <c r="BX98" t="e">
        <f>AND(DATA!K1091,"AAAAAH7/+ks=")</f>
        <v>#VALUE!</v>
      </c>
      <c r="BY98" t="b">
        <f>AND(DATA!L1091,"AAAAAH7/+kw=")</f>
        <v>1</v>
      </c>
      <c r="BZ98" t="e">
        <f>AND(DATA!M1091,"AAAAAH7/+k0=")</f>
        <v>#VALUE!</v>
      </c>
      <c r="CA98" t="b">
        <f>AND(DATA!N1091,"AAAAAH7/+k4=")</f>
        <v>1</v>
      </c>
      <c r="CB98">
        <f>IF(DATA!1092:1092,"AAAAAH7/+k8=",0)</f>
        <v>0</v>
      </c>
      <c r="CC98" t="e">
        <f>AND(DATA!A1092,"AAAAAH7/+lA=")</f>
        <v>#VALUE!</v>
      </c>
      <c r="CD98" t="e">
        <f>AND(DATA!B1092,"AAAAAH7/+lE=")</f>
        <v>#VALUE!</v>
      </c>
      <c r="CE98" t="e">
        <f>AND(DATA!C1092,"AAAAAH7/+lI=")</f>
        <v>#VALUE!</v>
      </c>
      <c r="CF98" t="e">
        <f>AND(DATA!D1092,"AAAAAH7/+lM=")</f>
        <v>#VALUE!</v>
      </c>
      <c r="CG98" t="e">
        <f>AND(DATA!E1092,"AAAAAH7/+lQ=")</f>
        <v>#VALUE!</v>
      </c>
      <c r="CH98" t="e">
        <f>AND(DATA!F1092,"AAAAAH7/+lU=")</f>
        <v>#VALUE!</v>
      </c>
      <c r="CI98" t="e">
        <f>AND(DATA!G1092,"AAAAAH7/+lY=")</f>
        <v>#VALUE!</v>
      </c>
      <c r="CJ98" t="e">
        <f>AND(DATA!H1092,"AAAAAH7/+lc=")</f>
        <v>#VALUE!</v>
      </c>
      <c r="CK98" t="e">
        <f>AND(DATA!I1092,"AAAAAH7/+lg=")</f>
        <v>#VALUE!</v>
      </c>
      <c r="CL98" t="e">
        <f>AND(DATA!J1092,"AAAAAH7/+lk=")</f>
        <v>#VALUE!</v>
      </c>
      <c r="CM98" t="e">
        <f>AND(DATA!K1092,"AAAAAH7/+lo=")</f>
        <v>#VALUE!</v>
      </c>
      <c r="CN98" t="b">
        <f>AND(DATA!L1092,"AAAAAH7/+ls=")</f>
        <v>1</v>
      </c>
      <c r="CO98" t="e">
        <f>AND(DATA!M1092,"AAAAAH7/+lw=")</f>
        <v>#VALUE!</v>
      </c>
      <c r="CP98" t="b">
        <f>AND(DATA!N1092,"AAAAAH7/+l0=")</f>
        <v>1</v>
      </c>
      <c r="CQ98">
        <f>IF(DATA!1093:1093,"AAAAAH7/+l4=",0)</f>
        <v>0</v>
      </c>
      <c r="CR98" t="e">
        <f>AND(DATA!A1093,"AAAAAH7/+l8=")</f>
        <v>#VALUE!</v>
      </c>
      <c r="CS98" t="e">
        <f>AND(DATA!B1093,"AAAAAH7/+mA=")</f>
        <v>#VALUE!</v>
      </c>
      <c r="CT98" t="e">
        <f>AND(DATA!C1093,"AAAAAH7/+mE=")</f>
        <v>#VALUE!</v>
      </c>
      <c r="CU98" t="e">
        <f>AND(DATA!D1093,"AAAAAH7/+mI=")</f>
        <v>#VALUE!</v>
      </c>
      <c r="CV98" t="e">
        <f>AND(DATA!E1093,"AAAAAH7/+mM=")</f>
        <v>#VALUE!</v>
      </c>
      <c r="CW98" t="e">
        <f>AND(DATA!F1093,"AAAAAH7/+mQ=")</f>
        <v>#VALUE!</v>
      </c>
      <c r="CX98" t="e">
        <f>AND(DATA!G1093,"AAAAAH7/+mU=")</f>
        <v>#VALUE!</v>
      </c>
      <c r="CY98" t="e">
        <f>AND(DATA!H1093,"AAAAAH7/+mY=")</f>
        <v>#VALUE!</v>
      </c>
      <c r="CZ98" t="e">
        <f>AND(DATA!I1093,"AAAAAH7/+mc=")</f>
        <v>#VALUE!</v>
      </c>
      <c r="DA98" t="e">
        <f>AND(DATA!J1093,"AAAAAH7/+mg=")</f>
        <v>#VALUE!</v>
      </c>
      <c r="DB98" t="e">
        <f>AND(DATA!K1093,"AAAAAH7/+mk=")</f>
        <v>#VALUE!</v>
      </c>
      <c r="DC98" t="b">
        <f>AND(DATA!L1093,"AAAAAH7/+mo=")</f>
        <v>1</v>
      </c>
      <c r="DD98" t="e">
        <f>AND(DATA!M1093,"AAAAAH7/+ms=")</f>
        <v>#VALUE!</v>
      </c>
      <c r="DE98" t="b">
        <f>AND(DATA!N1093,"AAAAAH7/+mw=")</f>
        <v>1</v>
      </c>
      <c r="DF98">
        <f>IF(DATA!1094:1094,"AAAAAH7/+m0=",0)</f>
        <v>0</v>
      </c>
      <c r="DG98" t="e">
        <f>AND(DATA!A1094,"AAAAAH7/+m4=")</f>
        <v>#VALUE!</v>
      </c>
      <c r="DH98" t="e">
        <f>AND(DATA!B1094,"AAAAAH7/+m8=")</f>
        <v>#VALUE!</v>
      </c>
      <c r="DI98" t="e">
        <f>AND(DATA!C1094,"AAAAAH7/+nA=")</f>
        <v>#VALUE!</v>
      </c>
      <c r="DJ98" t="e">
        <f>AND(DATA!D1094,"AAAAAH7/+nE=")</f>
        <v>#VALUE!</v>
      </c>
      <c r="DK98" t="e">
        <f>AND(DATA!E1094,"AAAAAH7/+nI=")</f>
        <v>#VALUE!</v>
      </c>
      <c r="DL98" t="e">
        <f>AND(DATA!F1094,"AAAAAH7/+nM=")</f>
        <v>#VALUE!</v>
      </c>
      <c r="DM98" t="e">
        <f>AND(DATA!G1094,"AAAAAH7/+nQ=")</f>
        <v>#VALUE!</v>
      </c>
      <c r="DN98" t="e">
        <f>AND(DATA!H1094,"AAAAAH7/+nU=")</f>
        <v>#VALUE!</v>
      </c>
      <c r="DO98" t="e">
        <f>AND(DATA!I1094,"AAAAAH7/+nY=")</f>
        <v>#VALUE!</v>
      </c>
      <c r="DP98" t="e">
        <f>AND(DATA!J1094,"AAAAAH7/+nc=")</f>
        <v>#VALUE!</v>
      </c>
      <c r="DQ98" t="e">
        <f>AND(DATA!K1094,"AAAAAH7/+ng=")</f>
        <v>#VALUE!</v>
      </c>
      <c r="DR98" t="b">
        <f>AND(DATA!L1094,"AAAAAH7/+nk=")</f>
        <v>1</v>
      </c>
      <c r="DS98" t="e">
        <f>AND(DATA!M1094,"AAAAAH7/+no=")</f>
        <v>#VALUE!</v>
      </c>
      <c r="DT98" t="b">
        <f>AND(DATA!N1094,"AAAAAH7/+ns=")</f>
        <v>1</v>
      </c>
      <c r="DU98">
        <f>IF(DATA!1095:1095,"AAAAAH7/+nw=",0)</f>
        <v>0</v>
      </c>
      <c r="DV98" t="e">
        <f>AND(DATA!A1095,"AAAAAH7/+n0=")</f>
        <v>#VALUE!</v>
      </c>
      <c r="DW98" t="e">
        <f>AND(DATA!B1095,"AAAAAH7/+n4=")</f>
        <v>#VALUE!</v>
      </c>
      <c r="DX98" t="e">
        <f>AND(DATA!C1095,"AAAAAH7/+n8=")</f>
        <v>#VALUE!</v>
      </c>
      <c r="DY98" t="e">
        <f>AND(DATA!D1095,"AAAAAH7/+oA=")</f>
        <v>#VALUE!</v>
      </c>
      <c r="DZ98" t="e">
        <f>AND(DATA!E1095,"AAAAAH7/+oE=")</f>
        <v>#VALUE!</v>
      </c>
      <c r="EA98" t="e">
        <f>AND(DATA!F1095,"AAAAAH7/+oI=")</f>
        <v>#VALUE!</v>
      </c>
      <c r="EB98" t="e">
        <f>AND(DATA!G1095,"AAAAAH7/+oM=")</f>
        <v>#VALUE!</v>
      </c>
      <c r="EC98" t="e">
        <f>AND(DATA!H1095,"AAAAAH7/+oQ=")</f>
        <v>#VALUE!</v>
      </c>
      <c r="ED98" t="e">
        <f>AND(DATA!I1095,"AAAAAH7/+oU=")</f>
        <v>#VALUE!</v>
      </c>
      <c r="EE98" t="e">
        <f>AND(DATA!J1095,"AAAAAH7/+oY=")</f>
        <v>#VALUE!</v>
      </c>
      <c r="EF98" t="e">
        <f>AND(DATA!K1095,"AAAAAH7/+oc=")</f>
        <v>#VALUE!</v>
      </c>
      <c r="EG98" t="b">
        <f>AND(DATA!L1095,"AAAAAH7/+og=")</f>
        <v>1</v>
      </c>
      <c r="EH98" t="e">
        <f>AND(DATA!M1095,"AAAAAH7/+ok=")</f>
        <v>#VALUE!</v>
      </c>
      <c r="EI98" t="b">
        <f>AND(DATA!N1095,"AAAAAH7/+oo=")</f>
        <v>1</v>
      </c>
      <c r="EJ98">
        <f>IF(DATA!1096:1096,"AAAAAH7/+os=",0)</f>
        <v>0</v>
      </c>
      <c r="EK98" t="e">
        <f>AND(DATA!A1096,"AAAAAH7/+ow=")</f>
        <v>#VALUE!</v>
      </c>
      <c r="EL98" t="e">
        <f>AND(DATA!B1096,"AAAAAH7/+o0=")</f>
        <v>#VALUE!</v>
      </c>
      <c r="EM98" t="e">
        <f>AND(DATA!C1096,"AAAAAH7/+o4=")</f>
        <v>#VALUE!</v>
      </c>
      <c r="EN98" t="e">
        <f>AND(DATA!D1096,"AAAAAH7/+o8=")</f>
        <v>#VALUE!</v>
      </c>
      <c r="EO98" t="e">
        <f>AND(DATA!E1096,"AAAAAH7/+pA=")</f>
        <v>#VALUE!</v>
      </c>
      <c r="EP98" t="e">
        <f>AND(DATA!F1096,"AAAAAH7/+pE=")</f>
        <v>#VALUE!</v>
      </c>
      <c r="EQ98" t="e">
        <f>AND(DATA!G1096,"AAAAAH7/+pI=")</f>
        <v>#VALUE!</v>
      </c>
      <c r="ER98" t="e">
        <f>AND(DATA!H1096,"AAAAAH7/+pM=")</f>
        <v>#VALUE!</v>
      </c>
      <c r="ES98" t="e">
        <f>AND(DATA!I1096,"AAAAAH7/+pQ=")</f>
        <v>#VALUE!</v>
      </c>
      <c r="ET98" t="e">
        <f>AND(DATA!J1096,"AAAAAH7/+pU=")</f>
        <v>#VALUE!</v>
      </c>
      <c r="EU98" t="e">
        <f>AND(DATA!K1096,"AAAAAH7/+pY=")</f>
        <v>#VALUE!</v>
      </c>
      <c r="EV98" t="b">
        <f>AND(DATA!L1096,"AAAAAH7/+pc=")</f>
        <v>1</v>
      </c>
      <c r="EW98" t="e">
        <f>AND(DATA!M1096,"AAAAAH7/+pg=")</f>
        <v>#VALUE!</v>
      </c>
      <c r="EX98" t="b">
        <f>AND(DATA!N1096,"AAAAAH7/+pk=")</f>
        <v>1</v>
      </c>
      <c r="EY98">
        <f>IF(DATA!1097:1097,"AAAAAH7/+po=",0)</f>
        <v>0</v>
      </c>
      <c r="EZ98" t="e">
        <f>AND(DATA!A1097,"AAAAAH7/+ps=")</f>
        <v>#VALUE!</v>
      </c>
      <c r="FA98" t="e">
        <f>AND(DATA!B1097,"AAAAAH7/+pw=")</f>
        <v>#VALUE!</v>
      </c>
      <c r="FB98" t="e">
        <f>AND(DATA!C1097,"AAAAAH7/+p0=")</f>
        <v>#VALUE!</v>
      </c>
      <c r="FC98" t="e">
        <f>AND(DATA!D1097,"AAAAAH7/+p4=")</f>
        <v>#VALUE!</v>
      </c>
      <c r="FD98" t="e">
        <f>AND(DATA!E1097,"AAAAAH7/+p8=")</f>
        <v>#VALUE!</v>
      </c>
      <c r="FE98" t="e">
        <f>AND(DATA!F1097,"AAAAAH7/+qA=")</f>
        <v>#VALUE!</v>
      </c>
      <c r="FF98" t="e">
        <f>AND(DATA!G1097,"AAAAAH7/+qE=")</f>
        <v>#VALUE!</v>
      </c>
      <c r="FG98" t="e">
        <f>AND(DATA!H1097,"AAAAAH7/+qI=")</f>
        <v>#VALUE!</v>
      </c>
      <c r="FH98" t="e">
        <f>AND(DATA!I1097,"AAAAAH7/+qM=")</f>
        <v>#VALUE!</v>
      </c>
      <c r="FI98" t="e">
        <f>AND(DATA!J1097,"AAAAAH7/+qQ=")</f>
        <v>#VALUE!</v>
      </c>
      <c r="FJ98" t="e">
        <f>AND(DATA!K1097,"AAAAAH7/+qU=")</f>
        <v>#VALUE!</v>
      </c>
      <c r="FK98" t="b">
        <f>AND(DATA!L1097,"AAAAAH7/+qY=")</f>
        <v>1</v>
      </c>
      <c r="FL98" t="e">
        <f>AND(DATA!M1097,"AAAAAH7/+qc=")</f>
        <v>#VALUE!</v>
      </c>
      <c r="FM98" t="b">
        <f>AND(DATA!N1097,"AAAAAH7/+qg=")</f>
        <v>1</v>
      </c>
      <c r="FN98">
        <f>IF(DATA!1098:1098,"AAAAAH7/+qk=",0)</f>
        <v>0</v>
      </c>
      <c r="FO98" t="e">
        <f>AND(DATA!A1098,"AAAAAH7/+qo=")</f>
        <v>#VALUE!</v>
      </c>
      <c r="FP98" t="e">
        <f>AND(DATA!B1098,"AAAAAH7/+qs=")</f>
        <v>#VALUE!</v>
      </c>
      <c r="FQ98" t="e">
        <f>AND(DATA!C1098,"AAAAAH7/+qw=")</f>
        <v>#VALUE!</v>
      </c>
      <c r="FR98" t="e">
        <f>AND(DATA!D1098,"AAAAAH7/+q0=")</f>
        <v>#VALUE!</v>
      </c>
      <c r="FS98" t="e">
        <f>AND(DATA!E1098,"AAAAAH7/+q4=")</f>
        <v>#VALUE!</v>
      </c>
      <c r="FT98" t="e">
        <f>AND(DATA!F1098,"AAAAAH7/+q8=")</f>
        <v>#VALUE!</v>
      </c>
      <c r="FU98" t="e">
        <f>AND(DATA!G1098,"AAAAAH7/+rA=")</f>
        <v>#VALUE!</v>
      </c>
      <c r="FV98" t="e">
        <f>AND(DATA!H1098,"AAAAAH7/+rE=")</f>
        <v>#VALUE!</v>
      </c>
      <c r="FW98" t="e">
        <f>AND(DATA!I1098,"AAAAAH7/+rI=")</f>
        <v>#VALUE!</v>
      </c>
      <c r="FX98" t="e">
        <f>AND(DATA!J1098,"AAAAAH7/+rM=")</f>
        <v>#VALUE!</v>
      </c>
      <c r="FY98" t="e">
        <f>AND(DATA!K1098,"AAAAAH7/+rQ=")</f>
        <v>#VALUE!</v>
      </c>
      <c r="FZ98" t="b">
        <f>AND(DATA!L1098,"AAAAAH7/+rU=")</f>
        <v>1</v>
      </c>
      <c r="GA98" t="e">
        <f>AND(DATA!M1098,"AAAAAH7/+rY=")</f>
        <v>#VALUE!</v>
      </c>
      <c r="GB98" t="b">
        <f>AND(DATA!N1098,"AAAAAH7/+rc=")</f>
        <v>1</v>
      </c>
      <c r="GC98">
        <f>IF(DATA!1099:1099,"AAAAAH7/+rg=",0)</f>
        <v>0</v>
      </c>
      <c r="GD98" t="e">
        <f>AND(DATA!A1099,"AAAAAH7/+rk=")</f>
        <v>#VALUE!</v>
      </c>
      <c r="GE98" t="e">
        <f>AND(DATA!B1099,"AAAAAH7/+ro=")</f>
        <v>#VALUE!</v>
      </c>
      <c r="GF98" t="e">
        <f>AND(DATA!C1099,"AAAAAH7/+rs=")</f>
        <v>#VALUE!</v>
      </c>
      <c r="GG98" t="e">
        <f>AND(DATA!D1099,"AAAAAH7/+rw=")</f>
        <v>#VALUE!</v>
      </c>
      <c r="GH98" t="e">
        <f>AND(DATA!E1099,"AAAAAH7/+r0=")</f>
        <v>#VALUE!</v>
      </c>
      <c r="GI98" t="e">
        <f>AND(DATA!F1099,"AAAAAH7/+r4=")</f>
        <v>#VALUE!</v>
      </c>
      <c r="GJ98" t="e">
        <f>AND(DATA!G1099,"AAAAAH7/+r8=")</f>
        <v>#VALUE!</v>
      </c>
      <c r="GK98" t="e">
        <f>AND(DATA!H1099,"AAAAAH7/+sA=")</f>
        <v>#VALUE!</v>
      </c>
      <c r="GL98" t="e">
        <f>AND(DATA!I1099,"AAAAAH7/+sE=")</f>
        <v>#VALUE!</v>
      </c>
      <c r="GM98" t="e">
        <f>AND(DATA!J1099,"AAAAAH7/+sI=")</f>
        <v>#VALUE!</v>
      </c>
      <c r="GN98" t="e">
        <f>AND(DATA!K1099,"AAAAAH7/+sM=")</f>
        <v>#VALUE!</v>
      </c>
      <c r="GO98" t="b">
        <f>AND(DATA!L1099,"AAAAAH7/+sQ=")</f>
        <v>1</v>
      </c>
      <c r="GP98" t="e">
        <f>AND(DATA!M1099,"AAAAAH7/+sU=")</f>
        <v>#VALUE!</v>
      </c>
      <c r="GQ98" t="b">
        <f>AND(DATA!N1099,"AAAAAH7/+sY=")</f>
        <v>1</v>
      </c>
      <c r="GR98">
        <f>IF(DATA!1100:1100,"AAAAAH7/+sc=",0)</f>
        <v>0</v>
      </c>
      <c r="GS98" t="e">
        <f>AND(DATA!A1100,"AAAAAH7/+sg=")</f>
        <v>#VALUE!</v>
      </c>
      <c r="GT98" t="e">
        <f>AND(DATA!B1100,"AAAAAH7/+sk=")</f>
        <v>#VALUE!</v>
      </c>
      <c r="GU98" t="e">
        <f>AND(DATA!C1100,"AAAAAH7/+so=")</f>
        <v>#VALUE!</v>
      </c>
      <c r="GV98" t="e">
        <f>AND(DATA!D1100,"AAAAAH7/+ss=")</f>
        <v>#VALUE!</v>
      </c>
      <c r="GW98" t="e">
        <f>AND(DATA!E1100,"AAAAAH7/+sw=")</f>
        <v>#VALUE!</v>
      </c>
      <c r="GX98" t="e">
        <f>AND(DATA!F1100,"AAAAAH7/+s0=")</f>
        <v>#VALUE!</v>
      </c>
      <c r="GY98" t="e">
        <f>AND(DATA!G1100,"AAAAAH7/+s4=")</f>
        <v>#VALUE!</v>
      </c>
      <c r="GZ98" t="e">
        <f>AND(DATA!H1100,"AAAAAH7/+s8=")</f>
        <v>#VALUE!</v>
      </c>
      <c r="HA98" t="e">
        <f>AND(DATA!I1100,"AAAAAH7/+tA=")</f>
        <v>#VALUE!</v>
      </c>
      <c r="HB98" t="e">
        <f>AND(DATA!J1100,"AAAAAH7/+tE=")</f>
        <v>#VALUE!</v>
      </c>
      <c r="HC98" t="e">
        <f>AND(DATA!K1100,"AAAAAH7/+tI=")</f>
        <v>#VALUE!</v>
      </c>
      <c r="HD98" t="b">
        <f>AND(DATA!L1100,"AAAAAH7/+tM=")</f>
        <v>1</v>
      </c>
      <c r="HE98" t="e">
        <f>AND(DATA!M1100,"AAAAAH7/+tQ=")</f>
        <v>#VALUE!</v>
      </c>
      <c r="HF98" t="b">
        <f>AND(DATA!N1100,"AAAAAH7/+tU=")</f>
        <v>1</v>
      </c>
      <c r="HG98">
        <f>IF(DATA!1101:1101,"AAAAAH7/+tY=",0)</f>
        <v>0</v>
      </c>
      <c r="HH98" t="e">
        <f>AND(DATA!A1101,"AAAAAH7/+tc=")</f>
        <v>#VALUE!</v>
      </c>
      <c r="HI98" t="e">
        <f>AND(DATA!B1101,"AAAAAH7/+tg=")</f>
        <v>#VALUE!</v>
      </c>
      <c r="HJ98" t="e">
        <f>AND(DATA!C1101,"AAAAAH7/+tk=")</f>
        <v>#VALUE!</v>
      </c>
      <c r="HK98" t="e">
        <f>AND(DATA!D1101,"AAAAAH7/+to=")</f>
        <v>#VALUE!</v>
      </c>
      <c r="HL98" t="e">
        <f>AND(DATA!E1101,"AAAAAH7/+ts=")</f>
        <v>#VALUE!</v>
      </c>
      <c r="HM98" t="e">
        <f>AND(DATA!F1101,"AAAAAH7/+tw=")</f>
        <v>#VALUE!</v>
      </c>
      <c r="HN98" t="e">
        <f>AND(DATA!G1101,"AAAAAH7/+t0=")</f>
        <v>#VALUE!</v>
      </c>
      <c r="HO98" t="e">
        <f>AND(DATA!H1101,"AAAAAH7/+t4=")</f>
        <v>#VALUE!</v>
      </c>
      <c r="HP98" t="e">
        <f>AND(DATA!I1101,"AAAAAH7/+t8=")</f>
        <v>#VALUE!</v>
      </c>
      <c r="HQ98" t="e">
        <f>AND(DATA!J1101,"AAAAAH7/+uA=")</f>
        <v>#VALUE!</v>
      </c>
      <c r="HR98" t="e">
        <f>AND(DATA!K1101,"AAAAAH7/+uE=")</f>
        <v>#VALUE!</v>
      </c>
      <c r="HS98" t="b">
        <f>AND(DATA!L1101,"AAAAAH7/+uI=")</f>
        <v>1</v>
      </c>
      <c r="HT98" t="e">
        <f>AND(DATA!M1101,"AAAAAH7/+uM=")</f>
        <v>#VALUE!</v>
      </c>
      <c r="HU98" t="b">
        <f>AND(DATA!N1101,"AAAAAH7/+uQ=")</f>
        <v>1</v>
      </c>
      <c r="HV98">
        <f>IF(DATA!1102:1102,"AAAAAH7/+uU=",0)</f>
        <v>0</v>
      </c>
      <c r="HW98" t="e">
        <f>AND(DATA!A1102,"AAAAAH7/+uY=")</f>
        <v>#VALUE!</v>
      </c>
      <c r="HX98" t="e">
        <f>AND(DATA!B1102,"AAAAAH7/+uc=")</f>
        <v>#VALUE!</v>
      </c>
      <c r="HY98" t="e">
        <f>AND(DATA!C1102,"AAAAAH7/+ug=")</f>
        <v>#VALUE!</v>
      </c>
      <c r="HZ98" t="e">
        <f>AND(DATA!D1102,"AAAAAH7/+uk=")</f>
        <v>#VALUE!</v>
      </c>
      <c r="IA98" t="e">
        <f>AND(DATA!E1102,"AAAAAH7/+uo=")</f>
        <v>#VALUE!</v>
      </c>
      <c r="IB98" t="e">
        <f>AND(DATA!F1102,"AAAAAH7/+us=")</f>
        <v>#VALUE!</v>
      </c>
      <c r="IC98" t="e">
        <f>AND(DATA!G1102,"AAAAAH7/+uw=")</f>
        <v>#VALUE!</v>
      </c>
      <c r="ID98" t="e">
        <f>AND(DATA!H1102,"AAAAAH7/+u0=")</f>
        <v>#VALUE!</v>
      </c>
      <c r="IE98" t="e">
        <f>AND(DATA!I1102,"AAAAAH7/+u4=")</f>
        <v>#VALUE!</v>
      </c>
      <c r="IF98" t="e">
        <f>AND(DATA!J1102,"AAAAAH7/+u8=")</f>
        <v>#VALUE!</v>
      </c>
      <c r="IG98" t="e">
        <f>AND(DATA!K1102,"AAAAAH7/+vA=")</f>
        <v>#VALUE!</v>
      </c>
      <c r="IH98" t="b">
        <f>AND(DATA!L1102,"AAAAAH7/+vE=")</f>
        <v>1</v>
      </c>
      <c r="II98" t="e">
        <f>AND(DATA!M1102,"AAAAAH7/+vI=")</f>
        <v>#VALUE!</v>
      </c>
      <c r="IJ98" t="b">
        <f>AND(DATA!N1102,"AAAAAH7/+vM=")</f>
        <v>1</v>
      </c>
      <c r="IK98">
        <f>IF(DATA!1103:1103,"AAAAAH7/+vQ=",0)</f>
        <v>0</v>
      </c>
      <c r="IL98" t="e">
        <f>AND(DATA!A1103,"AAAAAH7/+vU=")</f>
        <v>#VALUE!</v>
      </c>
      <c r="IM98" t="e">
        <f>AND(DATA!B1103,"AAAAAH7/+vY=")</f>
        <v>#VALUE!</v>
      </c>
      <c r="IN98" t="e">
        <f>AND(DATA!C1103,"AAAAAH7/+vc=")</f>
        <v>#VALUE!</v>
      </c>
      <c r="IO98" t="e">
        <f>AND(DATA!D1103,"AAAAAH7/+vg=")</f>
        <v>#VALUE!</v>
      </c>
      <c r="IP98" t="e">
        <f>AND(DATA!E1103,"AAAAAH7/+vk=")</f>
        <v>#VALUE!</v>
      </c>
      <c r="IQ98" t="e">
        <f>AND(DATA!F1103,"AAAAAH7/+vo=")</f>
        <v>#VALUE!</v>
      </c>
      <c r="IR98" t="e">
        <f>AND(DATA!G1103,"AAAAAH7/+vs=")</f>
        <v>#VALUE!</v>
      </c>
      <c r="IS98" t="e">
        <f>AND(DATA!H1103,"AAAAAH7/+vw=")</f>
        <v>#VALUE!</v>
      </c>
      <c r="IT98" t="e">
        <f>AND(DATA!I1103,"AAAAAH7/+v0=")</f>
        <v>#VALUE!</v>
      </c>
      <c r="IU98" t="e">
        <f>AND(DATA!J1103,"AAAAAH7/+v4=")</f>
        <v>#VALUE!</v>
      </c>
      <c r="IV98" t="e">
        <f>AND(DATA!K1103,"AAAAAH7/+v8=")</f>
        <v>#VALUE!</v>
      </c>
    </row>
    <row r="99" spans="1:256">
      <c r="A99" t="b">
        <f>AND(DATA!L1103,"AAAAAG/vXwA=")</f>
        <v>1</v>
      </c>
      <c r="B99" t="e">
        <f>AND(DATA!M1103,"AAAAAG/vXwE=")</f>
        <v>#VALUE!</v>
      </c>
      <c r="C99" t="b">
        <f>AND(DATA!N1103,"AAAAAG/vXwI=")</f>
        <v>1</v>
      </c>
      <c r="D99">
        <f>IF(DATA!1104:1104,"AAAAAG/vXwM=",0)</f>
        <v>0</v>
      </c>
      <c r="E99" t="e">
        <f>AND(DATA!A1104,"AAAAAG/vXwQ=")</f>
        <v>#VALUE!</v>
      </c>
      <c r="F99" t="e">
        <f>AND(DATA!B1104,"AAAAAG/vXwU=")</f>
        <v>#VALUE!</v>
      </c>
      <c r="G99" t="e">
        <f>AND(DATA!C1104,"AAAAAG/vXwY=")</f>
        <v>#VALUE!</v>
      </c>
      <c r="H99" t="e">
        <f>AND(DATA!D1104,"AAAAAG/vXwc=")</f>
        <v>#VALUE!</v>
      </c>
      <c r="I99" t="e">
        <f>AND(DATA!E1104,"AAAAAG/vXwg=")</f>
        <v>#VALUE!</v>
      </c>
      <c r="J99" t="e">
        <f>AND(DATA!F1104,"AAAAAG/vXwk=")</f>
        <v>#VALUE!</v>
      </c>
      <c r="K99" t="e">
        <f>AND(DATA!G1104,"AAAAAG/vXwo=")</f>
        <v>#VALUE!</v>
      </c>
      <c r="L99" t="e">
        <f>AND(DATA!H1104,"AAAAAG/vXws=")</f>
        <v>#VALUE!</v>
      </c>
      <c r="M99" t="e">
        <f>AND(DATA!I1104,"AAAAAG/vXww=")</f>
        <v>#VALUE!</v>
      </c>
      <c r="N99" t="e">
        <f>AND(DATA!J1104,"AAAAAG/vXw0=")</f>
        <v>#VALUE!</v>
      </c>
      <c r="O99" t="e">
        <f>AND(DATA!K1104,"AAAAAG/vXw4=")</f>
        <v>#VALUE!</v>
      </c>
      <c r="P99" t="b">
        <f>AND(DATA!L1104,"AAAAAG/vXw8=")</f>
        <v>1</v>
      </c>
      <c r="Q99" t="e">
        <f>AND(DATA!M1104,"AAAAAG/vXxA=")</f>
        <v>#VALUE!</v>
      </c>
      <c r="R99" t="b">
        <f>AND(DATA!N1104,"AAAAAG/vXxE=")</f>
        <v>1</v>
      </c>
      <c r="S99">
        <f>IF(DATA!1105:1105,"AAAAAG/vXxI=",0)</f>
        <v>0</v>
      </c>
      <c r="T99" t="e">
        <f>AND(DATA!A1105,"AAAAAG/vXxM=")</f>
        <v>#VALUE!</v>
      </c>
      <c r="U99" t="e">
        <f>AND(DATA!B1105,"AAAAAG/vXxQ=")</f>
        <v>#VALUE!</v>
      </c>
      <c r="V99" t="e">
        <f>AND(DATA!C1105,"AAAAAG/vXxU=")</f>
        <v>#VALUE!</v>
      </c>
      <c r="W99" t="e">
        <f>AND(DATA!D1105,"AAAAAG/vXxY=")</f>
        <v>#VALUE!</v>
      </c>
      <c r="X99" t="e">
        <f>AND(DATA!E1105,"AAAAAG/vXxc=")</f>
        <v>#VALUE!</v>
      </c>
      <c r="Y99" t="e">
        <f>AND(DATA!F1105,"AAAAAG/vXxg=")</f>
        <v>#VALUE!</v>
      </c>
      <c r="Z99" t="e">
        <f>AND(DATA!G1105,"AAAAAG/vXxk=")</f>
        <v>#VALUE!</v>
      </c>
      <c r="AA99" t="e">
        <f>AND(DATA!H1105,"AAAAAG/vXxo=")</f>
        <v>#VALUE!</v>
      </c>
      <c r="AB99" t="e">
        <f>AND(DATA!I1105,"AAAAAG/vXxs=")</f>
        <v>#VALUE!</v>
      </c>
      <c r="AC99" t="e">
        <f>AND(DATA!J1105,"AAAAAG/vXxw=")</f>
        <v>#VALUE!</v>
      </c>
      <c r="AD99" t="e">
        <f>AND(DATA!K1105,"AAAAAG/vXx0=")</f>
        <v>#VALUE!</v>
      </c>
      <c r="AE99" t="b">
        <f>AND(DATA!L1105,"AAAAAG/vXx4=")</f>
        <v>1</v>
      </c>
      <c r="AF99" t="e">
        <f>AND(DATA!M1105,"AAAAAG/vXx8=")</f>
        <v>#VALUE!</v>
      </c>
      <c r="AG99" t="b">
        <f>AND(DATA!N1105,"AAAAAG/vXyA=")</f>
        <v>1</v>
      </c>
      <c r="AH99">
        <f>IF(DATA!1106:1106,"AAAAAG/vXyE=",0)</f>
        <v>0</v>
      </c>
      <c r="AI99" t="e">
        <f>AND(DATA!A1106,"AAAAAG/vXyI=")</f>
        <v>#VALUE!</v>
      </c>
      <c r="AJ99" t="e">
        <f>AND(DATA!B1106,"AAAAAG/vXyM=")</f>
        <v>#VALUE!</v>
      </c>
      <c r="AK99" t="e">
        <f>AND(DATA!C1106,"AAAAAG/vXyQ=")</f>
        <v>#VALUE!</v>
      </c>
      <c r="AL99" t="e">
        <f>AND(DATA!D1106,"AAAAAG/vXyU=")</f>
        <v>#VALUE!</v>
      </c>
      <c r="AM99" t="e">
        <f>AND(DATA!E1106,"AAAAAG/vXyY=")</f>
        <v>#VALUE!</v>
      </c>
      <c r="AN99" t="e">
        <f>AND(DATA!F1106,"AAAAAG/vXyc=")</f>
        <v>#VALUE!</v>
      </c>
      <c r="AO99" t="e">
        <f>AND(DATA!G1106,"AAAAAG/vXyg=")</f>
        <v>#VALUE!</v>
      </c>
      <c r="AP99" t="e">
        <f>AND(DATA!H1106,"AAAAAG/vXyk=")</f>
        <v>#VALUE!</v>
      </c>
      <c r="AQ99" t="e">
        <f>AND(DATA!I1106,"AAAAAG/vXyo=")</f>
        <v>#VALUE!</v>
      </c>
      <c r="AR99" t="e">
        <f>AND(DATA!J1106,"AAAAAG/vXys=")</f>
        <v>#VALUE!</v>
      </c>
      <c r="AS99" t="e">
        <f>AND(DATA!K1106,"AAAAAG/vXyw=")</f>
        <v>#VALUE!</v>
      </c>
      <c r="AT99" t="b">
        <f>AND(DATA!L1106,"AAAAAG/vXy0=")</f>
        <v>1</v>
      </c>
      <c r="AU99" t="e">
        <f>AND(DATA!M1106,"AAAAAG/vXy4=")</f>
        <v>#VALUE!</v>
      </c>
      <c r="AV99" t="b">
        <f>AND(DATA!N1106,"AAAAAG/vXy8=")</f>
        <v>1</v>
      </c>
      <c r="AW99">
        <f>IF(DATA!1107:1107,"AAAAAG/vXzA=",0)</f>
        <v>0</v>
      </c>
      <c r="AX99" t="e">
        <f>AND(DATA!A1107,"AAAAAG/vXzE=")</f>
        <v>#VALUE!</v>
      </c>
      <c r="AY99" t="e">
        <f>AND(DATA!B1107,"AAAAAG/vXzI=")</f>
        <v>#VALUE!</v>
      </c>
      <c r="AZ99" t="e">
        <f>AND(DATA!C1107,"AAAAAG/vXzM=")</f>
        <v>#VALUE!</v>
      </c>
      <c r="BA99" t="e">
        <f>AND(DATA!D1107,"AAAAAG/vXzQ=")</f>
        <v>#VALUE!</v>
      </c>
      <c r="BB99" t="e">
        <f>AND(DATA!E1107,"AAAAAG/vXzU=")</f>
        <v>#VALUE!</v>
      </c>
      <c r="BC99" t="e">
        <f>AND(DATA!F1107,"AAAAAG/vXzY=")</f>
        <v>#VALUE!</v>
      </c>
      <c r="BD99" t="e">
        <f>AND(DATA!G1107,"AAAAAG/vXzc=")</f>
        <v>#VALUE!</v>
      </c>
      <c r="BE99" t="e">
        <f>AND(DATA!H1107,"AAAAAG/vXzg=")</f>
        <v>#VALUE!</v>
      </c>
      <c r="BF99" t="e">
        <f>AND(DATA!I1107,"AAAAAG/vXzk=")</f>
        <v>#VALUE!</v>
      </c>
      <c r="BG99" t="e">
        <f>AND(DATA!J1107,"AAAAAG/vXzo=")</f>
        <v>#VALUE!</v>
      </c>
      <c r="BH99" t="e">
        <f>AND(DATA!K1107,"AAAAAG/vXzs=")</f>
        <v>#VALUE!</v>
      </c>
      <c r="BI99" t="b">
        <f>AND(DATA!L1107,"AAAAAG/vXzw=")</f>
        <v>1</v>
      </c>
      <c r="BJ99" t="e">
        <f>AND(DATA!M1107,"AAAAAG/vXz0=")</f>
        <v>#VALUE!</v>
      </c>
      <c r="BK99" t="b">
        <f>AND(DATA!N1107,"AAAAAG/vXz4=")</f>
        <v>1</v>
      </c>
      <c r="BL99">
        <f>IF(DATA!1108:1108,"AAAAAG/vXz8=",0)</f>
        <v>0</v>
      </c>
      <c r="BM99" t="e">
        <f>AND(DATA!A1108,"AAAAAG/vX0A=")</f>
        <v>#VALUE!</v>
      </c>
      <c r="BN99" t="e">
        <f>AND(DATA!B1108,"AAAAAG/vX0E=")</f>
        <v>#VALUE!</v>
      </c>
      <c r="BO99" t="e">
        <f>AND(DATA!C1108,"AAAAAG/vX0I=")</f>
        <v>#VALUE!</v>
      </c>
      <c r="BP99" t="e">
        <f>AND(DATA!D1108,"AAAAAG/vX0M=")</f>
        <v>#VALUE!</v>
      </c>
      <c r="BQ99" t="e">
        <f>AND(DATA!E1108,"AAAAAG/vX0Q=")</f>
        <v>#VALUE!</v>
      </c>
      <c r="BR99" t="e">
        <f>AND(DATA!F1108,"AAAAAG/vX0U=")</f>
        <v>#VALUE!</v>
      </c>
      <c r="BS99" t="e">
        <f>AND(DATA!G1108,"AAAAAG/vX0Y=")</f>
        <v>#VALUE!</v>
      </c>
      <c r="BT99" t="e">
        <f>AND(DATA!H1108,"AAAAAG/vX0c=")</f>
        <v>#VALUE!</v>
      </c>
      <c r="BU99" t="e">
        <f>AND(DATA!I1108,"AAAAAG/vX0g=")</f>
        <v>#VALUE!</v>
      </c>
      <c r="BV99" t="e">
        <f>AND(DATA!J1108,"AAAAAG/vX0k=")</f>
        <v>#VALUE!</v>
      </c>
      <c r="BW99" t="e">
        <f>AND(DATA!K1108,"AAAAAG/vX0o=")</f>
        <v>#VALUE!</v>
      </c>
      <c r="BX99" t="b">
        <f>AND(DATA!L1108,"AAAAAG/vX0s=")</f>
        <v>1</v>
      </c>
      <c r="BY99" t="e">
        <f>AND(DATA!M1108,"AAAAAG/vX0w=")</f>
        <v>#VALUE!</v>
      </c>
      <c r="BZ99" t="b">
        <f>AND(DATA!N1108,"AAAAAG/vX00=")</f>
        <v>1</v>
      </c>
      <c r="CA99">
        <f>IF(DATA!1109:1109,"AAAAAG/vX04=",0)</f>
        <v>0</v>
      </c>
      <c r="CB99" t="e">
        <f>AND(DATA!A1109,"AAAAAG/vX08=")</f>
        <v>#VALUE!</v>
      </c>
      <c r="CC99" t="e">
        <f>AND(DATA!B1109,"AAAAAG/vX1A=")</f>
        <v>#VALUE!</v>
      </c>
      <c r="CD99" t="e">
        <f>AND(DATA!C1109,"AAAAAG/vX1E=")</f>
        <v>#VALUE!</v>
      </c>
      <c r="CE99" t="e">
        <f>AND(DATA!D1109,"AAAAAG/vX1I=")</f>
        <v>#VALUE!</v>
      </c>
      <c r="CF99" t="e">
        <f>AND(DATA!E1109,"AAAAAG/vX1M=")</f>
        <v>#VALUE!</v>
      </c>
      <c r="CG99" t="e">
        <f>AND(DATA!F1109,"AAAAAG/vX1Q=")</f>
        <v>#VALUE!</v>
      </c>
      <c r="CH99" t="e">
        <f>AND(DATA!G1109,"AAAAAG/vX1U=")</f>
        <v>#VALUE!</v>
      </c>
      <c r="CI99" t="e">
        <f>AND(DATA!H1109,"AAAAAG/vX1Y=")</f>
        <v>#VALUE!</v>
      </c>
      <c r="CJ99" t="e">
        <f>AND(DATA!I1109,"AAAAAG/vX1c=")</f>
        <v>#VALUE!</v>
      </c>
      <c r="CK99" t="e">
        <f>AND(DATA!J1109,"AAAAAG/vX1g=")</f>
        <v>#VALUE!</v>
      </c>
      <c r="CL99" t="e">
        <f>AND(DATA!K1109,"AAAAAG/vX1k=")</f>
        <v>#VALUE!</v>
      </c>
      <c r="CM99" t="b">
        <f>AND(DATA!L1109,"AAAAAG/vX1o=")</f>
        <v>1</v>
      </c>
      <c r="CN99" t="e">
        <f>AND(DATA!M1109,"AAAAAG/vX1s=")</f>
        <v>#VALUE!</v>
      </c>
      <c r="CO99" t="b">
        <f>AND(DATA!N1109,"AAAAAG/vX1w=")</f>
        <v>1</v>
      </c>
      <c r="CP99">
        <f>IF(DATA!1110:1110,"AAAAAG/vX10=",0)</f>
        <v>0</v>
      </c>
      <c r="CQ99" t="e">
        <f>AND(DATA!A1110,"AAAAAG/vX14=")</f>
        <v>#VALUE!</v>
      </c>
      <c r="CR99" t="e">
        <f>AND(DATA!B1110,"AAAAAG/vX18=")</f>
        <v>#VALUE!</v>
      </c>
      <c r="CS99" t="e">
        <f>AND(DATA!C1110,"AAAAAG/vX2A=")</f>
        <v>#VALUE!</v>
      </c>
      <c r="CT99" t="e">
        <f>AND(DATA!D1110,"AAAAAG/vX2E=")</f>
        <v>#VALUE!</v>
      </c>
      <c r="CU99" t="e">
        <f>AND(DATA!E1110,"AAAAAG/vX2I=")</f>
        <v>#VALUE!</v>
      </c>
      <c r="CV99" t="e">
        <f>AND(DATA!F1110,"AAAAAG/vX2M=")</f>
        <v>#VALUE!</v>
      </c>
      <c r="CW99" t="e">
        <f>AND(DATA!G1110,"AAAAAG/vX2Q=")</f>
        <v>#VALUE!</v>
      </c>
      <c r="CX99" t="e">
        <f>AND(DATA!H1110,"AAAAAG/vX2U=")</f>
        <v>#VALUE!</v>
      </c>
      <c r="CY99" t="e">
        <f>AND(DATA!I1110,"AAAAAG/vX2Y=")</f>
        <v>#VALUE!</v>
      </c>
      <c r="CZ99" t="e">
        <f>AND(DATA!J1110,"AAAAAG/vX2c=")</f>
        <v>#VALUE!</v>
      </c>
      <c r="DA99" t="e">
        <f>AND(DATA!K1110,"AAAAAG/vX2g=")</f>
        <v>#VALUE!</v>
      </c>
      <c r="DB99" t="b">
        <f>AND(DATA!L1110,"AAAAAG/vX2k=")</f>
        <v>1</v>
      </c>
      <c r="DC99" t="e">
        <f>AND(DATA!M1110,"AAAAAG/vX2o=")</f>
        <v>#VALUE!</v>
      </c>
      <c r="DD99" t="b">
        <f>AND(DATA!N1110,"AAAAAG/vX2s=")</f>
        <v>1</v>
      </c>
      <c r="DE99">
        <f>IF(DATA!1111:1111,"AAAAAG/vX2w=",0)</f>
        <v>0</v>
      </c>
      <c r="DF99" t="e">
        <f>AND(DATA!A1111,"AAAAAG/vX20=")</f>
        <v>#VALUE!</v>
      </c>
      <c r="DG99" t="e">
        <f>AND(DATA!B1111,"AAAAAG/vX24=")</f>
        <v>#VALUE!</v>
      </c>
      <c r="DH99" t="e">
        <f>AND(DATA!C1111,"AAAAAG/vX28=")</f>
        <v>#VALUE!</v>
      </c>
      <c r="DI99" t="e">
        <f>AND(DATA!D1111,"AAAAAG/vX3A=")</f>
        <v>#VALUE!</v>
      </c>
      <c r="DJ99" t="e">
        <f>AND(DATA!E1111,"AAAAAG/vX3E=")</f>
        <v>#VALUE!</v>
      </c>
      <c r="DK99" t="e">
        <f>AND(DATA!F1111,"AAAAAG/vX3I=")</f>
        <v>#VALUE!</v>
      </c>
      <c r="DL99" t="e">
        <f>AND(DATA!G1111,"AAAAAG/vX3M=")</f>
        <v>#VALUE!</v>
      </c>
      <c r="DM99" t="e">
        <f>AND(DATA!H1111,"AAAAAG/vX3Q=")</f>
        <v>#VALUE!</v>
      </c>
      <c r="DN99" t="e">
        <f>AND(DATA!I1111,"AAAAAG/vX3U=")</f>
        <v>#VALUE!</v>
      </c>
      <c r="DO99" t="e">
        <f>AND(DATA!J1111,"AAAAAG/vX3Y=")</f>
        <v>#VALUE!</v>
      </c>
      <c r="DP99" t="e">
        <f>AND(DATA!K1111,"AAAAAG/vX3c=")</f>
        <v>#VALUE!</v>
      </c>
      <c r="DQ99" t="b">
        <f>AND(DATA!L1111,"AAAAAG/vX3g=")</f>
        <v>1</v>
      </c>
      <c r="DR99" t="e">
        <f>AND(DATA!M1111,"AAAAAG/vX3k=")</f>
        <v>#VALUE!</v>
      </c>
      <c r="DS99" t="b">
        <f>AND(DATA!N1111,"AAAAAG/vX3o=")</f>
        <v>1</v>
      </c>
      <c r="DT99">
        <f>IF(DATA!1112:1112,"AAAAAG/vX3s=",0)</f>
        <v>0</v>
      </c>
      <c r="DU99" t="e">
        <f>AND(DATA!A1112,"AAAAAG/vX3w=")</f>
        <v>#VALUE!</v>
      </c>
      <c r="DV99" t="e">
        <f>AND(DATA!B1112,"AAAAAG/vX30=")</f>
        <v>#VALUE!</v>
      </c>
      <c r="DW99" t="e">
        <f>AND(DATA!C1112,"AAAAAG/vX34=")</f>
        <v>#VALUE!</v>
      </c>
      <c r="DX99" t="e">
        <f>AND(DATA!D1112,"AAAAAG/vX38=")</f>
        <v>#VALUE!</v>
      </c>
      <c r="DY99" t="e">
        <f>AND(DATA!E1112,"AAAAAG/vX4A=")</f>
        <v>#VALUE!</v>
      </c>
      <c r="DZ99" t="e">
        <f>AND(DATA!F1112,"AAAAAG/vX4E=")</f>
        <v>#VALUE!</v>
      </c>
      <c r="EA99" t="e">
        <f>AND(DATA!G1112,"AAAAAG/vX4I=")</f>
        <v>#VALUE!</v>
      </c>
      <c r="EB99" t="e">
        <f>AND(DATA!H1112,"AAAAAG/vX4M=")</f>
        <v>#VALUE!</v>
      </c>
      <c r="EC99" t="e">
        <f>AND(DATA!I1112,"AAAAAG/vX4Q=")</f>
        <v>#VALUE!</v>
      </c>
      <c r="ED99" t="e">
        <f>AND(DATA!J1112,"AAAAAG/vX4U=")</f>
        <v>#VALUE!</v>
      </c>
      <c r="EE99" t="e">
        <f>AND(DATA!K1112,"AAAAAG/vX4Y=")</f>
        <v>#VALUE!</v>
      </c>
      <c r="EF99" t="b">
        <f>AND(DATA!L1112,"AAAAAG/vX4c=")</f>
        <v>1</v>
      </c>
      <c r="EG99" t="e">
        <f>AND(DATA!M1112,"AAAAAG/vX4g=")</f>
        <v>#VALUE!</v>
      </c>
      <c r="EH99" t="b">
        <f>AND(DATA!N1112,"AAAAAG/vX4k=")</f>
        <v>1</v>
      </c>
      <c r="EI99">
        <f>IF(DATA!1113:1113,"AAAAAG/vX4o=",0)</f>
        <v>0</v>
      </c>
      <c r="EJ99" t="e">
        <f>AND(DATA!A1113,"AAAAAG/vX4s=")</f>
        <v>#VALUE!</v>
      </c>
      <c r="EK99" t="e">
        <f>AND(DATA!B1113,"AAAAAG/vX4w=")</f>
        <v>#VALUE!</v>
      </c>
      <c r="EL99" t="e">
        <f>AND(DATA!C1113,"AAAAAG/vX40=")</f>
        <v>#VALUE!</v>
      </c>
      <c r="EM99" t="e">
        <f>AND(DATA!D1113,"AAAAAG/vX44=")</f>
        <v>#VALUE!</v>
      </c>
      <c r="EN99" t="e">
        <f>AND(DATA!E1113,"AAAAAG/vX48=")</f>
        <v>#VALUE!</v>
      </c>
      <c r="EO99" t="e">
        <f>AND(DATA!F1113,"AAAAAG/vX5A=")</f>
        <v>#VALUE!</v>
      </c>
      <c r="EP99" t="e">
        <f>AND(DATA!G1113,"AAAAAG/vX5E=")</f>
        <v>#VALUE!</v>
      </c>
      <c r="EQ99" t="e">
        <f>AND(DATA!H1113,"AAAAAG/vX5I=")</f>
        <v>#VALUE!</v>
      </c>
      <c r="ER99" t="e">
        <f>AND(DATA!I1113,"AAAAAG/vX5M=")</f>
        <v>#VALUE!</v>
      </c>
      <c r="ES99" t="e">
        <f>AND(DATA!J1113,"AAAAAG/vX5Q=")</f>
        <v>#VALUE!</v>
      </c>
      <c r="ET99" t="e">
        <f>AND(DATA!K1113,"AAAAAG/vX5U=")</f>
        <v>#VALUE!</v>
      </c>
      <c r="EU99" t="b">
        <f>AND(DATA!L1113,"AAAAAG/vX5Y=")</f>
        <v>1</v>
      </c>
      <c r="EV99" t="e">
        <f>AND(DATA!M1113,"AAAAAG/vX5c=")</f>
        <v>#VALUE!</v>
      </c>
      <c r="EW99" t="b">
        <f>AND(DATA!N1113,"AAAAAG/vX5g=")</f>
        <v>1</v>
      </c>
      <c r="EX99">
        <f>IF(DATA!1114:1114,"AAAAAG/vX5k=",0)</f>
        <v>0</v>
      </c>
      <c r="EY99" t="e">
        <f>AND(DATA!A1114,"AAAAAG/vX5o=")</f>
        <v>#VALUE!</v>
      </c>
      <c r="EZ99" t="e">
        <f>AND(DATA!B1114,"AAAAAG/vX5s=")</f>
        <v>#VALUE!</v>
      </c>
      <c r="FA99" t="e">
        <f>AND(DATA!C1114,"AAAAAG/vX5w=")</f>
        <v>#VALUE!</v>
      </c>
      <c r="FB99" t="e">
        <f>AND(DATA!D1114,"AAAAAG/vX50=")</f>
        <v>#VALUE!</v>
      </c>
      <c r="FC99" t="e">
        <f>AND(DATA!E1114,"AAAAAG/vX54=")</f>
        <v>#VALUE!</v>
      </c>
      <c r="FD99" t="e">
        <f>AND(DATA!F1114,"AAAAAG/vX58=")</f>
        <v>#VALUE!</v>
      </c>
      <c r="FE99" t="e">
        <f>AND(DATA!G1114,"AAAAAG/vX6A=")</f>
        <v>#VALUE!</v>
      </c>
      <c r="FF99" t="e">
        <f>AND(DATA!H1114,"AAAAAG/vX6E=")</f>
        <v>#VALUE!</v>
      </c>
      <c r="FG99" t="e">
        <f>AND(DATA!I1114,"AAAAAG/vX6I=")</f>
        <v>#VALUE!</v>
      </c>
      <c r="FH99" t="e">
        <f>AND(DATA!J1114,"AAAAAG/vX6M=")</f>
        <v>#VALUE!</v>
      </c>
      <c r="FI99" t="e">
        <f>AND(DATA!K1114,"AAAAAG/vX6Q=")</f>
        <v>#VALUE!</v>
      </c>
      <c r="FJ99" t="b">
        <f>AND(DATA!L1114,"AAAAAG/vX6U=")</f>
        <v>1</v>
      </c>
      <c r="FK99" t="e">
        <f>AND(DATA!M1114,"AAAAAG/vX6Y=")</f>
        <v>#VALUE!</v>
      </c>
      <c r="FL99" t="b">
        <f>AND(DATA!N1114,"AAAAAG/vX6c=")</f>
        <v>1</v>
      </c>
      <c r="FM99">
        <f>IF(DATA!1115:1115,"AAAAAG/vX6g=",0)</f>
        <v>0</v>
      </c>
      <c r="FN99" t="e">
        <f>AND(DATA!A1115,"AAAAAG/vX6k=")</f>
        <v>#VALUE!</v>
      </c>
      <c r="FO99" t="e">
        <f>AND(DATA!B1115,"AAAAAG/vX6o=")</f>
        <v>#VALUE!</v>
      </c>
      <c r="FP99" t="e">
        <f>AND(DATA!C1115,"AAAAAG/vX6s=")</f>
        <v>#VALUE!</v>
      </c>
      <c r="FQ99" t="e">
        <f>AND(DATA!D1115,"AAAAAG/vX6w=")</f>
        <v>#VALUE!</v>
      </c>
      <c r="FR99" t="e">
        <f>AND(DATA!E1115,"AAAAAG/vX60=")</f>
        <v>#VALUE!</v>
      </c>
      <c r="FS99" t="e">
        <f>AND(DATA!F1115,"AAAAAG/vX64=")</f>
        <v>#VALUE!</v>
      </c>
      <c r="FT99" t="e">
        <f>AND(DATA!G1115,"AAAAAG/vX68=")</f>
        <v>#VALUE!</v>
      </c>
      <c r="FU99" t="e">
        <f>AND(DATA!H1115,"AAAAAG/vX7A=")</f>
        <v>#VALUE!</v>
      </c>
      <c r="FV99" t="e">
        <f>AND(DATA!I1115,"AAAAAG/vX7E=")</f>
        <v>#VALUE!</v>
      </c>
      <c r="FW99" t="e">
        <f>AND(DATA!J1115,"AAAAAG/vX7I=")</f>
        <v>#VALUE!</v>
      </c>
      <c r="FX99" t="e">
        <f>AND(DATA!K1115,"AAAAAG/vX7M=")</f>
        <v>#VALUE!</v>
      </c>
      <c r="FY99" t="b">
        <f>AND(DATA!L1115,"AAAAAG/vX7Q=")</f>
        <v>1</v>
      </c>
      <c r="FZ99" t="e">
        <f>AND(DATA!M1115,"AAAAAG/vX7U=")</f>
        <v>#VALUE!</v>
      </c>
      <c r="GA99" t="b">
        <f>AND(DATA!N1115,"AAAAAG/vX7Y=")</f>
        <v>1</v>
      </c>
      <c r="GB99">
        <f>IF(DATA!1116:1116,"AAAAAG/vX7c=",0)</f>
        <v>0</v>
      </c>
      <c r="GC99" t="e">
        <f>AND(DATA!A1116,"AAAAAG/vX7g=")</f>
        <v>#VALUE!</v>
      </c>
      <c r="GD99" t="e">
        <f>AND(DATA!B1116,"AAAAAG/vX7k=")</f>
        <v>#VALUE!</v>
      </c>
      <c r="GE99" t="e">
        <f>AND(DATA!C1116,"AAAAAG/vX7o=")</f>
        <v>#VALUE!</v>
      </c>
      <c r="GF99" t="e">
        <f>AND(DATA!D1116,"AAAAAG/vX7s=")</f>
        <v>#VALUE!</v>
      </c>
      <c r="GG99" t="e">
        <f>AND(DATA!E1116,"AAAAAG/vX7w=")</f>
        <v>#VALUE!</v>
      </c>
      <c r="GH99" t="e">
        <f>AND(DATA!F1116,"AAAAAG/vX70=")</f>
        <v>#VALUE!</v>
      </c>
      <c r="GI99" t="e">
        <f>AND(DATA!G1116,"AAAAAG/vX74=")</f>
        <v>#VALUE!</v>
      </c>
      <c r="GJ99" t="e">
        <f>AND(DATA!H1116,"AAAAAG/vX78=")</f>
        <v>#VALUE!</v>
      </c>
      <c r="GK99" t="e">
        <f>AND(DATA!I1116,"AAAAAG/vX8A=")</f>
        <v>#VALUE!</v>
      </c>
      <c r="GL99" t="e">
        <f>AND(DATA!J1116,"AAAAAG/vX8E=")</f>
        <v>#VALUE!</v>
      </c>
      <c r="GM99" t="e">
        <f>AND(DATA!K1116,"AAAAAG/vX8I=")</f>
        <v>#VALUE!</v>
      </c>
      <c r="GN99" t="b">
        <f>AND(DATA!L1116,"AAAAAG/vX8M=")</f>
        <v>1</v>
      </c>
      <c r="GO99" t="e">
        <f>AND(DATA!M1116,"AAAAAG/vX8Q=")</f>
        <v>#VALUE!</v>
      </c>
      <c r="GP99" t="b">
        <f>AND(DATA!N1116,"AAAAAG/vX8U=")</f>
        <v>1</v>
      </c>
      <c r="GQ99">
        <f>IF(DATA!1117:1117,"AAAAAG/vX8Y=",0)</f>
        <v>0</v>
      </c>
      <c r="GR99" t="e">
        <f>AND(DATA!A1117,"AAAAAG/vX8c=")</f>
        <v>#VALUE!</v>
      </c>
      <c r="GS99" t="e">
        <f>AND(DATA!B1117,"AAAAAG/vX8g=")</f>
        <v>#VALUE!</v>
      </c>
      <c r="GT99" t="e">
        <f>AND(DATA!C1117,"AAAAAG/vX8k=")</f>
        <v>#VALUE!</v>
      </c>
      <c r="GU99" t="e">
        <f>AND(DATA!D1117,"AAAAAG/vX8o=")</f>
        <v>#VALUE!</v>
      </c>
      <c r="GV99" t="e">
        <f>AND(DATA!E1117,"AAAAAG/vX8s=")</f>
        <v>#VALUE!</v>
      </c>
      <c r="GW99" t="e">
        <f>AND(DATA!F1117,"AAAAAG/vX8w=")</f>
        <v>#VALUE!</v>
      </c>
      <c r="GX99" t="e">
        <f>AND(DATA!G1117,"AAAAAG/vX80=")</f>
        <v>#VALUE!</v>
      </c>
      <c r="GY99" t="e">
        <f>AND(DATA!H1117,"AAAAAG/vX84=")</f>
        <v>#VALUE!</v>
      </c>
      <c r="GZ99" t="e">
        <f>AND(DATA!I1117,"AAAAAG/vX88=")</f>
        <v>#VALUE!</v>
      </c>
      <c r="HA99" t="e">
        <f>AND(DATA!J1117,"AAAAAG/vX9A=")</f>
        <v>#VALUE!</v>
      </c>
      <c r="HB99" t="e">
        <f>AND(DATA!K1117,"AAAAAG/vX9E=")</f>
        <v>#VALUE!</v>
      </c>
      <c r="HC99" t="b">
        <f>AND(DATA!L1117,"AAAAAG/vX9I=")</f>
        <v>1</v>
      </c>
      <c r="HD99" t="e">
        <f>AND(DATA!M1117,"AAAAAG/vX9M=")</f>
        <v>#VALUE!</v>
      </c>
      <c r="HE99" t="b">
        <f>AND(DATA!N1117,"AAAAAG/vX9Q=")</f>
        <v>1</v>
      </c>
      <c r="HF99">
        <f>IF(DATA!1118:1118,"AAAAAG/vX9U=",0)</f>
        <v>0</v>
      </c>
      <c r="HG99" t="e">
        <f>AND(DATA!A1118,"AAAAAG/vX9Y=")</f>
        <v>#VALUE!</v>
      </c>
      <c r="HH99" t="e">
        <f>AND(DATA!B1118,"AAAAAG/vX9c=")</f>
        <v>#VALUE!</v>
      </c>
      <c r="HI99" t="e">
        <f>AND(DATA!C1118,"AAAAAG/vX9g=")</f>
        <v>#VALUE!</v>
      </c>
      <c r="HJ99" t="e">
        <f>AND(DATA!D1118,"AAAAAG/vX9k=")</f>
        <v>#VALUE!</v>
      </c>
      <c r="HK99" t="e">
        <f>AND(DATA!E1118,"AAAAAG/vX9o=")</f>
        <v>#VALUE!</v>
      </c>
      <c r="HL99" t="e">
        <f>AND(DATA!F1118,"AAAAAG/vX9s=")</f>
        <v>#VALUE!</v>
      </c>
      <c r="HM99" t="e">
        <f>AND(DATA!G1118,"AAAAAG/vX9w=")</f>
        <v>#VALUE!</v>
      </c>
      <c r="HN99" t="e">
        <f>AND(DATA!H1118,"AAAAAG/vX90=")</f>
        <v>#VALUE!</v>
      </c>
      <c r="HO99" t="e">
        <f>AND(DATA!I1118,"AAAAAG/vX94=")</f>
        <v>#VALUE!</v>
      </c>
      <c r="HP99" t="e">
        <f>AND(DATA!J1118,"AAAAAG/vX98=")</f>
        <v>#VALUE!</v>
      </c>
      <c r="HQ99" t="e">
        <f>AND(DATA!K1118,"AAAAAG/vX+A=")</f>
        <v>#VALUE!</v>
      </c>
      <c r="HR99" t="b">
        <f>AND(DATA!L1118,"AAAAAG/vX+E=")</f>
        <v>1</v>
      </c>
      <c r="HS99" t="e">
        <f>AND(DATA!M1118,"AAAAAG/vX+I=")</f>
        <v>#VALUE!</v>
      </c>
      <c r="HT99" t="b">
        <f>AND(DATA!N1118,"AAAAAG/vX+M=")</f>
        <v>1</v>
      </c>
      <c r="HU99">
        <f>IF(DATA!1119:1119,"AAAAAG/vX+Q=",0)</f>
        <v>0</v>
      </c>
      <c r="HV99" t="e">
        <f>AND(DATA!A1119,"AAAAAG/vX+U=")</f>
        <v>#VALUE!</v>
      </c>
      <c r="HW99" t="e">
        <f>AND(DATA!B1119,"AAAAAG/vX+Y=")</f>
        <v>#VALUE!</v>
      </c>
      <c r="HX99" t="e">
        <f>AND(DATA!C1119,"AAAAAG/vX+c=")</f>
        <v>#VALUE!</v>
      </c>
      <c r="HY99" t="e">
        <f>AND(DATA!D1119,"AAAAAG/vX+g=")</f>
        <v>#VALUE!</v>
      </c>
      <c r="HZ99" t="e">
        <f>AND(DATA!E1119,"AAAAAG/vX+k=")</f>
        <v>#VALUE!</v>
      </c>
      <c r="IA99" t="e">
        <f>AND(DATA!F1119,"AAAAAG/vX+o=")</f>
        <v>#VALUE!</v>
      </c>
      <c r="IB99" t="e">
        <f>AND(DATA!G1119,"AAAAAG/vX+s=")</f>
        <v>#VALUE!</v>
      </c>
      <c r="IC99" t="e">
        <f>AND(DATA!H1119,"AAAAAG/vX+w=")</f>
        <v>#VALUE!</v>
      </c>
      <c r="ID99" t="e">
        <f>AND(DATA!I1119,"AAAAAG/vX+0=")</f>
        <v>#VALUE!</v>
      </c>
      <c r="IE99" t="e">
        <f>AND(DATA!J1119,"AAAAAG/vX+4=")</f>
        <v>#VALUE!</v>
      </c>
      <c r="IF99" t="e">
        <f>AND(DATA!K1119,"AAAAAG/vX+8=")</f>
        <v>#VALUE!</v>
      </c>
      <c r="IG99" t="b">
        <f>AND(DATA!L1119,"AAAAAG/vX/A=")</f>
        <v>1</v>
      </c>
      <c r="IH99" t="e">
        <f>AND(DATA!M1119,"AAAAAG/vX/E=")</f>
        <v>#VALUE!</v>
      </c>
      <c r="II99" t="b">
        <f>AND(DATA!N1119,"AAAAAG/vX/I=")</f>
        <v>1</v>
      </c>
      <c r="IJ99">
        <f>IF(DATA!1120:1120,"AAAAAG/vX/M=",0)</f>
        <v>0</v>
      </c>
      <c r="IK99" t="e">
        <f>AND(DATA!A1120,"AAAAAG/vX/Q=")</f>
        <v>#VALUE!</v>
      </c>
      <c r="IL99" t="e">
        <f>AND(DATA!B1120,"AAAAAG/vX/U=")</f>
        <v>#VALUE!</v>
      </c>
      <c r="IM99" t="e">
        <f>AND(DATA!C1120,"AAAAAG/vX/Y=")</f>
        <v>#VALUE!</v>
      </c>
      <c r="IN99" t="e">
        <f>AND(DATA!D1120,"AAAAAG/vX/c=")</f>
        <v>#VALUE!</v>
      </c>
      <c r="IO99" t="e">
        <f>AND(DATA!E1120,"AAAAAG/vX/g=")</f>
        <v>#VALUE!</v>
      </c>
      <c r="IP99" t="e">
        <f>AND(DATA!F1120,"AAAAAG/vX/k=")</f>
        <v>#VALUE!</v>
      </c>
      <c r="IQ99" t="e">
        <f>AND(DATA!G1120,"AAAAAG/vX/o=")</f>
        <v>#VALUE!</v>
      </c>
      <c r="IR99" t="e">
        <f>AND(DATA!H1120,"AAAAAG/vX/s=")</f>
        <v>#VALUE!</v>
      </c>
      <c r="IS99" t="e">
        <f>AND(DATA!I1120,"AAAAAG/vX/w=")</f>
        <v>#VALUE!</v>
      </c>
      <c r="IT99" t="e">
        <f>AND(DATA!J1120,"AAAAAG/vX/0=")</f>
        <v>#VALUE!</v>
      </c>
      <c r="IU99" t="e">
        <f>AND(DATA!K1120,"AAAAAG/vX/4=")</f>
        <v>#VALUE!</v>
      </c>
      <c r="IV99" t="b">
        <f>AND(DATA!L1120,"AAAAAG/vX/8=")</f>
        <v>1</v>
      </c>
    </row>
    <row r="100" spans="1:256">
      <c r="A100" t="e">
        <f>AND(DATA!M1120,"AAAAAH12rwA=")</f>
        <v>#VALUE!</v>
      </c>
      <c r="B100" t="b">
        <f>AND(DATA!N1120,"AAAAAH12rwE=")</f>
        <v>1</v>
      </c>
      <c r="C100">
        <f>IF(DATA!1121:1121,"AAAAAH12rwI=",0)</f>
        <v>0</v>
      </c>
      <c r="D100" t="e">
        <f>AND(DATA!A1121,"AAAAAH12rwM=")</f>
        <v>#VALUE!</v>
      </c>
      <c r="E100" t="e">
        <f>AND(DATA!B1121,"AAAAAH12rwQ=")</f>
        <v>#VALUE!</v>
      </c>
      <c r="F100" t="e">
        <f>AND(DATA!C1121,"AAAAAH12rwU=")</f>
        <v>#VALUE!</v>
      </c>
      <c r="G100" t="e">
        <f>AND(DATA!D1121,"AAAAAH12rwY=")</f>
        <v>#VALUE!</v>
      </c>
      <c r="H100" t="e">
        <f>AND(DATA!E1121,"AAAAAH12rwc=")</f>
        <v>#VALUE!</v>
      </c>
      <c r="I100" t="e">
        <f>AND(DATA!F1121,"AAAAAH12rwg=")</f>
        <v>#VALUE!</v>
      </c>
      <c r="J100" t="e">
        <f>AND(DATA!G1121,"AAAAAH12rwk=")</f>
        <v>#VALUE!</v>
      </c>
      <c r="K100" t="e">
        <f>AND(DATA!H1121,"AAAAAH12rwo=")</f>
        <v>#VALUE!</v>
      </c>
      <c r="L100" t="e">
        <f>AND(DATA!I1121,"AAAAAH12rws=")</f>
        <v>#VALUE!</v>
      </c>
      <c r="M100" t="e">
        <f>AND(DATA!J1121,"AAAAAH12rww=")</f>
        <v>#VALUE!</v>
      </c>
      <c r="N100" t="e">
        <f>AND(DATA!K1121,"AAAAAH12rw0=")</f>
        <v>#VALUE!</v>
      </c>
      <c r="O100" t="b">
        <f>AND(DATA!L1121,"AAAAAH12rw4=")</f>
        <v>1</v>
      </c>
      <c r="P100" t="e">
        <f>AND(DATA!M1121,"AAAAAH12rw8=")</f>
        <v>#VALUE!</v>
      </c>
      <c r="Q100" t="b">
        <f>AND(DATA!N1121,"AAAAAH12rxA=")</f>
        <v>1</v>
      </c>
      <c r="R100">
        <f>IF(DATA!1122:1122,"AAAAAH12rxE=",0)</f>
        <v>0</v>
      </c>
      <c r="S100" t="e">
        <f>AND(DATA!A1122,"AAAAAH12rxI=")</f>
        <v>#VALUE!</v>
      </c>
      <c r="T100" t="e">
        <f>AND(DATA!B1122,"AAAAAH12rxM=")</f>
        <v>#VALUE!</v>
      </c>
      <c r="U100" t="e">
        <f>AND(DATA!C1122,"AAAAAH12rxQ=")</f>
        <v>#VALUE!</v>
      </c>
      <c r="V100" t="e">
        <f>AND(DATA!D1122,"AAAAAH12rxU=")</f>
        <v>#VALUE!</v>
      </c>
      <c r="W100" t="e">
        <f>AND(DATA!E1122,"AAAAAH12rxY=")</f>
        <v>#VALUE!</v>
      </c>
      <c r="X100" t="e">
        <f>AND(DATA!F1122,"AAAAAH12rxc=")</f>
        <v>#VALUE!</v>
      </c>
      <c r="Y100" t="e">
        <f>AND(DATA!G1122,"AAAAAH12rxg=")</f>
        <v>#VALUE!</v>
      </c>
      <c r="Z100" t="e">
        <f>AND(DATA!H1122,"AAAAAH12rxk=")</f>
        <v>#VALUE!</v>
      </c>
      <c r="AA100" t="e">
        <f>AND(DATA!I1122,"AAAAAH12rxo=")</f>
        <v>#VALUE!</v>
      </c>
      <c r="AB100" t="e">
        <f>AND(DATA!J1122,"AAAAAH12rxs=")</f>
        <v>#VALUE!</v>
      </c>
      <c r="AC100" t="e">
        <f>AND(DATA!K1122,"AAAAAH12rxw=")</f>
        <v>#VALUE!</v>
      </c>
      <c r="AD100" t="b">
        <f>AND(DATA!L1122,"AAAAAH12rx0=")</f>
        <v>1</v>
      </c>
      <c r="AE100" t="e">
        <f>AND(DATA!M1122,"AAAAAH12rx4=")</f>
        <v>#VALUE!</v>
      </c>
      <c r="AF100" t="b">
        <f>AND(DATA!N1122,"AAAAAH12rx8=")</f>
        <v>1</v>
      </c>
      <c r="AG100">
        <f>IF(DATA!1123:1123,"AAAAAH12ryA=",0)</f>
        <v>0</v>
      </c>
      <c r="AH100" t="e">
        <f>AND(DATA!A1123,"AAAAAH12ryE=")</f>
        <v>#VALUE!</v>
      </c>
      <c r="AI100" t="e">
        <f>AND(DATA!B1123,"AAAAAH12ryI=")</f>
        <v>#VALUE!</v>
      </c>
      <c r="AJ100" t="e">
        <f>AND(DATA!C1123,"AAAAAH12ryM=")</f>
        <v>#VALUE!</v>
      </c>
      <c r="AK100" t="e">
        <f>AND(DATA!D1123,"AAAAAH12ryQ=")</f>
        <v>#VALUE!</v>
      </c>
      <c r="AL100" t="e">
        <f>AND(DATA!E1123,"AAAAAH12ryU=")</f>
        <v>#VALUE!</v>
      </c>
      <c r="AM100" t="e">
        <f>AND(DATA!F1123,"AAAAAH12ryY=")</f>
        <v>#VALUE!</v>
      </c>
      <c r="AN100" t="e">
        <f>AND(DATA!G1123,"AAAAAH12ryc=")</f>
        <v>#VALUE!</v>
      </c>
      <c r="AO100" t="e">
        <f>AND(DATA!H1123,"AAAAAH12ryg=")</f>
        <v>#VALUE!</v>
      </c>
      <c r="AP100" t="e">
        <f>AND(DATA!I1123,"AAAAAH12ryk=")</f>
        <v>#VALUE!</v>
      </c>
      <c r="AQ100" t="e">
        <f>AND(DATA!J1123,"AAAAAH12ryo=")</f>
        <v>#VALUE!</v>
      </c>
      <c r="AR100" t="e">
        <f>AND(DATA!K1123,"AAAAAH12rys=")</f>
        <v>#VALUE!</v>
      </c>
      <c r="AS100" t="b">
        <f>AND(DATA!L1123,"AAAAAH12ryw=")</f>
        <v>1</v>
      </c>
      <c r="AT100" t="e">
        <f>AND(DATA!M1123,"AAAAAH12ry0=")</f>
        <v>#VALUE!</v>
      </c>
      <c r="AU100" t="b">
        <f>AND(DATA!N1123,"AAAAAH12ry4=")</f>
        <v>1</v>
      </c>
      <c r="AV100">
        <f>IF(DATA!1124:1124,"AAAAAH12ry8=",0)</f>
        <v>0</v>
      </c>
      <c r="AW100" t="e">
        <f>AND(DATA!A1124,"AAAAAH12rzA=")</f>
        <v>#VALUE!</v>
      </c>
      <c r="AX100" t="e">
        <f>AND(DATA!B1124,"AAAAAH12rzE=")</f>
        <v>#VALUE!</v>
      </c>
      <c r="AY100" t="e">
        <f>AND(DATA!C1124,"AAAAAH12rzI=")</f>
        <v>#VALUE!</v>
      </c>
      <c r="AZ100" t="e">
        <f>AND(DATA!D1124,"AAAAAH12rzM=")</f>
        <v>#VALUE!</v>
      </c>
      <c r="BA100" t="e">
        <f>AND(DATA!E1124,"AAAAAH12rzQ=")</f>
        <v>#VALUE!</v>
      </c>
      <c r="BB100" t="e">
        <f>AND(DATA!F1124,"AAAAAH12rzU=")</f>
        <v>#VALUE!</v>
      </c>
      <c r="BC100" t="e">
        <f>AND(DATA!G1124,"AAAAAH12rzY=")</f>
        <v>#VALUE!</v>
      </c>
      <c r="BD100" t="e">
        <f>AND(DATA!H1124,"AAAAAH12rzc=")</f>
        <v>#VALUE!</v>
      </c>
      <c r="BE100" t="e">
        <f>AND(DATA!I1124,"AAAAAH12rzg=")</f>
        <v>#VALUE!</v>
      </c>
      <c r="BF100" t="e">
        <f>AND(DATA!J1124,"AAAAAH12rzk=")</f>
        <v>#VALUE!</v>
      </c>
      <c r="BG100" t="e">
        <f>AND(DATA!K1124,"AAAAAH12rzo=")</f>
        <v>#VALUE!</v>
      </c>
      <c r="BH100" t="b">
        <f>AND(DATA!L1124,"AAAAAH12rzs=")</f>
        <v>1</v>
      </c>
      <c r="BI100" t="e">
        <f>AND(DATA!M1124,"AAAAAH12rzw=")</f>
        <v>#VALUE!</v>
      </c>
      <c r="BJ100" t="b">
        <f>AND(DATA!N1124,"AAAAAH12rz0=")</f>
        <v>1</v>
      </c>
      <c r="BK100">
        <f>IF(DATA!1125:1125,"AAAAAH12rz4=",0)</f>
        <v>0</v>
      </c>
      <c r="BL100" t="e">
        <f>AND(DATA!A1125,"AAAAAH12rz8=")</f>
        <v>#VALUE!</v>
      </c>
      <c r="BM100" t="e">
        <f>AND(DATA!B1125,"AAAAAH12r0A=")</f>
        <v>#VALUE!</v>
      </c>
      <c r="BN100" t="e">
        <f>AND(DATA!C1125,"AAAAAH12r0E=")</f>
        <v>#VALUE!</v>
      </c>
      <c r="BO100" t="e">
        <f>AND(DATA!D1125,"AAAAAH12r0I=")</f>
        <v>#VALUE!</v>
      </c>
      <c r="BP100" t="e">
        <f>AND(DATA!E1125,"AAAAAH12r0M=")</f>
        <v>#VALUE!</v>
      </c>
      <c r="BQ100" t="e">
        <f>AND(DATA!F1125,"AAAAAH12r0Q=")</f>
        <v>#VALUE!</v>
      </c>
      <c r="BR100" t="e">
        <f>AND(DATA!G1125,"AAAAAH12r0U=")</f>
        <v>#VALUE!</v>
      </c>
      <c r="BS100" t="e">
        <f>AND(DATA!H1125,"AAAAAH12r0Y=")</f>
        <v>#VALUE!</v>
      </c>
      <c r="BT100" t="e">
        <f>AND(DATA!I1125,"AAAAAH12r0c=")</f>
        <v>#VALUE!</v>
      </c>
      <c r="BU100" t="e">
        <f>AND(DATA!J1125,"AAAAAH12r0g=")</f>
        <v>#VALUE!</v>
      </c>
      <c r="BV100" t="e">
        <f>AND(DATA!K1125,"AAAAAH12r0k=")</f>
        <v>#VALUE!</v>
      </c>
      <c r="BW100" t="b">
        <f>AND(DATA!L1125,"AAAAAH12r0o=")</f>
        <v>1</v>
      </c>
      <c r="BX100" t="e">
        <f>AND(DATA!M1125,"AAAAAH12r0s=")</f>
        <v>#VALUE!</v>
      </c>
      <c r="BY100" t="b">
        <f>AND(DATA!N1125,"AAAAAH12r0w=")</f>
        <v>1</v>
      </c>
      <c r="BZ100">
        <f>IF(DATA!1126:1126,"AAAAAH12r00=",0)</f>
        <v>0</v>
      </c>
      <c r="CA100" t="e">
        <f>AND(DATA!A1126,"AAAAAH12r04=")</f>
        <v>#VALUE!</v>
      </c>
      <c r="CB100" t="e">
        <f>AND(DATA!B1126,"AAAAAH12r08=")</f>
        <v>#VALUE!</v>
      </c>
      <c r="CC100" t="e">
        <f>AND(DATA!C1126,"AAAAAH12r1A=")</f>
        <v>#VALUE!</v>
      </c>
      <c r="CD100" t="e">
        <f>AND(DATA!D1126,"AAAAAH12r1E=")</f>
        <v>#VALUE!</v>
      </c>
      <c r="CE100" t="e">
        <f>AND(DATA!E1126,"AAAAAH12r1I=")</f>
        <v>#VALUE!</v>
      </c>
      <c r="CF100" t="e">
        <f>AND(DATA!F1126,"AAAAAH12r1M=")</f>
        <v>#VALUE!</v>
      </c>
      <c r="CG100" t="e">
        <f>AND(DATA!G1126,"AAAAAH12r1Q=")</f>
        <v>#VALUE!</v>
      </c>
      <c r="CH100" t="e">
        <f>AND(DATA!H1126,"AAAAAH12r1U=")</f>
        <v>#VALUE!</v>
      </c>
      <c r="CI100" t="e">
        <f>AND(DATA!I1126,"AAAAAH12r1Y=")</f>
        <v>#VALUE!</v>
      </c>
      <c r="CJ100" t="e">
        <f>AND(DATA!J1126,"AAAAAH12r1c=")</f>
        <v>#VALUE!</v>
      </c>
      <c r="CK100" t="e">
        <f>AND(DATA!K1126,"AAAAAH12r1g=")</f>
        <v>#VALUE!</v>
      </c>
      <c r="CL100" t="b">
        <f>AND(DATA!L1126,"AAAAAH12r1k=")</f>
        <v>1</v>
      </c>
      <c r="CM100" t="e">
        <f>AND(DATA!M1126,"AAAAAH12r1o=")</f>
        <v>#VALUE!</v>
      </c>
      <c r="CN100" t="b">
        <f>AND(DATA!N1126,"AAAAAH12r1s=")</f>
        <v>1</v>
      </c>
      <c r="CO100">
        <f>IF(DATA!1127:1127,"AAAAAH12r1w=",0)</f>
        <v>0</v>
      </c>
      <c r="CP100" t="e">
        <f>AND(DATA!A1127,"AAAAAH12r10=")</f>
        <v>#VALUE!</v>
      </c>
      <c r="CQ100" t="e">
        <f>AND(DATA!B1127,"AAAAAH12r14=")</f>
        <v>#VALUE!</v>
      </c>
      <c r="CR100" t="e">
        <f>AND(DATA!C1127,"AAAAAH12r18=")</f>
        <v>#VALUE!</v>
      </c>
      <c r="CS100" t="e">
        <f>AND(DATA!D1127,"AAAAAH12r2A=")</f>
        <v>#VALUE!</v>
      </c>
      <c r="CT100" t="e">
        <f>AND(DATA!E1127,"AAAAAH12r2E=")</f>
        <v>#VALUE!</v>
      </c>
      <c r="CU100" t="e">
        <f>AND(DATA!F1127,"AAAAAH12r2I=")</f>
        <v>#VALUE!</v>
      </c>
      <c r="CV100" t="e">
        <f>AND(DATA!G1127,"AAAAAH12r2M=")</f>
        <v>#VALUE!</v>
      </c>
      <c r="CW100" t="e">
        <f>AND(DATA!H1127,"AAAAAH12r2Q=")</f>
        <v>#VALUE!</v>
      </c>
      <c r="CX100" t="e">
        <f>AND(DATA!I1127,"AAAAAH12r2U=")</f>
        <v>#VALUE!</v>
      </c>
      <c r="CY100" t="e">
        <f>AND(DATA!J1127,"AAAAAH12r2Y=")</f>
        <v>#VALUE!</v>
      </c>
      <c r="CZ100" t="e">
        <f>AND(DATA!K1127,"AAAAAH12r2c=")</f>
        <v>#VALUE!</v>
      </c>
      <c r="DA100" t="b">
        <f>AND(DATA!L1127,"AAAAAH12r2g=")</f>
        <v>1</v>
      </c>
      <c r="DB100" t="e">
        <f>AND(DATA!M1127,"AAAAAH12r2k=")</f>
        <v>#VALUE!</v>
      </c>
      <c r="DC100" t="b">
        <f>AND(DATA!N1127,"AAAAAH12r2o=")</f>
        <v>1</v>
      </c>
      <c r="DD100">
        <f>IF(DATA!1128:1128,"AAAAAH12r2s=",0)</f>
        <v>0</v>
      </c>
      <c r="DE100" t="e">
        <f>AND(DATA!A1128,"AAAAAH12r2w=")</f>
        <v>#VALUE!</v>
      </c>
      <c r="DF100" t="e">
        <f>AND(DATA!B1128,"AAAAAH12r20=")</f>
        <v>#VALUE!</v>
      </c>
      <c r="DG100" t="e">
        <f>AND(DATA!C1128,"AAAAAH12r24=")</f>
        <v>#VALUE!</v>
      </c>
      <c r="DH100" t="e">
        <f>AND(DATA!D1128,"AAAAAH12r28=")</f>
        <v>#VALUE!</v>
      </c>
      <c r="DI100" t="e">
        <f>AND(DATA!E1128,"AAAAAH12r3A=")</f>
        <v>#VALUE!</v>
      </c>
      <c r="DJ100" t="e">
        <f>AND(DATA!F1128,"AAAAAH12r3E=")</f>
        <v>#VALUE!</v>
      </c>
      <c r="DK100" t="e">
        <f>AND(DATA!G1128,"AAAAAH12r3I=")</f>
        <v>#VALUE!</v>
      </c>
      <c r="DL100" t="e">
        <f>AND(DATA!H1128,"AAAAAH12r3M=")</f>
        <v>#VALUE!</v>
      </c>
      <c r="DM100" t="e">
        <f>AND(DATA!I1128,"AAAAAH12r3Q=")</f>
        <v>#VALUE!</v>
      </c>
      <c r="DN100" t="e">
        <f>AND(DATA!J1128,"AAAAAH12r3U=")</f>
        <v>#VALUE!</v>
      </c>
      <c r="DO100" t="e">
        <f>AND(DATA!K1128,"AAAAAH12r3Y=")</f>
        <v>#VALUE!</v>
      </c>
      <c r="DP100" t="b">
        <f>AND(DATA!L1128,"AAAAAH12r3c=")</f>
        <v>1</v>
      </c>
      <c r="DQ100" t="e">
        <f>AND(DATA!M1128,"AAAAAH12r3g=")</f>
        <v>#VALUE!</v>
      </c>
      <c r="DR100" t="b">
        <f>AND(DATA!N1128,"AAAAAH12r3k=")</f>
        <v>1</v>
      </c>
      <c r="DS100">
        <f>IF(DATA!1129:1129,"AAAAAH12r3o=",0)</f>
        <v>0</v>
      </c>
      <c r="DT100" t="e">
        <f>AND(DATA!A1129,"AAAAAH12r3s=")</f>
        <v>#VALUE!</v>
      </c>
      <c r="DU100" t="e">
        <f>AND(DATA!B1129,"AAAAAH12r3w=")</f>
        <v>#VALUE!</v>
      </c>
      <c r="DV100" t="e">
        <f>AND(DATA!C1129,"AAAAAH12r30=")</f>
        <v>#VALUE!</v>
      </c>
      <c r="DW100" t="e">
        <f>AND(DATA!D1129,"AAAAAH12r34=")</f>
        <v>#VALUE!</v>
      </c>
      <c r="DX100" t="e">
        <f>AND(DATA!E1129,"AAAAAH12r38=")</f>
        <v>#VALUE!</v>
      </c>
      <c r="DY100" t="e">
        <f>AND(DATA!F1129,"AAAAAH12r4A=")</f>
        <v>#VALUE!</v>
      </c>
      <c r="DZ100" t="e">
        <f>AND(DATA!G1129,"AAAAAH12r4E=")</f>
        <v>#VALUE!</v>
      </c>
      <c r="EA100" t="e">
        <f>AND(DATA!H1129,"AAAAAH12r4I=")</f>
        <v>#VALUE!</v>
      </c>
      <c r="EB100" t="e">
        <f>AND(DATA!I1129,"AAAAAH12r4M=")</f>
        <v>#VALUE!</v>
      </c>
      <c r="EC100" t="e">
        <f>AND(DATA!J1129,"AAAAAH12r4Q=")</f>
        <v>#VALUE!</v>
      </c>
      <c r="ED100" t="e">
        <f>AND(DATA!K1129,"AAAAAH12r4U=")</f>
        <v>#VALUE!</v>
      </c>
      <c r="EE100" t="b">
        <f>AND(DATA!L1129,"AAAAAH12r4Y=")</f>
        <v>1</v>
      </c>
      <c r="EF100" t="e">
        <f>AND(DATA!M1129,"AAAAAH12r4c=")</f>
        <v>#VALUE!</v>
      </c>
      <c r="EG100" t="b">
        <f>AND(DATA!N1129,"AAAAAH12r4g=")</f>
        <v>1</v>
      </c>
      <c r="EH100">
        <f>IF(DATA!1130:1130,"AAAAAH12r4k=",0)</f>
        <v>0</v>
      </c>
      <c r="EI100" t="e">
        <f>AND(DATA!A1130,"AAAAAH12r4o=")</f>
        <v>#VALUE!</v>
      </c>
      <c r="EJ100" t="e">
        <f>AND(DATA!B1130,"AAAAAH12r4s=")</f>
        <v>#VALUE!</v>
      </c>
      <c r="EK100" t="e">
        <f>AND(DATA!C1130,"AAAAAH12r4w=")</f>
        <v>#VALUE!</v>
      </c>
      <c r="EL100" t="e">
        <f>AND(DATA!D1130,"AAAAAH12r40=")</f>
        <v>#VALUE!</v>
      </c>
      <c r="EM100" t="e">
        <f>AND(DATA!E1130,"AAAAAH12r44=")</f>
        <v>#VALUE!</v>
      </c>
      <c r="EN100" t="e">
        <f>AND(DATA!F1130,"AAAAAH12r48=")</f>
        <v>#VALUE!</v>
      </c>
      <c r="EO100" t="e">
        <f>AND(DATA!G1130,"AAAAAH12r5A=")</f>
        <v>#VALUE!</v>
      </c>
      <c r="EP100" t="e">
        <f>AND(DATA!H1130,"AAAAAH12r5E=")</f>
        <v>#VALUE!</v>
      </c>
      <c r="EQ100" t="e">
        <f>AND(DATA!I1130,"AAAAAH12r5I=")</f>
        <v>#VALUE!</v>
      </c>
      <c r="ER100" t="e">
        <f>AND(DATA!J1130,"AAAAAH12r5M=")</f>
        <v>#VALUE!</v>
      </c>
      <c r="ES100" t="e">
        <f>AND(DATA!K1130,"AAAAAH12r5Q=")</f>
        <v>#VALUE!</v>
      </c>
      <c r="ET100" t="b">
        <f>AND(DATA!L1130,"AAAAAH12r5U=")</f>
        <v>1</v>
      </c>
      <c r="EU100" t="e">
        <f>AND(DATA!M1130,"AAAAAH12r5Y=")</f>
        <v>#VALUE!</v>
      </c>
      <c r="EV100" t="b">
        <f>AND(DATA!N1130,"AAAAAH12r5c=")</f>
        <v>1</v>
      </c>
      <c r="EW100">
        <f>IF(DATA!1131:1131,"AAAAAH12r5g=",0)</f>
        <v>0</v>
      </c>
      <c r="EX100" t="e">
        <f>AND(DATA!A1131,"AAAAAH12r5k=")</f>
        <v>#VALUE!</v>
      </c>
      <c r="EY100" t="e">
        <f>AND(DATA!B1131,"AAAAAH12r5o=")</f>
        <v>#VALUE!</v>
      </c>
      <c r="EZ100" t="e">
        <f>AND(DATA!C1131,"AAAAAH12r5s=")</f>
        <v>#VALUE!</v>
      </c>
      <c r="FA100" t="e">
        <f>AND(DATA!D1131,"AAAAAH12r5w=")</f>
        <v>#VALUE!</v>
      </c>
      <c r="FB100" t="e">
        <f>AND(DATA!E1131,"AAAAAH12r50=")</f>
        <v>#VALUE!</v>
      </c>
      <c r="FC100" t="e">
        <f>AND(DATA!F1131,"AAAAAH12r54=")</f>
        <v>#VALUE!</v>
      </c>
      <c r="FD100" t="e">
        <f>AND(DATA!G1131,"AAAAAH12r58=")</f>
        <v>#VALUE!</v>
      </c>
      <c r="FE100" t="e">
        <f>AND(DATA!H1131,"AAAAAH12r6A=")</f>
        <v>#VALUE!</v>
      </c>
      <c r="FF100" t="e">
        <f>AND(DATA!I1131,"AAAAAH12r6E=")</f>
        <v>#VALUE!</v>
      </c>
      <c r="FG100" t="e">
        <f>AND(DATA!J1131,"AAAAAH12r6I=")</f>
        <v>#VALUE!</v>
      </c>
      <c r="FH100" t="e">
        <f>AND(DATA!K1131,"AAAAAH12r6M=")</f>
        <v>#VALUE!</v>
      </c>
      <c r="FI100" t="b">
        <f>AND(DATA!L1131,"AAAAAH12r6Q=")</f>
        <v>1</v>
      </c>
      <c r="FJ100" t="e">
        <f>AND(DATA!M1131,"AAAAAH12r6U=")</f>
        <v>#VALUE!</v>
      </c>
      <c r="FK100" t="b">
        <f>AND(DATA!N1131,"AAAAAH12r6Y=")</f>
        <v>1</v>
      </c>
      <c r="FL100">
        <f>IF(DATA!1132:1132,"AAAAAH12r6c=",0)</f>
        <v>0</v>
      </c>
      <c r="FM100" t="e">
        <f>AND(DATA!A1132,"AAAAAH12r6g=")</f>
        <v>#VALUE!</v>
      </c>
      <c r="FN100" t="e">
        <f>AND(DATA!B1132,"AAAAAH12r6k=")</f>
        <v>#VALUE!</v>
      </c>
      <c r="FO100" t="e">
        <f>AND(DATA!C1132,"AAAAAH12r6o=")</f>
        <v>#VALUE!</v>
      </c>
      <c r="FP100" t="e">
        <f>AND(DATA!D1132,"AAAAAH12r6s=")</f>
        <v>#VALUE!</v>
      </c>
      <c r="FQ100" t="e">
        <f>AND(DATA!E1132,"AAAAAH12r6w=")</f>
        <v>#VALUE!</v>
      </c>
      <c r="FR100" t="e">
        <f>AND(DATA!F1132,"AAAAAH12r60=")</f>
        <v>#VALUE!</v>
      </c>
      <c r="FS100" t="e">
        <f>AND(DATA!G1132,"AAAAAH12r64=")</f>
        <v>#VALUE!</v>
      </c>
      <c r="FT100" t="e">
        <f>AND(DATA!H1132,"AAAAAH12r68=")</f>
        <v>#VALUE!</v>
      </c>
      <c r="FU100" t="e">
        <f>AND(DATA!I1132,"AAAAAH12r7A=")</f>
        <v>#VALUE!</v>
      </c>
      <c r="FV100" t="e">
        <f>AND(DATA!J1132,"AAAAAH12r7E=")</f>
        <v>#VALUE!</v>
      </c>
      <c r="FW100" t="e">
        <f>AND(DATA!K1132,"AAAAAH12r7I=")</f>
        <v>#VALUE!</v>
      </c>
      <c r="FX100" t="b">
        <f>AND(DATA!L1132,"AAAAAH12r7M=")</f>
        <v>1</v>
      </c>
      <c r="FY100" t="e">
        <f>AND(DATA!M1132,"AAAAAH12r7Q=")</f>
        <v>#VALUE!</v>
      </c>
      <c r="FZ100" t="b">
        <f>AND(DATA!N1132,"AAAAAH12r7U=")</f>
        <v>1</v>
      </c>
      <c r="GA100">
        <f>IF(DATA!1133:1133,"AAAAAH12r7Y=",0)</f>
        <v>0</v>
      </c>
      <c r="GB100" t="e">
        <f>AND(DATA!A1133,"AAAAAH12r7c=")</f>
        <v>#VALUE!</v>
      </c>
      <c r="GC100" t="e">
        <f>AND(DATA!B1133,"AAAAAH12r7g=")</f>
        <v>#VALUE!</v>
      </c>
      <c r="GD100" t="e">
        <f>AND(DATA!C1133,"AAAAAH12r7k=")</f>
        <v>#VALUE!</v>
      </c>
      <c r="GE100" t="e">
        <f>AND(DATA!D1133,"AAAAAH12r7o=")</f>
        <v>#VALUE!</v>
      </c>
      <c r="GF100" t="e">
        <f>AND(DATA!E1133,"AAAAAH12r7s=")</f>
        <v>#VALUE!</v>
      </c>
      <c r="GG100" t="e">
        <f>AND(DATA!F1133,"AAAAAH12r7w=")</f>
        <v>#VALUE!</v>
      </c>
      <c r="GH100" t="e">
        <f>AND(DATA!G1133,"AAAAAH12r70=")</f>
        <v>#VALUE!</v>
      </c>
      <c r="GI100" t="e">
        <f>AND(DATA!H1133,"AAAAAH12r74=")</f>
        <v>#VALUE!</v>
      </c>
      <c r="GJ100" t="e">
        <f>AND(DATA!I1133,"AAAAAH12r78=")</f>
        <v>#VALUE!</v>
      </c>
      <c r="GK100" t="e">
        <f>AND(DATA!J1133,"AAAAAH12r8A=")</f>
        <v>#VALUE!</v>
      </c>
      <c r="GL100" t="e">
        <f>AND(DATA!K1133,"AAAAAH12r8E=")</f>
        <v>#VALUE!</v>
      </c>
      <c r="GM100" t="b">
        <f>AND(DATA!L1133,"AAAAAH12r8I=")</f>
        <v>1</v>
      </c>
      <c r="GN100" t="e">
        <f>AND(DATA!M1133,"AAAAAH12r8M=")</f>
        <v>#VALUE!</v>
      </c>
      <c r="GO100" t="b">
        <f>AND(DATA!N1133,"AAAAAH12r8Q=")</f>
        <v>1</v>
      </c>
      <c r="GP100">
        <f>IF(DATA!1134:1134,"AAAAAH12r8U=",0)</f>
        <v>0</v>
      </c>
      <c r="GQ100" t="e">
        <f>AND(DATA!A1134,"AAAAAH12r8Y=")</f>
        <v>#VALUE!</v>
      </c>
      <c r="GR100" t="e">
        <f>AND(DATA!B1134,"AAAAAH12r8c=")</f>
        <v>#VALUE!</v>
      </c>
      <c r="GS100" t="e">
        <f>AND(DATA!C1134,"AAAAAH12r8g=")</f>
        <v>#VALUE!</v>
      </c>
      <c r="GT100" t="e">
        <f>AND(DATA!D1134,"AAAAAH12r8k=")</f>
        <v>#VALUE!</v>
      </c>
      <c r="GU100" t="e">
        <f>AND(DATA!E1134,"AAAAAH12r8o=")</f>
        <v>#VALUE!</v>
      </c>
      <c r="GV100" t="e">
        <f>AND(DATA!F1134,"AAAAAH12r8s=")</f>
        <v>#VALUE!</v>
      </c>
      <c r="GW100" t="e">
        <f>AND(DATA!G1134,"AAAAAH12r8w=")</f>
        <v>#VALUE!</v>
      </c>
      <c r="GX100" t="e">
        <f>AND(DATA!H1134,"AAAAAH12r80=")</f>
        <v>#VALUE!</v>
      </c>
      <c r="GY100" t="e">
        <f>AND(DATA!I1134,"AAAAAH12r84=")</f>
        <v>#VALUE!</v>
      </c>
      <c r="GZ100" t="e">
        <f>AND(DATA!J1134,"AAAAAH12r88=")</f>
        <v>#VALUE!</v>
      </c>
      <c r="HA100" t="e">
        <f>AND(DATA!K1134,"AAAAAH12r9A=")</f>
        <v>#VALUE!</v>
      </c>
      <c r="HB100" t="b">
        <f>AND(DATA!L1134,"AAAAAH12r9E=")</f>
        <v>1</v>
      </c>
      <c r="HC100" t="e">
        <f>AND(DATA!M1134,"AAAAAH12r9I=")</f>
        <v>#VALUE!</v>
      </c>
      <c r="HD100" t="b">
        <f>AND(DATA!N1134,"AAAAAH12r9M=")</f>
        <v>1</v>
      </c>
      <c r="HE100">
        <f>IF(DATA!1135:1135,"AAAAAH12r9Q=",0)</f>
        <v>0</v>
      </c>
      <c r="HF100" t="e">
        <f>AND(DATA!A1135,"AAAAAH12r9U=")</f>
        <v>#VALUE!</v>
      </c>
      <c r="HG100" t="e">
        <f>AND(DATA!B1135,"AAAAAH12r9Y=")</f>
        <v>#VALUE!</v>
      </c>
      <c r="HH100" t="e">
        <f>AND(DATA!C1135,"AAAAAH12r9c=")</f>
        <v>#VALUE!</v>
      </c>
      <c r="HI100" t="e">
        <f>AND(DATA!D1135,"AAAAAH12r9g=")</f>
        <v>#VALUE!</v>
      </c>
      <c r="HJ100" t="e">
        <f>AND(DATA!E1135,"AAAAAH12r9k=")</f>
        <v>#VALUE!</v>
      </c>
      <c r="HK100" t="e">
        <f>AND(DATA!F1135,"AAAAAH12r9o=")</f>
        <v>#VALUE!</v>
      </c>
      <c r="HL100" t="e">
        <f>AND(DATA!G1135,"AAAAAH12r9s=")</f>
        <v>#VALUE!</v>
      </c>
      <c r="HM100" t="e">
        <f>AND(DATA!H1135,"AAAAAH12r9w=")</f>
        <v>#VALUE!</v>
      </c>
      <c r="HN100" t="e">
        <f>AND(DATA!I1135,"AAAAAH12r90=")</f>
        <v>#VALUE!</v>
      </c>
      <c r="HO100" t="e">
        <f>AND(DATA!J1135,"AAAAAH12r94=")</f>
        <v>#VALUE!</v>
      </c>
      <c r="HP100" t="e">
        <f>AND(DATA!K1135,"AAAAAH12r98=")</f>
        <v>#VALUE!</v>
      </c>
      <c r="HQ100" t="b">
        <f>AND(DATA!L1135,"AAAAAH12r+A=")</f>
        <v>1</v>
      </c>
      <c r="HR100" t="e">
        <f>AND(DATA!M1135,"AAAAAH12r+E=")</f>
        <v>#VALUE!</v>
      </c>
      <c r="HS100" t="b">
        <f>AND(DATA!N1135,"AAAAAH12r+I=")</f>
        <v>1</v>
      </c>
      <c r="HT100">
        <f>IF(DATA!1136:1136,"AAAAAH12r+M=",0)</f>
        <v>0</v>
      </c>
      <c r="HU100" t="e">
        <f>AND(DATA!A1136,"AAAAAH12r+Q=")</f>
        <v>#VALUE!</v>
      </c>
      <c r="HV100" t="e">
        <f>AND(DATA!B1136,"AAAAAH12r+U=")</f>
        <v>#VALUE!</v>
      </c>
      <c r="HW100" t="e">
        <f>AND(DATA!C1136,"AAAAAH12r+Y=")</f>
        <v>#VALUE!</v>
      </c>
      <c r="HX100" t="e">
        <f>AND(DATA!D1136,"AAAAAH12r+c=")</f>
        <v>#VALUE!</v>
      </c>
      <c r="HY100" t="e">
        <f>AND(DATA!E1136,"AAAAAH12r+g=")</f>
        <v>#VALUE!</v>
      </c>
      <c r="HZ100" t="e">
        <f>AND(DATA!F1136,"AAAAAH12r+k=")</f>
        <v>#VALUE!</v>
      </c>
      <c r="IA100" t="e">
        <f>AND(DATA!G1136,"AAAAAH12r+o=")</f>
        <v>#VALUE!</v>
      </c>
      <c r="IB100" t="e">
        <f>AND(DATA!H1136,"AAAAAH12r+s=")</f>
        <v>#VALUE!</v>
      </c>
      <c r="IC100" t="e">
        <f>AND(DATA!I1136,"AAAAAH12r+w=")</f>
        <v>#VALUE!</v>
      </c>
      <c r="ID100" t="e">
        <f>AND(DATA!J1136,"AAAAAH12r+0=")</f>
        <v>#VALUE!</v>
      </c>
      <c r="IE100" t="e">
        <f>AND(DATA!K1136,"AAAAAH12r+4=")</f>
        <v>#VALUE!</v>
      </c>
      <c r="IF100" t="b">
        <f>AND(DATA!L1136,"AAAAAH12r+8=")</f>
        <v>1</v>
      </c>
      <c r="IG100" t="e">
        <f>AND(DATA!M1136,"AAAAAH12r/A=")</f>
        <v>#VALUE!</v>
      </c>
      <c r="IH100" t="b">
        <f>AND(DATA!N1136,"AAAAAH12r/E=")</f>
        <v>1</v>
      </c>
      <c r="II100">
        <f>IF(DATA!1137:1137,"AAAAAH12r/I=",0)</f>
        <v>0</v>
      </c>
      <c r="IJ100" t="e">
        <f>AND(DATA!A1137,"AAAAAH12r/M=")</f>
        <v>#VALUE!</v>
      </c>
      <c r="IK100" t="e">
        <f>AND(DATA!B1137,"AAAAAH12r/Q=")</f>
        <v>#VALUE!</v>
      </c>
      <c r="IL100" t="e">
        <f>AND(DATA!C1137,"AAAAAH12r/U=")</f>
        <v>#VALUE!</v>
      </c>
      <c r="IM100" t="e">
        <f>AND(DATA!D1137,"AAAAAH12r/Y=")</f>
        <v>#VALUE!</v>
      </c>
      <c r="IN100" t="e">
        <f>AND(DATA!E1137,"AAAAAH12r/c=")</f>
        <v>#VALUE!</v>
      </c>
      <c r="IO100" t="e">
        <f>AND(DATA!F1137,"AAAAAH12r/g=")</f>
        <v>#VALUE!</v>
      </c>
      <c r="IP100" t="e">
        <f>AND(DATA!G1137,"AAAAAH12r/k=")</f>
        <v>#VALUE!</v>
      </c>
      <c r="IQ100" t="e">
        <f>AND(DATA!H1137,"AAAAAH12r/o=")</f>
        <v>#VALUE!</v>
      </c>
      <c r="IR100" t="e">
        <f>AND(DATA!I1137,"AAAAAH12r/s=")</f>
        <v>#VALUE!</v>
      </c>
      <c r="IS100" t="e">
        <f>AND(DATA!J1137,"AAAAAH12r/w=")</f>
        <v>#VALUE!</v>
      </c>
      <c r="IT100" t="e">
        <f>AND(DATA!K1137,"AAAAAH12r/0=")</f>
        <v>#VALUE!</v>
      </c>
      <c r="IU100" t="b">
        <f>AND(DATA!L1137,"AAAAAH12r/4=")</f>
        <v>1</v>
      </c>
      <c r="IV100" t="e">
        <f>AND(DATA!M1137,"AAAAAH12r/8=")</f>
        <v>#VALUE!</v>
      </c>
    </row>
    <row r="101" spans="1:256">
      <c r="A101" t="b">
        <f>AND(DATA!N1137,"AAAAAHf+tQA=")</f>
        <v>1</v>
      </c>
      <c r="B101">
        <f>IF(DATA!1138:1138,"AAAAAHf+tQE=",0)</f>
        <v>0</v>
      </c>
      <c r="C101" t="e">
        <f>AND(DATA!A1138,"AAAAAHf+tQI=")</f>
        <v>#VALUE!</v>
      </c>
      <c r="D101" t="e">
        <f>AND(DATA!B1138,"AAAAAHf+tQM=")</f>
        <v>#VALUE!</v>
      </c>
      <c r="E101" t="e">
        <f>AND(DATA!C1138,"AAAAAHf+tQQ=")</f>
        <v>#VALUE!</v>
      </c>
      <c r="F101" t="e">
        <f>AND(DATA!D1138,"AAAAAHf+tQU=")</f>
        <v>#VALUE!</v>
      </c>
      <c r="G101" t="e">
        <f>AND(DATA!E1138,"AAAAAHf+tQY=")</f>
        <v>#VALUE!</v>
      </c>
      <c r="H101" t="e">
        <f>AND(DATA!F1138,"AAAAAHf+tQc=")</f>
        <v>#VALUE!</v>
      </c>
      <c r="I101" t="e">
        <f>AND(DATA!G1138,"AAAAAHf+tQg=")</f>
        <v>#VALUE!</v>
      </c>
      <c r="J101" t="e">
        <f>AND(DATA!H1138,"AAAAAHf+tQk=")</f>
        <v>#VALUE!</v>
      </c>
      <c r="K101" t="e">
        <f>AND(DATA!I1138,"AAAAAHf+tQo=")</f>
        <v>#VALUE!</v>
      </c>
      <c r="L101" t="e">
        <f>AND(DATA!J1138,"AAAAAHf+tQs=")</f>
        <v>#VALUE!</v>
      </c>
      <c r="M101" t="e">
        <f>AND(DATA!K1138,"AAAAAHf+tQw=")</f>
        <v>#VALUE!</v>
      </c>
      <c r="N101" t="b">
        <f>AND(DATA!L1138,"AAAAAHf+tQ0=")</f>
        <v>1</v>
      </c>
      <c r="O101" t="e">
        <f>AND(DATA!M1138,"AAAAAHf+tQ4=")</f>
        <v>#VALUE!</v>
      </c>
      <c r="P101" t="b">
        <f>AND(DATA!N1138,"AAAAAHf+tQ8=")</f>
        <v>1</v>
      </c>
      <c r="Q101">
        <f>IF(DATA!1139:1139,"AAAAAHf+tRA=",0)</f>
        <v>0</v>
      </c>
      <c r="R101" t="e">
        <f>AND(DATA!A1139,"AAAAAHf+tRE=")</f>
        <v>#VALUE!</v>
      </c>
      <c r="S101" t="e">
        <f>AND(DATA!B1139,"AAAAAHf+tRI=")</f>
        <v>#VALUE!</v>
      </c>
      <c r="T101" t="e">
        <f>AND(DATA!C1139,"AAAAAHf+tRM=")</f>
        <v>#VALUE!</v>
      </c>
      <c r="U101" t="e">
        <f>AND(DATA!D1139,"AAAAAHf+tRQ=")</f>
        <v>#VALUE!</v>
      </c>
      <c r="V101" t="e">
        <f>AND(DATA!E1139,"AAAAAHf+tRU=")</f>
        <v>#VALUE!</v>
      </c>
      <c r="W101" t="e">
        <f>AND(DATA!F1139,"AAAAAHf+tRY=")</f>
        <v>#VALUE!</v>
      </c>
      <c r="X101" t="e">
        <f>AND(DATA!G1139,"AAAAAHf+tRc=")</f>
        <v>#VALUE!</v>
      </c>
      <c r="Y101" t="e">
        <f>AND(DATA!H1139,"AAAAAHf+tRg=")</f>
        <v>#VALUE!</v>
      </c>
      <c r="Z101" t="e">
        <f>AND(DATA!I1139,"AAAAAHf+tRk=")</f>
        <v>#VALUE!</v>
      </c>
      <c r="AA101" t="e">
        <f>AND(DATA!J1139,"AAAAAHf+tRo=")</f>
        <v>#VALUE!</v>
      </c>
      <c r="AB101" t="e">
        <f>AND(DATA!K1139,"AAAAAHf+tRs=")</f>
        <v>#VALUE!</v>
      </c>
      <c r="AC101" t="b">
        <f>AND(DATA!L1139,"AAAAAHf+tRw=")</f>
        <v>1</v>
      </c>
      <c r="AD101" t="e">
        <f>AND(DATA!M1139,"AAAAAHf+tR0=")</f>
        <v>#VALUE!</v>
      </c>
      <c r="AE101" t="b">
        <f>AND(DATA!N1139,"AAAAAHf+tR4=")</f>
        <v>1</v>
      </c>
      <c r="AF101">
        <f>IF(DATA!1140:1140,"AAAAAHf+tR8=",0)</f>
        <v>0</v>
      </c>
      <c r="AG101" t="e">
        <f>AND(DATA!A1140,"AAAAAHf+tSA=")</f>
        <v>#VALUE!</v>
      </c>
      <c r="AH101" t="e">
        <f>AND(DATA!B1140,"AAAAAHf+tSE=")</f>
        <v>#VALUE!</v>
      </c>
      <c r="AI101" t="e">
        <f>AND(DATA!C1140,"AAAAAHf+tSI=")</f>
        <v>#VALUE!</v>
      </c>
      <c r="AJ101" t="e">
        <f>AND(DATA!D1140,"AAAAAHf+tSM=")</f>
        <v>#VALUE!</v>
      </c>
      <c r="AK101" t="e">
        <f>AND(DATA!E1140,"AAAAAHf+tSQ=")</f>
        <v>#VALUE!</v>
      </c>
      <c r="AL101" t="e">
        <f>AND(DATA!F1140,"AAAAAHf+tSU=")</f>
        <v>#VALUE!</v>
      </c>
      <c r="AM101" t="e">
        <f>AND(DATA!G1140,"AAAAAHf+tSY=")</f>
        <v>#VALUE!</v>
      </c>
      <c r="AN101" t="e">
        <f>AND(DATA!H1140,"AAAAAHf+tSc=")</f>
        <v>#VALUE!</v>
      </c>
      <c r="AO101" t="e">
        <f>AND(DATA!I1140,"AAAAAHf+tSg=")</f>
        <v>#VALUE!</v>
      </c>
      <c r="AP101" t="e">
        <f>AND(DATA!J1140,"AAAAAHf+tSk=")</f>
        <v>#VALUE!</v>
      </c>
      <c r="AQ101" t="e">
        <f>AND(DATA!K1140,"AAAAAHf+tSo=")</f>
        <v>#VALUE!</v>
      </c>
      <c r="AR101" t="b">
        <f>AND(DATA!L1140,"AAAAAHf+tSs=")</f>
        <v>1</v>
      </c>
      <c r="AS101" t="e">
        <f>AND(DATA!M1140,"AAAAAHf+tSw=")</f>
        <v>#VALUE!</v>
      </c>
      <c r="AT101" t="b">
        <f>AND(DATA!N1140,"AAAAAHf+tS0=")</f>
        <v>1</v>
      </c>
      <c r="AU101">
        <f>IF(DATA!1141:1141,"AAAAAHf+tS4=",0)</f>
        <v>0</v>
      </c>
      <c r="AV101" t="e">
        <f>AND(DATA!A1141,"AAAAAHf+tS8=")</f>
        <v>#VALUE!</v>
      </c>
      <c r="AW101" t="e">
        <f>AND(DATA!B1141,"AAAAAHf+tTA=")</f>
        <v>#VALUE!</v>
      </c>
      <c r="AX101" t="e">
        <f>AND(DATA!C1141,"AAAAAHf+tTE=")</f>
        <v>#VALUE!</v>
      </c>
      <c r="AY101" t="e">
        <f>AND(DATA!D1141,"AAAAAHf+tTI=")</f>
        <v>#VALUE!</v>
      </c>
      <c r="AZ101" t="e">
        <f>AND(DATA!E1141,"AAAAAHf+tTM=")</f>
        <v>#VALUE!</v>
      </c>
      <c r="BA101" t="e">
        <f>AND(DATA!F1141,"AAAAAHf+tTQ=")</f>
        <v>#VALUE!</v>
      </c>
      <c r="BB101" t="e">
        <f>AND(DATA!G1141,"AAAAAHf+tTU=")</f>
        <v>#VALUE!</v>
      </c>
      <c r="BC101" t="e">
        <f>AND(DATA!H1141,"AAAAAHf+tTY=")</f>
        <v>#VALUE!</v>
      </c>
      <c r="BD101" t="e">
        <f>AND(DATA!I1141,"AAAAAHf+tTc=")</f>
        <v>#VALUE!</v>
      </c>
      <c r="BE101" t="e">
        <f>AND(DATA!J1141,"AAAAAHf+tTg=")</f>
        <v>#VALUE!</v>
      </c>
      <c r="BF101" t="e">
        <f>AND(DATA!K1141,"AAAAAHf+tTk=")</f>
        <v>#VALUE!</v>
      </c>
      <c r="BG101" t="b">
        <f>AND(DATA!L1141,"AAAAAHf+tTo=")</f>
        <v>1</v>
      </c>
      <c r="BH101" t="e">
        <f>AND(DATA!M1141,"AAAAAHf+tTs=")</f>
        <v>#VALUE!</v>
      </c>
      <c r="BI101" t="b">
        <f>AND(DATA!N1141,"AAAAAHf+tTw=")</f>
        <v>1</v>
      </c>
      <c r="BJ101">
        <f>IF(DATA!1142:1142,"AAAAAHf+tT0=",0)</f>
        <v>0</v>
      </c>
      <c r="BK101" t="e">
        <f>AND(DATA!A1142,"AAAAAHf+tT4=")</f>
        <v>#VALUE!</v>
      </c>
      <c r="BL101" t="e">
        <f>AND(DATA!B1142,"AAAAAHf+tT8=")</f>
        <v>#VALUE!</v>
      </c>
      <c r="BM101" t="e">
        <f>AND(DATA!C1142,"AAAAAHf+tUA=")</f>
        <v>#VALUE!</v>
      </c>
      <c r="BN101" t="e">
        <f>AND(DATA!D1142,"AAAAAHf+tUE=")</f>
        <v>#VALUE!</v>
      </c>
      <c r="BO101" t="e">
        <f>AND(DATA!E1142,"AAAAAHf+tUI=")</f>
        <v>#VALUE!</v>
      </c>
      <c r="BP101" t="e">
        <f>AND(DATA!F1142,"AAAAAHf+tUM=")</f>
        <v>#VALUE!</v>
      </c>
      <c r="BQ101" t="e">
        <f>AND(DATA!G1142,"AAAAAHf+tUQ=")</f>
        <v>#VALUE!</v>
      </c>
      <c r="BR101" t="e">
        <f>AND(DATA!H1142,"AAAAAHf+tUU=")</f>
        <v>#VALUE!</v>
      </c>
      <c r="BS101" t="e">
        <f>AND(DATA!I1142,"AAAAAHf+tUY=")</f>
        <v>#VALUE!</v>
      </c>
      <c r="BT101" t="e">
        <f>AND(DATA!J1142,"AAAAAHf+tUc=")</f>
        <v>#VALUE!</v>
      </c>
      <c r="BU101" t="e">
        <f>AND(DATA!K1142,"AAAAAHf+tUg=")</f>
        <v>#VALUE!</v>
      </c>
      <c r="BV101" t="b">
        <f>AND(DATA!L1142,"AAAAAHf+tUk=")</f>
        <v>1</v>
      </c>
      <c r="BW101" t="e">
        <f>AND(DATA!M1142,"AAAAAHf+tUo=")</f>
        <v>#VALUE!</v>
      </c>
      <c r="BX101" t="b">
        <f>AND(DATA!N1142,"AAAAAHf+tUs=")</f>
        <v>1</v>
      </c>
      <c r="BY101">
        <f>IF(DATA!1143:1143,"AAAAAHf+tUw=",0)</f>
        <v>0</v>
      </c>
      <c r="BZ101" t="e">
        <f>AND(DATA!A1143,"AAAAAHf+tU0=")</f>
        <v>#VALUE!</v>
      </c>
      <c r="CA101" t="e">
        <f>AND(DATA!B1143,"AAAAAHf+tU4=")</f>
        <v>#VALUE!</v>
      </c>
      <c r="CB101" t="e">
        <f>AND(DATA!C1143,"AAAAAHf+tU8=")</f>
        <v>#VALUE!</v>
      </c>
      <c r="CC101" t="e">
        <f>AND(DATA!D1143,"AAAAAHf+tVA=")</f>
        <v>#VALUE!</v>
      </c>
      <c r="CD101" t="e">
        <f>AND(DATA!E1143,"AAAAAHf+tVE=")</f>
        <v>#VALUE!</v>
      </c>
      <c r="CE101" t="e">
        <f>AND(DATA!F1143,"AAAAAHf+tVI=")</f>
        <v>#VALUE!</v>
      </c>
      <c r="CF101" t="e">
        <f>AND(DATA!G1143,"AAAAAHf+tVM=")</f>
        <v>#VALUE!</v>
      </c>
      <c r="CG101" t="e">
        <f>AND(DATA!H1143,"AAAAAHf+tVQ=")</f>
        <v>#VALUE!</v>
      </c>
      <c r="CH101" t="e">
        <f>AND(DATA!I1143,"AAAAAHf+tVU=")</f>
        <v>#VALUE!</v>
      </c>
      <c r="CI101" t="e">
        <f>AND(DATA!J1143,"AAAAAHf+tVY=")</f>
        <v>#VALUE!</v>
      </c>
      <c r="CJ101" t="e">
        <f>AND(DATA!K1143,"AAAAAHf+tVc=")</f>
        <v>#VALUE!</v>
      </c>
      <c r="CK101" t="b">
        <f>AND(DATA!L1143,"AAAAAHf+tVg=")</f>
        <v>1</v>
      </c>
      <c r="CL101" t="e">
        <f>AND(DATA!M1143,"AAAAAHf+tVk=")</f>
        <v>#VALUE!</v>
      </c>
      <c r="CM101" t="b">
        <f>AND(DATA!N1143,"AAAAAHf+tVo=")</f>
        <v>1</v>
      </c>
      <c r="CN101">
        <f>IF(DATA!1144:1144,"AAAAAHf+tVs=",0)</f>
        <v>0</v>
      </c>
      <c r="CO101" t="e">
        <f>AND(DATA!A1144,"AAAAAHf+tVw=")</f>
        <v>#VALUE!</v>
      </c>
      <c r="CP101" t="e">
        <f>AND(DATA!B1144,"AAAAAHf+tV0=")</f>
        <v>#VALUE!</v>
      </c>
      <c r="CQ101" t="e">
        <f>AND(DATA!C1144,"AAAAAHf+tV4=")</f>
        <v>#VALUE!</v>
      </c>
      <c r="CR101" t="e">
        <f>AND(DATA!D1144,"AAAAAHf+tV8=")</f>
        <v>#VALUE!</v>
      </c>
      <c r="CS101" t="e">
        <f>AND(DATA!E1144,"AAAAAHf+tWA=")</f>
        <v>#VALUE!</v>
      </c>
      <c r="CT101" t="e">
        <f>AND(DATA!F1144,"AAAAAHf+tWE=")</f>
        <v>#VALUE!</v>
      </c>
      <c r="CU101" t="e">
        <f>AND(DATA!G1144,"AAAAAHf+tWI=")</f>
        <v>#VALUE!</v>
      </c>
      <c r="CV101" t="e">
        <f>AND(DATA!H1144,"AAAAAHf+tWM=")</f>
        <v>#VALUE!</v>
      </c>
      <c r="CW101" t="e">
        <f>AND(DATA!I1144,"AAAAAHf+tWQ=")</f>
        <v>#VALUE!</v>
      </c>
      <c r="CX101" t="e">
        <f>AND(DATA!J1144,"AAAAAHf+tWU=")</f>
        <v>#VALUE!</v>
      </c>
      <c r="CY101" t="e">
        <f>AND(DATA!K1144,"AAAAAHf+tWY=")</f>
        <v>#VALUE!</v>
      </c>
      <c r="CZ101" t="b">
        <f>AND(DATA!L1144,"AAAAAHf+tWc=")</f>
        <v>1</v>
      </c>
      <c r="DA101" t="e">
        <f>AND(DATA!M1144,"AAAAAHf+tWg=")</f>
        <v>#VALUE!</v>
      </c>
      <c r="DB101" t="b">
        <f>AND(DATA!N1144,"AAAAAHf+tWk=")</f>
        <v>1</v>
      </c>
      <c r="DC101">
        <f>IF(DATA!1145:1145,"AAAAAHf+tWo=",0)</f>
        <v>0</v>
      </c>
      <c r="DD101" t="e">
        <f>AND(DATA!A1145,"AAAAAHf+tWs=")</f>
        <v>#VALUE!</v>
      </c>
      <c r="DE101" t="e">
        <f>AND(DATA!B1145,"AAAAAHf+tWw=")</f>
        <v>#VALUE!</v>
      </c>
      <c r="DF101" t="e">
        <f>AND(DATA!C1145,"AAAAAHf+tW0=")</f>
        <v>#VALUE!</v>
      </c>
      <c r="DG101" t="e">
        <f>AND(DATA!D1145,"AAAAAHf+tW4=")</f>
        <v>#VALUE!</v>
      </c>
      <c r="DH101" t="e">
        <f>AND(DATA!E1145,"AAAAAHf+tW8=")</f>
        <v>#VALUE!</v>
      </c>
      <c r="DI101" t="e">
        <f>AND(DATA!F1145,"AAAAAHf+tXA=")</f>
        <v>#VALUE!</v>
      </c>
      <c r="DJ101" t="e">
        <f>AND(DATA!G1145,"AAAAAHf+tXE=")</f>
        <v>#VALUE!</v>
      </c>
      <c r="DK101" t="e">
        <f>AND(DATA!H1145,"AAAAAHf+tXI=")</f>
        <v>#VALUE!</v>
      </c>
      <c r="DL101" t="e">
        <f>AND(DATA!I1145,"AAAAAHf+tXM=")</f>
        <v>#VALUE!</v>
      </c>
      <c r="DM101" t="e">
        <f>AND(DATA!J1145,"AAAAAHf+tXQ=")</f>
        <v>#VALUE!</v>
      </c>
      <c r="DN101" t="e">
        <f>AND(DATA!K1145,"AAAAAHf+tXU=")</f>
        <v>#VALUE!</v>
      </c>
      <c r="DO101" t="b">
        <f>AND(DATA!L1145,"AAAAAHf+tXY=")</f>
        <v>1</v>
      </c>
      <c r="DP101" t="e">
        <f>AND(DATA!M1145,"AAAAAHf+tXc=")</f>
        <v>#VALUE!</v>
      </c>
      <c r="DQ101" t="b">
        <f>AND(DATA!N1145,"AAAAAHf+tXg=")</f>
        <v>1</v>
      </c>
      <c r="DR101">
        <f>IF(DATA!1146:1146,"AAAAAHf+tXk=",0)</f>
        <v>0</v>
      </c>
      <c r="DS101" t="e">
        <f>AND(DATA!A1146,"AAAAAHf+tXo=")</f>
        <v>#VALUE!</v>
      </c>
      <c r="DT101" t="e">
        <f>AND(DATA!B1146,"AAAAAHf+tXs=")</f>
        <v>#VALUE!</v>
      </c>
      <c r="DU101" t="e">
        <f>AND(DATA!C1146,"AAAAAHf+tXw=")</f>
        <v>#VALUE!</v>
      </c>
      <c r="DV101" t="e">
        <f>AND(DATA!D1146,"AAAAAHf+tX0=")</f>
        <v>#VALUE!</v>
      </c>
      <c r="DW101" t="e">
        <f>AND(DATA!E1146,"AAAAAHf+tX4=")</f>
        <v>#VALUE!</v>
      </c>
      <c r="DX101" t="e">
        <f>AND(DATA!F1146,"AAAAAHf+tX8=")</f>
        <v>#VALUE!</v>
      </c>
      <c r="DY101" t="e">
        <f>AND(DATA!G1146,"AAAAAHf+tYA=")</f>
        <v>#VALUE!</v>
      </c>
      <c r="DZ101" t="e">
        <f>AND(DATA!H1146,"AAAAAHf+tYE=")</f>
        <v>#VALUE!</v>
      </c>
      <c r="EA101" t="e">
        <f>AND(DATA!I1146,"AAAAAHf+tYI=")</f>
        <v>#VALUE!</v>
      </c>
      <c r="EB101" t="e">
        <f>AND(DATA!J1146,"AAAAAHf+tYM=")</f>
        <v>#VALUE!</v>
      </c>
      <c r="EC101" t="e">
        <f>AND(DATA!K1146,"AAAAAHf+tYQ=")</f>
        <v>#VALUE!</v>
      </c>
      <c r="ED101" t="b">
        <f>AND(DATA!L1146,"AAAAAHf+tYU=")</f>
        <v>1</v>
      </c>
      <c r="EE101" t="e">
        <f>AND(DATA!M1146,"AAAAAHf+tYY=")</f>
        <v>#VALUE!</v>
      </c>
      <c r="EF101" t="b">
        <f>AND(DATA!N1146,"AAAAAHf+tYc=")</f>
        <v>1</v>
      </c>
      <c r="EG101">
        <f>IF(DATA!1147:1147,"AAAAAHf+tYg=",0)</f>
        <v>0</v>
      </c>
      <c r="EH101" t="e">
        <f>AND(DATA!A1147,"AAAAAHf+tYk=")</f>
        <v>#VALUE!</v>
      </c>
      <c r="EI101" t="e">
        <f>AND(DATA!B1147,"AAAAAHf+tYo=")</f>
        <v>#VALUE!</v>
      </c>
      <c r="EJ101" t="e">
        <f>AND(DATA!C1147,"AAAAAHf+tYs=")</f>
        <v>#VALUE!</v>
      </c>
      <c r="EK101" t="e">
        <f>AND(DATA!D1147,"AAAAAHf+tYw=")</f>
        <v>#VALUE!</v>
      </c>
      <c r="EL101" t="e">
        <f>AND(DATA!E1147,"AAAAAHf+tY0=")</f>
        <v>#VALUE!</v>
      </c>
      <c r="EM101" t="e">
        <f>AND(DATA!F1147,"AAAAAHf+tY4=")</f>
        <v>#VALUE!</v>
      </c>
      <c r="EN101" t="e">
        <f>AND(DATA!G1147,"AAAAAHf+tY8=")</f>
        <v>#VALUE!</v>
      </c>
      <c r="EO101" t="e">
        <f>AND(DATA!H1147,"AAAAAHf+tZA=")</f>
        <v>#VALUE!</v>
      </c>
      <c r="EP101" t="e">
        <f>AND(DATA!I1147,"AAAAAHf+tZE=")</f>
        <v>#VALUE!</v>
      </c>
      <c r="EQ101" t="e">
        <f>AND(DATA!J1147,"AAAAAHf+tZI=")</f>
        <v>#VALUE!</v>
      </c>
      <c r="ER101" t="e">
        <f>AND(DATA!K1147,"AAAAAHf+tZM=")</f>
        <v>#VALUE!</v>
      </c>
      <c r="ES101" t="b">
        <f>AND(DATA!L1147,"AAAAAHf+tZQ=")</f>
        <v>1</v>
      </c>
      <c r="ET101" t="e">
        <f>AND(DATA!M1147,"AAAAAHf+tZU=")</f>
        <v>#VALUE!</v>
      </c>
      <c r="EU101" t="b">
        <f>AND(DATA!N1147,"AAAAAHf+tZY=")</f>
        <v>1</v>
      </c>
      <c r="EV101">
        <f>IF(DATA!1148:1148,"AAAAAHf+tZc=",0)</f>
        <v>0</v>
      </c>
      <c r="EW101" t="e">
        <f>AND(DATA!A1148,"AAAAAHf+tZg=")</f>
        <v>#VALUE!</v>
      </c>
      <c r="EX101" t="e">
        <f>AND(DATA!B1148,"AAAAAHf+tZk=")</f>
        <v>#VALUE!</v>
      </c>
      <c r="EY101" t="e">
        <f>AND(DATA!C1148,"AAAAAHf+tZo=")</f>
        <v>#VALUE!</v>
      </c>
      <c r="EZ101" t="e">
        <f>AND(DATA!D1148,"AAAAAHf+tZs=")</f>
        <v>#VALUE!</v>
      </c>
      <c r="FA101" t="e">
        <f>AND(DATA!E1148,"AAAAAHf+tZw=")</f>
        <v>#VALUE!</v>
      </c>
      <c r="FB101" t="e">
        <f>AND(DATA!F1148,"AAAAAHf+tZ0=")</f>
        <v>#VALUE!</v>
      </c>
      <c r="FC101" t="e">
        <f>AND(DATA!G1148,"AAAAAHf+tZ4=")</f>
        <v>#VALUE!</v>
      </c>
      <c r="FD101" t="e">
        <f>AND(DATA!H1148,"AAAAAHf+tZ8=")</f>
        <v>#VALUE!</v>
      </c>
      <c r="FE101" t="e">
        <f>AND(DATA!I1148,"AAAAAHf+taA=")</f>
        <v>#VALUE!</v>
      </c>
      <c r="FF101" t="e">
        <f>AND(DATA!J1148,"AAAAAHf+taE=")</f>
        <v>#VALUE!</v>
      </c>
      <c r="FG101" t="e">
        <f>AND(DATA!K1148,"AAAAAHf+taI=")</f>
        <v>#VALUE!</v>
      </c>
      <c r="FH101" t="b">
        <f>AND(DATA!L1148,"AAAAAHf+taM=")</f>
        <v>1</v>
      </c>
      <c r="FI101" t="e">
        <f>AND(DATA!M1148,"AAAAAHf+taQ=")</f>
        <v>#VALUE!</v>
      </c>
      <c r="FJ101" t="b">
        <f>AND(DATA!N1148,"AAAAAHf+taU=")</f>
        <v>1</v>
      </c>
      <c r="FK101">
        <f>IF(DATA!1149:1149,"AAAAAHf+taY=",0)</f>
        <v>0</v>
      </c>
      <c r="FL101" t="e">
        <f>AND(DATA!A1149,"AAAAAHf+tac=")</f>
        <v>#VALUE!</v>
      </c>
      <c r="FM101" t="e">
        <f>AND(DATA!B1149,"AAAAAHf+tag=")</f>
        <v>#VALUE!</v>
      </c>
      <c r="FN101" t="e">
        <f>AND(DATA!C1149,"AAAAAHf+tak=")</f>
        <v>#VALUE!</v>
      </c>
      <c r="FO101" t="e">
        <f>AND(DATA!D1149,"AAAAAHf+tao=")</f>
        <v>#VALUE!</v>
      </c>
      <c r="FP101" t="e">
        <f>AND(DATA!E1149,"AAAAAHf+tas=")</f>
        <v>#VALUE!</v>
      </c>
      <c r="FQ101" t="e">
        <f>AND(DATA!F1149,"AAAAAHf+taw=")</f>
        <v>#VALUE!</v>
      </c>
      <c r="FR101" t="e">
        <f>AND(DATA!G1149,"AAAAAHf+ta0=")</f>
        <v>#VALUE!</v>
      </c>
      <c r="FS101" t="e">
        <f>AND(DATA!H1149,"AAAAAHf+ta4=")</f>
        <v>#VALUE!</v>
      </c>
      <c r="FT101" t="e">
        <f>AND(DATA!I1149,"AAAAAHf+ta8=")</f>
        <v>#VALUE!</v>
      </c>
      <c r="FU101" t="e">
        <f>AND(DATA!J1149,"AAAAAHf+tbA=")</f>
        <v>#VALUE!</v>
      </c>
      <c r="FV101" t="e">
        <f>AND(DATA!K1149,"AAAAAHf+tbE=")</f>
        <v>#VALUE!</v>
      </c>
      <c r="FW101" t="b">
        <f>AND(DATA!L1149,"AAAAAHf+tbI=")</f>
        <v>1</v>
      </c>
      <c r="FX101" t="e">
        <f>AND(DATA!M1149,"AAAAAHf+tbM=")</f>
        <v>#VALUE!</v>
      </c>
      <c r="FY101" t="b">
        <f>AND(DATA!N1149,"AAAAAHf+tbQ=")</f>
        <v>1</v>
      </c>
      <c r="FZ101">
        <f>IF(DATA!1150:1150,"AAAAAHf+tbU=",0)</f>
        <v>0</v>
      </c>
      <c r="GA101" t="e">
        <f>AND(DATA!A1150,"AAAAAHf+tbY=")</f>
        <v>#VALUE!</v>
      </c>
      <c r="GB101" t="e">
        <f>AND(DATA!B1150,"AAAAAHf+tbc=")</f>
        <v>#VALUE!</v>
      </c>
      <c r="GC101" t="e">
        <f>AND(DATA!C1150,"AAAAAHf+tbg=")</f>
        <v>#VALUE!</v>
      </c>
      <c r="GD101" t="e">
        <f>AND(DATA!D1150,"AAAAAHf+tbk=")</f>
        <v>#VALUE!</v>
      </c>
      <c r="GE101" t="e">
        <f>AND(DATA!E1150,"AAAAAHf+tbo=")</f>
        <v>#VALUE!</v>
      </c>
      <c r="GF101" t="e">
        <f>AND(DATA!F1150,"AAAAAHf+tbs=")</f>
        <v>#VALUE!</v>
      </c>
      <c r="GG101" t="e">
        <f>AND(DATA!G1150,"AAAAAHf+tbw=")</f>
        <v>#VALUE!</v>
      </c>
      <c r="GH101" t="e">
        <f>AND(DATA!H1150,"AAAAAHf+tb0=")</f>
        <v>#VALUE!</v>
      </c>
      <c r="GI101" t="e">
        <f>AND(DATA!I1150,"AAAAAHf+tb4=")</f>
        <v>#VALUE!</v>
      </c>
      <c r="GJ101" t="e">
        <f>AND(DATA!J1150,"AAAAAHf+tb8=")</f>
        <v>#VALUE!</v>
      </c>
      <c r="GK101" t="e">
        <f>AND(DATA!K1150,"AAAAAHf+tcA=")</f>
        <v>#VALUE!</v>
      </c>
      <c r="GL101" t="b">
        <f>AND(DATA!L1150,"AAAAAHf+tcE=")</f>
        <v>1</v>
      </c>
      <c r="GM101" t="e">
        <f>AND(DATA!M1150,"AAAAAHf+tcI=")</f>
        <v>#VALUE!</v>
      </c>
      <c r="GN101" t="b">
        <f>AND(DATA!N1150,"AAAAAHf+tcM=")</f>
        <v>1</v>
      </c>
      <c r="GO101">
        <f>IF(DATA!1151:1151,"AAAAAHf+tcQ=",0)</f>
        <v>0</v>
      </c>
      <c r="GP101" t="e">
        <f>AND(DATA!A1151,"AAAAAHf+tcU=")</f>
        <v>#VALUE!</v>
      </c>
      <c r="GQ101" t="e">
        <f>AND(DATA!B1151,"AAAAAHf+tcY=")</f>
        <v>#VALUE!</v>
      </c>
      <c r="GR101" t="e">
        <f>AND(DATA!C1151,"AAAAAHf+tcc=")</f>
        <v>#VALUE!</v>
      </c>
      <c r="GS101" t="e">
        <f>AND(DATA!D1151,"AAAAAHf+tcg=")</f>
        <v>#VALUE!</v>
      </c>
      <c r="GT101" t="e">
        <f>AND(DATA!E1151,"AAAAAHf+tck=")</f>
        <v>#VALUE!</v>
      </c>
      <c r="GU101" t="e">
        <f>AND(DATA!F1151,"AAAAAHf+tco=")</f>
        <v>#VALUE!</v>
      </c>
      <c r="GV101" t="e">
        <f>AND(DATA!G1151,"AAAAAHf+tcs=")</f>
        <v>#VALUE!</v>
      </c>
      <c r="GW101" t="e">
        <f>AND(DATA!H1151,"AAAAAHf+tcw=")</f>
        <v>#VALUE!</v>
      </c>
      <c r="GX101" t="e">
        <f>AND(DATA!I1151,"AAAAAHf+tc0=")</f>
        <v>#VALUE!</v>
      </c>
      <c r="GY101" t="e">
        <f>AND(DATA!J1151,"AAAAAHf+tc4=")</f>
        <v>#VALUE!</v>
      </c>
      <c r="GZ101" t="e">
        <f>AND(DATA!K1151,"AAAAAHf+tc8=")</f>
        <v>#VALUE!</v>
      </c>
      <c r="HA101" t="b">
        <f>AND(DATA!L1151,"AAAAAHf+tdA=")</f>
        <v>1</v>
      </c>
      <c r="HB101" t="e">
        <f>AND(DATA!M1151,"AAAAAHf+tdE=")</f>
        <v>#VALUE!</v>
      </c>
      <c r="HC101" t="b">
        <f>AND(DATA!N1151,"AAAAAHf+tdI=")</f>
        <v>1</v>
      </c>
      <c r="HD101">
        <f>IF(DATA!1152:1152,"AAAAAHf+tdM=",0)</f>
        <v>0</v>
      </c>
      <c r="HE101" t="e">
        <f>AND(DATA!A1152,"AAAAAHf+tdQ=")</f>
        <v>#VALUE!</v>
      </c>
      <c r="HF101" t="e">
        <f>AND(DATA!B1152,"AAAAAHf+tdU=")</f>
        <v>#VALUE!</v>
      </c>
      <c r="HG101" t="e">
        <f>AND(DATA!C1152,"AAAAAHf+tdY=")</f>
        <v>#VALUE!</v>
      </c>
      <c r="HH101" t="e">
        <f>AND(DATA!D1152,"AAAAAHf+tdc=")</f>
        <v>#VALUE!</v>
      </c>
      <c r="HI101" t="e">
        <f>AND(DATA!E1152,"AAAAAHf+tdg=")</f>
        <v>#VALUE!</v>
      </c>
      <c r="HJ101" t="e">
        <f>AND(DATA!F1152,"AAAAAHf+tdk=")</f>
        <v>#VALUE!</v>
      </c>
      <c r="HK101" t="e">
        <f>AND(DATA!G1152,"AAAAAHf+tdo=")</f>
        <v>#VALUE!</v>
      </c>
      <c r="HL101" t="e">
        <f>AND(DATA!H1152,"AAAAAHf+tds=")</f>
        <v>#VALUE!</v>
      </c>
      <c r="HM101" t="e">
        <f>AND(DATA!I1152,"AAAAAHf+tdw=")</f>
        <v>#VALUE!</v>
      </c>
      <c r="HN101" t="e">
        <f>AND(DATA!J1152,"AAAAAHf+td0=")</f>
        <v>#VALUE!</v>
      </c>
      <c r="HO101" t="e">
        <f>AND(DATA!K1152,"AAAAAHf+td4=")</f>
        <v>#VALUE!</v>
      </c>
      <c r="HP101" t="b">
        <f>AND(DATA!L1152,"AAAAAHf+td8=")</f>
        <v>1</v>
      </c>
      <c r="HQ101" t="e">
        <f>AND(DATA!M1152,"AAAAAHf+teA=")</f>
        <v>#VALUE!</v>
      </c>
      <c r="HR101" t="b">
        <f>AND(DATA!N1152,"AAAAAHf+teE=")</f>
        <v>1</v>
      </c>
      <c r="HS101">
        <f>IF(DATA!1153:1153,"AAAAAHf+teI=",0)</f>
        <v>0</v>
      </c>
      <c r="HT101" t="e">
        <f>AND(DATA!A1153,"AAAAAHf+teM=")</f>
        <v>#VALUE!</v>
      </c>
      <c r="HU101" t="e">
        <f>AND(DATA!B1153,"AAAAAHf+teQ=")</f>
        <v>#VALUE!</v>
      </c>
      <c r="HV101" t="e">
        <f>AND(DATA!C1153,"AAAAAHf+teU=")</f>
        <v>#VALUE!</v>
      </c>
      <c r="HW101" t="e">
        <f>AND(DATA!D1153,"AAAAAHf+teY=")</f>
        <v>#VALUE!</v>
      </c>
      <c r="HX101" t="e">
        <f>AND(DATA!E1153,"AAAAAHf+tec=")</f>
        <v>#VALUE!</v>
      </c>
      <c r="HY101" t="e">
        <f>AND(DATA!F1153,"AAAAAHf+teg=")</f>
        <v>#VALUE!</v>
      </c>
      <c r="HZ101" t="e">
        <f>AND(DATA!G1153,"AAAAAHf+tek=")</f>
        <v>#VALUE!</v>
      </c>
      <c r="IA101" t="e">
        <f>AND(DATA!H1153,"AAAAAHf+teo=")</f>
        <v>#VALUE!</v>
      </c>
      <c r="IB101" t="e">
        <f>AND(DATA!I1153,"AAAAAHf+tes=")</f>
        <v>#VALUE!</v>
      </c>
      <c r="IC101" t="e">
        <f>AND(DATA!J1153,"AAAAAHf+tew=")</f>
        <v>#VALUE!</v>
      </c>
      <c r="ID101" t="e">
        <f>AND(DATA!K1153,"AAAAAHf+te0=")</f>
        <v>#VALUE!</v>
      </c>
      <c r="IE101" t="b">
        <f>AND(DATA!L1153,"AAAAAHf+te4=")</f>
        <v>1</v>
      </c>
      <c r="IF101" t="e">
        <f>AND(DATA!M1153,"AAAAAHf+te8=")</f>
        <v>#VALUE!</v>
      </c>
      <c r="IG101" t="b">
        <f>AND(DATA!N1153,"AAAAAHf+tfA=")</f>
        <v>1</v>
      </c>
      <c r="IH101">
        <f>IF(DATA!1154:1154,"AAAAAHf+tfE=",0)</f>
        <v>0</v>
      </c>
      <c r="II101" t="e">
        <f>AND(DATA!A1154,"AAAAAHf+tfI=")</f>
        <v>#VALUE!</v>
      </c>
      <c r="IJ101" t="e">
        <f>AND(DATA!B1154,"AAAAAHf+tfM=")</f>
        <v>#VALUE!</v>
      </c>
      <c r="IK101" t="e">
        <f>AND(DATA!C1154,"AAAAAHf+tfQ=")</f>
        <v>#VALUE!</v>
      </c>
      <c r="IL101" t="e">
        <f>AND(DATA!D1154,"AAAAAHf+tfU=")</f>
        <v>#VALUE!</v>
      </c>
      <c r="IM101" t="e">
        <f>AND(DATA!E1154,"AAAAAHf+tfY=")</f>
        <v>#VALUE!</v>
      </c>
      <c r="IN101" t="e">
        <f>AND(DATA!F1154,"AAAAAHf+tfc=")</f>
        <v>#VALUE!</v>
      </c>
      <c r="IO101" t="e">
        <f>AND(DATA!G1154,"AAAAAHf+tfg=")</f>
        <v>#VALUE!</v>
      </c>
      <c r="IP101" t="e">
        <f>AND(DATA!H1154,"AAAAAHf+tfk=")</f>
        <v>#VALUE!</v>
      </c>
      <c r="IQ101" t="e">
        <f>AND(DATA!I1154,"AAAAAHf+tfo=")</f>
        <v>#VALUE!</v>
      </c>
      <c r="IR101" t="e">
        <f>AND(DATA!J1154,"AAAAAHf+tfs=")</f>
        <v>#VALUE!</v>
      </c>
      <c r="IS101" t="e">
        <f>AND(DATA!K1154,"AAAAAHf+tfw=")</f>
        <v>#VALUE!</v>
      </c>
      <c r="IT101" t="b">
        <f>AND(DATA!L1154,"AAAAAHf+tf0=")</f>
        <v>1</v>
      </c>
      <c r="IU101" t="e">
        <f>AND(DATA!M1154,"AAAAAHf+tf4=")</f>
        <v>#VALUE!</v>
      </c>
      <c r="IV101" t="b">
        <f>AND(DATA!N1154,"AAAAAHf+tf8=")</f>
        <v>1</v>
      </c>
    </row>
    <row r="102" spans="1:256">
      <c r="A102">
        <f>IF(DATA!1155:1155,"AAAAAH1/vgA=",0)</f>
        <v>0</v>
      </c>
      <c r="B102" t="e">
        <f>AND(DATA!A1155,"AAAAAH1/vgE=")</f>
        <v>#VALUE!</v>
      </c>
      <c r="C102" t="e">
        <f>AND(DATA!B1155,"AAAAAH1/vgI=")</f>
        <v>#VALUE!</v>
      </c>
      <c r="D102" t="e">
        <f>AND(DATA!C1155,"AAAAAH1/vgM=")</f>
        <v>#VALUE!</v>
      </c>
      <c r="E102" t="e">
        <f>AND(DATA!D1155,"AAAAAH1/vgQ=")</f>
        <v>#VALUE!</v>
      </c>
      <c r="F102" t="e">
        <f>AND(DATA!E1155,"AAAAAH1/vgU=")</f>
        <v>#VALUE!</v>
      </c>
      <c r="G102" t="e">
        <f>AND(DATA!F1155,"AAAAAH1/vgY=")</f>
        <v>#VALUE!</v>
      </c>
      <c r="H102" t="e">
        <f>AND(DATA!G1155,"AAAAAH1/vgc=")</f>
        <v>#VALUE!</v>
      </c>
      <c r="I102" t="e">
        <f>AND(DATA!H1155,"AAAAAH1/vgg=")</f>
        <v>#VALUE!</v>
      </c>
      <c r="J102" t="e">
        <f>AND(DATA!I1155,"AAAAAH1/vgk=")</f>
        <v>#VALUE!</v>
      </c>
      <c r="K102" t="e">
        <f>AND(DATA!J1155,"AAAAAH1/vgo=")</f>
        <v>#VALUE!</v>
      </c>
      <c r="L102" t="e">
        <f>AND(DATA!K1155,"AAAAAH1/vgs=")</f>
        <v>#VALUE!</v>
      </c>
      <c r="M102" t="b">
        <f>AND(DATA!L1155,"AAAAAH1/vgw=")</f>
        <v>1</v>
      </c>
      <c r="N102" t="e">
        <f>AND(DATA!M1155,"AAAAAH1/vg0=")</f>
        <v>#VALUE!</v>
      </c>
      <c r="O102" t="b">
        <f>AND(DATA!N1155,"AAAAAH1/vg4=")</f>
        <v>1</v>
      </c>
      <c r="P102">
        <f>IF(DATA!1156:1156,"AAAAAH1/vg8=",0)</f>
        <v>0</v>
      </c>
      <c r="Q102" t="e">
        <f>AND(DATA!A1156,"AAAAAH1/vhA=")</f>
        <v>#VALUE!</v>
      </c>
      <c r="R102" t="e">
        <f>AND(DATA!B1156,"AAAAAH1/vhE=")</f>
        <v>#VALUE!</v>
      </c>
      <c r="S102" t="e">
        <f>AND(DATA!C1156,"AAAAAH1/vhI=")</f>
        <v>#VALUE!</v>
      </c>
      <c r="T102" t="e">
        <f>AND(DATA!D1156,"AAAAAH1/vhM=")</f>
        <v>#VALUE!</v>
      </c>
      <c r="U102" t="e">
        <f>AND(DATA!E1156,"AAAAAH1/vhQ=")</f>
        <v>#VALUE!</v>
      </c>
      <c r="V102" t="e">
        <f>AND(DATA!F1156,"AAAAAH1/vhU=")</f>
        <v>#VALUE!</v>
      </c>
      <c r="W102" t="e">
        <f>AND(DATA!G1156,"AAAAAH1/vhY=")</f>
        <v>#VALUE!</v>
      </c>
      <c r="X102" t="e">
        <f>AND(DATA!H1156,"AAAAAH1/vhc=")</f>
        <v>#VALUE!</v>
      </c>
      <c r="Y102" t="e">
        <f>AND(DATA!I1156,"AAAAAH1/vhg=")</f>
        <v>#VALUE!</v>
      </c>
      <c r="Z102" t="e">
        <f>AND(DATA!J1156,"AAAAAH1/vhk=")</f>
        <v>#VALUE!</v>
      </c>
      <c r="AA102" t="e">
        <f>AND(DATA!K1156,"AAAAAH1/vho=")</f>
        <v>#VALUE!</v>
      </c>
      <c r="AB102" t="b">
        <f>AND(DATA!L1156,"AAAAAH1/vhs=")</f>
        <v>1</v>
      </c>
      <c r="AC102" t="e">
        <f>AND(DATA!M1156,"AAAAAH1/vhw=")</f>
        <v>#VALUE!</v>
      </c>
      <c r="AD102" t="b">
        <f>AND(DATA!N1156,"AAAAAH1/vh0=")</f>
        <v>1</v>
      </c>
      <c r="AE102">
        <f>IF(DATA!1157:1157,"AAAAAH1/vh4=",0)</f>
        <v>0</v>
      </c>
      <c r="AF102" t="e">
        <f>AND(DATA!A1157,"AAAAAH1/vh8=")</f>
        <v>#VALUE!</v>
      </c>
      <c r="AG102" t="e">
        <f>AND(DATA!B1157,"AAAAAH1/viA=")</f>
        <v>#VALUE!</v>
      </c>
      <c r="AH102" t="e">
        <f>AND(DATA!C1157,"AAAAAH1/viE=")</f>
        <v>#VALUE!</v>
      </c>
      <c r="AI102" t="e">
        <f>AND(DATA!D1157,"AAAAAH1/viI=")</f>
        <v>#VALUE!</v>
      </c>
      <c r="AJ102" t="e">
        <f>AND(DATA!E1157,"AAAAAH1/viM=")</f>
        <v>#VALUE!</v>
      </c>
      <c r="AK102" t="e">
        <f>AND(DATA!F1157,"AAAAAH1/viQ=")</f>
        <v>#VALUE!</v>
      </c>
      <c r="AL102" t="e">
        <f>AND(DATA!G1157,"AAAAAH1/viU=")</f>
        <v>#VALUE!</v>
      </c>
      <c r="AM102" t="e">
        <f>AND(DATA!H1157,"AAAAAH1/viY=")</f>
        <v>#VALUE!</v>
      </c>
      <c r="AN102" t="e">
        <f>AND(DATA!I1157,"AAAAAH1/vic=")</f>
        <v>#VALUE!</v>
      </c>
      <c r="AO102" t="e">
        <f>AND(DATA!J1157,"AAAAAH1/vig=")</f>
        <v>#VALUE!</v>
      </c>
      <c r="AP102" t="e">
        <f>AND(DATA!K1157,"AAAAAH1/vik=")</f>
        <v>#VALUE!</v>
      </c>
      <c r="AQ102" t="b">
        <f>AND(DATA!L1157,"AAAAAH1/vio=")</f>
        <v>1</v>
      </c>
      <c r="AR102" t="e">
        <f>AND(DATA!M1157,"AAAAAH1/vis=")</f>
        <v>#VALUE!</v>
      </c>
      <c r="AS102" t="b">
        <f>AND(DATA!N1157,"AAAAAH1/viw=")</f>
        <v>1</v>
      </c>
      <c r="AT102">
        <f>IF(DATA!1158:1158,"AAAAAH1/vi0=",0)</f>
        <v>0</v>
      </c>
      <c r="AU102" t="e">
        <f>AND(DATA!A1158,"AAAAAH1/vi4=")</f>
        <v>#VALUE!</v>
      </c>
      <c r="AV102" t="e">
        <f>AND(DATA!B1158,"AAAAAH1/vi8=")</f>
        <v>#VALUE!</v>
      </c>
      <c r="AW102" t="e">
        <f>AND(DATA!C1158,"AAAAAH1/vjA=")</f>
        <v>#VALUE!</v>
      </c>
      <c r="AX102" t="e">
        <f>AND(DATA!D1158,"AAAAAH1/vjE=")</f>
        <v>#VALUE!</v>
      </c>
      <c r="AY102" t="e">
        <f>AND(DATA!E1158,"AAAAAH1/vjI=")</f>
        <v>#VALUE!</v>
      </c>
      <c r="AZ102" t="e">
        <f>AND(DATA!F1158,"AAAAAH1/vjM=")</f>
        <v>#VALUE!</v>
      </c>
      <c r="BA102" t="e">
        <f>AND(DATA!G1158,"AAAAAH1/vjQ=")</f>
        <v>#VALUE!</v>
      </c>
      <c r="BB102" t="e">
        <f>AND(DATA!H1158,"AAAAAH1/vjU=")</f>
        <v>#VALUE!</v>
      </c>
      <c r="BC102" t="e">
        <f>AND(DATA!I1158,"AAAAAH1/vjY=")</f>
        <v>#VALUE!</v>
      </c>
      <c r="BD102" t="e">
        <f>AND(DATA!J1158,"AAAAAH1/vjc=")</f>
        <v>#VALUE!</v>
      </c>
      <c r="BE102" t="e">
        <f>AND(DATA!K1158,"AAAAAH1/vjg=")</f>
        <v>#VALUE!</v>
      </c>
      <c r="BF102" t="b">
        <f>AND(DATA!L1158,"AAAAAH1/vjk=")</f>
        <v>1</v>
      </c>
      <c r="BG102" t="e">
        <f>AND(DATA!M1158,"AAAAAH1/vjo=")</f>
        <v>#VALUE!</v>
      </c>
      <c r="BH102" t="b">
        <f>AND(DATA!N1158,"AAAAAH1/vjs=")</f>
        <v>1</v>
      </c>
      <c r="BI102">
        <f>IF(DATA!1159:1159,"AAAAAH1/vjw=",0)</f>
        <v>0</v>
      </c>
      <c r="BJ102" t="e">
        <f>AND(DATA!A1159,"AAAAAH1/vj0=")</f>
        <v>#VALUE!</v>
      </c>
      <c r="BK102" t="e">
        <f>AND(DATA!B1159,"AAAAAH1/vj4=")</f>
        <v>#VALUE!</v>
      </c>
      <c r="BL102" t="e">
        <f>AND(DATA!C1159,"AAAAAH1/vj8=")</f>
        <v>#VALUE!</v>
      </c>
      <c r="BM102" t="e">
        <f>AND(DATA!D1159,"AAAAAH1/vkA=")</f>
        <v>#VALUE!</v>
      </c>
      <c r="BN102" t="e">
        <f>AND(DATA!E1159,"AAAAAH1/vkE=")</f>
        <v>#VALUE!</v>
      </c>
      <c r="BO102" t="e">
        <f>AND(DATA!F1159,"AAAAAH1/vkI=")</f>
        <v>#VALUE!</v>
      </c>
      <c r="BP102" t="e">
        <f>AND(DATA!G1159,"AAAAAH1/vkM=")</f>
        <v>#VALUE!</v>
      </c>
      <c r="BQ102" t="e">
        <f>AND(DATA!H1159,"AAAAAH1/vkQ=")</f>
        <v>#VALUE!</v>
      </c>
      <c r="BR102" t="e">
        <f>AND(DATA!I1159,"AAAAAH1/vkU=")</f>
        <v>#VALUE!</v>
      </c>
      <c r="BS102" t="e">
        <f>AND(DATA!J1159,"AAAAAH1/vkY=")</f>
        <v>#VALUE!</v>
      </c>
      <c r="BT102" t="e">
        <f>AND(DATA!K1159,"AAAAAH1/vkc=")</f>
        <v>#VALUE!</v>
      </c>
      <c r="BU102" t="b">
        <f>AND(DATA!L1159,"AAAAAH1/vkg=")</f>
        <v>1</v>
      </c>
      <c r="BV102" t="e">
        <f>AND(DATA!M1159,"AAAAAH1/vkk=")</f>
        <v>#VALUE!</v>
      </c>
      <c r="BW102" t="b">
        <f>AND(DATA!N1159,"AAAAAH1/vko=")</f>
        <v>1</v>
      </c>
      <c r="BX102">
        <f>IF(DATA!1160:1160,"AAAAAH1/vks=",0)</f>
        <v>0</v>
      </c>
      <c r="BY102" t="e">
        <f>AND(DATA!A1160,"AAAAAH1/vkw=")</f>
        <v>#VALUE!</v>
      </c>
      <c r="BZ102" t="e">
        <f>AND(DATA!B1160,"AAAAAH1/vk0=")</f>
        <v>#VALUE!</v>
      </c>
      <c r="CA102" t="e">
        <f>AND(DATA!C1160,"AAAAAH1/vk4=")</f>
        <v>#VALUE!</v>
      </c>
      <c r="CB102" t="e">
        <f>AND(DATA!D1160,"AAAAAH1/vk8=")</f>
        <v>#VALUE!</v>
      </c>
      <c r="CC102" t="e">
        <f>AND(DATA!E1160,"AAAAAH1/vlA=")</f>
        <v>#VALUE!</v>
      </c>
      <c r="CD102" t="e">
        <f>AND(DATA!F1160,"AAAAAH1/vlE=")</f>
        <v>#VALUE!</v>
      </c>
      <c r="CE102" t="e">
        <f>AND(DATA!G1160,"AAAAAH1/vlI=")</f>
        <v>#VALUE!</v>
      </c>
      <c r="CF102" t="e">
        <f>AND(DATA!H1160,"AAAAAH1/vlM=")</f>
        <v>#VALUE!</v>
      </c>
      <c r="CG102" t="e">
        <f>AND(DATA!I1160,"AAAAAH1/vlQ=")</f>
        <v>#VALUE!</v>
      </c>
      <c r="CH102" t="e">
        <f>AND(DATA!J1160,"AAAAAH1/vlU=")</f>
        <v>#VALUE!</v>
      </c>
      <c r="CI102" t="e">
        <f>AND(DATA!K1160,"AAAAAH1/vlY=")</f>
        <v>#VALUE!</v>
      </c>
      <c r="CJ102" t="b">
        <f>AND(DATA!L1160,"AAAAAH1/vlc=")</f>
        <v>1</v>
      </c>
      <c r="CK102" t="e">
        <f>AND(DATA!M1160,"AAAAAH1/vlg=")</f>
        <v>#VALUE!</v>
      </c>
      <c r="CL102" t="b">
        <f>AND(DATA!N1160,"AAAAAH1/vlk=")</f>
        <v>1</v>
      </c>
      <c r="CM102">
        <f>IF(DATA!1161:1161,"AAAAAH1/vlo=",0)</f>
        <v>0</v>
      </c>
      <c r="CN102" t="e">
        <f>AND(DATA!A1161,"AAAAAH1/vls=")</f>
        <v>#VALUE!</v>
      </c>
      <c r="CO102" t="e">
        <f>AND(DATA!B1161,"AAAAAH1/vlw=")</f>
        <v>#VALUE!</v>
      </c>
      <c r="CP102" t="e">
        <f>AND(DATA!C1161,"AAAAAH1/vl0=")</f>
        <v>#VALUE!</v>
      </c>
      <c r="CQ102" t="e">
        <f>AND(DATA!D1161,"AAAAAH1/vl4=")</f>
        <v>#VALUE!</v>
      </c>
      <c r="CR102" t="e">
        <f>AND(DATA!E1161,"AAAAAH1/vl8=")</f>
        <v>#VALUE!</v>
      </c>
      <c r="CS102" t="e">
        <f>AND(DATA!F1161,"AAAAAH1/vmA=")</f>
        <v>#VALUE!</v>
      </c>
      <c r="CT102" t="e">
        <f>AND(DATA!G1161,"AAAAAH1/vmE=")</f>
        <v>#VALUE!</v>
      </c>
      <c r="CU102" t="e">
        <f>AND(DATA!H1161,"AAAAAH1/vmI=")</f>
        <v>#VALUE!</v>
      </c>
      <c r="CV102" t="e">
        <f>AND(DATA!I1161,"AAAAAH1/vmM=")</f>
        <v>#VALUE!</v>
      </c>
      <c r="CW102" t="e">
        <f>AND(DATA!J1161,"AAAAAH1/vmQ=")</f>
        <v>#VALUE!</v>
      </c>
      <c r="CX102" t="e">
        <f>AND(DATA!K1161,"AAAAAH1/vmU=")</f>
        <v>#VALUE!</v>
      </c>
      <c r="CY102" t="b">
        <f>AND(DATA!L1161,"AAAAAH1/vmY=")</f>
        <v>1</v>
      </c>
      <c r="CZ102" t="e">
        <f>AND(DATA!M1161,"AAAAAH1/vmc=")</f>
        <v>#VALUE!</v>
      </c>
      <c r="DA102" t="b">
        <f>AND(DATA!N1161,"AAAAAH1/vmg=")</f>
        <v>1</v>
      </c>
      <c r="DB102">
        <f>IF(DATA!1162:1162,"AAAAAH1/vmk=",0)</f>
        <v>0</v>
      </c>
      <c r="DC102" t="e">
        <f>AND(DATA!A1162,"AAAAAH1/vmo=")</f>
        <v>#VALUE!</v>
      </c>
      <c r="DD102" t="e">
        <f>AND(DATA!B1162,"AAAAAH1/vms=")</f>
        <v>#VALUE!</v>
      </c>
      <c r="DE102" t="e">
        <f>AND(DATA!C1162,"AAAAAH1/vmw=")</f>
        <v>#VALUE!</v>
      </c>
      <c r="DF102" t="e">
        <f>AND(DATA!D1162,"AAAAAH1/vm0=")</f>
        <v>#VALUE!</v>
      </c>
      <c r="DG102" t="e">
        <f>AND(DATA!E1162,"AAAAAH1/vm4=")</f>
        <v>#VALUE!</v>
      </c>
      <c r="DH102" t="e">
        <f>AND(DATA!F1162,"AAAAAH1/vm8=")</f>
        <v>#VALUE!</v>
      </c>
      <c r="DI102" t="e">
        <f>AND(DATA!G1162,"AAAAAH1/vnA=")</f>
        <v>#VALUE!</v>
      </c>
      <c r="DJ102" t="e">
        <f>AND(DATA!H1162,"AAAAAH1/vnE=")</f>
        <v>#VALUE!</v>
      </c>
      <c r="DK102" t="e">
        <f>AND(DATA!I1162,"AAAAAH1/vnI=")</f>
        <v>#VALUE!</v>
      </c>
      <c r="DL102" t="e">
        <f>AND(DATA!J1162,"AAAAAH1/vnM=")</f>
        <v>#VALUE!</v>
      </c>
      <c r="DM102" t="e">
        <f>AND(DATA!K1162,"AAAAAH1/vnQ=")</f>
        <v>#VALUE!</v>
      </c>
      <c r="DN102" t="b">
        <f>AND(DATA!L1162,"AAAAAH1/vnU=")</f>
        <v>1</v>
      </c>
      <c r="DO102" t="e">
        <f>AND(DATA!M1162,"AAAAAH1/vnY=")</f>
        <v>#VALUE!</v>
      </c>
      <c r="DP102" t="b">
        <f>AND(DATA!N1162,"AAAAAH1/vnc=")</f>
        <v>1</v>
      </c>
      <c r="DQ102">
        <f>IF(DATA!1163:1163,"AAAAAH1/vng=",0)</f>
        <v>0</v>
      </c>
      <c r="DR102" t="e">
        <f>AND(DATA!A1163,"AAAAAH1/vnk=")</f>
        <v>#VALUE!</v>
      </c>
      <c r="DS102" t="e">
        <f>AND(DATA!B1163,"AAAAAH1/vno=")</f>
        <v>#VALUE!</v>
      </c>
      <c r="DT102" t="e">
        <f>AND(DATA!C1163,"AAAAAH1/vns=")</f>
        <v>#VALUE!</v>
      </c>
      <c r="DU102" t="e">
        <f>AND(DATA!D1163,"AAAAAH1/vnw=")</f>
        <v>#VALUE!</v>
      </c>
      <c r="DV102" t="e">
        <f>AND(DATA!E1163,"AAAAAH1/vn0=")</f>
        <v>#VALUE!</v>
      </c>
      <c r="DW102" t="e">
        <f>AND(DATA!F1163,"AAAAAH1/vn4=")</f>
        <v>#VALUE!</v>
      </c>
      <c r="DX102" t="e">
        <f>AND(DATA!G1163,"AAAAAH1/vn8=")</f>
        <v>#VALUE!</v>
      </c>
      <c r="DY102" t="e">
        <f>AND(DATA!H1163,"AAAAAH1/voA=")</f>
        <v>#VALUE!</v>
      </c>
      <c r="DZ102" t="e">
        <f>AND(DATA!I1163,"AAAAAH1/voE=")</f>
        <v>#VALUE!</v>
      </c>
      <c r="EA102" t="e">
        <f>AND(DATA!J1163,"AAAAAH1/voI=")</f>
        <v>#VALUE!</v>
      </c>
      <c r="EB102" t="e">
        <f>AND(DATA!K1163,"AAAAAH1/voM=")</f>
        <v>#VALUE!</v>
      </c>
      <c r="EC102" t="b">
        <f>AND(DATA!L1163,"AAAAAH1/voQ=")</f>
        <v>1</v>
      </c>
      <c r="ED102" t="e">
        <f>AND(DATA!M1163,"AAAAAH1/voU=")</f>
        <v>#VALUE!</v>
      </c>
      <c r="EE102" t="b">
        <f>AND(DATA!N1163,"AAAAAH1/voY=")</f>
        <v>1</v>
      </c>
      <c r="EF102">
        <f>IF(DATA!1164:1164,"AAAAAH1/voc=",0)</f>
        <v>0</v>
      </c>
      <c r="EG102" t="e">
        <f>AND(DATA!A1164,"AAAAAH1/vog=")</f>
        <v>#VALUE!</v>
      </c>
      <c r="EH102" t="e">
        <f>AND(DATA!B1164,"AAAAAH1/vok=")</f>
        <v>#VALUE!</v>
      </c>
      <c r="EI102" t="e">
        <f>AND(DATA!C1164,"AAAAAH1/voo=")</f>
        <v>#VALUE!</v>
      </c>
      <c r="EJ102" t="e">
        <f>AND(DATA!D1164,"AAAAAH1/vos=")</f>
        <v>#VALUE!</v>
      </c>
      <c r="EK102" t="e">
        <f>AND(DATA!E1164,"AAAAAH1/vow=")</f>
        <v>#VALUE!</v>
      </c>
      <c r="EL102" t="e">
        <f>AND(DATA!F1164,"AAAAAH1/vo0=")</f>
        <v>#VALUE!</v>
      </c>
      <c r="EM102" t="e">
        <f>AND(DATA!G1164,"AAAAAH1/vo4=")</f>
        <v>#VALUE!</v>
      </c>
      <c r="EN102" t="e">
        <f>AND(DATA!H1164,"AAAAAH1/vo8=")</f>
        <v>#VALUE!</v>
      </c>
      <c r="EO102" t="e">
        <f>AND(DATA!I1164,"AAAAAH1/vpA=")</f>
        <v>#VALUE!</v>
      </c>
      <c r="EP102" t="e">
        <f>AND(DATA!J1164,"AAAAAH1/vpE=")</f>
        <v>#VALUE!</v>
      </c>
      <c r="EQ102" t="e">
        <f>AND(DATA!K1164,"AAAAAH1/vpI=")</f>
        <v>#VALUE!</v>
      </c>
      <c r="ER102" t="b">
        <f>AND(DATA!L1164,"AAAAAH1/vpM=")</f>
        <v>1</v>
      </c>
      <c r="ES102" t="e">
        <f>AND(DATA!M1164,"AAAAAH1/vpQ=")</f>
        <v>#VALUE!</v>
      </c>
      <c r="ET102" t="b">
        <f>AND(DATA!N1164,"AAAAAH1/vpU=")</f>
        <v>1</v>
      </c>
      <c r="EU102">
        <f>IF(DATA!1165:1165,"AAAAAH1/vpY=",0)</f>
        <v>0</v>
      </c>
      <c r="EV102" t="e">
        <f>AND(DATA!A1165,"AAAAAH1/vpc=")</f>
        <v>#VALUE!</v>
      </c>
      <c r="EW102" t="e">
        <f>AND(DATA!B1165,"AAAAAH1/vpg=")</f>
        <v>#VALUE!</v>
      </c>
      <c r="EX102" t="e">
        <f>AND(DATA!C1165,"AAAAAH1/vpk=")</f>
        <v>#VALUE!</v>
      </c>
      <c r="EY102" t="e">
        <f>AND(DATA!D1165,"AAAAAH1/vpo=")</f>
        <v>#VALUE!</v>
      </c>
      <c r="EZ102" t="e">
        <f>AND(DATA!E1165,"AAAAAH1/vps=")</f>
        <v>#VALUE!</v>
      </c>
      <c r="FA102" t="e">
        <f>AND(DATA!F1165,"AAAAAH1/vpw=")</f>
        <v>#VALUE!</v>
      </c>
      <c r="FB102" t="e">
        <f>AND(DATA!G1165,"AAAAAH1/vp0=")</f>
        <v>#VALUE!</v>
      </c>
      <c r="FC102" t="e">
        <f>AND(DATA!H1165,"AAAAAH1/vp4=")</f>
        <v>#VALUE!</v>
      </c>
      <c r="FD102" t="e">
        <f>AND(DATA!I1165,"AAAAAH1/vp8=")</f>
        <v>#VALUE!</v>
      </c>
      <c r="FE102" t="e">
        <f>AND(DATA!J1165,"AAAAAH1/vqA=")</f>
        <v>#VALUE!</v>
      </c>
      <c r="FF102" t="e">
        <f>AND(DATA!K1165,"AAAAAH1/vqE=")</f>
        <v>#VALUE!</v>
      </c>
      <c r="FG102" t="b">
        <f>AND(DATA!L1165,"AAAAAH1/vqI=")</f>
        <v>1</v>
      </c>
      <c r="FH102" t="e">
        <f>AND(DATA!M1165,"AAAAAH1/vqM=")</f>
        <v>#VALUE!</v>
      </c>
      <c r="FI102" t="b">
        <f>AND(DATA!N1165,"AAAAAH1/vqQ=")</f>
        <v>1</v>
      </c>
      <c r="FJ102">
        <f>IF(DATA!1166:1166,"AAAAAH1/vqU=",0)</f>
        <v>0</v>
      </c>
      <c r="FK102" t="e">
        <f>AND(DATA!A1166,"AAAAAH1/vqY=")</f>
        <v>#VALUE!</v>
      </c>
      <c r="FL102" t="e">
        <f>AND(DATA!B1166,"AAAAAH1/vqc=")</f>
        <v>#VALUE!</v>
      </c>
      <c r="FM102" t="e">
        <f>AND(DATA!C1166,"AAAAAH1/vqg=")</f>
        <v>#VALUE!</v>
      </c>
      <c r="FN102" t="e">
        <f>AND(DATA!D1166,"AAAAAH1/vqk=")</f>
        <v>#VALUE!</v>
      </c>
      <c r="FO102" t="e">
        <f>AND(DATA!E1166,"AAAAAH1/vqo=")</f>
        <v>#VALUE!</v>
      </c>
      <c r="FP102" t="e">
        <f>AND(DATA!F1166,"AAAAAH1/vqs=")</f>
        <v>#VALUE!</v>
      </c>
      <c r="FQ102" t="e">
        <f>AND(DATA!G1166,"AAAAAH1/vqw=")</f>
        <v>#VALUE!</v>
      </c>
      <c r="FR102" t="e">
        <f>AND(DATA!H1166,"AAAAAH1/vq0=")</f>
        <v>#VALUE!</v>
      </c>
      <c r="FS102" t="e">
        <f>AND(DATA!I1166,"AAAAAH1/vq4=")</f>
        <v>#VALUE!</v>
      </c>
      <c r="FT102" t="e">
        <f>AND(DATA!J1166,"AAAAAH1/vq8=")</f>
        <v>#VALUE!</v>
      </c>
      <c r="FU102" t="e">
        <f>AND(DATA!K1166,"AAAAAH1/vrA=")</f>
        <v>#VALUE!</v>
      </c>
      <c r="FV102" t="b">
        <f>AND(DATA!L1166,"AAAAAH1/vrE=")</f>
        <v>1</v>
      </c>
      <c r="FW102" t="e">
        <f>AND(DATA!M1166,"AAAAAH1/vrI=")</f>
        <v>#VALUE!</v>
      </c>
      <c r="FX102" t="b">
        <f>AND(DATA!N1166,"AAAAAH1/vrM=")</f>
        <v>1</v>
      </c>
      <c r="FY102">
        <f>IF(DATA!1167:1167,"AAAAAH1/vrQ=",0)</f>
        <v>0</v>
      </c>
      <c r="FZ102" t="e">
        <f>AND(DATA!A1167,"AAAAAH1/vrU=")</f>
        <v>#VALUE!</v>
      </c>
      <c r="GA102" t="e">
        <f>AND(DATA!B1167,"AAAAAH1/vrY=")</f>
        <v>#VALUE!</v>
      </c>
      <c r="GB102" t="e">
        <f>AND(DATA!C1167,"AAAAAH1/vrc=")</f>
        <v>#VALUE!</v>
      </c>
      <c r="GC102" t="e">
        <f>AND(DATA!D1167,"AAAAAH1/vrg=")</f>
        <v>#VALUE!</v>
      </c>
      <c r="GD102" t="e">
        <f>AND(DATA!E1167,"AAAAAH1/vrk=")</f>
        <v>#VALUE!</v>
      </c>
      <c r="GE102" t="e">
        <f>AND(DATA!F1167,"AAAAAH1/vro=")</f>
        <v>#VALUE!</v>
      </c>
      <c r="GF102" t="e">
        <f>AND(DATA!G1167,"AAAAAH1/vrs=")</f>
        <v>#VALUE!</v>
      </c>
      <c r="GG102" t="e">
        <f>AND(DATA!H1167,"AAAAAH1/vrw=")</f>
        <v>#VALUE!</v>
      </c>
      <c r="GH102" t="e">
        <f>AND(DATA!I1167,"AAAAAH1/vr0=")</f>
        <v>#VALUE!</v>
      </c>
      <c r="GI102" t="e">
        <f>AND(DATA!J1167,"AAAAAH1/vr4=")</f>
        <v>#VALUE!</v>
      </c>
      <c r="GJ102" t="e">
        <f>AND(DATA!K1167,"AAAAAH1/vr8=")</f>
        <v>#VALUE!</v>
      </c>
      <c r="GK102" t="b">
        <f>AND(DATA!L1167,"AAAAAH1/vsA=")</f>
        <v>1</v>
      </c>
      <c r="GL102" t="e">
        <f>AND(DATA!M1167,"AAAAAH1/vsE=")</f>
        <v>#VALUE!</v>
      </c>
      <c r="GM102" t="b">
        <f>AND(DATA!N1167,"AAAAAH1/vsI=")</f>
        <v>1</v>
      </c>
      <c r="GN102">
        <f>IF(DATA!1168:1168,"AAAAAH1/vsM=",0)</f>
        <v>0</v>
      </c>
      <c r="GO102" t="e">
        <f>AND(DATA!A1168,"AAAAAH1/vsQ=")</f>
        <v>#VALUE!</v>
      </c>
      <c r="GP102" t="e">
        <f>AND(DATA!B1168,"AAAAAH1/vsU=")</f>
        <v>#VALUE!</v>
      </c>
      <c r="GQ102" t="e">
        <f>AND(DATA!C1168,"AAAAAH1/vsY=")</f>
        <v>#VALUE!</v>
      </c>
      <c r="GR102" t="e">
        <f>AND(DATA!D1168,"AAAAAH1/vsc=")</f>
        <v>#VALUE!</v>
      </c>
      <c r="GS102" t="e">
        <f>AND(DATA!E1168,"AAAAAH1/vsg=")</f>
        <v>#VALUE!</v>
      </c>
      <c r="GT102" t="e">
        <f>AND(DATA!F1168,"AAAAAH1/vsk=")</f>
        <v>#VALUE!</v>
      </c>
      <c r="GU102" t="e">
        <f>AND(DATA!G1168,"AAAAAH1/vso=")</f>
        <v>#VALUE!</v>
      </c>
      <c r="GV102" t="e">
        <f>AND(DATA!H1168,"AAAAAH1/vss=")</f>
        <v>#VALUE!</v>
      </c>
      <c r="GW102" t="e">
        <f>AND(DATA!I1168,"AAAAAH1/vsw=")</f>
        <v>#VALUE!</v>
      </c>
      <c r="GX102" t="e">
        <f>AND(DATA!J1168,"AAAAAH1/vs0=")</f>
        <v>#VALUE!</v>
      </c>
      <c r="GY102" t="e">
        <f>AND(DATA!K1168,"AAAAAH1/vs4=")</f>
        <v>#VALUE!</v>
      </c>
      <c r="GZ102" t="b">
        <f>AND(DATA!L1168,"AAAAAH1/vs8=")</f>
        <v>1</v>
      </c>
      <c r="HA102" t="e">
        <f>AND(DATA!M1168,"AAAAAH1/vtA=")</f>
        <v>#VALUE!</v>
      </c>
      <c r="HB102" t="b">
        <f>AND(DATA!N1168,"AAAAAH1/vtE=")</f>
        <v>1</v>
      </c>
      <c r="HC102">
        <f>IF(DATA!1169:1169,"AAAAAH1/vtI=",0)</f>
        <v>0</v>
      </c>
      <c r="HD102" t="e">
        <f>AND(DATA!A1169,"AAAAAH1/vtM=")</f>
        <v>#VALUE!</v>
      </c>
      <c r="HE102" t="e">
        <f>AND(DATA!B1169,"AAAAAH1/vtQ=")</f>
        <v>#VALUE!</v>
      </c>
      <c r="HF102" t="e">
        <f>AND(DATA!C1169,"AAAAAH1/vtU=")</f>
        <v>#VALUE!</v>
      </c>
      <c r="HG102" t="e">
        <f>AND(DATA!D1169,"AAAAAH1/vtY=")</f>
        <v>#VALUE!</v>
      </c>
      <c r="HH102" t="e">
        <f>AND(DATA!E1169,"AAAAAH1/vtc=")</f>
        <v>#VALUE!</v>
      </c>
      <c r="HI102" t="e">
        <f>AND(DATA!F1169,"AAAAAH1/vtg=")</f>
        <v>#VALUE!</v>
      </c>
      <c r="HJ102" t="e">
        <f>AND(DATA!G1169,"AAAAAH1/vtk=")</f>
        <v>#VALUE!</v>
      </c>
      <c r="HK102" t="e">
        <f>AND(DATA!H1169,"AAAAAH1/vto=")</f>
        <v>#VALUE!</v>
      </c>
      <c r="HL102" t="e">
        <f>AND(DATA!I1169,"AAAAAH1/vts=")</f>
        <v>#VALUE!</v>
      </c>
      <c r="HM102" t="e">
        <f>AND(DATA!J1169,"AAAAAH1/vtw=")</f>
        <v>#VALUE!</v>
      </c>
      <c r="HN102" t="e">
        <f>AND(DATA!K1169,"AAAAAH1/vt0=")</f>
        <v>#VALUE!</v>
      </c>
      <c r="HO102" t="b">
        <f>AND(DATA!L1169,"AAAAAH1/vt4=")</f>
        <v>1</v>
      </c>
      <c r="HP102" t="e">
        <f>AND(DATA!M1169,"AAAAAH1/vt8=")</f>
        <v>#VALUE!</v>
      </c>
      <c r="HQ102" t="b">
        <f>AND(DATA!N1169,"AAAAAH1/vuA=")</f>
        <v>1</v>
      </c>
      <c r="HR102">
        <f>IF(DATA!1170:1170,"AAAAAH1/vuE=",0)</f>
        <v>0</v>
      </c>
      <c r="HS102" t="e">
        <f>AND(DATA!A1170,"AAAAAH1/vuI=")</f>
        <v>#VALUE!</v>
      </c>
      <c r="HT102" t="e">
        <f>AND(DATA!B1170,"AAAAAH1/vuM=")</f>
        <v>#VALUE!</v>
      </c>
      <c r="HU102" t="e">
        <f>AND(DATA!C1170,"AAAAAH1/vuQ=")</f>
        <v>#VALUE!</v>
      </c>
      <c r="HV102" t="e">
        <f>AND(DATA!D1170,"AAAAAH1/vuU=")</f>
        <v>#VALUE!</v>
      </c>
      <c r="HW102" t="e">
        <f>AND(DATA!E1170,"AAAAAH1/vuY=")</f>
        <v>#VALUE!</v>
      </c>
      <c r="HX102" t="e">
        <f>AND(DATA!F1170,"AAAAAH1/vuc=")</f>
        <v>#VALUE!</v>
      </c>
      <c r="HY102" t="e">
        <f>AND(DATA!G1170,"AAAAAH1/vug=")</f>
        <v>#VALUE!</v>
      </c>
      <c r="HZ102" t="e">
        <f>AND(DATA!H1170,"AAAAAH1/vuk=")</f>
        <v>#VALUE!</v>
      </c>
      <c r="IA102" t="e">
        <f>AND(DATA!I1170,"AAAAAH1/vuo=")</f>
        <v>#VALUE!</v>
      </c>
      <c r="IB102" t="e">
        <f>AND(DATA!J1170,"AAAAAH1/vus=")</f>
        <v>#VALUE!</v>
      </c>
      <c r="IC102" t="e">
        <f>AND(DATA!K1170,"AAAAAH1/vuw=")</f>
        <v>#VALUE!</v>
      </c>
      <c r="ID102" t="b">
        <f>AND(DATA!L1170,"AAAAAH1/vu0=")</f>
        <v>1</v>
      </c>
      <c r="IE102" t="e">
        <f>AND(DATA!M1170,"AAAAAH1/vu4=")</f>
        <v>#VALUE!</v>
      </c>
      <c r="IF102" t="b">
        <f>AND(DATA!N1170,"AAAAAH1/vu8=")</f>
        <v>1</v>
      </c>
      <c r="IG102">
        <f>IF(DATA!1171:1171,"AAAAAH1/vvA=",0)</f>
        <v>0</v>
      </c>
      <c r="IH102" t="e">
        <f>AND(DATA!A1171,"AAAAAH1/vvE=")</f>
        <v>#VALUE!</v>
      </c>
      <c r="II102" t="e">
        <f>AND(DATA!B1171,"AAAAAH1/vvI=")</f>
        <v>#VALUE!</v>
      </c>
      <c r="IJ102" t="e">
        <f>AND(DATA!C1171,"AAAAAH1/vvM=")</f>
        <v>#VALUE!</v>
      </c>
      <c r="IK102" t="e">
        <f>AND(DATA!D1171,"AAAAAH1/vvQ=")</f>
        <v>#VALUE!</v>
      </c>
      <c r="IL102" t="e">
        <f>AND(DATA!E1171,"AAAAAH1/vvU=")</f>
        <v>#VALUE!</v>
      </c>
      <c r="IM102" t="e">
        <f>AND(DATA!F1171,"AAAAAH1/vvY=")</f>
        <v>#VALUE!</v>
      </c>
      <c r="IN102" t="e">
        <f>AND(DATA!G1171,"AAAAAH1/vvc=")</f>
        <v>#VALUE!</v>
      </c>
      <c r="IO102" t="e">
        <f>AND(DATA!H1171,"AAAAAH1/vvg=")</f>
        <v>#VALUE!</v>
      </c>
      <c r="IP102" t="e">
        <f>AND(DATA!I1171,"AAAAAH1/vvk=")</f>
        <v>#VALUE!</v>
      </c>
      <c r="IQ102" t="e">
        <f>AND(DATA!J1171,"AAAAAH1/vvo=")</f>
        <v>#VALUE!</v>
      </c>
      <c r="IR102" t="e">
        <f>AND(DATA!K1171,"AAAAAH1/vvs=")</f>
        <v>#VALUE!</v>
      </c>
      <c r="IS102" t="b">
        <f>AND(DATA!L1171,"AAAAAH1/vvw=")</f>
        <v>1</v>
      </c>
      <c r="IT102" t="e">
        <f>AND(DATA!M1171,"AAAAAH1/vv0=")</f>
        <v>#VALUE!</v>
      </c>
      <c r="IU102" t="b">
        <f>AND(DATA!N1171,"AAAAAH1/vv4=")</f>
        <v>1</v>
      </c>
      <c r="IV102">
        <f>IF(DATA!1172:1172,"AAAAAH1/vv8=",0)</f>
        <v>0</v>
      </c>
    </row>
    <row r="103" spans="1:256">
      <c r="A103" t="e">
        <f>AND(DATA!A1172,"AAAAADX//QA=")</f>
        <v>#VALUE!</v>
      </c>
      <c r="B103" t="e">
        <f>AND(DATA!B1172,"AAAAADX//QE=")</f>
        <v>#VALUE!</v>
      </c>
      <c r="C103" t="e">
        <f>AND(DATA!C1172,"AAAAADX//QI=")</f>
        <v>#VALUE!</v>
      </c>
      <c r="D103" t="e">
        <f>AND(DATA!D1172,"AAAAADX//QM=")</f>
        <v>#VALUE!</v>
      </c>
      <c r="E103" t="e">
        <f>AND(DATA!E1172,"AAAAADX//QQ=")</f>
        <v>#VALUE!</v>
      </c>
      <c r="F103" t="e">
        <f>AND(DATA!F1172,"AAAAADX//QU=")</f>
        <v>#VALUE!</v>
      </c>
      <c r="G103" t="e">
        <f>AND(DATA!G1172,"AAAAADX//QY=")</f>
        <v>#VALUE!</v>
      </c>
      <c r="H103" t="e">
        <f>AND(DATA!H1172,"AAAAADX//Qc=")</f>
        <v>#VALUE!</v>
      </c>
      <c r="I103" t="e">
        <f>AND(DATA!I1172,"AAAAADX//Qg=")</f>
        <v>#VALUE!</v>
      </c>
      <c r="J103" t="e">
        <f>AND(DATA!J1172,"AAAAADX//Qk=")</f>
        <v>#VALUE!</v>
      </c>
      <c r="K103" t="e">
        <f>AND(DATA!K1172,"AAAAADX//Qo=")</f>
        <v>#VALUE!</v>
      </c>
      <c r="L103" t="b">
        <f>AND(DATA!L1172,"AAAAADX//Qs=")</f>
        <v>1</v>
      </c>
      <c r="M103" t="e">
        <f>AND(DATA!M1172,"AAAAADX//Qw=")</f>
        <v>#VALUE!</v>
      </c>
      <c r="N103" t="b">
        <f>AND(DATA!N1172,"AAAAADX//Q0=")</f>
        <v>1</v>
      </c>
      <c r="O103">
        <f>IF(DATA!1173:1173,"AAAAADX//Q4=",0)</f>
        <v>0</v>
      </c>
      <c r="P103" t="e">
        <f>AND(DATA!A1173,"AAAAADX//Q8=")</f>
        <v>#VALUE!</v>
      </c>
      <c r="Q103" t="e">
        <f>AND(DATA!B1173,"AAAAADX//RA=")</f>
        <v>#VALUE!</v>
      </c>
      <c r="R103" t="e">
        <f>AND(DATA!C1173,"AAAAADX//RE=")</f>
        <v>#VALUE!</v>
      </c>
      <c r="S103" t="e">
        <f>AND(DATA!D1173,"AAAAADX//RI=")</f>
        <v>#VALUE!</v>
      </c>
      <c r="T103" t="e">
        <f>AND(DATA!E1173,"AAAAADX//RM=")</f>
        <v>#VALUE!</v>
      </c>
      <c r="U103" t="e">
        <f>AND(DATA!F1173,"AAAAADX//RQ=")</f>
        <v>#VALUE!</v>
      </c>
      <c r="V103" t="e">
        <f>AND(DATA!G1173,"AAAAADX//RU=")</f>
        <v>#VALUE!</v>
      </c>
      <c r="W103" t="e">
        <f>AND(DATA!H1173,"AAAAADX//RY=")</f>
        <v>#VALUE!</v>
      </c>
      <c r="X103" t="e">
        <f>AND(DATA!I1173,"AAAAADX//Rc=")</f>
        <v>#VALUE!</v>
      </c>
      <c r="Y103" t="e">
        <f>AND(DATA!J1173,"AAAAADX//Rg=")</f>
        <v>#VALUE!</v>
      </c>
      <c r="Z103" t="e">
        <f>AND(DATA!K1173,"AAAAADX//Rk=")</f>
        <v>#VALUE!</v>
      </c>
      <c r="AA103" t="b">
        <f>AND(DATA!L1173,"AAAAADX//Ro=")</f>
        <v>1</v>
      </c>
      <c r="AB103" t="e">
        <f>AND(DATA!M1173,"AAAAADX//Rs=")</f>
        <v>#VALUE!</v>
      </c>
      <c r="AC103" t="b">
        <f>AND(DATA!N1173,"AAAAADX//Rw=")</f>
        <v>1</v>
      </c>
      <c r="AD103">
        <f>IF(DATA!1174:1174,"AAAAADX//R0=",0)</f>
        <v>0</v>
      </c>
      <c r="AE103" t="e">
        <f>AND(DATA!A1174,"AAAAADX//R4=")</f>
        <v>#VALUE!</v>
      </c>
      <c r="AF103" t="e">
        <f>AND(DATA!B1174,"AAAAADX//R8=")</f>
        <v>#VALUE!</v>
      </c>
      <c r="AG103" t="e">
        <f>AND(DATA!C1174,"AAAAADX//SA=")</f>
        <v>#VALUE!</v>
      </c>
      <c r="AH103" t="e">
        <f>AND(DATA!D1174,"AAAAADX//SE=")</f>
        <v>#VALUE!</v>
      </c>
      <c r="AI103" t="e">
        <f>AND(DATA!E1174,"AAAAADX//SI=")</f>
        <v>#VALUE!</v>
      </c>
      <c r="AJ103" t="e">
        <f>AND(DATA!F1174,"AAAAADX//SM=")</f>
        <v>#VALUE!</v>
      </c>
      <c r="AK103" t="e">
        <f>AND(DATA!G1174,"AAAAADX//SQ=")</f>
        <v>#VALUE!</v>
      </c>
      <c r="AL103" t="e">
        <f>AND(DATA!H1174,"AAAAADX//SU=")</f>
        <v>#VALUE!</v>
      </c>
      <c r="AM103" t="e">
        <f>AND(DATA!I1174,"AAAAADX//SY=")</f>
        <v>#VALUE!</v>
      </c>
      <c r="AN103" t="e">
        <f>AND(DATA!J1174,"AAAAADX//Sc=")</f>
        <v>#VALUE!</v>
      </c>
      <c r="AO103" t="e">
        <f>AND(DATA!K1174,"AAAAADX//Sg=")</f>
        <v>#VALUE!</v>
      </c>
      <c r="AP103" t="b">
        <f>AND(DATA!L1174,"AAAAADX//Sk=")</f>
        <v>1</v>
      </c>
      <c r="AQ103" t="e">
        <f>AND(DATA!M1174,"AAAAADX//So=")</f>
        <v>#VALUE!</v>
      </c>
      <c r="AR103" t="b">
        <f>AND(DATA!N1174,"AAAAADX//Ss=")</f>
        <v>1</v>
      </c>
      <c r="AS103">
        <f>IF(DATA!1175:1175,"AAAAADX//Sw=",0)</f>
        <v>0</v>
      </c>
      <c r="AT103" t="e">
        <f>AND(DATA!A1175,"AAAAADX//S0=")</f>
        <v>#VALUE!</v>
      </c>
      <c r="AU103" t="e">
        <f>AND(DATA!B1175,"AAAAADX//S4=")</f>
        <v>#VALUE!</v>
      </c>
      <c r="AV103" t="e">
        <f>AND(DATA!C1175,"AAAAADX//S8=")</f>
        <v>#VALUE!</v>
      </c>
      <c r="AW103" t="e">
        <f>AND(DATA!D1175,"AAAAADX//TA=")</f>
        <v>#VALUE!</v>
      </c>
      <c r="AX103" t="e">
        <f>AND(DATA!E1175,"AAAAADX//TE=")</f>
        <v>#VALUE!</v>
      </c>
      <c r="AY103" t="e">
        <f>AND(DATA!F1175,"AAAAADX//TI=")</f>
        <v>#VALUE!</v>
      </c>
      <c r="AZ103" t="e">
        <f>AND(DATA!G1175,"AAAAADX//TM=")</f>
        <v>#VALUE!</v>
      </c>
      <c r="BA103" t="e">
        <f>AND(DATA!H1175,"AAAAADX//TQ=")</f>
        <v>#VALUE!</v>
      </c>
      <c r="BB103" t="e">
        <f>AND(DATA!I1175,"AAAAADX//TU=")</f>
        <v>#VALUE!</v>
      </c>
      <c r="BC103" t="e">
        <f>AND(DATA!J1175,"AAAAADX//TY=")</f>
        <v>#VALUE!</v>
      </c>
      <c r="BD103" t="e">
        <f>AND(DATA!K1175,"AAAAADX//Tc=")</f>
        <v>#VALUE!</v>
      </c>
      <c r="BE103" t="b">
        <f>AND(DATA!L1175,"AAAAADX//Tg=")</f>
        <v>1</v>
      </c>
      <c r="BF103" t="e">
        <f>AND(DATA!M1175,"AAAAADX//Tk=")</f>
        <v>#VALUE!</v>
      </c>
      <c r="BG103" t="b">
        <f>AND(DATA!N1175,"AAAAADX//To=")</f>
        <v>1</v>
      </c>
      <c r="BH103">
        <f>IF(DATA!1176:1176,"AAAAADX//Ts=",0)</f>
        <v>0</v>
      </c>
      <c r="BI103" t="e">
        <f>AND(DATA!A1176,"AAAAADX//Tw=")</f>
        <v>#VALUE!</v>
      </c>
      <c r="BJ103" t="e">
        <f>AND(DATA!B1176,"AAAAADX//T0=")</f>
        <v>#VALUE!</v>
      </c>
      <c r="BK103" t="e">
        <f>AND(DATA!C1176,"AAAAADX//T4=")</f>
        <v>#VALUE!</v>
      </c>
      <c r="BL103" t="e">
        <f>AND(DATA!D1176,"AAAAADX//T8=")</f>
        <v>#VALUE!</v>
      </c>
      <c r="BM103" t="e">
        <f>AND(DATA!E1176,"AAAAADX//UA=")</f>
        <v>#VALUE!</v>
      </c>
      <c r="BN103" t="e">
        <f>AND(DATA!F1176,"AAAAADX//UE=")</f>
        <v>#VALUE!</v>
      </c>
      <c r="BO103" t="e">
        <f>AND(DATA!G1176,"AAAAADX//UI=")</f>
        <v>#VALUE!</v>
      </c>
      <c r="BP103" t="e">
        <f>AND(DATA!H1176,"AAAAADX//UM=")</f>
        <v>#VALUE!</v>
      </c>
      <c r="BQ103" t="e">
        <f>AND(DATA!I1176,"AAAAADX//UQ=")</f>
        <v>#VALUE!</v>
      </c>
      <c r="BR103" t="e">
        <f>AND(DATA!J1176,"AAAAADX//UU=")</f>
        <v>#VALUE!</v>
      </c>
      <c r="BS103" t="e">
        <f>AND(DATA!K1176,"AAAAADX//UY=")</f>
        <v>#VALUE!</v>
      </c>
      <c r="BT103" t="b">
        <f>AND(DATA!L1176,"AAAAADX//Uc=")</f>
        <v>1</v>
      </c>
      <c r="BU103" t="e">
        <f>AND(DATA!M1176,"AAAAADX//Ug=")</f>
        <v>#VALUE!</v>
      </c>
      <c r="BV103" t="b">
        <f>AND(DATA!N1176,"AAAAADX//Uk=")</f>
        <v>1</v>
      </c>
      <c r="BW103">
        <f>IF(DATA!1177:1177,"AAAAADX//Uo=",0)</f>
        <v>0</v>
      </c>
      <c r="BX103" t="e">
        <f>AND(DATA!A1177,"AAAAADX//Us=")</f>
        <v>#VALUE!</v>
      </c>
      <c r="BY103" t="e">
        <f>AND(DATA!B1177,"AAAAADX//Uw=")</f>
        <v>#VALUE!</v>
      </c>
      <c r="BZ103" t="e">
        <f>AND(DATA!C1177,"AAAAADX//U0=")</f>
        <v>#VALUE!</v>
      </c>
      <c r="CA103" t="e">
        <f>AND(DATA!D1177,"AAAAADX//U4=")</f>
        <v>#VALUE!</v>
      </c>
      <c r="CB103" t="e">
        <f>AND(DATA!E1177,"AAAAADX//U8=")</f>
        <v>#VALUE!</v>
      </c>
      <c r="CC103" t="e">
        <f>AND(DATA!F1177,"AAAAADX//VA=")</f>
        <v>#VALUE!</v>
      </c>
      <c r="CD103" t="e">
        <f>AND(DATA!G1177,"AAAAADX//VE=")</f>
        <v>#VALUE!</v>
      </c>
      <c r="CE103" t="e">
        <f>AND(DATA!H1177,"AAAAADX//VI=")</f>
        <v>#VALUE!</v>
      </c>
      <c r="CF103" t="e">
        <f>AND(DATA!I1177,"AAAAADX//VM=")</f>
        <v>#VALUE!</v>
      </c>
      <c r="CG103" t="e">
        <f>AND(DATA!J1177,"AAAAADX//VQ=")</f>
        <v>#VALUE!</v>
      </c>
      <c r="CH103" t="e">
        <f>AND(DATA!K1177,"AAAAADX//VU=")</f>
        <v>#VALUE!</v>
      </c>
      <c r="CI103" t="b">
        <f>AND(DATA!L1177,"AAAAADX//VY=")</f>
        <v>1</v>
      </c>
      <c r="CJ103" t="e">
        <f>AND(DATA!M1177,"AAAAADX//Vc=")</f>
        <v>#VALUE!</v>
      </c>
      <c r="CK103" t="b">
        <f>AND(DATA!N1177,"AAAAADX//Vg=")</f>
        <v>1</v>
      </c>
      <c r="CL103">
        <f>IF(DATA!1178:1178,"AAAAADX//Vk=",0)</f>
        <v>0</v>
      </c>
      <c r="CM103" t="e">
        <f>AND(DATA!A1178,"AAAAADX//Vo=")</f>
        <v>#VALUE!</v>
      </c>
      <c r="CN103" t="e">
        <f>AND(DATA!B1178,"AAAAADX//Vs=")</f>
        <v>#VALUE!</v>
      </c>
      <c r="CO103" t="e">
        <f>AND(DATA!C1178,"AAAAADX//Vw=")</f>
        <v>#VALUE!</v>
      </c>
      <c r="CP103" t="e">
        <f>AND(DATA!D1178,"AAAAADX//V0=")</f>
        <v>#VALUE!</v>
      </c>
      <c r="CQ103" t="e">
        <f>AND(DATA!E1178,"AAAAADX//V4=")</f>
        <v>#VALUE!</v>
      </c>
      <c r="CR103" t="e">
        <f>AND(DATA!F1178,"AAAAADX//V8=")</f>
        <v>#VALUE!</v>
      </c>
      <c r="CS103" t="e">
        <f>AND(DATA!G1178,"AAAAADX//WA=")</f>
        <v>#VALUE!</v>
      </c>
      <c r="CT103" t="e">
        <f>AND(DATA!H1178,"AAAAADX//WE=")</f>
        <v>#VALUE!</v>
      </c>
      <c r="CU103" t="e">
        <f>AND(DATA!I1178,"AAAAADX//WI=")</f>
        <v>#VALUE!</v>
      </c>
      <c r="CV103" t="e">
        <f>AND(DATA!J1178,"AAAAADX//WM=")</f>
        <v>#VALUE!</v>
      </c>
      <c r="CW103" t="e">
        <f>AND(DATA!K1178,"AAAAADX//WQ=")</f>
        <v>#VALUE!</v>
      </c>
      <c r="CX103" t="b">
        <f>AND(DATA!L1178,"AAAAADX//WU=")</f>
        <v>1</v>
      </c>
      <c r="CY103" t="e">
        <f>AND(DATA!M1178,"AAAAADX//WY=")</f>
        <v>#VALUE!</v>
      </c>
      <c r="CZ103" t="b">
        <f>AND(DATA!N1178,"AAAAADX//Wc=")</f>
        <v>1</v>
      </c>
      <c r="DA103">
        <f>IF(DATA!1179:1179,"AAAAADX//Wg=",0)</f>
        <v>0</v>
      </c>
      <c r="DB103" t="e">
        <f>AND(DATA!A1179,"AAAAADX//Wk=")</f>
        <v>#VALUE!</v>
      </c>
      <c r="DC103" t="e">
        <f>AND(DATA!B1179,"AAAAADX//Wo=")</f>
        <v>#VALUE!</v>
      </c>
      <c r="DD103" t="e">
        <f>AND(DATA!C1179,"AAAAADX//Ws=")</f>
        <v>#VALUE!</v>
      </c>
      <c r="DE103" t="e">
        <f>AND(DATA!D1179,"AAAAADX//Ww=")</f>
        <v>#VALUE!</v>
      </c>
      <c r="DF103" t="e">
        <f>AND(DATA!E1179,"AAAAADX//W0=")</f>
        <v>#VALUE!</v>
      </c>
      <c r="DG103" t="e">
        <f>AND(DATA!F1179,"AAAAADX//W4=")</f>
        <v>#VALUE!</v>
      </c>
      <c r="DH103" t="e">
        <f>AND(DATA!G1179,"AAAAADX//W8=")</f>
        <v>#VALUE!</v>
      </c>
      <c r="DI103" t="e">
        <f>AND(DATA!H1179,"AAAAADX//XA=")</f>
        <v>#VALUE!</v>
      </c>
      <c r="DJ103" t="e">
        <f>AND(DATA!I1179,"AAAAADX//XE=")</f>
        <v>#VALUE!</v>
      </c>
      <c r="DK103" t="e">
        <f>AND(DATA!J1179,"AAAAADX//XI=")</f>
        <v>#VALUE!</v>
      </c>
      <c r="DL103" t="e">
        <f>AND(DATA!K1179,"AAAAADX//XM=")</f>
        <v>#VALUE!</v>
      </c>
      <c r="DM103" t="b">
        <f>AND(DATA!L1179,"AAAAADX//XQ=")</f>
        <v>1</v>
      </c>
      <c r="DN103" t="e">
        <f>AND(DATA!M1179,"AAAAADX//XU=")</f>
        <v>#VALUE!</v>
      </c>
      <c r="DO103" t="b">
        <f>AND(DATA!N1179,"AAAAADX//XY=")</f>
        <v>1</v>
      </c>
      <c r="DP103">
        <f>IF(DATA!1180:1180,"AAAAADX//Xc=",0)</f>
        <v>0</v>
      </c>
      <c r="DQ103" t="e">
        <f>AND(DATA!A1180,"AAAAADX//Xg=")</f>
        <v>#VALUE!</v>
      </c>
      <c r="DR103" t="e">
        <f>AND(DATA!B1180,"AAAAADX//Xk=")</f>
        <v>#VALUE!</v>
      </c>
      <c r="DS103" t="e">
        <f>AND(DATA!C1180,"AAAAADX//Xo=")</f>
        <v>#VALUE!</v>
      </c>
      <c r="DT103" t="e">
        <f>AND(DATA!D1180,"AAAAADX//Xs=")</f>
        <v>#VALUE!</v>
      </c>
      <c r="DU103" t="e">
        <f>AND(DATA!E1180,"AAAAADX//Xw=")</f>
        <v>#VALUE!</v>
      </c>
      <c r="DV103" t="e">
        <f>AND(DATA!F1180,"AAAAADX//X0=")</f>
        <v>#VALUE!</v>
      </c>
      <c r="DW103" t="e">
        <f>AND(DATA!G1180,"AAAAADX//X4=")</f>
        <v>#VALUE!</v>
      </c>
      <c r="DX103" t="e">
        <f>AND(DATA!H1180,"AAAAADX//X8=")</f>
        <v>#VALUE!</v>
      </c>
      <c r="DY103" t="e">
        <f>AND(DATA!I1180,"AAAAADX//YA=")</f>
        <v>#VALUE!</v>
      </c>
      <c r="DZ103" t="e">
        <f>AND(DATA!J1180,"AAAAADX//YE=")</f>
        <v>#VALUE!</v>
      </c>
      <c r="EA103" t="e">
        <f>AND(DATA!K1180,"AAAAADX//YI=")</f>
        <v>#VALUE!</v>
      </c>
      <c r="EB103" t="b">
        <f>AND(DATA!L1180,"AAAAADX//YM=")</f>
        <v>1</v>
      </c>
      <c r="EC103" t="e">
        <f>AND(DATA!M1180,"AAAAADX//YQ=")</f>
        <v>#VALUE!</v>
      </c>
      <c r="ED103" t="b">
        <f>AND(DATA!N1180,"AAAAADX//YU=")</f>
        <v>1</v>
      </c>
      <c r="EE103">
        <f>IF(DATA!1181:1181,"AAAAADX//YY=",0)</f>
        <v>0</v>
      </c>
      <c r="EF103" t="e">
        <f>AND(DATA!A1181,"AAAAADX//Yc=")</f>
        <v>#VALUE!</v>
      </c>
      <c r="EG103" t="e">
        <f>AND(DATA!B1181,"AAAAADX//Yg=")</f>
        <v>#VALUE!</v>
      </c>
      <c r="EH103" t="e">
        <f>AND(DATA!C1181,"AAAAADX//Yk=")</f>
        <v>#VALUE!</v>
      </c>
      <c r="EI103" t="e">
        <f>AND(DATA!D1181,"AAAAADX//Yo=")</f>
        <v>#VALUE!</v>
      </c>
      <c r="EJ103" t="e">
        <f>AND(DATA!E1181,"AAAAADX//Ys=")</f>
        <v>#VALUE!</v>
      </c>
      <c r="EK103" t="e">
        <f>AND(DATA!F1181,"AAAAADX//Yw=")</f>
        <v>#VALUE!</v>
      </c>
      <c r="EL103" t="e">
        <f>AND(DATA!G1181,"AAAAADX//Y0=")</f>
        <v>#VALUE!</v>
      </c>
      <c r="EM103" t="e">
        <f>AND(DATA!H1181,"AAAAADX//Y4=")</f>
        <v>#VALUE!</v>
      </c>
      <c r="EN103" t="e">
        <f>AND(DATA!I1181,"AAAAADX//Y8=")</f>
        <v>#VALUE!</v>
      </c>
      <c r="EO103" t="e">
        <f>AND(DATA!J1181,"AAAAADX//ZA=")</f>
        <v>#VALUE!</v>
      </c>
      <c r="EP103" t="e">
        <f>AND(DATA!K1181,"AAAAADX//ZE=")</f>
        <v>#VALUE!</v>
      </c>
      <c r="EQ103" t="b">
        <f>AND(DATA!L1181,"AAAAADX//ZI=")</f>
        <v>1</v>
      </c>
      <c r="ER103" t="e">
        <f>AND(DATA!M1181,"AAAAADX//ZM=")</f>
        <v>#VALUE!</v>
      </c>
      <c r="ES103" t="b">
        <f>AND(DATA!N1181,"AAAAADX//ZQ=")</f>
        <v>1</v>
      </c>
      <c r="ET103">
        <f>IF(DATA!1182:1182,"AAAAADX//ZU=",0)</f>
        <v>0</v>
      </c>
      <c r="EU103" t="e">
        <f>AND(DATA!A1182,"AAAAADX//ZY=")</f>
        <v>#VALUE!</v>
      </c>
      <c r="EV103" t="e">
        <f>AND(DATA!B1182,"AAAAADX//Zc=")</f>
        <v>#VALUE!</v>
      </c>
      <c r="EW103" t="e">
        <f>AND(DATA!C1182,"AAAAADX//Zg=")</f>
        <v>#VALUE!</v>
      </c>
      <c r="EX103" t="e">
        <f>AND(DATA!D1182,"AAAAADX//Zk=")</f>
        <v>#VALUE!</v>
      </c>
      <c r="EY103" t="e">
        <f>AND(DATA!E1182,"AAAAADX//Zo=")</f>
        <v>#VALUE!</v>
      </c>
      <c r="EZ103" t="e">
        <f>AND(DATA!F1182,"AAAAADX//Zs=")</f>
        <v>#VALUE!</v>
      </c>
      <c r="FA103" t="e">
        <f>AND(DATA!G1182,"AAAAADX//Zw=")</f>
        <v>#VALUE!</v>
      </c>
      <c r="FB103" t="e">
        <f>AND(DATA!H1182,"AAAAADX//Z0=")</f>
        <v>#VALUE!</v>
      </c>
      <c r="FC103" t="e">
        <f>AND(DATA!I1182,"AAAAADX//Z4=")</f>
        <v>#VALUE!</v>
      </c>
      <c r="FD103" t="e">
        <f>AND(DATA!J1182,"AAAAADX//Z8=")</f>
        <v>#VALUE!</v>
      </c>
      <c r="FE103" t="e">
        <f>AND(DATA!K1182,"AAAAADX//aA=")</f>
        <v>#VALUE!</v>
      </c>
      <c r="FF103" t="b">
        <f>AND(DATA!L1182,"AAAAADX//aE=")</f>
        <v>1</v>
      </c>
      <c r="FG103" t="e">
        <f>AND(DATA!M1182,"AAAAADX//aI=")</f>
        <v>#VALUE!</v>
      </c>
      <c r="FH103" t="b">
        <f>AND(DATA!N1182,"AAAAADX//aM=")</f>
        <v>1</v>
      </c>
      <c r="FI103">
        <f>IF(DATA!1183:1183,"AAAAADX//aQ=",0)</f>
        <v>0</v>
      </c>
      <c r="FJ103" t="e">
        <f>AND(DATA!A1183,"AAAAADX//aU=")</f>
        <v>#VALUE!</v>
      </c>
      <c r="FK103" t="e">
        <f>AND(DATA!B1183,"AAAAADX//aY=")</f>
        <v>#VALUE!</v>
      </c>
      <c r="FL103" t="e">
        <f>AND(DATA!C1183,"AAAAADX//ac=")</f>
        <v>#VALUE!</v>
      </c>
      <c r="FM103" t="e">
        <f>AND(DATA!D1183,"AAAAADX//ag=")</f>
        <v>#VALUE!</v>
      </c>
      <c r="FN103" t="e">
        <f>AND(DATA!E1183,"AAAAADX//ak=")</f>
        <v>#VALUE!</v>
      </c>
      <c r="FO103" t="e">
        <f>AND(DATA!F1183,"AAAAADX//ao=")</f>
        <v>#VALUE!</v>
      </c>
      <c r="FP103" t="e">
        <f>AND(DATA!G1183,"AAAAADX//as=")</f>
        <v>#VALUE!</v>
      </c>
      <c r="FQ103" t="e">
        <f>AND(DATA!H1183,"AAAAADX//aw=")</f>
        <v>#VALUE!</v>
      </c>
      <c r="FR103" t="e">
        <f>AND(DATA!I1183,"AAAAADX//a0=")</f>
        <v>#VALUE!</v>
      </c>
      <c r="FS103" t="e">
        <f>AND(DATA!J1183,"AAAAADX//a4=")</f>
        <v>#VALUE!</v>
      </c>
      <c r="FT103" t="e">
        <f>AND(DATA!K1183,"AAAAADX//a8=")</f>
        <v>#VALUE!</v>
      </c>
      <c r="FU103" t="b">
        <f>AND(DATA!L1183,"AAAAADX//bA=")</f>
        <v>1</v>
      </c>
      <c r="FV103" t="e">
        <f>AND(DATA!M1183,"AAAAADX//bE=")</f>
        <v>#VALUE!</v>
      </c>
      <c r="FW103" t="b">
        <f>AND(DATA!N1183,"AAAAADX//bI=")</f>
        <v>1</v>
      </c>
      <c r="FX103">
        <f>IF(DATA!1184:1184,"AAAAADX//bM=",0)</f>
        <v>0</v>
      </c>
      <c r="FY103" t="e">
        <f>AND(DATA!A1184,"AAAAADX//bQ=")</f>
        <v>#VALUE!</v>
      </c>
      <c r="FZ103" t="e">
        <f>AND(DATA!B1184,"AAAAADX//bU=")</f>
        <v>#VALUE!</v>
      </c>
      <c r="GA103" t="e">
        <f>AND(DATA!C1184,"AAAAADX//bY=")</f>
        <v>#VALUE!</v>
      </c>
      <c r="GB103" t="e">
        <f>AND(DATA!D1184,"AAAAADX//bc=")</f>
        <v>#VALUE!</v>
      </c>
      <c r="GC103" t="e">
        <f>AND(DATA!E1184,"AAAAADX//bg=")</f>
        <v>#VALUE!</v>
      </c>
      <c r="GD103" t="e">
        <f>AND(DATA!F1184,"AAAAADX//bk=")</f>
        <v>#VALUE!</v>
      </c>
      <c r="GE103" t="e">
        <f>AND(DATA!G1184,"AAAAADX//bo=")</f>
        <v>#VALUE!</v>
      </c>
      <c r="GF103" t="e">
        <f>AND(DATA!H1184,"AAAAADX//bs=")</f>
        <v>#VALUE!</v>
      </c>
      <c r="GG103" t="e">
        <f>AND(DATA!I1184,"AAAAADX//bw=")</f>
        <v>#VALUE!</v>
      </c>
      <c r="GH103" t="e">
        <f>AND(DATA!J1184,"AAAAADX//b0=")</f>
        <v>#VALUE!</v>
      </c>
      <c r="GI103" t="e">
        <f>AND(DATA!K1184,"AAAAADX//b4=")</f>
        <v>#VALUE!</v>
      </c>
      <c r="GJ103" t="b">
        <f>AND(DATA!L1184,"AAAAADX//b8=")</f>
        <v>1</v>
      </c>
      <c r="GK103" t="e">
        <f>AND(DATA!M1184,"AAAAADX//cA=")</f>
        <v>#VALUE!</v>
      </c>
      <c r="GL103" t="b">
        <f>AND(DATA!N1184,"AAAAADX//cE=")</f>
        <v>1</v>
      </c>
      <c r="GM103">
        <f>IF(DATA!1185:1185,"AAAAADX//cI=",0)</f>
        <v>0</v>
      </c>
      <c r="GN103" t="e">
        <f>AND(DATA!A1185,"AAAAADX//cM=")</f>
        <v>#VALUE!</v>
      </c>
      <c r="GO103" t="e">
        <f>AND(DATA!B1185,"AAAAADX//cQ=")</f>
        <v>#VALUE!</v>
      </c>
      <c r="GP103" t="e">
        <f>AND(DATA!C1185,"AAAAADX//cU=")</f>
        <v>#VALUE!</v>
      </c>
      <c r="GQ103" t="e">
        <f>AND(DATA!D1185,"AAAAADX//cY=")</f>
        <v>#VALUE!</v>
      </c>
      <c r="GR103" t="e">
        <f>AND(DATA!E1185,"AAAAADX//cc=")</f>
        <v>#VALUE!</v>
      </c>
      <c r="GS103" t="e">
        <f>AND(DATA!F1185,"AAAAADX//cg=")</f>
        <v>#VALUE!</v>
      </c>
      <c r="GT103" t="e">
        <f>AND(DATA!G1185,"AAAAADX//ck=")</f>
        <v>#VALUE!</v>
      </c>
      <c r="GU103" t="e">
        <f>AND(DATA!H1185,"AAAAADX//co=")</f>
        <v>#VALUE!</v>
      </c>
      <c r="GV103" t="e">
        <f>AND(DATA!I1185,"AAAAADX//cs=")</f>
        <v>#VALUE!</v>
      </c>
      <c r="GW103" t="e">
        <f>AND(DATA!J1185,"AAAAADX//cw=")</f>
        <v>#VALUE!</v>
      </c>
      <c r="GX103" t="e">
        <f>AND(DATA!K1185,"AAAAADX//c0=")</f>
        <v>#VALUE!</v>
      </c>
      <c r="GY103" t="b">
        <f>AND(DATA!L1185,"AAAAADX//c4=")</f>
        <v>1</v>
      </c>
      <c r="GZ103" t="e">
        <f>AND(DATA!M1185,"AAAAADX//c8=")</f>
        <v>#VALUE!</v>
      </c>
      <c r="HA103" t="b">
        <f>AND(DATA!N1185,"AAAAADX//dA=")</f>
        <v>1</v>
      </c>
      <c r="HB103">
        <f>IF(DATA!1186:1186,"AAAAADX//dE=",0)</f>
        <v>0</v>
      </c>
      <c r="HC103" t="e">
        <f>AND(DATA!A1186,"AAAAADX//dI=")</f>
        <v>#VALUE!</v>
      </c>
      <c r="HD103" t="e">
        <f>AND(DATA!B1186,"AAAAADX//dM=")</f>
        <v>#VALUE!</v>
      </c>
      <c r="HE103" t="e">
        <f>AND(DATA!C1186,"AAAAADX//dQ=")</f>
        <v>#VALUE!</v>
      </c>
      <c r="HF103" t="e">
        <f>AND(DATA!D1186,"AAAAADX//dU=")</f>
        <v>#VALUE!</v>
      </c>
      <c r="HG103" t="e">
        <f>AND(DATA!E1186,"AAAAADX//dY=")</f>
        <v>#VALUE!</v>
      </c>
      <c r="HH103" t="e">
        <f>AND(DATA!F1186,"AAAAADX//dc=")</f>
        <v>#VALUE!</v>
      </c>
      <c r="HI103" t="e">
        <f>AND(DATA!G1186,"AAAAADX//dg=")</f>
        <v>#VALUE!</v>
      </c>
      <c r="HJ103" t="e">
        <f>AND(DATA!H1186,"AAAAADX//dk=")</f>
        <v>#VALUE!</v>
      </c>
      <c r="HK103" t="e">
        <f>AND(DATA!I1186,"AAAAADX//do=")</f>
        <v>#VALUE!</v>
      </c>
      <c r="HL103" t="e">
        <f>AND(DATA!J1186,"AAAAADX//ds=")</f>
        <v>#VALUE!</v>
      </c>
      <c r="HM103" t="e">
        <f>AND(DATA!K1186,"AAAAADX//dw=")</f>
        <v>#VALUE!</v>
      </c>
      <c r="HN103" t="b">
        <f>AND(DATA!L1186,"AAAAADX//d0=")</f>
        <v>1</v>
      </c>
      <c r="HO103" t="e">
        <f>AND(DATA!M1186,"AAAAADX//d4=")</f>
        <v>#VALUE!</v>
      </c>
      <c r="HP103" t="b">
        <f>AND(DATA!N1186,"AAAAADX//d8=")</f>
        <v>1</v>
      </c>
      <c r="HQ103">
        <f>IF(DATA!1187:1187,"AAAAADX//eA=",0)</f>
        <v>0</v>
      </c>
      <c r="HR103" t="e">
        <f>AND(DATA!A1187,"AAAAADX//eE=")</f>
        <v>#VALUE!</v>
      </c>
      <c r="HS103" t="e">
        <f>AND(DATA!B1187,"AAAAADX//eI=")</f>
        <v>#VALUE!</v>
      </c>
      <c r="HT103" t="e">
        <f>AND(DATA!C1187,"AAAAADX//eM=")</f>
        <v>#VALUE!</v>
      </c>
      <c r="HU103" t="e">
        <f>AND(DATA!D1187,"AAAAADX//eQ=")</f>
        <v>#VALUE!</v>
      </c>
      <c r="HV103" t="e">
        <f>AND(DATA!E1187,"AAAAADX//eU=")</f>
        <v>#VALUE!</v>
      </c>
      <c r="HW103" t="e">
        <f>AND(DATA!F1187,"AAAAADX//eY=")</f>
        <v>#VALUE!</v>
      </c>
      <c r="HX103" t="e">
        <f>AND(DATA!G1187,"AAAAADX//ec=")</f>
        <v>#VALUE!</v>
      </c>
      <c r="HY103" t="e">
        <f>AND(DATA!H1187,"AAAAADX//eg=")</f>
        <v>#VALUE!</v>
      </c>
      <c r="HZ103" t="e">
        <f>AND(DATA!I1187,"AAAAADX//ek=")</f>
        <v>#VALUE!</v>
      </c>
      <c r="IA103" t="e">
        <f>AND(DATA!J1187,"AAAAADX//eo=")</f>
        <v>#VALUE!</v>
      </c>
      <c r="IB103" t="e">
        <f>AND(DATA!K1187,"AAAAADX//es=")</f>
        <v>#VALUE!</v>
      </c>
      <c r="IC103" t="b">
        <f>AND(DATA!L1187,"AAAAADX//ew=")</f>
        <v>1</v>
      </c>
      <c r="ID103" t="e">
        <f>AND(DATA!M1187,"AAAAADX//e0=")</f>
        <v>#VALUE!</v>
      </c>
      <c r="IE103" t="b">
        <f>AND(DATA!N1187,"AAAAADX//e4=")</f>
        <v>1</v>
      </c>
      <c r="IF103">
        <f>IF(DATA!1188:1188,"AAAAADX//e8=",0)</f>
        <v>0</v>
      </c>
      <c r="IG103" t="e">
        <f>AND(DATA!A1188,"AAAAADX//fA=")</f>
        <v>#VALUE!</v>
      </c>
      <c r="IH103" t="e">
        <f>AND(DATA!B1188,"AAAAADX//fE=")</f>
        <v>#VALUE!</v>
      </c>
      <c r="II103" t="e">
        <f>AND(DATA!C1188,"AAAAADX//fI=")</f>
        <v>#VALUE!</v>
      </c>
      <c r="IJ103" t="e">
        <f>AND(DATA!D1188,"AAAAADX//fM=")</f>
        <v>#VALUE!</v>
      </c>
      <c r="IK103" t="e">
        <f>AND(DATA!E1188,"AAAAADX//fQ=")</f>
        <v>#VALUE!</v>
      </c>
      <c r="IL103" t="e">
        <f>AND(DATA!F1188,"AAAAADX//fU=")</f>
        <v>#VALUE!</v>
      </c>
      <c r="IM103" t="e">
        <f>AND(DATA!G1188,"AAAAADX//fY=")</f>
        <v>#VALUE!</v>
      </c>
      <c r="IN103" t="e">
        <f>AND(DATA!H1188,"AAAAADX//fc=")</f>
        <v>#VALUE!</v>
      </c>
      <c r="IO103" t="e">
        <f>AND(DATA!I1188,"AAAAADX//fg=")</f>
        <v>#VALUE!</v>
      </c>
      <c r="IP103" t="e">
        <f>AND(DATA!J1188,"AAAAADX//fk=")</f>
        <v>#VALUE!</v>
      </c>
      <c r="IQ103" t="e">
        <f>AND(DATA!K1188,"AAAAADX//fo=")</f>
        <v>#VALUE!</v>
      </c>
      <c r="IR103" t="b">
        <f>AND(DATA!L1188,"AAAAADX//fs=")</f>
        <v>1</v>
      </c>
      <c r="IS103" t="e">
        <f>AND(DATA!M1188,"AAAAADX//fw=")</f>
        <v>#VALUE!</v>
      </c>
      <c r="IT103" t="b">
        <f>AND(DATA!N1188,"AAAAADX//f0=")</f>
        <v>1</v>
      </c>
      <c r="IU103">
        <f>IF(DATA!1189:1189,"AAAAADX//f4=",0)</f>
        <v>0</v>
      </c>
      <c r="IV103" t="e">
        <f>AND(DATA!A1189,"AAAAADX//f8=")</f>
        <v>#VALUE!</v>
      </c>
    </row>
    <row r="104" spans="1:256">
      <c r="A104" t="e">
        <f>AND(DATA!B1189,"AAAAAGdOfwA=")</f>
        <v>#VALUE!</v>
      </c>
      <c r="B104" t="e">
        <f>AND(DATA!C1189,"AAAAAGdOfwE=")</f>
        <v>#VALUE!</v>
      </c>
      <c r="C104" t="e">
        <f>AND(DATA!D1189,"AAAAAGdOfwI=")</f>
        <v>#VALUE!</v>
      </c>
      <c r="D104" t="e">
        <f>AND(DATA!E1189,"AAAAAGdOfwM=")</f>
        <v>#VALUE!</v>
      </c>
      <c r="E104" t="e">
        <f>AND(DATA!F1189,"AAAAAGdOfwQ=")</f>
        <v>#VALUE!</v>
      </c>
      <c r="F104" t="e">
        <f>AND(DATA!G1189,"AAAAAGdOfwU=")</f>
        <v>#VALUE!</v>
      </c>
      <c r="G104" t="e">
        <f>AND(DATA!H1189,"AAAAAGdOfwY=")</f>
        <v>#VALUE!</v>
      </c>
      <c r="H104" t="e">
        <f>AND(DATA!I1189,"AAAAAGdOfwc=")</f>
        <v>#VALUE!</v>
      </c>
      <c r="I104" t="e">
        <f>AND(DATA!J1189,"AAAAAGdOfwg=")</f>
        <v>#VALUE!</v>
      </c>
      <c r="J104" t="e">
        <f>AND(DATA!K1189,"AAAAAGdOfwk=")</f>
        <v>#VALUE!</v>
      </c>
      <c r="K104" t="b">
        <f>AND(DATA!L1189,"AAAAAGdOfwo=")</f>
        <v>1</v>
      </c>
      <c r="L104" t="e">
        <f>AND(DATA!M1189,"AAAAAGdOfws=")</f>
        <v>#VALUE!</v>
      </c>
      <c r="M104" t="b">
        <f>AND(DATA!N1189,"AAAAAGdOfww=")</f>
        <v>1</v>
      </c>
      <c r="N104" t="str">
        <f>IF(DATA!1190:1190,"AAAAAGdOfw0=",0)</f>
        <v>AAAAAGdOfw0=</v>
      </c>
      <c r="O104" t="e">
        <f>AND(DATA!A1190,"AAAAAGdOfw4=")</f>
        <v>#VALUE!</v>
      </c>
      <c r="P104" t="e">
        <f>AND(DATA!B1190,"AAAAAGdOfw8=")</f>
        <v>#VALUE!</v>
      </c>
      <c r="Q104" t="e">
        <f>AND(DATA!C1190,"AAAAAGdOfxA=")</f>
        <v>#VALUE!</v>
      </c>
      <c r="R104" t="e">
        <f>AND(DATA!D1190,"AAAAAGdOfxE=")</f>
        <v>#VALUE!</v>
      </c>
      <c r="S104" t="e">
        <f>AND(DATA!E1190,"AAAAAGdOfxI=")</f>
        <v>#VALUE!</v>
      </c>
      <c r="T104" t="e">
        <f>AND(DATA!F1190,"AAAAAGdOfxM=")</f>
        <v>#VALUE!</v>
      </c>
      <c r="U104" t="e">
        <f>AND(DATA!G1190,"AAAAAGdOfxQ=")</f>
        <v>#VALUE!</v>
      </c>
      <c r="V104" t="e">
        <f>AND(DATA!H1190,"AAAAAGdOfxU=")</f>
        <v>#VALUE!</v>
      </c>
      <c r="W104" t="e">
        <f>AND(DATA!I1190,"AAAAAGdOfxY=")</f>
        <v>#VALUE!</v>
      </c>
      <c r="X104" t="e">
        <f>AND(DATA!J1190,"AAAAAGdOfxc=")</f>
        <v>#VALUE!</v>
      </c>
      <c r="Y104" t="e">
        <f>AND(DATA!K1190,"AAAAAGdOfxg=")</f>
        <v>#VALUE!</v>
      </c>
      <c r="Z104" t="b">
        <f>AND(DATA!L1190,"AAAAAGdOfxk=")</f>
        <v>1</v>
      </c>
      <c r="AA104" t="e">
        <f>AND(DATA!M1190,"AAAAAGdOfxo=")</f>
        <v>#VALUE!</v>
      </c>
      <c r="AB104" t="b">
        <f>AND(DATA!N1190,"AAAAAGdOfxs=")</f>
        <v>1</v>
      </c>
      <c r="AC104">
        <f>IF(DATA!1191:1191,"AAAAAGdOfxw=",0)</f>
        <v>0</v>
      </c>
      <c r="AD104" t="e">
        <f>AND(DATA!A1191,"AAAAAGdOfx0=")</f>
        <v>#VALUE!</v>
      </c>
      <c r="AE104" t="e">
        <f>AND(DATA!B1191,"AAAAAGdOfx4=")</f>
        <v>#VALUE!</v>
      </c>
      <c r="AF104" t="e">
        <f>AND(DATA!C1191,"AAAAAGdOfx8=")</f>
        <v>#VALUE!</v>
      </c>
      <c r="AG104" t="e">
        <f>AND(DATA!D1191,"AAAAAGdOfyA=")</f>
        <v>#VALUE!</v>
      </c>
      <c r="AH104" t="e">
        <f>AND(DATA!E1191,"AAAAAGdOfyE=")</f>
        <v>#VALUE!</v>
      </c>
      <c r="AI104" t="e">
        <f>AND(DATA!F1191,"AAAAAGdOfyI=")</f>
        <v>#VALUE!</v>
      </c>
      <c r="AJ104" t="e">
        <f>AND(DATA!G1191,"AAAAAGdOfyM=")</f>
        <v>#VALUE!</v>
      </c>
      <c r="AK104" t="e">
        <f>AND(DATA!H1191,"AAAAAGdOfyQ=")</f>
        <v>#VALUE!</v>
      </c>
      <c r="AL104" t="e">
        <f>AND(DATA!I1191,"AAAAAGdOfyU=")</f>
        <v>#VALUE!</v>
      </c>
      <c r="AM104" t="e">
        <f>AND(DATA!J1191,"AAAAAGdOfyY=")</f>
        <v>#VALUE!</v>
      </c>
      <c r="AN104" t="e">
        <f>AND(DATA!K1191,"AAAAAGdOfyc=")</f>
        <v>#VALUE!</v>
      </c>
      <c r="AO104" t="b">
        <f>AND(DATA!L1191,"AAAAAGdOfyg=")</f>
        <v>1</v>
      </c>
      <c r="AP104" t="e">
        <f>AND(DATA!M1191,"AAAAAGdOfyk=")</f>
        <v>#VALUE!</v>
      </c>
      <c r="AQ104" t="b">
        <f>AND(DATA!N1191,"AAAAAGdOfyo=")</f>
        <v>1</v>
      </c>
      <c r="AR104">
        <f>IF(DATA!1192:1192,"AAAAAGdOfys=",0)</f>
        <v>0</v>
      </c>
      <c r="AS104" t="e">
        <f>AND(DATA!A1192,"AAAAAGdOfyw=")</f>
        <v>#VALUE!</v>
      </c>
      <c r="AT104" t="e">
        <f>AND(DATA!B1192,"AAAAAGdOfy0=")</f>
        <v>#VALUE!</v>
      </c>
      <c r="AU104" t="e">
        <f>AND(DATA!C1192,"AAAAAGdOfy4=")</f>
        <v>#VALUE!</v>
      </c>
      <c r="AV104" t="e">
        <f>AND(DATA!D1192,"AAAAAGdOfy8=")</f>
        <v>#VALUE!</v>
      </c>
      <c r="AW104" t="e">
        <f>AND(DATA!E1192,"AAAAAGdOfzA=")</f>
        <v>#VALUE!</v>
      </c>
      <c r="AX104" t="e">
        <f>AND(DATA!F1192,"AAAAAGdOfzE=")</f>
        <v>#VALUE!</v>
      </c>
      <c r="AY104" t="e">
        <f>AND(DATA!G1192,"AAAAAGdOfzI=")</f>
        <v>#VALUE!</v>
      </c>
      <c r="AZ104" t="e">
        <f>AND(DATA!H1192,"AAAAAGdOfzM=")</f>
        <v>#VALUE!</v>
      </c>
      <c r="BA104" t="e">
        <f>AND(DATA!I1192,"AAAAAGdOfzQ=")</f>
        <v>#VALUE!</v>
      </c>
      <c r="BB104" t="e">
        <f>AND(DATA!J1192,"AAAAAGdOfzU=")</f>
        <v>#VALUE!</v>
      </c>
      <c r="BC104" t="e">
        <f>AND(DATA!K1192,"AAAAAGdOfzY=")</f>
        <v>#VALUE!</v>
      </c>
      <c r="BD104" t="b">
        <f>AND(DATA!L1192,"AAAAAGdOfzc=")</f>
        <v>1</v>
      </c>
      <c r="BE104" t="e">
        <f>AND(DATA!M1192,"AAAAAGdOfzg=")</f>
        <v>#VALUE!</v>
      </c>
      <c r="BF104" t="b">
        <f>AND(DATA!N1192,"AAAAAGdOfzk=")</f>
        <v>1</v>
      </c>
      <c r="BG104">
        <f>IF(DATA!1193:1193,"AAAAAGdOfzo=",0)</f>
        <v>0</v>
      </c>
      <c r="BH104" t="e">
        <f>AND(DATA!A1193,"AAAAAGdOfzs=")</f>
        <v>#VALUE!</v>
      </c>
      <c r="BI104" t="e">
        <f>AND(DATA!B1193,"AAAAAGdOfzw=")</f>
        <v>#VALUE!</v>
      </c>
      <c r="BJ104" t="e">
        <f>AND(DATA!C1193,"AAAAAGdOfz0=")</f>
        <v>#VALUE!</v>
      </c>
      <c r="BK104" t="e">
        <f>AND(DATA!D1193,"AAAAAGdOfz4=")</f>
        <v>#VALUE!</v>
      </c>
      <c r="BL104" t="e">
        <f>AND(DATA!E1193,"AAAAAGdOfz8=")</f>
        <v>#VALUE!</v>
      </c>
      <c r="BM104" t="e">
        <f>AND(DATA!F1193,"AAAAAGdOf0A=")</f>
        <v>#VALUE!</v>
      </c>
      <c r="BN104" t="e">
        <f>AND(DATA!G1193,"AAAAAGdOf0E=")</f>
        <v>#VALUE!</v>
      </c>
      <c r="BO104" t="e">
        <f>AND(DATA!H1193,"AAAAAGdOf0I=")</f>
        <v>#VALUE!</v>
      </c>
      <c r="BP104" t="e">
        <f>AND(DATA!I1193,"AAAAAGdOf0M=")</f>
        <v>#VALUE!</v>
      </c>
      <c r="BQ104" t="e">
        <f>AND(DATA!J1193,"AAAAAGdOf0Q=")</f>
        <v>#VALUE!</v>
      </c>
      <c r="BR104" t="e">
        <f>AND(DATA!K1193,"AAAAAGdOf0U=")</f>
        <v>#VALUE!</v>
      </c>
      <c r="BS104" t="b">
        <f>AND(DATA!L1193,"AAAAAGdOf0Y=")</f>
        <v>1</v>
      </c>
      <c r="BT104" t="e">
        <f>AND(DATA!M1193,"AAAAAGdOf0c=")</f>
        <v>#VALUE!</v>
      </c>
      <c r="BU104" t="b">
        <f>AND(DATA!N1193,"AAAAAGdOf0g=")</f>
        <v>1</v>
      </c>
      <c r="BV104">
        <f>IF(DATA!1194:1194,"AAAAAGdOf0k=",0)</f>
        <v>0</v>
      </c>
      <c r="BW104" t="e">
        <f>AND(DATA!A1194,"AAAAAGdOf0o=")</f>
        <v>#VALUE!</v>
      </c>
      <c r="BX104" t="e">
        <f>AND(DATA!B1194,"AAAAAGdOf0s=")</f>
        <v>#VALUE!</v>
      </c>
      <c r="BY104" t="e">
        <f>AND(DATA!C1194,"AAAAAGdOf0w=")</f>
        <v>#VALUE!</v>
      </c>
      <c r="BZ104" t="e">
        <f>AND(DATA!D1194,"AAAAAGdOf00=")</f>
        <v>#VALUE!</v>
      </c>
      <c r="CA104" t="e">
        <f>AND(DATA!E1194,"AAAAAGdOf04=")</f>
        <v>#VALUE!</v>
      </c>
      <c r="CB104" t="e">
        <f>AND(DATA!F1194,"AAAAAGdOf08=")</f>
        <v>#VALUE!</v>
      </c>
      <c r="CC104" t="e">
        <f>AND(DATA!G1194,"AAAAAGdOf1A=")</f>
        <v>#VALUE!</v>
      </c>
      <c r="CD104" t="e">
        <f>AND(DATA!H1194,"AAAAAGdOf1E=")</f>
        <v>#VALUE!</v>
      </c>
      <c r="CE104" t="e">
        <f>AND(DATA!I1194,"AAAAAGdOf1I=")</f>
        <v>#VALUE!</v>
      </c>
      <c r="CF104" t="e">
        <f>AND(DATA!J1194,"AAAAAGdOf1M=")</f>
        <v>#VALUE!</v>
      </c>
      <c r="CG104" t="e">
        <f>AND(DATA!K1194,"AAAAAGdOf1Q=")</f>
        <v>#VALUE!</v>
      </c>
      <c r="CH104" t="b">
        <f>AND(DATA!L1194,"AAAAAGdOf1U=")</f>
        <v>1</v>
      </c>
      <c r="CI104" t="e">
        <f>AND(DATA!M1194,"AAAAAGdOf1Y=")</f>
        <v>#VALUE!</v>
      </c>
      <c r="CJ104" t="b">
        <f>AND(DATA!N1194,"AAAAAGdOf1c=")</f>
        <v>1</v>
      </c>
      <c r="CK104">
        <f>IF(DATA!1195:1195,"AAAAAGdOf1g=",0)</f>
        <v>0</v>
      </c>
      <c r="CL104" t="e">
        <f>AND(DATA!A1195,"AAAAAGdOf1k=")</f>
        <v>#VALUE!</v>
      </c>
      <c r="CM104" t="e">
        <f>AND(DATA!B1195,"AAAAAGdOf1o=")</f>
        <v>#VALUE!</v>
      </c>
      <c r="CN104" t="e">
        <f>AND(DATA!C1195,"AAAAAGdOf1s=")</f>
        <v>#VALUE!</v>
      </c>
      <c r="CO104" t="e">
        <f>AND(DATA!D1195,"AAAAAGdOf1w=")</f>
        <v>#VALUE!</v>
      </c>
      <c r="CP104" t="e">
        <f>AND(DATA!E1195,"AAAAAGdOf10=")</f>
        <v>#VALUE!</v>
      </c>
      <c r="CQ104" t="e">
        <f>AND(DATA!F1195,"AAAAAGdOf14=")</f>
        <v>#VALUE!</v>
      </c>
      <c r="CR104" t="e">
        <f>AND(DATA!G1195,"AAAAAGdOf18=")</f>
        <v>#VALUE!</v>
      </c>
      <c r="CS104" t="e">
        <f>AND(DATA!H1195,"AAAAAGdOf2A=")</f>
        <v>#VALUE!</v>
      </c>
      <c r="CT104" t="e">
        <f>AND(DATA!I1195,"AAAAAGdOf2E=")</f>
        <v>#VALUE!</v>
      </c>
      <c r="CU104" t="e">
        <f>AND(DATA!J1195,"AAAAAGdOf2I=")</f>
        <v>#VALUE!</v>
      </c>
      <c r="CV104" t="e">
        <f>AND(DATA!K1195,"AAAAAGdOf2M=")</f>
        <v>#VALUE!</v>
      </c>
      <c r="CW104" t="b">
        <f>AND(DATA!L1195,"AAAAAGdOf2Q=")</f>
        <v>1</v>
      </c>
      <c r="CX104" t="e">
        <f>AND(DATA!M1195,"AAAAAGdOf2U=")</f>
        <v>#VALUE!</v>
      </c>
      <c r="CY104" t="b">
        <f>AND(DATA!N1195,"AAAAAGdOf2Y=")</f>
        <v>1</v>
      </c>
      <c r="CZ104">
        <f>IF(DATA!1196:1196,"AAAAAGdOf2c=",0)</f>
        <v>0</v>
      </c>
      <c r="DA104" t="e">
        <f>AND(DATA!A1196,"AAAAAGdOf2g=")</f>
        <v>#VALUE!</v>
      </c>
      <c r="DB104" t="e">
        <f>AND(DATA!B1196,"AAAAAGdOf2k=")</f>
        <v>#VALUE!</v>
      </c>
      <c r="DC104" t="e">
        <f>AND(DATA!C1196,"AAAAAGdOf2o=")</f>
        <v>#VALUE!</v>
      </c>
      <c r="DD104" t="e">
        <f>AND(DATA!D1196,"AAAAAGdOf2s=")</f>
        <v>#VALUE!</v>
      </c>
      <c r="DE104" t="e">
        <f>AND(DATA!E1196,"AAAAAGdOf2w=")</f>
        <v>#VALUE!</v>
      </c>
      <c r="DF104" t="e">
        <f>AND(DATA!F1196,"AAAAAGdOf20=")</f>
        <v>#VALUE!</v>
      </c>
      <c r="DG104" t="e">
        <f>AND(DATA!G1196,"AAAAAGdOf24=")</f>
        <v>#VALUE!</v>
      </c>
      <c r="DH104" t="e">
        <f>AND(DATA!H1196,"AAAAAGdOf28=")</f>
        <v>#VALUE!</v>
      </c>
      <c r="DI104" t="e">
        <f>AND(DATA!I1196,"AAAAAGdOf3A=")</f>
        <v>#VALUE!</v>
      </c>
      <c r="DJ104" t="e">
        <f>AND(DATA!J1196,"AAAAAGdOf3E=")</f>
        <v>#VALUE!</v>
      </c>
      <c r="DK104" t="e">
        <f>AND(DATA!K1196,"AAAAAGdOf3I=")</f>
        <v>#VALUE!</v>
      </c>
      <c r="DL104" t="b">
        <f>AND(DATA!L1196,"AAAAAGdOf3M=")</f>
        <v>1</v>
      </c>
      <c r="DM104" t="e">
        <f>AND(DATA!M1196,"AAAAAGdOf3Q=")</f>
        <v>#VALUE!</v>
      </c>
      <c r="DN104" t="b">
        <f>AND(DATA!N1196,"AAAAAGdOf3U=")</f>
        <v>1</v>
      </c>
      <c r="DO104">
        <f>IF(DATA!1197:1197,"AAAAAGdOf3Y=",0)</f>
        <v>0</v>
      </c>
      <c r="DP104" t="e">
        <f>AND(DATA!A1197,"AAAAAGdOf3c=")</f>
        <v>#VALUE!</v>
      </c>
      <c r="DQ104" t="e">
        <f>AND(DATA!B1197,"AAAAAGdOf3g=")</f>
        <v>#VALUE!</v>
      </c>
      <c r="DR104" t="e">
        <f>AND(DATA!C1197,"AAAAAGdOf3k=")</f>
        <v>#VALUE!</v>
      </c>
      <c r="DS104" t="e">
        <f>AND(DATA!D1197,"AAAAAGdOf3o=")</f>
        <v>#VALUE!</v>
      </c>
      <c r="DT104" t="e">
        <f>AND(DATA!E1197,"AAAAAGdOf3s=")</f>
        <v>#VALUE!</v>
      </c>
      <c r="DU104" t="e">
        <f>AND(DATA!F1197,"AAAAAGdOf3w=")</f>
        <v>#VALUE!</v>
      </c>
      <c r="DV104" t="e">
        <f>AND(DATA!G1197,"AAAAAGdOf30=")</f>
        <v>#VALUE!</v>
      </c>
      <c r="DW104" t="e">
        <f>AND(DATA!H1197,"AAAAAGdOf34=")</f>
        <v>#VALUE!</v>
      </c>
      <c r="DX104" t="e">
        <f>AND(DATA!I1197,"AAAAAGdOf38=")</f>
        <v>#VALUE!</v>
      </c>
      <c r="DY104" t="e">
        <f>AND(DATA!J1197,"AAAAAGdOf4A=")</f>
        <v>#VALUE!</v>
      </c>
      <c r="DZ104" t="e">
        <f>AND(DATA!K1197,"AAAAAGdOf4E=")</f>
        <v>#VALUE!</v>
      </c>
      <c r="EA104" t="b">
        <f>AND(DATA!L1197,"AAAAAGdOf4I=")</f>
        <v>1</v>
      </c>
      <c r="EB104" t="e">
        <f>AND(DATA!M1197,"AAAAAGdOf4M=")</f>
        <v>#VALUE!</v>
      </c>
      <c r="EC104" t="b">
        <f>AND(DATA!N1197,"AAAAAGdOf4Q=")</f>
        <v>1</v>
      </c>
      <c r="ED104">
        <f>IF(DATA!1198:1198,"AAAAAGdOf4U=",0)</f>
        <v>0</v>
      </c>
      <c r="EE104" t="e">
        <f>AND(DATA!A1198,"AAAAAGdOf4Y=")</f>
        <v>#VALUE!</v>
      </c>
      <c r="EF104" t="e">
        <f>AND(DATA!B1198,"AAAAAGdOf4c=")</f>
        <v>#VALUE!</v>
      </c>
      <c r="EG104" t="e">
        <f>AND(DATA!C1198,"AAAAAGdOf4g=")</f>
        <v>#VALUE!</v>
      </c>
      <c r="EH104" t="e">
        <f>AND(DATA!D1198,"AAAAAGdOf4k=")</f>
        <v>#VALUE!</v>
      </c>
      <c r="EI104" t="e">
        <f>AND(DATA!E1198,"AAAAAGdOf4o=")</f>
        <v>#VALUE!</v>
      </c>
      <c r="EJ104" t="e">
        <f>AND(DATA!F1198,"AAAAAGdOf4s=")</f>
        <v>#VALUE!</v>
      </c>
      <c r="EK104" t="e">
        <f>AND(DATA!G1198,"AAAAAGdOf4w=")</f>
        <v>#VALUE!</v>
      </c>
      <c r="EL104" t="e">
        <f>AND(DATA!H1198,"AAAAAGdOf40=")</f>
        <v>#VALUE!</v>
      </c>
      <c r="EM104" t="e">
        <f>AND(DATA!I1198,"AAAAAGdOf44=")</f>
        <v>#VALUE!</v>
      </c>
      <c r="EN104" t="e">
        <f>AND(DATA!J1198,"AAAAAGdOf48=")</f>
        <v>#VALUE!</v>
      </c>
      <c r="EO104" t="e">
        <f>AND(DATA!K1198,"AAAAAGdOf5A=")</f>
        <v>#VALUE!</v>
      </c>
      <c r="EP104" t="b">
        <f>AND(DATA!L1198,"AAAAAGdOf5E=")</f>
        <v>1</v>
      </c>
      <c r="EQ104" t="e">
        <f>AND(DATA!M1198,"AAAAAGdOf5I=")</f>
        <v>#VALUE!</v>
      </c>
      <c r="ER104" t="b">
        <f>AND(DATA!N1198,"AAAAAGdOf5M=")</f>
        <v>1</v>
      </c>
      <c r="ES104">
        <f>IF(DATA!1199:1199,"AAAAAGdOf5Q=",0)</f>
        <v>0</v>
      </c>
      <c r="ET104" t="e">
        <f>AND(DATA!A1199,"AAAAAGdOf5U=")</f>
        <v>#VALUE!</v>
      </c>
      <c r="EU104" t="e">
        <f>AND(DATA!B1199,"AAAAAGdOf5Y=")</f>
        <v>#VALUE!</v>
      </c>
      <c r="EV104" t="e">
        <f>AND(DATA!C1199,"AAAAAGdOf5c=")</f>
        <v>#VALUE!</v>
      </c>
      <c r="EW104" t="e">
        <f>AND(DATA!D1199,"AAAAAGdOf5g=")</f>
        <v>#VALUE!</v>
      </c>
      <c r="EX104" t="e">
        <f>AND(DATA!E1199,"AAAAAGdOf5k=")</f>
        <v>#VALUE!</v>
      </c>
      <c r="EY104" t="e">
        <f>AND(DATA!F1199,"AAAAAGdOf5o=")</f>
        <v>#VALUE!</v>
      </c>
      <c r="EZ104" t="e">
        <f>AND(DATA!G1199,"AAAAAGdOf5s=")</f>
        <v>#VALUE!</v>
      </c>
      <c r="FA104" t="e">
        <f>AND(DATA!H1199,"AAAAAGdOf5w=")</f>
        <v>#VALUE!</v>
      </c>
      <c r="FB104" t="e">
        <f>AND(DATA!I1199,"AAAAAGdOf50=")</f>
        <v>#VALUE!</v>
      </c>
      <c r="FC104" t="e">
        <f>AND(DATA!J1199,"AAAAAGdOf54=")</f>
        <v>#VALUE!</v>
      </c>
      <c r="FD104" t="e">
        <f>AND(DATA!K1199,"AAAAAGdOf58=")</f>
        <v>#VALUE!</v>
      </c>
      <c r="FE104" t="b">
        <f>AND(DATA!L1199,"AAAAAGdOf6A=")</f>
        <v>1</v>
      </c>
      <c r="FF104" t="e">
        <f>AND(DATA!M1199,"AAAAAGdOf6E=")</f>
        <v>#VALUE!</v>
      </c>
      <c r="FG104" t="b">
        <f>AND(DATA!N1199,"AAAAAGdOf6I=")</f>
        <v>1</v>
      </c>
      <c r="FH104">
        <f>IF(DATA!1200:1200,"AAAAAGdOf6M=",0)</f>
        <v>0</v>
      </c>
      <c r="FI104" t="e">
        <f>AND(DATA!A1200,"AAAAAGdOf6Q=")</f>
        <v>#VALUE!</v>
      </c>
      <c r="FJ104" t="e">
        <f>AND(DATA!B1200,"AAAAAGdOf6U=")</f>
        <v>#VALUE!</v>
      </c>
      <c r="FK104" t="e">
        <f>AND(DATA!C1200,"AAAAAGdOf6Y=")</f>
        <v>#VALUE!</v>
      </c>
      <c r="FL104" t="e">
        <f>AND(DATA!D1200,"AAAAAGdOf6c=")</f>
        <v>#VALUE!</v>
      </c>
      <c r="FM104" t="e">
        <f>AND(DATA!E1200,"AAAAAGdOf6g=")</f>
        <v>#VALUE!</v>
      </c>
      <c r="FN104" t="e">
        <f>AND(DATA!F1200,"AAAAAGdOf6k=")</f>
        <v>#VALUE!</v>
      </c>
      <c r="FO104" t="e">
        <f>AND(DATA!G1200,"AAAAAGdOf6o=")</f>
        <v>#VALUE!</v>
      </c>
      <c r="FP104" t="e">
        <f>AND(DATA!H1200,"AAAAAGdOf6s=")</f>
        <v>#VALUE!</v>
      </c>
      <c r="FQ104" t="e">
        <f>AND(DATA!I1200,"AAAAAGdOf6w=")</f>
        <v>#VALUE!</v>
      </c>
      <c r="FR104" t="e">
        <f>AND(DATA!J1200,"AAAAAGdOf60=")</f>
        <v>#VALUE!</v>
      </c>
      <c r="FS104" t="e">
        <f>AND(DATA!K1200,"AAAAAGdOf64=")</f>
        <v>#VALUE!</v>
      </c>
      <c r="FT104" t="b">
        <f>AND(DATA!L1200,"AAAAAGdOf68=")</f>
        <v>1</v>
      </c>
      <c r="FU104" t="e">
        <f>AND(DATA!M1200,"AAAAAGdOf7A=")</f>
        <v>#VALUE!</v>
      </c>
      <c r="FV104" t="b">
        <f>AND(DATA!N1200,"AAAAAGdOf7E=")</f>
        <v>1</v>
      </c>
      <c r="FW104">
        <f>IF(DATA!1201:1201,"AAAAAGdOf7I=",0)</f>
        <v>0</v>
      </c>
      <c r="FX104" t="e">
        <f>AND(DATA!A1201,"AAAAAGdOf7M=")</f>
        <v>#VALUE!</v>
      </c>
      <c r="FY104" t="e">
        <f>AND(DATA!B1201,"AAAAAGdOf7Q=")</f>
        <v>#VALUE!</v>
      </c>
      <c r="FZ104" t="e">
        <f>AND(DATA!C1201,"AAAAAGdOf7U=")</f>
        <v>#VALUE!</v>
      </c>
      <c r="GA104" t="e">
        <f>AND(DATA!D1201,"AAAAAGdOf7Y=")</f>
        <v>#VALUE!</v>
      </c>
      <c r="GB104" t="e">
        <f>AND(DATA!E1201,"AAAAAGdOf7c=")</f>
        <v>#VALUE!</v>
      </c>
      <c r="GC104" t="e">
        <f>AND(DATA!F1201,"AAAAAGdOf7g=")</f>
        <v>#VALUE!</v>
      </c>
      <c r="GD104" t="e">
        <f>AND(DATA!G1201,"AAAAAGdOf7k=")</f>
        <v>#VALUE!</v>
      </c>
      <c r="GE104" t="e">
        <f>AND(DATA!H1201,"AAAAAGdOf7o=")</f>
        <v>#VALUE!</v>
      </c>
      <c r="GF104" t="e">
        <f>AND(DATA!I1201,"AAAAAGdOf7s=")</f>
        <v>#VALUE!</v>
      </c>
      <c r="GG104" t="e">
        <f>AND(DATA!J1201,"AAAAAGdOf7w=")</f>
        <v>#VALUE!</v>
      </c>
      <c r="GH104" t="e">
        <f>AND(DATA!K1201,"AAAAAGdOf70=")</f>
        <v>#VALUE!</v>
      </c>
      <c r="GI104" t="b">
        <f>AND(DATA!L1201,"AAAAAGdOf74=")</f>
        <v>1</v>
      </c>
      <c r="GJ104" t="e">
        <f>AND(DATA!M1201,"AAAAAGdOf78=")</f>
        <v>#VALUE!</v>
      </c>
      <c r="GK104" t="b">
        <f>AND(DATA!N1201,"AAAAAGdOf8A=")</f>
        <v>1</v>
      </c>
      <c r="GL104">
        <f>IF(DATA!1202:1202,"AAAAAGdOf8E=",0)</f>
        <v>0</v>
      </c>
      <c r="GM104" t="e">
        <f>AND(DATA!A1202,"AAAAAGdOf8I=")</f>
        <v>#VALUE!</v>
      </c>
      <c r="GN104" t="e">
        <f>AND(DATA!B1202,"AAAAAGdOf8M=")</f>
        <v>#VALUE!</v>
      </c>
      <c r="GO104" t="e">
        <f>AND(DATA!C1202,"AAAAAGdOf8Q=")</f>
        <v>#VALUE!</v>
      </c>
      <c r="GP104" t="e">
        <f>AND(DATA!D1202,"AAAAAGdOf8U=")</f>
        <v>#VALUE!</v>
      </c>
      <c r="GQ104" t="e">
        <f>AND(DATA!E1202,"AAAAAGdOf8Y=")</f>
        <v>#VALUE!</v>
      </c>
      <c r="GR104" t="e">
        <f>AND(DATA!F1202,"AAAAAGdOf8c=")</f>
        <v>#VALUE!</v>
      </c>
      <c r="GS104" t="e">
        <f>AND(DATA!G1202,"AAAAAGdOf8g=")</f>
        <v>#VALUE!</v>
      </c>
      <c r="GT104" t="e">
        <f>AND(DATA!H1202,"AAAAAGdOf8k=")</f>
        <v>#VALUE!</v>
      </c>
      <c r="GU104" t="e">
        <f>AND(DATA!I1202,"AAAAAGdOf8o=")</f>
        <v>#VALUE!</v>
      </c>
      <c r="GV104" t="e">
        <f>AND(DATA!J1202,"AAAAAGdOf8s=")</f>
        <v>#VALUE!</v>
      </c>
      <c r="GW104" t="e">
        <f>AND(DATA!K1202,"AAAAAGdOf8w=")</f>
        <v>#VALUE!</v>
      </c>
      <c r="GX104" t="b">
        <f>AND(DATA!L1202,"AAAAAGdOf80=")</f>
        <v>1</v>
      </c>
      <c r="GY104" t="e">
        <f>AND(DATA!M1202,"AAAAAGdOf84=")</f>
        <v>#VALUE!</v>
      </c>
      <c r="GZ104" t="b">
        <f>AND(DATA!N1202,"AAAAAGdOf88=")</f>
        <v>1</v>
      </c>
      <c r="HA104">
        <f>IF(DATA!1203:1203,"AAAAAGdOf9A=",0)</f>
        <v>0</v>
      </c>
      <c r="HB104" t="e">
        <f>AND(DATA!A1203,"AAAAAGdOf9E=")</f>
        <v>#VALUE!</v>
      </c>
      <c r="HC104" t="e">
        <f>AND(DATA!B1203,"AAAAAGdOf9I=")</f>
        <v>#VALUE!</v>
      </c>
      <c r="HD104" t="e">
        <f>AND(DATA!C1203,"AAAAAGdOf9M=")</f>
        <v>#VALUE!</v>
      </c>
      <c r="HE104" t="e">
        <f>AND(DATA!D1203,"AAAAAGdOf9Q=")</f>
        <v>#VALUE!</v>
      </c>
      <c r="HF104" t="e">
        <f>AND(DATA!E1203,"AAAAAGdOf9U=")</f>
        <v>#VALUE!</v>
      </c>
      <c r="HG104" t="e">
        <f>AND(DATA!F1203,"AAAAAGdOf9Y=")</f>
        <v>#VALUE!</v>
      </c>
      <c r="HH104" t="e">
        <f>AND(DATA!G1203,"AAAAAGdOf9c=")</f>
        <v>#VALUE!</v>
      </c>
      <c r="HI104" t="e">
        <f>AND(DATA!H1203,"AAAAAGdOf9g=")</f>
        <v>#VALUE!</v>
      </c>
      <c r="HJ104" t="e">
        <f>AND(DATA!I1203,"AAAAAGdOf9k=")</f>
        <v>#VALUE!</v>
      </c>
      <c r="HK104" t="e">
        <f>AND(DATA!J1203,"AAAAAGdOf9o=")</f>
        <v>#VALUE!</v>
      </c>
      <c r="HL104" t="e">
        <f>AND(DATA!K1203,"AAAAAGdOf9s=")</f>
        <v>#VALUE!</v>
      </c>
      <c r="HM104" t="b">
        <f>AND(DATA!L1203,"AAAAAGdOf9w=")</f>
        <v>1</v>
      </c>
      <c r="HN104" t="e">
        <f>AND(DATA!M1203,"AAAAAGdOf90=")</f>
        <v>#VALUE!</v>
      </c>
      <c r="HO104" t="b">
        <f>AND(DATA!N1203,"AAAAAGdOf94=")</f>
        <v>1</v>
      </c>
      <c r="HP104">
        <f>IF(DATA!1204:1204,"AAAAAGdOf98=",0)</f>
        <v>0</v>
      </c>
      <c r="HQ104" t="e">
        <f>AND(DATA!A1204,"AAAAAGdOf+A=")</f>
        <v>#VALUE!</v>
      </c>
      <c r="HR104" t="e">
        <f>AND(DATA!B1204,"AAAAAGdOf+E=")</f>
        <v>#VALUE!</v>
      </c>
      <c r="HS104" t="e">
        <f>AND(DATA!C1204,"AAAAAGdOf+I=")</f>
        <v>#VALUE!</v>
      </c>
      <c r="HT104" t="e">
        <f>AND(DATA!D1204,"AAAAAGdOf+M=")</f>
        <v>#VALUE!</v>
      </c>
      <c r="HU104" t="e">
        <f>AND(DATA!E1204,"AAAAAGdOf+Q=")</f>
        <v>#VALUE!</v>
      </c>
      <c r="HV104" t="e">
        <f>AND(DATA!F1204,"AAAAAGdOf+U=")</f>
        <v>#VALUE!</v>
      </c>
      <c r="HW104" t="e">
        <f>AND(DATA!G1204,"AAAAAGdOf+Y=")</f>
        <v>#VALUE!</v>
      </c>
      <c r="HX104" t="e">
        <f>AND(DATA!H1204,"AAAAAGdOf+c=")</f>
        <v>#VALUE!</v>
      </c>
      <c r="HY104" t="e">
        <f>AND(DATA!I1204,"AAAAAGdOf+g=")</f>
        <v>#VALUE!</v>
      </c>
      <c r="HZ104" t="e">
        <f>AND(DATA!J1204,"AAAAAGdOf+k=")</f>
        <v>#VALUE!</v>
      </c>
      <c r="IA104" t="e">
        <f>AND(DATA!K1204,"AAAAAGdOf+o=")</f>
        <v>#VALUE!</v>
      </c>
      <c r="IB104" t="b">
        <f>AND(DATA!L1204,"AAAAAGdOf+s=")</f>
        <v>1</v>
      </c>
      <c r="IC104" t="e">
        <f>AND(DATA!M1204,"AAAAAGdOf+w=")</f>
        <v>#VALUE!</v>
      </c>
      <c r="ID104" t="b">
        <f>AND(DATA!N1204,"AAAAAGdOf+0=")</f>
        <v>1</v>
      </c>
      <c r="IE104">
        <f>IF(DATA!1205:1205,"AAAAAGdOf+4=",0)</f>
        <v>0</v>
      </c>
      <c r="IF104" t="e">
        <f>AND(DATA!A1205,"AAAAAGdOf+8=")</f>
        <v>#VALUE!</v>
      </c>
      <c r="IG104" t="e">
        <f>AND(DATA!B1205,"AAAAAGdOf/A=")</f>
        <v>#VALUE!</v>
      </c>
      <c r="IH104" t="e">
        <f>AND(DATA!C1205,"AAAAAGdOf/E=")</f>
        <v>#VALUE!</v>
      </c>
      <c r="II104" t="e">
        <f>AND(DATA!D1205,"AAAAAGdOf/I=")</f>
        <v>#VALUE!</v>
      </c>
      <c r="IJ104" t="e">
        <f>AND(DATA!E1205,"AAAAAGdOf/M=")</f>
        <v>#VALUE!</v>
      </c>
      <c r="IK104" t="e">
        <f>AND(DATA!F1205,"AAAAAGdOf/Q=")</f>
        <v>#VALUE!</v>
      </c>
      <c r="IL104" t="e">
        <f>AND(DATA!G1205,"AAAAAGdOf/U=")</f>
        <v>#VALUE!</v>
      </c>
      <c r="IM104" t="e">
        <f>AND(DATA!H1205,"AAAAAGdOf/Y=")</f>
        <v>#VALUE!</v>
      </c>
      <c r="IN104" t="e">
        <f>AND(DATA!I1205,"AAAAAGdOf/c=")</f>
        <v>#VALUE!</v>
      </c>
      <c r="IO104" t="e">
        <f>AND(DATA!J1205,"AAAAAGdOf/g=")</f>
        <v>#VALUE!</v>
      </c>
      <c r="IP104" t="e">
        <f>AND(DATA!K1205,"AAAAAGdOf/k=")</f>
        <v>#VALUE!</v>
      </c>
      <c r="IQ104" t="b">
        <f>AND(DATA!L1205,"AAAAAGdOf/o=")</f>
        <v>1</v>
      </c>
      <c r="IR104" t="e">
        <f>AND(DATA!M1205,"AAAAAGdOf/s=")</f>
        <v>#VALUE!</v>
      </c>
      <c r="IS104" t="b">
        <f>AND(DATA!N1205,"AAAAAGdOf/w=")</f>
        <v>1</v>
      </c>
      <c r="IT104">
        <f>IF(DATA!1206:1206,"AAAAAGdOf/0=",0)</f>
        <v>0</v>
      </c>
      <c r="IU104" t="e">
        <f>AND(DATA!A1206,"AAAAAGdOf/4=")</f>
        <v>#VALUE!</v>
      </c>
      <c r="IV104" t="e">
        <f>AND(DATA!B1206,"AAAAAGdOf/8=")</f>
        <v>#VALUE!</v>
      </c>
    </row>
    <row r="105" spans="1:256">
      <c r="A105" t="e">
        <f>AND(DATA!C1206,"AAAAAG55+wA=")</f>
        <v>#VALUE!</v>
      </c>
      <c r="B105" t="e">
        <f>AND(DATA!D1206,"AAAAAG55+wE=")</f>
        <v>#VALUE!</v>
      </c>
      <c r="C105" t="e">
        <f>AND(DATA!E1206,"AAAAAG55+wI=")</f>
        <v>#VALUE!</v>
      </c>
      <c r="D105" t="e">
        <f>AND(DATA!F1206,"AAAAAG55+wM=")</f>
        <v>#VALUE!</v>
      </c>
      <c r="E105" t="e">
        <f>AND(DATA!G1206,"AAAAAG55+wQ=")</f>
        <v>#VALUE!</v>
      </c>
      <c r="F105" t="e">
        <f>AND(DATA!H1206,"AAAAAG55+wU=")</f>
        <v>#VALUE!</v>
      </c>
      <c r="G105" t="e">
        <f>AND(DATA!I1206,"AAAAAG55+wY=")</f>
        <v>#VALUE!</v>
      </c>
      <c r="H105" t="e">
        <f>AND(DATA!J1206,"AAAAAG55+wc=")</f>
        <v>#VALUE!</v>
      </c>
      <c r="I105" t="e">
        <f>AND(DATA!K1206,"AAAAAG55+wg=")</f>
        <v>#VALUE!</v>
      </c>
      <c r="J105" t="b">
        <f>AND(DATA!L1206,"AAAAAG55+wk=")</f>
        <v>1</v>
      </c>
      <c r="K105" t="e">
        <f>AND(DATA!M1206,"AAAAAG55+wo=")</f>
        <v>#VALUE!</v>
      </c>
      <c r="L105" t="b">
        <f>AND(DATA!N1206,"AAAAAG55+ws=")</f>
        <v>1</v>
      </c>
      <c r="M105">
        <f>IF(DATA!1207:1207,"AAAAAG55+ww=",0)</f>
        <v>0</v>
      </c>
      <c r="N105" t="e">
        <f>AND(DATA!A1207,"AAAAAG55+w0=")</f>
        <v>#VALUE!</v>
      </c>
      <c r="O105" t="e">
        <f>AND(DATA!B1207,"AAAAAG55+w4=")</f>
        <v>#VALUE!</v>
      </c>
      <c r="P105" t="e">
        <f>AND(DATA!C1207,"AAAAAG55+w8=")</f>
        <v>#VALUE!</v>
      </c>
      <c r="Q105" t="e">
        <f>AND(DATA!D1207,"AAAAAG55+xA=")</f>
        <v>#VALUE!</v>
      </c>
      <c r="R105" t="e">
        <f>AND(DATA!E1207,"AAAAAG55+xE=")</f>
        <v>#VALUE!</v>
      </c>
      <c r="S105" t="e">
        <f>AND(DATA!F1207,"AAAAAG55+xI=")</f>
        <v>#VALUE!</v>
      </c>
      <c r="T105" t="e">
        <f>AND(DATA!G1207,"AAAAAG55+xM=")</f>
        <v>#VALUE!</v>
      </c>
      <c r="U105" t="e">
        <f>AND(DATA!H1207,"AAAAAG55+xQ=")</f>
        <v>#VALUE!</v>
      </c>
      <c r="V105" t="e">
        <f>AND(DATA!I1207,"AAAAAG55+xU=")</f>
        <v>#VALUE!</v>
      </c>
      <c r="W105" t="e">
        <f>AND(DATA!J1207,"AAAAAG55+xY=")</f>
        <v>#VALUE!</v>
      </c>
      <c r="X105" t="e">
        <f>AND(DATA!K1207,"AAAAAG55+xc=")</f>
        <v>#VALUE!</v>
      </c>
      <c r="Y105" t="b">
        <f>AND(DATA!L1207,"AAAAAG55+xg=")</f>
        <v>1</v>
      </c>
      <c r="Z105" t="e">
        <f>AND(DATA!M1207,"AAAAAG55+xk=")</f>
        <v>#VALUE!</v>
      </c>
      <c r="AA105" t="b">
        <f>AND(DATA!N1207,"AAAAAG55+xo=")</f>
        <v>1</v>
      </c>
      <c r="AB105">
        <f>IF(DATA!1208:1208,"AAAAAG55+xs=",0)</f>
        <v>0</v>
      </c>
      <c r="AC105" t="e">
        <f>AND(DATA!A1208,"AAAAAG55+xw=")</f>
        <v>#VALUE!</v>
      </c>
      <c r="AD105" t="e">
        <f>AND(DATA!B1208,"AAAAAG55+x0=")</f>
        <v>#VALUE!</v>
      </c>
      <c r="AE105" t="e">
        <f>AND(DATA!C1208,"AAAAAG55+x4=")</f>
        <v>#VALUE!</v>
      </c>
      <c r="AF105" t="e">
        <f>AND(DATA!D1208,"AAAAAG55+x8=")</f>
        <v>#VALUE!</v>
      </c>
      <c r="AG105" t="e">
        <f>AND(DATA!E1208,"AAAAAG55+yA=")</f>
        <v>#VALUE!</v>
      </c>
      <c r="AH105" t="e">
        <f>AND(DATA!F1208,"AAAAAG55+yE=")</f>
        <v>#VALUE!</v>
      </c>
      <c r="AI105" t="e">
        <f>AND(DATA!G1208,"AAAAAG55+yI=")</f>
        <v>#VALUE!</v>
      </c>
      <c r="AJ105" t="e">
        <f>AND(DATA!H1208,"AAAAAG55+yM=")</f>
        <v>#VALUE!</v>
      </c>
      <c r="AK105" t="e">
        <f>AND(DATA!I1208,"AAAAAG55+yQ=")</f>
        <v>#VALUE!</v>
      </c>
      <c r="AL105" t="e">
        <f>AND(DATA!J1208,"AAAAAG55+yU=")</f>
        <v>#VALUE!</v>
      </c>
      <c r="AM105" t="e">
        <f>AND(DATA!K1208,"AAAAAG55+yY=")</f>
        <v>#VALUE!</v>
      </c>
      <c r="AN105" t="b">
        <f>AND(DATA!L1208,"AAAAAG55+yc=")</f>
        <v>1</v>
      </c>
      <c r="AO105" t="e">
        <f>AND(DATA!M1208,"AAAAAG55+yg=")</f>
        <v>#VALUE!</v>
      </c>
      <c r="AP105" t="b">
        <f>AND(DATA!N1208,"AAAAAG55+yk=")</f>
        <v>1</v>
      </c>
      <c r="AQ105">
        <f>IF(DATA!1209:1209,"AAAAAG55+yo=",0)</f>
        <v>0</v>
      </c>
      <c r="AR105" t="e">
        <f>AND(DATA!A1209,"AAAAAG55+ys=")</f>
        <v>#VALUE!</v>
      </c>
      <c r="AS105" t="e">
        <f>AND(DATA!B1209,"AAAAAG55+yw=")</f>
        <v>#VALUE!</v>
      </c>
      <c r="AT105" t="e">
        <f>AND(DATA!C1209,"AAAAAG55+y0=")</f>
        <v>#VALUE!</v>
      </c>
      <c r="AU105" t="e">
        <f>AND(DATA!D1209,"AAAAAG55+y4=")</f>
        <v>#VALUE!</v>
      </c>
      <c r="AV105" t="e">
        <f>AND(DATA!E1209,"AAAAAG55+y8=")</f>
        <v>#VALUE!</v>
      </c>
      <c r="AW105" t="e">
        <f>AND(DATA!F1209,"AAAAAG55+zA=")</f>
        <v>#VALUE!</v>
      </c>
      <c r="AX105" t="e">
        <f>AND(DATA!G1209,"AAAAAG55+zE=")</f>
        <v>#VALUE!</v>
      </c>
      <c r="AY105" t="e">
        <f>AND(DATA!H1209,"AAAAAG55+zI=")</f>
        <v>#VALUE!</v>
      </c>
      <c r="AZ105" t="e">
        <f>AND(DATA!I1209,"AAAAAG55+zM=")</f>
        <v>#VALUE!</v>
      </c>
      <c r="BA105" t="e">
        <f>AND(DATA!J1209,"AAAAAG55+zQ=")</f>
        <v>#VALUE!</v>
      </c>
      <c r="BB105" t="e">
        <f>AND(DATA!K1209,"AAAAAG55+zU=")</f>
        <v>#VALUE!</v>
      </c>
      <c r="BC105" t="b">
        <f>AND(DATA!L1209,"AAAAAG55+zY=")</f>
        <v>1</v>
      </c>
      <c r="BD105" t="e">
        <f>AND(DATA!M1209,"AAAAAG55+zc=")</f>
        <v>#VALUE!</v>
      </c>
      <c r="BE105" t="b">
        <f>AND(DATA!N1209,"AAAAAG55+zg=")</f>
        <v>1</v>
      </c>
      <c r="BF105">
        <f>IF(DATA!1210:1210,"AAAAAG55+zk=",0)</f>
        <v>0</v>
      </c>
      <c r="BG105" t="e">
        <f>AND(DATA!A1210,"AAAAAG55+zo=")</f>
        <v>#VALUE!</v>
      </c>
      <c r="BH105" t="e">
        <f>AND(DATA!B1210,"AAAAAG55+zs=")</f>
        <v>#VALUE!</v>
      </c>
      <c r="BI105" t="e">
        <f>AND(DATA!C1210,"AAAAAG55+zw=")</f>
        <v>#VALUE!</v>
      </c>
      <c r="BJ105" t="e">
        <f>AND(DATA!D1210,"AAAAAG55+z0=")</f>
        <v>#VALUE!</v>
      </c>
      <c r="BK105" t="e">
        <f>AND(DATA!E1210,"AAAAAG55+z4=")</f>
        <v>#VALUE!</v>
      </c>
      <c r="BL105" t="e">
        <f>AND(DATA!F1210,"AAAAAG55+z8=")</f>
        <v>#VALUE!</v>
      </c>
      <c r="BM105" t="e">
        <f>AND(DATA!G1210,"AAAAAG55+0A=")</f>
        <v>#VALUE!</v>
      </c>
      <c r="BN105" t="e">
        <f>AND(DATA!H1210,"AAAAAG55+0E=")</f>
        <v>#VALUE!</v>
      </c>
      <c r="BO105" t="e">
        <f>AND(DATA!I1210,"AAAAAG55+0I=")</f>
        <v>#VALUE!</v>
      </c>
      <c r="BP105" t="e">
        <f>AND(DATA!J1210,"AAAAAG55+0M=")</f>
        <v>#VALUE!</v>
      </c>
      <c r="BQ105" t="e">
        <f>AND(DATA!K1210,"AAAAAG55+0Q=")</f>
        <v>#VALUE!</v>
      </c>
      <c r="BR105" t="b">
        <f>AND(DATA!L1210,"AAAAAG55+0U=")</f>
        <v>1</v>
      </c>
      <c r="BS105" t="e">
        <f>AND(DATA!M1210,"AAAAAG55+0Y=")</f>
        <v>#VALUE!</v>
      </c>
      <c r="BT105" t="b">
        <f>AND(DATA!N1210,"AAAAAG55+0c=")</f>
        <v>1</v>
      </c>
      <c r="BU105">
        <f>IF(DATA!1211:1211,"AAAAAG55+0g=",0)</f>
        <v>0</v>
      </c>
      <c r="BV105" t="e">
        <f>AND(DATA!A1211,"AAAAAG55+0k=")</f>
        <v>#VALUE!</v>
      </c>
      <c r="BW105" t="e">
        <f>AND(DATA!B1211,"AAAAAG55+0o=")</f>
        <v>#VALUE!</v>
      </c>
      <c r="BX105" t="e">
        <f>AND(DATA!C1211,"AAAAAG55+0s=")</f>
        <v>#VALUE!</v>
      </c>
      <c r="BY105" t="e">
        <f>AND(DATA!D1211,"AAAAAG55+0w=")</f>
        <v>#VALUE!</v>
      </c>
      <c r="BZ105" t="e">
        <f>AND(DATA!E1211,"AAAAAG55+00=")</f>
        <v>#VALUE!</v>
      </c>
      <c r="CA105" t="e">
        <f>AND(DATA!F1211,"AAAAAG55+04=")</f>
        <v>#VALUE!</v>
      </c>
      <c r="CB105" t="e">
        <f>AND(DATA!G1211,"AAAAAG55+08=")</f>
        <v>#VALUE!</v>
      </c>
      <c r="CC105" t="e">
        <f>AND(DATA!H1211,"AAAAAG55+1A=")</f>
        <v>#VALUE!</v>
      </c>
      <c r="CD105" t="e">
        <f>AND(DATA!I1211,"AAAAAG55+1E=")</f>
        <v>#VALUE!</v>
      </c>
      <c r="CE105" t="e">
        <f>AND(DATA!J1211,"AAAAAG55+1I=")</f>
        <v>#VALUE!</v>
      </c>
      <c r="CF105" t="e">
        <f>AND(DATA!K1211,"AAAAAG55+1M=")</f>
        <v>#VALUE!</v>
      </c>
      <c r="CG105" t="b">
        <f>AND(DATA!L1211,"AAAAAG55+1Q=")</f>
        <v>1</v>
      </c>
      <c r="CH105" t="e">
        <f>AND(DATA!M1211,"AAAAAG55+1U=")</f>
        <v>#VALUE!</v>
      </c>
      <c r="CI105" t="b">
        <f>AND(DATA!N1211,"AAAAAG55+1Y=")</f>
        <v>1</v>
      </c>
      <c r="CJ105">
        <f>IF(DATA!1212:1212,"AAAAAG55+1c=",0)</f>
        <v>0</v>
      </c>
      <c r="CK105" t="e">
        <f>AND(DATA!A1212,"AAAAAG55+1g=")</f>
        <v>#VALUE!</v>
      </c>
      <c r="CL105" t="e">
        <f>AND(DATA!B1212,"AAAAAG55+1k=")</f>
        <v>#VALUE!</v>
      </c>
      <c r="CM105" t="e">
        <f>AND(DATA!C1212,"AAAAAG55+1o=")</f>
        <v>#VALUE!</v>
      </c>
      <c r="CN105" t="e">
        <f>AND(DATA!D1212,"AAAAAG55+1s=")</f>
        <v>#VALUE!</v>
      </c>
      <c r="CO105" t="e">
        <f>AND(DATA!E1212,"AAAAAG55+1w=")</f>
        <v>#VALUE!</v>
      </c>
      <c r="CP105" t="e">
        <f>AND(DATA!F1212,"AAAAAG55+10=")</f>
        <v>#VALUE!</v>
      </c>
      <c r="CQ105" t="e">
        <f>AND(DATA!G1212,"AAAAAG55+14=")</f>
        <v>#VALUE!</v>
      </c>
      <c r="CR105" t="e">
        <f>AND(DATA!H1212,"AAAAAG55+18=")</f>
        <v>#VALUE!</v>
      </c>
      <c r="CS105" t="e">
        <f>AND(DATA!I1212,"AAAAAG55+2A=")</f>
        <v>#VALUE!</v>
      </c>
      <c r="CT105" t="e">
        <f>AND(DATA!J1212,"AAAAAG55+2E=")</f>
        <v>#VALUE!</v>
      </c>
      <c r="CU105" t="e">
        <f>AND(DATA!K1212,"AAAAAG55+2I=")</f>
        <v>#VALUE!</v>
      </c>
      <c r="CV105" t="b">
        <f>AND(DATA!L1212,"AAAAAG55+2M=")</f>
        <v>1</v>
      </c>
      <c r="CW105" t="e">
        <f>AND(DATA!M1212,"AAAAAG55+2Q=")</f>
        <v>#VALUE!</v>
      </c>
      <c r="CX105" t="b">
        <f>AND(DATA!N1212,"AAAAAG55+2U=")</f>
        <v>1</v>
      </c>
      <c r="CY105">
        <f>IF(DATA!1213:1213,"AAAAAG55+2Y=",0)</f>
        <v>0</v>
      </c>
      <c r="CZ105" t="e">
        <f>AND(DATA!A1213,"AAAAAG55+2c=")</f>
        <v>#VALUE!</v>
      </c>
      <c r="DA105" t="e">
        <f>AND(DATA!B1213,"AAAAAG55+2g=")</f>
        <v>#VALUE!</v>
      </c>
      <c r="DB105" t="e">
        <f>AND(DATA!C1213,"AAAAAG55+2k=")</f>
        <v>#VALUE!</v>
      </c>
      <c r="DC105" t="e">
        <f>AND(DATA!D1213,"AAAAAG55+2o=")</f>
        <v>#VALUE!</v>
      </c>
      <c r="DD105" t="e">
        <f>AND(DATA!E1213,"AAAAAG55+2s=")</f>
        <v>#VALUE!</v>
      </c>
      <c r="DE105" t="e">
        <f>AND(DATA!F1213,"AAAAAG55+2w=")</f>
        <v>#VALUE!</v>
      </c>
      <c r="DF105" t="e">
        <f>AND(DATA!G1213,"AAAAAG55+20=")</f>
        <v>#VALUE!</v>
      </c>
      <c r="DG105" t="e">
        <f>AND(DATA!H1213,"AAAAAG55+24=")</f>
        <v>#VALUE!</v>
      </c>
      <c r="DH105" t="e">
        <f>AND(DATA!I1213,"AAAAAG55+28=")</f>
        <v>#VALUE!</v>
      </c>
      <c r="DI105" t="e">
        <f>AND(DATA!J1213,"AAAAAG55+3A=")</f>
        <v>#VALUE!</v>
      </c>
      <c r="DJ105" t="e">
        <f>AND(DATA!K1213,"AAAAAG55+3E=")</f>
        <v>#VALUE!</v>
      </c>
      <c r="DK105" t="b">
        <f>AND(DATA!L1213,"AAAAAG55+3I=")</f>
        <v>1</v>
      </c>
      <c r="DL105" t="e">
        <f>AND(DATA!M1213,"AAAAAG55+3M=")</f>
        <v>#VALUE!</v>
      </c>
      <c r="DM105" t="b">
        <f>AND(DATA!N1213,"AAAAAG55+3Q=")</f>
        <v>1</v>
      </c>
      <c r="DN105">
        <f>IF(DATA!1214:1214,"AAAAAG55+3U=",0)</f>
        <v>0</v>
      </c>
      <c r="DO105" t="e">
        <f>AND(DATA!A1214,"AAAAAG55+3Y=")</f>
        <v>#VALUE!</v>
      </c>
      <c r="DP105" t="e">
        <f>AND(DATA!B1214,"AAAAAG55+3c=")</f>
        <v>#VALUE!</v>
      </c>
      <c r="DQ105" t="e">
        <f>AND(DATA!C1214,"AAAAAG55+3g=")</f>
        <v>#VALUE!</v>
      </c>
      <c r="DR105" t="e">
        <f>AND(DATA!D1214,"AAAAAG55+3k=")</f>
        <v>#VALUE!</v>
      </c>
      <c r="DS105" t="e">
        <f>AND(DATA!E1214,"AAAAAG55+3o=")</f>
        <v>#VALUE!</v>
      </c>
      <c r="DT105" t="e">
        <f>AND(DATA!F1214,"AAAAAG55+3s=")</f>
        <v>#VALUE!</v>
      </c>
      <c r="DU105" t="e">
        <f>AND(DATA!G1214,"AAAAAG55+3w=")</f>
        <v>#VALUE!</v>
      </c>
      <c r="DV105" t="e">
        <f>AND(DATA!H1214,"AAAAAG55+30=")</f>
        <v>#VALUE!</v>
      </c>
      <c r="DW105" t="e">
        <f>AND(DATA!I1214,"AAAAAG55+34=")</f>
        <v>#VALUE!</v>
      </c>
      <c r="DX105" t="e">
        <f>AND(DATA!J1214,"AAAAAG55+38=")</f>
        <v>#VALUE!</v>
      </c>
      <c r="DY105" t="e">
        <f>AND(DATA!K1214,"AAAAAG55+4A=")</f>
        <v>#VALUE!</v>
      </c>
      <c r="DZ105" t="b">
        <f>AND(DATA!L1214,"AAAAAG55+4E=")</f>
        <v>1</v>
      </c>
      <c r="EA105" t="e">
        <f>AND(DATA!M1214,"AAAAAG55+4I=")</f>
        <v>#VALUE!</v>
      </c>
      <c r="EB105" t="b">
        <f>AND(DATA!N1214,"AAAAAG55+4M=")</f>
        <v>1</v>
      </c>
      <c r="EC105">
        <f>IF(DATA!1215:1215,"AAAAAG55+4Q=",0)</f>
        <v>0</v>
      </c>
      <c r="ED105" t="e">
        <f>AND(DATA!A1215,"AAAAAG55+4U=")</f>
        <v>#VALUE!</v>
      </c>
      <c r="EE105" t="e">
        <f>AND(DATA!B1215,"AAAAAG55+4Y=")</f>
        <v>#VALUE!</v>
      </c>
      <c r="EF105" t="e">
        <f>AND(DATA!C1215,"AAAAAG55+4c=")</f>
        <v>#VALUE!</v>
      </c>
      <c r="EG105" t="e">
        <f>AND(DATA!D1215,"AAAAAG55+4g=")</f>
        <v>#VALUE!</v>
      </c>
      <c r="EH105" t="e">
        <f>AND(DATA!E1215,"AAAAAG55+4k=")</f>
        <v>#VALUE!</v>
      </c>
      <c r="EI105" t="e">
        <f>AND(DATA!F1215,"AAAAAG55+4o=")</f>
        <v>#VALUE!</v>
      </c>
      <c r="EJ105" t="e">
        <f>AND(DATA!G1215,"AAAAAG55+4s=")</f>
        <v>#VALUE!</v>
      </c>
      <c r="EK105" t="e">
        <f>AND(DATA!H1215,"AAAAAG55+4w=")</f>
        <v>#VALUE!</v>
      </c>
      <c r="EL105" t="e">
        <f>AND(DATA!I1215,"AAAAAG55+40=")</f>
        <v>#VALUE!</v>
      </c>
      <c r="EM105" t="e">
        <f>AND(DATA!J1215,"AAAAAG55+44=")</f>
        <v>#VALUE!</v>
      </c>
      <c r="EN105" t="e">
        <f>AND(DATA!K1215,"AAAAAG55+48=")</f>
        <v>#VALUE!</v>
      </c>
      <c r="EO105" t="b">
        <f>AND(DATA!L1215,"AAAAAG55+5A=")</f>
        <v>1</v>
      </c>
      <c r="EP105" t="e">
        <f>AND(DATA!M1215,"AAAAAG55+5E=")</f>
        <v>#VALUE!</v>
      </c>
      <c r="EQ105" t="b">
        <f>AND(DATA!N1215,"AAAAAG55+5I=")</f>
        <v>1</v>
      </c>
      <c r="ER105">
        <f>IF(DATA!1216:1216,"AAAAAG55+5M=",0)</f>
        <v>0</v>
      </c>
      <c r="ES105" t="e">
        <f>AND(DATA!A1216,"AAAAAG55+5Q=")</f>
        <v>#VALUE!</v>
      </c>
      <c r="ET105" t="e">
        <f>AND(DATA!B1216,"AAAAAG55+5U=")</f>
        <v>#VALUE!</v>
      </c>
      <c r="EU105" t="e">
        <f>AND(DATA!C1216,"AAAAAG55+5Y=")</f>
        <v>#VALUE!</v>
      </c>
      <c r="EV105" t="e">
        <f>AND(DATA!D1216,"AAAAAG55+5c=")</f>
        <v>#VALUE!</v>
      </c>
      <c r="EW105" t="e">
        <f>AND(DATA!E1216,"AAAAAG55+5g=")</f>
        <v>#VALUE!</v>
      </c>
      <c r="EX105" t="e">
        <f>AND(DATA!F1216,"AAAAAG55+5k=")</f>
        <v>#VALUE!</v>
      </c>
      <c r="EY105" t="e">
        <f>AND(DATA!G1216,"AAAAAG55+5o=")</f>
        <v>#VALUE!</v>
      </c>
      <c r="EZ105" t="e">
        <f>AND(DATA!H1216,"AAAAAG55+5s=")</f>
        <v>#VALUE!</v>
      </c>
      <c r="FA105" t="e">
        <f>AND(DATA!I1216,"AAAAAG55+5w=")</f>
        <v>#VALUE!</v>
      </c>
      <c r="FB105" t="e">
        <f>AND(DATA!J1216,"AAAAAG55+50=")</f>
        <v>#VALUE!</v>
      </c>
      <c r="FC105" t="e">
        <f>AND(DATA!K1216,"AAAAAG55+54=")</f>
        <v>#VALUE!</v>
      </c>
      <c r="FD105" t="b">
        <f>AND(DATA!L1216,"AAAAAG55+58=")</f>
        <v>1</v>
      </c>
      <c r="FE105" t="e">
        <f>AND(DATA!M1216,"AAAAAG55+6A=")</f>
        <v>#VALUE!</v>
      </c>
      <c r="FF105" t="b">
        <f>AND(DATA!N1216,"AAAAAG55+6E=")</f>
        <v>1</v>
      </c>
      <c r="FG105">
        <f>IF(DATA!1217:1217,"AAAAAG55+6I=",0)</f>
        <v>0</v>
      </c>
      <c r="FH105" t="e">
        <f>AND(DATA!A1217,"AAAAAG55+6M=")</f>
        <v>#VALUE!</v>
      </c>
      <c r="FI105" t="e">
        <f>AND(DATA!B1217,"AAAAAG55+6Q=")</f>
        <v>#VALUE!</v>
      </c>
      <c r="FJ105" t="e">
        <f>AND(DATA!C1217,"AAAAAG55+6U=")</f>
        <v>#VALUE!</v>
      </c>
      <c r="FK105" t="e">
        <f>AND(DATA!D1217,"AAAAAG55+6Y=")</f>
        <v>#VALUE!</v>
      </c>
      <c r="FL105" t="e">
        <f>AND(DATA!E1217,"AAAAAG55+6c=")</f>
        <v>#VALUE!</v>
      </c>
      <c r="FM105" t="e">
        <f>AND(DATA!F1217,"AAAAAG55+6g=")</f>
        <v>#VALUE!</v>
      </c>
      <c r="FN105" t="e">
        <f>AND(DATA!G1217,"AAAAAG55+6k=")</f>
        <v>#VALUE!</v>
      </c>
      <c r="FO105" t="e">
        <f>AND(DATA!H1217,"AAAAAG55+6o=")</f>
        <v>#VALUE!</v>
      </c>
      <c r="FP105" t="e">
        <f>AND(DATA!I1217,"AAAAAG55+6s=")</f>
        <v>#VALUE!</v>
      </c>
      <c r="FQ105" t="e">
        <f>AND(DATA!J1217,"AAAAAG55+6w=")</f>
        <v>#VALUE!</v>
      </c>
      <c r="FR105" t="e">
        <f>AND(DATA!K1217,"AAAAAG55+60=")</f>
        <v>#VALUE!</v>
      </c>
      <c r="FS105" t="b">
        <f>AND(DATA!L1217,"AAAAAG55+64=")</f>
        <v>1</v>
      </c>
      <c r="FT105" t="e">
        <f>AND(DATA!M1217,"AAAAAG55+68=")</f>
        <v>#VALUE!</v>
      </c>
      <c r="FU105" t="b">
        <f>AND(DATA!N1217,"AAAAAG55+7A=")</f>
        <v>1</v>
      </c>
      <c r="FV105">
        <f>IF(DATA!1218:1218,"AAAAAG55+7E=",0)</f>
        <v>0</v>
      </c>
      <c r="FW105" t="e">
        <f>AND(DATA!A1218,"AAAAAG55+7I=")</f>
        <v>#VALUE!</v>
      </c>
      <c r="FX105" t="e">
        <f>AND(DATA!B1218,"AAAAAG55+7M=")</f>
        <v>#VALUE!</v>
      </c>
      <c r="FY105" t="e">
        <f>AND(DATA!C1218,"AAAAAG55+7Q=")</f>
        <v>#VALUE!</v>
      </c>
      <c r="FZ105" t="e">
        <f>AND(DATA!D1218,"AAAAAG55+7U=")</f>
        <v>#VALUE!</v>
      </c>
      <c r="GA105" t="e">
        <f>AND(DATA!E1218,"AAAAAG55+7Y=")</f>
        <v>#VALUE!</v>
      </c>
      <c r="GB105" t="e">
        <f>AND(DATA!F1218,"AAAAAG55+7c=")</f>
        <v>#VALUE!</v>
      </c>
      <c r="GC105" t="e">
        <f>AND(DATA!G1218,"AAAAAG55+7g=")</f>
        <v>#VALUE!</v>
      </c>
      <c r="GD105" t="e">
        <f>AND(DATA!H1218,"AAAAAG55+7k=")</f>
        <v>#VALUE!</v>
      </c>
      <c r="GE105" t="e">
        <f>AND(DATA!I1218,"AAAAAG55+7o=")</f>
        <v>#VALUE!</v>
      </c>
      <c r="GF105" t="e">
        <f>AND(DATA!J1218,"AAAAAG55+7s=")</f>
        <v>#VALUE!</v>
      </c>
      <c r="GG105" t="e">
        <f>AND(DATA!K1218,"AAAAAG55+7w=")</f>
        <v>#VALUE!</v>
      </c>
      <c r="GH105" t="b">
        <f>AND(DATA!L1218,"AAAAAG55+70=")</f>
        <v>1</v>
      </c>
      <c r="GI105" t="e">
        <f>AND(DATA!M1218,"AAAAAG55+74=")</f>
        <v>#VALUE!</v>
      </c>
      <c r="GJ105" t="b">
        <f>AND(DATA!N1218,"AAAAAG55+78=")</f>
        <v>1</v>
      </c>
      <c r="GK105">
        <f>IF(DATA!1219:1219,"AAAAAG55+8A=",0)</f>
        <v>0</v>
      </c>
      <c r="GL105" t="e">
        <f>AND(DATA!A1219,"AAAAAG55+8E=")</f>
        <v>#VALUE!</v>
      </c>
      <c r="GM105" t="e">
        <f>AND(DATA!B1219,"AAAAAG55+8I=")</f>
        <v>#VALUE!</v>
      </c>
      <c r="GN105" t="e">
        <f>AND(DATA!C1219,"AAAAAG55+8M=")</f>
        <v>#VALUE!</v>
      </c>
      <c r="GO105" t="e">
        <f>AND(DATA!D1219,"AAAAAG55+8Q=")</f>
        <v>#VALUE!</v>
      </c>
      <c r="GP105" t="e">
        <f>AND(DATA!E1219,"AAAAAG55+8U=")</f>
        <v>#VALUE!</v>
      </c>
      <c r="GQ105" t="e">
        <f>AND(DATA!F1219,"AAAAAG55+8Y=")</f>
        <v>#VALUE!</v>
      </c>
      <c r="GR105" t="e">
        <f>AND(DATA!G1219,"AAAAAG55+8c=")</f>
        <v>#VALUE!</v>
      </c>
      <c r="GS105" t="e">
        <f>AND(DATA!H1219,"AAAAAG55+8g=")</f>
        <v>#VALUE!</v>
      </c>
      <c r="GT105" t="e">
        <f>AND(DATA!I1219,"AAAAAG55+8k=")</f>
        <v>#VALUE!</v>
      </c>
      <c r="GU105" t="e">
        <f>AND(DATA!J1219,"AAAAAG55+8o=")</f>
        <v>#VALUE!</v>
      </c>
      <c r="GV105" t="e">
        <f>AND(DATA!K1219,"AAAAAG55+8s=")</f>
        <v>#VALUE!</v>
      </c>
      <c r="GW105" t="b">
        <f>AND(DATA!L1219,"AAAAAG55+8w=")</f>
        <v>1</v>
      </c>
      <c r="GX105" t="e">
        <f>AND(DATA!M1219,"AAAAAG55+80=")</f>
        <v>#VALUE!</v>
      </c>
      <c r="GY105" t="b">
        <f>AND(DATA!N1219,"AAAAAG55+84=")</f>
        <v>1</v>
      </c>
      <c r="GZ105">
        <f>IF(DATA!1220:1220,"AAAAAG55+88=",0)</f>
        <v>0</v>
      </c>
      <c r="HA105" t="e">
        <f>AND(DATA!A1220,"AAAAAG55+9A=")</f>
        <v>#VALUE!</v>
      </c>
      <c r="HB105" t="e">
        <f>AND(DATA!B1220,"AAAAAG55+9E=")</f>
        <v>#VALUE!</v>
      </c>
      <c r="HC105" t="e">
        <f>AND(DATA!C1220,"AAAAAG55+9I=")</f>
        <v>#VALUE!</v>
      </c>
      <c r="HD105" t="e">
        <f>AND(DATA!D1220,"AAAAAG55+9M=")</f>
        <v>#VALUE!</v>
      </c>
      <c r="HE105" t="e">
        <f>AND(DATA!E1220,"AAAAAG55+9Q=")</f>
        <v>#VALUE!</v>
      </c>
      <c r="HF105" t="e">
        <f>AND(DATA!F1220,"AAAAAG55+9U=")</f>
        <v>#VALUE!</v>
      </c>
      <c r="HG105" t="e">
        <f>AND(DATA!G1220,"AAAAAG55+9Y=")</f>
        <v>#VALUE!</v>
      </c>
      <c r="HH105" t="e">
        <f>AND(DATA!H1220,"AAAAAG55+9c=")</f>
        <v>#VALUE!</v>
      </c>
      <c r="HI105" t="e">
        <f>AND(DATA!I1220,"AAAAAG55+9g=")</f>
        <v>#VALUE!</v>
      </c>
      <c r="HJ105" t="e">
        <f>AND(DATA!J1220,"AAAAAG55+9k=")</f>
        <v>#VALUE!</v>
      </c>
      <c r="HK105" t="e">
        <f>AND(DATA!K1220,"AAAAAG55+9o=")</f>
        <v>#VALUE!</v>
      </c>
      <c r="HL105" t="b">
        <f>AND(DATA!L1220,"AAAAAG55+9s=")</f>
        <v>1</v>
      </c>
      <c r="HM105" t="e">
        <f>AND(DATA!M1220,"AAAAAG55+9w=")</f>
        <v>#VALUE!</v>
      </c>
      <c r="HN105" t="b">
        <f>AND(DATA!N1220,"AAAAAG55+90=")</f>
        <v>1</v>
      </c>
      <c r="HO105">
        <f>IF(DATA!1221:1221,"AAAAAG55+94=",0)</f>
        <v>0</v>
      </c>
      <c r="HP105" t="e">
        <f>AND(DATA!A1221,"AAAAAG55+98=")</f>
        <v>#VALUE!</v>
      </c>
      <c r="HQ105" t="e">
        <f>AND(DATA!B1221,"AAAAAG55++A=")</f>
        <v>#VALUE!</v>
      </c>
      <c r="HR105" t="e">
        <f>AND(DATA!C1221,"AAAAAG55++E=")</f>
        <v>#VALUE!</v>
      </c>
      <c r="HS105" t="e">
        <f>AND(DATA!D1221,"AAAAAG55++I=")</f>
        <v>#VALUE!</v>
      </c>
      <c r="HT105" t="e">
        <f>AND(DATA!E1221,"AAAAAG55++M=")</f>
        <v>#VALUE!</v>
      </c>
      <c r="HU105" t="e">
        <f>AND(DATA!F1221,"AAAAAG55++Q=")</f>
        <v>#VALUE!</v>
      </c>
      <c r="HV105" t="e">
        <f>AND(DATA!G1221,"AAAAAG55++U=")</f>
        <v>#VALUE!</v>
      </c>
      <c r="HW105" t="e">
        <f>AND(DATA!H1221,"AAAAAG55++Y=")</f>
        <v>#VALUE!</v>
      </c>
      <c r="HX105" t="e">
        <f>AND(DATA!I1221,"AAAAAG55++c=")</f>
        <v>#VALUE!</v>
      </c>
      <c r="HY105" t="e">
        <f>AND(DATA!J1221,"AAAAAG55++g=")</f>
        <v>#VALUE!</v>
      </c>
      <c r="HZ105" t="e">
        <f>AND(DATA!K1221,"AAAAAG55++k=")</f>
        <v>#VALUE!</v>
      </c>
      <c r="IA105" t="b">
        <f>AND(DATA!L1221,"AAAAAG55++o=")</f>
        <v>1</v>
      </c>
      <c r="IB105" t="e">
        <f>AND(DATA!M1221,"AAAAAG55++s=")</f>
        <v>#VALUE!</v>
      </c>
      <c r="IC105" t="b">
        <f>AND(DATA!N1221,"AAAAAG55++w=")</f>
        <v>1</v>
      </c>
      <c r="ID105">
        <f>IF(DATA!1222:1222,"AAAAAG55++0=",0)</f>
        <v>0</v>
      </c>
      <c r="IE105" t="e">
        <f>AND(DATA!A1222,"AAAAAG55++4=")</f>
        <v>#VALUE!</v>
      </c>
      <c r="IF105" t="e">
        <f>AND(DATA!B1222,"AAAAAG55++8=")</f>
        <v>#VALUE!</v>
      </c>
      <c r="IG105" t="e">
        <f>AND(DATA!C1222,"AAAAAG55+/A=")</f>
        <v>#VALUE!</v>
      </c>
      <c r="IH105" t="e">
        <f>AND(DATA!D1222,"AAAAAG55+/E=")</f>
        <v>#VALUE!</v>
      </c>
      <c r="II105" t="e">
        <f>AND(DATA!E1222,"AAAAAG55+/I=")</f>
        <v>#VALUE!</v>
      </c>
      <c r="IJ105" t="e">
        <f>AND(DATA!F1222,"AAAAAG55+/M=")</f>
        <v>#VALUE!</v>
      </c>
      <c r="IK105" t="e">
        <f>AND(DATA!G1222,"AAAAAG55+/Q=")</f>
        <v>#VALUE!</v>
      </c>
      <c r="IL105" t="e">
        <f>AND(DATA!H1222,"AAAAAG55+/U=")</f>
        <v>#VALUE!</v>
      </c>
      <c r="IM105" t="e">
        <f>AND(DATA!I1222,"AAAAAG55+/Y=")</f>
        <v>#VALUE!</v>
      </c>
      <c r="IN105" t="e">
        <f>AND(DATA!J1222,"AAAAAG55+/c=")</f>
        <v>#VALUE!</v>
      </c>
      <c r="IO105" t="e">
        <f>AND(DATA!K1222,"AAAAAG55+/g=")</f>
        <v>#VALUE!</v>
      </c>
      <c r="IP105" t="b">
        <f>AND(DATA!L1222,"AAAAAG55+/k=")</f>
        <v>1</v>
      </c>
      <c r="IQ105" t="e">
        <f>AND(DATA!M1222,"AAAAAG55+/o=")</f>
        <v>#VALUE!</v>
      </c>
      <c r="IR105" t="b">
        <f>AND(DATA!N1222,"AAAAAG55+/s=")</f>
        <v>1</v>
      </c>
      <c r="IS105">
        <f>IF(DATA!1223:1223,"AAAAAG55+/w=",0)</f>
        <v>0</v>
      </c>
      <c r="IT105" t="e">
        <f>AND(DATA!A1223,"AAAAAG55+/0=")</f>
        <v>#VALUE!</v>
      </c>
      <c r="IU105" t="e">
        <f>AND(DATA!B1223,"AAAAAG55+/4=")</f>
        <v>#VALUE!</v>
      </c>
      <c r="IV105" t="e">
        <f>AND(DATA!C1223,"AAAAAG55+/8=")</f>
        <v>#VALUE!</v>
      </c>
    </row>
    <row r="106" spans="1:256">
      <c r="A106" t="e">
        <f>AND(DATA!D1223,"AAAAAH92fwA=")</f>
        <v>#VALUE!</v>
      </c>
      <c r="B106" t="e">
        <f>AND(DATA!E1223,"AAAAAH92fwE=")</f>
        <v>#VALUE!</v>
      </c>
      <c r="C106" t="e">
        <f>AND(DATA!F1223,"AAAAAH92fwI=")</f>
        <v>#VALUE!</v>
      </c>
      <c r="D106" t="e">
        <f>AND(DATA!G1223,"AAAAAH92fwM=")</f>
        <v>#VALUE!</v>
      </c>
      <c r="E106" t="e">
        <f>AND(DATA!H1223,"AAAAAH92fwQ=")</f>
        <v>#VALUE!</v>
      </c>
      <c r="F106" t="e">
        <f>AND(DATA!I1223,"AAAAAH92fwU=")</f>
        <v>#VALUE!</v>
      </c>
      <c r="G106" t="e">
        <f>AND(DATA!J1223,"AAAAAH92fwY=")</f>
        <v>#VALUE!</v>
      </c>
      <c r="H106" t="e">
        <f>AND(DATA!K1223,"AAAAAH92fwc=")</f>
        <v>#VALUE!</v>
      </c>
      <c r="I106" t="b">
        <f>AND(DATA!L1223,"AAAAAH92fwg=")</f>
        <v>1</v>
      </c>
      <c r="J106" t="e">
        <f>AND(DATA!M1223,"AAAAAH92fwk=")</f>
        <v>#VALUE!</v>
      </c>
      <c r="K106" t="b">
        <f>AND(DATA!N1223,"AAAAAH92fwo=")</f>
        <v>1</v>
      </c>
      <c r="L106" t="str">
        <f>IF(DATA!1224:1224,"AAAAAH92fws=",0)</f>
        <v>AAAAAH92fws=</v>
      </c>
      <c r="M106" t="e">
        <f>AND(DATA!A1224,"AAAAAH92fww=")</f>
        <v>#VALUE!</v>
      </c>
      <c r="N106" t="e">
        <f>AND(DATA!B1224,"AAAAAH92fw0=")</f>
        <v>#VALUE!</v>
      </c>
      <c r="O106" t="e">
        <f>AND(DATA!C1224,"AAAAAH92fw4=")</f>
        <v>#VALUE!</v>
      </c>
      <c r="P106" t="e">
        <f>AND(DATA!D1224,"AAAAAH92fw8=")</f>
        <v>#VALUE!</v>
      </c>
      <c r="Q106" t="e">
        <f>AND(DATA!E1224,"AAAAAH92fxA=")</f>
        <v>#VALUE!</v>
      </c>
      <c r="R106" t="e">
        <f>AND(DATA!F1224,"AAAAAH92fxE=")</f>
        <v>#VALUE!</v>
      </c>
      <c r="S106" t="e">
        <f>AND(DATA!G1224,"AAAAAH92fxI=")</f>
        <v>#VALUE!</v>
      </c>
      <c r="T106" t="e">
        <f>AND(DATA!H1224,"AAAAAH92fxM=")</f>
        <v>#VALUE!</v>
      </c>
      <c r="U106" t="e">
        <f>AND(DATA!I1224,"AAAAAH92fxQ=")</f>
        <v>#VALUE!</v>
      </c>
      <c r="V106" t="e">
        <f>AND(DATA!J1224,"AAAAAH92fxU=")</f>
        <v>#VALUE!</v>
      </c>
      <c r="W106" t="e">
        <f>AND(DATA!K1224,"AAAAAH92fxY=")</f>
        <v>#VALUE!</v>
      </c>
      <c r="X106" t="b">
        <f>AND(DATA!L1224,"AAAAAH92fxc=")</f>
        <v>1</v>
      </c>
      <c r="Y106" t="e">
        <f>AND(DATA!M1224,"AAAAAH92fxg=")</f>
        <v>#VALUE!</v>
      </c>
      <c r="Z106" t="b">
        <f>AND(DATA!N1224,"AAAAAH92fxk=")</f>
        <v>1</v>
      </c>
      <c r="AA106">
        <f>IF(DATA!1225:1225,"AAAAAH92fxo=",0)</f>
        <v>0</v>
      </c>
      <c r="AB106" t="e">
        <f>AND(DATA!A1225,"AAAAAH92fxs=")</f>
        <v>#VALUE!</v>
      </c>
      <c r="AC106" t="e">
        <f>AND(DATA!B1225,"AAAAAH92fxw=")</f>
        <v>#VALUE!</v>
      </c>
      <c r="AD106" t="e">
        <f>AND(DATA!C1225,"AAAAAH92fx0=")</f>
        <v>#VALUE!</v>
      </c>
      <c r="AE106" t="e">
        <f>AND(DATA!D1225,"AAAAAH92fx4=")</f>
        <v>#VALUE!</v>
      </c>
      <c r="AF106" t="e">
        <f>AND(DATA!E1225,"AAAAAH92fx8=")</f>
        <v>#VALUE!</v>
      </c>
      <c r="AG106" t="e">
        <f>AND(DATA!F1225,"AAAAAH92fyA=")</f>
        <v>#VALUE!</v>
      </c>
      <c r="AH106" t="e">
        <f>AND(DATA!G1225,"AAAAAH92fyE=")</f>
        <v>#VALUE!</v>
      </c>
      <c r="AI106" t="e">
        <f>AND(DATA!H1225,"AAAAAH92fyI=")</f>
        <v>#VALUE!</v>
      </c>
      <c r="AJ106" t="e">
        <f>AND(DATA!I1225,"AAAAAH92fyM=")</f>
        <v>#VALUE!</v>
      </c>
      <c r="AK106" t="e">
        <f>AND(DATA!J1225,"AAAAAH92fyQ=")</f>
        <v>#VALUE!</v>
      </c>
      <c r="AL106" t="e">
        <f>AND(DATA!K1225,"AAAAAH92fyU=")</f>
        <v>#VALUE!</v>
      </c>
      <c r="AM106" t="b">
        <f>AND(DATA!L1225,"AAAAAH92fyY=")</f>
        <v>1</v>
      </c>
      <c r="AN106" t="e">
        <f>AND(DATA!M1225,"AAAAAH92fyc=")</f>
        <v>#VALUE!</v>
      </c>
      <c r="AO106" t="b">
        <f>AND(DATA!N1225,"AAAAAH92fyg=")</f>
        <v>1</v>
      </c>
      <c r="AP106">
        <f>IF(DATA!1226:1226,"AAAAAH92fyk=",0)</f>
        <v>0</v>
      </c>
      <c r="AQ106" t="e">
        <f>AND(DATA!A1226,"AAAAAH92fyo=")</f>
        <v>#VALUE!</v>
      </c>
      <c r="AR106" t="e">
        <f>AND(DATA!B1226,"AAAAAH92fys=")</f>
        <v>#VALUE!</v>
      </c>
      <c r="AS106" t="e">
        <f>AND(DATA!C1226,"AAAAAH92fyw=")</f>
        <v>#VALUE!</v>
      </c>
      <c r="AT106" t="e">
        <f>AND(DATA!D1226,"AAAAAH92fy0=")</f>
        <v>#VALUE!</v>
      </c>
      <c r="AU106" t="e">
        <f>AND(DATA!E1226,"AAAAAH92fy4=")</f>
        <v>#VALUE!</v>
      </c>
      <c r="AV106" t="e">
        <f>AND(DATA!F1226,"AAAAAH92fy8=")</f>
        <v>#VALUE!</v>
      </c>
      <c r="AW106" t="e">
        <f>AND(DATA!G1226,"AAAAAH92fzA=")</f>
        <v>#VALUE!</v>
      </c>
      <c r="AX106" t="e">
        <f>AND(DATA!H1226,"AAAAAH92fzE=")</f>
        <v>#VALUE!</v>
      </c>
      <c r="AY106" t="e">
        <f>AND(DATA!I1226,"AAAAAH92fzI=")</f>
        <v>#VALUE!</v>
      </c>
      <c r="AZ106" t="e">
        <f>AND(DATA!J1226,"AAAAAH92fzM=")</f>
        <v>#VALUE!</v>
      </c>
      <c r="BA106" t="e">
        <f>AND(DATA!K1226,"AAAAAH92fzQ=")</f>
        <v>#VALUE!</v>
      </c>
      <c r="BB106" t="b">
        <f>AND(DATA!L1226,"AAAAAH92fzU=")</f>
        <v>1</v>
      </c>
      <c r="BC106" t="e">
        <f>AND(DATA!M1226,"AAAAAH92fzY=")</f>
        <v>#VALUE!</v>
      </c>
      <c r="BD106" t="b">
        <f>AND(DATA!N1226,"AAAAAH92fzc=")</f>
        <v>1</v>
      </c>
      <c r="BE106">
        <f>IF(DATA!1227:1227,"AAAAAH92fzg=",0)</f>
        <v>0</v>
      </c>
      <c r="BF106" t="e">
        <f>AND(DATA!A1227,"AAAAAH92fzk=")</f>
        <v>#VALUE!</v>
      </c>
      <c r="BG106" t="e">
        <f>AND(DATA!B1227,"AAAAAH92fzo=")</f>
        <v>#VALUE!</v>
      </c>
      <c r="BH106" t="e">
        <f>AND(DATA!C1227,"AAAAAH92fzs=")</f>
        <v>#VALUE!</v>
      </c>
      <c r="BI106" t="e">
        <f>AND(DATA!D1227,"AAAAAH92fzw=")</f>
        <v>#VALUE!</v>
      </c>
      <c r="BJ106" t="e">
        <f>AND(DATA!E1227,"AAAAAH92fz0=")</f>
        <v>#VALUE!</v>
      </c>
      <c r="BK106" t="e">
        <f>AND(DATA!F1227,"AAAAAH92fz4=")</f>
        <v>#VALUE!</v>
      </c>
      <c r="BL106" t="e">
        <f>AND(DATA!G1227,"AAAAAH92fz8=")</f>
        <v>#VALUE!</v>
      </c>
      <c r="BM106" t="e">
        <f>AND(DATA!H1227,"AAAAAH92f0A=")</f>
        <v>#VALUE!</v>
      </c>
      <c r="BN106" t="e">
        <f>AND(DATA!I1227,"AAAAAH92f0E=")</f>
        <v>#VALUE!</v>
      </c>
      <c r="BO106" t="e">
        <f>AND(DATA!J1227,"AAAAAH92f0I=")</f>
        <v>#VALUE!</v>
      </c>
      <c r="BP106" t="e">
        <f>AND(DATA!K1227,"AAAAAH92f0M=")</f>
        <v>#VALUE!</v>
      </c>
      <c r="BQ106" t="b">
        <f>AND(DATA!L1227,"AAAAAH92f0Q=")</f>
        <v>1</v>
      </c>
      <c r="BR106" t="e">
        <f>AND(DATA!M1227,"AAAAAH92f0U=")</f>
        <v>#VALUE!</v>
      </c>
      <c r="BS106" t="b">
        <f>AND(DATA!N1227,"AAAAAH92f0Y=")</f>
        <v>1</v>
      </c>
      <c r="BT106">
        <f>IF(DATA!1228:1228,"AAAAAH92f0c=",0)</f>
        <v>0</v>
      </c>
      <c r="BU106" t="e">
        <f>AND(DATA!A1228,"AAAAAH92f0g=")</f>
        <v>#VALUE!</v>
      </c>
      <c r="BV106" t="e">
        <f>AND(DATA!B1228,"AAAAAH92f0k=")</f>
        <v>#VALUE!</v>
      </c>
      <c r="BW106" t="e">
        <f>AND(DATA!C1228,"AAAAAH92f0o=")</f>
        <v>#VALUE!</v>
      </c>
      <c r="BX106" t="e">
        <f>AND(DATA!D1228,"AAAAAH92f0s=")</f>
        <v>#VALUE!</v>
      </c>
      <c r="BY106" t="e">
        <f>AND(DATA!E1228,"AAAAAH92f0w=")</f>
        <v>#VALUE!</v>
      </c>
      <c r="BZ106" t="e">
        <f>AND(DATA!F1228,"AAAAAH92f00=")</f>
        <v>#VALUE!</v>
      </c>
      <c r="CA106" t="e">
        <f>AND(DATA!G1228,"AAAAAH92f04=")</f>
        <v>#VALUE!</v>
      </c>
      <c r="CB106" t="e">
        <f>AND(DATA!H1228,"AAAAAH92f08=")</f>
        <v>#VALUE!</v>
      </c>
      <c r="CC106" t="e">
        <f>AND(DATA!I1228,"AAAAAH92f1A=")</f>
        <v>#VALUE!</v>
      </c>
      <c r="CD106" t="e">
        <f>AND(DATA!J1228,"AAAAAH92f1E=")</f>
        <v>#VALUE!</v>
      </c>
      <c r="CE106" t="e">
        <f>AND(DATA!K1228,"AAAAAH92f1I=")</f>
        <v>#VALUE!</v>
      </c>
      <c r="CF106" t="b">
        <f>AND(DATA!L1228,"AAAAAH92f1M=")</f>
        <v>1</v>
      </c>
      <c r="CG106" t="e">
        <f>AND(DATA!M1228,"AAAAAH92f1Q=")</f>
        <v>#VALUE!</v>
      </c>
      <c r="CH106" t="b">
        <f>AND(DATA!N1228,"AAAAAH92f1U=")</f>
        <v>1</v>
      </c>
      <c r="CI106">
        <f>IF(DATA!1229:1229,"AAAAAH92f1Y=",0)</f>
        <v>0</v>
      </c>
      <c r="CJ106" t="e">
        <f>AND(DATA!A1229,"AAAAAH92f1c=")</f>
        <v>#VALUE!</v>
      </c>
      <c r="CK106" t="e">
        <f>AND(DATA!B1229,"AAAAAH92f1g=")</f>
        <v>#VALUE!</v>
      </c>
      <c r="CL106" t="e">
        <f>AND(DATA!C1229,"AAAAAH92f1k=")</f>
        <v>#VALUE!</v>
      </c>
      <c r="CM106" t="e">
        <f>AND(DATA!D1229,"AAAAAH92f1o=")</f>
        <v>#VALUE!</v>
      </c>
      <c r="CN106" t="e">
        <f>AND(DATA!E1229,"AAAAAH92f1s=")</f>
        <v>#VALUE!</v>
      </c>
      <c r="CO106" t="e">
        <f>AND(DATA!F1229,"AAAAAH92f1w=")</f>
        <v>#VALUE!</v>
      </c>
      <c r="CP106" t="e">
        <f>AND(DATA!G1229,"AAAAAH92f10=")</f>
        <v>#VALUE!</v>
      </c>
      <c r="CQ106" t="e">
        <f>AND(DATA!H1229,"AAAAAH92f14=")</f>
        <v>#VALUE!</v>
      </c>
      <c r="CR106" t="e">
        <f>AND(DATA!I1229,"AAAAAH92f18=")</f>
        <v>#VALUE!</v>
      </c>
      <c r="CS106" t="e">
        <f>AND(DATA!J1229,"AAAAAH92f2A=")</f>
        <v>#VALUE!</v>
      </c>
      <c r="CT106" t="e">
        <f>AND(DATA!K1229,"AAAAAH92f2E=")</f>
        <v>#VALUE!</v>
      </c>
      <c r="CU106" t="b">
        <f>AND(DATA!L1229,"AAAAAH92f2I=")</f>
        <v>1</v>
      </c>
      <c r="CV106" t="e">
        <f>AND(DATA!M1229,"AAAAAH92f2M=")</f>
        <v>#VALUE!</v>
      </c>
      <c r="CW106" t="b">
        <f>AND(DATA!N1229,"AAAAAH92f2Q=")</f>
        <v>1</v>
      </c>
      <c r="CX106">
        <f>IF(DATA!1230:1230,"AAAAAH92f2U=",0)</f>
        <v>0</v>
      </c>
      <c r="CY106" t="e">
        <f>AND(DATA!A1230,"AAAAAH92f2Y=")</f>
        <v>#VALUE!</v>
      </c>
      <c r="CZ106" t="e">
        <f>AND(DATA!B1230,"AAAAAH92f2c=")</f>
        <v>#VALUE!</v>
      </c>
      <c r="DA106" t="e">
        <f>AND(DATA!C1230,"AAAAAH92f2g=")</f>
        <v>#VALUE!</v>
      </c>
      <c r="DB106" t="e">
        <f>AND(DATA!D1230,"AAAAAH92f2k=")</f>
        <v>#VALUE!</v>
      </c>
      <c r="DC106" t="e">
        <f>AND(DATA!E1230,"AAAAAH92f2o=")</f>
        <v>#VALUE!</v>
      </c>
      <c r="DD106" t="e">
        <f>AND(DATA!F1230,"AAAAAH92f2s=")</f>
        <v>#VALUE!</v>
      </c>
      <c r="DE106" t="e">
        <f>AND(DATA!G1230,"AAAAAH92f2w=")</f>
        <v>#VALUE!</v>
      </c>
      <c r="DF106" t="e">
        <f>AND(DATA!H1230,"AAAAAH92f20=")</f>
        <v>#VALUE!</v>
      </c>
      <c r="DG106" t="e">
        <f>AND(DATA!I1230,"AAAAAH92f24=")</f>
        <v>#VALUE!</v>
      </c>
      <c r="DH106" t="e">
        <f>AND(DATA!J1230,"AAAAAH92f28=")</f>
        <v>#VALUE!</v>
      </c>
      <c r="DI106" t="e">
        <f>AND(DATA!K1230,"AAAAAH92f3A=")</f>
        <v>#VALUE!</v>
      </c>
      <c r="DJ106" t="b">
        <f>AND(DATA!L1230,"AAAAAH92f3E=")</f>
        <v>1</v>
      </c>
      <c r="DK106" t="e">
        <f>AND(DATA!M1230,"AAAAAH92f3I=")</f>
        <v>#VALUE!</v>
      </c>
      <c r="DL106" t="b">
        <f>AND(DATA!N1230,"AAAAAH92f3M=")</f>
        <v>1</v>
      </c>
      <c r="DM106">
        <f>IF(DATA!1231:1231,"AAAAAH92f3Q=",0)</f>
        <v>0</v>
      </c>
      <c r="DN106" t="e">
        <f>AND(DATA!A1231,"AAAAAH92f3U=")</f>
        <v>#VALUE!</v>
      </c>
      <c r="DO106" t="e">
        <f>AND(DATA!B1231,"AAAAAH92f3Y=")</f>
        <v>#VALUE!</v>
      </c>
      <c r="DP106" t="e">
        <f>AND(DATA!C1231,"AAAAAH92f3c=")</f>
        <v>#VALUE!</v>
      </c>
      <c r="DQ106" t="e">
        <f>AND(DATA!D1231,"AAAAAH92f3g=")</f>
        <v>#VALUE!</v>
      </c>
      <c r="DR106" t="e">
        <f>AND(DATA!E1231,"AAAAAH92f3k=")</f>
        <v>#VALUE!</v>
      </c>
      <c r="DS106" t="e">
        <f>AND(DATA!F1231,"AAAAAH92f3o=")</f>
        <v>#VALUE!</v>
      </c>
      <c r="DT106" t="e">
        <f>AND(DATA!G1231,"AAAAAH92f3s=")</f>
        <v>#VALUE!</v>
      </c>
      <c r="DU106" t="e">
        <f>AND(DATA!H1231,"AAAAAH92f3w=")</f>
        <v>#VALUE!</v>
      </c>
      <c r="DV106" t="e">
        <f>AND(DATA!I1231,"AAAAAH92f30=")</f>
        <v>#VALUE!</v>
      </c>
      <c r="DW106" t="e">
        <f>AND(DATA!J1231,"AAAAAH92f34=")</f>
        <v>#VALUE!</v>
      </c>
      <c r="DX106" t="e">
        <f>AND(DATA!K1231,"AAAAAH92f38=")</f>
        <v>#VALUE!</v>
      </c>
      <c r="DY106" t="b">
        <f>AND(DATA!L1231,"AAAAAH92f4A=")</f>
        <v>1</v>
      </c>
      <c r="DZ106" t="e">
        <f>AND(DATA!M1231,"AAAAAH92f4E=")</f>
        <v>#VALUE!</v>
      </c>
      <c r="EA106" t="b">
        <f>AND(DATA!N1231,"AAAAAH92f4I=")</f>
        <v>1</v>
      </c>
      <c r="EB106">
        <f>IF(DATA!1232:1232,"AAAAAH92f4M=",0)</f>
        <v>0</v>
      </c>
      <c r="EC106" t="e">
        <f>AND(DATA!A1232,"AAAAAH92f4Q=")</f>
        <v>#VALUE!</v>
      </c>
      <c r="ED106" t="e">
        <f>AND(DATA!B1232,"AAAAAH92f4U=")</f>
        <v>#VALUE!</v>
      </c>
      <c r="EE106" t="e">
        <f>AND(DATA!C1232,"AAAAAH92f4Y=")</f>
        <v>#VALUE!</v>
      </c>
      <c r="EF106" t="e">
        <f>AND(DATA!D1232,"AAAAAH92f4c=")</f>
        <v>#VALUE!</v>
      </c>
      <c r="EG106" t="e">
        <f>AND(DATA!E1232,"AAAAAH92f4g=")</f>
        <v>#VALUE!</v>
      </c>
      <c r="EH106" t="e">
        <f>AND(DATA!F1232,"AAAAAH92f4k=")</f>
        <v>#VALUE!</v>
      </c>
      <c r="EI106" t="e">
        <f>AND(DATA!G1232,"AAAAAH92f4o=")</f>
        <v>#VALUE!</v>
      </c>
      <c r="EJ106" t="e">
        <f>AND(DATA!H1232,"AAAAAH92f4s=")</f>
        <v>#VALUE!</v>
      </c>
      <c r="EK106" t="e">
        <f>AND(DATA!I1232,"AAAAAH92f4w=")</f>
        <v>#VALUE!</v>
      </c>
      <c r="EL106" t="e">
        <f>AND(DATA!J1232,"AAAAAH92f40=")</f>
        <v>#VALUE!</v>
      </c>
      <c r="EM106" t="e">
        <f>AND(DATA!K1232,"AAAAAH92f44=")</f>
        <v>#VALUE!</v>
      </c>
      <c r="EN106" t="b">
        <f>AND(DATA!L1232,"AAAAAH92f48=")</f>
        <v>1</v>
      </c>
      <c r="EO106" t="e">
        <f>AND(DATA!M1232,"AAAAAH92f5A=")</f>
        <v>#VALUE!</v>
      </c>
      <c r="EP106" t="b">
        <f>AND(DATA!N1232,"AAAAAH92f5E=")</f>
        <v>1</v>
      </c>
      <c r="EQ106">
        <f>IF(DATA!1233:1233,"AAAAAH92f5I=",0)</f>
        <v>0</v>
      </c>
      <c r="ER106" t="e">
        <f>AND(DATA!A1233,"AAAAAH92f5M=")</f>
        <v>#VALUE!</v>
      </c>
      <c r="ES106" t="e">
        <f>AND(DATA!B1233,"AAAAAH92f5Q=")</f>
        <v>#VALUE!</v>
      </c>
      <c r="ET106" t="e">
        <f>AND(DATA!C1233,"AAAAAH92f5U=")</f>
        <v>#VALUE!</v>
      </c>
      <c r="EU106" t="e">
        <f>AND(DATA!D1233,"AAAAAH92f5Y=")</f>
        <v>#VALUE!</v>
      </c>
      <c r="EV106" t="e">
        <f>AND(DATA!E1233,"AAAAAH92f5c=")</f>
        <v>#VALUE!</v>
      </c>
      <c r="EW106" t="e">
        <f>AND(DATA!F1233,"AAAAAH92f5g=")</f>
        <v>#VALUE!</v>
      </c>
      <c r="EX106" t="e">
        <f>AND(DATA!G1233,"AAAAAH92f5k=")</f>
        <v>#VALUE!</v>
      </c>
      <c r="EY106" t="e">
        <f>AND(DATA!H1233,"AAAAAH92f5o=")</f>
        <v>#VALUE!</v>
      </c>
      <c r="EZ106" t="e">
        <f>AND(DATA!I1233,"AAAAAH92f5s=")</f>
        <v>#VALUE!</v>
      </c>
      <c r="FA106" t="e">
        <f>AND(DATA!J1233,"AAAAAH92f5w=")</f>
        <v>#VALUE!</v>
      </c>
      <c r="FB106" t="e">
        <f>AND(DATA!K1233,"AAAAAH92f50=")</f>
        <v>#VALUE!</v>
      </c>
      <c r="FC106" t="b">
        <f>AND(DATA!L1233,"AAAAAH92f54=")</f>
        <v>1</v>
      </c>
      <c r="FD106" t="e">
        <f>AND(DATA!M1233,"AAAAAH92f58=")</f>
        <v>#VALUE!</v>
      </c>
      <c r="FE106" t="b">
        <f>AND(DATA!N1233,"AAAAAH92f6A=")</f>
        <v>1</v>
      </c>
      <c r="FF106">
        <f>IF(DATA!1234:1234,"AAAAAH92f6E=",0)</f>
        <v>0</v>
      </c>
      <c r="FG106" t="e">
        <f>AND(DATA!A1234,"AAAAAH92f6I=")</f>
        <v>#VALUE!</v>
      </c>
      <c r="FH106" t="e">
        <f>AND(DATA!B1234,"AAAAAH92f6M=")</f>
        <v>#VALUE!</v>
      </c>
      <c r="FI106" t="e">
        <f>AND(DATA!C1234,"AAAAAH92f6Q=")</f>
        <v>#VALUE!</v>
      </c>
      <c r="FJ106" t="e">
        <f>AND(DATA!D1234,"AAAAAH92f6U=")</f>
        <v>#VALUE!</v>
      </c>
      <c r="FK106" t="e">
        <f>AND(DATA!E1234,"AAAAAH92f6Y=")</f>
        <v>#VALUE!</v>
      </c>
      <c r="FL106" t="e">
        <f>AND(DATA!F1234,"AAAAAH92f6c=")</f>
        <v>#VALUE!</v>
      </c>
      <c r="FM106" t="e">
        <f>AND(DATA!G1234,"AAAAAH92f6g=")</f>
        <v>#VALUE!</v>
      </c>
      <c r="FN106" t="e">
        <f>AND(DATA!H1234,"AAAAAH92f6k=")</f>
        <v>#VALUE!</v>
      </c>
      <c r="FO106" t="e">
        <f>AND(DATA!I1234,"AAAAAH92f6o=")</f>
        <v>#VALUE!</v>
      </c>
      <c r="FP106" t="e">
        <f>AND(DATA!J1234,"AAAAAH92f6s=")</f>
        <v>#VALUE!</v>
      </c>
      <c r="FQ106" t="e">
        <f>AND(DATA!K1234,"AAAAAH92f6w=")</f>
        <v>#VALUE!</v>
      </c>
      <c r="FR106" t="b">
        <f>AND(DATA!L1234,"AAAAAH92f60=")</f>
        <v>1</v>
      </c>
      <c r="FS106" t="e">
        <f>AND(DATA!M1234,"AAAAAH92f64=")</f>
        <v>#VALUE!</v>
      </c>
      <c r="FT106" t="b">
        <f>AND(DATA!N1234,"AAAAAH92f68=")</f>
        <v>1</v>
      </c>
      <c r="FU106">
        <f>IF(DATA!1235:1235,"AAAAAH92f7A=",0)</f>
        <v>0</v>
      </c>
      <c r="FV106" t="e">
        <f>AND(DATA!A1235,"AAAAAH92f7E=")</f>
        <v>#VALUE!</v>
      </c>
      <c r="FW106" t="e">
        <f>AND(DATA!B1235,"AAAAAH92f7I=")</f>
        <v>#VALUE!</v>
      </c>
      <c r="FX106" t="e">
        <f>AND(DATA!C1235,"AAAAAH92f7M=")</f>
        <v>#VALUE!</v>
      </c>
      <c r="FY106" t="e">
        <f>AND(DATA!D1235,"AAAAAH92f7Q=")</f>
        <v>#VALUE!</v>
      </c>
      <c r="FZ106" t="e">
        <f>AND(DATA!E1235,"AAAAAH92f7U=")</f>
        <v>#VALUE!</v>
      </c>
      <c r="GA106" t="e">
        <f>AND(DATA!F1235,"AAAAAH92f7Y=")</f>
        <v>#VALUE!</v>
      </c>
      <c r="GB106" t="e">
        <f>AND(DATA!G1235,"AAAAAH92f7c=")</f>
        <v>#VALUE!</v>
      </c>
      <c r="GC106" t="e">
        <f>AND(DATA!H1235,"AAAAAH92f7g=")</f>
        <v>#VALUE!</v>
      </c>
      <c r="GD106" t="e">
        <f>AND(DATA!I1235,"AAAAAH92f7k=")</f>
        <v>#VALUE!</v>
      </c>
      <c r="GE106" t="e">
        <f>AND(DATA!J1235,"AAAAAH92f7o=")</f>
        <v>#VALUE!</v>
      </c>
      <c r="GF106" t="e">
        <f>AND(DATA!K1235,"AAAAAH92f7s=")</f>
        <v>#VALUE!</v>
      </c>
      <c r="GG106" t="b">
        <f>AND(DATA!L1235,"AAAAAH92f7w=")</f>
        <v>1</v>
      </c>
      <c r="GH106" t="e">
        <f>AND(DATA!M1235,"AAAAAH92f70=")</f>
        <v>#VALUE!</v>
      </c>
      <c r="GI106" t="b">
        <f>AND(DATA!N1235,"AAAAAH92f74=")</f>
        <v>1</v>
      </c>
      <c r="GJ106">
        <f>IF(DATA!1236:1236,"AAAAAH92f78=",0)</f>
        <v>0</v>
      </c>
      <c r="GK106" t="e">
        <f>AND(DATA!A1236,"AAAAAH92f8A=")</f>
        <v>#VALUE!</v>
      </c>
      <c r="GL106" t="e">
        <f>AND(DATA!B1236,"AAAAAH92f8E=")</f>
        <v>#VALUE!</v>
      </c>
      <c r="GM106" t="e">
        <f>AND(DATA!C1236,"AAAAAH92f8I=")</f>
        <v>#VALUE!</v>
      </c>
      <c r="GN106" t="e">
        <f>AND(DATA!D1236,"AAAAAH92f8M=")</f>
        <v>#VALUE!</v>
      </c>
      <c r="GO106" t="e">
        <f>AND(DATA!E1236,"AAAAAH92f8Q=")</f>
        <v>#VALUE!</v>
      </c>
      <c r="GP106" t="e">
        <f>AND(DATA!F1236,"AAAAAH92f8U=")</f>
        <v>#VALUE!</v>
      </c>
      <c r="GQ106" t="e">
        <f>AND(DATA!G1236,"AAAAAH92f8Y=")</f>
        <v>#VALUE!</v>
      </c>
      <c r="GR106" t="e">
        <f>AND(DATA!H1236,"AAAAAH92f8c=")</f>
        <v>#VALUE!</v>
      </c>
      <c r="GS106" t="e">
        <f>AND(DATA!I1236,"AAAAAH92f8g=")</f>
        <v>#VALUE!</v>
      </c>
      <c r="GT106" t="e">
        <f>AND(DATA!J1236,"AAAAAH92f8k=")</f>
        <v>#VALUE!</v>
      </c>
      <c r="GU106" t="e">
        <f>AND(DATA!K1236,"AAAAAH92f8o=")</f>
        <v>#VALUE!</v>
      </c>
      <c r="GV106" t="b">
        <f>AND(DATA!L1236,"AAAAAH92f8s=")</f>
        <v>1</v>
      </c>
      <c r="GW106" t="e">
        <f>AND(DATA!M1236,"AAAAAH92f8w=")</f>
        <v>#VALUE!</v>
      </c>
      <c r="GX106" t="b">
        <f>AND(DATA!N1236,"AAAAAH92f80=")</f>
        <v>1</v>
      </c>
      <c r="GY106">
        <f>IF(DATA!1237:1237,"AAAAAH92f84=",0)</f>
        <v>0</v>
      </c>
      <c r="GZ106" t="e">
        <f>AND(DATA!A1237,"AAAAAH92f88=")</f>
        <v>#VALUE!</v>
      </c>
      <c r="HA106" t="e">
        <f>AND(DATA!B1237,"AAAAAH92f9A=")</f>
        <v>#VALUE!</v>
      </c>
      <c r="HB106" t="e">
        <f>AND(DATA!C1237,"AAAAAH92f9E=")</f>
        <v>#VALUE!</v>
      </c>
      <c r="HC106" t="e">
        <f>AND(DATA!D1237,"AAAAAH92f9I=")</f>
        <v>#VALUE!</v>
      </c>
      <c r="HD106" t="e">
        <f>AND(DATA!E1237,"AAAAAH92f9M=")</f>
        <v>#VALUE!</v>
      </c>
      <c r="HE106" t="e">
        <f>AND(DATA!F1237,"AAAAAH92f9Q=")</f>
        <v>#VALUE!</v>
      </c>
      <c r="HF106" t="e">
        <f>AND(DATA!G1237,"AAAAAH92f9U=")</f>
        <v>#VALUE!</v>
      </c>
      <c r="HG106" t="e">
        <f>AND(DATA!H1237,"AAAAAH92f9Y=")</f>
        <v>#VALUE!</v>
      </c>
      <c r="HH106" t="e">
        <f>AND(DATA!I1237,"AAAAAH92f9c=")</f>
        <v>#VALUE!</v>
      </c>
      <c r="HI106" t="e">
        <f>AND(DATA!J1237,"AAAAAH92f9g=")</f>
        <v>#VALUE!</v>
      </c>
      <c r="HJ106" t="e">
        <f>AND(DATA!K1237,"AAAAAH92f9k=")</f>
        <v>#VALUE!</v>
      </c>
      <c r="HK106" t="b">
        <f>AND(DATA!L1237,"AAAAAH92f9o=")</f>
        <v>1</v>
      </c>
      <c r="HL106" t="e">
        <f>AND(DATA!M1237,"AAAAAH92f9s=")</f>
        <v>#VALUE!</v>
      </c>
      <c r="HM106" t="b">
        <f>AND(DATA!N1237,"AAAAAH92f9w=")</f>
        <v>1</v>
      </c>
      <c r="HN106">
        <f>IF(DATA!1238:1238,"AAAAAH92f90=",0)</f>
        <v>0</v>
      </c>
      <c r="HO106" t="e">
        <f>AND(DATA!A1238,"AAAAAH92f94=")</f>
        <v>#VALUE!</v>
      </c>
      <c r="HP106" t="e">
        <f>AND(DATA!B1238,"AAAAAH92f98=")</f>
        <v>#VALUE!</v>
      </c>
      <c r="HQ106" t="e">
        <f>AND(DATA!C1238,"AAAAAH92f+A=")</f>
        <v>#VALUE!</v>
      </c>
      <c r="HR106" t="e">
        <f>AND(DATA!D1238,"AAAAAH92f+E=")</f>
        <v>#VALUE!</v>
      </c>
      <c r="HS106" t="e">
        <f>AND(DATA!E1238,"AAAAAH92f+I=")</f>
        <v>#VALUE!</v>
      </c>
      <c r="HT106" t="e">
        <f>AND(DATA!F1238,"AAAAAH92f+M=")</f>
        <v>#VALUE!</v>
      </c>
      <c r="HU106" t="e">
        <f>AND(DATA!G1238,"AAAAAH92f+Q=")</f>
        <v>#VALUE!</v>
      </c>
      <c r="HV106" t="e">
        <f>AND(DATA!H1238,"AAAAAH92f+U=")</f>
        <v>#VALUE!</v>
      </c>
      <c r="HW106" t="e">
        <f>AND(DATA!I1238,"AAAAAH92f+Y=")</f>
        <v>#VALUE!</v>
      </c>
      <c r="HX106" t="e">
        <f>AND(DATA!J1238,"AAAAAH92f+c=")</f>
        <v>#VALUE!</v>
      </c>
      <c r="HY106" t="e">
        <f>AND(DATA!K1238,"AAAAAH92f+g=")</f>
        <v>#VALUE!</v>
      </c>
      <c r="HZ106" t="b">
        <f>AND(DATA!L1238,"AAAAAH92f+k=")</f>
        <v>1</v>
      </c>
      <c r="IA106" t="e">
        <f>AND(DATA!M1238,"AAAAAH92f+o=")</f>
        <v>#VALUE!</v>
      </c>
      <c r="IB106" t="b">
        <f>AND(DATA!N1238,"AAAAAH92f+s=")</f>
        <v>1</v>
      </c>
      <c r="IC106">
        <f>IF(DATA!1239:1239,"AAAAAH92f+w=",0)</f>
        <v>0</v>
      </c>
      <c r="ID106" t="e">
        <f>AND(DATA!A1239,"AAAAAH92f+0=")</f>
        <v>#VALUE!</v>
      </c>
      <c r="IE106" t="e">
        <f>AND(DATA!B1239,"AAAAAH92f+4=")</f>
        <v>#VALUE!</v>
      </c>
      <c r="IF106" t="e">
        <f>AND(DATA!C1239,"AAAAAH92f+8=")</f>
        <v>#VALUE!</v>
      </c>
      <c r="IG106" t="e">
        <f>AND(DATA!D1239,"AAAAAH92f/A=")</f>
        <v>#VALUE!</v>
      </c>
      <c r="IH106" t="e">
        <f>AND(DATA!E1239,"AAAAAH92f/E=")</f>
        <v>#VALUE!</v>
      </c>
      <c r="II106" t="e">
        <f>AND(DATA!F1239,"AAAAAH92f/I=")</f>
        <v>#VALUE!</v>
      </c>
      <c r="IJ106" t="e">
        <f>AND(DATA!G1239,"AAAAAH92f/M=")</f>
        <v>#VALUE!</v>
      </c>
      <c r="IK106" t="e">
        <f>AND(DATA!H1239,"AAAAAH92f/Q=")</f>
        <v>#VALUE!</v>
      </c>
      <c r="IL106" t="e">
        <f>AND(DATA!I1239,"AAAAAH92f/U=")</f>
        <v>#VALUE!</v>
      </c>
      <c r="IM106" t="e">
        <f>AND(DATA!J1239,"AAAAAH92f/Y=")</f>
        <v>#VALUE!</v>
      </c>
      <c r="IN106" t="e">
        <f>AND(DATA!K1239,"AAAAAH92f/c=")</f>
        <v>#VALUE!</v>
      </c>
      <c r="IO106" t="b">
        <f>AND(DATA!L1239,"AAAAAH92f/g=")</f>
        <v>1</v>
      </c>
      <c r="IP106" t="e">
        <f>AND(DATA!M1239,"AAAAAH92f/k=")</f>
        <v>#VALUE!</v>
      </c>
      <c r="IQ106" t="b">
        <f>AND(DATA!N1239,"AAAAAH92f/o=")</f>
        <v>1</v>
      </c>
      <c r="IR106">
        <f>IF(DATA!1240:1240,"AAAAAH92f/s=",0)</f>
        <v>0</v>
      </c>
      <c r="IS106" t="e">
        <f>AND(DATA!A1240,"AAAAAH92f/w=")</f>
        <v>#VALUE!</v>
      </c>
      <c r="IT106" t="e">
        <f>AND(DATA!B1240,"AAAAAH92f/0=")</f>
        <v>#VALUE!</v>
      </c>
      <c r="IU106" t="e">
        <f>AND(DATA!C1240,"AAAAAH92f/4=")</f>
        <v>#VALUE!</v>
      </c>
      <c r="IV106" t="e">
        <f>AND(DATA!D1240,"AAAAAH92f/8=")</f>
        <v>#VALUE!</v>
      </c>
    </row>
    <row r="107" spans="1:256">
      <c r="A107" t="e">
        <f>AND(DATA!E1240,"AAAAAD8f8gA=")</f>
        <v>#VALUE!</v>
      </c>
      <c r="B107" t="e">
        <f>AND(DATA!F1240,"AAAAAD8f8gE=")</f>
        <v>#VALUE!</v>
      </c>
      <c r="C107" t="e">
        <f>AND(DATA!G1240,"AAAAAD8f8gI=")</f>
        <v>#VALUE!</v>
      </c>
      <c r="D107" t="e">
        <f>AND(DATA!H1240,"AAAAAD8f8gM=")</f>
        <v>#VALUE!</v>
      </c>
      <c r="E107" t="e">
        <f>AND(DATA!I1240,"AAAAAD8f8gQ=")</f>
        <v>#VALUE!</v>
      </c>
      <c r="F107" t="e">
        <f>AND(DATA!J1240,"AAAAAD8f8gU=")</f>
        <v>#VALUE!</v>
      </c>
      <c r="G107" t="e">
        <f>AND(DATA!K1240,"AAAAAD8f8gY=")</f>
        <v>#VALUE!</v>
      </c>
      <c r="H107" t="b">
        <f>AND(DATA!L1240,"AAAAAD8f8gc=")</f>
        <v>1</v>
      </c>
      <c r="I107" t="e">
        <f>AND(DATA!M1240,"AAAAAD8f8gg=")</f>
        <v>#VALUE!</v>
      </c>
      <c r="J107" t="b">
        <f>AND(DATA!N1240,"AAAAAD8f8gk=")</f>
        <v>1</v>
      </c>
      <c r="K107">
        <f>IF(DATA!1241:1241,"AAAAAD8f8go=",0)</f>
        <v>0</v>
      </c>
      <c r="L107" t="e">
        <f>AND(DATA!A1241,"AAAAAD8f8gs=")</f>
        <v>#VALUE!</v>
      </c>
      <c r="M107" t="e">
        <f>AND(DATA!B1241,"AAAAAD8f8gw=")</f>
        <v>#VALUE!</v>
      </c>
      <c r="N107" t="e">
        <f>AND(DATA!C1241,"AAAAAD8f8g0=")</f>
        <v>#VALUE!</v>
      </c>
      <c r="O107" t="e">
        <f>AND(DATA!D1241,"AAAAAD8f8g4=")</f>
        <v>#VALUE!</v>
      </c>
      <c r="P107" t="e">
        <f>AND(DATA!E1241,"AAAAAD8f8g8=")</f>
        <v>#VALUE!</v>
      </c>
      <c r="Q107" t="e">
        <f>AND(DATA!F1241,"AAAAAD8f8hA=")</f>
        <v>#VALUE!</v>
      </c>
      <c r="R107" t="e">
        <f>AND(DATA!G1241,"AAAAAD8f8hE=")</f>
        <v>#VALUE!</v>
      </c>
      <c r="S107" t="e">
        <f>AND(DATA!H1241,"AAAAAD8f8hI=")</f>
        <v>#VALUE!</v>
      </c>
      <c r="T107" t="e">
        <f>AND(DATA!I1241,"AAAAAD8f8hM=")</f>
        <v>#VALUE!</v>
      </c>
      <c r="U107" t="e">
        <f>AND(DATA!J1241,"AAAAAD8f8hQ=")</f>
        <v>#VALUE!</v>
      </c>
      <c r="V107" t="e">
        <f>AND(DATA!K1241,"AAAAAD8f8hU=")</f>
        <v>#VALUE!</v>
      </c>
      <c r="W107" t="b">
        <f>AND(DATA!L1241,"AAAAAD8f8hY=")</f>
        <v>1</v>
      </c>
      <c r="X107" t="e">
        <f>AND(DATA!M1241,"AAAAAD8f8hc=")</f>
        <v>#VALUE!</v>
      </c>
      <c r="Y107" t="b">
        <f>AND(DATA!N1241,"AAAAAD8f8hg=")</f>
        <v>1</v>
      </c>
      <c r="Z107">
        <f>IF(DATA!1242:1242,"AAAAAD8f8hk=",0)</f>
        <v>0</v>
      </c>
      <c r="AA107" t="e">
        <f>AND(DATA!A1242,"AAAAAD8f8ho=")</f>
        <v>#VALUE!</v>
      </c>
      <c r="AB107" t="e">
        <f>AND(DATA!B1242,"AAAAAD8f8hs=")</f>
        <v>#VALUE!</v>
      </c>
      <c r="AC107" t="e">
        <f>AND(DATA!C1242,"AAAAAD8f8hw=")</f>
        <v>#VALUE!</v>
      </c>
      <c r="AD107" t="e">
        <f>AND(DATA!D1242,"AAAAAD8f8h0=")</f>
        <v>#VALUE!</v>
      </c>
      <c r="AE107" t="e">
        <f>AND(DATA!E1242,"AAAAAD8f8h4=")</f>
        <v>#VALUE!</v>
      </c>
      <c r="AF107" t="e">
        <f>AND(DATA!F1242,"AAAAAD8f8h8=")</f>
        <v>#VALUE!</v>
      </c>
      <c r="AG107" t="e">
        <f>AND(DATA!G1242,"AAAAAD8f8iA=")</f>
        <v>#VALUE!</v>
      </c>
      <c r="AH107" t="e">
        <f>AND(DATA!H1242,"AAAAAD8f8iE=")</f>
        <v>#VALUE!</v>
      </c>
      <c r="AI107" t="e">
        <f>AND(DATA!I1242,"AAAAAD8f8iI=")</f>
        <v>#VALUE!</v>
      </c>
      <c r="AJ107" t="e">
        <f>AND(DATA!J1242,"AAAAAD8f8iM=")</f>
        <v>#VALUE!</v>
      </c>
      <c r="AK107" t="e">
        <f>AND(DATA!K1242,"AAAAAD8f8iQ=")</f>
        <v>#VALUE!</v>
      </c>
      <c r="AL107" t="b">
        <f>AND(DATA!L1242,"AAAAAD8f8iU=")</f>
        <v>1</v>
      </c>
      <c r="AM107" t="e">
        <f>AND(DATA!M1242,"AAAAAD8f8iY=")</f>
        <v>#VALUE!</v>
      </c>
      <c r="AN107" t="b">
        <f>AND(DATA!N1242,"AAAAAD8f8ic=")</f>
        <v>1</v>
      </c>
      <c r="AO107">
        <f>IF(DATA!1243:1243,"AAAAAD8f8ig=",0)</f>
        <v>0</v>
      </c>
      <c r="AP107" t="e">
        <f>AND(DATA!A1243,"AAAAAD8f8ik=")</f>
        <v>#VALUE!</v>
      </c>
      <c r="AQ107" t="e">
        <f>AND(DATA!B1243,"AAAAAD8f8io=")</f>
        <v>#VALUE!</v>
      </c>
      <c r="AR107" t="e">
        <f>AND(DATA!C1243,"AAAAAD8f8is=")</f>
        <v>#VALUE!</v>
      </c>
      <c r="AS107" t="e">
        <f>AND(DATA!D1243,"AAAAAD8f8iw=")</f>
        <v>#VALUE!</v>
      </c>
      <c r="AT107" t="e">
        <f>AND(DATA!E1243,"AAAAAD8f8i0=")</f>
        <v>#VALUE!</v>
      </c>
      <c r="AU107" t="e">
        <f>AND(DATA!F1243,"AAAAAD8f8i4=")</f>
        <v>#VALUE!</v>
      </c>
      <c r="AV107" t="e">
        <f>AND(DATA!G1243,"AAAAAD8f8i8=")</f>
        <v>#VALUE!</v>
      </c>
      <c r="AW107" t="e">
        <f>AND(DATA!H1243,"AAAAAD8f8jA=")</f>
        <v>#VALUE!</v>
      </c>
      <c r="AX107" t="e">
        <f>AND(DATA!I1243,"AAAAAD8f8jE=")</f>
        <v>#VALUE!</v>
      </c>
      <c r="AY107" t="e">
        <f>AND(DATA!J1243,"AAAAAD8f8jI=")</f>
        <v>#VALUE!</v>
      </c>
      <c r="AZ107" t="e">
        <f>AND(DATA!K1243,"AAAAAD8f8jM=")</f>
        <v>#VALUE!</v>
      </c>
      <c r="BA107" t="b">
        <f>AND(DATA!L1243,"AAAAAD8f8jQ=")</f>
        <v>1</v>
      </c>
      <c r="BB107" t="e">
        <f>AND(DATA!M1243,"AAAAAD8f8jU=")</f>
        <v>#VALUE!</v>
      </c>
      <c r="BC107" t="b">
        <f>AND(DATA!N1243,"AAAAAD8f8jY=")</f>
        <v>1</v>
      </c>
      <c r="BD107">
        <f>IF(DATA!1244:1244,"AAAAAD8f8jc=",0)</f>
        <v>0</v>
      </c>
      <c r="BE107" t="e">
        <f>AND(DATA!A1244,"AAAAAD8f8jg=")</f>
        <v>#VALUE!</v>
      </c>
      <c r="BF107" t="e">
        <f>AND(DATA!B1244,"AAAAAD8f8jk=")</f>
        <v>#VALUE!</v>
      </c>
      <c r="BG107" t="e">
        <f>AND(DATA!C1244,"AAAAAD8f8jo=")</f>
        <v>#VALUE!</v>
      </c>
      <c r="BH107" t="e">
        <f>AND(DATA!D1244,"AAAAAD8f8js=")</f>
        <v>#VALUE!</v>
      </c>
      <c r="BI107" t="e">
        <f>AND(DATA!E1244,"AAAAAD8f8jw=")</f>
        <v>#VALUE!</v>
      </c>
      <c r="BJ107" t="e">
        <f>AND(DATA!F1244,"AAAAAD8f8j0=")</f>
        <v>#VALUE!</v>
      </c>
      <c r="BK107" t="e">
        <f>AND(DATA!G1244,"AAAAAD8f8j4=")</f>
        <v>#VALUE!</v>
      </c>
      <c r="BL107" t="e">
        <f>AND(DATA!H1244,"AAAAAD8f8j8=")</f>
        <v>#VALUE!</v>
      </c>
      <c r="BM107" t="e">
        <f>AND(DATA!I1244,"AAAAAD8f8kA=")</f>
        <v>#VALUE!</v>
      </c>
      <c r="BN107" t="e">
        <f>AND(DATA!J1244,"AAAAAD8f8kE=")</f>
        <v>#VALUE!</v>
      </c>
      <c r="BO107" t="e">
        <f>AND(DATA!K1244,"AAAAAD8f8kI=")</f>
        <v>#VALUE!</v>
      </c>
      <c r="BP107" t="b">
        <f>AND(DATA!L1244,"AAAAAD8f8kM=")</f>
        <v>1</v>
      </c>
      <c r="BQ107" t="e">
        <f>AND(DATA!M1244,"AAAAAD8f8kQ=")</f>
        <v>#VALUE!</v>
      </c>
      <c r="BR107" t="b">
        <f>AND(DATA!N1244,"AAAAAD8f8kU=")</f>
        <v>1</v>
      </c>
      <c r="BS107">
        <f>IF(DATA!1245:1245,"AAAAAD8f8kY=",0)</f>
        <v>0</v>
      </c>
      <c r="BT107" t="e">
        <f>AND(DATA!A1245,"AAAAAD8f8kc=")</f>
        <v>#VALUE!</v>
      </c>
      <c r="BU107" t="e">
        <f>AND(DATA!B1245,"AAAAAD8f8kg=")</f>
        <v>#VALUE!</v>
      </c>
      <c r="BV107" t="e">
        <f>AND(DATA!C1245,"AAAAAD8f8kk=")</f>
        <v>#VALUE!</v>
      </c>
      <c r="BW107" t="e">
        <f>AND(DATA!D1245,"AAAAAD8f8ko=")</f>
        <v>#VALUE!</v>
      </c>
      <c r="BX107" t="e">
        <f>AND(DATA!E1245,"AAAAAD8f8ks=")</f>
        <v>#VALUE!</v>
      </c>
      <c r="BY107" t="e">
        <f>AND(DATA!F1245,"AAAAAD8f8kw=")</f>
        <v>#VALUE!</v>
      </c>
      <c r="BZ107" t="e">
        <f>AND(DATA!G1245,"AAAAAD8f8k0=")</f>
        <v>#VALUE!</v>
      </c>
      <c r="CA107" t="e">
        <f>AND(DATA!H1245,"AAAAAD8f8k4=")</f>
        <v>#VALUE!</v>
      </c>
      <c r="CB107" t="e">
        <f>AND(DATA!I1245,"AAAAAD8f8k8=")</f>
        <v>#VALUE!</v>
      </c>
      <c r="CC107" t="e">
        <f>AND(DATA!J1245,"AAAAAD8f8lA=")</f>
        <v>#VALUE!</v>
      </c>
      <c r="CD107" t="e">
        <f>AND(DATA!K1245,"AAAAAD8f8lE=")</f>
        <v>#VALUE!</v>
      </c>
      <c r="CE107" t="b">
        <f>AND(DATA!L1245,"AAAAAD8f8lI=")</f>
        <v>1</v>
      </c>
      <c r="CF107" t="e">
        <f>AND(DATA!M1245,"AAAAAD8f8lM=")</f>
        <v>#VALUE!</v>
      </c>
      <c r="CG107" t="b">
        <f>AND(DATA!N1245,"AAAAAD8f8lQ=")</f>
        <v>1</v>
      </c>
      <c r="CH107">
        <f>IF(DATA!1246:1246,"AAAAAD8f8lU=",0)</f>
        <v>0</v>
      </c>
      <c r="CI107" t="e">
        <f>AND(DATA!A1246,"AAAAAD8f8lY=")</f>
        <v>#VALUE!</v>
      </c>
      <c r="CJ107" t="e">
        <f>AND(DATA!B1246,"AAAAAD8f8lc=")</f>
        <v>#VALUE!</v>
      </c>
      <c r="CK107" t="e">
        <f>AND(DATA!C1246,"AAAAAD8f8lg=")</f>
        <v>#VALUE!</v>
      </c>
      <c r="CL107" t="e">
        <f>AND(DATA!D1246,"AAAAAD8f8lk=")</f>
        <v>#VALUE!</v>
      </c>
      <c r="CM107" t="e">
        <f>AND(DATA!E1246,"AAAAAD8f8lo=")</f>
        <v>#VALUE!</v>
      </c>
      <c r="CN107" t="e">
        <f>AND(DATA!F1246,"AAAAAD8f8ls=")</f>
        <v>#VALUE!</v>
      </c>
      <c r="CO107" t="e">
        <f>AND(DATA!G1246,"AAAAAD8f8lw=")</f>
        <v>#VALUE!</v>
      </c>
      <c r="CP107" t="e">
        <f>AND(DATA!H1246,"AAAAAD8f8l0=")</f>
        <v>#VALUE!</v>
      </c>
      <c r="CQ107" t="e">
        <f>AND(DATA!I1246,"AAAAAD8f8l4=")</f>
        <v>#VALUE!</v>
      </c>
      <c r="CR107" t="e">
        <f>AND(DATA!J1246,"AAAAAD8f8l8=")</f>
        <v>#VALUE!</v>
      </c>
      <c r="CS107" t="e">
        <f>AND(DATA!K1246,"AAAAAD8f8mA=")</f>
        <v>#VALUE!</v>
      </c>
      <c r="CT107" t="b">
        <f>AND(DATA!L1246,"AAAAAD8f8mE=")</f>
        <v>1</v>
      </c>
      <c r="CU107" t="e">
        <f>AND(DATA!M1246,"AAAAAD8f8mI=")</f>
        <v>#VALUE!</v>
      </c>
      <c r="CV107" t="b">
        <f>AND(DATA!N1246,"AAAAAD8f8mM=")</f>
        <v>1</v>
      </c>
      <c r="CW107">
        <f>IF(DATA!1247:1247,"AAAAAD8f8mQ=",0)</f>
        <v>0</v>
      </c>
      <c r="CX107" t="e">
        <f>AND(DATA!A1247,"AAAAAD8f8mU=")</f>
        <v>#VALUE!</v>
      </c>
      <c r="CY107" t="e">
        <f>AND(DATA!B1247,"AAAAAD8f8mY=")</f>
        <v>#VALUE!</v>
      </c>
      <c r="CZ107" t="e">
        <f>AND(DATA!C1247,"AAAAAD8f8mc=")</f>
        <v>#VALUE!</v>
      </c>
      <c r="DA107" t="e">
        <f>AND(DATA!D1247,"AAAAAD8f8mg=")</f>
        <v>#VALUE!</v>
      </c>
      <c r="DB107" t="e">
        <f>AND(DATA!E1247,"AAAAAD8f8mk=")</f>
        <v>#VALUE!</v>
      </c>
      <c r="DC107" t="e">
        <f>AND(DATA!F1247,"AAAAAD8f8mo=")</f>
        <v>#VALUE!</v>
      </c>
      <c r="DD107" t="e">
        <f>AND(DATA!G1247,"AAAAAD8f8ms=")</f>
        <v>#VALUE!</v>
      </c>
      <c r="DE107" t="e">
        <f>AND(DATA!H1247,"AAAAAD8f8mw=")</f>
        <v>#VALUE!</v>
      </c>
      <c r="DF107" t="e">
        <f>AND(DATA!I1247,"AAAAAD8f8m0=")</f>
        <v>#VALUE!</v>
      </c>
      <c r="DG107" t="e">
        <f>AND(DATA!J1247,"AAAAAD8f8m4=")</f>
        <v>#VALUE!</v>
      </c>
      <c r="DH107" t="e">
        <f>AND(DATA!K1247,"AAAAAD8f8m8=")</f>
        <v>#VALUE!</v>
      </c>
      <c r="DI107" t="b">
        <f>AND(DATA!L1247,"AAAAAD8f8nA=")</f>
        <v>1</v>
      </c>
      <c r="DJ107" t="e">
        <f>AND(DATA!M1247,"AAAAAD8f8nE=")</f>
        <v>#VALUE!</v>
      </c>
      <c r="DK107" t="b">
        <f>AND(DATA!N1247,"AAAAAD8f8nI=")</f>
        <v>1</v>
      </c>
      <c r="DL107">
        <f>IF(DATA!1248:1248,"AAAAAD8f8nM=",0)</f>
        <v>0</v>
      </c>
      <c r="DM107" t="e">
        <f>AND(DATA!A1248,"AAAAAD8f8nQ=")</f>
        <v>#VALUE!</v>
      </c>
      <c r="DN107" t="e">
        <f>AND(DATA!B1248,"AAAAAD8f8nU=")</f>
        <v>#VALUE!</v>
      </c>
      <c r="DO107" t="e">
        <f>AND(DATA!C1248,"AAAAAD8f8nY=")</f>
        <v>#VALUE!</v>
      </c>
      <c r="DP107" t="e">
        <f>AND(DATA!D1248,"AAAAAD8f8nc=")</f>
        <v>#VALUE!</v>
      </c>
      <c r="DQ107" t="e">
        <f>AND(DATA!E1248,"AAAAAD8f8ng=")</f>
        <v>#VALUE!</v>
      </c>
      <c r="DR107" t="e">
        <f>AND(DATA!F1248,"AAAAAD8f8nk=")</f>
        <v>#VALUE!</v>
      </c>
      <c r="DS107" t="e">
        <f>AND(DATA!G1248,"AAAAAD8f8no=")</f>
        <v>#VALUE!</v>
      </c>
      <c r="DT107" t="e">
        <f>AND(DATA!H1248,"AAAAAD8f8ns=")</f>
        <v>#VALUE!</v>
      </c>
      <c r="DU107" t="e">
        <f>AND(DATA!I1248,"AAAAAD8f8nw=")</f>
        <v>#VALUE!</v>
      </c>
      <c r="DV107" t="e">
        <f>AND(DATA!J1248,"AAAAAD8f8n0=")</f>
        <v>#VALUE!</v>
      </c>
      <c r="DW107" t="e">
        <f>AND(DATA!K1248,"AAAAAD8f8n4=")</f>
        <v>#VALUE!</v>
      </c>
      <c r="DX107" t="b">
        <f>AND(DATA!L1248,"AAAAAD8f8n8=")</f>
        <v>1</v>
      </c>
      <c r="DY107" t="e">
        <f>AND(DATA!M1248,"AAAAAD8f8oA=")</f>
        <v>#VALUE!</v>
      </c>
      <c r="DZ107" t="b">
        <f>AND(DATA!N1248,"AAAAAD8f8oE=")</f>
        <v>1</v>
      </c>
      <c r="EA107">
        <f>IF(DATA!1249:1249,"AAAAAD8f8oI=",0)</f>
        <v>0</v>
      </c>
      <c r="EB107" t="e">
        <f>AND(DATA!A1249,"AAAAAD8f8oM=")</f>
        <v>#VALUE!</v>
      </c>
      <c r="EC107" t="e">
        <f>AND(DATA!B1249,"AAAAAD8f8oQ=")</f>
        <v>#VALUE!</v>
      </c>
      <c r="ED107" t="e">
        <f>AND(DATA!C1249,"AAAAAD8f8oU=")</f>
        <v>#VALUE!</v>
      </c>
      <c r="EE107" t="e">
        <f>AND(DATA!D1249,"AAAAAD8f8oY=")</f>
        <v>#VALUE!</v>
      </c>
      <c r="EF107" t="e">
        <f>AND(DATA!E1249,"AAAAAD8f8oc=")</f>
        <v>#VALUE!</v>
      </c>
      <c r="EG107" t="e">
        <f>AND(DATA!F1249,"AAAAAD8f8og=")</f>
        <v>#VALUE!</v>
      </c>
      <c r="EH107" t="e">
        <f>AND(DATA!G1249,"AAAAAD8f8ok=")</f>
        <v>#VALUE!</v>
      </c>
      <c r="EI107" t="e">
        <f>AND(DATA!H1249,"AAAAAD8f8oo=")</f>
        <v>#VALUE!</v>
      </c>
      <c r="EJ107" t="e">
        <f>AND(DATA!I1249,"AAAAAD8f8os=")</f>
        <v>#VALUE!</v>
      </c>
      <c r="EK107" t="e">
        <f>AND(DATA!J1249,"AAAAAD8f8ow=")</f>
        <v>#VALUE!</v>
      </c>
      <c r="EL107" t="e">
        <f>AND(DATA!K1249,"AAAAAD8f8o0=")</f>
        <v>#VALUE!</v>
      </c>
      <c r="EM107" t="b">
        <f>AND(DATA!L1249,"AAAAAD8f8o4=")</f>
        <v>1</v>
      </c>
      <c r="EN107" t="e">
        <f>AND(DATA!M1249,"AAAAAD8f8o8=")</f>
        <v>#VALUE!</v>
      </c>
      <c r="EO107" t="b">
        <f>AND(DATA!N1249,"AAAAAD8f8pA=")</f>
        <v>1</v>
      </c>
      <c r="EP107">
        <f>IF(DATA!1250:1250,"AAAAAD8f8pE=",0)</f>
        <v>0</v>
      </c>
      <c r="EQ107" t="e">
        <f>AND(DATA!A1250,"AAAAAD8f8pI=")</f>
        <v>#VALUE!</v>
      </c>
      <c r="ER107" t="e">
        <f>AND(DATA!B1250,"AAAAAD8f8pM=")</f>
        <v>#VALUE!</v>
      </c>
      <c r="ES107" t="e">
        <f>AND(DATA!C1250,"AAAAAD8f8pQ=")</f>
        <v>#VALUE!</v>
      </c>
      <c r="ET107" t="e">
        <f>AND(DATA!D1250,"AAAAAD8f8pU=")</f>
        <v>#VALUE!</v>
      </c>
      <c r="EU107" t="e">
        <f>AND(DATA!E1250,"AAAAAD8f8pY=")</f>
        <v>#VALUE!</v>
      </c>
      <c r="EV107" t="e">
        <f>AND(DATA!F1250,"AAAAAD8f8pc=")</f>
        <v>#VALUE!</v>
      </c>
      <c r="EW107" t="e">
        <f>AND(DATA!G1250,"AAAAAD8f8pg=")</f>
        <v>#VALUE!</v>
      </c>
      <c r="EX107" t="e">
        <f>AND(DATA!H1250,"AAAAAD8f8pk=")</f>
        <v>#VALUE!</v>
      </c>
      <c r="EY107" t="e">
        <f>AND(DATA!I1250,"AAAAAD8f8po=")</f>
        <v>#VALUE!</v>
      </c>
      <c r="EZ107" t="e">
        <f>AND(DATA!J1250,"AAAAAD8f8ps=")</f>
        <v>#VALUE!</v>
      </c>
      <c r="FA107" t="e">
        <f>AND(DATA!K1250,"AAAAAD8f8pw=")</f>
        <v>#VALUE!</v>
      </c>
      <c r="FB107" t="b">
        <f>AND(DATA!L1250,"AAAAAD8f8p0=")</f>
        <v>1</v>
      </c>
      <c r="FC107" t="e">
        <f>AND(DATA!M1250,"AAAAAD8f8p4=")</f>
        <v>#VALUE!</v>
      </c>
      <c r="FD107" t="b">
        <f>AND(DATA!N1250,"AAAAAD8f8p8=")</f>
        <v>1</v>
      </c>
      <c r="FE107">
        <f>IF(DATA!1251:1251,"AAAAAD8f8qA=",0)</f>
        <v>0</v>
      </c>
      <c r="FF107" t="e">
        <f>AND(DATA!A1251,"AAAAAD8f8qE=")</f>
        <v>#VALUE!</v>
      </c>
      <c r="FG107" t="e">
        <f>AND(DATA!B1251,"AAAAAD8f8qI=")</f>
        <v>#VALUE!</v>
      </c>
      <c r="FH107" t="e">
        <f>AND(DATA!C1251,"AAAAAD8f8qM=")</f>
        <v>#VALUE!</v>
      </c>
      <c r="FI107" t="e">
        <f>AND(DATA!D1251,"AAAAAD8f8qQ=")</f>
        <v>#VALUE!</v>
      </c>
      <c r="FJ107" t="e">
        <f>AND(DATA!E1251,"AAAAAD8f8qU=")</f>
        <v>#VALUE!</v>
      </c>
      <c r="FK107" t="e">
        <f>AND(DATA!F1251,"AAAAAD8f8qY=")</f>
        <v>#VALUE!</v>
      </c>
      <c r="FL107" t="e">
        <f>AND(DATA!G1251,"AAAAAD8f8qc=")</f>
        <v>#VALUE!</v>
      </c>
      <c r="FM107" t="e">
        <f>AND(DATA!H1251,"AAAAAD8f8qg=")</f>
        <v>#VALUE!</v>
      </c>
      <c r="FN107" t="e">
        <f>AND(DATA!I1251,"AAAAAD8f8qk=")</f>
        <v>#VALUE!</v>
      </c>
      <c r="FO107" t="e">
        <f>AND(DATA!J1251,"AAAAAD8f8qo=")</f>
        <v>#VALUE!</v>
      </c>
      <c r="FP107" t="e">
        <f>AND(DATA!K1251,"AAAAAD8f8qs=")</f>
        <v>#VALUE!</v>
      </c>
      <c r="FQ107" t="b">
        <f>AND(DATA!L1251,"AAAAAD8f8qw=")</f>
        <v>1</v>
      </c>
      <c r="FR107" t="e">
        <f>AND(DATA!M1251,"AAAAAD8f8q0=")</f>
        <v>#VALUE!</v>
      </c>
      <c r="FS107" t="b">
        <f>AND(DATA!N1251,"AAAAAD8f8q4=")</f>
        <v>1</v>
      </c>
      <c r="FT107">
        <f>IF(DATA!1252:1252,"AAAAAD8f8q8=",0)</f>
        <v>0</v>
      </c>
      <c r="FU107" t="e">
        <f>AND(DATA!A1252,"AAAAAD8f8rA=")</f>
        <v>#VALUE!</v>
      </c>
      <c r="FV107" t="e">
        <f>AND(DATA!B1252,"AAAAAD8f8rE=")</f>
        <v>#VALUE!</v>
      </c>
      <c r="FW107" t="e">
        <f>AND(DATA!C1252,"AAAAAD8f8rI=")</f>
        <v>#VALUE!</v>
      </c>
      <c r="FX107" t="e">
        <f>AND(DATA!D1252,"AAAAAD8f8rM=")</f>
        <v>#VALUE!</v>
      </c>
      <c r="FY107" t="e">
        <f>AND(DATA!E1252,"AAAAAD8f8rQ=")</f>
        <v>#VALUE!</v>
      </c>
      <c r="FZ107" t="e">
        <f>AND(DATA!F1252,"AAAAAD8f8rU=")</f>
        <v>#VALUE!</v>
      </c>
      <c r="GA107" t="e">
        <f>AND(DATA!G1252,"AAAAAD8f8rY=")</f>
        <v>#VALUE!</v>
      </c>
      <c r="GB107" t="e">
        <f>AND(DATA!H1252,"AAAAAD8f8rc=")</f>
        <v>#VALUE!</v>
      </c>
      <c r="GC107" t="e">
        <f>AND(DATA!I1252,"AAAAAD8f8rg=")</f>
        <v>#VALUE!</v>
      </c>
      <c r="GD107" t="e">
        <f>AND(DATA!J1252,"AAAAAD8f8rk=")</f>
        <v>#VALUE!</v>
      </c>
      <c r="GE107" t="e">
        <f>AND(DATA!K1252,"AAAAAD8f8ro=")</f>
        <v>#VALUE!</v>
      </c>
      <c r="GF107" t="b">
        <f>AND(DATA!L1252,"AAAAAD8f8rs=")</f>
        <v>1</v>
      </c>
      <c r="GG107" t="e">
        <f>AND(DATA!M1252,"AAAAAD8f8rw=")</f>
        <v>#VALUE!</v>
      </c>
      <c r="GH107" t="b">
        <f>AND(DATA!N1252,"AAAAAD8f8r0=")</f>
        <v>1</v>
      </c>
      <c r="GI107">
        <f>IF(DATA!1253:1253,"AAAAAD8f8r4=",0)</f>
        <v>0</v>
      </c>
      <c r="GJ107" t="e">
        <f>AND(DATA!A1253,"AAAAAD8f8r8=")</f>
        <v>#VALUE!</v>
      </c>
      <c r="GK107" t="e">
        <f>AND(DATA!B1253,"AAAAAD8f8sA=")</f>
        <v>#VALUE!</v>
      </c>
      <c r="GL107" t="e">
        <f>AND(DATA!C1253,"AAAAAD8f8sE=")</f>
        <v>#VALUE!</v>
      </c>
      <c r="GM107" t="e">
        <f>AND(DATA!D1253,"AAAAAD8f8sI=")</f>
        <v>#VALUE!</v>
      </c>
      <c r="GN107" t="e">
        <f>AND(DATA!E1253,"AAAAAD8f8sM=")</f>
        <v>#VALUE!</v>
      </c>
      <c r="GO107" t="e">
        <f>AND(DATA!F1253,"AAAAAD8f8sQ=")</f>
        <v>#VALUE!</v>
      </c>
      <c r="GP107" t="e">
        <f>AND(DATA!G1253,"AAAAAD8f8sU=")</f>
        <v>#VALUE!</v>
      </c>
      <c r="GQ107" t="e">
        <f>AND(DATA!H1253,"AAAAAD8f8sY=")</f>
        <v>#VALUE!</v>
      </c>
      <c r="GR107" t="e">
        <f>AND(DATA!I1253,"AAAAAD8f8sc=")</f>
        <v>#VALUE!</v>
      </c>
      <c r="GS107" t="e">
        <f>AND(DATA!J1253,"AAAAAD8f8sg=")</f>
        <v>#VALUE!</v>
      </c>
      <c r="GT107" t="e">
        <f>AND(DATA!K1253,"AAAAAD8f8sk=")</f>
        <v>#VALUE!</v>
      </c>
      <c r="GU107" t="b">
        <f>AND(DATA!L1253,"AAAAAD8f8so=")</f>
        <v>1</v>
      </c>
      <c r="GV107" t="e">
        <f>AND(DATA!M1253,"AAAAAD8f8ss=")</f>
        <v>#VALUE!</v>
      </c>
      <c r="GW107" t="b">
        <f>AND(DATA!N1253,"AAAAAD8f8sw=")</f>
        <v>1</v>
      </c>
      <c r="GX107">
        <f>IF(DATA!1254:1254,"AAAAAD8f8s0=",0)</f>
        <v>0</v>
      </c>
      <c r="GY107" t="e">
        <f>AND(DATA!A1254,"AAAAAD8f8s4=")</f>
        <v>#VALUE!</v>
      </c>
      <c r="GZ107" t="e">
        <f>AND(DATA!B1254,"AAAAAD8f8s8=")</f>
        <v>#VALUE!</v>
      </c>
      <c r="HA107" t="e">
        <f>AND(DATA!C1254,"AAAAAD8f8tA=")</f>
        <v>#VALUE!</v>
      </c>
      <c r="HB107" t="e">
        <f>AND(DATA!D1254,"AAAAAD8f8tE=")</f>
        <v>#VALUE!</v>
      </c>
      <c r="HC107" t="e">
        <f>AND(DATA!E1254,"AAAAAD8f8tI=")</f>
        <v>#VALUE!</v>
      </c>
      <c r="HD107" t="e">
        <f>AND(DATA!F1254,"AAAAAD8f8tM=")</f>
        <v>#VALUE!</v>
      </c>
      <c r="HE107" t="e">
        <f>AND(DATA!G1254,"AAAAAD8f8tQ=")</f>
        <v>#VALUE!</v>
      </c>
      <c r="HF107" t="e">
        <f>AND(DATA!H1254,"AAAAAD8f8tU=")</f>
        <v>#VALUE!</v>
      </c>
      <c r="HG107" t="e">
        <f>AND(DATA!I1254,"AAAAAD8f8tY=")</f>
        <v>#VALUE!</v>
      </c>
      <c r="HH107" t="e">
        <f>AND(DATA!J1254,"AAAAAD8f8tc=")</f>
        <v>#VALUE!</v>
      </c>
      <c r="HI107" t="e">
        <f>AND(DATA!K1254,"AAAAAD8f8tg=")</f>
        <v>#VALUE!</v>
      </c>
      <c r="HJ107" t="b">
        <f>AND(DATA!L1254,"AAAAAD8f8tk=")</f>
        <v>1</v>
      </c>
      <c r="HK107" t="e">
        <f>AND(DATA!M1254,"AAAAAD8f8to=")</f>
        <v>#VALUE!</v>
      </c>
      <c r="HL107" t="b">
        <f>AND(DATA!N1254,"AAAAAD8f8ts=")</f>
        <v>1</v>
      </c>
      <c r="HM107">
        <f>IF(DATA!1255:1255,"AAAAAD8f8tw=",0)</f>
        <v>0</v>
      </c>
      <c r="HN107" t="e">
        <f>AND(DATA!A1255,"AAAAAD8f8t0=")</f>
        <v>#VALUE!</v>
      </c>
      <c r="HO107" t="e">
        <f>AND(DATA!B1255,"AAAAAD8f8t4=")</f>
        <v>#VALUE!</v>
      </c>
      <c r="HP107" t="e">
        <f>AND(DATA!C1255,"AAAAAD8f8t8=")</f>
        <v>#VALUE!</v>
      </c>
      <c r="HQ107" t="e">
        <f>AND(DATA!D1255,"AAAAAD8f8uA=")</f>
        <v>#VALUE!</v>
      </c>
      <c r="HR107" t="e">
        <f>AND(DATA!E1255,"AAAAAD8f8uE=")</f>
        <v>#VALUE!</v>
      </c>
      <c r="HS107" t="e">
        <f>AND(DATA!F1255,"AAAAAD8f8uI=")</f>
        <v>#VALUE!</v>
      </c>
      <c r="HT107" t="e">
        <f>AND(DATA!G1255,"AAAAAD8f8uM=")</f>
        <v>#VALUE!</v>
      </c>
      <c r="HU107" t="e">
        <f>AND(DATA!H1255,"AAAAAD8f8uQ=")</f>
        <v>#VALUE!</v>
      </c>
      <c r="HV107" t="e">
        <f>AND(DATA!I1255,"AAAAAD8f8uU=")</f>
        <v>#VALUE!</v>
      </c>
      <c r="HW107" t="e">
        <f>AND(DATA!J1255,"AAAAAD8f8uY=")</f>
        <v>#VALUE!</v>
      </c>
      <c r="HX107" t="e">
        <f>AND(DATA!K1255,"AAAAAD8f8uc=")</f>
        <v>#VALUE!</v>
      </c>
      <c r="HY107" t="b">
        <f>AND(DATA!L1255,"AAAAAD8f8ug=")</f>
        <v>1</v>
      </c>
      <c r="HZ107" t="e">
        <f>AND(DATA!M1255,"AAAAAD8f8uk=")</f>
        <v>#VALUE!</v>
      </c>
      <c r="IA107" t="b">
        <f>AND(DATA!N1255,"AAAAAD8f8uo=")</f>
        <v>1</v>
      </c>
      <c r="IB107">
        <f>IF(DATA!1256:1256,"AAAAAD8f8us=",0)</f>
        <v>0</v>
      </c>
      <c r="IC107" t="e">
        <f>AND(DATA!A1256,"AAAAAD8f8uw=")</f>
        <v>#VALUE!</v>
      </c>
      <c r="ID107" t="e">
        <f>AND(DATA!B1256,"AAAAAD8f8u0=")</f>
        <v>#VALUE!</v>
      </c>
      <c r="IE107" t="e">
        <f>AND(DATA!C1256,"AAAAAD8f8u4=")</f>
        <v>#VALUE!</v>
      </c>
      <c r="IF107" t="e">
        <f>AND(DATA!D1256,"AAAAAD8f8u8=")</f>
        <v>#VALUE!</v>
      </c>
      <c r="IG107" t="e">
        <f>AND(DATA!E1256,"AAAAAD8f8vA=")</f>
        <v>#VALUE!</v>
      </c>
      <c r="IH107" t="e">
        <f>AND(DATA!F1256,"AAAAAD8f8vE=")</f>
        <v>#VALUE!</v>
      </c>
      <c r="II107" t="e">
        <f>AND(DATA!G1256,"AAAAAD8f8vI=")</f>
        <v>#VALUE!</v>
      </c>
      <c r="IJ107" t="e">
        <f>AND(DATA!H1256,"AAAAAD8f8vM=")</f>
        <v>#VALUE!</v>
      </c>
      <c r="IK107" t="e">
        <f>AND(DATA!I1256,"AAAAAD8f8vQ=")</f>
        <v>#VALUE!</v>
      </c>
      <c r="IL107" t="e">
        <f>AND(DATA!J1256,"AAAAAD8f8vU=")</f>
        <v>#VALUE!</v>
      </c>
      <c r="IM107" t="e">
        <f>AND(DATA!K1256,"AAAAAD8f8vY=")</f>
        <v>#VALUE!</v>
      </c>
      <c r="IN107" t="b">
        <f>AND(DATA!L1256,"AAAAAD8f8vc=")</f>
        <v>1</v>
      </c>
      <c r="IO107" t="e">
        <f>AND(DATA!M1256,"AAAAAD8f8vg=")</f>
        <v>#VALUE!</v>
      </c>
      <c r="IP107" t="b">
        <f>AND(DATA!N1256,"AAAAAD8f8vk=")</f>
        <v>1</v>
      </c>
      <c r="IQ107">
        <f>IF(DATA!1257:1257,"AAAAAD8f8vo=",0)</f>
        <v>0</v>
      </c>
      <c r="IR107" t="e">
        <f>AND(DATA!A1257,"AAAAAD8f8vs=")</f>
        <v>#VALUE!</v>
      </c>
      <c r="IS107" t="e">
        <f>AND(DATA!B1257,"AAAAAD8f8vw=")</f>
        <v>#VALUE!</v>
      </c>
      <c r="IT107" t="e">
        <f>AND(DATA!C1257,"AAAAAD8f8v0=")</f>
        <v>#VALUE!</v>
      </c>
      <c r="IU107" t="e">
        <f>AND(DATA!D1257,"AAAAAD8f8v4=")</f>
        <v>#VALUE!</v>
      </c>
      <c r="IV107" t="e">
        <f>AND(DATA!E1257,"AAAAAD8f8v8=")</f>
        <v>#VALUE!</v>
      </c>
    </row>
    <row r="108" spans="1:256">
      <c r="A108" t="e">
        <f>AND(DATA!F1257,"AAAAAGXXzgA=")</f>
        <v>#VALUE!</v>
      </c>
      <c r="B108" t="e">
        <f>AND(DATA!G1257,"AAAAAGXXzgE=")</f>
        <v>#VALUE!</v>
      </c>
      <c r="C108" t="e">
        <f>AND(DATA!H1257,"AAAAAGXXzgI=")</f>
        <v>#VALUE!</v>
      </c>
      <c r="D108" t="e">
        <f>AND(DATA!I1257,"AAAAAGXXzgM=")</f>
        <v>#VALUE!</v>
      </c>
      <c r="E108" t="e">
        <f>AND(DATA!J1257,"AAAAAGXXzgQ=")</f>
        <v>#VALUE!</v>
      </c>
      <c r="F108" t="e">
        <f>AND(DATA!K1257,"AAAAAGXXzgU=")</f>
        <v>#VALUE!</v>
      </c>
      <c r="G108" t="b">
        <f>AND(DATA!L1257,"AAAAAGXXzgY=")</f>
        <v>1</v>
      </c>
      <c r="H108" t="e">
        <f>AND(DATA!M1257,"AAAAAGXXzgc=")</f>
        <v>#VALUE!</v>
      </c>
      <c r="I108" t="b">
        <f>AND(DATA!N1257,"AAAAAGXXzgg=")</f>
        <v>1</v>
      </c>
      <c r="J108">
        <f>IF(DATA!1258:1258,"AAAAAGXXzgk=",0)</f>
        <v>0</v>
      </c>
      <c r="K108" t="e">
        <f>AND(DATA!A1258,"AAAAAGXXzgo=")</f>
        <v>#VALUE!</v>
      </c>
      <c r="L108" t="e">
        <f>AND(DATA!B1258,"AAAAAGXXzgs=")</f>
        <v>#VALUE!</v>
      </c>
      <c r="M108" t="e">
        <f>AND(DATA!C1258,"AAAAAGXXzgw=")</f>
        <v>#VALUE!</v>
      </c>
      <c r="N108" t="e">
        <f>AND(DATA!D1258,"AAAAAGXXzg0=")</f>
        <v>#VALUE!</v>
      </c>
      <c r="O108" t="e">
        <f>AND(DATA!E1258,"AAAAAGXXzg4=")</f>
        <v>#VALUE!</v>
      </c>
      <c r="P108" t="e">
        <f>AND(DATA!F1258,"AAAAAGXXzg8=")</f>
        <v>#VALUE!</v>
      </c>
      <c r="Q108" t="e">
        <f>AND(DATA!G1258,"AAAAAGXXzhA=")</f>
        <v>#VALUE!</v>
      </c>
      <c r="R108" t="e">
        <f>AND(DATA!H1258,"AAAAAGXXzhE=")</f>
        <v>#VALUE!</v>
      </c>
      <c r="S108" t="e">
        <f>AND(DATA!I1258,"AAAAAGXXzhI=")</f>
        <v>#VALUE!</v>
      </c>
      <c r="T108" t="e">
        <f>AND(DATA!J1258,"AAAAAGXXzhM=")</f>
        <v>#VALUE!</v>
      </c>
      <c r="U108" t="e">
        <f>AND(DATA!K1258,"AAAAAGXXzhQ=")</f>
        <v>#VALUE!</v>
      </c>
      <c r="V108" t="b">
        <f>AND(DATA!L1258,"AAAAAGXXzhU=")</f>
        <v>1</v>
      </c>
      <c r="W108" t="e">
        <f>AND(DATA!M1258,"AAAAAGXXzhY=")</f>
        <v>#VALUE!</v>
      </c>
      <c r="X108" t="b">
        <f>AND(DATA!N1258,"AAAAAGXXzhc=")</f>
        <v>1</v>
      </c>
      <c r="Y108">
        <f>IF(DATA!1259:1259,"AAAAAGXXzhg=",0)</f>
        <v>0</v>
      </c>
      <c r="Z108" t="e">
        <f>AND(DATA!A1259,"AAAAAGXXzhk=")</f>
        <v>#VALUE!</v>
      </c>
      <c r="AA108" t="e">
        <f>AND(DATA!B1259,"AAAAAGXXzho=")</f>
        <v>#VALUE!</v>
      </c>
      <c r="AB108" t="e">
        <f>AND(DATA!C1259,"AAAAAGXXzhs=")</f>
        <v>#VALUE!</v>
      </c>
      <c r="AC108" t="e">
        <f>AND(DATA!D1259,"AAAAAGXXzhw=")</f>
        <v>#VALUE!</v>
      </c>
      <c r="AD108" t="e">
        <f>AND(DATA!E1259,"AAAAAGXXzh0=")</f>
        <v>#VALUE!</v>
      </c>
      <c r="AE108" t="e">
        <f>AND(DATA!F1259,"AAAAAGXXzh4=")</f>
        <v>#VALUE!</v>
      </c>
      <c r="AF108" t="e">
        <f>AND(DATA!G1259,"AAAAAGXXzh8=")</f>
        <v>#VALUE!</v>
      </c>
      <c r="AG108" t="e">
        <f>AND(DATA!H1259,"AAAAAGXXziA=")</f>
        <v>#VALUE!</v>
      </c>
      <c r="AH108" t="e">
        <f>AND(DATA!I1259,"AAAAAGXXziE=")</f>
        <v>#VALUE!</v>
      </c>
      <c r="AI108" t="e">
        <f>AND(DATA!J1259,"AAAAAGXXziI=")</f>
        <v>#VALUE!</v>
      </c>
      <c r="AJ108" t="e">
        <f>AND(DATA!K1259,"AAAAAGXXziM=")</f>
        <v>#VALUE!</v>
      </c>
      <c r="AK108" t="b">
        <f>AND(DATA!L1259,"AAAAAGXXziQ=")</f>
        <v>1</v>
      </c>
      <c r="AL108" t="e">
        <f>AND(DATA!M1259,"AAAAAGXXziU=")</f>
        <v>#VALUE!</v>
      </c>
      <c r="AM108" t="b">
        <f>AND(DATA!N1259,"AAAAAGXXziY=")</f>
        <v>1</v>
      </c>
      <c r="AN108">
        <f>IF(DATA!1260:1260,"AAAAAGXXzic=",0)</f>
        <v>0</v>
      </c>
      <c r="AO108" t="e">
        <f>AND(DATA!A1260,"AAAAAGXXzig=")</f>
        <v>#VALUE!</v>
      </c>
      <c r="AP108" t="e">
        <f>AND(DATA!B1260,"AAAAAGXXzik=")</f>
        <v>#VALUE!</v>
      </c>
      <c r="AQ108" t="e">
        <f>AND(DATA!C1260,"AAAAAGXXzio=")</f>
        <v>#VALUE!</v>
      </c>
      <c r="AR108" t="e">
        <f>AND(DATA!D1260,"AAAAAGXXzis=")</f>
        <v>#VALUE!</v>
      </c>
      <c r="AS108" t="e">
        <f>AND(DATA!E1260,"AAAAAGXXziw=")</f>
        <v>#VALUE!</v>
      </c>
      <c r="AT108" t="e">
        <f>AND(DATA!F1260,"AAAAAGXXzi0=")</f>
        <v>#VALUE!</v>
      </c>
      <c r="AU108" t="e">
        <f>AND(DATA!G1260,"AAAAAGXXzi4=")</f>
        <v>#VALUE!</v>
      </c>
      <c r="AV108" t="e">
        <f>AND(DATA!H1260,"AAAAAGXXzi8=")</f>
        <v>#VALUE!</v>
      </c>
      <c r="AW108" t="e">
        <f>AND(DATA!I1260,"AAAAAGXXzjA=")</f>
        <v>#VALUE!</v>
      </c>
      <c r="AX108" t="e">
        <f>AND(DATA!J1260,"AAAAAGXXzjE=")</f>
        <v>#VALUE!</v>
      </c>
      <c r="AY108" t="e">
        <f>AND(DATA!K1260,"AAAAAGXXzjI=")</f>
        <v>#VALUE!</v>
      </c>
      <c r="AZ108" t="b">
        <f>AND(DATA!L1260,"AAAAAGXXzjM=")</f>
        <v>1</v>
      </c>
      <c r="BA108" t="e">
        <f>AND(DATA!M1260,"AAAAAGXXzjQ=")</f>
        <v>#VALUE!</v>
      </c>
      <c r="BB108" t="b">
        <f>AND(DATA!N1260,"AAAAAGXXzjU=")</f>
        <v>1</v>
      </c>
      <c r="BC108">
        <f>IF(DATA!1261:1261,"AAAAAGXXzjY=",0)</f>
        <v>0</v>
      </c>
      <c r="BD108" t="e">
        <f>AND(DATA!A1261,"AAAAAGXXzjc=")</f>
        <v>#VALUE!</v>
      </c>
      <c r="BE108" t="e">
        <f>AND(DATA!B1261,"AAAAAGXXzjg=")</f>
        <v>#VALUE!</v>
      </c>
      <c r="BF108" t="e">
        <f>AND(DATA!C1261,"AAAAAGXXzjk=")</f>
        <v>#VALUE!</v>
      </c>
      <c r="BG108" t="e">
        <f>AND(DATA!D1261,"AAAAAGXXzjo=")</f>
        <v>#VALUE!</v>
      </c>
      <c r="BH108" t="e">
        <f>AND(DATA!E1261,"AAAAAGXXzjs=")</f>
        <v>#VALUE!</v>
      </c>
      <c r="BI108" t="e">
        <f>AND(DATA!F1261,"AAAAAGXXzjw=")</f>
        <v>#VALUE!</v>
      </c>
      <c r="BJ108" t="e">
        <f>AND(DATA!G1261,"AAAAAGXXzj0=")</f>
        <v>#VALUE!</v>
      </c>
      <c r="BK108" t="e">
        <f>AND(DATA!H1261,"AAAAAGXXzj4=")</f>
        <v>#VALUE!</v>
      </c>
      <c r="BL108" t="e">
        <f>AND(DATA!I1261,"AAAAAGXXzj8=")</f>
        <v>#VALUE!</v>
      </c>
      <c r="BM108" t="e">
        <f>AND(DATA!J1261,"AAAAAGXXzkA=")</f>
        <v>#VALUE!</v>
      </c>
      <c r="BN108" t="e">
        <f>AND(DATA!K1261,"AAAAAGXXzkE=")</f>
        <v>#VALUE!</v>
      </c>
      <c r="BO108" t="b">
        <f>AND(DATA!L1261,"AAAAAGXXzkI=")</f>
        <v>1</v>
      </c>
      <c r="BP108" t="e">
        <f>AND(DATA!M1261,"AAAAAGXXzkM=")</f>
        <v>#VALUE!</v>
      </c>
      <c r="BQ108" t="b">
        <f>AND(DATA!N1261,"AAAAAGXXzkQ=")</f>
        <v>1</v>
      </c>
      <c r="BR108">
        <f>IF(DATA!1262:1262,"AAAAAGXXzkU=",0)</f>
        <v>0</v>
      </c>
      <c r="BS108" t="e">
        <f>AND(DATA!A1262,"AAAAAGXXzkY=")</f>
        <v>#VALUE!</v>
      </c>
      <c r="BT108" t="e">
        <f>AND(DATA!B1262,"AAAAAGXXzkc=")</f>
        <v>#VALUE!</v>
      </c>
      <c r="BU108" t="e">
        <f>AND(DATA!C1262,"AAAAAGXXzkg=")</f>
        <v>#VALUE!</v>
      </c>
      <c r="BV108" t="e">
        <f>AND(DATA!D1262,"AAAAAGXXzkk=")</f>
        <v>#VALUE!</v>
      </c>
      <c r="BW108" t="e">
        <f>AND(DATA!E1262,"AAAAAGXXzko=")</f>
        <v>#VALUE!</v>
      </c>
      <c r="BX108" t="e">
        <f>AND(DATA!F1262,"AAAAAGXXzks=")</f>
        <v>#VALUE!</v>
      </c>
      <c r="BY108" t="e">
        <f>AND(DATA!G1262,"AAAAAGXXzkw=")</f>
        <v>#VALUE!</v>
      </c>
      <c r="BZ108" t="e">
        <f>AND(DATA!H1262,"AAAAAGXXzk0=")</f>
        <v>#VALUE!</v>
      </c>
      <c r="CA108" t="e">
        <f>AND(DATA!I1262,"AAAAAGXXzk4=")</f>
        <v>#VALUE!</v>
      </c>
      <c r="CB108" t="e">
        <f>AND(DATA!J1262,"AAAAAGXXzk8=")</f>
        <v>#VALUE!</v>
      </c>
      <c r="CC108" t="e">
        <f>AND(DATA!K1262,"AAAAAGXXzlA=")</f>
        <v>#VALUE!</v>
      </c>
      <c r="CD108" t="b">
        <f>AND(DATA!L1262,"AAAAAGXXzlE=")</f>
        <v>1</v>
      </c>
      <c r="CE108" t="e">
        <f>AND(DATA!M1262,"AAAAAGXXzlI=")</f>
        <v>#VALUE!</v>
      </c>
      <c r="CF108" t="b">
        <f>AND(DATA!N1262,"AAAAAGXXzlM=")</f>
        <v>1</v>
      </c>
      <c r="CG108">
        <f>IF(DATA!1263:1263,"AAAAAGXXzlQ=",0)</f>
        <v>0</v>
      </c>
      <c r="CH108" t="e">
        <f>AND(DATA!A1263,"AAAAAGXXzlU=")</f>
        <v>#VALUE!</v>
      </c>
      <c r="CI108" t="e">
        <f>AND(DATA!B1263,"AAAAAGXXzlY=")</f>
        <v>#VALUE!</v>
      </c>
      <c r="CJ108" t="e">
        <f>AND(DATA!C1263,"AAAAAGXXzlc=")</f>
        <v>#VALUE!</v>
      </c>
      <c r="CK108" t="e">
        <f>AND(DATA!D1263,"AAAAAGXXzlg=")</f>
        <v>#VALUE!</v>
      </c>
      <c r="CL108" t="e">
        <f>AND(DATA!E1263,"AAAAAGXXzlk=")</f>
        <v>#VALUE!</v>
      </c>
      <c r="CM108" t="e">
        <f>AND(DATA!F1263,"AAAAAGXXzlo=")</f>
        <v>#VALUE!</v>
      </c>
      <c r="CN108" t="e">
        <f>AND(DATA!G1263,"AAAAAGXXzls=")</f>
        <v>#VALUE!</v>
      </c>
      <c r="CO108" t="e">
        <f>AND(DATA!H1263,"AAAAAGXXzlw=")</f>
        <v>#VALUE!</v>
      </c>
      <c r="CP108" t="e">
        <f>AND(DATA!I1263,"AAAAAGXXzl0=")</f>
        <v>#VALUE!</v>
      </c>
      <c r="CQ108" t="e">
        <f>AND(DATA!J1263,"AAAAAGXXzl4=")</f>
        <v>#VALUE!</v>
      </c>
      <c r="CR108" t="e">
        <f>AND(DATA!K1263,"AAAAAGXXzl8=")</f>
        <v>#VALUE!</v>
      </c>
      <c r="CS108" t="b">
        <f>AND(DATA!L1263,"AAAAAGXXzmA=")</f>
        <v>1</v>
      </c>
      <c r="CT108" t="e">
        <f>AND(DATA!M1263,"AAAAAGXXzmE=")</f>
        <v>#VALUE!</v>
      </c>
      <c r="CU108" t="b">
        <f>AND(DATA!N1263,"AAAAAGXXzmI=")</f>
        <v>1</v>
      </c>
      <c r="CV108">
        <f>IF(DATA!1264:1264,"AAAAAGXXzmM=",0)</f>
        <v>0</v>
      </c>
      <c r="CW108" t="e">
        <f>AND(DATA!A1264,"AAAAAGXXzmQ=")</f>
        <v>#VALUE!</v>
      </c>
      <c r="CX108" t="e">
        <f>AND(DATA!B1264,"AAAAAGXXzmU=")</f>
        <v>#VALUE!</v>
      </c>
      <c r="CY108" t="e">
        <f>AND(DATA!C1264,"AAAAAGXXzmY=")</f>
        <v>#VALUE!</v>
      </c>
      <c r="CZ108" t="e">
        <f>AND(DATA!D1264,"AAAAAGXXzmc=")</f>
        <v>#VALUE!</v>
      </c>
      <c r="DA108" t="e">
        <f>AND(DATA!E1264,"AAAAAGXXzmg=")</f>
        <v>#VALUE!</v>
      </c>
      <c r="DB108" t="e">
        <f>AND(DATA!F1264,"AAAAAGXXzmk=")</f>
        <v>#VALUE!</v>
      </c>
      <c r="DC108" t="e">
        <f>AND(DATA!G1264,"AAAAAGXXzmo=")</f>
        <v>#VALUE!</v>
      </c>
      <c r="DD108" t="e">
        <f>AND(DATA!H1264,"AAAAAGXXzms=")</f>
        <v>#VALUE!</v>
      </c>
      <c r="DE108" t="e">
        <f>AND(DATA!I1264,"AAAAAGXXzmw=")</f>
        <v>#VALUE!</v>
      </c>
      <c r="DF108" t="e">
        <f>AND(DATA!J1264,"AAAAAGXXzm0=")</f>
        <v>#VALUE!</v>
      </c>
      <c r="DG108" t="e">
        <f>AND(DATA!K1264,"AAAAAGXXzm4=")</f>
        <v>#VALUE!</v>
      </c>
      <c r="DH108" t="b">
        <f>AND(DATA!L1264,"AAAAAGXXzm8=")</f>
        <v>1</v>
      </c>
      <c r="DI108" t="e">
        <f>AND(DATA!M1264,"AAAAAGXXznA=")</f>
        <v>#VALUE!</v>
      </c>
      <c r="DJ108" t="b">
        <f>AND(DATA!N1264,"AAAAAGXXznE=")</f>
        <v>1</v>
      </c>
      <c r="DK108">
        <f>IF(DATA!1265:1265,"AAAAAGXXznI=",0)</f>
        <v>0</v>
      </c>
      <c r="DL108" t="e">
        <f>AND(DATA!A1265,"AAAAAGXXznM=")</f>
        <v>#VALUE!</v>
      </c>
      <c r="DM108" t="e">
        <f>AND(DATA!B1265,"AAAAAGXXznQ=")</f>
        <v>#VALUE!</v>
      </c>
      <c r="DN108" t="e">
        <f>AND(DATA!C1265,"AAAAAGXXznU=")</f>
        <v>#VALUE!</v>
      </c>
      <c r="DO108" t="e">
        <f>AND(DATA!D1265,"AAAAAGXXznY=")</f>
        <v>#VALUE!</v>
      </c>
      <c r="DP108" t="e">
        <f>AND(DATA!E1265,"AAAAAGXXznc=")</f>
        <v>#VALUE!</v>
      </c>
      <c r="DQ108" t="e">
        <f>AND(DATA!F1265,"AAAAAGXXzng=")</f>
        <v>#VALUE!</v>
      </c>
      <c r="DR108" t="e">
        <f>AND(DATA!G1265,"AAAAAGXXznk=")</f>
        <v>#VALUE!</v>
      </c>
      <c r="DS108" t="e">
        <f>AND(DATA!H1265,"AAAAAGXXzno=")</f>
        <v>#VALUE!</v>
      </c>
      <c r="DT108" t="e">
        <f>AND(DATA!I1265,"AAAAAGXXzns=")</f>
        <v>#VALUE!</v>
      </c>
      <c r="DU108" t="e">
        <f>AND(DATA!J1265,"AAAAAGXXznw=")</f>
        <v>#VALUE!</v>
      </c>
      <c r="DV108" t="e">
        <f>AND(DATA!K1265,"AAAAAGXXzn0=")</f>
        <v>#VALUE!</v>
      </c>
      <c r="DW108" t="b">
        <f>AND(DATA!L1265,"AAAAAGXXzn4=")</f>
        <v>1</v>
      </c>
      <c r="DX108" t="e">
        <f>AND(DATA!M1265,"AAAAAGXXzn8=")</f>
        <v>#VALUE!</v>
      </c>
      <c r="DY108" t="b">
        <f>AND(DATA!N1265,"AAAAAGXXzoA=")</f>
        <v>1</v>
      </c>
      <c r="DZ108">
        <f>IF(DATA!1266:1266,"AAAAAGXXzoE=",0)</f>
        <v>0</v>
      </c>
      <c r="EA108" t="e">
        <f>AND(DATA!A1266,"AAAAAGXXzoI=")</f>
        <v>#VALUE!</v>
      </c>
      <c r="EB108" t="e">
        <f>AND(DATA!B1266,"AAAAAGXXzoM=")</f>
        <v>#VALUE!</v>
      </c>
      <c r="EC108" t="e">
        <f>AND(DATA!C1266,"AAAAAGXXzoQ=")</f>
        <v>#VALUE!</v>
      </c>
      <c r="ED108" t="e">
        <f>AND(DATA!D1266,"AAAAAGXXzoU=")</f>
        <v>#VALUE!</v>
      </c>
      <c r="EE108" t="e">
        <f>AND(DATA!E1266,"AAAAAGXXzoY=")</f>
        <v>#VALUE!</v>
      </c>
      <c r="EF108" t="e">
        <f>AND(DATA!F1266,"AAAAAGXXzoc=")</f>
        <v>#VALUE!</v>
      </c>
      <c r="EG108" t="e">
        <f>AND(DATA!G1266,"AAAAAGXXzog=")</f>
        <v>#VALUE!</v>
      </c>
      <c r="EH108" t="e">
        <f>AND(DATA!H1266,"AAAAAGXXzok=")</f>
        <v>#VALUE!</v>
      </c>
      <c r="EI108" t="e">
        <f>AND(DATA!I1266,"AAAAAGXXzoo=")</f>
        <v>#VALUE!</v>
      </c>
      <c r="EJ108" t="e">
        <f>AND(DATA!J1266,"AAAAAGXXzos=")</f>
        <v>#VALUE!</v>
      </c>
      <c r="EK108" t="e">
        <f>AND(DATA!K1266,"AAAAAGXXzow=")</f>
        <v>#VALUE!</v>
      </c>
      <c r="EL108" t="b">
        <f>AND(DATA!L1266,"AAAAAGXXzo0=")</f>
        <v>1</v>
      </c>
      <c r="EM108" t="e">
        <f>AND(DATA!M1266,"AAAAAGXXzo4=")</f>
        <v>#VALUE!</v>
      </c>
      <c r="EN108" t="b">
        <f>AND(DATA!N1266,"AAAAAGXXzo8=")</f>
        <v>1</v>
      </c>
      <c r="EO108">
        <f>IF(DATA!1267:1267,"AAAAAGXXzpA=",0)</f>
        <v>0</v>
      </c>
      <c r="EP108" t="e">
        <f>AND(DATA!A1267,"AAAAAGXXzpE=")</f>
        <v>#VALUE!</v>
      </c>
      <c r="EQ108" t="e">
        <f>AND(DATA!B1267,"AAAAAGXXzpI=")</f>
        <v>#VALUE!</v>
      </c>
      <c r="ER108" t="e">
        <f>AND(DATA!C1267,"AAAAAGXXzpM=")</f>
        <v>#VALUE!</v>
      </c>
      <c r="ES108" t="e">
        <f>AND(DATA!D1267,"AAAAAGXXzpQ=")</f>
        <v>#VALUE!</v>
      </c>
      <c r="ET108" t="e">
        <f>AND(DATA!E1267,"AAAAAGXXzpU=")</f>
        <v>#VALUE!</v>
      </c>
      <c r="EU108" t="e">
        <f>AND(DATA!F1267,"AAAAAGXXzpY=")</f>
        <v>#VALUE!</v>
      </c>
      <c r="EV108" t="e">
        <f>AND(DATA!G1267,"AAAAAGXXzpc=")</f>
        <v>#VALUE!</v>
      </c>
      <c r="EW108" t="e">
        <f>AND(DATA!H1267,"AAAAAGXXzpg=")</f>
        <v>#VALUE!</v>
      </c>
      <c r="EX108" t="e">
        <f>AND(DATA!I1267,"AAAAAGXXzpk=")</f>
        <v>#VALUE!</v>
      </c>
      <c r="EY108" t="e">
        <f>AND(DATA!J1267,"AAAAAGXXzpo=")</f>
        <v>#VALUE!</v>
      </c>
      <c r="EZ108" t="e">
        <f>AND(DATA!K1267,"AAAAAGXXzps=")</f>
        <v>#VALUE!</v>
      </c>
      <c r="FA108" t="b">
        <f>AND(DATA!L1267,"AAAAAGXXzpw=")</f>
        <v>1</v>
      </c>
      <c r="FB108" t="e">
        <f>AND(DATA!M1267,"AAAAAGXXzp0=")</f>
        <v>#VALUE!</v>
      </c>
      <c r="FC108" t="b">
        <f>AND(DATA!N1267,"AAAAAGXXzp4=")</f>
        <v>1</v>
      </c>
      <c r="FD108">
        <f>IF(DATA!1268:1268,"AAAAAGXXzp8=",0)</f>
        <v>0</v>
      </c>
      <c r="FE108" t="e">
        <f>AND(DATA!A1268,"AAAAAGXXzqA=")</f>
        <v>#VALUE!</v>
      </c>
      <c r="FF108" t="e">
        <f>AND(DATA!B1268,"AAAAAGXXzqE=")</f>
        <v>#VALUE!</v>
      </c>
      <c r="FG108" t="e">
        <f>AND(DATA!C1268,"AAAAAGXXzqI=")</f>
        <v>#VALUE!</v>
      </c>
      <c r="FH108" t="e">
        <f>AND(DATA!D1268,"AAAAAGXXzqM=")</f>
        <v>#VALUE!</v>
      </c>
      <c r="FI108" t="e">
        <f>AND(DATA!E1268,"AAAAAGXXzqQ=")</f>
        <v>#VALUE!</v>
      </c>
      <c r="FJ108" t="e">
        <f>AND(DATA!F1268,"AAAAAGXXzqU=")</f>
        <v>#VALUE!</v>
      </c>
      <c r="FK108" t="e">
        <f>AND(DATA!G1268,"AAAAAGXXzqY=")</f>
        <v>#VALUE!</v>
      </c>
      <c r="FL108" t="e">
        <f>AND(DATA!H1268,"AAAAAGXXzqc=")</f>
        <v>#VALUE!</v>
      </c>
      <c r="FM108" t="e">
        <f>AND(DATA!I1268,"AAAAAGXXzqg=")</f>
        <v>#VALUE!</v>
      </c>
      <c r="FN108" t="e">
        <f>AND(DATA!J1268,"AAAAAGXXzqk=")</f>
        <v>#VALUE!</v>
      </c>
      <c r="FO108" t="e">
        <f>AND(DATA!K1268,"AAAAAGXXzqo=")</f>
        <v>#VALUE!</v>
      </c>
      <c r="FP108" t="b">
        <f>AND(DATA!L1268,"AAAAAGXXzqs=")</f>
        <v>1</v>
      </c>
      <c r="FQ108" t="e">
        <f>AND(DATA!M1268,"AAAAAGXXzqw=")</f>
        <v>#VALUE!</v>
      </c>
      <c r="FR108" t="b">
        <f>AND(DATA!N1268,"AAAAAGXXzq0=")</f>
        <v>1</v>
      </c>
      <c r="FS108">
        <f>IF(DATA!1269:1269,"AAAAAGXXzq4=",0)</f>
        <v>0</v>
      </c>
      <c r="FT108" t="e">
        <f>AND(DATA!A1269,"AAAAAGXXzq8=")</f>
        <v>#VALUE!</v>
      </c>
      <c r="FU108" t="e">
        <f>AND(DATA!B1269,"AAAAAGXXzrA=")</f>
        <v>#VALUE!</v>
      </c>
      <c r="FV108" t="e">
        <f>AND(DATA!C1269,"AAAAAGXXzrE=")</f>
        <v>#VALUE!</v>
      </c>
      <c r="FW108" t="e">
        <f>AND(DATA!D1269,"AAAAAGXXzrI=")</f>
        <v>#VALUE!</v>
      </c>
      <c r="FX108" t="e">
        <f>AND(DATA!E1269,"AAAAAGXXzrM=")</f>
        <v>#VALUE!</v>
      </c>
      <c r="FY108" t="e">
        <f>AND(DATA!F1269,"AAAAAGXXzrQ=")</f>
        <v>#VALUE!</v>
      </c>
      <c r="FZ108" t="e">
        <f>AND(DATA!G1269,"AAAAAGXXzrU=")</f>
        <v>#VALUE!</v>
      </c>
      <c r="GA108" t="e">
        <f>AND(DATA!H1269,"AAAAAGXXzrY=")</f>
        <v>#VALUE!</v>
      </c>
      <c r="GB108" t="e">
        <f>AND(DATA!I1269,"AAAAAGXXzrc=")</f>
        <v>#VALUE!</v>
      </c>
      <c r="GC108" t="e">
        <f>AND(DATA!J1269,"AAAAAGXXzrg=")</f>
        <v>#VALUE!</v>
      </c>
      <c r="GD108" t="e">
        <f>AND(DATA!K1269,"AAAAAGXXzrk=")</f>
        <v>#VALUE!</v>
      </c>
      <c r="GE108" t="b">
        <f>AND(DATA!L1269,"AAAAAGXXzro=")</f>
        <v>1</v>
      </c>
      <c r="GF108" t="e">
        <f>AND(DATA!M1269,"AAAAAGXXzrs=")</f>
        <v>#VALUE!</v>
      </c>
      <c r="GG108" t="b">
        <f>AND(DATA!N1269,"AAAAAGXXzrw=")</f>
        <v>1</v>
      </c>
      <c r="GH108">
        <f>IF(DATA!1270:1270,"AAAAAGXXzr0=",0)</f>
        <v>0</v>
      </c>
      <c r="GI108" t="e">
        <f>AND(DATA!A1270,"AAAAAGXXzr4=")</f>
        <v>#VALUE!</v>
      </c>
      <c r="GJ108" t="e">
        <f>AND(DATA!B1270,"AAAAAGXXzr8=")</f>
        <v>#VALUE!</v>
      </c>
      <c r="GK108" t="e">
        <f>AND(DATA!C1270,"AAAAAGXXzsA=")</f>
        <v>#VALUE!</v>
      </c>
      <c r="GL108" t="e">
        <f>AND(DATA!D1270,"AAAAAGXXzsE=")</f>
        <v>#VALUE!</v>
      </c>
      <c r="GM108" t="e">
        <f>AND(DATA!E1270,"AAAAAGXXzsI=")</f>
        <v>#VALUE!</v>
      </c>
      <c r="GN108" t="e">
        <f>AND(DATA!F1270,"AAAAAGXXzsM=")</f>
        <v>#VALUE!</v>
      </c>
      <c r="GO108" t="e">
        <f>AND(DATA!G1270,"AAAAAGXXzsQ=")</f>
        <v>#VALUE!</v>
      </c>
      <c r="GP108" t="e">
        <f>AND(DATA!H1270,"AAAAAGXXzsU=")</f>
        <v>#VALUE!</v>
      </c>
      <c r="GQ108" t="e">
        <f>AND(DATA!I1270,"AAAAAGXXzsY=")</f>
        <v>#VALUE!</v>
      </c>
      <c r="GR108" t="e">
        <f>AND(DATA!J1270,"AAAAAGXXzsc=")</f>
        <v>#VALUE!</v>
      </c>
      <c r="GS108" t="e">
        <f>AND(DATA!K1270,"AAAAAGXXzsg=")</f>
        <v>#VALUE!</v>
      </c>
      <c r="GT108" t="b">
        <f>AND(DATA!L1270,"AAAAAGXXzsk=")</f>
        <v>1</v>
      </c>
      <c r="GU108" t="e">
        <f>AND(DATA!M1270,"AAAAAGXXzso=")</f>
        <v>#VALUE!</v>
      </c>
      <c r="GV108" t="b">
        <f>AND(DATA!N1270,"AAAAAGXXzss=")</f>
        <v>1</v>
      </c>
      <c r="GW108">
        <f>IF(DATA!1271:1271,"AAAAAGXXzsw=",0)</f>
        <v>0</v>
      </c>
      <c r="GX108" t="e">
        <f>AND(DATA!A1271,"AAAAAGXXzs0=")</f>
        <v>#VALUE!</v>
      </c>
      <c r="GY108" t="e">
        <f>AND(DATA!B1271,"AAAAAGXXzs4=")</f>
        <v>#VALUE!</v>
      </c>
      <c r="GZ108" t="e">
        <f>AND(DATA!C1271,"AAAAAGXXzs8=")</f>
        <v>#VALUE!</v>
      </c>
      <c r="HA108" t="e">
        <f>AND(DATA!D1271,"AAAAAGXXztA=")</f>
        <v>#VALUE!</v>
      </c>
      <c r="HB108" t="e">
        <f>AND(DATA!E1271,"AAAAAGXXztE=")</f>
        <v>#VALUE!</v>
      </c>
      <c r="HC108" t="e">
        <f>AND(DATA!F1271,"AAAAAGXXztI=")</f>
        <v>#VALUE!</v>
      </c>
      <c r="HD108" t="e">
        <f>AND(DATA!G1271,"AAAAAGXXztM=")</f>
        <v>#VALUE!</v>
      </c>
      <c r="HE108" t="e">
        <f>AND(DATA!H1271,"AAAAAGXXztQ=")</f>
        <v>#VALUE!</v>
      </c>
      <c r="HF108" t="e">
        <f>AND(DATA!I1271,"AAAAAGXXztU=")</f>
        <v>#VALUE!</v>
      </c>
      <c r="HG108" t="e">
        <f>AND(DATA!J1271,"AAAAAGXXztY=")</f>
        <v>#VALUE!</v>
      </c>
      <c r="HH108" t="e">
        <f>AND(DATA!K1271,"AAAAAGXXztc=")</f>
        <v>#VALUE!</v>
      </c>
      <c r="HI108" t="b">
        <f>AND(DATA!L1271,"AAAAAGXXztg=")</f>
        <v>1</v>
      </c>
      <c r="HJ108" t="e">
        <f>AND(DATA!M1271,"AAAAAGXXztk=")</f>
        <v>#VALUE!</v>
      </c>
      <c r="HK108" t="b">
        <f>AND(DATA!N1271,"AAAAAGXXzto=")</f>
        <v>1</v>
      </c>
      <c r="HL108">
        <f>IF(DATA!1272:1272,"AAAAAGXXzts=",0)</f>
        <v>0</v>
      </c>
      <c r="HM108" t="e">
        <f>AND(DATA!A1272,"AAAAAGXXztw=")</f>
        <v>#VALUE!</v>
      </c>
      <c r="HN108" t="e">
        <f>AND(DATA!B1272,"AAAAAGXXzt0=")</f>
        <v>#VALUE!</v>
      </c>
      <c r="HO108" t="e">
        <f>AND(DATA!C1272,"AAAAAGXXzt4=")</f>
        <v>#VALUE!</v>
      </c>
      <c r="HP108" t="e">
        <f>AND(DATA!D1272,"AAAAAGXXzt8=")</f>
        <v>#VALUE!</v>
      </c>
      <c r="HQ108" t="e">
        <f>AND(DATA!E1272,"AAAAAGXXzuA=")</f>
        <v>#VALUE!</v>
      </c>
      <c r="HR108" t="e">
        <f>AND(DATA!F1272,"AAAAAGXXzuE=")</f>
        <v>#VALUE!</v>
      </c>
      <c r="HS108" t="e">
        <f>AND(DATA!G1272,"AAAAAGXXzuI=")</f>
        <v>#VALUE!</v>
      </c>
      <c r="HT108" t="e">
        <f>AND(DATA!H1272,"AAAAAGXXzuM=")</f>
        <v>#VALUE!</v>
      </c>
      <c r="HU108" t="e">
        <f>AND(DATA!I1272,"AAAAAGXXzuQ=")</f>
        <v>#VALUE!</v>
      </c>
      <c r="HV108" t="e">
        <f>AND(DATA!J1272,"AAAAAGXXzuU=")</f>
        <v>#VALUE!</v>
      </c>
      <c r="HW108" t="e">
        <f>AND(DATA!K1272,"AAAAAGXXzuY=")</f>
        <v>#VALUE!</v>
      </c>
      <c r="HX108" t="b">
        <f>AND(DATA!L1272,"AAAAAGXXzuc=")</f>
        <v>1</v>
      </c>
      <c r="HY108" t="e">
        <f>AND(DATA!M1272,"AAAAAGXXzug=")</f>
        <v>#VALUE!</v>
      </c>
      <c r="HZ108" t="b">
        <f>AND(DATA!N1272,"AAAAAGXXzuk=")</f>
        <v>1</v>
      </c>
      <c r="IA108">
        <f>IF(DATA!1273:1273,"AAAAAGXXzuo=",0)</f>
        <v>0</v>
      </c>
      <c r="IB108" t="e">
        <f>AND(DATA!A1273,"AAAAAGXXzus=")</f>
        <v>#VALUE!</v>
      </c>
      <c r="IC108" t="e">
        <f>AND(DATA!B1273,"AAAAAGXXzuw=")</f>
        <v>#VALUE!</v>
      </c>
      <c r="ID108" t="e">
        <f>AND(DATA!C1273,"AAAAAGXXzu0=")</f>
        <v>#VALUE!</v>
      </c>
      <c r="IE108" t="e">
        <f>AND(DATA!D1273,"AAAAAGXXzu4=")</f>
        <v>#VALUE!</v>
      </c>
      <c r="IF108" t="e">
        <f>AND(DATA!E1273,"AAAAAGXXzu8=")</f>
        <v>#VALUE!</v>
      </c>
      <c r="IG108" t="e">
        <f>AND(DATA!F1273,"AAAAAGXXzvA=")</f>
        <v>#VALUE!</v>
      </c>
      <c r="IH108" t="e">
        <f>AND(DATA!G1273,"AAAAAGXXzvE=")</f>
        <v>#VALUE!</v>
      </c>
      <c r="II108" t="e">
        <f>AND(DATA!H1273,"AAAAAGXXzvI=")</f>
        <v>#VALUE!</v>
      </c>
      <c r="IJ108" t="e">
        <f>AND(DATA!I1273,"AAAAAGXXzvM=")</f>
        <v>#VALUE!</v>
      </c>
      <c r="IK108" t="e">
        <f>AND(DATA!J1273,"AAAAAGXXzvQ=")</f>
        <v>#VALUE!</v>
      </c>
      <c r="IL108" t="e">
        <f>AND(DATA!K1273,"AAAAAGXXzvU=")</f>
        <v>#VALUE!</v>
      </c>
      <c r="IM108" t="b">
        <f>AND(DATA!L1273,"AAAAAGXXzvY=")</f>
        <v>1</v>
      </c>
      <c r="IN108" t="e">
        <f>AND(DATA!M1273,"AAAAAGXXzvc=")</f>
        <v>#VALUE!</v>
      </c>
      <c r="IO108" t="b">
        <f>AND(DATA!N1273,"AAAAAGXXzvg=")</f>
        <v>1</v>
      </c>
      <c r="IP108">
        <f>IF(DATA!1274:1274,"AAAAAGXXzvk=",0)</f>
        <v>0</v>
      </c>
      <c r="IQ108" t="e">
        <f>AND(DATA!A1274,"AAAAAGXXzvo=")</f>
        <v>#VALUE!</v>
      </c>
      <c r="IR108" t="e">
        <f>AND(DATA!B1274,"AAAAAGXXzvs=")</f>
        <v>#VALUE!</v>
      </c>
      <c r="IS108" t="e">
        <f>AND(DATA!C1274,"AAAAAGXXzvw=")</f>
        <v>#VALUE!</v>
      </c>
      <c r="IT108" t="e">
        <f>AND(DATA!D1274,"AAAAAGXXzv0=")</f>
        <v>#VALUE!</v>
      </c>
      <c r="IU108" t="e">
        <f>AND(DATA!E1274,"AAAAAGXXzv4=")</f>
        <v>#VALUE!</v>
      </c>
      <c r="IV108" t="e">
        <f>AND(DATA!F1274,"AAAAAGXXzv8=")</f>
        <v>#VALUE!</v>
      </c>
    </row>
    <row r="109" spans="1:256">
      <c r="A109" t="e">
        <f>AND(DATA!G1274,"AAAAAGz8jwA=")</f>
        <v>#VALUE!</v>
      </c>
      <c r="B109" t="e">
        <f>AND(DATA!H1274,"AAAAAGz8jwE=")</f>
        <v>#VALUE!</v>
      </c>
      <c r="C109" t="e">
        <f>AND(DATA!I1274,"AAAAAGz8jwI=")</f>
        <v>#VALUE!</v>
      </c>
      <c r="D109" t="e">
        <f>AND(DATA!J1274,"AAAAAGz8jwM=")</f>
        <v>#VALUE!</v>
      </c>
      <c r="E109" t="e">
        <f>AND(DATA!K1274,"AAAAAGz8jwQ=")</f>
        <v>#VALUE!</v>
      </c>
      <c r="F109" t="b">
        <f>AND(DATA!L1274,"AAAAAGz8jwU=")</f>
        <v>1</v>
      </c>
      <c r="G109" t="e">
        <f>AND(DATA!M1274,"AAAAAGz8jwY=")</f>
        <v>#VALUE!</v>
      </c>
      <c r="H109" t="b">
        <f>AND(DATA!N1274,"AAAAAGz8jwc=")</f>
        <v>1</v>
      </c>
      <c r="I109">
        <f>IF(DATA!1275:1275,"AAAAAGz8jwg=",0)</f>
        <v>0</v>
      </c>
      <c r="J109" t="e">
        <f>AND(DATA!A1275,"AAAAAGz8jwk=")</f>
        <v>#VALUE!</v>
      </c>
      <c r="K109" t="e">
        <f>AND(DATA!B1275,"AAAAAGz8jwo=")</f>
        <v>#VALUE!</v>
      </c>
      <c r="L109" t="e">
        <f>AND(DATA!C1275,"AAAAAGz8jws=")</f>
        <v>#VALUE!</v>
      </c>
      <c r="M109" t="e">
        <f>AND(DATA!D1275,"AAAAAGz8jww=")</f>
        <v>#VALUE!</v>
      </c>
      <c r="N109" t="e">
        <f>AND(DATA!E1275,"AAAAAGz8jw0=")</f>
        <v>#VALUE!</v>
      </c>
      <c r="O109" t="e">
        <f>AND(DATA!F1275,"AAAAAGz8jw4=")</f>
        <v>#VALUE!</v>
      </c>
      <c r="P109" t="e">
        <f>AND(DATA!G1275,"AAAAAGz8jw8=")</f>
        <v>#VALUE!</v>
      </c>
      <c r="Q109" t="e">
        <f>AND(DATA!H1275,"AAAAAGz8jxA=")</f>
        <v>#VALUE!</v>
      </c>
      <c r="R109" t="e">
        <f>AND(DATA!I1275,"AAAAAGz8jxE=")</f>
        <v>#VALUE!</v>
      </c>
      <c r="S109" t="e">
        <f>AND(DATA!J1275,"AAAAAGz8jxI=")</f>
        <v>#VALUE!</v>
      </c>
      <c r="T109" t="e">
        <f>AND(DATA!K1275,"AAAAAGz8jxM=")</f>
        <v>#VALUE!</v>
      </c>
      <c r="U109" t="b">
        <f>AND(DATA!L1275,"AAAAAGz8jxQ=")</f>
        <v>1</v>
      </c>
      <c r="V109" t="e">
        <f>AND(DATA!M1275,"AAAAAGz8jxU=")</f>
        <v>#VALUE!</v>
      </c>
      <c r="W109" t="b">
        <f>AND(DATA!N1275,"AAAAAGz8jxY=")</f>
        <v>1</v>
      </c>
      <c r="X109">
        <f>IF(DATA!1276:1276,"AAAAAGz8jxc=",0)</f>
        <v>0</v>
      </c>
      <c r="Y109" t="e">
        <f>AND(DATA!A1276,"AAAAAGz8jxg=")</f>
        <v>#VALUE!</v>
      </c>
      <c r="Z109" t="e">
        <f>AND(DATA!B1276,"AAAAAGz8jxk=")</f>
        <v>#VALUE!</v>
      </c>
      <c r="AA109" t="e">
        <f>AND(DATA!C1276,"AAAAAGz8jxo=")</f>
        <v>#VALUE!</v>
      </c>
      <c r="AB109" t="e">
        <f>AND(DATA!D1276,"AAAAAGz8jxs=")</f>
        <v>#VALUE!</v>
      </c>
      <c r="AC109" t="e">
        <f>AND(DATA!E1276,"AAAAAGz8jxw=")</f>
        <v>#VALUE!</v>
      </c>
      <c r="AD109" t="e">
        <f>AND(DATA!F1276,"AAAAAGz8jx0=")</f>
        <v>#VALUE!</v>
      </c>
      <c r="AE109" t="e">
        <f>AND(DATA!G1276,"AAAAAGz8jx4=")</f>
        <v>#VALUE!</v>
      </c>
      <c r="AF109" t="e">
        <f>AND(DATA!H1276,"AAAAAGz8jx8=")</f>
        <v>#VALUE!</v>
      </c>
      <c r="AG109" t="e">
        <f>AND(DATA!I1276,"AAAAAGz8jyA=")</f>
        <v>#VALUE!</v>
      </c>
      <c r="AH109" t="e">
        <f>AND(DATA!J1276,"AAAAAGz8jyE=")</f>
        <v>#VALUE!</v>
      </c>
      <c r="AI109" t="e">
        <f>AND(DATA!K1276,"AAAAAGz8jyI=")</f>
        <v>#VALUE!</v>
      </c>
      <c r="AJ109" t="b">
        <f>AND(DATA!L1276,"AAAAAGz8jyM=")</f>
        <v>1</v>
      </c>
      <c r="AK109" t="e">
        <f>AND(DATA!M1276,"AAAAAGz8jyQ=")</f>
        <v>#VALUE!</v>
      </c>
      <c r="AL109" t="b">
        <f>AND(DATA!N1276,"AAAAAGz8jyU=")</f>
        <v>1</v>
      </c>
      <c r="AM109">
        <f>IF(DATA!1277:1277,"AAAAAGz8jyY=",0)</f>
        <v>0</v>
      </c>
      <c r="AN109" t="e">
        <f>AND(DATA!A1277,"AAAAAGz8jyc=")</f>
        <v>#VALUE!</v>
      </c>
      <c r="AO109" t="e">
        <f>AND(DATA!B1277,"AAAAAGz8jyg=")</f>
        <v>#VALUE!</v>
      </c>
      <c r="AP109" t="e">
        <f>AND(DATA!C1277,"AAAAAGz8jyk=")</f>
        <v>#VALUE!</v>
      </c>
      <c r="AQ109" t="e">
        <f>AND(DATA!D1277,"AAAAAGz8jyo=")</f>
        <v>#VALUE!</v>
      </c>
      <c r="AR109" t="e">
        <f>AND(DATA!E1277,"AAAAAGz8jys=")</f>
        <v>#VALUE!</v>
      </c>
      <c r="AS109" t="e">
        <f>AND(DATA!F1277,"AAAAAGz8jyw=")</f>
        <v>#VALUE!</v>
      </c>
      <c r="AT109" t="e">
        <f>AND(DATA!G1277,"AAAAAGz8jy0=")</f>
        <v>#VALUE!</v>
      </c>
      <c r="AU109" t="e">
        <f>AND(DATA!H1277,"AAAAAGz8jy4=")</f>
        <v>#VALUE!</v>
      </c>
      <c r="AV109" t="e">
        <f>AND(DATA!I1277,"AAAAAGz8jy8=")</f>
        <v>#VALUE!</v>
      </c>
      <c r="AW109" t="e">
        <f>AND(DATA!J1277,"AAAAAGz8jzA=")</f>
        <v>#VALUE!</v>
      </c>
      <c r="AX109" t="e">
        <f>AND(DATA!K1277,"AAAAAGz8jzE=")</f>
        <v>#VALUE!</v>
      </c>
      <c r="AY109" t="b">
        <f>AND(DATA!L1277,"AAAAAGz8jzI=")</f>
        <v>1</v>
      </c>
      <c r="AZ109" t="e">
        <f>AND(DATA!M1277,"AAAAAGz8jzM=")</f>
        <v>#VALUE!</v>
      </c>
      <c r="BA109" t="b">
        <f>AND(DATA!N1277,"AAAAAGz8jzQ=")</f>
        <v>1</v>
      </c>
      <c r="BB109">
        <f>IF(DATA!1278:1278,"AAAAAGz8jzU=",0)</f>
        <v>0</v>
      </c>
      <c r="BC109" t="e">
        <f>AND(DATA!A1278,"AAAAAGz8jzY=")</f>
        <v>#VALUE!</v>
      </c>
      <c r="BD109" t="e">
        <f>AND(DATA!B1278,"AAAAAGz8jzc=")</f>
        <v>#VALUE!</v>
      </c>
      <c r="BE109" t="e">
        <f>AND(DATA!C1278,"AAAAAGz8jzg=")</f>
        <v>#VALUE!</v>
      </c>
      <c r="BF109" t="e">
        <f>AND(DATA!D1278,"AAAAAGz8jzk=")</f>
        <v>#VALUE!</v>
      </c>
      <c r="BG109" t="e">
        <f>AND(DATA!E1278,"AAAAAGz8jzo=")</f>
        <v>#VALUE!</v>
      </c>
      <c r="BH109" t="e">
        <f>AND(DATA!F1278,"AAAAAGz8jzs=")</f>
        <v>#VALUE!</v>
      </c>
      <c r="BI109" t="e">
        <f>AND(DATA!G1278,"AAAAAGz8jzw=")</f>
        <v>#VALUE!</v>
      </c>
      <c r="BJ109" t="e">
        <f>AND(DATA!H1278,"AAAAAGz8jz0=")</f>
        <v>#VALUE!</v>
      </c>
      <c r="BK109" t="e">
        <f>AND(DATA!I1278,"AAAAAGz8jz4=")</f>
        <v>#VALUE!</v>
      </c>
      <c r="BL109" t="e">
        <f>AND(DATA!J1278,"AAAAAGz8jz8=")</f>
        <v>#VALUE!</v>
      </c>
      <c r="BM109" t="e">
        <f>AND(DATA!K1278,"AAAAAGz8j0A=")</f>
        <v>#VALUE!</v>
      </c>
      <c r="BN109" t="b">
        <f>AND(DATA!L1278,"AAAAAGz8j0E=")</f>
        <v>1</v>
      </c>
      <c r="BO109" t="e">
        <f>AND(DATA!M1278,"AAAAAGz8j0I=")</f>
        <v>#VALUE!</v>
      </c>
      <c r="BP109" t="b">
        <f>AND(DATA!N1278,"AAAAAGz8j0M=")</f>
        <v>1</v>
      </c>
      <c r="BQ109">
        <f>IF(DATA!1279:1279,"AAAAAGz8j0Q=",0)</f>
        <v>0</v>
      </c>
      <c r="BR109" t="e">
        <f>AND(DATA!A1279,"AAAAAGz8j0U=")</f>
        <v>#VALUE!</v>
      </c>
      <c r="BS109" t="e">
        <f>AND(DATA!B1279,"AAAAAGz8j0Y=")</f>
        <v>#VALUE!</v>
      </c>
      <c r="BT109" t="e">
        <f>AND(DATA!C1279,"AAAAAGz8j0c=")</f>
        <v>#VALUE!</v>
      </c>
      <c r="BU109" t="e">
        <f>AND(DATA!D1279,"AAAAAGz8j0g=")</f>
        <v>#VALUE!</v>
      </c>
      <c r="BV109" t="e">
        <f>AND(DATA!E1279,"AAAAAGz8j0k=")</f>
        <v>#VALUE!</v>
      </c>
      <c r="BW109" t="e">
        <f>AND(DATA!F1279,"AAAAAGz8j0o=")</f>
        <v>#VALUE!</v>
      </c>
      <c r="BX109" t="e">
        <f>AND(DATA!G1279,"AAAAAGz8j0s=")</f>
        <v>#VALUE!</v>
      </c>
      <c r="BY109" t="e">
        <f>AND(DATA!H1279,"AAAAAGz8j0w=")</f>
        <v>#VALUE!</v>
      </c>
      <c r="BZ109" t="e">
        <f>AND(DATA!I1279,"AAAAAGz8j00=")</f>
        <v>#VALUE!</v>
      </c>
      <c r="CA109" t="e">
        <f>AND(DATA!J1279,"AAAAAGz8j04=")</f>
        <v>#VALUE!</v>
      </c>
      <c r="CB109" t="e">
        <f>AND(DATA!K1279,"AAAAAGz8j08=")</f>
        <v>#VALUE!</v>
      </c>
      <c r="CC109" t="b">
        <f>AND(DATA!L1279,"AAAAAGz8j1A=")</f>
        <v>1</v>
      </c>
      <c r="CD109" t="e">
        <f>AND(DATA!M1279,"AAAAAGz8j1E=")</f>
        <v>#VALUE!</v>
      </c>
      <c r="CE109" t="b">
        <f>AND(DATA!N1279,"AAAAAGz8j1I=")</f>
        <v>1</v>
      </c>
      <c r="CF109">
        <f>IF(DATA!1280:1280,"AAAAAGz8j1M=",0)</f>
        <v>0</v>
      </c>
      <c r="CG109" t="e">
        <f>AND(DATA!A1280,"AAAAAGz8j1Q=")</f>
        <v>#VALUE!</v>
      </c>
      <c r="CH109" t="e">
        <f>AND(DATA!B1280,"AAAAAGz8j1U=")</f>
        <v>#VALUE!</v>
      </c>
      <c r="CI109" t="e">
        <f>AND(DATA!C1280,"AAAAAGz8j1Y=")</f>
        <v>#VALUE!</v>
      </c>
      <c r="CJ109" t="e">
        <f>AND(DATA!D1280,"AAAAAGz8j1c=")</f>
        <v>#VALUE!</v>
      </c>
      <c r="CK109" t="e">
        <f>AND(DATA!E1280,"AAAAAGz8j1g=")</f>
        <v>#VALUE!</v>
      </c>
      <c r="CL109" t="e">
        <f>AND(DATA!F1280,"AAAAAGz8j1k=")</f>
        <v>#VALUE!</v>
      </c>
      <c r="CM109" t="e">
        <f>AND(DATA!G1280,"AAAAAGz8j1o=")</f>
        <v>#VALUE!</v>
      </c>
      <c r="CN109" t="e">
        <f>AND(DATA!H1280,"AAAAAGz8j1s=")</f>
        <v>#VALUE!</v>
      </c>
      <c r="CO109" t="e">
        <f>AND(DATA!I1280,"AAAAAGz8j1w=")</f>
        <v>#VALUE!</v>
      </c>
      <c r="CP109" t="e">
        <f>AND(DATA!J1280,"AAAAAGz8j10=")</f>
        <v>#VALUE!</v>
      </c>
      <c r="CQ109" t="e">
        <f>AND(DATA!K1280,"AAAAAGz8j14=")</f>
        <v>#VALUE!</v>
      </c>
      <c r="CR109" t="b">
        <f>AND(DATA!L1280,"AAAAAGz8j18=")</f>
        <v>1</v>
      </c>
      <c r="CS109" t="e">
        <f>AND(DATA!M1280,"AAAAAGz8j2A=")</f>
        <v>#VALUE!</v>
      </c>
      <c r="CT109" t="b">
        <f>AND(DATA!N1280,"AAAAAGz8j2E=")</f>
        <v>1</v>
      </c>
      <c r="CU109">
        <f>IF(DATA!1281:1281,"AAAAAGz8j2I=",0)</f>
        <v>0</v>
      </c>
      <c r="CV109" t="e">
        <f>AND(DATA!A1281,"AAAAAGz8j2M=")</f>
        <v>#VALUE!</v>
      </c>
      <c r="CW109" t="e">
        <f>AND(DATA!B1281,"AAAAAGz8j2Q=")</f>
        <v>#VALUE!</v>
      </c>
      <c r="CX109" t="e">
        <f>AND(DATA!C1281,"AAAAAGz8j2U=")</f>
        <v>#VALUE!</v>
      </c>
      <c r="CY109" t="e">
        <f>AND(DATA!D1281,"AAAAAGz8j2Y=")</f>
        <v>#VALUE!</v>
      </c>
      <c r="CZ109" t="e">
        <f>AND(DATA!E1281,"AAAAAGz8j2c=")</f>
        <v>#VALUE!</v>
      </c>
      <c r="DA109" t="e">
        <f>AND(DATA!F1281,"AAAAAGz8j2g=")</f>
        <v>#VALUE!</v>
      </c>
      <c r="DB109" t="e">
        <f>AND(DATA!G1281,"AAAAAGz8j2k=")</f>
        <v>#VALUE!</v>
      </c>
      <c r="DC109" t="e">
        <f>AND(DATA!H1281,"AAAAAGz8j2o=")</f>
        <v>#VALUE!</v>
      </c>
      <c r="DD109" t="e">
        <f>AND(DATA!I1281,"AAAAAGz8j2s=")</f>
        <v>#VALUE!</v>
      </c>
      <c r="DE109" t="e">
        <f>AND(DATA!J1281,"AAAAAGz8j2w=")</f>
        <v>#VALUE!</v>
      </c>
      <c r="DF109" t="e">
        <f>AND(DATA!K1281,"AAAAAGz8j20=")</f>
        <v>#VALUE!</v>
      </c>
      <c r="DG109" t="b">
        <f>AND(DATA!L1281,"AAAAAGz8j24=")</f>
        <v>1</v>
      </c>
      <c r="DH109" t="e">
        <f>AND(DATA!M1281,"AAAAAGz8j28=")</f>
        <v>#VALUE!</v>
      </c>
      <c r="DI109" t="b">
        <f>AND(DATA!N1281,"AAAAAGz8j3A=")</f>
        <v>1</v>
      </c>
      <c r="DJ109">
        <f>IF(DATA!1282:1282,"AAAAAGz8j3E=",0)</f>
        <v>0</v>
      </c>
      <c r="DK109" t="e">
        <f>AND(DATA!A1282,"AAAAAGz8j3I=")</f>
        <v>#VALUE!</v>
      </c>
      <c r="DL109" t="e">
        <f>AND(DATA!B1282,"AAAAAGz8j3M=")</f>
        <v>#VALUE!</v>
      </c>
      <c r="DM109" t="e">
        <f>AND(DATA!C1282,"AAAAAGz8j3Q=")</f>
        <v>#VALUE!</v>
      </c>
      <c r="DN109" t="e">
        <f>AND(DATA!D1282,"AAAAAGz8j3U=")</f>
        <v>#VALUE!</v>
      </c>
      <c r="DO109" t="e">
        <f>AND(DATA!E1282,"AAAAAGz8j3Y=")</f>
        <v>#VALUE!</v>
      </c>
      <c r="DP109" t="e">
        <f>AND(DATA!F1282,"AAAAAGz8j3c=")</f>
        <v>#VALUE!</v>
      </c>
      <c r="DQ109" t="e">
        <f>AND(DATA!G1282,"AAAAAGz8j3g=")</f>
        <v>#VALUE!</v>
      </c>
      <c r="DR109" t="e">
        <f>AND(DATA!H1282,"AAAAAGz8j3k=")</f>
        <v>#VALUE!</v>
      </c>
      <c r="DS109" t="e">
        <f>AND(DATA!I1282,"AAAAAGz8j3o=")</f>
        <v>#VALUE!</v>
      </c>
      <c r="DT109" t="e">
        <f>AND(DATA!J1282,"AAAAAGz8j3s=")</f>
        <v>#VALUE!</v>
      </c>
      <c r="DU109" t="e">
        <f>AND(DATA!K1282,"AAAAAGz8j3w=")</f>
        <v>#VALUE!</v>
      </c>
      <c r="DV109" t="b">
        <f>AND(DATA!L1282,"AAAAAGz8j30=")</f>
        <v>1</v>
      </c>
      <c r="DW109" t="e">
        <f>AND(DATA!M1282,"AAAAAGz8j34=")</f>
        <v>#VALUE!</v>
      </c>
      <c r="DX109" t="b">
        <f>AND(DATA!N1282,"AAAAAGz8j38=")</f>
        <v>1</v>
      </c>
      <c r="DY109">
        <f>IF(DATA!1283:1283,"AAAAAGz8j4A=",0)</f>
        <v>0</v>
      </c>
      <c r="DZ109" t="e">
        <f>AND(DATA!A1283,"AAAAAGz8j4E=")</f>
        <v>#VALUE!</v>
      </c>
      <c r="EA109" t="e">
        <f>AND(DATA!B1283,"AAAAAGz8j4I=")</f>
        <v>#VALUE!</v>
      </c>
      <c r="EB109" t="e">
        <f>AND(DATA!C1283,"AAAAAGz8j4M=")</f>
        <v>#VALUE!</v>
      </c>
      <c r="EC109" t="e">
        <f>AND(DATA!D1283,"AAAAAGz8j4Q=")</f>
        <v>#VALUE!</v>
      </c>
      <c r="ED109" t="e">
        <f>AND(DATA!E1283,"AAAAAGz8j4U=")</f>
        <v>#VALUE!</v>
      </c>
      <c r="EE109" t="e">
        <f>AND(DATA!F1283,"AAAAAGz8j4Y=")</f>
        <v>#VALUE!</v>
      </c>
      <c r="EF109" t="e">
        <f>AND(DATA!G1283,"AAAAAGz8j4c=")</f>
        <v>#VALUE!</v>
      </c>
      <c r="EG109" t="e">
        <f>AND(DATA!H1283,"AAAAAGz8j4g=")</f>
        <v>#VALUE!</v>
      </c>
      <c r="EH109" t="e">
        <f>AND(DATA!I1283,"AAAAAGz8j4k=")</f>
        <v>#VALUE!</v>
      </c>
      <c r="EI109" t="e">
        <f>AND(DATA!J1283,"AAAAAGz8j4o=")</f>
        <v>#VALUE!</v>
      </c>
      <c r="EJ109" t="e">
        <f>AND(DATA!K1283,"AAAAAGz8j4s=")</f>
        <v>#VALUE!</v>
      </c>
      <c r="EK109" t="b">
        <f>AND(DATA!L1283,"AAAAAGz8j4w=")</f>
        <v>1</v>
      </c>
      <c r="EL109" t="e">
        <f>AND(DATA!M1283,"AAAAAGz8j40=")</f>
        <v>#VALUE!</v>
      </c>
      <c r="EM109" t="b">
        <f>AND(DATA!N1283,"AAAAAGz8j44=")</f>
        <v>1</v>
      </c>
      <c r="EN109">
        <f>IF(DATA!1284:1284,"AAAAAGz8j48=",0)</f>
        <v>0</v>
      </c>
      <c r="EO109" t="e">
        <f>AND(DATA!A1284,"AAAAAGz8j5A=")</f>
        <v>#VALUE!</v>
      </c>
      <c r="EP109" t="e">
        <f>AND(DATA!B1284,"AAAAAGz8j5E=")</f>
        <v>#VALUE!</v>
      </c>
      <c r="EQ109" t="e">
        <f>AND(DATA!C1284,"AAAAAGz8j5I=")</f>
        <v>#VALUE!</v>
      </c>
      <c r="ER109" t="e">
        <f>AND(DATA!D1284,"AAAAAGz8j5M=")</f>
        <v>#VALUE!</v>
      </c>
      <c r="ES109" t="e">
        <f>AND(DATA!E1284,"AAAAAGz8j5Q=")</f>
        <v>#VALUE!</v>
      </c>
      <c r="ET109" t="e">
        <f>AND(DATA!F1284,"AAAAAGz8j5U=")</f>
        <v>#VALUE!</v>
      </c>
      <c r="EU109" t="e">
        <f>AND(DATA!G1284,"AAAAAGz8j5Y=")</f>
        <v>#VALUE!</v>
      </c>
      <c r="EV109" t="e">
        <f>AND(DATA!H1284,"AAAAAGz8j5c=")</f>
        <v>#VALUE!</v>
      </c>
      <c r="EW109" t="e">
        <f>AND(DATA!I1284,"AAAAAGz8j5g=")</f>
        <v>#VALUE!</v>
      </c>
      <c r="EX109" t="e">
        <f>AND(DATA!J1284,"AAAAAGz8j5k=")</f>
        <v>#VALUE!</v>
      </c>
      <c r="EY109" t="e">
        <f>AND(DATA!K1284,"AAAAAGz8j5o=")</f>
        <v>#VALUE!</v>
      </c>
      <c r="EZ109" t="b">
        <f>AND(DATA!L1284,"AAAAAGz8j5s=")</f>
        <v>1</v>
      </c>
      <c r="FA109" t="e">
        <f>AND(DATA!M1284,"AAAAAGz8j5w=")</f>
        <v>#VALUE!</v>
      </c>
      <c r="FB109" t="b">
        <f>AND(DATA!N1284,"AAAAAGz8j50=")</f>
        <v>1</v>
      </c>
      <c r="FC109">
        <f>IF(DATA!1285:1285,"AAAAAGz8j54=",0)</f>
        <v>0</v>
      </c>
      <c r="FD109" t="e">
        <f>AND(DATA!A1285,"AAAAAGz8j58=")</f>
        <v>#VALUE!</v>
      </c>
      <c r="FE109" t="e">
        <f>AND(DATA!B1285,"AAAAAGz8j6A=")</f>
        <v>#VALUE!</v>
      </c>
      <c r="FF109" t="e">
        <f>AND(DATA!C1285,"AAAAAGz8j6E=")</f>
        <v>#VALUE!</v>
      </c>
      <c r="FG109" t="e">
        <f>AND(DATA!D1285,"AAAAAGz8j6I=")</f>
        <v>#VALUE!</v>
      </c>
      <c r="FH109" t="e">
        <f>AND(DATA!E1285,"AAAAAGz8j6M=")</f>
        <v>#VALUE!</v>
      </c>
      <c r="FI109" t="e">
        <f>AND(DATA!F1285,"AAAAAGz8j6Q=")</f>
        <v>#VALUE!</v>
      </c>
      <c r="FJ109" t="e">
        <f>AND(DATA!G1285,"AAAAAGz8j6U=")</f>
        <v>#VALUE!</v>
      </c>
      <c r="FK109" t="e">
        <f>AND(DATA!H1285,"AAAAAGz8j6Y=")</f>
        <v>#VALUE!</v>
      </c>
      <c r="FL109" t="e">
        <f>AND(DATA!I1285,"AAAAAGz8j6c=")</f>
        <v>#VALUE!</v>
      </c>
      <c r="FM109" t="e">
        <f>AND(DATA!J1285,"AAAAAGz8j6g=")</f>
        <v>#VALUE!</v>
      </c>
      <c r="FN109" t="e">
        <f>AND(DATA!K1285,"AAAAAGz8j6k=")</f>
        <v>#VALUE!</v>
      </c>
      <c r="FO109" t="b">
        <f>AND(DATA!L1285,"AAAAAGz8j6o=")</f>
        <v>1</v>
      </c>
      <c r="FP109" t="e">
        <f>AND(DATA!M1285,"AAAAAGz8j6s=")</f>
        <v>#VALUE!</v>
      </c>
      <c r="FQ109" t="b">
        <f>AND(DATA!N1285,"AAAAAGz8j6w=")</f>
        <v>1</v>
      </c>
      <c r="FR109">
        <f>IF(DATA!1286:1286,"AAAAAGz8j60=",0)</f>
        <v>0</v>
      </c>
      <c r="FS109" t="e">
        <f>AND(DATA!A1286,"AAAAAGz8j64=")</f>
        <v>#VALUE!</v>
      </c>
      <c r="FT109" t="e">
        <f>AND(DATA!B1286,"AAAAAGz8j68=")</f>
        <v>#VALUE!</v>
      </c>
      <c r="FU109" t="e">
        <f>AND(DATA!C1286,"AAAAAGz8j7A=")</f>
        <v>#VALUE!</v>
      </c>
      <c r="FV109" t="e">
        <f>AND(DATA!D1286,"AAAAAGz8j7E=")</f>
        <v>#VALUE!</v>
      </c>
      <c r="FW109" t="e">
        <f>AND(DATA!E1286,"AAAAAGz8j7I=")</f>
        <v>#VALUE!</v>
      </c>
      <c r="FX109" t="e">
        <f>AND(DATA!F1286,"AAAAAGz8j7M=")</f>
        <v>#VALUE!</v>
      </c>
      <c r="FY109" t="e">
        <f>AND(DATA!G1286,"AAAAAGz8j7Q=")</f>
        <v>#VALUE!</v>
      </c>
      <c r="FZ109" t="e">
        <f>AND(DATA!H1286,"AAAAAGz8j7U=")</f>
        <v>#VALUE!</v>
      </c>
      <c r="GA109" t="e">
        <f>AND(DATA!I1286,"AAAAAGz8j7Y=")</f>
        <v>#VALUE!</v>
      </c>
      <c r="GB109" t="e">
        <f>AND(DATA!J1286,"AAAAAGz8j7c=")</f>
        <v>#VALUE!</v>
      </c>
      <c r="GC109" t="e">
        <f>AND(DATA!K1286,"AAAAAGz8j7g=")</f>
        <v>#VALUE!</v>
      </c>
      <c r="GD109" t="b">
        <f>AND(DATA!L1286,"AAAAAGz8j7k=")</f>
        <v>1</v>
      </c>
      <c r="GE109" t="e">
        <f>AND(DATA!M1286,"AAAAAGz8j7o=")</f>
        <v>#VALUE!</v>
      </c>
      <c r="GF109" t="b">
        <f>AND(DATA!N1286,"AAAAAGz8j7s=")</f>
        <v>1</v>
      </c>
      <c r="GG109">
        <f>IF(DATA!1287:1287,"AAAAAGz8j7w=",0)</f>
        <v>0</v>
      </c>
      <c r="GH109" t="e">
        <f>AND(DATA!A1287,"AAAAAGz8j70=")</f>
        <v>#VALUE!</v>
      </c>
      <c r="GI109" t="e">
        <f>AND(DATA!B1287,"AAAAAGz8j74=")</f>
        <v>#VALUE!</v>
      </c>
      <c r="GJ109" t="e">
        <f>AND(DATA!C1287,"AAAAAGz8j78=")</f>
        <v>#VALUE!</v>
      </c>
      <c r="GK109" t="e">
        <f>AND(DATA!D1287,"AAAAAGz8j8A=")</f>
        <v>#VALUE!</v>
      </c>
      <c r="GL109" t="e">
        <f>AND(DATA!E1287,"AAAAAGz8j8E=")</f>
        <v>#VALUE!</v>
      </c>
      <c r="GM109" t="e">
        <f>AND(DATA!F1287,"AAAAAGz8j8I=")</f>
        <v>#VALUE!</v>
      </c>
      <c r="GN109" t="e">
        <f>AND(DATA!G1287,"AAAAAGz8j8M=")</f>
        <v>#VALUE!</v>
      </c>
      <c r="GO109" t="e">
        <f>AND(DATA!H1287,"AAAAAGz8j8Q=")</f>
        <v>#VALUE!</v>
      </c>
      <c r="GP109" t="e">
        <f>AND(DATA!I1287,"AAAAAGz8j8U=")</f>
        <v>#VALUE!</v>
      </c>
      <c r="GQ109" t="e">
        <f>AND(DATA!J1287,"AAAAAGz8j8Y=")</f>
        <v>#VALUE!</v>
      </c>
      <c r="GR109" t="e">
        <f>AND(DATA!K1287,"AAAAAGz8j8c=")</f>
        <v>#VALUE!</v>
      </c>
      <c r="GS109" t="b">
        <f>AND(DATA!L1287,"AAAAAGz8j8g=")</f>
        <v>1</v>
      </c>
      <c r="GT109" t="e">
        <f>AND(DATA!M1287,"AAAAAGz8j8k=")</f>
        <v>#VALUE!</v>
      </c>
      <c r="GU109" t="b">
        <f>AND(DATA!N1287,"AAAAAGz8j8o=")</f>
        <v>1</v>
      </c>
      <c r="GV109">
        <f>IF(DATA!1288:1288,"AAAAAGz8j8s=",0)</f>
        <v>0</v>
      </c>
      <c r="GW109" t="e">
        <f>AND(DATA!A1288,"AAAAAGz8j8w=")</f>
        <v>#VALUE!</v>
      </c>
      <c r="GX109" t="e">
        <f>AND(DATA!B1288,"AAAAAGz8j80=")</f>
        <v>#VALUE!</v>
      </c>
      <c r="GY109" t="e">
        <f>AND(DATA!C1288,"AAAAAGz8j84=")</f>
        <v>#VALUE!</v>
      </c>
      <c r="GZ109" t="e">
        <f>AND(DATA!D1288,"AAAAAGz8j88=")</f>
        <v>#VALUE!</v>
      </c>
      <c r="HA109" t="e">
        <f>AND(DATA!E1288,"AAAAAGz8j9A=")</f>
        <v>#VALUE!</v>
      </c>
      <c r="HB109" t="e">
        <f>AND(DATA!F1288,"AAAAAGz8j9E=")</f>
        <v>#VALUE!</v>
      </c>
      <c r="HC109" t="e">
        <f>AND(DATA!G1288,"AAAAAGz8j9I=")</f>
        <v>#VALUE!</v>
      </c>
      <c r="HD109" t="e">
        <f>AND(DATA!H1288,"AAAAAGz8j9M=")</f>
        <v>#VALUE!</v>
      </c>
      <c r="HE109" t="e">
        <f>AND(DATA!I1288,"AAAAAGz8j9Q=")</f>
        <v>#VALUE!</v>
      </c>
      <c r="HF109" t="e">
        <f>AND(DATA!J1288,"AAAAAGz8j9U=")</f>
        <v>#VALUE!</v>
      </c>
      <c r="HG109" t="e">
        <f>AND(DATA!K1288,"AAAAAGz8j9Y=")</f>
        <v>#VALUE!</v>
      </c>
      <c r="HH109" t="b">
        <f>AND(DATA!L1288,"AAAAAGz8j9c=")</f>
        <v>1</v>
      </c>
      <c r="HI109" t="e">
        <f>AND(DATA!M1288,"AAAAAGz8j9g=")</f>
        <v>#VALUE!</v>
      </c>
      <c r="HJ109" t="b">
        <f>AND(DATA!N1288,"AAAAAGz8j9k=")</f>
        <v>1</v>
      </c>
      <c r="HK109">
        <f>IF(DATA!1289:1289,"AAAAAGz8j9o=",0)</f>
        <v>0</v>
      </c>
      <c r="HL109" t="e">
        <f>AND(DATA!A1289,"AAAAAGz8j9s=")</f>
        <v>#VALUE!</v>
      </c>
      <c r="HM109" t="e">
        <f>AND(DATA!B1289,"AAAAAGz8j9w=")</f>
        <v>#VALUE!</v>
      </c>
      <c r="HN109" t="e">
        <f>AND(DATA!C1289,"AAAAAGz8j90=")</f>
        <v>#VALUE!</v>
      </c>
      <c r="HO109" t="e">
        <f>AND(DATA!D1289,"AAAAAGz8j94=")</f>
        <v>#VALUE!</v>
      </c>
      <c r="HP109" t="e">
        <f>AND(DATA!E1289,"AAAAAGz8j98=")</f>
        <v>#VALUE!</v>
      </c>
      <c r="HQ109" t="e">
        <f>AND(DATA!F1289,"AAAAAGz8j+A=")</f>
        <v>#VALUE!</v>
      </c>
      <c r="HR109" t="e">
        <f>AND(DATA!G1289,"AAAAAGz8j+E=")</f>
        <v>#VALUE!</v>
      </c>
      <c r="HS109" t="e">
        <f>AND(DATA!H1289,"AAAAAGz8j+I=")</f>
        <v>#VALUE!</v>
      </c>
      <c r="HT109" t="e">
        <f>AND(DATA!I1289,"AAAAAGz8j+M=")</f>
        <v>#VALUE!</v>
      </c>
      <c r="HU109" t="e">
        <f>AND(DATA!J1289,"AAAAAGz8j+Q=")</f>
        <v>#VALUE!</v>
      </c>
      <c r="HV109" t="e">
        <f>AND(DATA!K1289,"AAAAAGz8j+U=")</f>
        <v>#VALUE!</v>
      </c>
      <c r="HW109" t="b">
        <f>AND(DATA!L1289,"AAAAAGz8j+Y=")</f>
        <v>1</v>
      </c>
      <c r="HX109" t="e">
        <f>AND(DATA!M1289,"AAAAAGz8j+c=")</f>
        <v>#VALUE!</v>
      </c>
      <c r="HY109" t="b">
        <f>AND(DATA!N1289,"AAAAAGz8j+g=")</f>
        <v>1</v>
      </c>
      <c r="HZ109">
        <f>IF(DATA!1290:1290,"AAAAAGz8j+k=",0)</f>
        <v>0</v>
      </c>
      <c r="IA109" t="e">
        <f>AND(DATA!A1290,"AAAAAGz8j+o=")</f>
        <v>#VALUE!</v>
      </c>
      <c r="IB109" t="e">
        <f>AND(DATA!B1290,"AAAAAGz8j+s=")</f>
        <v>#VALUE!</v>
      </c>
      <c r="IC109" t="e">
        <f>AND(DATA!C1290,"AAAAAGz8j+w=")</f>
        <v>#VALUE!</v>
      </c>
      <c r="ID109" t="e">
        <f>AND(DATA!D1290,"AAAAAGz8j+0=")</f>
        <v>#VALUE!</v>
      </c>
      <c r="IE109" t="e">
        <f>AND(DATA!E1290,"AAAAAGz8j+4=")</f>
        <v>#VALUE!</v>
      </c>
      <c r="IF109" t="e">
        <f>AND(DATA!F1290,"AAAAAGz8j+8=")</f>
        <v>#VALUE!</v>
      </c>
      <c r="IG109" t="e">
        <f>AND(DATA!G1290,"AAAAAGz8j/A=")</f>
        <v>#VALUE!</v>
      </c>
      <c r="IH109" t="e">
        <f>AND(DATA!H1290,"AAAAAGz8j/E=")</f>
        <v>#VALUE!</v>
      </c>
      <c r="II109" t="e">
        <f>AND(DATA!I1290,"AAAAAGz8j/I=")</f>
        <v>#VALUE!</v>
      </c>
      <c r="IJ109" t="e">
        <f>AND(DATA!J1290,"AAAAAGz8j/M=")</f>
        <v>#VALUE!</v>
      </c>
      <c r="IK109" t="e">
        <f>AND(DATA!K1290,"AAAAAGz8j/Q=")</f>
        <v>#VALUE!</v>
      </c>
      <c r="IL109" t="b">
        <f>AND(DATA!L1290,"AAAAAGz8j/U=")</f>
        <v>1</v>
      </c>
      <c r="IM109" t="e">
        <f>AND(DATA!M1290,"AAAAAGz8j/Y=")</f>
        <v>#VALUE!</v>
      </c>
      <c r="IN109" t="b">
        <f>AND(DATA!N1290,"AAAAAGz8j/c=")</f>
        <v>1</v>
      </c>
      <c r="IO109">
        <f>IF(DATA!1291:1291,"AAAAAGz8j/g=",0)</f>
        <v>0</v>
      </c>
      <c r="IP109" t="e">
        <f>AND(DATA!A1291,"AAAAAGz8j/k=")</f>
        <v>#VALUE!</v>
      </c>
      <c r="IQ109" t="e">
        <f>AND(DATA!B1291,"AAAAAGz8j/o=")</f>
        <v>#VALUE!</v>
      </c>
      <c r="IR109" t="e">
        <f>AND(DATA!C1291,"AAAAAGz8j/s=")</f>
        <v>#VALUE!</v>
      </c>
      <c r="IS109" t="e">
        <f>AND(DATA!D1291,"AAAAAGz8j/w=")</f>
        <v>#VALUE!</v>
      </c>
      <c r="IT109" t="e">
        <f>AND(DATA!E1291,"AAAAAGz8j/0=")</f>
        <v>#VALUE!</v>
      </c>
      <c r="IU109" t="e">
        <f>AND(DATA!F1291,"AAAAAGz8j/4=")</f>
        <v>#VALUE!</v>
      </c>
      <c r="IV109" t="e">
        <f>AND(DATA!G1291,"AAAAAGz8j/8=")</f>
        <v>#VALUE!</v>
      </c>
    </row>
    <row r="110" spans="1:256">
      <c r="A110" t="e">
        <f>AND(DATA!H1291,"AAAAADp/fwA=")</f>
        <v>#VALUE!</v>
      </c>
      <c r="B110" t="e">
        <f>AND(DATA!I1291,"AAAAADp/fwE=")</f>
        <v>#VALUE!</v>
      </c>
      <c r="C110" t="e">
        <f>AND(DATA!J1291,"AAAAADp/fwI=")</f>
        <v>#VALUE!</v>
      </c>
      <c r="D110" t="e">
        <f>AND(DATA!K1291,"AAAAADp/fwM=")</f>
        <v>#VALUE!</v>
      </c>
      <c r="E110" t="b">
        <f>AND(DATA!L1291,"AAAAADp/fwQ=")</f>
        <v>1</v>
      </c>
      <c r="F110" t="e">
        <f>AND(DATA!M1291,"AAAAADp/fwU=")</f>
        <v>#VALUE!</v>
      </c>
      <c r="G110" t="b">
        <f>AND(DATA!N1291,"AAAAADp/fwY=")</f>
        <v>1</v>
      </c>
      <c r="H110">
        <f>IF(DATA!1292:1292,"AAAAADp/fwc=",0)</f>
        <v>0</v>
      </c>
      <c r="I110" t="e">
        <f>AND(DATA!A1292,"AAAAADp/fwg=")</f>
        <v>#VALUE!</v>
      </c>
      <c r="J110" t="e">
        <f>AND(DATA!B1292,"AAAAADp/fwk=")</f>
        <v>#VALUE!</v>
      </c>
      <c r="K110" t="e">
        <f>AND(DATA!C1292,"AAAAADp/fwo=")</f>
        <v>#VALUE!</v>
      </c>
      <c r="L110" t="e">
        <f>AND(DATA!D1292,"AAAAADp/fws=")</f>
        <v>#VALUE!</v>
      </c>
      <c r="M110" t="e">
        <f>AND(DATA!E1292,"AAAAADp/fww=")</f>
        <v>#VALUE!</v>
      </c>
      <c r="N110" t="e">
        <f>AND(DATA!F1292,"AAAAADp/fw0=")</f>
        <v>#VALUE!</v>
      </c>
      <c r="O110" t="e">
        <f>AND(DATA!G1292,"AAAAADp/fw4=")</f>
        <v>#VALUE!</v>
      </c>
      <c r="P110" t="e">
        <f>AND(DATA!H1292,"AAAAADp/fw8=")</f>
        <v>#VALUE!</v>
      </c>
      <c r="Q110" t="e">
        <f>AND(DATA!I1292,"AAAAADp/fxA=")</f>
        <v>#VALUE!</v>
      </c>
      <c r="R110" t="e">
        <f>AND(DATA!J1292,"AAAAADp/fxE=")</f>
        <v>#VALUE!</v>
      </c>
      <c r="S110" t="e">
        <f>AND(DATA!K1292,"AAAAADp/fxI=")</f>
        <v>#VALUE!</v>
      </c>
      <c r="T110" t="b">
        <f>AND(DATA!L1292,"AAAAADp/fxM=")</f>
        <v>1</v>
      </c>
      <c r="U110" t="e">
        <f>AND(DATA!M1292,"AAAAADp/fxQ=")</f>
        <v>#VALUE!</v>
      </c>
      <c r="V110" t="b">
        <f>AND(DATA!N1292,"AAAAADp/fxU=")</f>
        <v>1</v>
      </c>
      <c r="W110">
        <f>IF(DATA!A:A,"AAAAADp/fxY=",0)</f>
        <v>0</v>
      </c>
      <c r="X110">
        <f>IF(DATA!B:B,"AAAAADp/fxc=",0)</f>
        <v>0</v>
      </c>
      <c r="Y110">
        <f>IF(DATA!C:C,"AAAAADp/fxg=",0)</f>
        <v>0</v>
      </c>
      <c r="Z110">
        <f>IF(DATA!D:D,"AAAAADp/fxk=",0)</f>
        <v>0</v>
      </c>
      <c r="AA110">
        <f>IF(DATA!E:E,"AAAAADp/fxo=",0)</f>
        <v>0</v>
      </c>
      <c r="AB110">
        <f>IF(DATA!F:F,"AAAAADp/fxs=",0)</f>
        <v>0</v>
      </c>
      <c r="AC110">
        <f>IF(DATA!G:G,"AAAAADp/fxw=",0)</f>
        <v>0</v>
      </c>
      <c r="AD110">
        <f>IF(DATA!H:H,"AAAAADp/fx0=",0)</f>
        <v>0</v>
      </c>
      <c r="AE110">
        <f>IF(DATA!I:I,"AAAAADp/fx4=",0)</f>
        <v>0</v>
      </c>
      <c r="AF110">
        <f>IF(DATA!J:J,"AAAAADp/fx8=",0)</f>
        <v>0</v>
      </c>
      <c r="AG110">
        <f>IF(DATA!K:K,"AAAAADp/fyA=",0)</f>
        <v>0</v>
      </c>
      <c r="AH110" t="str">
        <f>IF(DATA!L:L,"AAAAADp/fyE=",0)</f>
        <v>AAAAADp/fyE=</v>
      </c>
      <c r="AI110" t="str">
        <f>IF(DATA!M:M,"AAAAADp/fyI=",0)</f>
        <v>AAAAADp/fyI=</v>
      </c>
      <c r="AJ110" t="str">
        <f>IF(DATA!N:N,"AAAAADp/fyM=",0)</f>
        <v>AAAAADp/fyM=</v>
      </c>
      <c r="AK110">
        <f>IF(DATA!O:O,"AAAAADp/fyQ=",0)</f>
        <v>0</v>
      </c>
      <c r="AL110">
        <f>IF(DATA!P:P,"AAAAADp/fyU=",0)</f>
        <v>0</v>
      </c>
      <c r="AM110">
        <f>IF(DATA!Q:Q,"AAAAADp/fyY=",0)</f>
        <v>0</v>
      </c>
      <c r="AN110">
        <f>IF(PrintSheet!1:1,"AAAAADp/fyc=",0)</f>
        <v>0</v>
      </c>
      <c r="AO110" t="e">
        <f>AND(PrintSheet!A1,"AAAAADp/fyg=")</f>
        <v>#VALUE!</v>
      </c>
      <c r="AP110" t="e">
        <f>AND(PrintSheet!B1,"AAAAADp/fyk=")</f>
        <v>#VALUE!</v>
      </c>
      <c r="AQ110" t="e">
        <f>AND(PrintSheet!C1,"AAAAADp/fyo=")</f>
        <v>#VALUE!</v>
      </c>
      <c r="AR110" t="e">
        <f>AND(PrintSheet!D1,"AAAAADp/fys=")</f>
        <v>#VALUE!</v>
      </c>
      <c r="AS110" t="e">
        <f>AND(PrintSheet!E1,"AAAAADp/fyw=")</f>
        <v>#VALUE!</v>
      </c>
      <c r="AT110" t="e">
        <f>AND(PrintSheet!F1,"AAAAADp/fy0=")</f>
        <v>#VALUE!</v>
      </c>
      <c r="AU110" t="e">
        <f>AND(PrintSheet!G1,"AAAAADp/fy4=")</f>
        <v>#VALUE!</v>
      </c>
      <c r="AV110" t="e">
        <f>AND(PrintSheet!H1,"AAAAADp/fy8=")</f>
        <v>#VALUE!</v>
      </c>
      <c r="AW110" t="e">
        <f>AND(PrintSheet!I1,"AAAAADp/fzA=")</f>
        <v>#VALUE!</v>
      </c>
      <c r="AX110" t="e">
        <f>AND(PrintSheet!J1,"AAAAADp/fzE=")</f>
        <v>#VALUE!</v>
      </c>
      <c r="AY110" t="e">
        <f>AND(PrintSheet!K1,"AAAAADp/fzI=")</f>
        <v>#VALUE!</v>
      </c>
      <c r="AZ110" t="e">
        <f>AND(PrintSheet!L1,"AAAAADp/fzM=")</f>
        <v>#VALUE!</v>
      </c>
      <c r="BA110" t="e">
        <f>AND(PrintSheet!M1,"AAAAADp/fzQ=")</f>
        <v>#VALUE!</v>
      </c>
      <c r="BB110" t="e">
        <f>AND(PrintSheet!N1,"AAAAADp/fzU=")</f>
        <v>#VALUE!</v>
      </c>
      <c r="BC110" t="e">
        <f>AND(PrintSheet!O1,"AAAAADp/fzY=")</f>
        <v>#VALUE!</v>
      </c>
      <c r="BD110" t="e">
        <f>AND(PrintSheet!P1,"AAAAADp/fzc=")</f>
        <v>#VALUE!</v>
      </c>
      <c r="BE110" t="e">
        <f>AND(PrintSheet!Q1,"AAAAADp/fzg=")</f>
        <v>#VALUE!</v>
      </c>
      <c r="BF110" t="e">
        <f>AND(PrintSheet!R1,"AAAAADp/fzk=")</f>
        <v>#VALUE!</v>
      </c>
      <c r="BG110" t="e">
        <f>AND(PrintSheet!S1,"AAAAADp/fzo=")</f>
        <v>#VALUE!</v>
      </c>
      <c r="BH110" t="e">
        <f>AND(PrintSheet!T1,"AAAAADp/fzs=")</f>
        <v>#VALUE!</v>
      </c>
      <c r="BI110" t="e">
        <f>AND(PrintSheet!U1,"AAAAADp/fzw=")</f>
        <v>#VALUE!</v>
      </c>
      <c r="BJ110" t="e">
        <f>AND(PrintSheet!V1,"AAAAADp/fz0=")</f>
        <v>#VALUE!</v>
      </c>
      <c r="BK110" t="e">
        <f>AND(PrintSheet!W1,"AAAAADp/fz4=")</f>
        <v>#VALUE!</v>
      </c>
      <c r="BL110" t="e">
        <f>AND(PrintSheet!X1,"AAAAADp/fz8=")</f>
        <v>#VALUE!</v>
      </c>
      <c r="BM110" t="e">
        <f>AND(PrintSheet!Y1,"AAAAADp/f0A=")</f>
        <v>#VALUE!</v>
      </c>
      <c r="BN110" t="e">
        <f>AND(PrintSheet!Z1,"AAAAADp/f0E=")</f>
        <v>#VALUE!</v>
      </c>
      <c r="BO110" t="e">
        <f>AND(PrintSheet!AA1,"AAAAADp/f0I=")</f>
        <v>#VALUE!</v>
      </c>
      <c r="BP110" t="e">
        <f>AND(PrintSheet!AB1,"AAAAADp/f0M=")</f>
        <v>#VALUE!</v>
      </c>
      <c r="BQ110" t="e">
        <f>AND(PrintSheet!AC1,"AAAAADp/f0Q=")</f>
        <v>#VALUE!</v>
      </c>
      <c r="BR110" t="e">
        <f>AND(PrintSheet!AD1,"AAAAADp/f0U=")</f>
        <v>#VALUE!</v>
      </c>
      <c r="BS110" t="e">
        <f>AND(PrintSheet!AE1,"AAAAADp/f0Y=")</f>
        <v>#VALUE!</v>
      </c>
      <c r="BT110" t="e">
        <f>AND(PrintSheet!AF1,"AAAAADp/f0c=")</f>
        <v>#VALUE!</v>
      </c>
      <c r="BU110" t="e">
        <f>AND(PrintSheet!AG1,"AAAAADp/f0g=")</f>
        <v>#VALUE!</v>
      </c>
      <c r="BV110" t="e">
        <f>AND(PrintSheet!AH1,"AAAAADp/f0k=")</f>
        <v>#VALUE!</v>
      </c>
      <c r="BW110" t="e">
        <f>AND(PrintSheet!AI1,"AAAAADp/f0o=")</f>
        <v>#VALUE!</v>
      </c>
      <c r="BX110" t="e">
        <f>AND(PrintSheet!AJ1,"AAAAADp/f0s=")</f>
        <v>#VALUE!</v>
      </c>
      <c r="BY110">
        <f>IF(PrintSheet!2:2,"AAAAADp/f0w=",0)</f>
        <v>0</v>
      </c>
      <c r="BZ110" t="e">
        <f>AND(PrintSheet!A2,"AAAAADp/f00=")</f>
        <v>#VALUE!</v>
      </c>
      <c r="CA110" t="e">
        <f>AND(PrintSheet!B2,"AAAAADp/f04=")</f>
        <v>#VALUE!</v>
      </c>
      <c r="CB110" t="e">
        <f>AND(PrintSheet!C2,"AAAAADp/f08=")</f>
        <v>#VALUE!</v>
      </c>
      <c r="CC110" t="e">
        <f>AND(PrintSheet!D2,"AAAAADp/f1A=")</f>
        <v>#VALUE!</v>
      </c>
      <c r="CD110" t="e">
        <f>AND(PrintSheet!E2,"AAAAADp/f1E=")</f>
        <v>#VALUE!</v>
      </c>
      <c r="CE110" t="e">
        <f>AND(PrintSheet!F2,"AAAAADp/f1I=")</f>
        <v>#VALUE!</v>
      </c>
      <c r="CF110" t="e">
        <f>AND(PrintSheet!G2,"AAAAADp/f1M=")</f>
        <v>#VALUE!</v>
      </c>
      <c r="CG110" t="e">
        <f>AND(PrintSheet!H2,"AAAAADp/f1Q=")</f>
        <v>#VALUE!</v>
      </c>
      <c r="CH110" t="e">
        <f>AND(PrintSheet!I2,"AAAAADp/f1U=")</f>
        <v>#VALUE!</v>
      </c>
      <c r="CI110" t="e">
        <f>AND(PrintSheet!J2,"AAAAADp/f1Y=")</f>
        <v>#VALUE!</v>
      </c>
      <c r="CJ110" t="e">
        <f>AND(PrintSheet!K2,"AAAAADp/f1c=")</f>
        <v>#VALUE!</v>
      </c>
      <c r="CK110" t="e">
        <f>AND(PrintSheet!L2,"AAAAADp/f1g=")</f>
        <v>#VALUE!</v>
      </c>
      <c r="CL110" t="e">
        <f>AND(PrintSheet!M2,"AAAAADp/f1k=")</f>
        <v>#VALUE!</v>
      </c>
      <c r="CM110" t="e">
        <f>AND(PrintSheet!N2,"AAAAADp/f1o=")</f>
        <v>#VALUE!</v>
      </c>
      <c r="CN110" t="e">
        <f>AND(PrintSheet!O2,"AAAAADp/f1s=")</f>
        <v>#VALUE!</v>
      </c>
      <c r="CO110" t="e">
        <f>AND(PrintSheet!P2,"AAAAADp/f1w=")</f>
        <v>#VALUE!</v>
      </c>
      <c r="CP110" t="e">
        <f>AND(PrintSheet!Q2,"AAAAADp/f10=")</f>
        <v>#VALUE!</v>
      </c>
      <c r="CQ110" t="e">
        <f>AND(PrintSheet!R2,"AAAAADp/f14=")</f>
        <v>#VALUE!</v>
      </c>
      <c r="CR110" t="e">
        <f>AND(PrintSheet!S2,"AAAAADp/f18=")</f>
        <v>#VALUE!</v>
      </c>
      <c r="CS110" t="e">
        <f>AND(PrintSheet!T2,"AAAAADp/f2A=")</f>
        <v>#VALUE!</v>
      </c>
      <c r="CT110" t="e">
        <f>AND(PrintSheet!U2,"AAAAADp/f2E=")</f>
        <v>#VALUE!</v>
      </c>
      <c r="CU110" t="e">
        <f>AND(PrintSheet!V2,"AAAAADp/f2I=")</f>
        <v>#VALUE!</v>
      </c>
      <c r="CV110" t="e">
        <f>AND(PrintSheet!W2,"AAAAADp/f2M=")</f>
        <v>#VALUE!</v>
      </c>
      <c r="CW110" t="e">
        <f>AND(PrintSheet!X2,"AAAAADp/f2Q=")</f>
        <v>#VALUE!</v>
      </c>
      <c r="CX110" t="e">
        <f>AND(PrintSheet!Y2,"AAAAADp/f2U=")</f>
        <v>#VALUE!</v>
      </c>
      <c r="CY110" t="e">
        <f>AND(PrintSheet!Z2,"AAAAADp/f2Y=")</f>
        <v>#VALUE!</v>
      </c>
      <c r="CZ110" t="e">
        <f>AND(PrintSheet!AA2,"AAAAADp/f2c=")</f>
        <v>#VALUE!</v>
      </c>
      <c r="DA110" t="e">
        <f>AND(PrintSheet!AB2,"AAAAADp/f2g=")</f>
        <v>#VALUE!</v>
      </c>
      <c r="DB110" t="e">
        <f>AND(PrintSheet!AC2,"AAAAADp/f2k=")</f>
        <v>#VALUE!</v>
      </c>
      <c r="DC110" t="e">
        <f>AND(PrintSheet!AD2,"AAAAADp/f2o=")</f>
        <v>#VALUE!</v>
      </c>
      <c r="DD110" t="e">
        <f>AND(PrintSheet!AE2,"AAAAADp/f2s=")</f>
        <v>#VALUE!</v>
      </c>
      <c r="DE110" t="e">
        <f>AND(PrintSheet!AF2,"AAAAADp/f2w=")</f>
        <v>#VALUE!</v>
      </c>
      <c r="DF110" t="e">
        <f>AND(PrintSheet!AG2,"AAAAADp/f20=")</f>
        <v>#VALUE!</v>
      </c>
      <c r="DG110" t="e">
        <f>AND(PrintSheet!AH2,"AAAAADp/f24=")</f>
        <v>#VALUE!</v>
      </c>
      <c r="DH110" t="e">
        <f>AND(PrintSheet!AI2,"AAAAADp/f28=")</f>
        <v>#VALUE!</v>
      </c>
      <c r="DI110" t="e">
        <f>AND(PrintSheet!AJ2,"AAAAADp/f3A=")</f>
        <v>#VALUE!</v>
      </c>
      <c r="DJ110">
        <f>IF(PrintSheet!3:3,"AAAAADp/f3E=",0)</f>
        <v>0</v>
      </c>
      <c r="DK110">
        <f>IF(PrintSheet!4:4,"AAAAADp/f3I=",0)</f>
        <v>0</v>
      </c>
      <c r="DL110">
        <f>IF(PrintSheet!5:5,"AAAAADp/f3M=",0)</f>
        <v>0</v>
      </c>
      <c r="DM110">
        <f>IF(PrintSheet!6:6,"AAAAADp/f3Q=",0)</f>
        <v>0</v>
      </c>
      <c r="DN110">
        <f>IF(PrintSheet!7:7,"AAAAADp/f3U=",0)</f>
        <v>0</v>
      </c>
      <c r="DO110">
        <f>IF(PrintSheet!8:8,"AAAAADp/f3Y=",0)</f>
        <v>0</v>
      </c>
      <c r="DP110">
        <f>IF(PrintSheet!9:9,"AAAAADp/f3c=",0)</f>
        <v>0</v>
      </c>
      <c r="DQ110">
        <f>IF(PrintSheet!10:10,"AAAAADp/f3g=",0)</f>
        <v>0</v>
      </c>
      <c r="DR110">
        <f>IF(PrintSheet!11:11,"AAAAADp/f3k=",0)</f>
        <v>0</v>
      </c>
      <c r="DS110">
        <f>IF(PrintSheet!12:12,"AAAAADp/f3o=",0)</f>
        <v>0</v>
      </c>
      <c r="DT110">
        <f>IF(PrintSheet!13:13,"AAAAADp/f3s=",0)</f>
        <v>0</v>
      </c>
      <c r="DU110">
        <f>IF(PrintSheet!14:14,"AAAAADp/f3w=",0)</f>
        <v>0</v>
      </c>
      <c r="DV110">
        <f>IF(PrintSheet!15:15,"AAAAADp/f30=",0)</f>
        <v>0</v>
      </c>
      <c r="DW110">
        <f>IF(PrintSheet!16:16,"AAAAADp/f34=",0)</f>
        <v>0</v>
      </c>
      <c r="DX110">
        <f>IF(PrintSheet!17:17,"AAAAADp/f38=",0)</f>
        <v>0</v>
      </c>
      <c r="DY110">
        <f>IF(PrintSheet!18:18,"AAAAADp/f4A=",0)</f>
        <v>0</v>
      </c>
      <c r="DZ110">
        <f>IF(PrintSheet!19:19,"AAAAADp/f4E=",0)</f>
        <v>0</v>
      </c>
      <c r="EA110">
        <f>IF(PrintSheet!20:20,"AAAAADp/f4I=",0)</f>
        <v>0</v>
      </c>
      <c r="EB110">
        <f>IF(PrintSheet!21:21,"AAAAADp/f4M=",0)</f>
        <v>0</v>
      </c>
      <c r="EC110">
        <f>IF(PrintSheet!22:22,"AAAAADp/f4Q=",0)</f>
        <v>0</v>
      </c>
      <c r="ED110">
        <f>IF(PrintSheet!23:23,"AAAAADp/f4U=",0)</f>
        <v>0</v>
      </c>
      <c r="EE110">
        <f>IF(PrintSheet!24:24,"AAAAADp/f4Y=",0)</f>
        <v>0</v>
      </c>
      <c r="EF110">
        <f>IF(PrintSheet!25:25,"AAAAADp/f4c=",0)</f>
        <v>0</v>
      </c>
      <c r="EG110">
        <f>IF(PrintSheet!26:26,"AAAAADp/f4g=",0)</f>
        <v>0</v>
      </c>
      <c r="EH110">
        <f>IF(PrintSheet!27:27,"AAAAADp/f4k=",0)</f>
        <v>0</v>
      </c>
      <c r="EI110">
        <f>IF(PrintSheet!28:28,"AAAAADp/f4o=",0)</f>
        <v>0</v>
      </c>
      <c r="EJ110">
        <f>IF(PrintSheet!29:29,"AAAAADp/f4s=",0)</f>
        <v>0</v>
      </c>
      <c r="EK110">
        <f>IF(PrintSheet!30:30,"AAAAADp/f4w=",0)</f>
        <v>0</v>
      </c>
      <c r="EL110">
        <f>IF(PrintSheet!31:31,"AAAAADp/f40=",0)</f>
        <v>0</v>
      </c>
      <c r="EM110">
        <f>IF(PrintSheet!32:32,"AAAAADp/f44=",0)</f>
        <v>0</v>
      </c>
      <c r="EN110">
        <f>IF(PrintSheet!33:33,"AAAAADp/f48=",0)</f>
        <v>0</v>
      </c>
      <c r="EO110">
        <f>IF(PrintSheet!34:34,"AAAAADp/f5A=",0)</f>
        <v>0</v>
      </c>
      <c r="EP110">
        <f>IF(PrintSheet!35:35,"AAAAADp/f5E=",0)</f>
        <v>0</v>
      </c>
      <c r="EQ110">
        <f>IF(PrintSheet!36:36,"AAAAADp/f5I=",0)</f>
        <v>0</v>
      </c>
      <c r="ER110">
        <f>IF(PrintSheet!37:37,"AAAAADp/f5M=",0)</f>
        <v>0</v>
      </c>
      <c r="ES110">
        <f>IF(PrintSheet!38:38,"AAAAADp/f5Q=",0)</f>
        <v>0</v>
      </c>
      <c r="ET110">
        <f>IF(PrintSheet!39:39,"AAAAADp/f5U=",0)</f>
        <v>0</v>
      </c>
      <c r="EU110">
        <f>IF(PrintSheet!40:40,"AAAAADp/f5Y=",0)</f>
        <v>0</v>
      </c>
      <c r="EV110">
        <f>IF(PrintSheet!41:41,"AAAAADp/f5c=",0)</f>
        <v>0</v>
      </c>
      <c r="EW110">
        <f>IF(PrintSheet!42:42,"AAAAADp/f5g=",0)</f>
        <v>0</v>
      </c>
      <c r="EX110">
        <f>IF(PrintSheet!43:43,"AAAAADp/f5k=",0)</f>
        <v>0</v>
      </c>
      <c r="EY110">
        <f>IF(PrintSheet!44:44,"AAAAADp/f5o=",0)</f>
        <v>0</v>
      </c>
      <c r="EZ110">
        <f>IF(PrintSheet!45:45,"AAAAADp/f5s=",0)</f>
        <v>0</v>
      </c>
      <c r="FA110">
        <f>IF(PrintSheet!46:46,"AAAAADp/f5w=",0)</f>
        <v>0</v>
      </c>
      <c r="FB110">
        <f>IF(PrintSheet!47:47,"AAAAADp/f50=",0)</f>
        <v>0</v>
      </c>
      <c r="FC110">
        <f>IF(PrintSheet!48:48,"AAAAADp/f54=",0)</f>
        <v>0</v>
      </c>
      <c r="FD110">
        <f>IF(PrintSheet!49:49,"AAAAADp/f58=",0)</f>
        <v>0</v>
      </c>
      <c r="FE110">
        <f>IF(PrintSheet!50:50,"AAAAADp/f6A=",0)</f>
        <v>0</v>
      </c>
      <c r="FF110">
        <f>IF(PrintSheet!51:51,"AAAAADp/f6E=",0)</f>
        <v>0</v>
      </c>
      <c r="FG110">
        <f>IF(PrintSheet!52:52,"AAAAADp/f6I=",0)</f>
        <v>0</v>
      </c>
      <c r="FH110">
        <f>IF(PrintSheet!53:53,"AAAAADp/f6M=",0)</f>
        <v>0</v>
      </c>
      <c r="FI110">
        <f>IF(PrintSheet!54:54,"AAAAADp/f6Q=",0)</f>
        <v>0</v>
      </c>
      <c r="FJ110">
        <f>IF(PrintSheet!55:55,"AAAAADp/f6U=",0)</f>
        <v>0</v>
      </c>
      <c r="FK110">
        <f>IF(PrintSheet!56:56,"AAAAADp/f6Y=",0)</f>
        <v>0</v>
      </c>
      <c r="FL110">
        <f>IF(PrintSheet!57:57,"AAAAADp/f6c=",0)</f>
        <v>0</v>
      </c>
      <c r="FM110">
        <f>IF(PrintSheet!58:58,"AAAAADp/f6g=",0)</f>
        <v>0</v>
      </c>
      <c r="FN110">
        <f>IF(PrintSheet!59:59,"AAAAADp/f6k=",0)</f>
        <v>0</v>
      </c>
      <c r="FO110">
        <f>IF(PrintSheet!60:60,"AAAAADp/f6o=",0)</f>
        <v>0</v>
      </c>
      <c r="FP110">
        <f>IF(PrintSheet!61:61,"AAAAADp/f6s=",0)</f>
        <v>0</v>
      </c>
      <c r="FQ110">
        <f>IF(PrintSheet!62:62,"AAAAADp/f6w=",0)</f>
        <v>0</v>
      </c>
      <c r="FR110">
        <f>IF(PrintSheet!63:63,"AAAAADp/f60=",0)</f>
        <v>0</v>
      </c>
      <c r="FS110">
        <f>IF(PrintSheet!64:64,"AAAAADp/f64=",0)</f>
        <v>0</v>
      </c>
      <c r="FT110">
        <f>IF(PrintSheet!65:65,"AAAAADp/f68=",0)</f>
        <v>0</v>
      </c>
      <c r="FU110">
        <f>IF(PrintSheet!66:66,"AAAAADp/f7A=",0)</f>
        <v>0</v>
      </c>
      <c r="FV110">
        <f>IF(PrintSheet!67:67,"AAAAADp/f7E=",0)</f>
        <v>0</v>
      </c>
      <c r="FW110">
        <f>IF(PrintSheet!68:68,"AAAAADp/f7I=",0)</f>
        <v>0</v>
      </c>
      <c r="FX110">
        <f>IF(PrintSheet!69:69,"AAAAADp/f7M=",0)</f>
        <v>0</v>
      </c>
      <c r="FY110">
        <f>IF(PrintSheet!70:70,"AAAAADp/f7Q=",0)</f>
        <v>0</v>
      </c>
      <c r="FZ110">
        <f>IF(PrintSheet!71:71,"AAAAADp/f7U=",0)</f>
        <v>0</v>
      </c>
      <c r="GA110">
        <f>IF(PrintSheet!72:72,"AAAAADp/f7Y=",0)</f>
        <v>0</v>
      </c>
      <c r="GB110">
        <f>IF(PrintSheet!73:73,"AAAAADp/f7c=",0)</f>
        <v>0</v>
      </c>
      <c r="GC110">
        <f>IF(PrintSheet!74:74,"AAAAADp/f7g=",0)</f>
        <v>0</v>
      </c>
      <c r="GD110">
        <f>IF(PrintSheet!75:75,"AAAAADp/f7k=",0)</f>
        <v>0</v>
      </c>
      <c r="GE110">
        <f>IF(PrintSheet!76:76,"AAAAADp/f7o=",0)</f>
        <v>0</v>
      </c>
      <c r="GF110">
        <f>IF(PrintSheet!77:77,"AAAAADp/f7s=",0)</f>
        <v>0</v>
      </c>
      <c r="GG110">
        <f>IF(PrintSheet!78:78,"AAAAADp/f7w=",0)</f>
        <v>0</v>
      </c>
      <c r="GH110">
        <f>IF(PrintSheet!79:79,"AAAAADp/f70=",0)</f>
        <v>0</v>
      </c>
      <c r="GI110">
        <f>IF(PrintSheet!80:80,"AAAAADp/f74=",0)</f>
        <v>0</v>
      </c>
      <c r="GJ110">
        <f>IF(PrintSheet!81:81,"AAAAADp/f78=",0)</f>
        <v>0</v>
      </c>
      <c r="GK110">
        <f>IF(PrintSheet!82:82,"AAAAADp/f8A=",0)</f>
        <v>0</v>
      </c>
      <c r="GL110">
        <f>IF(PrintSheet!83:83,"AAAAADp/f8E=",0)</f>
        <v>0</v>
      </c>
      <c r="GM110">
        <f>IF(PrintSheet!84:84,"AAAAADp/f8I=",0)</f>
        <v>0</v>
      </c>
      <c r="GN110">
        <f>IF(PrintSheet!85:85,"AAAAADp/f8M=",0)</f>
        <v>0</v>
      </c>
      <c r="GO110">
        <f>IF(PrintSheet!86:86,"AAAAADp/f8Q=",0)</f>
        <v>0</v>
      </c>
      <c r="GP110">
        <f>IF(PrintSheet!87:87,"AAAAADp/f8U=",0)</f>
        <v>0</v>
      </c>
      <c r="GQ110">
        <f>IF(PrintSheet!88:88,"AAAAADp/f8Y=",0)</f>
        <v>0</v>
      </c>
      <c r="GR110">
        <f>IF(PrintSheet!89:89,"AAAAADp/f8c=",0)</f>
        <v>0</v>
      </c>
      <c r="GS110">
        <f>IF(PrintSheet!90:90,"AAAAADp/f8g=",0)</f>
        <v>0</v>
      </c>
      <c r="GT110">
        <f>IF(PrintSheet!91:91,"AAAAADp/f8k=",0)</f>
        <v>0</v>
      </c>
      <c r="GU110">
        <f>IF(PrintSheet!92:92,"AAAAADp/f8o=",0)</f>
        <v>0</v>
      </c>
      <c r="GV110">
        <f>IF(PrintSheet!93:93,"AAAAADp/f8s=",0)</f>
        <v>0</v>
      </c>
      <c r="GW110">
        <f>IF(PrintSheet!94:94,"AAAAADp/f8w=",0)</f>
        <v>0</v>
      </c>
      <c r="GX110">
        <f>IF(PrintSheet!95:95,"AAAAADp/f80=",0)</f>
        <v>0</v>
      </c>
      <c r="GY110">
        <f>IF(PrintSheet!96:96,"AAAAADp/f84=",0)</f>
        <v>0</v>
      </c>
      <c r="GZ110">
        <f>IF(PrintSheet!97:97,"AAAAADp/f88=",0)</f>
        <v>0</v>
      </c>
      <c r="HA110">
        <f>IF(PrintSheet!98:98,"AAAAADp/f9A=",0)</f>
        <v>0</v>
      </c>
      <c r="HB110">
        <f>IF(PrintSheet!99:99,"AAAAADp/f9E=",0)</f>
        <v>0</v>
      </c>
      <c r="HC110">
        <f>IF(PrintSheet!100:100,"AAAAADp/f9I=",0)</f>
        <v>0</v>
      </c>
      <c r="HD110">
        <f>IF(PrintSheet!101:101,"AAAAADp/f9M=",0)</f>
        <v>0</v>
      </c>
      <c r="HE110">
        <f>IF(PrintSheet!102:102,"AAAAADp/f9Q=",0)</f>
        <v>0</v>
      </c>
      <c r="HF110">
        <f>IF(PrintSheet!103:103,"AAAAADp/f9U=",0)</f>
        <v>0</v>
      </c>
      <c r="HG110">
        <f>IF(PrintSheet!104:104,"AAAAADp/f9Y=",0)</f>
        <v>0</v>
      </c>
      <c r="HH110">
        <f>IF(PrintSheet!105:105,"AAAAADp/f9c=",0)</f>
        <v>0</v>
      </c>
      <c r="HI110">
        <f>IF(PrintSheet!106:106,"AAAAADp/f9g=",0)</f>
        <v>0</v>
      </c>
      <c r="HJ110">
        <f>IF(PrintSheet!107:107,"AAAAADp/f9k=",0)</f>
        <v>0</v>
      </c>
      <c r="HK110">
        <f>IF(PrintSheet!108:108,"AAAAADp/f9o=",0)</f>
        <v>0</v>
      </c>
      <c r="HL110">
        <f>IF(PrintSheet!109:109,"AAAAADp/f9s=",0)</f>
        <v>0</v>
      </c>
      <c r="HM110">
        <f>IF(PrintSheet!110:110,"AAAAADp/f9w=",0)</f>
        <v>0</v>
      </c>
      <c r="HN110">
        <f>IF(PrintSheet!111:111,"AAAAADp/f90=",0)</f>
        <v>0</v>
      </c>
      <c r="HO110">
        <f>IF(PrintSheet!112:112,"AAAAADp/f94=",0)</f>
        <v>0</v>
      </c>
      <c r="HP110">
        <f>IF(PrintSheet!113:113,"AAAAADp/f98=",0)</f>
        <v>0</v>
      </c>
      <c r="HQ110">
        <f>IF(PrintSheet!114:114,"AAAAADp/f+A=",0)</f>
        <v>0</v>
      </c>
      <c r="HR110">
        <f>IF(PrintSheet!115:115,"AAAAADp/f+E=",0)</f>
        <v>0</v>
      </c>
      <c r="HS110">
        <f>IF(PrintSheet!116:116,"AAAAADp/f+I=",0)</f>
        <v>0</v>
      </c>
      <c r="HT110">
        <f>IF(PrintSheet!117:117,"AAAAADp/f+M=",0)</f>
        <v>0</v>
      </c>
      <c r="HU110">
        <f>IF(PrintSheet!118:118,"AAAAADp/f+Q=",0)</f>
        <v>0</v>
      </c>
      <c r="HV110">
        <f>IF(PrintSheet!119:119,"AAAAADp/f+U=",0)</f>
        <v>0</v>
      </c>
      <c r="HW110">
        <f>IF(PrintSheet!120:120,"AAAAADp/f+Y=",0)</f>
        <v>0</v>
      </c>
      <c r="HX110">
        <f>IF(PrintSheet!121:121,"AAAAADp/f+c=",0)</f>
        <v>0</v>
      </c>
      <c r="HY110">
        <f>IF(PrintSheet!122:122,"AAAAADp/f+g=",0)</f>
        <v>0</v>
      </c>
      <c r="HZ110">
        <f>IF(PrintSheet!123:123,"AAAAADp/f+k=",0)</f>
        <v>0</v>
      </c>
      <c r="IA110">
        <f>IF(PrintSheet!124:124,"AAAAADp/f+o=",0)</f>
        <v>0</v>
      </c>
      <c r="IB110">
        <f>IF(PrintSheet!125:125,"AAAAADp/f+s=",0)</f>
        <v>0</v>
      </c>
      <c r="IC110">
        <f>IF(PrintSheet!126:126,"AAAAADp/f+w=",0)</f>
        <v>0</v>
      </c>
      <c r="ID110">
        <f>IF(PrintSheet!127:127,"AAAAADp/f+0=",0)</f>
        <v>0</v>
      </c>
      <c r="IE110">
        <f>IF(PrintSheet!128:128,"AAAAADp/f+4=",0)</f>
        <v>0</v>
      </c>
      <c r="IF110">
        <f>IF(PrintSheet!129:129,"AAAAADp/f+8=",0)</f>
        <v>0</v>
      </c>
      <c r="IG110">
        <f>IF(PrintSheet!130:130,"AAAAADp/f/A=",0)</f>
        <v>0</v>
      </c>
      <c r="IH110">
        <f>IF(PrintSheet!131:131,"AAAAADp/f/E=",0)</f>
        <v>0</v>
      </c>
      <c r="II110">
        <f>IF(PrintSheet!132:132,"AAAAADp/f/I=",0)</f>
        <v>0</v>
      </c>
      <c r="IJ110">
        <f>IF(PrintSheet!133:133,"AAAAADp/f/M=",0)</f>
        <v>0</v>
      </c>
      <c r="IK110">
        <f>IF(PrintSheet!134:134,"AAAAADp/f/Q=",0)</f>
        <v>0</v>
      </c>
      <c r="IL110">
        <f>IF(PrintSheet!135:135,"AAAAADp/f/U=",0)</f>
        <v>0</v>
      </c>
      <c r="IM110">
        <f>IF(PrintSheet!136:136,"AAAAADp/f/Y=",0)</f>
        <v>0</v>
      </c>
      <c r="IN110">
        <f>IF(PrintSheet!137:137,"AAAAADp/f/c=",0)</f>
        <v>0</v>
      </c>
      <c r="IO110">
        <f>IF(PrintSheet!138:138,"AAAAADp/f/g=",0)</f>
        <v>0</v>
      </c>
      <c r="IP110">
        <f>IF(PrintSheet!139:139,"AAAAADp/f/k=",0)</f>
        <v>0</v>
      </c>
      <c r="IQ110">
        <f>IF(PrintSheet!140:140,"AAAAADp/f/o=",0)</f>
        <v>0</v>
      </c>
      <c r="IR110">
        <f>IF(PrintSheet!141:141,"AAAAADp/f/s=",0)</f>
        <v>0</v>
      </c>
      <c r="IS110">
        <f>IF(PrintSheet!142:142,"AAAAADp/f/w=",0)</f>
        <v>0</v>
      </c>
      <c r="IT110">
        <f>IF(PrintSheet!143:143,"AAAAADp/f/0=",0)</f>
        <v>0</v>
      </c>
      <c r="IU110">
        <f>IF(PrintSheet!144:144,"AAAAADp/f/4=",0)</f>
        <v>0</v>
      </c>
      <c r="IV110">
        <f>IF(PrintSheet!145:145,"AAAAADp/f/8=",0)</f>
        <v>0</v>
      </c>
    </row>
    <row r="111" spans="1:256">
      <c r="A111">
        <f>IF(PrintSheet!146:146,"AAAAAF/vHAA=",0)</f>
        <v>0</v>
      </c>
      <c r="B111">
        <f>IF(PrintSheet!147:147,"AAAAAF/vHAE=",0)</f>
        <v>0</v>
      </c>
      <c r="C111">
        <f>IF(PrintSheet!148:148,"AAAAAF/vHAI=",0)</f>
        <v>0</v>
      </c>
      <c r="D111">
        <f>IF(PrintSheet!149:149,"AAAAAF/vHAM=",0)</f>
        <v>0</v>
      </c>
      <c r="E111">
        <f>IF(PrintSheet!150:150,"AAAAAF/vHAQ=",0)</f>
        <v>0</v>
      </c>
      <c r="F111">
        <f>IF(PrintSheet!151:151,"AAAAAF/vHAU=",0)</f>
        <v>0</v>
      </c>
      <c r="G111">
        <f>IF(PrintSheet!152:152,"AAAAAF/vHAY=",0)</f>
        <v>0</v>
      </c>
      <c r="H111">
        <f>IF(PrintSheet!153:153,"AAAAAF/vHAc=",0)</f>
        <v>0</v>
      </c>
      <c r="I111">
        <f>IF(PrintSheet!154:154,"AAAAAF/vHAg=",0)</f>
        <v>0</v>
      </c>
      <c r="J111">
        <f>IF(PrintSheet!155:155,"AAAAAF/vHAk=",0)</f>
        <v>0</v>
      </c>
      <c r="K111">
        <f>IF(PrintSheet!156:156,"AAAAAF/vHAo=",0)</f>
        <v>0</v>
      </c>
      <c r="L111">
        <f>IF(PrintSheet!157:157,"AAAAAF/vHAs=",0)</f>
        <v>0</v>
      </c>
      <c r="M111">
        <f>IF(PrintSheet!158:158,"AAAAAF/vHAw=",0)</f>
        <v>0</v>
      </c>
      <c r="N111">
        <f>IF(PrintSheet!159:159,"AAAAAF/vHA0=",0)</f>
        <v>0</v>
      </c>
      <c r="O111">
        <f>IF(PrintSheet!160:160,"AAAAAF/vHA4=",0)</f>
        <v>0</v>
      </c>
      <c r="P111">
        <f>IF(PrintSheet!161:161,"AAAAAF/vHA8=",0)</f>
        <v>0</v>
      </c>
      <c r="Q111">
        <f>IF(PrintSheet!162:162,"AAAAAF/vHBA=",0)</f>
        <v>0</v>
      </c>
      <c r="R111">
        <f>IF(PrintSheet!163:163,"AAAAAF/vHBE=",0)</f>
        <v>0</v>
      </c>
      <c r="S111">
        <f>IF(PrintSheet!164:164,"AAAAAF/vHBI=",0)</f>
        <v>0</v>
      </c>
      <c r="T111">
        <f>IF(PrintSheet!165:165,"AAAAAF/vHBM=",0)</f>
        <v>0</v>
      </c>
      <c r="U111">
        <f>IF(PrintSheet!166:166,"AAAAAF/vHBQ=",0)</f>
        <v>0</v>
      </c>
      <c r="V111">
        <f>IF(PrintSheet!167:167,"AAAAAF/vHBU=",0)</f>
        <v>0</v>
      </c>
      <c r="W111">
        <f>IF(PrintSheet!168:168,"AAAAAF/vHBY=",0)</f>
        <v>0</v>
      </c>
      <c r="X111">
        <f>IF(PrintSheet!169:169,"AAAAAF/vHBc=",0)</f>
        <v>0</v>
      </c>
      <c r="Y111">
        <f>IF(PrintSheet!170:170,"AAAAAF/vHBg=",0)</f>
        <v>0</v>
      </c>
      <c r="Z111">
        <f>IF(PrintSheet!171:171,"AAAAAF/vHBk=",0)</f>
        <v>0</v>
      </c>
      <c r="AA111">
        <f>IF(PrintSheet!172:172,"AAAAAF/vHBo=",0)</f>
        <v>0</v>
      </c>
      <c r="AB111">
        <f>IF(PrintSheet!173:173,"AAAAAF/vHBs=",0)</f>
        <v>0</v>
      </c>
      <c r="AC111">
        <f>IF(PrintSheet!174:174,"AAAAAF/vHBw=",0)</f>
        <v>0</v>
      </c>
      <c r="AD111">
        <f>IF(PrintSheet!175:175,"AAAAAF/vHB0=",0)</f>
        <v>0</v>
      </c>
      <c r="AE111">
        <f>IF(PrintSheet!176:176,"AAAAAF/vHB4=",0)</f>
        <v>0</v>
      </c>
      <c r="AF111">
        <f>IF(PrintSheet!177:177,"AAAAAF/vHB8=",0)</f>
        <v>0</v>
      </c>
      <c r="AG111">
        <f>IF(PrintSheet!178:178,"AAAAAF/vHCA=",0)</f>
        <v>0</v>
      </c>
      <c r="AH111">
        <f>IF(PrintSheet!179:179,"AAAAAF/vHCE=",0)</f>
        <v>0</v>
      </c>
      <c r="AI111">
        <f>IF(PrintSheet!180:180,"AAAAAF/vHCI=",0)</f>
        <v>0</v>
      </c>
      <c r="AJ111">
        <f>IF(PrintSheet!181:181,"AAAAAF/vHCM=",0)</f>
        <v>0</v>
      </c>
      <c r="AK111">
        <f>IF(PrintSheet!182:182,"AAAAAF/vHCQ=",0)</f>
        <v>0</v>
      </c>
      <c r="AL111">
        <f>IF(PrintSheet!183:183,"AAAAAF/vHCU=",0)</f>
        <v>0</v>
      </c>
      <c r="AM111">
        <f>IF(PrintSheet!184:184,"AAAAAF/vHCY=",0)</f>
        <v>0</v>
      </c>
      <c r="AN111">
        <f>IF(PrintSheet!185:185,"AAAAAF/vHCc=",0)</f>
        <v>0</v>
      </c>
      <c r="AO111">
        <f>IF(PrintSheet!186:186,"AAAAAF/vHCg=",0)</f>
        <v>0</v>
      </c>
      <c r="AP111">
        <f>IF(PrintSheet!187:187,"AAAAAF/vHCk=",0)</f>
        <v>0</v>
      </c>
      <c r="AQ111">
        <f>IF(PrintSheet!188:188,"AAAAAF/vHCo=",0)</f>
        <v>0</v>
      </c>
      <c r="AR111">
        <f>IF(PrintSheet!189:189,"AAAAAF/vHCs=",0)</f>
        <v>0</v>
      </c>
      <c r="AS111">
        <f>IF(PrintSheet!190:190,"AAAAAF/vHCw=",0)</f>
        <v>0</v>
      </c>
      <c r="AT111">
        <f>IF(PrintSheet!191:191,"AAAAAF/vHC0=",0)</f>
        <v>0</v>
      </c>
      <c r="AU111">
        <f>IF(PrintSheet!192:192,"AAAAAF/vHC4=",0)</f>
        <v>0</v>
      </c>
      <c r="AV111">
        <f>IF(PrintSheet!193:193,"AAAAAF/vHC8=",0)</f>
        <v>0</v>
      </c>
      <c r="AW111">
        <f>IF(PrintSheet!194:194,"AAAAAF/vHDA=",0)</f>
        <v>0</v>
      </c>
      <c r="AX111">
        <f>IF(PrintSheet!195:195,"AAAAAF/vHDE=",0)</f>
        <v>0</v>
      </c>
      <c r="AY111">
        <f>IF(PrintSheet!196:196,"AAAAAF/vHDI=",0)</f>
        <v>0</v>
      </c>
      <c r="AZ111">
        <f>IF(PrintSheet!197:197,"AAAAAF/vHDM=",0)</f>
        <v>0</v>
      </c>
      <c r="BA111">
        <f>IF(PrintSheet!198:198,"AAAAAF/vHDQ=",0)</f>
        <v>0</v>
      </c>
      <c r="BB111">
        <f>IF(PrintSheet!199:199,"AAAAAF/vHDU=",0)</f>
        <v>0</v>
      </c>
      <c r="BC111">
        <f>IF(PrintSheet!200:200,"AAAAAF/vHDY=",0)</f>
        <v>0</v>
      </c>
      <c r="BD111">
        <f>IF(PrintSheet!201:201,"AAAAAF/vHDc=",0)</f>
        <v>0</v>
      </c>
      <c r="BE111">
        <f>IF(PrintSheet!202:202,"AAAAAF/vHDg=",0)</f>
        <v>0</v>
      </c>
      <c r="BF111">
        <f>IF(PrintSheet!203:203,"AAAAAF/vHDk=",0)</f>
        <v>0</v>
      </c>
      <c r="BG111">
        <f>IF(PrintSheet!204:204,"AAAAAF/vHDo=",0)</f>
        <v>0</v>
      </c>
      <c r="BH111">
        <f>IF(PrintSheet!205:205,"AAAAAF/vHDs=",0)</f>
        <v>0</v>
      </c>
      <c r="BI111">
        <f>IF(PrintSheet!206:206,"AAAAAF/vHDw=",0)</f>
        <v>0</v>
      </c>
      <c r="BJ111">
        <f>IF(PrintSheet!207:207,"AAAAAF/vHD0=",0)</f>
        <v>0</v>
      </c>
      <c r="BK111">
        <f>IF(PrintSheet!208:208,"AAAAAF/vHD4=",0)</f>
        <v>0</v>
      </c>
      <c r="BL111">
        <f>IF(PrintSheet!209:209,"AAAAAF/vHD8=",0)</f>
        <v>0</v>
      </c>
      <c r="BM111">
        <f>IF(PrintSheet!210:210,"AAAAAF/vHEA=",0)</f>
        <v>0</v>
      </c>
      <c r="BN111">
        <f>IF(PrintSheet!211:211,"AAAAAF/vHEE=",0)</f>
        <v>0</v>
      </c>
      <c r="BO111">
        <f>IF(PrintSheet!212:212,"AAAAAF/vHEI=",0)</f>
        <v>0</v>
      </c>
      <c r="BP111">
        <f>IF(PrintSheet!213:213,"AAAAAF/vHEM=",0)</f>
        <v>0</v>
      </c>
      <c r="BQ111">
        <f>IF(PrintSheet!214:214,"AAAAAF/vHEQ=",0)</f>
        <v>0</v>
      </c>
      <c r="BR111">
        <f>IF(PrintSheet!215:215,"AAAAAF/vHEU=",0)</f>
        <v>0</v>
      </c>
      <c r="BS111">
        <f>IF(PrintSheet!216:216,"AAAAAF/vHEY=",0)</f>
        <v>0</v>
      </c>
      <c r="BT111">
        <f>IF(PrintSheet!217:217,"AAAAAF/vHEc=",0)</f>
        <v>0</v>
      </c>
      <c r="BU111">
        <f>IF(PrintSheet!218:218,"AAAAAF/vHEg=",0)</f>
        <v>0</v>
      </c>
      <c r="BV111">
        <f>IF(PrintSheet!219:219,"AAAAAF/vHEk=",0)</f>
        <v>0</v>
      </c>
      <c r="BW111">
        <f>IF(PrintSheet!220:220,"AAAAAF/vHEo=",0)</f>
        <v>0</v>
      </c>
      <c r="BX111">
        <f>IF(PrintSheet!221:221,"AAAAAF/vHEs=",0)</f>
        <v>0</v>
      </c>
      <c r="BY111">
        <f>IF(PrintSheet!222:222,"AAAAAF/vHEw=",0)</f>
        <v>0</v>
      </c>
      <c r="BZ111">
        <f>IF(PrintSheet!223:223,"AAAAAF/vHE0=",0)</f>
        <v>0</v>
      </c>
      <c r="CA111">
        <f>IF(PrintSheet!224:224,"AAAAAF/vHE4=",0)</f>
        <v>0</v>
      </c>
      <c r="CB111">
        <f>IF(PrintSheet!225:225,"AAAAAF/vHE8=",0)</f>
        <v>0</v>
      </c>
      <c r="CC111">
        <f>IF(PrintSheet!226:226,"AAAAAF/vHFA=",0)</f>
        <v>0</v>
      </c>
      <c r="CD111">
        <f>IF(PrintSheet!227:227,"AAAAAF/vHFE=",0)</f>
        <v>0</v>
      </c>
      <c r="CE111">
        <f>IF(PrintSheet!228:228,"AAAAAF/vHFI=",0)</f>
        <v>0</v>
      </c>
      <c r="CF111">
        <f>IF(PrintSheet!229:229,"AAAAAF/vHFM=",0)</f>
        <v>0</v>
      </c>
      <c r="CG111">
        <f>IF(PrintSheet!230:230,"AAAAAF/vHFQ=",0)</f>
        <v>0</v>
      </c>
      <c r="CH111">
        <f>IF(PrintSheet!231:231,"AAAAAF/vHFU=",0)</f>
        <v>0</v>
      </c>
      <c r="CI111">
        <f>IF(PrintSheet!232:232,"AAAAAF/vHFY=",0)</f>
        <v>0</v>
      </c>
      <c r="CJ111">
        <f>IF(PrintSheet!233:233,"AAAAAF/vHFc=",0)</f>
        <v>0</v>
      </c>
      <c r="CK111">
        <f>IF(PrintSheet!234:234,"AAAAAF/vHFg=",0)</f>
        <v>0</v>
      </c>
      <c r="CL111">
        <f>IF(PrintSheet!235:235,"AAAAAF/vHFk=",0)</f>
        <v>0</v>
      </c>
      <c r="CM111">
        <f>IF(PrintSheet!236:236,"AAAAAF/vHFo=",0)</f>
        <v>0</v>
      </c>
      <c r="CN111">
        <f>IF(PrintSheet!237:237,"AAAAAF/vHFs=",0)</f>
        <v>0</v>
      </c>
      <c r="CO111">
        <f>IF(PrintSheet!238:238,"AAAAAF/vHFw=",0)</f>
        <v>0</v>
      </c>
      <c r="CP111">
        <f>IF(PrintSheet!239:239,"AAAAAF/vHF0=",0)</f>
        <v>0</v>
      </c>
      <c r="CQ111">
        <f>IF(PrintSheet!240:240,"AAAAAF/vHF4=",0)</f>
        <v>0</v>
      </c>
      <c r="CR111">
        <f>IF(PrintSheet!241:241,"AAAAAF/vHF8=",0)</f>
        <v>0</v>
      </c>
      <c r="CS111">
        <f>IF(PrintSheet!242:242,"AAAAAF/vHGA=",0)</f>
        <v>0</v>
      </c>
      <c r="CT111">
        <f>IF(PrintSheet!243:243,"AAAAAF/vHGE=",0)</f>
        <v>0</v>
      </c>
      <c r="CU111">
        <f>IF(PrintSheet!244:244,"AAAAAF/vHGI=",0)</f>
        <v>0</v>
      </c>
      <c r="CV111">
        <f>IF(PrintSheet!245:245,"AAAAAF/vHGM=",0)</f>
        <v>0</v>
      </c>
      <c r="CW111">
        <f>IF(PrintSheet!246:246,"AAAAAF/vHGQ=",0)</f>
        <v>0</v>
      </c>
      <c r="CX111">
        <f>IF(PrintSheet!247:247,"AAAAAF/vHGU=",0)</f>
        <v>0</v>
      </c>
      <c r="CY111">
        <f>IF(PrintSheet!248:248,"AAAAAF/vHGY=",0)</f>
        <v>0</v>
      </c>
      <c r="CZ111">
        <f>IF(PrintSheet!249:249,"AAAAAF/vHGc=",0)</f>
        <v>0</v>
      </c>
      <c r="DA111">
        <f>IF(PrintSheet!250:250,"AAAAAF/vHGg=",0)</f>
        <v>0</v>
      </c>
      <c r="DB111">
        <f>IF(PrintSheet!251:251,"AAAAAF/vHGk=",0)</f>
        <v>0</v>
      </c>
      <c r="DC111">
        <f>IF(PrintSheet!252:252,"AAAAAF/vHGo=",0)</f>
        <v>0</v>
      </c>
      <c r="DD111">
        <f>IF(PrintSheet!253:253,"AAAAAF/vHGs=",0)</f>
        <v>0</v>
      </c>
      <c r="DE111">
        <f>IF(PrintSheet!254:254,"AAAAAF/vHGw=",0)</f>
        <v>0</v>
      </c>
      <c r="DF111">
        <f>IF(PrintSheet!255:255,"AAAAAF/vHG0=",0)</f>
        <v>0</v>
      </c>
      <c r="DG111">
        <f>IF(PrintSheet!256:256,"AAAAAF/vHG4=",0)</f>
        <v>0</v>
      </c>
      <c r="DH111">
        <f>IF(PrintSheet!257:257,"AAAAAF/vHG8=",0)</f>
        <v>0</v>
      </c>
      <c r="DI111">
        <f>IF(PrintSheet!258:258,"AAAAAF/vHHA=",0)</f>
        <v>0</v>
      </c>
      <c r="DJ111">
        <f>IF(PrintSheet!259:259,"AAAAAF/vHHE=",0)</f>
        <v>0</v>
      </c>
      <c r="DK111">
        <f>IF(PrintSheet!260:260,"AAAAAF/vHHI=",0)</f>
        <v>0</v>
      </c>
      <c r="DL111">
        <f>IF(PrintSheet!261:261,"AAAAAF/vHHM=",0)</f>
        <v>0</v>
      </c>
      <c r="DM111">
        <f>IF(PrintSheet!262:262,"AAAAAF/vHHQ=",0)</f>
        <v>0</v>
      </c>
      <c r="DN111">
        <f>IF(PrintSheet!263:263,"AAAAAF/vHHU=",0)</f>
        <v>0</v>
      </c>
      <c r="DO111">
        <f>IF(PrintSheet!264:264,"AAAAAF/vHHY=",0)</f>
        <v>0</v>
      </c>
      <c r="DP111">
        <f>IF(PrintSheet!265:265,"AAAAAF/vHHc=",0)</f>
        <v>0</v>
      </c>
      <c r="DQ111">
        <f>IF(PrintSheet!266:266,"AAAAAF/vHHg=",0)</f>
        <v>0</v>
      </c>
      <c r="DR111">
        <f>IF(PrintSheet!267:267,"AAAAAF/vHHk=",0)</f>
        <v>0</v>
      </c>
      <c r="DS111">
        <f>IF(PrintSheet!268:268,"AAAAAF/vHHo=",0)</f>
        <v>0</v>
      </c>
      <c r="DT111">
        <f>IF(PrintSheet!269:269,"AAAAAF/vHHs=",0)</f>
        <v>0</v>
      </c>
      <c r="DU111">
        <f>IF(PrintSheet!270:270,"AAAAAF/vHHw=",0)</f>
        <v>0</v>
      </c>
      <c r="DV111">
        <f>IF(PrintSheet!271:271,"AAAAAF/vHH0=",0)</f>
        <v>0</v>
      </c>
      <c r="DW111">
        <f>IF(PrintSheet!272:272,"AAAAAF/vHH4=",0)</f>
        <v>0</v>
      </c>
      <c r="DX111">
        <f>IF(PrintSheet!273:273,"AAAAAF/vHH8=",0)</f>
        <v>0</v>
      </c>
      <c r="DY111">
        <f>IF(PrintSheet!274:274,"AAAAAF/vHIA=",0)</f>
        <v>0</v>
      </c>
      <c r="DZ111">
        <f>IF(PrintSheet!275:275,"AAAAAF/vHIE=",0)</f>
        <v>0</v>
      </c>
      <c r="EA111">
        <f>IF(PrintSheet!276:276,"AAAAAF/vHII=",0)</f>
        <v>0</v>
      </c>
      <c r="EB111">
        <f>IF(PrintSheet!277:277,"AAAAAF/vHIM=",0)</f>
        <v>0</v>
      </c>
      <c r="EC111">
        <f>IF(PrintSheet!278:278,"AAAAAF/vHIQ=",0)</f>
        <v>0</v>
      </c>
      <c r="ED111">
        <f>IF(PrintSheet!279:279,"AAAAAF/vHIU=",0)</f>
        <v>0</v>
      </c>
      <c r="EE111">
        <f>IF(PrintSheet!280:280,"AAAAAF/vHIY=",0)</f>
        <v>0</v>
      </c>
      <c r="EF111">
        <f>IF(PrintSheet!281:281,"AAAAAF/vHIc=",0)</f>
        <v>0</v>
      </c>
      <c r="EG111">
        <f>IF(PrintSheet!282:282,"AAAAAF/vHIg=",0)</f>
        <v>0</v>
      </c>
      <c r="EH111">
        <f>IF(PrintSheet!283:283,"AAAAAF/vHIk=",0)</f>
        <v>0</v>
      </c>
      <c r="EI111">
        <f>IF(PrintSheet!284:284,"AAAAAF/vHIo=",0)</f>
        <v>0</v>
      </c>
      <c r="EJ111">
        <f>IF(PrintSheet!285:285,"AAAAAF/vHIs=",0)</f>
        <v>0</v>
      </c>
      <c r="EK111">
        <f>IF(PrintSheet!286:286,"AAAAAF/vHIw=",0)</f>
        <v>0</v>
      </c>
      <c r="EL111">
        <f>IF(PrintSheet!287:287,"AAAAAF/vHI0=",0)</f>
        <v>0</v>
      </c>
      <c r="EM111">
        <f>IF(PrintSheet!288:288,"AAAAAF/vHI4=",0)</f>
        <v>0</v>
      </c>
      <c r="EN111">
        <f>IF(PrintSheet!289:289,"AAAAAF/vHI8=",0)</f>
        <v>0</v>
      </c>
      <c r="EO111">
        <f>IF(PrintSheet!290:290,"AAAAAF/vHJA=",0)</f>
        <v>0</v>
      </c>
      <c r="EP111">
        <f>IF(PrintSheet!291:291,"AAAAAF/vHJE=",0)</f>
        <v>0</v>
      </c>
      <c r="EQ111">
        <f>IF(PrintSheet!292:292,"AAAAAF/vHJI=",0)</f>
        <v>0</v>
      </c>
      <c r="ER111">
        <f>IF(PrintSheet!293:293,"AAAAAF/vHJM=",0)</f>
        <v>0</v>
      </c>
      <c r="ES111">
        <f>IF(PrintSheet!294:294,"AAAAAF/vHJQ=",0)</f>
        <v>0</v>
      </c>
      <c r="ET111">
        <f>IF(PrintSheet!295:295,"AAAAAF/vHJU=",0)</f>
        <v>0</v>
      </c>
      <c r="EU111">
        <f>IF(PrintSheet!296:296,"AAAAAF/vHJY=",0)</f>
        <v>0</v>
      </c>
      <c r="EV111">
        <f>IF(PrintSheet!297:297,"AAAAAF/vHJc=",0)</f>
        <v>0</v>
      </c>
      <c r="EW111">
        <f>IF(PrintSheet!298:298,"AAAAAF/vHJg=",0)</f>
        <v>0</v>
      </c>
      <c r="EX111">
        <f>IF(PrintSheet!299:299,"AAAAAF/vHJk=",0)</f>
        <v>0</v>
      </c>
      <c r="EY111">
        <f>IF(PrintSheet!300:300,"AAAAAF/vHJo=",0)</f>
        <v>0</v>
      </c>
      <c r="EZ111">
        <f>IF(PrintSheet!301:301,"AAAAAF/vHJs=",0)</f>
        <v>0</v>
      </c>
      <c r="FA111">
        <f>IF(PrintSheet!302:302,"AAAAAF/vHJw=",0)</f>
        <v>0</v>
      </c>
      <c r="FB111">
        <f>IF(PrintSheet!303:303,"AAAAAF/vHJ0=",0)</f>
        <v>0</v>
      </c>
      <c r="FC111">
        <f>IF(PrintSheet!304:304,"AAAAAF/vHJ4=",0)</f>
        <v>0</v>
      </c>
      <c r="FD111">
        <f>IF(PrintSheet!305:305,"AAAAAF/vHJ8=",0)</f>
        <v>0</v>
      </c>
      <c r="FE111">
        <f>IF(PrintSheet!306:306,"AAAAAF/vHKA=",0)</f>
        <v>0</v>
      </c>
      <c r="FF111">
        <f>IF(PrintSheet!307:307,"AAAAAF/vHKE=",0)</f>
        <v>0</v>
      </c>
      <c r="FG111">
        <f>IF(PrintSheet!308:308,"AAAAAF/vHKI=",0)</f>
        <v>0</v>
      </c>
      <c r="FH111">
        <f>IF(PrintSheet!309:309,"AAAAAF/vHKM=",0)</f>
        <v>0</v>
      </c>
      <c r="FI111">
        <f>IF(PrintSheet!310:310,"AAAAAF/vHKQ=",0)</f>
        <v>0</v>
      </c>
      <c r="FJ111">
        <f>IF(PrintSheet!311:311,"AAAAAF/vHKU=",0)</f>
        <v>0</v>
      </c>
      <c r="FK111">
        <f>IF(PrintSheet!312:312,"AAAAAF/vHKY=",0)</f>
        <v>0</v>
      </c>
      <c r="FL111">
        <f>IF(PrintSheet!313:313,"AAAAAF/vHKc=",0)</f>
        <v>0</v>
      </c>
      <c r="FM111">
        <f>IF(PrintSheet!314:314,"AAAAAF/vHKg=",0)</f>
        <v>0</v>
      </c>
      <c r="FN111">
        <f>IF(PrintSheet!315:315,"AAAAAF/vHKk=",0)</f>
        <v>0</v>
      </c>
      <c r="FO111">
        <f>IF(PrintSheet!316:316,"AAAAAF/vHKo=",0)</f>
        <v>0</v>
      </c>
      <c r="FP111">
        <f>IF(PrintSheet!317:317,"AAAAAF/vHKs=",0)</f>
        <v>0</v>
      </c>
      <c r="FQ111">
        <f>IF(PrintSheet!318:318,"AAAAAF/vHKw=",0)</f>
        <v>0</v>
      </c>
      <c r="FR111">
        <f>IF(PrintSheet!319:319,"AAAAAF/vHK0=",0)</f>
        <v>0</v>
      </c>
      <c r="FS111">
        <f>IF(PrintSheet!320:320,"AAAAAF/vHK4=",0)</f>
        <v>0</v>
      </c>
      <c r="FT111">
        <f>IF(PrintSheet!321:321,"AAAAAF/vHK8=",0)</f>
        <v>0</v>
      </c>
      <c r="FU111">
        <f>IF(PrintSheet!322:322,"AAAAAF/vHLA=",0)</f>
        <v>0</v>
      </c>
      <c r="FV111">
        <f>IF(PrintSheet!323:323,"AAAAAF/vHLE=",0)</f>
        <v>0</v>
      </c>
      <c r="FW111">
        <f>IF(PrintSheet!324:324,"AAAAAF/vHLI=",0)</f>
        <v>0</v>
      </c>
      <c r="FX111">
        <f>IF(PrintSheet!325:325,"AAAAAF/vHLM=",0)</f>
        <v>0</v>
      </c>
      <c r="FY111">
        <f>IF(PrintSheet!326:326,"AAAAAF/vHLQ=",0)</f>
        <v>0</v>
      </c>
      <c r="FZ111">
        <f>IF(PrintSheet!327:327,"AAAAAF/vHLU=",0)</f>
        <v>0</v>
      </c>
      <c r="GA111">
        <f>IF(PrintSheet!328:328,"AAAAAF/vHLY=",0)</f>
        <v>0</v>
      </c>
      <c r="GB111">
        <f>IF(PrintSheet!329:329,"AAAAAF/vHLc=",0)</f>
        <v>0</v>
      </c>
      <c r="GC111">
        <f>IF(PrintSheet!330:330,"AAAAAF/vHLg=",0)</f>
        <v>0</v>
      </c>
      <c r="GD111">
        <f>IF(PrintSheet!331:331,"AAAAAF/vHLk=",0)</f>
        <v>0</v>
      </c>
      <c r="GE111">
        <f>IF(PrintSheet!332:332,"AAAAAF/vHLo=",0)</f>
        <v>0</v>
      </c>
      <c r="GF111">
        <f>IF(PrintSheet!333:333,"AAAAAF/vHLs=",0)</f>
        <v>0</v>
      </c>
      <c r="GG111">
        <f>IF(PrintSheet!334:334,"AAAAAF/vHLw=",0)</f>
        <v>0</v>
      </c>
      <c r="GH111">
        <f>IF(PrintSheet!335:335,"AAAAAF/vHL0=",0)</f>
        <v>0</v>
      </c>
      <c r="GI111">
        <f>IF(PrintSheet!336:336,"AAAAAF/vHL4=",0)</f>
        <v>0</v>
      </c>
      <c r="GJ111">
        <f>IF(PrintSheet!337:337,"AAAAAF/vHL8=",0)</f>
        <v>0</v>
      </c>
      <c r="GK111">
        <f>IF(PrintSheet!338:338,"AAAAAF/vHMA=",0)</f>
        <v>0</v>
      </c>
      <c r="GL111">
        <f>IF(PrintSheet!339:339,"AAAAAF/vHME=",0)</f>
        <v>0</v>
      </c>
      <c r="GM111">
        <f>IF(PrintSheet!340:340,"AAAAAF/vHMI=",0)</f>
        <v>0</v>
      </c>
      <c r="GN111">
        <f>IF(PrintSheet!341:341,"AAAAAF/vHMM=",0)</f>
        <v>0</v>
      </c>
      <c r="GO111">
        <f>IF(PrintSheet!342:342,"AAAAAF/vHMQ=",0)</f>
        <v>0</v>
      </c>
      <c r="GP111">
        <f>IF(PrintSheet!343:343,"AAAAAF/vHMU=",0)</f>
        <v>0</v>
      </c>
      <c r="GQ111">
        <f>IF(PrintSheet!344:344,"AAAAAF/vHMY=",0)</f>
        <v>0</v>
      </c>
      <c r="GR111">
        <f>IF(PrintSheet!345:345,"AAAAAF/vHMc=",0)</f>
        <v>0</v>
      </c>
      <c r="GS111">
        <f>IF(PrintSheet!346:346,"AAAAAF/vHMg=",0)</f>
        <v>0</v>
      </c>
      <c r="GT111">
        <f>IF(PrintSheet!347:347,"AAAAAF/vHMk=",0)</f>
        <v>0</v>
      </c>
      <c r="GU111">
        <f>IF(PrintSheet!348:348,"AAAAAF/vHMo=",0)</f>
        <v>0</v>
      </c>
      <c r="GV111">
        <f>IF(PrintSheet!349:349,"AAAAAF/vHMs=",0)</f>
        <v>0</v>
      </c>
      <c r="GW111">
        <f>IF(PrintSheet!350:350,"AAAAAF/vHMw=",0)</f>
        <v>0</v>
      </c>
      <c r="GX111">
        <f>IF(PrintSheet!351:351,"AAAAAF/vHM0=",0)</f>
        <v>0</v>
      </c>
      <c r="GY111">
        <f>IF(PrintSheet!352:352,"AAAAAF/vHM4=",0)</f>
        <v>0</v>
      </c>
      <c r="GZ111">
        <f>IF(PrintSheet!353:353,"AAAAAF/vHM8=",0)</f>
        <v>0</v>
      </c>
      <c r="HA111">
        <f>IF(PrintSheet!354:354,"AAAAAF/vHNA=",0)</f>
        <v>0</v>
      </c>
      <c r="HB111">
        <f>IF(PrintSheet!355:355,"AAAAAF/vHNE=",0)</f>
        <v>0</v>
      </c>
      <c r="HC111">
        <f>IF(PrintSheet!356:356,"AAAAAF/vHNI=",0)</f>
        <v>0</v>
      </c>
      <c r="HD111">
        <f>IF(PrintSheet!357:357,"AAAAAF/vHNM=",0)</f>
        <v>0</v>
      </c>
      <c r="HE111">
        <f>IF(PrintSheet!358:358,"AAAAAF/vHNQ=",0)</f>
        <v>0</v>
      </c>
      <c r="HF111">
        <f>IF(PrintSheet!359:359,"AAAAAF/vHNU=",0)</f>
        <v>0</v>
      </c>
      <c r="HG111">
        <f>IF(PrintSheet!360:360,"AAAAAF/vHNY=",0)</f>
        <v>0</v>
      </c>
      <c r="HH111">
        <f>IF(PrintSheet!361:361,"AAAAAF/vHNc=",0)</f>
        <v>0</v>
      </c>
      <c r="HI111">
        <f>IF(PrintSheet!362:362,"AAAAAF/vHNg=",0)</f>
        <v>0</v>
      </c>
      <c r="HJ111">
        <f>IF(PrintSheet!363:363,"AAAAAF/vHNk=",0)</f>
        <v>0</v>
      </c>
      <c r="HK111">
        <f>IF(PrintSheet!364:364,"AAAAAF/vHNo=",0)</f>
        <v>0</v>
      </c>
      <c r="HL111">
        <f>IF(PrintSheet!365:365,"AAAAAF/vHNs=",0)</f>
        <v>0</v>
      </c>
      <c r="HM111">
        <f>IF(PrintSheet!366:366,"AAAAAF/vHNw=",0)</f>
        <v>0</v>
      </c>
      <c r="HN111">
        <f>IF(PrintSheet!367:367,"AAAAAF/vHN0=",0)</f>
        <v>0</v>
      </c>
      <c r="HO111">
        <f>IF(PrintSheet!368:368,"AAAAAF/vHN4=",0)</f>
        <v>0</v>
      </c>
      <c r="HP111">
        <f>IF(PrintSheet!369:369,"AAAAAF/vHN8=",0)</f>
        <v>0</v>
      </c>
      <c r="HQ111">
        <f>IF(PrintSheet!370:370,"AAAAAF/vHOA=",0)</f>
        <v>0</v>
      </c>
      <c r="HR111">
        <f>IF(PrintSheet!371:371,"AAAAAF/vHOE=",0)</f>
        <v>0</v>
      </c>
      <c r="HS111">
        <f>IF(PrintSheet!372:372,"AAAAAF/vHOI=",0)</f>
        <v>0</v>
      </c>
      <c r="HT111">
        <f>IF(PrintSheet!373:373,"AAAAAF/vHOM=",0)</f>
        <v>0</v>
      </c>
      <c r="HU111">
        <f>IF(PrintSheet!374:374,"AAAAAF/vHOQ=",0)</f>
        <v>0</v>
      </c>
      <c r="HV111">
        <f>IF(PrintSheet!375:375,"AAAAAF/vHOU=",0)</f>
        <v>0</v>
      </c>
      <c r="HW111">
        <f>IF(PrintSheet!376:376,"AAAAAF/vHOY=",0)</f>
        <v>0</v>
      </c>
      <c r="HX111">
        <f>IF(PrintSheet!377:377,"AAAAAF/vHOc=",0)</f>
        <v>0</v>
      </c>
      <c r="HY111">
        <f>IF(PrintSheet!378:378,"AAAAAF/vHOg=",0)</f>
        <v>0</v>
      </c>
      <c r="HZ111">
        <f>IF(PrintSheet!379:379,"AAAAAF/vHOk=",0)</f>
        <v>0</v>
      </c>
      <c r="IA111">
        <f>IF(PrintSheet!380:380,"AAAAAF/vHOo=",0)</f>
        <v>0</v>
      </c>
      <c r="IB111">
        <f>IF(PrintSheet!381:381,"AAAAAF/vHOs=",0)</f>
        <v>0</v>
      </c>
      <c r="IC111">
        <f>IF(PrintSheet!382:382,"AAAAAF/vHOw=",0)</f>
        <v>0</v>
      </c>
      <c r="ID111">
        <f>IF(PrintSheet!383:383,"AAAAAF/vHO0=",0)</f>
        <v>0</v>
      </c>
      <c r="IE111">
        <f>IF(PrintSheet!384:384,"AAAAAF/vHO4=",0)</f>
        <v>0</v>
      </c>
      <c r="IF111">
        <f>IF(PrintSheet!385:385,"AAAAAF/vHO8=",0)</f>
        <v>0</v>
      </c>
      <c r="IG111">
        <f>IF(PrintSheet!386:386,"AAAAAF/vHPA=",0)</f>
        <v>0</v>
      </c>
      <c r="IH111">
        <f>IF(PrintSheet!387:387,"AAAAAF/vHPE=",0)</f>
        <v>0</v>
      </c>
      <c r="II111">
        <f>IF(PrintSheet!388:388,"AAAAAF/vHPI=",0)</f>
        <v>0</v>
      </c>
      <c r="IJ111">
        <f>IF(PrintSheet!389:389,"AAAAAF/vHPM=",0)</f>
        <v>0</v>
      </c>
      <c r="IK111">
        <f>IF(PrintSheet!390:390,"AAAAAF/vHPQ=",0)</f>
        <v>0</v>
      </c>
      <c r="IL111">
        <f>IF(PrintSheet!391:391,"AAAAAF/vHPU=",0)</f>
        <v>0</v>
      </c>
      <c r="IM111">
        <f>IF(PrintSheet!392:392,"AAAAAF/vHPY=",0)</f>
        <v>0</v>
      </c>
      <c r="IN111">
        <f>IF(PrintSheet!393:393,"AAAAAF/vHPc=",0)</f>
        <v>0</v>
      </c>
      <c r="IO111">
        <f>IF(PrintSheet!394:394,"AAAAAF/vHPg=",0)</f>
        <v>0</v>
      </c>
      <c r="IP111">
        <f>IF(PrintSheet!395:395,"AAAAAF/vHPk=",0)</f>
        <v>0</v>
      </c>
      <c r="IQ111">
        <f>IF(PrintSheet!396:396,"AAAAAF/vHPo=",0)</f>
        <v>0</v>
      </c>
      <c r="IR111">
        <f>IF(PrintSheet!397:397,"AAAAAF/vHPs=",0)</f>
        <v>0</v>
      </c>
      <c r="IS111">
        <f>IF(PrintSheet!398:398,"AAAAAF/vHPw=",0)</f>
        <v>0</v>
      </c>
      <c r="IT111">
        <f>IF(PrintSheet!399:399,"AAAAAF/vHP0=",0)</f>
        <v>0</v>
      </c>
      <c r="IU111">
        <f>IF(PrintSheet!400:400,"AAAAAF/vHP4=",0)</f>
        <v>0</v>
      </c>
      <c r="IV111">
        <f>IF(PrintSheet!401:401,"AAAAAF/vHP8=",0)</f>
        <v>0</v>
      </c>
    </row>
    <row r="112" spans="1:256">
      <c r="A112">
        <f>IF(PrintSheet!402:402,"AAAAAHem/QA=",0)</f>
        <v>0</v>
      </c>
      <c r="B112">
        <f>IF(PrintSheet!403:403,"AAAAAHem/QE=",0)</f>
        <v>0</v>
      </c>
      <c r="C112">
        <f>IF(PrintSheet!404:404,"AAAAAHem/QI=",0)</f>
        <v>0</v>
      </c>
      <c r="D112">
        <f>IF(PrintSheet!405:405,"AAAAAHem/QM=",0)</f>
        <v>0</v>
      </c>
      <c r="E112">
        <f>IF(PrintSheet!406:406,"AAAAAHem/QQ=",0)</f>
        <v>0</v>
      </c>
      <c r="F112">
        <f>IF(PrintSheet!407:407,"AAAAAHem/QU=",0)</f>
        <v>0</v>
      </c>
      <c r="G112">
        <f>IF(PrintSheet!408:408,"AAAAAHem/QY=",0)</f>
        <v>0</v>
      </c>
      <c r="H112">
        <f>IF(PrintSheet!409:409,"AAAAAHem/Qc=",0)</f>
        <v>0</v>
      </c>
      <c r="I112">
        <f>IF(PrintSheet!410:410,"AAAAAHem/Qg=",0)</f>
        <v>0</v>
      </c>
      <c r="J112">
        <f>IF(PrintSheet!411:411,"AAAAAHem/Qk=",0)</f>
        <v>0</v>
      </c>
      <c r="K112">
        <f>IF(PrintSheet!412:412,"AAAAAHem/Qo=",0)</f>
        <v>0</v>
      </c>
      <c r="L112">
        <f>IF(PrintSheet!413:413,"AAAAAHem/Qs=",0)</f>
        <v>0</v>
      </c>
      <c r="M112">
        <f>IF(PrintSheet!414:414,"AAAAAHem/Qw=",0)</f>
        <v>0</v>
      </c>
      <c r="N112">
        <f>IF(PrintSheet!415:415,"AAAAAHem/Q0=",0)</f>
        <v>0</v>
      </c>
      <c r="O112">
        <f>IF(PrintSheet!416:416,"AAAAAHem/Q4=",0)</f>
        <v>0</v>
      </c>
      <c r="P112">
        <f>IF(PrintSheet!417:417,"AAAAAHem/Q8=",0)</f>
        <v>0</v>
      </c>
      <c r="Q112">
        <f>IF(PrintSheet!418:418,"AAAAAHem/RA=",0)</f>
        <v>0</v>
      </c>
      <c r="R112">
        <f>IF(PrintSheet!419:419,"AAAAAHem/RE=",0)</f>
        <v>0</v>
      </c>
      <c r="S112">
        <f>IF(PrintSheet!420:420,"AAAAAHem/RI=",0)</f>
        <v>0</v>
      </c>
      <c r="T112">
        <f>IF(PrintSheet!421:421,"AAAAAHem/RM=",0)</f>
        <v>0</v>
      </c>
      <c r="U112">
        <f>IF(PrintSheet!422:422,"AAAAAHem/RQ=",0)</f>
        <v>0</v>
      </c>
      <c r="V112">
        <f>IF(PrintSheet!423:423,"AAAAAHem/RU=",0)</f>
        <v>0</v>
      </c>
      <c r="W112">
        <f>IF(PrintSheet!424:424,"AAAAAHem/RY=",0)</f>
        <v>0</v>
      </c>
      <c r="X112">
        <f>IF(PrintSheet!425:425,"AAAAAHem/Rc=",0)</f>
        <v>0</v>
      </c>
      <c r="Y112">
        <f>IF(PrintSheet!426:426,"AAAAAHem/Rg=",0)</f>
        <v>0</v>
      </c>
      <c r="Z112">
        <f>IF(PrintSheet!427:427,"AAAAAHem/Rk=",0)</f>
        <v>0</v>
      </c>
      <c r="AA112">
        <f>IF(PrintSheet!428:428,"AAAAAHem/Ro=",0)</f>
        <v>0</v>
      </c>
      <c r="AB112">
        <f>IF(PrintSheet!429:429,"AAAAAHem/Rs=",0)</f>
        <v>0</v>
      </c>
      <c r="AC112">
        <f>IF(PrintSheet!430:430,"AAAAAHem/Rw=",0)</f>
        <v>0</v>
      </c>
      <c r="AD112">
        <f>IF(PrintSheet!431:431,"AAAAAHem/R0=",0)</f>
        <v>0</v>
      </c>
      <c r="AE112">
        <f>IF(PrintSheet!432:432,"AAAAAHem/R4=",0)</f>
        <v>0</v>
      </c>
      <c r="AF112">
        <f>IF(PrintSheet!433:433,"AAAAAHem/R8=",0)</f>
        <v>0</v>
      </c>
      <c r="AG112">
        <f>IF(PrintSheet!434:434,"AAAAAHem/SA=",0)</f>
        <v>0</v>
      </c>
      <c r="AH112">
        <f>IF(PrintSheet!435:435,"AAAAAHem/SE=",0)</f>
        <v>0</v>
      </c>
      <c r="AI112">
        <f>IF(PrintSheet!436:436,"AAAAAHem/SI=",0)</f>
        <v>0</v>
      </c>
      <c r="AJ112">
        <f>IF(PrintSheet!437:437,"AAAAAHem/SM=",0)</f>
        <v>0</v>
      </c>
      <c r="AK112">
        <f>IF(PrintSheet!438:438,"AAAAAHem/SQ=",0)</f>
        <v>0</v>
      </c>
      <c r="AL112">
        <f>IF(PrintSheet!439:439,"AAAAAHem/SU=",0)</f>
        <v>0</v>
      </c>
      <c r="AM112">
        <f>IF(PrintSheet!440:440,"AAAAAHem/SY=",0)</f>
        <v>0</v>
      </c>
      <c r="AN112">
        <f>IF(PrintSheet!441:441,"AAAAAHem/Sc=",0)</f>
        <v>0</v>
      </c>
      <c r="AO112">
        <f>IF(PrintSheet!442:442,"AAAAAHem/Sg=",0)</f>
        <v>0</v>
      </c>
      <c r="AP112">
        <f>IF(PrintSheet!443:443,"AAAAAHem/Sk=",0)</f>
        <v>0</v>
      </c>
      <c r="AQ112">
        <f>IF(PrintSheet!444:444,"AAAAAHem/So=",0)</f>
        <v>0</v>
      </c>
      <c r="AR112">
        <f>IF(PrintSheet!445:445,"AAAAAHem/Ss=",0)</f>
        <v>0</v>
      </c>
      <c r="AS112">
        <f>IF(PrintSheet!446:446,"AAAAAHem/Sw=",0)</f>
        <v>0</v>
      </c>
      <c r="AT112">
        <f>IF(PrintSheet!447:447,"AAAAAHem/S0=",0)</f>
        <v>0</v>
      </c>
      <c r="AU112">
        <f>IF(PrintSheet!448:448,"AAAAAHem/S4=",0)</f>
        <v>0</v>
      </c>
      <c r="AV112">
        <f>IF(PrintSheet!449:449,"AAAAAHem/S8=",0)</f>
        <v>0</v>
      </c>
      <c r="AW112">
        <f>IF(PrintSheet!450:450,"AAAAAHem/TA=",0)</f>
        <v>0</v>
      </c>
      <c r="AX112">
        <f>IF(PrintSheet!451:451,"AAAAAHem/TE=",0)</f>
        <v>0</v>
      </c>
      <c r="AY112">
        <f>IF(PrintSheet!452:452,"AAAAAHem/TI=",0)</f>
        <v>0</v>
      </c>
      <c r="AZ112">
        <f>IF(PrintSheet!453:453,"AAAAAHem/TM=",0)</f>
        <v>0</v>
      </c>
      <c r="BA112">
        <f>IF(PrintSheet!454:454,"AAAAAHem/TQ=",0)</f>
        <v>0</v>
      </c>
      <c r="BB112">
        <f>IF(PrintSheet!455:455,"AAAAAHem/TU=",0)</f>
        <v>0</v>
      </c>
      <c r="BC112">
        <f>IF(PrintSheet!456:456,"AAAAAHem/TY=",0)</f>
        <v>0</v>
      </c>
      <c r="BD112">
        <f>IF(PrintSheet!457:457,"AAAAAHem/Tc=",0)</f>
        <v>0</v>
      </c>
      <c r="BE112">
        <f>IF(PrintSheet!458:458,"AAAAAHem/Tg=",0)</f>
        <v>0</v>
      </c>
      <c r="BF112">
        <f>IF(PrintSheet!459:459,"AAAAAHem/Tk=",0)</f>
        <v>0</v>
      </c>
      <c r="BG112">
        <f>IF(PrintSheet!460:460,"AAAAAHem/To=",0)</f>
        <v>0</v>
      </c>
      <c r="BH112">
        <f>IF(PrintSheet!461:461,"AAAAAHem/Ts=",0)</f>
        <v>0</v>
      </c>
      <c r="BI112">
        <f>IF(PrintSheet!462:462,"AAAAAHem/Tw=",0)</f>
        <v>0</v>
      </c>
      <c r="BJ112">
        <f>IF(PrintSheet!463:463,"AAAAAHem/T0=",0)</f>
        <v>0</v>
      </c>
      <c r="BK112">
        <f>IF(PrintSheet!464:464,"AAAAAHem/T4=",0)</f>
        <v>0</v>
      </c>
      <c r="BL112">
        <f>IF(PrintSheet!A:A,"AAAAAHem/T8=",0)</f>
        <v>0</v>
      </c>
      <c r="BM112">
        <f>IF(PrintSheet!B:B,"AAAAAHem/UA=",0)</f>
        <v>0</v>
      </c>
      <c r="BN112">
        <f>IF(PrintSheet!C:C,"AAAAAHem/UE=",0)</f>
        <v>0</v>
      </c>
      <c r="BO112">
        <f>IF(PrintSheet!D:D,"AAAAAHem/UI=",0)</f>
        <v>0</v>
      </c>
      <c r="BP112">
        <f>IF(PrintSheet!E:E,"AAAAAHem/UM=",0)</f>
        <v>0</v>
      </c>
      <c r="BQ112">
        <f>IF(PrintSheet!F:F,"AAAAAHem/UQ=",0)</f>
        <v>0</v>
      </c>
      <c r="BR112">
        <f>IF(PrintSheet!G:G,"AAAAAHem/UU=",0)</f>
        <v>0</v>
      </c>
      <c r="BS112">
        <f>IF(PrintSheet!H:H,"AAAAAHem/UY=",0)</f>
        <v>0</v>
      </c>
      <c r="BT112">
        <f>IF(PrintSheet!I:I,"AAAAAHem/Uc=",0)</f>
        <v>0</v>
      </c>
      <c r="BU112">
        <f>IF(PrintSheet!J:J,"AAAAAHem/Ug=",0)</f>
        <v>0</v>
      </c>
      <c r="BV112">
        <f>IF(PrintSheet!K:K,"AAAAAHem/Uk=",0)</f>
        <v>0</v>
      </c>
      <c r="BW112">
        <f>IF(PrintSheet!L:L,"AAAAAHem/Uo=",0)</f>
        <v>0</v>
      </c>
      <c r="BX112">
        <f>IF(PrintSheet!M:M,"AAAAAHem/Us=",0)</f>
        <v>0</v>
      </c>
      <c r="BY112">
        <f>IF(PrintSheet!N:N,"AAAAAHem/Uw=",0)</f>
        <v>0</v>
      </c>
      <c r="BZ112">
        <f>IF(PrintSheet!O:O,"AAAAAHem/U0=",0)</f>
        <v>0</v>
      </c>
      <c r="CA112">
        <f>IF(PrintSheet!P:P,"AAAAAHem/U4=",0)</f>
        <v>0</v>
      </c>
      <c r="CB112">
        <f>IF(PrintSheet!Q:Q,"AAAAAHem/U8=",0)</f>
        <v>0</v>
      </c>
      <c r="CC112">
        <f>IF(PrintSheet!R:R,"AAAAAHem/VA=",0)</f>
        <v>0</v>
      </c>
      <c r="CD112">
        <f>IF(PrintSheet!S:S,"AAAAAHem/VE=",0)</f>
        <v>0</v>
      </c>
      <c r="CE112">
        <f>IF(PrintSheet!T:T,"AAAAAHem/VI=",0)</f>
        <v>0</v>
      </c>
      <c r="CF112">
        <f>IF(PrintSheet!U:U,"AAAAAHem/VM=",0)</f>
        <v>0</v>
      </c>
      <c r="CG112">
        <f>IF(PrintSheet!V:V,"AAAAAHem/VQ=",0)</f>
        <v>0</v>
      </c>
      <c r="CH112">
        <f>IF(PrintSheet!W:W,"AAAAAHem/VU=",0)</f>
        <v>0</v>
      </c>
      <c r="CI112">
        <f>IF(PrintSheet!X:X,"AAAAAHem/VY=",0)</f>
        <v>0</v>
      </c>
      <c r="CJ112">
        <f>IF(PrintSheet!Y:Y,"AAAAAHem/Vc=",0)</f>
        <v>0</v>
      </c>
      <c r="CK112">
        <f>IF(PrintSheet!Z:Z,"AAAAAHem/Vg=",0)</f>
        <v>0</v>
      </c>
      <c r="CL112">
        <f>IF(PrintSheet!AA:AA,"AAAAAHem/Vk=",0)</f>
        <v>0</v>
      </c>
      <c r="CM112">
        <f>IF(PrintSheet!AB:AB,"AAAAAHem/Vo=",0)</f>
        <v>0</v>
      </c>
      <c r="CN112">
        <f>IF(PrintSheet!AC:AC,"AAAAAHem/Vs=",0)</f>
        <v>0</v>
      </c>
      <c r="CO112">
        <f>IF(PrintSheet!AD:AD,"AAAAAHem/Vw=",0)</f>
        <v>0</v>
      </c>
      <c r="CP112">
        <f>IF(PrintSheet!AE:AE,"AAAAAHem/V0=",0)</f>
        <v>0</v>
      </c>
      <c r="CQ112">
        <f>IF(PrintSheet!AF:AF,"AAAAAHem/V4=",0)</f>
        <v>0</v>
      </c>
      <c r="CR112">
        <f>IF(PrintSheet!AG:AG,"AAAAAHem/V8=",0)</f>
        <v>0</v>
      </c>
      <c r="CS112">
        <f>IF(PrintSheet!AH:AH,"AAAAAHem/WA=",0)</f>
        <v>0</v>
      </c>
      <c r="CT112">
        <f>IF(PrintSheet!AI:AI,"AAAAAHem/WE=",0)</f>
        <v>0</v>
      </c>
      <c r="CU112">
        <f>IF(PrintSheet!AJ:AJ,"AAAAAHem/WI=",0)</f>
        <v>0</v>
      </c>
      <c r="CV112">
        <f>IF(Awards!1:1,"AAAAAHem/WM=",0)</f>
        <v>0</v>
      </c>
      <c r="CW112" t="e">
        <f>AND(Awards!A1,"AAAAAHem/WQ=")</f>
        <v>#VALUE!</v>
      </c>
      <c r="CX112" t="e">
        <f>AND(Awards!B1,"AAAAAHem/WU=")</f>
        <v>#VALUE!</v>
      </c>
      <c r="CY112" t="e">
        <f>AND(Awards!C1,"AAAAAHem/WY=")</f>
        <v>#VALUE!</v>
      </c>
      <c r="CZ112" t="e">
        <f>AND(Awards!D1,"AAAAAHem/Wc=")</f>
        <v>#VALUE!</v>
      </c>
      <c r="DA112" t="e">
        <f>AND(Awards!E1,"AAAAAHem/Wg=")</f>
        <v>#VALUE!</v>
      </c>
      <c r="DB112" t="e">
        <f>AND(Awards!F1,"AAAAAHem/Wk=")</f>
        <v>#VALUE!</v>
      </c>
      <c r="DC112" t="e">
        <f>AND(Awards!G1,"AAAAAHem/Wo=")</f>
        <v>#VALUE!</v>
      </c>
      <c r="DD112" t="e">
        <f>AND(Awards!H1,"AAAAAHem/Ws=")</f>
        <v>#VALUE!</v>
      </c>
      <c r="DE112" t="e">
        <f>AND(Awards!I1,"AAAAAHem/Ww=")</f>
        <v>#VALUE!</v>
      </c>
      <c r="DF112" t="e">
        <f>AND(Awards!J1,"AAAAAHem/W0=")</f>
        <v>#VALUE!</v>
      </c>
      <c r="DG112" t="e">
        <f>AND(Awards!K1,"AAAAAHem/W4=")</f>
        <v>#VALUE!</v>
      </c>
      <c r="DH112" t="e">
        <f>AND(Awards!L1,"AAAAAHem/W8=")</f>
        <v>#VALUE!</v>
      </c>
      <c r="DI112" t="e">
        <f>AND(Awards!M1,"AAAAAHem/XA=")</f>
        <v>#VALUE!</v>
      </c>
      <c r="DJ112" t="e">
        <f>AND(Awards!N1,"AAAAAHem/XE=")</f>
        <v>#VALUE!</v>
      </c>
      <c r="DK112" t="e">
        <f>AND(Awards!O1,"AAAAAHem/XI=")</f>
        <v>#VALUE!</v>
      </c>
      <c r="DL112" t="e">
        <f>AND(Awards!P1,"AAAAAHem/XM=")</f>
        <v>#VALUE!</v>
      </c>
      <c r="DM112" t="e">
        <f>AND(Awards!Q1,"AAAAAHem/XQ=")</f>
        <v>#VALUE!</v>
      </c>
      <c r="DN112" t="e">
        <f>AND(Awards!R1,"AAAAAHem/XU=")</f>
        <v>#VALUE!</v>
      </c>
      <c r="DO112" t="e">
        <f>AND(Awards!S1,"AAAAAHem/XY=")</f>
        <v>#VALUE!</v>
      </c>
      <c r="DP112" t="e">
        <f>AND(Awards!T1,"AAAAAHem/Xc=")</f>
        <v>#VALUE!</v>
      </c>
      <c r="DQ112" t="e">
        <f>AND(Awards!U1,"AAAAAHem/Xg=")</f>
        <v>#VALUE!</v>
      </c>
      <c r="DR112" t="e">
        <f>AND(Awards!V1,"AAAAAHem/Xk=")</f>
        <v>#VALUE!</v>
      </c>
      <c r="DS112" t="e">
        <f>AND(Awards!W1,"AAAAAHem/Xo=")</f>
        <v>#VALUE!</v>
      </c>
      <c r="DT112" t="e">
        <f>AND(Awards!X1,"AAAAAHem/Xs=")</f>
        <v>#VALUE!</v>
      </c>
      <c r="DU112" t="e">
        <f>AND(Awards!Y1,"AAAAAHem/Xw=")</f>
        <v>#VALUE!</v>
      </c>
      <c r="DV112" t="e">
        <f>AND(Awards!Z1,"AAAAAHem/X0=")</f>
        <v>#VALUE!</v>
      </c>
      <c r="DW112" t="e">
        <f>AND(Awards!AA1,"AAAAAHem/X4=")</f>
        <v>#VALUE!</v>
      </c>
      <c r="DX112" t="e">
        <f>AND(Awards!AB1,"AAAAAHem/X8=")</f>
        <v>#VALUE!</v>
      </c>
      <c r="DY112" t="e">
        <f>AND(Awards!AC1,"AAAAAHem/YA=")</f>
        <v>#VALUE!</v>
      </c>
      <c r="DZ112" t="e">
        <f>AND(Awards!AD1,"AAAAAHem/YE=")</f>
        <v>#VALUE!</v>
      </c>
      <c r="EA112" t="e">
        <f>AND(Awards!AE1,"AAAAAHem/YI=")</f>
        <v>#VALUE!</v>
      </c>
      <c r="EB112" t="e">
        <f>AND(Awards!AF1,"AAAAAHem/YM=")</f>
        <v>#VALUE!</v>
      </c>
      <c r="EC112" t="e">
        <f>AND(Awards!AG1,"AAAAAHem/YQ=")</f>
        <v>#VALUE!</v>
      </c>
      <c r="ED112" t="e">
        <f>AND(Awards!AH1,"AAAAAHem/YU=")</f>
        <v>#VALUE!</v>
      </c>
      <c r="EE112">
        <f>IF(Awards!2:2,"AAAAAHem/YY=",0)</f>
        <v>0</v>
      </c>
      <c r="EF112" t="e">
        <f>AND(Awards!A2,"AAAAAHem/Yc=")</f>
        <v>#VALUE!</v>
      </c>
      <c r="EG112" t="e">
        <f>AND(Awards!B2,"AAAAAHem/Yg=")</f>
        <v>#VALUE!</v>
      </c>
      <c r="EH112" t="e">
        <f>AND(Awards!C2,"AAAAAHem/Yk=")</f>
        <v>#VALUE!</v>
      </c>
      <c r="EI112" t="e">
        <f>AND(Awards!D2,"AAAAAHem/Yo=")</f>
        <v>#VALUE!</v>
      </c>
      <c r="EJ112" t="e">
        <f>AND(Awards!E2,"AAAAAHem/Ys=")</f>
        <v>#VALUE!</v>
      </c>
      <c r="EK112" t="e">
        <f>AND(Awards!F2,"AAAAAHem/Yw=")</f>
        <v>#VALUE!</v>
      </c>
      <c r="EL112" t="e">
        <f>AND(Awards!G2,"AAAAAHem/Y0=")</f>
        <v>#VALUE!</v>
      </c>
      <c r="EM112" t="e">
        <f>AND(Awards!H2,"AAAAAHem/Y4=")</f>
        <v>#VALUE!</v>
      </c>
      <c r="EN112" t="e">
        <f>AND(Awards!I2,"AAAAAHem/Y8=")</f>
        <v>#VALUE!</v>
      </c>
      <c r="EO112" t="e">
        <f>AND(Awards!J2,"AAAAAHem/ZA=")</f>
        <v>#VALUE!</v>
      </c>
      <c r="EP112" t="e">
        <f>AND(Awards!K2,"AAAAAHem/ZE=")</f>
        <v>#VALUE!</v>
      </c>
      <c r="EQ112" t="e">
        <f>AND(Awards!L2,"AAAAAHem/ZI=")</f>
        <v>#VALUE!</v>
      </c>
      <c r="ER112" t="e">
        <f>AND(Awards!M2,"AAAAAHem/ZM=")</f>
        <v>#VALUE!</v>
      </c>
      <c r="ES112" t="e">
        <f>AND(Awards!N2,"AAAAAHem/ZQ=")</f>
        <v>#VALUE!</v>
      </c>
      <c r="ET112" t="e">
        <f>AND(Awards!O2,"AAAAAHem/ZU=")</f>
        <v>#VALUE!</v>
      </c>
      <c r="EU112" t="e">
        <f>AND(Awards!P2,"AAAAAHem/ZY=")</f>
        <v>#VALUE!</v>
      </c>
      <c r="EV112" t="e">
        <f>AND(Awards!Q2,"AAAAAHem/Zc=")</f>
        <v>#VALUE!</v>
      </c>
      <c r="EW112" t="e">
        <f>AND(Awards!R2,"AAAAAHem/Zg=")</f>
        <v>#VALUE!</v>
      </c>
      <c r="EX112" t="e">
        <f>AND(Awards!S2,"AAAAAHem/Zk=")</f>
        <v>#VALUE!</v>
      </c>
      <c r="EY112" t="e">
        <f>AND(Awards!T2,"AAAAAHem/Zo=")</f>
        <v>#VALUE!</v>
      </c>
      <c r="EZ112" t="e">
        <f>AND(Awards!U2,"AAAAAHem/Zs=")</f>
        <v>#VALUE!</v>
      </c>
      <c r="FA112" t="e">
        <f>AND(Awards!V2,"AAAAAHem/Zw=")</f>
        <v>#VALUE!</v>
      </c>
      <c r="FB112" t="e">
        <f>AND(Awards!W2,"AAAAAHem/Z0=")</f>
        <v>#VALUE!</v>
      </c>
      <c r="FC112" t="e">
        <f>AND(Awards!X2,"AAAAAHem/Z4=")</f>
        <v>#VALUE!</v>
      </c>
      <c r="FD112" t="e">
        <f>AND(Awards!Y2,"AAAAAHem/Z8=")</f>
        <v>#VALUE!</v>
      </c>
      <c r="FE112" t="e">
        <f>AND(Awards!Z2,"AAAAAHem/aA=")</f>
        <v>#VALUE!</v>
      </c>
      <c r="FF112" t="e">
        <f>AND(Awards!AA2,"AAAAAHem/aE=")</f>
        <v>#VALUE!</v>
      </c>
      <c r="FG112" t="e">
        <f>AND(Awards!AB2,"AAAAAHem/aI=")</f>
        <v>#VALUE!</v>
      </c>
      <c r="FH112" t="e">
        <f>AND(Awards!AC2,"AAAAAHem/aM=")</f>
        <v>#VALUE!</v>
      </c>
      <c r="FI112" t="e">
        <f>AND(Awards!AD2,"AAAAAHem/aQ=")</f>
        <v>#VALUE!</v>
      </c>
      <c r="FJ112" t="e">
        <f>AND(Awards!AE2,"AAAAAHem/aU=")</f>
        <v>#VALUE!</v>
      </c>
      <c r="FK112" t="e">
        <f>AND(Awards!AF2,"AAAAAHem/aY=")</f>
        <v>#VALUE!</v>
      </c>
      <c r="FL112" t="e">
        <f>AND(Awards!AG2,"AAAAAHem/ac=")</f>
        <v>#VALUE!</v>
      </c>
      <c r="FM112" t="e">
        <f>AND(Awards!AH2,"AAAAAHem/ag=")</f>
        <v>#VALUE!</v>
      </c>
      <c r="FN112">
        <f>IF(Awards!3:3,"AAAAAHem/ak=",0)</f>
        <v>0</v>
      </c>
      <c r="FO112" t="e">
        <f>AND(Awards!A3,"AAAAAHem/ao=")</f>
        <v>#VALUE!</v>
      </c>
      <c r="FP112" t="e">
        <f>AND(Awards!B3,"AAAAAHem/as=")</f>
        <v>#VALUE!</v>
      </c>
      <c r="FQ112" t="e">
        <f>AND(Awards!C3,"AAAAAHem/aw=")</f>
        <v>#VALUE!</v>
      </c>
      <c r="FR112" t="e">
        <f>AND(Awards!D3,"AAAAAHem/a0=")</f>
        <v>#VALUE!</v>
      </c>
      <c r="FS112" t="e">
        <f>AND(Awards!E3,"AAAAAHem/a4=")</f>
        <v>#VALUE!</v>
      </c>
      <c r="FT112" t="e">
        <f>AND(Awards!F3,"AAAAAHem/a8=")</f>
        <v>#VALUE!</v>
      </c>
      <c r="FU112" t="e">
        <f>AND(Awards!G3,"AAAAAHem/bA=")</f>
        <v>#VALUE!</v>
      </c>
      <c r="FV112" t="e">
        <f>AND(Awards!H3,"AAAAAHem/bE=")</f>
        <v>#VALUE!</v>
      </c>
      <c r="FW112" t="e">
        <f>AND(Awards!I3,"AAAAAHem/bI=")</f>
        <v>#VALUE!</v>
      </c>
      <c r="FX112" t="e">
        <f>AND(Awards!J3,"AAAAAHem/bM=")</f>
        <v>#VALUE!</v>
      </c>
      <c r="FY112" t="e">
        <f>AND(Awards!K3,"AAAAAHem/bQ=")</f>
        <v>#VALUE!</v>
      </c>
      <c r="FZ112" t="e">
        <f>AND(Awards!L3,"AAAAAHem/bU=")</f>
        <v>#VALUE!</v>
      </c>
      <c r="GA112" t="e">
        <f>AND(Awards!M3,"AAAAAHem/bY=")</f>
        <v>#VALUE!</v>
      </c>
      <c r="GB112" t="e">
        <f>AND(Awards!N3,"AAAAAHem/bc=")</f>
        <v>#VALUE!</v>
      </c>
      <c r="GC112" t="e">
        <f>AND(Awards!O3,"AAAAAHem/bg=")</f>
        <v>#VALUE!</v>
      </c>
      <c r="GD112" t="e">
        <f>AND(Awards!P3,"AAAAAHem/bk=")</f>
        <v>#VALUE!</v>
      </c>
      <c r="GE112" t="e">
        <f>AND(Awards!Q3,"AAAAAHem/bo=")</f>
        <v>#VALUE!</v>
      </c>
      <c r="GF112" t="e">
        <f>AND(Awards!R3,"AAAAAHem/bs=")</f>
        <v>#VALUE!</v>
      </c>
      <c r="GG112" t="e">
        <f>AND(Awards!S3,"AAAAAHem/bw=")</f>
        <v>#VALUE!</v>
      </c>
      <c r="GH112" t="e">
        <f>AND(Awards!T3,"AAAAAHem/b0=")</f>
        <v>#VALUE!</v>
      </c>
      <c r="GI112" t="e">
        <f>AND(Awards!U3,"AAAAAHem/b4=")</f>
        <v>#VALUE!</v>
      </c>
      <c r="GJ112" t="e">
        <f>AND(Awards!V3,"AAAAAHem/b8=")</f>
        <v>#VALUE!</v>
      </c>
      <c r="GK112" t="e">
        <f>AND(Awards!W3,"AAAAAHem/cA=")</f>
        <v>#VALUE!</v>
      </c>
      <c r="GL112" t="e">
        <f>AND(Awards!X3,"AAAAAHem/cE=")</f>
        <v>#VALUE!</v>
      </c>
      <c r="GM112" t="e">
        <f>AND(Awards!Y3,"AAAAAHem/cI=")</f>
        <v>#VALUE!</v>
      </c>
      <c r="GN112" t="e">
        <f>AND(Awards!Z3,"AAAAAHem/cM=")</f>
        <v>#VALUE!</v>
      </c>
      <c r="GO112" t="e">
        <f>AND(Awards!AA3,"AAAAAHem/cQ=")</f>
        <v>#VALUE!</v>
      </c>
      <c r="GP112" t="e">
        <f>AND(Awards!AB3,"AAAAAHem/cU=")</f>
        <v>#VALUE!</v>
      </c>
      <c r="GQ112" t="e">
        <f>AND(Awards!AC3,"AAAAAHem/cY=")</f>
        <v>#VALUE!</v>
      </c>
      <c r="GR112" t="e">
        <f>AND(Awards!AD3,"AAAAAHem/cc=")</f>
        <v>#VALUE!</v>
      </c>
      <c r="GS112" t="e">
        <f>AND(Awards!AE3,"AAAAAHem/cg=")</f>
        <v>#VALUE!</v>
      </c>
      <c r="GT112" t="e">
        <f>AND(Awards!AF3,"AAAAAHem/ck=")</f>
        <v>#VALUE!</v>
      </c>
      <c r="GU112" t="e">
        <f>AND(Awards!AG3,"AAAAAHem/co=")</f>
        <v>#VALUE!</v>
      </c>
      <c r="GV112" t="e">
        <f>AND(Awards!AH3,"AAAAAHem/cs=")</f>
        <v>#VALUE!</v>
      </c>
      <c r="GW112">
        <f>IF(Awards!4:4,"AAAAAHem/cw=",0)</f>
        <v>0</v>
      </c>
      <c r="GX112" t="e">
        <f>AND(Awards!A4,"AAAAAHem/c0=")</f>
        <v>#VALUE!</v>
      </c>
      <c r="GY112" t="e">
        <f>AND(Awards!B4,"AAAAAHem/c4=")</f>
        <v>#VALUE!</v>
      </c>
      <c r="GZ112" t="e">
        <f>AND(Awards!C4,"AAAAAHem/c8=")</f>
        <v>#VALUE!</v>
      </c>
      <c r="HA112" t="e">
        <f>AND(Awards!D4,"AAAAAHem/dA=")</f>
        <v>#VALUE!</v>
      </c>
      <c r="HB112" t="e">
        <f>AND(Awards!E4,"AAAAAHem/dE=")</f>
        <v>#VALUE!</v>
      </c>
      <c r="HC112" t="e">
        <f>AND(Awards!F4,"AAAAAHem/dI=")</f>
        <v>#VALUE!</v>
      </c>
      <c r="HD112" t="e">
        <f>AND(Awards!G4,"AAAAAHem/dM=")</f>
        <v>#VALUE!</v>
      </c>
      <c r="HE112" t="e">
        <f>AND(Awards!H4,"AAAAAHem/dQ=")</f>
        <v>#VALUE!</v>
      </c>
      <c r="HF112" t="e">
        <f>AND(Awards!I4,"AAAAAHem/dU=")</f>
        <v>#VALUE!</v>
      </c>
      <c r="HG112" t="e">
        <f>AND(Awards!J4,"AAAAAHem/dY=")</f>
        <v>#VALUE!</v>
      </c>
      <c r="HH112" t="e">
        <f>AND(Awards!K4,"AAAAAHem/dc=")</f>
        <v>#VALUE!</v>
      </c>
      <c r="HI112" t="e">
        <f>AND(Awards!L4,"AAAAAHem/dg=")</f>
        <v>#VALUE!</v>
      </c>
      <c r="HJ112" t="e">
        <f>AND(Awards!M4,"AAAAAHem/dk=")</f>
        <v>#VALUE!</v>
      </c>
      <c r="HK112" t="e">
        <f>AND(Awards!N4,"AAAAAHem/do=")</f>
        <v>#VALUE!</v>
      </c>
      <c r="HL112" t="e">
        <f>AND(Awards!O4,"AAAAAHem/ds=")</f>
        <v>#VALUE!</v>
      </c>
      <c r="HM112" t="e">
        <f>AND(Awards!P4,"AAAAAHem/dw=")</f>
        <v>#VALUE!</v>
      </c>
      <c r="HN112" t="e">
        <f>AND(Awards!Q4,"AAAAAHem/d0=")</f>
        <v>#VALUE!</v>
      </c>
      <c r="HO112" t="e">
        <f>AND(Awards!R4,"AAAAAHem/d4=")</f>
        <v>#VALUE!</v>
      </c>
      <c r="HP112" t="e">
        <f>AND(Awards!S4,"AAAAAHem/d8=")</f>
        <v>#VALUE!</v>
      </c>
      <c r="HQ112" t="e">
        <f>AND(Awards!T4,"AAAAAHem/eA=")</f>
        <v>#VALUE!</v>
      </c>
      <c r="HR112" t="e">
        <f>AND(Awards!U4,"AAAAAHem/eE=")</f>
        <v>#VALUE!</v>
      </c>
      <c r="HS112" t="e">
        <f>AND(Awards!V4,"AAAAAHem/eI=")</f>
        <v>#VALUE!</v>
      </c>
      <c r="HT112" t="e">
        <f>AND(Awards!W4,"AAAAAHem/eM=")</f>
        <v>#VALUE!</v>
      </c>
      <c r="HU112" t="e">
        <f>AND(Awards!X4,"AAAAAHem/eQ=")</f>
        <v>#VALUE!</v>
      </c>
      <c r="HV112" t="e">
        <f>AND(Awards!Y4,"AAAAAHem/eU=")</f>
        <v>#VALUE!</v>
      </c>
      <c r="HW112" t="e">
        <f>AND(Awards!Z4,"AAAAAHem/eY=")</f>
        <v>#VALUE!</v>
      </c>
      <c r="HX112" t="e">
        <f>AND(Awards!AA4,"AAAAAHem/ec=")</f>
        <v>#VALUE!</v>
      </c>
      <c r="HY112" t="e">
        <f>AND(Awards!AB4,"AAAAAHem/eg=")</f>
        <v>#VALUE!</v>
      </c>
      <c r="HZ112" t="e">
        <f>AND(Awards!AC4,"AAAAAHem/ek=")</f>
        <v>#VALUE!</v>
      </c>
      <c r="IA112" t="e">
        <f>AND(Awards!AD4,"AAAAAHem/eo=")</f>
        <v>#VALUE!</v>
      </c>
      <c r="IB112" t="e">
        <f>AND(Awards!AE4,"AAAAAHem/es=")</f>
        <v>#VALUE!</v>
      </c>
      <c r="IC112" t="e">
        <f>AND(Awards!AF4,"AAAAAHem/ew=")</f>
        <v>#VALUE!</v>
      </c>
      <c r="ID112" t="e">
        <f>AND(Awards!AG4,"AAAAAHem/e0=")</f>
        <v>#VALUE!</v>
      </c>
      <c r="IE112" t="e">
        <f>AND(Awards!AH4,"AAAAAHem/e4=")</f>
        <v>#VALUE!</v>
      </c>
      <c r="IF112">
        <f>IF(Awards!5:5,"AAAAAHem/e8=",0)</f>
        <v>0</v>
      </c>
      <c r="IG112" t="e">
        <f>AND(Awards!A5,"AAAAAHem/fA=")</f>
        <v>#VALUE!</v>
      </c>
      <c r="IH112" t="e">
        <f>AND(Awards!B5,"AAAAAHem/fE=")</f>
        <v>#VALUE!</v>
      </c>
      <c r="II112" t="e">
        <f>AND(Awards!C5,"AAAAAHem/fI=")</f>
        <v>#VALUE!</v>
      </c>
      <c r="IJ112" t="e">
        <f>AND(Awards!D5,"AAAAAHem/fM=")</f>
        <v>#VALUE!</v>
      </c>
      <c r="IK112" t="e">
        <f>AND(Awards!E5,"AAAAAHem/fQ=")</f>
        <v>#VALUE!</v>
      </c>
      <c r="IL112" t="e">
        <f>AND(Awards!F5,"AAAAAHem/fU=")</f>
        <v>#VALUE!</v>
      </c>
      <c r="IM112" t="e">
        <f>AND(Awards!G5,"AAAAAHem/fY=")</f>
        <v>#VALUE!</v>
      </c>
      <c r="IN112" t="e">
        <f>AND(Awards!H5,"AAAAAHem/fc=")</f>
        <v>#VALUE!</v>
      </c>
      <c r="IO112" t="e">
        <f>AND(Awards!I5,"AAAAAHem/fg=")</f>
        <v>#VALUE!</v>
      </c>
      <c r="IP112" t="e">
        <f>AND(Awards!J5,"AAAAAHem/fk=")</f>
        <v>#VALUE!</v>
      </c>
      <c r="IQ112" t="e">
        <f>AND(Awards!K5,"AAAAAHem/fo=")</f>
        <v>#VALUE!</v>
      </c>
      <c r="IR112" t="e">
        <f>AND(Awards!L5,"AAAAAHem/fs=")</f>
        <v>#VALUE!</v>
      </c>
      <c r="IS112" t="e">
        <f>AND(Awards!M5,"AAAAAHem/fw=")</f>
        <v>#VALUE!</v>
      </c>
      <c r="IT112" t="e">
        <f>AND(Awards!N5,"AAAAAHem/f0=")</f>
        <v>#VALUE!</v>
      </c>
      <c r="IU112" t="e">
        <f>AND(Awards!O5,"AAAAAHem/f4=")</f>
        <v>#VALUE!</v>
      </c>
      <c r="IV112" t="e">
        <f>AND(Awards!P5,"AAAAAHem/f8=")</f>
        <v>#VALUE!</v>
      </c>
    </row>
    <row r="113" spans="1:256">
      <c r="A113" t="e">
        <f>AND(Awards!Q5,"AAAAABbT7QA=")</f>
        <v>#VALUE!</v>
      </c>
      <c r="B113" t="e">
        <f>AND(Awards!R5,"AAAAABbT7QE=")</f>
        <v>#VALUE!</v>
      </c>
      <c r="C113" t="e">
        <f>AND(Awards!S5,"AAAAABbT7QI=")</f>
        <v>#VALUE!</v>
      </c>
      <c r="D113" t="e">
        <f>AND(Awards!T5,"AAAAABbT7QM=")</f>
        <v>#VALUE!</v>
      </c>
      <c r="E113" t="e">
        <f>AND(Awards!U5,"AAAAABbT7QQ=")</f>
        <v>#VALUE!</v>
      </c>
      <c r="F113" t="e">
        <f>AND(Awards!V5,"AAAAABbT7QU=")</f>
        <v>#VALUE!</v>
      </c>
      <c r="G113" t="e">
        <f>AND(Awards!W5,"AAAAABbT7QY=")</f>
        <v>#VALUE!</v>
      </c>
      <c r="H113" t="e">
        <f>AND(Awards!X5,"AAAAABbT7Qc=")</f>
        <v>#VALUE!</v>
      </c>
      <c r="I113" t="e">
        <f>AND(Awards!Y5,"AAAAABbT7Qg=")</f>
        <v>#VALUE!</v>
      </c>
      <c r="J113" t="e">
        <f>AND(Awards!Z5,"AAAAABbT7Qk=")</f>
        <v>#VALUE!</v>
      </c>
      <c r="K113" t="e">
        <f>AND(Awards!AA5,"AAAAABbT7Qo=")</f>
        <v>#VALUE!</v>
      </c>
      <c r="L113" t="e">
        <f>AND(Awards!AB5,"AAAAABbT7Qs=")</f>
        <v>#VALUE!</v>
      </c>
      <c r="M113" t="e">
        <f>AND(Awards!AC5,"AAAAABbT7Qw=")</f>
        <v>#VALUE!</v>
      </c>
      <c r="N113" t="e">
        <f>AND(Awards!AD5,"AAAAABbT7Q0=")</f>
        <v>#VALUE!</v>
      </c>
      <c r="O113" t="e">
        <f>AND(Awards!AE5,"AAAAABbT7Q4=")</f>
        <v>#VALUE!</v>
      </c>
      <c r="P113" t="e">
        <f>AND(Awards!AF5,"AAAAABbT7Q8=")</f>
        <v>#VALUE!</v>
      </c>
      <c r="Q113" t="e">
        <f>AND(Awards!AG5,"AAAAABbT7RA=")</f>
        <v>#VALUE!</v>
      </c>
      <c r="R113" t="e">
        <f>AND(Awards!AH5,"AAAAABbT7RE=")</f>
        <v>#VALUE!</v>
      </c>
      <c r="S113">
        <f>IF(Awards!6:6,"AAAAABbT7RI=",0)</f>
        <v>0</v>
      </c>
      <c r="T113" t="e">
        <f ca="1">AND(Awards!A6,"AAAAABbT7RM=")</f>
        <v>#N/A</v>
      </c>
      <c r="U113" t="e">
        <f>AND(Awards!B6,"AAAAABbT7RQ=")</f>
        <v>#VALUE!</v>
      </c>
      <c r="V113" t="e">
        <f>AND(Awards!C6,"AAAAABbT7RU=")</f>
        <v>#VALUE!</v>
      </c>
      <c r="W113" t="e">
        <f>AND(Awards!D6,"AAAAABbT7RY=")</f>
        <v>#VALUE!</v>
      </c>
      <c r="X113" t="e">
        <f>AND(Awards!E6,"AAAAABbT7Rc=")</f>
        <v>#VALUE!</v>
      </c>
      <c r="Y113" t="e">
        <f>AND(Awards!F6,"AAAAABbT7Rg=")</f>
        <v>#VALUE!</v>
      </c>
      <c r="Z113" t="e">
        <f>AND(Awards!G6,"AAAAABbT7Rk=")</f>
        <v>#VALUE!</v>
      </c>
      <c r="AA113" t="e">
        <f>AND(Awards!H6,"AAAAABbT7Ro=")</f>
        <v>#VALUE!</v>
      </c>
      <c r="AB113" t="e">
        <f>AND(Awards!I6,"AAAAABbT7Rs=")</f>
        <v>#VALUE!</v>
      </c>
      <c r="AC113" t="e">
        <f>AND(Awards!J6,"AAAAABbT7Rw=")</f>
        <v>#VALUE!</v>
      </c>
      <c r="AD113" t="e">
        <f>AND(Awards!K6,"AAAAABbT7R0=")</f>
        <v>#VALUE!</v>
      </c>
      <c r="AE113" t="e">
        <f>AND(Awards!L6,"AAAAABbT7R4=")</f>
        <v>#VALUE!</v>
      </c>
      <c r="AF113" t="e">
        <f>AND(Awards!M6,"AAAAABbT7R8=")</f>
        <v>#VALUE!</v>
      </c>
      <c r="AG113" t="e">
        <f>AND(Awards!N6,"AAAAABbT7SA=")</f>
        <v>#VALUE!</v>
      </c>
      <c r="AH113" t="e">
        <f>AND(Awards!O6,"AAAAABbT7SE=")</f>
        <v>#VALUE!</v>
      </c>
      <c r="AI113" t="e">
        <f>AND(Awards!P6,"AAAAABbT7SI=")</f>
        <v>#VALUE!</v>
      </c>
      <c r="AJ113" t="e">
        <f>AND(Awards!Q6,"AAAAABbT7SM=")</f>
        <v>#VALUE!</v>
      </c>
      <c r="AK113" t="e">
        <f>AND(Awards!R6,"AAAAABbT7SQ=")</f>
        <v>#VALUE!</v>
      </c>
      <c r="AL113" t="e">
        <f>AND(Awards!S6,"AAAAABbT7SU=")</f>
        <v>#VALUE!</v>
      </c>
      <c r="AM113" t="e">
        <f>AND(Awards!T6,"AAAAABbT7SY=")</f>
        <v>#VALUE!</v>
      </c>
      <c r="AN113" t="e">
        <f>AND(Awards!U6,"AAAAABbT7Sc=")</f>
        <v>#VALUE!</v>
      </c>
      <c r="AO113" t="e">
        <f>AND(Awards!V6,"AAAAABbT7Sg=")</f>
        <v>#VALUE!</v>
      </c>
      <c r="AP113" t="e">
        <f>AND(Awards!W6,"AAAAABbT7Sk=")</f>
        <v>#VALUE!</v>
      </c>
      <c r="AQ113" t="e">
        <f>AND(Awards!X6,"AAAAABbT7So=")</f>
        <v>#VALUE!</v>
      </c>
      <c r="AR113" t="e">
        <f>AND(Awards!Y6,"AAAAABbT7Ss=")</f>
        <v>#VALUE!</v>
      </c>
      <c r="AS113" t="e">
        <f>AND(Awards!Z6,"AAAAABbT7Sw=")</f>
        <v>#VALUE!</v>
      </c>
      <c r="AT113" t="e">
        <f>AND(Awards!AA6,"AAAAABbT7S0=")</f>
        <v>#VALUE!</v>
      </c>
      <c r="AU113" t="e">
        <f>AND(Awards!AB6,"AAAAABbT7S4=")</f>
        <v>#VALUE!</v>
      </c>
      <c r="AV113" t="e">
        <f>AND(Awards!AC6,"AAAAABbT7S8=")</f>
        <v>#VALUE!</v>
      </c>
      <c r="AW113" t="e">
        <f>AND(Awards!AD6,"AAAAABbT7TA=")</f>
        <v>#VALUE!</v>
      </c>
      <c r="AX113" t="e">
        <f>AND(Awards!AE6,"AAAAABbT7TE=")</f>
        <v>#VALUE!</v>
      </c>
      <c r="AY113" t="e">
        <f>AND(Awards!AF6,"AAAAABbT7TI=")</f>
        <v>#VALUE!</v>
      </c>
      <c r="AZ113" t="e">
        <f>AND(Awards!AG6,"AAAAABbT7TM=")</f>
        <v>#VALUE!</v>
      </c>
      <c r="BA113" t="e">
        <f>AND(Awards!AH6,"AAAAABbT7TQ=")</f>
        <v>#VALUE!</v>
      </c>
      <c r="BB113">
        <f>IF(Awards!7:7,"AAAAABbT7TU=",0)</f>
        <v>0</v>
      </c>
      <c r="BC113" t="e">
        <f>AND(Awards!A7,"AAAAABbT7TY=")</f>
        <v>#VALUE!</v>
      </c>
      <c r="BD113" t="e">
        <f ca="1">AND(Awards!B7,"AAAAABbT7Tc=")</f>
        <v>#N/A</v>
      </c>
      <c r="BE113" t="e">
        <f>AND(Awards!C7,"AAAAABbT7Tg=")</f>
        <v>#VALUE!</v>
      </c>
      <c r="BF113" t="e">
        <f>AND(Awards!D7,"AAAAABbT7Tk=")</f>
        <v>#VALUE!</v>
      </c>
      <c r="BG113" t="e">
        <f>AND(Awards!E7,"AAAAABbT7To=")</f>
        <v>#VALUE!</v>
      </c>
      <c r="BH113" t="e">
        <f>AND(Awards!F7,"AAAAABbT7Ts=")</f>
        <v>#VALUE!</v>
      </c>
      <c r="BI113" t="e">
        <f>AND(Awards!G7,"AAAAABbT7Tw=")</f>
        <v>#VALUE!</v>
      </c>
      <c r="BJ113" t="e">
        <f>AND(Awards!H7,"AAAAABbT7T0=")</f>
        <v>#VALUE!</v>
      </c>
      <c r="BK113" t="e">
        <f>AND(Awards!I7,"AAAAABbT7T4=")</f>
        <v>#VALUE!</v>
      </c>
      <c r="BL113" t="b">
        <f>AND(Awards!J7,"AAAAABbT7T8=")</f>
        <v>1</v>
      </c>
      <c r="BM113" t="e">
        <f>AND(Awards!K7,"AAAAABbT7UA=")</f>
        <v>#VALUE!</v>
      </c>
      <c r="BN113" t="e">
        <f>AND(Awards!L7,"AAAAABbT7UE=")</f>
        <v>#VALUE!</v>
      </c>
      <c r="BO113" t="e">
        <f>AND(Awards!M7,"AAAAABbT7UI=")</f>
        <v>#VALUE!</v>
      </c>
      <c r="BP113" t="e">
        <f>AND(Awards!N7,"AAAAABbT7UM=")</f>
        <v>#VALUE!</v>
      </c>
      <c r="BQ113" t="e">
        <f>AND(Awards!O7,"AAAAABbT7UQ=")</f>
        <v>#VALUE!</v>
      </c>
      <c r="BR113" t="e">
        <f>AND(Awards!P7,"AAAAABbT7UU=")</f>
        <v>#VALUE!</v>
      </c>
      <c r="BS113" t="e">
        <f>AND(Awards!Q7,"AAAAABbT7UY=")</f>
        <v>#VALUE!</v>
      </c>
      <c r="BT113" t="e">
        <f>AND(Awards!R7,"AAAAABbT7Uc=")</f>
        <v>#VALUE!</v>
      </c>
      <c r="BU113" t="e">
        <f>AND(Awards!S7,"AAAAABbT7Ug=")</f>
        <v>#VALUE!</v>
      </c>
      <c r="BV113" t="e">
        <f>AND(Awards!T7,"AAAAABbT7Uk=")</f>
        <v>#VALUE!</v>
      </c>
      <c r="BW113" t="e">
        <f>AND(Awards!U7,"AAAAABbT7Uo=")</f>
        <v>#VALUE!</v>
      </c>
      <c r="BX113" t="e">
        <f>AND(Awards!V7,"AAAAABbT7Us=")</f>
        <v>#VALUE!</v>
      </c>
      <c r="BY113" t="e">
        <f>AND(Awards!W7,"AAAAABbT7Uw=")</f>
        <v>#VALUE!</v>
      </c>
      <c r="BZ113" t="e">
        <f>AND(Awards!X7,"AAAAABbT7U0=")</f>
        <v>#VALUE!</v>
      </c>
      <c r="CA113" t="e">
        <f>AND(Awards!Y7,"AAAAABbT7U4=")</f>
        <v>#VALUE!</v>
      </c>
      <c r="CB113" t="e">
        <f>AND(Awards!Z7,"AAAAABbT7U8=")</f>
        <v>#VALUE!</v>
      </c>
      <c r="CC113" t="e">
        <f>AND(Awards!AA7,"AAAAABbT7VA=")</f>
        <v>#VALUE!</v>
      </c>
      <c r="CD113" t="e">
        <f>AND(Awards!AB7,"AAAAABbT7VE=")</f>
        <v>#VALUE!</v>
      </c>
      <c r="CE113" t="e">
        <f>AND(Awards!AC7,"AAAAABbT7VI=")</f>
        <v>#VALUE!</v>
      </c>
      <c r="CF113" t="e">
        <f>AND(Awards!AD7,"AAAAABbT7VM=")</f>
        <v>#VALUE!</v>
      </c>
      <c r="CG113" t="e">
        <f>AND(Awards!AE7,"AAAAABbT7VQ=")</f>
        <v>#VALUE!</v>
      </c>
      <c r="CH113" t="e">
        <f>AND(Awards!AF7,"AAAAABbT7VU=")</f>
        <v>#VALUE!</v>
      </c>
      <c r="CI113" t="e">
        <f>AND(Awards!AG7,"AAAAABbT7VY=")</f>
        <v>#VALUE!</v>
      </c>
      <c r="CJ113" t="e">
        <f>AND(Awards!AH7,"AAAAABbT7Vc=")</f>
        <v>#VALUE!</v>
      </c>
      <c r="CK113">
        <f>IF(Awards!8:8,"AAAAABbT7Vg=",0)</f>
        <v>0</v>
      </c>
      <c r="CL113" t="e">
        <f>AND(Awards!A8,"AAAAABbT7Vk=")</f>
        <v>#VALUE!</v>
      </c>
      <c r="CM113" t="e">
        <f>AND(Awards!B8,"AAAAABbT7Vo=")</f>
        <v>#VALUE!</v>
      </c>
      <c r="CN113" t="e">
        <f>AND(Awards!C8,"AAAAABbT7Vs=")</f>
        <v>#VALUE!</v>
      </c>
      <c r="CO113" t="e">
        <f>AND(Awards!D8,"AAAAABbT7Vw=")</f>
        <v>#VALUE!</v>
      </c>
      <c r="CP113" t="e">
        <f>AND(Awards!E8,"AAAAABbT7V0=")</f>
        <v>#VALUE!</v>
      </c>
      <c r="CQ113" t="e">
        <f>AND(Awards!F8,"AAAAABbT7V4=")</f>
        <v>#VALUE!</v>
      </c>
      <c r="CR113" t="e">
        <f>AND(Awards!G8,"AAAAABbT7V8=")</f>
        <v>#VALUE!</v>
      </c>
      <c r="CS113" t="e">
        <f>AND(Awards!H8,"AAAAABbT7WA=")</f>
        <v>#VALUE!</v>
      </c>
      <c r="CT113" t="e">
        <f>AND(Awards!I8,"AAAAABbT7WE=")</f>
        <v>#VALUE!</v>
      </c>
      <c r="CU113" t="e">
        <f>AND(Awards!J8,"AAAAABbT7WI=")</f>
        <v>#VALUE!</v>
      </c>
      <c r="CV113" t="e">
        <f>AND(Awards!K8,"AAAAABbT7WM=")</f>
        <v>#VALUE!</v>
      </c>
      <c r="CW113" t="e">
        <f>AND(Awards!L8,"AAAAABbT7WQ=")</f>
        <v>#VALUE!</v>
      </c>
      <c r="CX113" t="e">
        <f>AND(Awards!M8,"AAAAABbT7WU=")</f>
        <v>#VALUE!</v>
      </c>
      <c r="CY113" t="e">
        <f>AND(Awards!N8,"AAAAABbT7WY=")</f>
        <v>#VALUE!</v>
      </c>
      <c r="CZ113" t="e">
        <f>AND(Awards!O8,"AAAAABbT7Wc=")</f>
        <v>#VALUE!</v>
      </c>
      <c r="DA113" t="e">
        <f>AND(Awards!P8,"AAAAABbT7Wg=")</f>
        <v>#VALUE!</v>
      </c>
      <c r="DB113" t="e">
        <f>AND(Awards!Q8,"AAAAABbT7Wk=")</f>
        <v>#VALUE!</v>
      </c>
      <c r="DC113" t="e">
        <f>AND(Awards!R8,"AAAAABbT7Wo=")</f>
        <v>#VALUE!</v>
      </c>
      <c r="DD113" t="e">
        <f>AND(Awards!S8,"AAAAABbT7Ws=")</f>
        <v>#VALUE!</v>
      </c>
      <c r="DE113" t="e">
        <f>AND(Awards!T8,"AAAAABbT7Ww=")</f>
        <v>#VALUE!</v>
      </c>
      <c r="DF113" t="e">
        <f>AND(Awards!U8,"AAAAABbT7W0=")</f>
        <v>#VALUE!</v>
      </c>
      <c r="DG113" t="e">
        <f>AND(Awards!V8,"AAAAABbT7W4=")</f>
        <v>#VALUE!</v>
      </c>
      <c r="DH113" t="e">
        <f>AND(Awards!W8,"AAAAABbT7W8=")</f>
        <v>#VALUE!</v>
      </c>
      <c r="DI113" t="e">
        <f>AND(Awards!X8,"AAAAABbT7XA=")</f>
        <v>#VALUE!</v>
      </c>
      <c r="DJ113" t="e">
        <f>AND(Awards!Y8,"AAAAABbT7XE=")</f>
        <v>#VALUE!</v>
      </c>
      <c r="DK113" t="e">
        <f>AND(Awards!Z8,"AAAAABbT7XI=")</f>
        <v>#VALUE!</v>
      </c>
      <c r="DL113" t="e">
        <f>AND(Awards!AA8,"AAAAABbT7XM=")</f>
        <v>#VALUE!</v>
      </c>
      <c r="DM113" t="e">
        <f>AND(Awards!AB8,"AAAAABbT7XQ=")</f>
        <v>#VALUE!</v>
      </c>
      <c r="DN113" t="e">
        <f>AND(Awards!AC8,"AAAAABbT7XU=")</f>
        <v>#VALUE!</v>
      </c>
      <c r="DO113" t="e">
        <f>AND(Awards!AD8,"AAAAABbT7XY=")</f>
        <v>#VALUE!</v>
      </c>
      <c r="DP113" t="e">
        <f>AND(Awards!AE8,"AAAAABbT7Xc=")</f>
        <v>#VALUE!</v>
      </c>
      <c r="DQ113" t="e">
        <f>AND(Awards!AF8,"AAAAABbT7Xg=")</f>
        <v>#VALUE!</v>
      </c>
      <c r="DR113" t="e">
        <f>AND(Awards!AG8,"AAAAABbT7Xk=")</f>
        <v>#VALUE!</v>
      </c>
      <c r="DS113" t="e">
        <f>AND(Awards!AH8,"AAAAABbT7Xo=")</f>
        <v>#VALUE!</v>
      </c>
      <c r="DT113">
        <f>IF(Awards!9:9,"AAAAABbT7Xs=",0)</f>
        <v>0</v>
      </c>
      <c r="DU113" t="e">
        <f>AND(Awards!A9,"AAAAABbT7Xw=")</f>
        <v>#VALUE!</v>
      </c>
      <c r="DV113" t="e">
        <f ca="1">AND(Awards!B9,"AAAAABbT7X0=")</f>
        <v>#N/A</v>
      </c>
      <c r="DW113" t="e">
        <f>AND(Awards!C9,"AAAAABbT7X4=")</f>
        <v>#VALUE!</v>
      </c>
      <c r="DX113" t="e">
        <f>AND(Awards!D9,"AAAAABbT7X8=")</f>
        <v>#VALUE!</v>
      </c>
      <c r="DY113" t="e">
        <f>AND(Awards!E9,"AAAAABbT7YA=")</f>
        <v>#VALUE!</v>
      </c>
      <c r="DZ113" t="e">
        <f>AND(Awards!F9,"AAAAABbT7YE=")</f>
        <v>#VALUE!</v>
      </c>
      <c r="EA113" t="e">
        <f>AND(Awards!G9,"AAAAABbT7YI=")</f>
        <v>#VALUE!</v>
      </c>
      <c r="EB113" t="e">
        <f>AND(Awards!H9,"AAAAABbT7YM=")</f>
        <v>#VALUE!</v>
      </c>
      <c r="EC113" t="e">
        <f>AND(Awards!I9,"AAAAABbT7YQ=")</f>
        <v>#VALUE!</v>
      </c>
      <c r="ED113" t="e">
        <f>AND(Awards!J9,"AAAAABbT7YU=")</f>
        <v>#VALUE!</v>
      </c>
      <c r="EE113" t="e">
        <f>AND(Awards!K9,"AAAAABbT7YY=")</f>
        <v>#VALUE!</v>
      </c>
      <c r="EF113" t="e">
        <f>AND(Awards!L9,"AAAAABbT7Yc=")</f>
        <v>#VALUE!</v>
      </c>
      <c r="EG113" t="e">
        <f>AND(Awards!M9,"AAAAABbT7Yg=")</f>
        <v>#VALUE!</v>
      </c>
      <c r="EH113" t="e">
        <f>AND(Awards!N9,"AAAAABbT7Yk=")</f>
        <v>#VALUE!</v>
      </c>
      <c r="EI113" t="e">
        <f>AND(Awards!O9,"AAAAABbT7Yo=")</f>
        <v>#VALUE!</v>
      </c>
      <c r="EJ113" t="e">
        <f ca="1">AND(Awards!P9,"AAAAABbT7Ys=")</f>
        <v>#N/A</v>
      </c>
      <c r="EK113" t="e">
        <f>AND(Awards!Q9,"AAAAABbT7Yw=")</f>
        <v>#VALUE!</v>
      </c>
      <c r="EL113" t="e">
        <f>AND(Awards!R9,"AAAAABbT7Y0=")</f>
        <v>#VALUE!</v>
      </c>
      <c r="EM113" t="e">
        <f>AND(Awards!S9,"AAAAABbT7Y4=")</f>
        <v>#VALUE!</v>
      </c>
      <c r="EN113" t="e">
        <f>AND(Awards!T9,"AAAAABbT7Y8=")</f>
        <v>#VALUE!</v>
      </c>
      <c r="EO113" t="e">
        <f>AND(Awards!U9,"AAAAABbT7ZA=")</f>
        <v>#VALUE!</v>
      </c>
      <c r="EP113" t="e">
        <f>AND(Awards!V9,"AAAAABbT7ZE=")</f>
        <v>#VALUE!</v>
      </c>
      <c r="EQ113" t="e">
        <f>AND(Awards!W9,"AAAAABbT7ZI=")</f>
        <v>#VALUE!</v>
      </c>
      <c r="ER113" t="e">
        <f>AND(Awards!X9,"AAAAABbT7ZM=")</f>
        <v>#VALUE!</v>
      </c>
      <c r="ES113" t="e">
        <f>AND(Awards!Y9,"AAAAABbT7ZQ=")</f>
        <v>#VALUE!</v>
      </c>
      <c r="ET113" t="e">
        <f>AND(Awards!Z9,"AAAAABbT7ZU=")</f>
        <v>#VALUE!</v>
      </c>
      <c r="EU113" t="e">
        <f>AND(Awards!AA9,"AAAAABbT7ZY=")</f>
        <v>#VALUE!</v>
      </c>
      <c r="EV113" t="e">
        <f>AND(Awards!AB9,"AAAAABbT7Zc=")</f>
        <v>#VALUE!</v>
      </c>
      <c r="EW113" t="e">
        <f>AND(Awards!AC9,"AAAAABbT7Zg=")</f>
        <v>#VALUE!</v>
      </c>
      <c r="EX113" t="e">
        <f>AND(Awards!AD9,"AAAAABbT7Zk=")</f>
        <v>#VALUE!</v>
      </c>
      <c r="EY113" t="e">
        <f>AND(Awards!AE9,"AAAAABbT7Zo=")</f>
        <v>#VALUE!</v>
      </c>
      <c r="EZ113" t="e">
        <f>AND(Awards!AF9,"AAAAABbT7Zs=")</f>
        <v>#VALUE!</v>
      </c>
      <c r="FA113" t="e">
        <f>AND(Awards!AG9,"AAAAABbT7Zw=")</f>
        <v>#VALUE!</v>
      </c>
      <c r="FB113" t="e">
        <f>AND(Awards!AH9,"AAAAABbT7Z0=")</f>
        <v>#VALUE!</v>
      </c>
      <c r="FC113">
        <f>IF(Awards!10:10,"AAAAABbT7Z4=",0)</f>
        <v>0</v>
      </c>
      <c r="FD113" t="e">
        <f>AND(Awards!A10,"AAAAABbT7Z8=")</f>
        <v>#VALUE!</v>
      </c>
      <c r="FE113" t="e">
        <f ca="1">AND(Awards!B10,"AAAAABbT7aA=")</f>
        <v>#N/A</v>
      </c>
      <c r="FF113" t="e">
        <f>AND(Awards!C10,"AAAAABbT7aE=")</f>
        <v>#VALUE!</v>
      </c>
      <c r="FG113" t="e">
        <f>AND(Awards!D10,"AAAAABbT7aI=")</f>
        <v>#VALUE!</v>
      </c>
      <c r="FH113" t="e">
        <f>AND(Awards!E10,"AAAAABbT7aM=")</f>
        <v>#VALUE!</v>
      </c>
      <c r="FI113" t="e">
        <f>AND(Awards!F10,"AAAAABbT7aQ=")</f>
        <v>#VALUE!</v>
      </c>
      <c r="FJ113" t="e">
        <f>AND(Awards!G10,"AAAAABbT7aU=")</f>
        <v>#VALUE!</v>
      </c>
      <c r="FK113" t="e">
        <f>AND(Awards!H10,"AAAAABbT7aY=")</f>
        <v>#VALUE!</v>
      </c>
      <c r="FL113" t="e">
        <f>AND(Awards!I10,"AAAAABbT7ac=")</f>
        <v>#VALUE!</v>
      </c>
      <c r="FM113" t="b">
        <f>AND(Awards!J10,"AAAAABbT7ag=")</f>
        <v>1</v>
      </c>
      <c r="FN113" t="e">
        <f ca="1">AND(Awards!K10,"AAAAABbT7ak=")</f>
        <v>#VALUE!</v>
      </c>
      <c r="FO113" t="e">
        <f ca="1">AND(Awards!L10,"AAAAABbT7ao=")</f>
        <v>#VALUE!</v>
      </c>
      <c r="FP113" t="e">
        <f ca="1">AND(Awards!M10,"AAAAABbT7as=")</f>
        <v>#VALUE!</v>
      </c>
      <c r="FQ113" t="e">
        <f ca="1">AND(Awards!N10,"AAAAABbT7aw=")</f>
        <v>#VALUE!</v>
      </c>
      <c r="FR113" t="e">
        <f ca="1">AND(Awards!O10,"AAAAABbT7a0=")</f>
        <v>#VALUE!</v>
      </c>
      <c r="FS113" t="e">
        <f ca="1">AND(Awards!P10,"AAAAABbT7a4=")</f>
        <v>#N/A</v>
      </c>
      <c r="FT113" t="e">
        <f>AND(Awards!Q10,"AAAAABbT7a8=")</f>
        <v>#VALUE!</v>
      </c>
      <c r="FU113" t="e">
        <f>AND(Awards!R10,"AAAAABbT7bA=")</f>
        <v>#VALUE!</v>
      </c>
      <c r="FV113" t="e">
        <f>AND(Awards!S10,"AAAAABbT7bE=")</f>
        <v>#VALUE!</v>
      </c>
      <c r="FW113" t="e">
        <f>AND(Awards!T10,"AAAAABbT7bI=")</f>
        <v>#VALUE!</v>
      </c>
      <c r="FX113" t="e">
        <f>AND(Awards!U10,"AAAAABbT7bM=")</f>
        <v>#VALUE!</v>
      </c>
      <c r="FY113" t="e">
        <f>AND(Awards!V10,"AAAAABbT7bQ=")</f>
        <v>#VALUE!</v>
      </c>
      <c r="FZ113" t="e">
        <f>AND(Awards!W10,"AAAAABbT7bU=")</f>
        <v>#VALUE!</v>
      </c>
      <c r="GA113" t="e">
        <f>AND(Awards!X10,"AAAAABbT7bY=")</f>
        <v>#VALUE!</v>
      </c>
      <c r="GB113" t="e">
        <f>AND(Awards!Y10,"AAAAABbT7bc=")</f>
        <v>#VALUE!</v>
      </c>
      <c r="GC113" t="e">
        <f>AND(Awards!Z10,"AAAAABbT7bg=")</f>
        <v>#VALUE!</v>
      </c>
      <c r="GD113" t="e">
        <f>AND(Awards!AA10,"AAAAABbT7bk=")</f>
        <v>#VALUE!</v>
      </c>
      <c r="GE113" t="e">
        <f>AND(Awards!AB10,"AAAAABbT7bo=")</f>
        <v>#VALUE!</v>
      </c>
      <c r="GF113" t="e">
        <f>AND(Awards!AC10,"AAAAABbT7bs=")</f>
        <v>#VALUE!</v>
      </c>
      <c r="GG113" t="e">
        <f>AND(Awards!AD10,"AAAAABbT7bw=")</f>
        <v>#VALUE!</v>
      </c>
      <c r="GH113" t="e">
        <f>AND(Awards!AE10,"AAAAABbT7b0=")</f>
        <v>#VALUE!</v>
      </c>
      <c r="GI113" t="e">
        <f>AND(Awards!AF10,"AAAAABbT7b4=")</f>
        <v>#VALUE!</v>
      </c>
      <c r="GJ113" t="e">
        <f>AND(Awards!AG10,"AAAAABbT7b8=")</f>
        <v>#VALUE!</v>
      </c>
      <c r="GK113" t="e">
        <f>AND(Awards!AH10,"AAAAABbT7cA=")</f>
        <v>#VALUE!</v>
      </c>
      <c r="GL113">
        <f>IF(Awards!11:11,"AAAAABbT7cE=",0)</f>
        <v>0</v>
      </c>
      <c r="GM113" t="e">
        <f>AND(Awards!A11,"AAAAABbT7cI=")</f>
        <v>#VALUE!</v>
      </c>
      <c r="GN113" t="e">
        <f ca="1">AND(Awards!B11,"AAAAABbT7cM=")</f>
        <v>#N/A</v>
      </c>
      <c r="GO113" t="e">
        <f>AND(Awards!C11,"AAAAABbT7cQ=")</f>
        <v>#VALUE!</v>
      </c>
      <c r="GP113" t="e">
        <f>AND(Awards!D11,"AAAAABbT7cU=")</f>
        <v>#VALUE!</v>
      </c>
      <c r="GQ113" t="e">
        <f>AND(Awards!E11,"AAAAABbT7cY=")</f>
        <v>#VALUE!</v>
      </c>
      <c r="GR113" t="e">
        <f>AND(Awards!F11,"AAAAABbT7cc=")</f>
        <v>#VALUE!</v>
      </c>
      <c r="GS113" t="e">
        <f>AND(Awards!G11,"AAAAABbT7cg=")</f>
        <v>#VALUE!</v>
      </c>
      <c r="GT113" t="e">
        <f>AND(Awards!H11,"AAAAABbT7ck=")</f>
        <v>#VALUE!</v>
      </c>
      <c r="GU113" t="e">
        <f>AND(Awards!I11,"AAAAABbT7co=")</f>
        <v>#VALUE!</v>
      </c>
      <c r="GV113" t="b">
        <f>AND(Awards!J11,"AAAAABbT7cs=")</f>
        <v>1</v>
      </c>
      <c r="GW113" t="e">
        <f ca="1">AND(Awards!K11,"AAAAABbT7cw=")</f>
        <v>#VALUE!</v>
      </c>
      <c r="GX113" t="e">
        <f ca="1">AND(Awards!L11,"AAAAABbT7c0=")</f>
        <v>#VALUE!</v>
      </c>
      <c r="GY113" t="e">
        <f ca="1">AND(Awards!M11,"AAAAABbT7c4=")</f>
        <v>#VALUE!</v>
      </c>
      <c r="GZ113" t="e">
        <f ca="1">AND(Awards!N11,"AAAAABbT7c8=")</f>
        <v>#VALUE!</v>
      </c>
      <c r="HA113" t="e">
        <f ca="1">AND(Awards!O11,"AAAAABbT7dA=")</f>
        <v>#VALUE!</v>
      </c>
      <c r="HB113" t="e">
        <f ca="1">AND(Awards!P11,"AAAAABbT7dE=")</f>
        <v>#N/A</v>
      </c>
      <c r="HC113" t="e">
        <f>AND(Awards!Q11,"AAAAABbT7dI=")</f>
        <v>#VALUE!</v>
      </c>
      <c r="HD113" t="e">
        <f>AND(Awards!R11,"AAAAABbT7dM=")</f>
        <v>#VALUE!</v>
      </c>
      <c r="HE113" t="e">
        <f>AND(Awards!S11,"AAAAABbT7dQ=")</f>
        <v>#VALUE!</v>
      </c>
      <c r="HF113" t="e">
        <f>AND(Awards!T11,"AAAAABbT7dU=")</f>
        <v>#VALUE!</v>
      </c>
      <c r="HG113" t="e">
        <f>AND(Awards!U11,"AAAAABbT7dY=")</f>
        <v>#VALUE!</v>
      </c>
      <c r="HH113" t="e">
        <f>AND(Awards!V11,"AAAAABbT7dc=")</f>
        <v>#VALUE!</v>
      </c>
      <c r="HI113" t="e">
        <f>AND(Awards!W11,"AAAAABbT7dg=")</f>
        <v>#VALUE!</v>
      </c>
      <c r="HJ113" t="e">
        <f>AND(Awards!X11,"AAAAABbT7dk=")</f>
        <v>#VALUE!</v>
      </c>
      <c r="HK113" t="e">
        <f>AND(Awards!Y11,"AAAAABbT7do=")</f>
        <v>#VALUE!</v>
      </c>
      <c r="HL113" t="e">
        <f>AND(Awards!Z11,"AAAAABbT7ds=")</f>
        <v>#VALUE!</v>
      </c>
      <c r="HM113" t="e">
        <f>AND(Awards!AA11,"AAAAABbT7dw=")</f>
        <v>#VALUE!</v>
      </c>
      <c r="HN113" t="e">
        <f>AND(Awards!AB11,"AAAAABbT7d0=")</f>
        <v>#VALUE!</v>
      </c>
      <c r="HO113" t="e">
        <f>AND(Awards!AC11,"AAAAABbT7d4=")</f>
        <v>#VALUE!</v>
      </c>
      <c r="HP113" t="e">
        <f>AND(Awards!AD11,"AAAAABbT7d8=")</f>
        <v>#VALUE!</v>
      </c>
      <c r="HQ113" t="e">
        <f>AND(Awards!AE11,"AAAAABbT7eA=")</f>
        <v>#VALUE!</v>
      </c>
      <c r="HR113" t="e">
        <f>AND(Awards!AF11,"AAAAABbT7eE=")</f>
        <v>#VALUE!</v>
      </c>
      <c r="HS113" t="e">
        <f>AND(Awards!AG11,"AAAAABbT7eI=")</f>
        <v>#VALUE!</v>
      </c>
      <c r="HT113" t="e">
        <f>AND(Awards!AH11,"AAAAABbT7eM=")</f>
        <v>#VALUE!</v>
      </c>
      <c r="HU113">
        <f>IF(Awards!12:12,"AAAAABbT7eQ=",0)</f>
        <v>0</v>
      </c>
      <c r="HV113" t="e">
        <f>AND(Awards!A12,"AAAAABbT7eU=")</f>
        <v>#VALUE!</v>
      </c>
      <c r="HW113" t="e">
        <f ca="1">AND(Awards!B12,"AAAAABbT7eY=")</f>
        <v>#N/A</v>
      </c>
      <c r="HX113" t="e">
        <f>AND(Awards!C12,"AAAAABbT7ec=")</f>
        <v>#VALUE!</v>
      </c>
      <c r="HY113" t="e">
        <f>AND(Awards!D12,"AAAAABbT7eg=")</f>
        <v>#VALUE!</v>
      </c>
      <c r="HZ113" t="e">
        <f>AND(Awards!E12,"AAAAABbT7ek=")</f>
        <v>#VALUE!</v>
      </c>
      <c r="IA113" t="e">
        <f>AND(Awards!F12,"AAAAABbT7eo=")</f>
        <v>#VALUE!</v>
      </c>
      <c r="IB113" t="e">
        <f>AND(Awards!G12,"AAAAABbT7es=")</f>
        <v>#VALUE!</v>
      </c>
      <c r="IC113" t="e">
        <f>AND(Awards!H12,"AAAAABbT7ew=")</f>
        <v>#VALUE!</v>
      </c>
      <c r="ID113" t="e">
        <f>AND(Awards!I12,"AAAAABbT7e0=")</f>
        <v>#VALUE!</v>
      </c>
      <c r="IE113" t="b">
        <f>AND(Awards!J12,"AAAAABbT7e4=")</f>
        <v>1</v>
      </c>
      <c r="IF113" t="e">
        <f ca="1">AND(Awards!K12,"AAAAABbT7e8=")</f>
        <v>#VALUE!</v>
      </c>
      <c r="IG113" t="e">
        <f ca="1">AND(Awards!L12,"AAAAABbT7fA=")</f>
        <v>#VALUE!</v>
      </c>
      <c r="IH113" t="e">
        <f ca="1">AND(Awards!M12,"AAAAABbT7fE=")</f>
        <v>#VALUE!</v>
      </c>
      <c r="II113" t="e">
        <f ca="1">AND(Awards!N12,"AAAAABbT7fI=")</f>
        <v>#VALUE!</v>
      </c>
      <c r="IJ113" t="e">
        <f ca="1">AND(Awards!O12,"AAAAABbT7fM=")</f>
        <v>#VALUE!</v>
      </c>
      <c r="IK113" t="e">
        <f ca="1">AND(Awards!P12,"AAAAABbT7fQ=")</f>
        <v>#N/A</v>
      </c>
      <c r="IL113" t="e">
        <f>AND(Awards!Q12,"AAAAABbT7fU=")</f>
        <v>#VALUE!</v>
      </c>
      <c r="IM113" t="e">
        <f>AND(Awards!R12,"AAAAABbT7fY=")</f>
        <v>#VALUE!</v>
      </c>
      <c r="IN113" t="e">
        <f>AND(Awards!S12,"AAAAABbT7fc=")</f>
        <v>#VALUE!</v>
      </c>
      <c r="IO113" t="e">
        <f>AND(Awards!T12,"AAAAABbT7fg=")</f>
        <v>#VALUE!</v>
      </c>
      <c r="IP113" t="e">
        <f>AND(Awards!U12,"AAAAABbT7fk=")</f>
        <v>#VALUE!</v>
      </c>
      <c r="IQ113" t="e">
        <f>AND(Awards!V12,"AAAAABbT7fo=")</f>
        <v>#VALUE!</v>
      </c>
      <c r="IR113" t="e">
        <f>AND(Awards!W12,"AAAAABbT7fs=")</f>
        <v>#VALUE!</v>
      </c>
      <c r="IS113" t="e">
        <f>AND(Awards!X12,"AAAAABbT7fw=")</f>
        <v>#VALUE!</v>
      </c>
      <c r="IT113" t="e">
        <f>AND(Awards!Y12,"AAAAABbT7f0=")</f>
        <v>#VALUE!</v>
      </c>
      <c r="IU113" t="e">
        <f>AND(Awards!Z12,"AAAAABbT7f4=")</f>
        <v>#VALUE!</v>
      </c>
      <c r="IV113" t="e">
        <f>AND(Awards!AA12,"AAAAABbT7f8=")</f>
        <v>#VALUE!</v>
      </c>
    </row>
    <row r="114" spans="1:256">
      <c r="A114" t="e">
        <f>AND(Awards!AB12,"AAAAAHrq2wA=")</f>
        <v>#VALUE!</v>
      </c>
      <c r="B114" t="e">
        <f>AND(Awards!AC12,"AAAAAHrq2wE=")</f>
        <v>#VALUE!</v>
      </c>
      <c r="C114" t="e">
        <f>AND(Awards!AD12,"AAAAAHrq2wI=")</f>
        <v>#VALUE!</v>
      </c>
      <c r="D114" t="e">
        <f>AND(Awards!AE12,"AAAAAHrq2wM=")</f>
        <v>#VALUE!</v>
      </c>
      <c r="E114" t="e">
        <f>AND(Awards!AF12,"AAAAAHrq2wQ=")</f>
        <v>#VALUE!</v>
      </c>
      <c r="F114" t="e">
        <f>AND(Awards!AG12,"AAAAAHrq2wU=")</f>
        <v>#VALUE!</v>
      </c>
      <c r="G114" t="e">
        <f>AND(Awards!AH12,"AAAAAHrq2wY=")</f>
        <v>#VALUE!</v>
      </c>
      <c r="H114">
        <f>IF(Awards!13:13,"AAAAAHrq2wc=",0)</f>
        <v>0</v>
      </c>
      <c r="I114" t="e">
        <f>AND(Awards!A13,"AAAAAHrq2wg=")</f>
        <v>#VALUE!</v>
      </c>
      <c r="J114" t="e">
        <f ca="1">AND(Awards!B13,"AAAAAHrq2wk=")</f>
        <v>#N/A</v>
      </c>
      <c r="K114" t="e">
        <f>AND(Awards!C13,"AAAAAHrq2wo=")</f>
        <v>#VALUE!</v>
      </c>
      <c r="L114" t="e">
        <f>AND(Awards!D13,"AAAAAHrq2ws=")</f>
        <v>#VALUE!</v>
      </c>
      <c r="M114" t="e">
        <f>AND(Awards!E13,"AAAAAHrq2ww=")</f>
        <v>#VALUE!</v>
      </c>
      <c r="N114" t="e">
        <f>AND(Awards!F13,"AAAAAHrq2w0=")</f>
        <v>#VALUE!</v>
      </c>
      <c r="O114" t="e">
        <f>AND(Awards!G13,"AAAAAHrq2w4=")</f>
        <v>#VALUE!</v>
      </c>
      <c r="P114" t="e">
        <f>AND(Awards!H13,"AAAAAHrq2w8=")</f>
        <v>#VALUE!</v>
      </c>
      <c r="Q114" t="e">
        <f>AND(Awards!I13,"AAAAAHrq2xA=")</f>
        <v>#VALUE!</v>
      </c>
      <c r="R114" t="b">
        <f>AND(Awards!J13,"AAAAAHrq2xE=")</f>
        <v>1</v>
      </c>
      <c r="S114" t="e">
        <f ca="1">AND(Awards!K13,"AAAAAHrq2xI=")</f>
        <v>#VALUE!</v>
      </c>
      <c r="T114" t="e">
        <f ca="1">AND(Awards!L13,"AAAAAHrq2xM=")</f>
        <v>#VALUE!</v>
      </c>
      <c r="U114" t="e">
        <f ca="1">AND(Awards!M13,"AAAAAHrq2xQ=")</f>
        <v>#VALUE!</v>
      </c>
      <c r="V114" t="e">
        <f ca="1">AND(Awards!N13,"AAAAAHrq2xU=")</f>
        <v>#VALUE!</v>
      </c>
      <c r="W114" t="e">
        <f ca="1">AND(Awards!O13,"AAAAAHrq2xY=")</f>
        <v>#VALUE!</v>
      </c>
      <c r="X114" t="e">
        <f ca="1">AND(Awards!P13,"AAAAAHrq2xc=")</f>
        <v>#N/A</v>
      </c>
      <c r="Y114" t="e">
        <f>AND(Awards!Q13,"AAAAAHrq2xg=")</f>
        <v>#VALUE!</v>
      </c>
      <c r="Z114" t="e">
        <f>AND(Awards!R13,"AAAAAHrq2xk=")</f>
        <v>#VALUE!</v>
      </c>
      <c r="AA114" t="e">
        <f>AND(Awards!S13,"AAAAAHrq2xo=")</f>
        <v>#VALUE!</v>
      </c>
      <c r="AB114" t="e">
        <f>AND(Awards!T13,"AAAAAHrq2xs=")</f>
        <v>#VALUE!</v>
      </c>
      <c r="AC114" t="e">
        <f>AND(Awards!U13,"AAAAAHrq2xw=")</f>
        <v>#VALUE!</v>
      </c>
      <c r="AD114" t="e">
        <f>AND(Awards!V13,"AAAAAHrq2x0=")</f>
        <v>#VALUE!</v>
      </c>
      <c r="AE114" t="e">
        <f>AND(Awards!W13,"AAAAAHrq2x4=")</f>
        <v>#VALUE!</v>
      </c>
      <c r="AF114" t="e">
        <f>AND(Awards!X13,"AAAAAHrq2x8=")</f>
        <v>#VALUE!</v>
      </c>
      <c r="AG114" t="e">
        <f>AND(Awards!Y13,"AAAAAHrq2yA=")</f>
        <v>#VALUE!</v>
      </c>
      <c r="AH114" t="e">
        <f>AND(Awards!Z13,"AAAAAHrq2yE=")</f>
        <v>#VALUE!</v>
      </c>
      <c r="AI114" t="e">
        <f>AND(Awards!AA13,"AAAAAHrq2yI=")</f>
        <v>#VALUE!</v>
      </c>
      <c r="AJ114" t="e">
        <f>AND(Awards!AB13,"AAAAAHrq2yM=")</f>
        <v>#VALUE!</v>
      </c>
      <c r="AK114" t="e">
        <f>AND(Awards!AC13,"AAAAAHrq2yQ=")</f>
        <v>#VALUE!</v>
      </c>
      <c r="AL114" t="e">
        <f>AND(Awards!AD13,"AAAAAHrq2yU=")</f>
        <v>#VALUE!</v>
      </c>
      <c r="AM114" t="e">
        <f>AND(Awards!AE13,"AAAAAHrq2yY=")</f>
        <v>#VALUE!</v>
      </c>
      <c r="AN114" t="e">
        <f>AND(Awards!AF13,"AAAAAHrq2yc=")</f>
        <v>#VALUE!</v>
      </c>
      <c r="AO114" t="e">
        <f>AND(Awards!AG13,"AAAAAHrq2yg=")</f>
        <v>#VALUE!</v>
      </c>
      <c r="AP114" t="e">
        <f>AND(Awards!AH13,"AAAAAHrq2yk=")</f>
        <v>#VALUE!</v>
      </c>
      <c r="AQ114">
        <f>IF(Awards!14:14,"AAAAAHrq2yo=",0)</f>
        <v>0</v>
      </c>
      <c r="AR114" t="e">
        <f>AND(Awards!A14,"AAAAAHrq2ys=")</f>
        <v>#VALUE!</v>
      </c>
      <c r="AS114" t="e">
        <f ca="1">AND(Awards!B14,"AAAAAHrq2yw=")</f>
        <v>#N/A</v>
      </c>
      <c r="AT114" t="e">
        <f>AND(Awards!C14,"AAAAAHrq2y0=")</f>
        <v>#VALUE!</v>
      </c>
      <c r="AU114" t="e">
        <f>AND(Awards!D14,"AAAAAHrq2y4=")</f>
        <v>#VALUE!</v>
      </c>
      <c r="AV114" t="e">
        <f>AND(Awards!E14,"AAAAAHrq2y8=")</f>
        <v>#VALUE!</v>
      </c>
      <c r="AW114" t="e">
        <f>AND(Awards!F14,"AAAAAHrq2zA=")</f>
        <v>#VALUE!</v>
      </c>
      <c r="AX114" t="e">
        <f>AND(Awards!G14,"AAAAAHrq2zE=")</f>
        <v>#VALUE!</v>
      </c>
      <c r="AY114" t="e">
        <f>AND(Awards!H14,"AAAAAHrq2zI=")</f>
        <v>#VALUE!</v>
      </c>
      <c r="AZ114" t="e">
        <f>AND(Awards!I14,"AAAAAHrq2zM=")</f>
        <v>#VALUE!</v>
      </c>
      <c r="BA114" t="b">
        <f>AND(Awards!J14,"AAAAAHrq2zQ=")</f>
        <v>1</v>
      </c>
      <c r="BB114" t="e">
        <f ca="1">AND(Awards!K14,"AAAAAHrq2zU=")</f>
        <v>#VALUE!</v>
      </c>
      <c r="BC114" t="e">
        <f ca="1">AND(Awards!L14,"AAAAAHrq2zY=")</f>
        <v>#VALUE!</v>
      </c>
      <c r="BD114" t="e">
        <f ca="1">AND(Awards!M14,"AAAAAHrq2zc=")</f>
        <v>#VALUE!</v>
      </c>
      <c r="BE114" t="e">
        <f ca="1">AND(Awards!N14,"AAAAAHrq2zg=")</f>
        <v>#VALUE!</v>
      </c>
      <c r="BF114" t="e">
        <f ca="1">AND(Awards!O14,"AAAAAHrq2zk=")</f>
        <v>#VALUE!</v>
      </c>
      <c r="BG114" t="e">
        <f ca="1">AND(Awards!P14,"AAAAAHrq2zo=")</f>
        <v>#N/A</v>
      </c>
      <c r="BH114" t="e">
        <f>AND(Awards!Q14,"AAAAAHrq2zs=")</f>
        <v>#VALUE!</v>
      </c>
      <c r="BI114" t="e">
        <f>AND(Awards!R14,"AAAAAHrq2zw=")</f>
        <v>#VALUE!</v>
      </c>
      <c r="BJ114" t="e">
        <f>AND(Awards!S14,"AAAAAHrq2z0=")</f>
        <v>#VALUE!</v>
      </c>
      <c r="BK114" t="e">
        <f>AND(Awards!T14,"AAAAAHrq2z4=")</f>
        <v>#VALUE!</v>
      </c>
      <c r="BL114" t="e">
        <f>AND(Awards!U14,"AAAAAHrq2z8=")</f>
        <v>#VALUE!</v>
      </c>
      <c r="BM114" t="e">
        <f>AND(Awards!V14,"AAAAAHrq20A=")</f>
        <v>#VALUE!</v>
      </c>
      <c r="BN114" t="e">
        <f>AND(Awards!W14,"AAAAAHrq20E=")</f>
        <v>#VALUE!</v>
      </c>
      <c r="BO114" t="e">
        <f>AND(Awards!X14,"AAAAAHrq20I=")</f>
        <v>#VALUE!</v>
      </c>
      <c r="BP114" t="e">
        <f>AND(Awards!Y14,"AAAAAHrq20M=")</f>
        <v>#VALUE!</v>
      </c>
      <c r="BQ114" t="e">
        <f>AND(Awards!Z14,"AAAAAHrq20Q=")</f>
        <v>#VALUE!</v>
      </c>
      <c r="BR114" t="e">
        <f>AND(Awards!AA14,"AAAAAHrq20U=")</f>
        <v>#VALUE!</v>
      </c>
      <c r="BS114" t="e">
        <f>AND(Awards!AB14,"AAAAAHrq20Y=")</f>
        <v>#VALUE!</v>
      </c>
      <c r="BT114" t="e">
        <f>AND(Awards!AC14,"AAAAAHrq20c=")</f>
        <v>#VALUE!</v>
      </c>
      <c r="BU114" t="e">
        <f>AND(Awards!AD14,"AAAAAHrq20g=")</f>
        <v>#VALUE!</v>
      </c>
      <c r="BV114" t="e">
        <f>AND(Awards!AE14,"AAAAAHrq20k=")</f>
        <v>#VALUE!</v>
      </c>
      <c r="BW114" t="e">
        <f>AND(Awards!AF14,"AAAAAHrq20o=")</f>
        <v>#VALUE!</v>
      </c>
      <c r="BX114" t="e">
        <f>AND(Awards!AG14,"AAAAAHrq20s=")</f>
        <v>#VALUE!</v>
      </c>
      <c r="BY114" t="e">
        <f>AND(Awards!AH14,"AAAAAHrq20w=")</f>
        <v>#VALUE!</v>
      </c>
      <c r="BZ114">
        <f>IF(Awards!15:15,"AAAAAHrq200=",0)</f>
        <v>0</v>
      </c>
      <c r="CA114">
        <f>IF(Awards!16:16,"AAAAAHrq204=",0)</f>
        <v>0</v>
      </c>
      <c r="CB114">
        <f>IF(Awards!17:17,"AAAAAHrq208=",0)</f>
        <v>0</v>
      </c>
      <c r="CC114">
        <f>IF(Awards!18:18,"AAAAAHrq21A=",0)</f>
        <v>0</v>
      </c>
      <c r="CD114">
        <f>IF(Awards!19:19,"AAAAAHrq21E=",0)</f>
        <v>0</v>
      </c>
      <c r="CE114">
        <f>IF(Awards!20:20,"AAAAAHrq21I=",0)</f>
        <v>0</v>
      </c>
      <c r="CF114">
        <f>IF(Awards!21:21,"AAAAAHrq21M=",0)</f>
        <v>0</v>
      </c>
      <c r="CG114">
        <f>IF(Awards!22:22,"AAAAAHrq21Q=",0)</f>
        <v>0</v>
      </c>
      <c r="CH114">
        <f>IF(Awards!23:23,"AAAAAHrq21U=",0)</f>
        <v>0</v>
      </c>
      <c r="CI114">
        <f>IF(Awards!24:24,"AAAAAHrq21Y=",0)</f>
        <v>0</v>
      </c>
      <c r="CJ114">
        <f>IF(Awards!25:25,"AAAAAHrq21c=",0)</f>
        <v>0</v>
      </c>
      <c r="CK114">
        <f>IF(Awards!26:26,"AAAAAHrq21g=",0)</f>
        <v>0</v>
      </c>
      <c r="CL114">
        <f>IF(Awards!27:27,"AAAAAHrq21k=",0)</f>
        <v>0</v>
      </c>
      <c r="CM114">
        <f>IF(Awards!28:28,"AAAAAHrq21o=",0)</f>
        <v>0</v>
      </c>
      <c r="CN114">
        <f>IF(Awards!29:29,"AAAAAHrq21s=",0)</f>
        <v>0</v>
      </c>
      <c r="CO114">
        <f>IF(Awards!30:30,"AAAAAHrq21w=",0)</f>
        <v>0</v>
      </c>
      <c r="CP114">
        <f>IF(Awards!31:31,"AAAAAHrq210=",0)</f>
        <v>0</v>
      </c>
      <c r="CQ114">
        <f>IF(Awards!32:32,"AAAAAHrq214=",0)</f>
        <v>0</v>
      </c>
      <c r="CR114">
        <f>IF(Awards!33:33,"AAAAAHrq218=",0)</f>
        <v>0</v>
      </c>
      <c r="CS114">
        <f>IF(Awards!34:34,"AAAAAHrq22A=",0)</f>
        <v>0</v>
      </c>
      <c r="CT114">
        <f>IF(Awards!35:35,"AAAAAHrq22E=",0)</f>
        <v>0</v>
      </c>
      <c r="CU114">
        <f>IF(Awards!36:36,"AAAAAHrq22I=",0)</f>
        <v>0</v>
      </c>
      <c r="CV114">
        <f>IF(Awards!37:37,"AAAAAHrq22M=",0)</f>
        <v>0</v>
      </c>
      <c r="CW114">
        <f>IF(Awards!38:38,"AAAAAHrq22Q=",0)</f>
        <v>0</v>
      </c>
      <c r="CX114">
        <f>IF(Awards!39:39,"AAAAAHrq22U=",0)</f>
        <v>0</v>
      </c>
      <c r="CY114">
        <f>IF(Awards!40:40,"AAAAAHrq22Y=",0)</f>
        <v>0</v>
      </c>
      <c r="CZ114">
        <f>IF(Awards!41:41,"AAAAAHrq22c=",0)</f>
        <v>0</v>
      </c>
      <c r="DA114">
        <f>IF(Awards!42:42,"AAAAAHrq22g=",0)</f>
        <v>0</v>
      </c>
      <c r="DB114">
        <f>IF(Awards!43:43,"AAAAAHrq22k=",0)</f>
        <v>0</v>
      </c>
      <c r="DC114">
        <f>IF(Awards!44:44,"AAAAAHrq22o=",0)</f>
        <v>0</v>
      </c>
      <c r="DD114">
        <f>IF(Awards!45:45,"AAAAAHrq22s=",0)</f>
        <v>0</v>
      </c>
      <c r="DE114">
        <f>IF(Awards!46:46,"AAAAAHrq22w=",0)</f>
        <v>0</v>
      </c>
      <c r="DF114">
        <f>IF(Awards!47:47,"AAAAAHrq220=",0)</f>
        <v>0</v>
      </c>
      <c r="DG114">
        <f>IF(Awards!48:48,"AAAAAHrq224=",0)</f>
        <v>0</v>
      </c>
      <c r="DH114">
        <f>IF(Awards!49:49,"AAAAAHrq228=",0)</f>
        <v>0</v>
      </c>
      <c r="DI114">
        <f>IF(Awards!50:50,"AAAAAHrq23A=",0)</f>
        <v>0</v>
      </c>
      <c r="DJ114">
        <f>IF(Awards!51:51,"AAAAAHrq23E=",0)</f>
        <v>0</v>
      </c>
      <c r="DK114">
        <f>IF(Awards!52:52,"AAAAAHrq23I=",0)</f>
        <v>0</v>
      </c>
      <c r="DL114">
        <f>IF(Awards!53:53,"AAAAAHrq23M=",0)</f>
        <v>0</v>
      </c>
      <c r="DM114">
        <f>IF(Awards!54:54,"AAAAAHrq23Q=",0)</f>
        <v>0</v>
      </c>
      <c r="DN114">
        <f>IF(Awards!55:55,"AAAAAHrq23U=",0)</f>
        <v>0</v>
      </c>
      <c r="DO114">
        <f>IF(Awards!56:56,"AAAAAHrq23Y=",0)</f>
        <v>0</v>
      </c>
      <c r="DP114">
        <f>IF(Awards!57:57,"AAAAAHrq23c=",0)</f>
        <v>0</v>
      </c>
      <c r="DQ114">
        <f>IF(Awards!58:58,"AAAAAHrq23g=",0)</f>
        <v>0</v>
      </c>
      <c r="DR114">
        <f>IF(Awards!59:59,"AAAAAHrq23k=",0)</f>
        <v>0</v>
      </c>
      <c r="DS114">
        <f>IF(Awards!60:60,"AAAAAHrq23o=",0)</f>
        <v>0</v>
      </c>
      <c r="DT114">
        <f>IF(Awards!61:61,"AAAAAHrq23s=",0)</f>
        <v>0</v>
      </c>
      <c r="DU114">
        <f>IF(Awards!62:62,"AAAAAHrq23w=",0)</f>
        <v>0</v>
      </c>
      <c r="DV114">
        <f>IF(Awards!63:63,"AAAAAHrq230=",0)</f>
        <v>0</v>
      </c>
      <c r="DW114">
        <f>IF(Awards!64:64,"AAAAAHrq234=",0)</f>
        <v>0</v>
      </c>
      <c r="DX114">
        <f>IF(Awards!65:65,"AAAAAHrq238=",0)</f>
        <v>0</v>
      </c>
      <c r="DY114">
        <f>IF(Awards!66:66,"AAAAAHrq24A=",0)</f>
        <v>0</v>
      </c>
      <c r="DZ114">
        <f>IF(Awards!67:67,"AAAAAHrq24E=",0)</f>
        <v>0</v>
      </c>
      <c r="EA114">
        <f>IF(Awards!68:68,"AAAAAHrq24I=",0)</f>
        <v>0</v>
      </c>
      <c r="EB114">
        <f>IF(Awards!69:69,"AAAAAHrq24M=",0)</f>
        <v>0</v>
      </c>
      <c r="EC114">
        <f>IF(Awards!70:70,"AAAAAHrq24Q=",0)</f>
        <v>0</v>
      </c>
      <c r="ED114">
        <f>IF(Awards!71:71,"AAAAAHrq24U=",0)</f>
        <v>0</v>
      </c>
      <c r="EE114">
        <f>IF(Awards!72:72,"AAAAAHrq24Y=",0)</f>
        <v>0</v>
      </c>
      <c r="EF114">
        <f>IF(Awards!73:73,"AAAAAHrq24c=",0)</f>
        <v>0</v>
      </c>
      <c r="EG114">
        <f>IF(Awards!74:74,"AAAAAHrq24g=",0)</f>
        <v>0</v>
      </c>
      <c r="EH114">
        <f>IF(Awards!75:75,"AAAAAHrq24k=",0)</f>
        <v>0</v>
      </c>
      <c r="EI114">
        <f>IF(Awards!76:76,"AAAAAHrq24o=",0)</f>
        <v>0</v>
      </c>
      <c r="EJ114">
        <f>IF(Awards!77:77,"AAAAAHrq24s=",0)</f>
        <v>0</v>
      </c>
      <c r="EK114">
        <f>IF(Awards!78:78,"AAAAAHrq24w=",0)</f>
        <v>0</v>
      </c>
      <c r="EL114">
        <f>IF(Awards!79:79,"AAAAAHrq240=",0)</f>
        <v>0</v>
      </c>
      <c r="EM114">
        <f>IF(Awards!80:80,"AAAAAHrq244=",0)</f>
        <v>0</v>
      </c>
      <c r="EN114">
        <f>IF(Awards!81:81,"AAAAAHrq248=",0)</f>
        <v>0</v>
      </c>
      <c r="EO114">
        <f>IF(Awards!82:82,"AAAAAHrq25A=",0)</f>
        <v>0</v>
      </c>
      <c r="EP114">
        <f>IF(Awards!83:83,"AAAAAHrq25E=",0)</f>
        <v>0</v>
      </c>
      <c r="EQ114">
        <f>IF(Awards!84:84,"AAAAAHrq25I=",0)</f>
        <v>0</v>
      </c>
      <c r="ER114">
        <f>IF(Awards!85:85,"AAAAAHrq25M=",0)</f>
        <v>0</v>
      </c>
      <c r="ES114">
        <f>IF(Awards!86:86,"AAAAAHrq25Q=",0)</f>
        <v>0</v>
      </c>
      <c r="ET114">
        <f>IF(Awards!87:87,"AAAAAHrq25U=",0)</f>
        <v>0</v>
      </c>
      <c r="EU114">
        <f>IF(Awards!88:88,"AAAAAHrq25Y=",0)</f>
        <v>0</v>
      </c>
      <c r="EV114">
        <f>IF(Awards!89:89,"AAAAAHrq25c=",0)</f>
        <v>0</v>
      </c>
      <c r="EW114">
        <f>IF(Awards!90:90,"AAAAAHrq25g=",0)</f>
        <v>0</v>
      </c>
      <c r="EX114">
        <f>IF(Awards!91:91,"AAAAAHrq25k=",0)</f>
        <v>0</v>
      </c>
      <c r="EY114">
        <f>IF(Awards!92:92,"AAAAAHrq25o=",0)</f>
        <v>0</v>
      </c>
      <c r="EZ114">
        <f>IF(Awards!93:93,"AAAAAHrq25s=",0)</f>
        <v>0</v>
      </c>
      <c r="FA114">
        <f>IF(Awards!94:94,"AAAAAHrq25w=",0)</f>
        <v>0</v>
      </c>
      <c r="FB114">
        <f>IF(Awards!95:95,"AAAAAHrq250=",0)</f>
        <v>0</v>
      </c>
      <c r="FC114">
        <f>IF(Awards!96:96,"AAAAAHrq254=",0)</f>
        <v>0</v>
      </c>
      <c r="FD114">
        <f>IF(Awards!97:97,"AAAAAHrq258=",0)</f>
        <v>0</v>
      </c>
      <c r="FE114">
        <f>IF(Awards!98:98,"AAAAAHrq26A=",0)</f>
        <v>0</v>
      </c>
      <c r="FF114">
        <f>IF(Awards!99:99,"AAAAAHrq26E=",0)</f>
        <v>0</v>
      </c>
      <c r="FG114">
        <f>IF(Awards!100:100,"AAAAAHrq26I=",0)</f>
        <v>0</v>
      </c>
      <c r="FH114">
        <f>IF(Awards!101:101,"AAAAAHrq26M=",0)</f>
        <v>0</v>
      </c>
      <c r="FI114">
        <f>IF(Awards!102:102,"AAAAAHrq26Q=",0)</f>
        <v>0</v>
      </c>
      <c r="FJ114">
        <f>IF(Awards!103:103,"AAAAAHrq26U=",0)</f>
        <v>0</v>
      </c>
      <c r="FK114">
        <f>IF(Awards!104:104,"AAAAAHrq26Y=",0)</f>
        <v>0</v>
      </c>
      <c r="FL114">
        <f>IF(Awards!A:A,"AAAAAHrq26c=",0)</f>
        <v>0</v>
      </c>
      <c r="FM114">
        <f>IF(Awards!B:B,"AAAAAHrq26g=",0)</f>
        <v>0</v>
      </c>
      <c r="FN114">
        <f>IF(Awards!C:C,"AAAAAHrq26k=",0)</f>
        <v>0</v>
      </c>
      <c r="FO114">
        <f>IF(Awards!D:D,"AAAAAHrq26o=",0)</f>
        <v>0</v>
      </c>
      <c r="FP114">
        <f>IF(Awards!E:E,"AAAAAHrq26s=",0)</f>
        <v>0</v>
      </c>
      <c r="FQ114">
        <f>IF(Awards!F:F,"AAAAAHrq26w=",0)</f>
        <v>0</v>
      </c>
      <c r="FR114">
        <f>IF(Awards!G:G,"AAAAAHrq260=",0)</f>
        <v>0</v>
      </c>
      <c r="FS114">
        <f>IF(Awards!H:H,"AAAAAHrq264=",0)</f>
        <v>0</v>
      </c>
      <c r="FT114">
        <f>IF(Awards!I:I,"AAAAAHrq268=",0)</f>
        <v>0</v>
      </c>
      <c r="FU114">
        <f>IF(Awards!J:J,"AAAAAHrq27A=",0)</f>
        <v>0</v>
      </c>
      <c r="FV114">
        <f>IF(Awards!K:K,"AAAAAHrq27E=",0)</f>
        <v>0</v>
      </c>
      <c r="FW114">
        <f>IF(Awards!L:L,"AAAAAHrq27I=",0)</f>
        <v>0</v>
      </c>
      <c r="FX114">
        <f>IF(Awards!M:M,"AAAAAHrq27M=",0)</f>
        <v>0</v>
      </c>
      <c r="FY114">
        <f>IF(Awards!N:N,"AAAAAHrq27Q=",0)</f>
        <v>0</v>
      </c>
      <c r="FZ114">
        <f>IF(Awards!O:O,"AAAAAHrq27U=",0)</f>
        <v>0</v>
      </c>
      <c r="GA114">
        <f>IF(Awards!P:P,"AAAAAHrq27Y=",0)</f>
        <v>0</v>
      </c>
      <c r="GB114">
        <f>IF(Awards!Q:Q,"AAAAAHrq27c=",0)</f>
        <v>0</v>
      </c>
      <c r="GC114">
        <f>IF(Awards!R:R,"AAAAAHrq27g=",0)</f>
        <v>0</v>
      </c>
      <c r="GD114">
        <f>IF(Awards!S:S,"AAAAAHrq27k=",0)</f>
        <v>0</v>
      </c>
      <c r="GE114">
        <f>IF(Awards!T:T,"AAAAAHrq27o=",0)</f>
        <v>0</v>
      </c>
      <c r="GF114">
        <f>IF(Awards!U:U,"AAAAAHrq27s=",0)</f>
        <v>0</v>
      </c>
      <c r="GG114">
        <f>IF(Awards!V:V,"AAAAAHrq27w=",0)</f>
        <v>0</v>
      </c>
      <c r="GH114">
        <f>IF(Awards!W:W,"AAAAAHrq270=",0)</f>
        <v>0</v>
      </c>
      <c r="GI114">
        <f>IF(Awards!X:X,"AAAAAHrq274=",0)</f>
        <v>0</v>
      </c>
      <c r="GJ114">
        <f>IF(Awards!Y:Y,"AAAAAHrq278=",0)</f>
        <v>0</v>
      </c>
      <c r="GK114">
        <f>IF(Awards!Z:Z,"AAAAAHrq28A=",0)</f>
        <v>0</v>
      </c>
      <c r="GL114">
        <f>IF(Awards!AA:AA,"AAAAAHrq28E=",0)</f>
        <v>0</v>
      </c>
      <c r="GM114">
        <f>IF(Awards!AB:AB,"AAAAAHrq28I=",0)</f>
        <v>0</v>
      </c>
      <c r="GN114">
        <f>IF(Awards!AC:AC,"AAAAAHrq28M=",0)</f>
        <v>0</v>
      </c>
      <c r="GO114">
        <f>IF(Awards!AD:AD,"AAAAAHrq28Q=",0)</f>
        <v>0</v>
      </c>
      <c r="GP114">
        <f>IF(Awards!AE:AE,"AAAAAHrq28U=",0)</f>
        <v>0</v>
      </c>
      <c r="GQ114">
        <f>IF(Awards!AF:AF,"AAAAAHrq28Y=",0)</f>
        <v>0</v>
      </c>
      <c r="GR114">
        <f>IF(Awards!AG:AG,"AAAAAHrq28c=",0)</f>
        <v>0</v>
      </c>
      <c r="GS114">
        <f>IF(Awards!AH:AH,"AAAAAHrq28g=",0)</f>
        <v>0</v>
      </c>
      <c r="GT114">
        <f>IF('Please read'!1:1,"AAAAAHrq28k=",0)</f>
        <v>0</v>
      </c>
      <c r="GU114" t="e">
        <f>AND('Please read'!B1,"AAAAAHrq28o=")</f>
        <v>#VALUE!</v>
      </c>
      <c r="GV114" t="e">
        <f>AND('Please read'!C1,"AAAAAHrq28s=")</f>
        <v>#VALUE!</v>
      </c>
      <c r="GW114" t="e">
        <f>AND('Please read'!D1,"AAAAAHrq28w=")</f>
        <v>#VALUE!</v>
      </c>
      <c r="GX114" t="e">
        <f>AND('Please read'!E1,"AAAAAHrq280=")</f>
        <v>#VALUE!</v>
      </c>
      <c r="GY114" t="e">
        <f>AND('Please read'!F1,"AAAAAHrq284=")</f>
        <v>#VALUE!</v>
      </c>
      <c r="GZ114" t="e">
        <f>AND('Please read'!G1,"AAAAAHrq288=")</f>
        <v>#VALUE!</v>
      </c>
      <c r="HA114" t="e">
        <f>AND('Please read'!H1,"AAAAAHrq29A=")</f>
        <v>#VALUE!</v>
      </c>
      <c r="HB114" t="e">
        <f>AND('Please read'!I1,"AAAAAHrq29E=")</f>
        <v>#VALUE!</v>
      </c>
      <c r="HC114" t="e">
        <f>AND('Please read'!J1,"AAAAAHrq29I=")</f>
        <v>#VALUE!</v>
      </c>
      <c r="HD114" t="e">
        <f>AND('Please read'!K1,"AAAAAHrq29M=")</f>
        <v>#VALUE!</v>
      </c>
      <c r="HE114" t="e">
        <f>AND('Please read'!L1,"AAAAAHrq29Q=")</f>
        <v>#VALUE!</v>
      </c>
      <c r="HF114" t="e">
        <f>AND('Please read'!M1,"AAAAAHrq29U=")</f>
        <v>#VALUE!</v>
      </c>
      <c r="HG114" t="e">
        <f>AND('Please read'!N1,"AAAAAHrq29Y=")</f>
        <v>#VALUE!</v>
      </c>
      <c r="HH114">
        <f>IF('Please read'!2:2,"AAAAAHrq29c=",0)</f>
        <v>0</v>
      </c>
      <c r="HI114" t="e">
        <f>AND('Please read'!B2,"AAAAAHrq29g=")</f>
        <v>#VALUE!</v>
      </c>
      <c r="HJ114" t="e">
        <f>AND('Please read'!C2,"AAAAAHrq29k=")</f>
        <v>#VALUE!</v>
      </c>
      <c r="HK114" t="e">
        <f>AND('Please read'!D2,"AAAAAHrq29o=")</f>
        <v>#VALUE!</v>
      </c>
      <c r="HL114" t="e">
        <f>AND('Please read'!E2,"AAAAAHrq29s=")</f>
        <v>#VALUE!</v>
      </c>
      <c r="HM114" t="e">
        <f>AND('Please read'!F2,"AAAAAHrq29w=")</f>
        <v>#VALUE!</v>
      </c>
      <c r="HN114" t="e">
        <f>AND('Please read'!G2,"AAAAAHrq290=")</f>
        <v>#VALUE!</v>
      </c>
      <c r="HO114" t="e">
        <f>AND('Please read'!H2,"AAAAAHrq294=")</f>
        <v>#VALUE!</v>
      </c>
      <c r="HP114" t="e">
        <f>AND('Please read'!I2,"AAAAAHrq298=")</f>
        <v>#VALUE!</v>
      </c>
      <c r="HQ114" t="e">
        <f>AND('Please read'!J2,"AAAAAHrq2+A=")</f>
        <v>#VALUE!</v>
      </c>
      <c r="HR114" t="e">
        <f>AND('Please read'!K2,"AAAAAHrq2+E=")</f>
        <v>#VALUE!</v>
      </c>
      <c r="HS114" t="e">
        <f>AND('Please read'!L2,"AAAAAHrq2+I=")</f>
        <v>#VALUE!</v>
      </c>
      <c r="HT114" t="e">
        <f>AND('Please read'!M2,"AAAAAHrq2+M=")</f>
        <v>#VALUE!</v>
      </c>
      <c r="HU114" t="e">
        <f>AND('Please read'!N2,"AAAAAHrq2+Q=")</f>
        <v>#VALUE!</v>
      </c>
      <c r="HV114">
        <f>IF('Please read'!3:3,"AAAAAHrq2+U=",0)</f>
        <v>0</v>
      </c>
      <c r="HW114" t="e">
        <f>AND('Please read'!B3,"AAAAAHrq2+Y=")</f>
        <v>#VALUE!</v>
      </c>
      <c r="HX114" t="e">
        <f>AND('Please read'!C3,"AAAAAHrq2+c=")</f>
        <v>#VALUE!</v>
      </c>
      <c r="HY114" t="e">
        <f>AND('Please read'!D3,"AAAAAHrq2+g=")</f>
        <v>#VALUE!</v>
      </c>
      <c r="HZ114" t="e">
        <f>AND('Please read'!E3,"AAAAAHrq2+k=")</f>
        <v>#VALUE!</v>
      </c>
      <c r="IA114" t="e">
        <f>AND('Please read'!F3,"AAAAAHrq2+o=")</f>
        <v>#VALUE!</v>
      </c>
      <c r="IB114" t="e">
        <f>AND('Please read'!G3,"AAAAAHrq2+s=")</f>
        <v>#VALUE!</v>
      </c>
      <c r="IC114" t="e">
        <f>AND('Please read'!H3,"AAAAAHrq2+w=")</f>
        <v>#VALUE!</v>
      </c>
      <c r="ID114" t="e">
        <f>AND('Please read'!I3,"AAAAAHrq2+0=")</f>
        <v>#VALUE!</v>
      </c>
      <c r="IE114" t="e">
        <f>AND('Please read'!J3,"AAAAAHrq2+4=")</f>
        <v>#VALUE!</v>
      </c>
      <c r="IF114" t="e">
        <f>AND('Please read'!K3,"AAAAAHrq2+8=")</f>
        <v>#VALUE!</v>
      </c>
      <c r="IG114" t="e">
        <f>AND('Please read'!L3,"AAAAAHrq2/A=")</f>
        <v>#VALUE!</v>
      </c>
      <c r="IH114" t="e">
        <f>AND('Please read'!M3,"AAAAAHrq2/E=")</f>
        <v>#VALUE!</v>
      </c>
      <c r="II114" t="e">
        <f>AND('Please read'!N3,"AAAAAHrq2/I=")</f>
        <v>#VALUE!</v>
      </c>
      <c r="IJ114">
        <f>IF('Please read'!4:4,"AAAAAHrq2/M=",0)</f>
        <v>0</v>
      </c>
      <c r="IK114" t="e">
        <f>AND('Please read'!B4,"AAAAAHrq2/Q=")</f>
        <v>#VALUE!</v>
      </c>
      <c r="IL114" t="e">
        <f>AND('Please read'!C4,"AAAAAHrq2/U=")</f>
        <v>#VALUE!</v>
      </c>
      <c r="IM114" t="e">
        <f>AND('Please read'!D4,"AAAAAHrq2/Y=")</f>
        <v>#VALUE!</v>
      </c>
      <c r="IN114" t="e">
        <f>AND('Please read'!E4,"AAAAAHrq2/c=")</f>
        <v>#VALUE!</v>
      </c>
      <c r="IO114" t="e">
        <f>AND('Please read'!F4,"AAAAAHrq2/g=")</f>
        <v>#VALUE!</v>
      </c>
      <c r="IP114" t="e">
        <f>AND('Please read'!G4,"AAAAAHrq2/k=")</f>
        <v>#VALUE!</v>
      </c>
      <c r="IQ114" t="e">
        <f>AND('Please read'!H4,"AAAAAHrq2/o=")</f>
        <v>#VALUE!</v>
      </c>
      <c r="IR114" t="e">
        <f>AND('Please read'!I4,"AAAAAHrq2/s=")</f>
        <v>#VALUE!</v>
      </c>
      <c r="IS114" t="e">
        <f>AND('Please read'!J4,"AAAAAHrq2/w=")</f>
        <v>#VALUE!</v>
      </c>
      <c r="IT114" t="e">
        <f>AND('Please read'!K4,"AAAAAHrq2/0=")</f>
        <v>#VALUE!</v>
      </c>
      <c r="IU114" t="e">
        <f>AND('Please read'!L4,"AAAAAHrq2/4=")</f>
        <v>#VALUE!</v>
      </c>
      <c r="IV114" t="e">
        <f>AND('Please read'!M4,"AAAAAHrq2/8=")</f>
        <v>#VALUE!</v>
      </c>
    </row>
    <row r="115" spans="1:256">
      <c r="A115" t="e">
        <f>AND('Please read'!N4,"AAAAAHqq/wA=")</f>
        <v>#VALUE!</v>
      </c>
      <c r="B115">
        <f>IF('Please read'!5:5,"AAAAAHqq/wE=",0)</f>
        <v>0</v>
      </c>
      <c r="C115" t="e">
        <f>AND('Please read'!B5,"AAAAAHqq/wI=")</f>
        <v>#VALUE!</v>
      </c>
      <c r="D115" t="e">
        <f>AND('Please read'!C5,"AAAAAHqq/wM=")</f>
        <v>#VALUE!</v>
      </c>
      <c r="E115" t="e">
        <f>AND('Please read'!D5,"AAAAAHqq/wQ=")</f>
        <v>#VALUE!</v>
      </c>
      <c r="F115" t="e">
        <f>AND('Please read'!E5,"AAAAAHqq/wU=")</f>
        <v>#VALUE!</v>
      </c>
      <c r="G115" t="e">
        <f>AND('Please read'!F5,"AAAAAHqq/wY=")</f>
        <v>#VALUE!</v>
      </c>
      <c r="H115" t="e">
        <f>AND('Please read'!G5,"AAAAAHqq/wc=")</f>
        <v>#VALUE!</v>
      </c>
      <c r="I115" t="e">
        <f>AND('Please read'!H5,"AAAAAHqq/wg=")</f>
        <v>#VALUE!</v>
      </c>
      <c r="J115" t="e">
        <f>AND('Please read'!I5,"AAAAAHqq/wk=")</f>
        <v>#VALUE!</v>
      </c>
      <c r="K115" t="e">
        <f>AND('Please read'!J5,"AAAAAHqq/wo=")</f>
        <v>#VALUE!</v>
      </c>
      <c r="L115" t="e">
        <f>AND('Please read'!K5,"AAAAAHqq/ws=")</f>
        <v>#VALUE!</v>
      </c>
      <c r="M115" t="e">
        <f>AND('Please read'!L5,"AAAAAHqq/ww=")</f>
        <v>#VALUE!</v>
      </c>
      <c r="N115" t="e">
        <f>AND('Please read'!M5,"AAAAAHqq/w0=")</f>
        <v>#VALUE!</v>
      </c>
      <c r="O115" t="e">
        <f>AND('Please read'!N5,"AAAAAHqq/w4=")</f>
        <v>#VALUE!</v>
      </c>
      <c r="P115">
        <f>IF('Please read'!6:6,"AAAAAHqq/w8=",0)</f>
        <v>0</v>
      </c>
      <c r="Q115" t="e">
        <f>AND('Please read'!B6,"AAAAAHqq/xA=")</f>
        <v>#VALUE!</v>
      </c>
      <c r="R115" t="e">
        <f>AND('Please read'!C6,"AAAAAHqq/xE=")</f>
        <v>#VALUE!</v>
      </c>
      <c r="S115" t="e">
        <f>AND('Please read'!D6,"AAAAAHqq/xI=")</f>
        <v>#VALUE!</v>
      </c>
      <c r="T115" t="e">
        <f>AND('Please read'!E6,"AAAAAHqq/xM=")</f>
        <v>#VALUE!</v>
      </c>
      <c r="U115" t="e">
        <f>AND('Please read'!F6,"AAAAAHqq/xQ=")</f>
        <v>#VALUE!</v>
      </c>
      <c r="V115" t="e">
        <f>AND('Please read'!G6,"AAAAAHqq/xU=")</f>
        <v>#VALUE!</v>
      </c>
      <c r="W115" t="e">
        <f>AND('Please read'!H6,"AAAAAHqq/xY=")</f>
        <v>#VALUE!</v>
      </c>
      <c r="X115" t="e">
        <f>AND('Please read'!I6,"AAAAAHqq/xc=")</f>
        <v>#VALUE!</v>
      </c>
      <c r="Y115" t="e">
        <f>AND('Please read'!J6,"AAAAAHqq/xg=")</f>
        <v>#VALUE!</v>
      </c>
      <c r="Z115" t="e">
        <f>AND('Please read'!K6,"AAAAAHqq/xk=")</f>
        <v>#VALUE!</v>
      </c>
      <c r="AA115" t="e">
        <f>AND('Please read'!L6,"AAAAAHqq/xo=")</f>
        <v>#VALUE!</v>
      </c>
      <c r="AB115" t="e">
        <f>AND('Please read'!M6,"AAAAAHqq/xs=")</f>
        <v>#VALUE!</v>
      </c>
      <c r="AC115" t="e">
        <f>AND('Please read'!N6,"AAAAAHqq/xw=")</f>
        <v>#VALUE!</v>
      </c>
      <c r="AD115">
        <f>IF('Please read'!7:7,"AAAAAHqq/x0=",0)</f>
        <v>0</v>
      </c>
      <c r="AE115" t="e">
        <f>AND('Please read'!B7,"AAAAAHqq/x4=")</f>
        <v>#VALUE!</v>
      </c>
      <c r="AF115" t="e">
        <f>AND('Please read'!C7,"AAAAAHqq/x8=")</f>
        <v>#VALUE!</v>
      </c>
      <c r="AG115" t="e">
        <f>AND('Please read'!D7,"AAAAAHqq/yA=")</f>
        <v>#VALUE!</v>
      </c>
      <c r="AH115" t="e">
        <f>AND('Please read'!E7,"AAAAAHqq/yE=")</f>
        <v>#VALUE!</v>
      </c>
      <c r="AI115" t="e">
        <f>AND('Please read'!F7,"AAAAAHqq/yI=")</f>
        <v>#VALUE!</v>
      </c>
      <c r="AJ115" t="e">
        <f>AND('Please read'!G7,"AAAAAHqq/yM=")</f>
        <v>#VALUE!</v>
      </c>
      <c r="AK115" t="e">
        <f>AND('Please read'!H7,"AAAAAHqq/yQ=")</f>
        <v>#VALUE!</v>
      </c>
      <c r="AL115" t="e">
        <f>AND('Please read'!I7,"AAAAAHqq/yU=")</f>
        <v>#VALUE!</v>
      </c>
      <c r="AM115" t="e">
        <f>AND('Please read'!J7,"AAAAAHqq/yY=")</f>
        <v>#VALUE!</v>
      </c>
      <c r="AN115" t="e">
        <f>AND('Please read'!K7,"AAAAAHqq/yc=")</f>
        <v>#VALUE!</v>
      </c>
      <c r="AO115" t="e">
        <f>AND('Please read'!L7,"AAAAAHqq/yg=")</f>
        <v>#VALUE!</v>
      </c>
      <c r="AP115" t="e">
        <f>AND('Please read'!M7,"AAAAAHqq/yk=")</f>
        <v>#VALUE!</v>
      </c>
      <c r="AQ115" t="e">
        <f>AND('Please read'!N7,"AAAAAHqq/yo=")</f>
        <v>#VALUE!</v>
      </c>
      <c r="AR115">
        <f>IF('Please read'!8:8,"AAAAAHqq/ys=",0)</f>
        <v>0</v>
      </c>
      <c r="AS115" t="e">
        <f>AND('Please read'!B8,"AAAAAHqq/yw=")</f>
        <v>#VALUE!</v>
      </c>
      <c r="AT115" t="e">
        <f>AND('Please read'!C8,"AAAAAHqq/y0=")</f>
        <v>#VALUE!</v>
      </c>
      <c r="AU115" t="e">
        <f>AND('Please read'!D8,"AAAAAHqq/y4=")</f>
        <v>#VALUE!</v>
      </c>
      <c r="AV115" t="e">
        <f>AND('Please read'!E8,"AAAAAHqq/y8=")</f>
        <v>#VALUE!</v>
      </c>
      <c r="AW115" t="e">
        <f>AND('Please read'!F8,"AAAAAHqq/zA=")</f>
        <v>#VALUE!</v>
      </c>
      <c r="AX115" t="e">
        <f>AND('Please read'!G8,"AAAAAHqq/zE=")</f>
        <v>#VALUE!</v>
      </c>
      <c r="AY115" t="e">
        <f>AND('Please read'!H8,"AAAAAHqq/zI=")</f>
        <v>#VALUE!</v>
      </c>
      <c r="AZ115" t="e">
        <f>AND('Please read'!I8,"AAAAAHqq/zM=")</f>
        <v>#VALUE!</v>
      </c>
      <c r="BA115" t="e">
        <f>AND('Please read'!J8,"AAAAAHqq/zQ=")</f>
        <v>#VALUE!</v>
      </c>
      <c r="BB115" t="e">
        <f>AND('Please read'!K8,"AAAAAHqq/zU=")</f>
        <v>#VALUE!</v>
      </c>
      <c r="BC115" t="e">
        <f>AND('Please read'!L8,"AAAAAHqq/zY=")</f>
        <v>#VALUE!</v>
      </c>
      <c r="BD115" t="e">
        <f>AND('Please read'!M8,"AAAAAHqq/zc=")</f>
        <v>#VALUE!</v>
      </c>
      <c r="BE115" t="e">
        <f>AND('Please read'!N8,"AAAAAHqq/zg=")</f>
        <v>#VALUE!</v>
      </c>
      <c r="BF115">
        <f>IF('Please read'!9:9,"AAAAAHqq/zk=",0)</f>
        <v>0</v>
      </c>
      <c r="BG115" t="e">
        <f>AND('Please read'!B9,"AAAAAHqq/zo=")</f>
        <v>#VALUE!</v>
      </c>
      <c r="BH115" t="e">
        <f>AND('Please read'!C9,"AAAAAHqq/zs=")</f>
        <v>#VALUE!</v>
      </c>
      <c r="BI115" t="e">
        <f>AND('Please read'!D9,"AAAAAHqq/zw=")</f>
        <v>#VALUE!</v>
      </c>
      <c r="BJ115" t="e">
        <f>AND('Please read'!E9,"AAAAAHqq/z0=")</f>
        <v>#VALUE!</v>
      </c>
      <c r="BK115" t="e">
        <f>AND('Please read'!F9,"AAAAAHqq/z4=")</f>
        <v>#VALUE!</v>
      </c>
      <c r="BL115" t="e">
        <f>AND('Please read'!G9,"AAAAAHqq/z8=")</f>
        <v>#VALUE!</v>
      </c>
      <c r="BM115" t="e">
        <f>AND('Please read'!H9,"AAAAAHqq/0A=")</f>
        <v>#VALUE!</v>
      </c>
      <c r="BN115" t="e">
        <f>AND('Please read'!I9,"AAAAAHqq/0E=")</f>
        <v>#VALUE!</v>
      </c>
      <c r="BO115" t="e">
        <f>AND('Please read'!J9,"AAAAAHqq/0I=")</f>
        <v>#VALUE!</v>
      </c>
      <c r="BP115" t="e">
        <f>AND('Please read'!K9,"AAAAAHqq/0M=")</f>
        <v>#VALUE!</v>
      </c>
      <c r="BQ115" t="e">
        <f>AND('Please read'!L9,"AAAAAHqq/0Q=")</f>
        <v>#VALUE!</v>
      </c>
      <c r="BR115" t="e">
        <f>AND('Please read'!M9,"AAAAAHqq/0U=")</f>
        <v>#VALUE!</v>
      </c>
      <c r="BS115" t="e">
        <f>AND('Please read'!N9,"AAAAAHqq/0Y=")</f>
        <v>#VALUE!</v>
      </c>
      <c r="BT115">
        <f>IF('Please read'!10:10,"AAAAAHqq/0c=",0)</f>
        <v>0</v>
      </c>
      <c r="BU115" t="e">
        <f>AND('Please read'!B10,"AAAAAHqq/0g=")</f>
        <v>#VALUE!</v>
      </c>
      <c r="BV115" t="e">
        <f>AND('Please read'!C10,"AAAAAHqq/0k=")</f>
        <v>#VALUE!</v>
      </c>
      <c r="BW115" t="e">
        <f>AND('Please read'!D10,"AAAAAHqq/0o=")</f>
        <v>#VALUE!</v>
      </c>
      <c r="BX115" t="e">
        <f>AND('Please read'!E10,"AAAAAHqq/0s=")</f>
        <v>#VALUE!</v>
      </c>
      <c r="BY115" t="e">
        <f>AND('Please read'!F10,"AAAAAHqq/0w=")</f>
        <v>#VALUE!</v>
      </c>
      <c r="BZ115" t="e">
        <f>AND('Please read'!G10,"AAAAAHqq/00=")</f>
        <v>#VALUE!</v>
      </c>
      <c r="CA115" t="e">
        <f>AND('Please read'!H10,"AAAAAHqq/04=")</f>
        <v>#VALUE!</v>
      </c>
      <c r="CB115" t="e">
        <f>AND('Please read'!I10,"AAAAAHqq/08=")</f>
        <v>#VALUE!</v>
      </c>
      <c r="CC115" t="e">
        <f>AND('Please read'!J10,"AAAAAHqq/1A=")</f>
        <v>#VALUE!</v>
      </c>
      <c r="CD115" t="e">
        <f>AND('Please read'!K10,"AAAAAHqq/1E=")</f>
        <v>#VALUE!</v>
      </c>
      <c r="CE115" t="e">
        <f>AND('Please read'!L10,"AAAAAHqq/1I=")</f>
        <v>#VALUE!</v>
      </c>
      <c r="CF115" t="e">
        <f>AND('Please read'!M10,"AAAAAHqq/1M=")</f>
        <v>#VALUE!</v>
      </c>
      <c r="CG115" t="e">
        <f>AND('Please read'!N10,"AAAAAHqq/1Q=")</f>
        <v>#VALUE!</v>
      </c>
      <c r="CH115">
        <f>IF('Please read'!11:11,"AAAAAHqq/1U=",0)</f>
        <v>0</v>
      </c>
      <c r="CI115" t="e">
        <f>AND('Please read'!B11,"AAAAAHqq/1Y=")</f>
        <v>#VALUE!</v>
      </c>
      <c r="CJ115" t="e">
        <f>AND('Please read'!C11,"AAAAAHqq/1c=")</f>
        <v>#VALUE!</v>
      </c>
      <c r="CK115" t="e">
        <f>AND('Please read'!D11,"AAAAAHqq/1g=")</f>
        <v>#VALUE!</v>
      </c>
      <c r="CL115" t="e">
        <f>AND('Please read'!E11,"AAAAAHqq/1k=")</f>
        <v>#VALUE!</v>
      </c>
      <c r="CM115" t="e">
        <f>AND('Please read'!F11,"AAAAAHqq/1o=")</f>
        <v>#VALUE!</v>
      </c>
      <c r="CN115" t="e">
        <f>AND('Please read'!G11,"AAAAAHqq/1s=")</f>
        <v>#VALUE!</v>
      </c>
      <c r="CO115" t="e">
        <f>AND('Please read'!H11,"AAAAAHqq/1w=")</f>
        <v>#VALUE!</v>
      </c>
      <c r="CP115" t="e">
        <f>AND('Please read'!I11,"AAAAAHqq/10=")</f>
        <v>#VALUE!</v>
      </c>
      <c r="CQ115" t="e">
        <f>AND('Please read'!J11,"AAAAAHqq/14=")</f>
        <v>#VALUE!</v>
      </c>
      <c r="CR115" t="e">
        <f>AND('Please read'!K11,"AAAAAHqq/18=")</f>
        <v>#VALUE!</v>
      </c>
      <c r="CS115" t="e">
        <f>AND('Please read'!L11,"AAAAAHqq/2A=")</f>
        <v>#VALUE!</v>
      </c>
      <c r="CT115" t="e">
        <f>AND('Please read'!M11,"AAAAAHqq/2E=")</f>
        <v>#VALUE!</v>
      </c>
      <c r="CU115" t="e">
        <f>AND('Please read'!N11,"AAAAAHqq/2I=")</f>
        <v>#VALUE!</v>
      </c>
      <c r="CV115">
        <f>IF('Please read'!12:12,"AAAAAHqq/2M=",0)</f>
        <v>0</v>
      </c>
      <c r="CW115" t="e">
        <f>AND('Please read'!B12,"AAAAAHqq/2Q=")</f>
        <v>#VALUE!</v>
      </c>
      <c r="CX115" t="e">
        <f>AND('Please read'!C12,"AAAAAHqq/2U=")</f>
        <v>#VALUE!</v>
      </c>
      <c r="CY115" t="e">
        <f>AND('Please read'!D12,"AAAAAHqq/2Y=")</f>
        <v>#VALUE!</v>
      </c>
      <c r="CZ115" t="e">
        <f>AND('Please read'!E12,"AAAAAHqq/2c=")</f>
        <v>#VALUE!</v>
      </c>
      <c r="DA115" t="e">
        <f>AND('Please read'!F12,"AAAAAHqq/2g=")</f>
        <v>#VALUE!</v>
      </c>
      <c r="DB115" t="e">
        <f>AND('Please read'!G12,"AAAAAHqq/2k=")</f>
        <v>#VALUE!</v>
      </c>
      <c r="DC115" t="e">
        <f>AND('Please read'!H12,"AAAAAHqq/2o=")</f>
        <v>#VALUE!</v>
      </c>
      <c r="DD115" t="e">
        <f>AND('Please read'!I12,"AAAAAHqq/2s=")</f>
        <v>#VALUE!</v>
      </c>
      <c r="DE115" t="e">
        <f>AND('Please read'!J12,"AAAAAHqq/2w=")</f>
        <v>#VALUE!</v>
      </c>
      <c r="DF115" t="e">
        <f>AND('Please read'!K12,"AAAAAHqq/20=")</f>
        <v>#VALUE!</v>
      </c>
      <c r="DG115" t="e">
        <f>AND('Please read'!L12,"AAAAAHqq/24=")</f>
        <v>#VALUE!</v>
      </c>
      <c r="DH115" t="e">
        <f>AND('Please read'!M12,"AAAAAHqq/28=")</f>
        <v>#VALUE!</v>
      </c>
      <c r="DI115" t="e">
        <f>AND('Please read'!N12,"AAAAAHqq/3A=")</f>
        <v>#VALUE!</v>
      </c>
      <c r="DJ115">
        <f>IF('Please read'!13:13,"AAAAAHqq/3E=",0)</f>
        <v>0</v>
      </c>
      <c r="DK115" t="e">
        <f>AND('Please read'!B13,"AAAAAHqq/3I=")</f>
        <v>#VALUE!</v>
      </c>
      <c r="DL115" t="e">
        <f>AND('Please read'!C13,"AAAAAHqq/3M=")</f>
        <v>#VALUE!</v>
      </c>
      <c r="DM115" t="e">
        <f>AND('Please read'!D13,"AAAAAHqq/3Q=")</f>
        <v>#VALUE!</v>
      </c>
      <c r="DN115" t="e">
        <f>AND('Please read'!E13,"AAAAAHqq/3U=")</f>
        <v>#VALUE!</v>
      </c>
      <c r="DO115" t="e">
        <f>AND('Please read'!F13,"AAAAAHqq/3Y=")</f>
        <v>#VALUE!</v>
      </c>
      <c r="DP115" t="e">
        <f>AND('Please read'!G13,"AAAAAHqq/3c=")</f>
        <v>#VALUE!</v>
      </c>
      <c r="DQ115" t="e">
        <f>AND('Please read'!H13,"AAAAAHqq/3g=")</f>
        <v>#VALUE!</v>
      </c>
      <c r="DR115" t="e">
        <f>AND('Please read'!I13,"AAAAAHqq/3k=")</f>
        <v>#VALUE!</v>
      </c>
      <c r="DS115" t="e">
        <f>AND('Please read'!J13,"AAAAAHqq/3o=")</f>
        <v>#VALUE!</v>
      </c>
      <c r="DT115" t="e">
        <f>AND('Please read'!K13,"AAAAAHqq/3s=")</f>
        <v>#VALUE!</v>
      </c>
      <c r="DU115" t="e">
        <f>AND('Please read'!L13,"AAAAAHqq/3w=")</f>
        <v>#VALUE!</v>
      </c>
      <c r="DV115" t="e">
        <f>AND('Please read'!M13,"AAAAAHqq/30=")</f>
        <v>#VALUE!</v>
      </c>
      <c r="DW115" t="e">
        <f>AND('Please read'!N13,"AAAAAHqq/34=")</f>
        <v>#VALUE!</v>
      </c>
      <c r="DX115">
        <f>IF('Please read'!14:14,"AAAAAHqq/38=",0)</f>
        <v>0</v>
      </c>
      <c r="DY115" t="e">
        <f>AND('Please read'!B14,"AAAAAHqq/4A=")</f>
        <v>#VALUE!</v>
      </c>
      <c r="DZ115" t="e">
        <f>AND('Please read'!C14,"AAAAAHqq/4E=")</f>
        <v>#VALUE!</v>
      </c>
      <c r="EA115" t="e">
        <f>AND('Please read'!D14,"AAAAAHqq/4I=")</f>
        <v>#VALUE!</v>
      </c>
      <c r="EB115" t="e">
        <f>AND('Please read'!E14,"AAAAAHqq/4M=")</f>
        <v>#VALUE!</v>
      </c>
      <c r="EC115" t="e">
        <f>AND('Please read'!F14,"AAAAAHqq/4Q=")</f>
        <v>#VALUE!</v>
      </c>
      <c r="ED115" t="e">
        <f>AND('Please read'!G14,"AAAAAHqq/4U=")</f>
        <v>#VALUE!</v>
      </c>
      <c r="EE115" t="e">
        <f>AND('Please read'!H14,"AAAAAHqq/4Y=")</f>
        <v>#VALUE!</v>
      </c>
      <c r="EF115" t="e">
        <f>AND('Please read'!I14,"AAAAAHqq/4c=")</f>
        <v>#VALUE!</v>
      </c>
      <c r="EG115" t="e">
        <f>AND('Please read'!J14,"AAAAAHqq/4g=")</f>
        <v>#VALUE!</v>
      </c>
      <c r="EH115" t="e">
        <f>AND('Please read'!K14,"AAAAAHqq/4k=")</f>
        <v>#VALUE!</v>
      </c>
      <c r="EI115" t="e">
        <f>AND('Please read'!L14,"AAAAAHqq/4o=")</f>
        <v>#VALUE!</v>
      </c>
      <c r="EJ115" t="e">
        <f>AND('Please read'!M14,"AAAAAHqq/4s=")</f>
        <v>#VALUE!</v>
      </c>
      <c r="EK115" t="e">
        <f>AND('Please read'!N14,"AAAAAHqq/4w=")</f>
        <v>#VALUE!</v>
      </c>
      <c r="EL115">
        <f>IF('Please read'!15:15,"AAAAAHqq/40=",0)</f>
        <v>0</v>
      </c>
      <c r="EM115" t="e">
        <f>AND('Please read'!B15,"AAAAAHqq/44=")</f>
        <v>#VALUE!</v>
      </c>
      <c r="EN115" t="e">
        <f>AND('Please read'!C15,"AAAAAHqq/48=")</f>
        <v>#VALUE!</v>
      </c>
      <c r="EO115" t="e">
        <f>AND('Please read'!D15,"AAAAAHqq/5A=")</f>
        <v>#VALUE!</v>
      </c>
      <c r="EP115" t="e">
        <f>AND('Please read'!E15,"AAAAAHqq/5E=")</f>
        <v>#VALUE!</v>
      </c>
      <c r="EQ115" t="e">
        <f>AND('Please read'!F15,"AAAAAHqq/5I=")</f>
        <v>#VALUE!</v>
      </c>
      <c r="ER115" t="e">
        <f>AND('Please read'!G15,"AAAAAHqq/5M=")</f>
        <v>#VALUE!</v>
      </c>
      <c r="ES115" t="e">
        <f>AND('Please read'!H15,"AAAAAHqq/5Q=")</f>
        <v>#VALUE!</v>
      </c>
      <c r="ET115" t="e">
        <f>AND('Please read'!I15,"AAAAAHqq/5U=")</f>
        <v>#VALUE!</v>
      </c>
      <c r="EU115" t="e">
        <f>AND('Please read'!J15,"AAAAAHqq/5Y=")</f>
        <v>#VALUE!</v>
      </c>
      <c r="EV115" t="e">
        <f>AND('Please read'!K15,"AAAAAHqq/5c=")</f>
        <v>#VALUE!</v>
      </c>
      <c r="EW115" t="e">
        <f>AND('Please read'!L15,"AAAAAHqq/5g=")</f>
        <v>#VALUE!</v>
      </c>
      <c r="EX115" t="e">
        <f>AND('Please read'!M15,"AAAAAHqq/5k=")</f>
        <v>#VALUE!</v>
      </c>
      <c r="EY115" t="e">
        <f>AND('Please read'!N15,"AAAAAHqq/5o=")</f>
        <v>#VALUE!</v>
      </c>
      <c r="EZ115">
        <f>IF('Please read'!16:16,"AAAAAHqq/5s=",0)</f>
        <v>0</v>
      </c>
      <c r="FA115" t="e">
        <f>AND('Please read'!B16,"AAAAAHqq/5w=")</f>
        <v>#VALUE!</v>
      </c>
      <c r="FB115" t="e">
        <f>AND('Please read'!C16,"AAAAAHqq/50=")</f>
        <v>#VALUE!</v>
      </c>
      <c r="FC115" t="e">
        <f>AND('Please read'!D16,"AAAAAHqq/54=")</f>
        <v>#VALUE!</v>
      </c>
      <c r="FD115" t="e">
        <f>AND('Please read'!E16,"AAAAAHqq/58=")</f>
        <v>#VALUE!</v>
      </c>
      <c r="FE115" t="e">
        <f>AND('Please read'!F16,"AAAAAHqq/6A=")</f>
        <v>#VALUE!</v>
      </c>
      <c r="FF115" t="e">
        <f>AND('Please read'!G16,"AAAAAHqq/6E=")</f>
        <v>#VALUE!</v>
      </c>
      <c r="FG115" t="e">
        <f>AND('Please read'!H16,"AAAAAHqq/6I=")</f>
        <v>#VALUE!</v>
      </c>
      <c r="FH115" t="e">
        <f>AND('Please read'!I16,"AAAAAHqq/6M=")</f>
        <v>#VALUE!</v>
      </c>
      <c r="FI115" t="e">
        <f>AND('Please read'!J16,"AAAAAHqq/6Q=")</f>
        <v>#VALUE!</v>
      </c>
      <c r="FJ115" t="e">
        <f>AND('Please read'!K16,"AAAAAHqq/6U=")</f>
        <v>#VALUE!</v>
      </c>
      <c r="FK115" t="e">
        <f>AND('Please read'!L16,"AAAAAHqq/6Y=")</f>
        <v>#VALUE!</v>
      </c>
      <c r="FL115" t="e">
        <f>AND('Please read'!M16,"AAAAAHqq/6c=")</f>
        <v>#VALUE!</v>
      </c>
      <c r="FM115" t="e">
        <f>AND('Please read'!N16,"AAAAAHqq/6g=")</f>
        <v>#VALUE!</v>
      </c>
      <c r="FN115">
        <f>IF('Please read'!17:17,"AAAAAHqq/6k=",0)</f>
        <v>0</v>
      </c>
      <c r="FO115" t="e">
        <f>AND('Please read'!B17,"AAAAAHqq/6o=")</f>
        <v>#VALUE!</v>
      </c>
      <c r="FP115" t="e">
        <f>AND('Please read'!C17,"AAAAAHqq/6s=")</f>
        <v>#VALUE!</v>
      </c>
      <c r="FQ115" t="e">
        <f>AND('Please read'!D17,"AAAAAHqq/6w=")</f>
        <v>#VALUE!</v>
      </c>
      <c r="FR115" t="e">
        <f>AND('Please read'!E17,"AAAAAHqq/60=")</f>
        <v>#VALUE!</v>
      </c>
      <c r="FS115" t="e">
        <f>AND('Please read'!F17,"AAAAAHqq/64=")</f>
        <v>#VALUE!</v>
      </c>
      <c r="FT115" t="e">
        <f>AND('Please read'!G17,"AAAAAHqq/68=")</f>
        <v>#VALUE!</v>
      </c>
      <c r="FU115" t="e">
        <f>AND('Please read'!H17,"AAAAAHqq/7A=")</f>
        <v>#VALUE!</v>
      </c>
      <c r="FV115" t="e">
        <f>AND('Please read'!I17,"AAAAAHqq/7E=")</f>
        <v>#VALUE!</v>
      </c>
      <c r="FW115" t="e">
        <f>AND('Please read'!J17,"AAAAAHqq/7I=")</f>
        <v>#VALUE!</v>
      </c>
      <c r="FX115" t="e">
        <f>AND('Please read'!K17,"AAAAAHqq/7M=")</f>
        <v>#VALUE!</v>
      </c>
      <c r="FY115" t="e">
        <f>AND('Please read'!L17,"AAAAAHqq/7Q=")</f>
        <v>#VALUE!</v>
      </c>
      <c r="FZ115" t="e">
        <f>AND('Please read'!M17,"AAAAAHqq/7U=")</f>
        <v>#VALUE!</v>
      </c>
      <c r="GA115" t="e">
        <f>AND('Please read'!N17,"AAAAAHqq/7Y=")</f>
        <v>#VALUE!</v>
      </c>
      <c r="GB115">
        <f>IF('Please read'!18:18,"AAAAAHqq/7c=",0)</f>
        <v>0</v>
      </c>
      <c r="GC115" t="e">
        <f>AND('Please read'!B18,"AAAAAHqq/7g=")</f>
        <v>#VALUE!</v>
      </c>
      <c r="GD115" t="e">
        <f>AND('Please read'!C18,"AAAAAHqq/7k=")</f>
        <v>#VALUE!</v>
      </c>
      <c r="GE115" t="e">
        <f>AND('Please read'!D18,"AAAAAHqq/7o=")</f>
        <v>#VALUE!</v>
      </c>
      <c r="GF115" t="e">
        <f>AND('Please read'!E18,"AAAAAHqq/7s=")</f>
        <v>#VALUE!</v>
      </c>
      <c r="GG115" t="e">
        <f>AND('Please read'!F18,"AAAAAHqq/7w=")</f>
        <v>#VALUE!</v>
      </c>
      <c r="GH115" t="e">
        <f>AND('Please read'!G18,"AAAAAHqq/70=")</f>
        <v>#VALUE!</v>
      </c>
      <c r="GI115" t="e">
        <f>AND('Please read'!H18,"AAAAAHqq/74=")</f>
        <v>#VALUE!</v>
      </c>
      <c r="GJ115" t="e">
        <f>AND('Please read'!I18,"AAAAAHqq/78=")</f>
        <v>#VALUE!</v>
      </c>
      <c r="GK115" t="e">
        <f>AND('Please read'!J18,"AAAAAHqq/8A=")</f>
        <v>#VALUE!</v>
      </c>
      <c r="GL115" t="e">
        <f>AND('Please read'!K18,"AAAAAHqq/8E=")</f>
        <v>#VALUE!</v>
      </c>
      <c r="GM115" t="e">
        <f>AND('Please read'!L18,"AAAAAHqq/8I=")</f>
        <v>#VALUE!</v>
      </c>
      <c r="GN115" t="e">
        <f>AND('Please read'!M18,"AAAAAHqq/8M=")</f>
        <v>#VALUE!</v>
      </c>
      <c r="GO115" t="e">
        <f>AND('Please read'!N18,"AAAAAHqq/8Q=")</f>
        <v>#VALUE!</v>
      </c>
      <c r="GP115">
        <f>IF('Please read'!19:19,"AAAAAHqq/8U=",0)</f>
        <v>0</v>
      </c>
      <c r="GQ115" t="e">
        <f>AND('Please read'!B19,"AAAAAHqq/8Y=")</f>
        <v>#VALUE!</v>
      </c>
      <c r="GR115" t="e">
        <f>AND('Please read'!C19,"AAAAAHqq/8c=")</f>
        <v>#VALUE!</v>
      </c>
      <c r="GS115" t="e">
        <f>AND('Please read'!D19,"AAAAAHqq/8g=")</f>
        <v>#VALUE!</v>
      </c>
      <c r="GT115" t="e">
        <f>AND('Please read'!E19,"AAAAAHqq/8k=")</f>
        <v>#VALUE!</v>
      </c>
      <c r="GU115" t="e">
        <f>AND('Please read'!F19,"AAAAAHqq/8o=")</f>
        <v>#VALUE!</v>
      </c>
      <c r="GV115" t="e">
        <f>AND('Please read'!G19,"AAAAAHqq/8s=")</f>
        <v>#VALUE!</v>
      </c>
      <c r="GW115" t="e">
        <f>AND('Please read'!H19,"AAAAAHqq/8w=")</f>
        <v>#VALUE!</v>
      </c>
      <c r="GX115" t="e">
        <f>AND('Please read'!I19,"AAAAAHqq/80=")</f>
        <v>#VALUE!</v>
      </c>
      <c r="GY115" t="e">
        <f>AND('Please read'!J19,"AAAAAHqq/84=")</f>
        <v>#VALUE!</v>
      </c>
      <c r="GZ115" t="e">
        <f>AND('Please read'!K19,"AAAAAHqq/88=")</f>
        <v>#VALUE!</v>
      </c>
      <c r="HA115" t="e">
        <f>AND('Please read'!L19,"AAAAAHqq/9A=")</f>
        <v>#VALUE!</v>
      </c>
      <c r="HB115" t="e">
        <f>AND('Please read'!M19,"AAAAAHqq/9E=")</f>
        <v>#VALUE!</v>
      </c>
      <c r="HC115" t="e">
        <f>AND('Please read'!N19,"AAAAAHqq/9I=")</f>
        <v>#VALUE!</v>
      </c>
      <c r="HD115">
        <f>IF('Please read'!20:20,"AAAAAHqq/9M=",0)</f>
        <v>0</v>
      </c>
      <c r="HE115" t="e">
        <f>AND('Please read'!B20,"AAAAAHqq/9Q=")</f>
        <v>#VALUE!</v>
      </c>
      <c r="HF115" t="e">
        <f>AND('Please read'!C20,"AAAAAHqq/9U=")</f>
        <v>#VALUE!</v>
      </c>
      <c r="HG115" t="e">
        <f>AND('Please read'!D20,"AAAAAHqq/9Y=")</f>
        <v>#VALUE!</v>
      </c>
      <c r="HH115" t="e">
        <f>AND('Please read'!E20,"AAAAAHqq/9c=")</f>
        <v>#VALUE!</v>
      </c>
      <c r="HI115" t="e">
        <f>AND('Please read'!F20,"AAAAAHqq/9g=")</f>
        <v>#VALUE!</v>
      </c>
      <c r="HJ115" t="e">
        <f>AND('Please read'!G20,"AAAAAHqq/9k=")</f>
        <v>#VALUE!</v>
      </c>
      <c r="HK115" t="e">
        <f>AND('Please read'!H20,"AAAAAHqq/9o=")</f>
        <v>#VALUE!</v>
      </c>
      <c r="HL115" t="e">
        <f>AND('Please read'!I20,"AAAAAHqq/9s=")</f>
        <v>#VALUE!</v>
      </c>
      <c r="HM115" t="e">
        <f>AND('Please read'!J20,"AAAAAHqq/9w=")</f>
        <v>#VALUE!</v>
      </c>
      <c r="HN115" t="e">
        <f>AND('Please read'!K20,"AAAAAHqq/90=")</f>
        <v>#VALUE!</v>
      </c>
      <c r="HO115" t="e">
        <f>AND('Please read'!L20,"AAAAAHqq/94=")</f>
        <v>#VALUE!</v>
      </c>
      <c r="HP115" t="e">
        <f>AND('Please read'!M20,"AAAAAHqq/98=")</f>
        <v>#VALUE!</v>
      </c>
      <c r="HQ115" t="e">
        <f>AND('Please read'!N20,"AAAAAHqq/+A=")</f>
        <v>#VALUE!</v>
      </c>
      <c r="HR115">
        <f>IF('Please read'!21:21,"AAAAAHqq/+E=",0)</f>
        <v>0</v>
      </c>
      <c r="HS115" t="e">
        <f>AND('Please read'!B21,"AAAAAHqq/+I=")</f>
        <v>#VALUE!</v>
      </c>
      <c r="HT115" t="e">
        <f>AND('Please read'!C21,"AAAAAHqq/+M=")</f>
        <v>#VALUE!</v>
      </c>
      <c r="HU115" t="e">
        <f>AND('Please read'!D21,"AAAAAHqq/+Q=")</f>
        <v>#VALUE!</v>
      </c>
      <c r="HV115" t="e">
        <f>AND('Please read'!E21,"AAAAAHqq/+U=")</f>
        <v>#VALUE!</v>
      </c>
      <c r="HW115" t="e">
        <f>AND('Please read'!F21,"AAAAAHqq/+Y=")</f>
        <v>#VALUE!</v>
      </c>
      <c r="HX115" t="e">
        <f>AND('Please read'!G21,"AAAAAHqq/+c=")</f>
        <v>#VALUE!</v>
      </c>
      <c r="HY115" t="e">
        <f>AND('Please read'!H21,"AAAAAHqq/+g=")</f>
        <v>#VALUE!</v>
      </c>
      <c r="HZ115" t="e">
        <f>AND('Please read'!I21,"AAAAAHqq/+k=")</f>
        <v>#VALUE!</v>
      </c>
      <c r="IA115" t="e">
        <f>AND('Please read'!J21,"AAAAAHqq/+o=")</f>
        <v>#VALUE!</v>
      </c>
      <c r="IB115" t="e">
        <f>AND('Please read'!K21,"AAAAAHqq/+s=")</f>
        <v>#VALUE!</v>
      </c>
      <c r="IC115" t="e">
        <f>AND('Please read'!L21,"AAAAAHqq/+w=")</f>
        <v>#VALUE!</v>
      </c>
      <c r="ID115" t="e">
        <f>AND('Please read'!M21,"AAAAAHqq/+0=")</f>
        <v>#VALUE!</v>
      </c>
      <c r="IE115" t="e">
        <f>AND('Please read'!N21,"AAAAAHqq/+4=")</f>
        <v>#VALUE!</v>
      </c>
      <c r="IF115">
        <f>IF('Please read'!22:22,"AAAAAHqq/+8=",0)</f>
        <v>0</v>
      </c>
      <c r="IG115" t="e">
        <f>AND('Please read'!B22,"AAAAAHqq//A=")</f>
        <v>#VALUE!</v>
      </c>
      <c r="IH115" t="e">
        <f>AND('Please read'!C22,"AAAAAHqq//E=")</f>
        <v>#VALUE!</v>
      </c>
      <c r="II115" t="e">
        <f>AND('Please read'!D22,"AAAAAHqq//I=")</f>
        <v>#VALUE!</v>
      </c>
      <c r="IJ115" t="e">
        <f>AND('Please read'!E22,"AAAAAHqq//M=")</f>
        <v>#VALUE!</v>
      </c>
      <c r="IK115" t="e">
        <f>AND('Please read'!F22,"AAAAAHqq//Q=")</f>
        <v>#VALUE!</v>
      </c>
      <c r="IL115" t="e">
        <f>AND('Please read'!G22,"AAAAAHqq//U=")</f>
        <v>#VALUE!</v>
      </c>
      <c r="IM115" t="e">
        <f>AND('Please read'!H22,"AAAAAHqq//Y=")</f>
        <v>#VALUE!</v>
      </c>
      <c r="IN115" t="e">
        <f>AND('Please read'!I22,"AAAAAHqq//c=")</f>
        <v>#VALUE!</v>
      </c>
      <c r="IO115" t="e">
        <f>AND('Please read'!J22,"AAAAAHqq//g=")</f>
        <v>#VALUE!</v>
      </c>
      <c r="IP115" t="e">
        <f>AND('Please read'!K22,"AAAAAHqq//k=")</f>
        <v>#VALUE!</v>
      </c>
      <c r="IQ115" t="e">
        <f>AND('Please read'!L22,"AAAAAHqq//o=")</f>
        <v>#VALUE!</v>
      </c>
      <c r="IR115" t="e">
        <f>AND('Please read'!M22,"AAAAAHqq//s=")</f>
        <v>#VALUE!</v>
      </c>
      <c r="IS115" t="e">
        <f>AND('Please read'!N22,"AAAAAHqq//w=")</f>
        <v>#VALUE!</v>
      </c>
      <c r="IT115">
        <f>IF('Please read'!23:23,"AAAAAHqq//0=",0)</f>
        <v>0</v>
      </c>
      <c r="IU115" t="e">
        <f>AND('Please read'!B23,"AAAAAHqq//4=")</f>
        <v>#VALUE!</v>
      </c>
      <c r="IV115" t="e">
        <f>AND('Please read'!C23,"AAAAAHqq//8=")</f>
        <v>#VALUE!</v>
      </c>
    </row>
    <row r="116" spans="1:256">
      <c r="A116" t="e">
        <f>AND('Please read'!D23,"AAAAAG/l8wA=")</f>
        <v>#VALUE!</v>
      </c>
      <c r="B116" t="e">
        <f>AND('Please read'!E23,"AAAAAG/l8wE=")</f>
        <v>#VALUE!</v>
      </c>
      <c r="C116" t="e">
        <f>AND('Please read'!F23,"AAAAAG/l8wI=")</f>
        <v>#VALUE!</v>
      </c>
      <c r="D116" t="e">
        <f>AND('Please read'!G23,"AAAAAG/l8wM=")</f>
        <v>#VALUE!</v>
      </c>
      <c r="E116" t="e">
        <f>AND('Please read'!H23,"AAAAAG/l8wQ=")</f>
        <v>#VALUE!</v>
      </c>
      <c r="F116" t="e">
        <f>AND('Please read'!I23,"AAAAAG/l8wU=")</f>
        <v>#VALUE!</v>
      </c>
      <c r="G116" t="e">
        <f>AND('Please read'!J23,"AAAAAG/l8wY=")</f>
        <v>#VALUE!</v>
      </c>
      <c r="H116" t="e">
        <f>AND('Please read'!K23,"AAAAAG/l8wc=")</f>
        <v>#VALUE!</v>
      </c>
      <c r="I116" t="e">
        <f>AND('Please read'!L23,"AAAAAG/l8wg=")</f>
        <v>#VALUE!</v>
      </c>
      <c r="J116" t="e">
        <f>AND('Please read'!M23,"AAAAAG/l8wk=")</f>
        <v>#VALUE!</v>
      </c>
      <c r="K116" t="e">
        <f>AND('Please read'!N23,"AAAAAG/l8wo=")</f>
        <v>#VALUE!</v>
      </c>
      <c r="L116">
        <f>IF('Please read'!24:24,"AAAAAG/l8ws=",0)</f>
        <v>0</v>
      </c>
      <c r="M116" t="e">
        <f>AND('Please read'!B24,"AAAAAG/l8ww=")</f>
        <v>#VALUE!</v>
      </c>
      <c r="N116" t="e">
        <f>AND('Please read'!C24,"AAAAAG/l8w0=")</f>
        <v>#VALUE!</v>
      </c>
      <c r="O116" t="e">
        <f>AND('Please read'!D24,"AAAAAG/l8w4=")</f>
        <v>#VALUE!</v>
      </c>
      <c r="P116" t="e">
        <f>AND('Please read'!E24,"AAAAAG/l8w8=")</f>
        <v>#VALUE!</v>
      </c>
      <c r="Q116" t="e">
        <f>AND('Please read'!F24,"AAAAAG/l8xA=")</f>
        <v>#VALUE!</v>
      </c>
      <c r="R116" t="e">
        <f>AND('Please read'!G24,"AAAAAG/l8xE=")</f>
        <v>#VALUE!</v>
      </c>
      <c r="S116" t="e">
        <f>AND('Please read'!H24,"AAAAAG/l8xI=")</f>
        <v>#VALUE!</v>
      </c>
      <c r="T116" t="e">
        <f>AND('Please read'!I24,"AAAAAG/l8xM=")</f>
        <v>#VALUE!</v>
      </c>
      <c r="U116" t="e">
        <f>AND('Please read'!J24,"AAAAAG/l8xQ=")</f>
        <v>#VALUE!</v>
      </c>
      <c r="V116" t="e">
        <f>AND('Please read'!K24,"AAAAAG/l8xU=")</f>
        <v>#VALUE!</v>
      </c>
      <c r="W116" t="e">
        <f>AND('Please read'!L24,"AAAAAG/l8xY=")</f>
        <v>#VALUE!</v>
      </c>
      <c r="X116" t="e">
        <f>AND('Please read'!M24,"AAAAAG/l8xc=")</f>
        <v>#VALUE!</v>
      </c>
      <c r="Y116" t="e">
        <f>AND('Please read'!N24,"AAAAAG/l8xg=")</f>
        <v>#VALUE!</v>
      </c>
      <c r="Z116">
        <f>IF('Please read'!25:25,"AAAAAG/l8xk=",0)</f>
        <v>0</v>
      </c>
      <c r="AA116" t="e">
        <f>AND('Please read'!B25,"AAAAAG/l8xo=")</f>
        <v>#VALUE!</v>
      </c>
      <c r="AB116" t="e">
        <f>AND('Please read'!C25,"AAAAAG/l8xs=")</f>
        <v>#VALUE!</v>
      </c>
      <c r="AC116" t="e">
        <f>AND('Please read'!D25,"AAAAAG/l8xw=")</f>
        <v>#VALUE!</v>
      </c>
      <c r="AD116" t="e">
        <f>AND('Please read'!E25,"AAAAAG/l8x0=")</f>
        <v>#VALUE!</v>
      </c>
      <c r="AE116" t="e">
        <f>AND('Please read'!F25,"AAAAAG/l8x4=")</f>
        <v>#VALUE!</v>
      </c>
      <c r="AF116" t="e">
        <f>AND('Please read'!G25,"AAAAAG/l8x8=")</f>
        <v>#VALUE!</v>
      </c>
      <c r="AG116" t="e">
        <f>AND('Please read'!H25,"AAAAAG/l8yA=")</f>
        <v>#VALUE!</v>
      </c>
      <c r="AH116" t="e">
        <f>AND('Please read'!I25,"AAAAAG/l8yE=")</f>
        <v>#VALUE!</v>
      </c>
      <c r="AI116" t="e">
        <f>AND('Please read'!J25,"AAAAAG/l8yI=")</f>
        <v>#VALUE!</v>
      </c>
      <c r="AJ116" t="e">
        <f>AND('Please read'!K25,"AAAAAG/l8yM=")</f>
        <v>#VALUE!</v>
      </c>
      <c r="AK116" t="e">
        <f>AND('Please read'!L25,"AAAAAG/l8yQ=")</f>
        <v>#VALUE!</v>
      </c>
      <c r="AL116" t="e">
        <f>AND('Please read'!M25,"AAAAAG/l8yU=")</f>
        <v>#VALUE!</v>
      </c>
      <c r="AM116" t="e">
        <f>AND('Please read'!N25,"AAAAAG/l8yY=")</f>
        <v>#VALUE!</v>
      </c>
      <c r="AN116">
        <f>IF('Please read'!26:26,"AAAAAG/l8yc=",0)</f>
        <v>0</v>
      </c>
      <c r="AO116" t="e">
        <f>AND('Please read'!B26,"AAAAAG/l8yg=")</f>
        <v>#VALUE!</v>
      </c>
      <c r="AP116" t="e">
        <f>AND('Please read'!C26,"AAAAAG/l8yk=")</f>
        <v>#VALUE!</v>
      </c>
      <c r="AQ116" t="e">
        <f>AND('Please read'!D26,"AAAAAG/l8yo=")</f>
        <v>#VALUE!</v>
      </c>
      <c r="AR116" t="e">
        <f>AND('Please read'!E26,"AAAAAG/l8ys=")</f>
        <v>#VALUE!</v>
      </c>
      <c r="AS116" t="e">
        <f>AND('Please read'!F26,"AAAAAG/l8yw=")</f>
        <v>#VALUE!</v>
      </c>
      <c r="AT116" t="e">
        <f>AND('Please read'!G26,"AAAAAG/l8y0=")</f>
        <v>#VALUE!</v>
      </c>
      <c r="AU116" t="e">
        <f>AND('Please read'!H26,"AAAAAG/l8y4=")</f>
        <v>#VALUE!</v>
      </c>
      <c r="AV116" t="e">
        <f>AND('Please read'!I26,"AAAAAG/l8y8=")</f>
        <v>#VALUE!</v>
      </c>
      <c r="AW116" t="e">
        <f>AND('Please read'!J26,"AAAAAG/l8zA=")</f>
        <v>#VALUE!</v>
      </c>
      <c r="AX116" t="e">
        <f>AND('Please read'!K26,"AAAAAG/l8zE=")</f>
        <v>#VALUE!</v>
      </c>
      <c r="AY116" t="e">
        <f>AND('Please read'!L26,"AAAAAG/l8zI=")</f>
        <v>#VALUE!</v>
      </c>
      <c r="AZ116" t="e">
        <f>AND('Please read'!M26,"AAAAAG/l8zM=")</f>
        <v>#VALUE!</v>
      </c>
      <c r="BA116" t="e">
        <f>AND('Please read'!N26,"AAAAAG/l8zQ=")</f>
        <v>#VALUE!</v>
      </c>
      <c r="BB116">
        <f>IF('Please read'!27:27,"AAAAAG/l8zU=",0)</f>
        <v>0</v>
      </c>
      <c r="BC116" t="e">
        <f>AND('Please read'!B27,"AAAAAG/l8zY=")</f>
        <v>#VALUE!</v>
      </c>
      <c r="BD116" t="e">
        <f>AND('Please read'!C27,"AAAAAG/l8zc=")</f>
        <v>#VALUE!</v>
      </c>
      <c r="BE116" t="e">
        <f>AND('Please read'!D27,"AAAAAG/l8zg=")</f>
        <v>#VALUE!</v>
      </c>
      <c r="BF116" t="e">
        <f>AND('Please read'!E27,"AAAAAG/l8zk=")</f>
        <v>#VALUE!</v>
      </c>
      <c r="BG116" t="e">
        <f>AND('Please read'!F27,"AAAAAG/l8zo=")</f>
        <v>#VALUE!</v>
      </c>
      <c r="BH116" t="e">
        <f>AND('Please read'!G27,"AAAAAG/l8zs=")</f>
        <v>#VALUE!</v>
      </c>
      <c r="BI116" t="e">
        <f>AND('Please read'!H27,"AAAAAG/l8zw=")</f>
        <v>#VALUE!</v>
      </c>
      <c r="BJ116" t="e">
        <f>AND('Please read'!I27,"AAAAAG/l8z0=")</f>
        <v>#VALUE!</v>
      </c>
      <c r="BK116" t="e">
        <f>AND('Please read'!J27,"AAAAAG/l8z4=")</f>
        <v>#VALUE!</v>
      </c>
      <c r="BL116" t="e">
        <f>AND('Please read'!K27,"AAAAAG/l8z8=")</f>
        <v>#VALUE!</v>
      </c>
      <c r="BM116" t="e">
        <f>AND('Please read'!L27,"AAAAAG/l80A=")</f>
        <v>#VALUE!</v>
      </c>
      <c r="BN116" t="e">
        <f>AND('Please read'!M27,"AAAAAG/l80E=")</f>
        <v>#VALUE!</v>
      </c>
      <c r="BO116" t="e">
        <f>AND('Please read'!N27,"AAAAAG/l80I=")</f>
        <v>#VALUE!</v>
      </c>
      <c r="BP116">
        <f>IF('Please read'!28:28,"AAAAAG/l80M=",0)</f>
        <v>0</v>
      </c>
      <c r="BQ116" t="e">
        <f>AND('Please read'!B28,"AAAAAG/l80Q=")</f>
        <v>#VALUE!</v>
      </c>
      <c r="BR116">
        <f>IF('Please read'!29:29,"AAAAAG/l80U=",0)</f>
        <v>0</v>
      </c>
      <c r="BS116" t="e">
        <f>AND('Please read'!B29,"AAAAAG/l80Y=")</f>
        <v>#VALUE!</v>
      </c>
      <c r="BT116">
        <f>IF('Please read'!30:30,"AAAAAG/l80c=",0)</f>
        <v>0</v>
      </c>
      <c r="BU116" t="e">
        <f>AND('Please read'!B30,"AAAAAG/l80g=")</f>
        <v>#VALUE!</v>
      </c>
      <c r="BV116">
        <f>IF('Please read'!31:31,"AAAAAG/l80k=",0)</f>
        <v>0</v>
      </c>
      <c r="BW116" t="e">
        <f>AND('Please read'!B31,"AAAAAG/l80o=")</f>
        <v>#VALUE!</v>
      </c>
      <c r="BX116">
        <f>IF('Please read'!32:32,"AAAAAG/l80s=",0)</f>
        <v>0</v>
      </c>
      <c r="BY116" t="b">
        <f>AND('Please read'!B32,"AAAAAG/l80w=")</f>
        <v>1</v>
      </c>
      <c r="BZ116">
        <f>IF('Please read'!A:A,"AAAAAG/l800=",0)</f>
        <v>0</v>
      </c>
      <c r="CA116">
        <f>IF('Please read'!B:B,"AAAAAG/l804=",0)</f>
        <v>0</v>
      </c>
      <c r="CB116">
        <f>IF('Please read'!C:C,"AAAAAG/l808=",0)</f>
        <v>0</v>
      </c>
      <c r="CC116">
        <f>IF('Please read'!D:D,"AAAAAG/l81A=",0)</f>
        <v>0</v>
      </c>
      <c r="CD116">
        <f>IF('Please read'!E:E,"AAAAAG/l81E=",0)</f>
        <v>0</v>
      </c>
      <c r="CE116">
        <f>IF('Please read'!F:F,"AAAAAG/l81I=",0)</f>
        <v>0</v>
      </c>
      <c r="CF116">
        <f>IF('Please read'!G:G,"AAAAAG/l81M=",0)</f>
        <v>0</v>
      </c>
      <c r="CG116">
        <f>IF('Please read'!H:H,"AAAAAG/l81Q=",0)</f>
        <v>0</v>
      </c>
      <c r="CH116">
        <f>IF('Please read'!I:I,"AAAAAG/l81U=",0)</f>
        <v>0</v>
      </c>
      <c r="CI116">
        <f>IF('Please read'!J:J,"AAAAAG/l81Y=",0)</f>
        <v>0</v>
      </c>
      <c r="CJ116">
        <f>IF('Please read'!K:K,"AAAAAG/l81c=",0)</f>
        <v>0</v>
      </c>
      <c r="CK116">
        <f>IF('Please read'!L:L,"AAAAAG/l81g=",0)</f>
        <v>0</v>
      </c>
      <c r="CL116">
        <f>IF('Please read'!M:M,"AAAAAG/l81k=",0)</f>
        <v>0</v>
      </c>
      <c r="CM116">
        <f>IF('Please read'!N:N,"AAAAAG/l81o=",0)</f>
        <v>0</v>
      </c>
      <c r="CN116">
        <f>IF('Black &amp; White load sheet'!1:1,"AAAAAG/l81s=",0)</f>
        <v>0</v>
      </c>
      <c r="CO116" t="e">
        <f>AND('Black &amp; White load sheet'!A1,"AAAAAG/l81w=")</f>
        <v>#VALUE!</v>
      </c>
      <c r="CP116" t="b">
        <f>AND('Black &amp; White load sheet'!B1,"AAAAAG/l810=")</f>
        <v>1</v>
      </c>
      <c r="CQ116" t="b">
        <f>AND('Black &amp; White load sheet'!C1,"AAAAAG/l814=")</f>
        <v>1</v>
      </c>
      <c r="CR116" t="b">
        <f>AND('Black &amp; White load sheet'!D1,"AAAAAG/l818=")</f>
        <v>0</v>
      </c>
      <c r="CS116" t="b">
        <f>AND('Black &amp; White load sheet'!E1,"AAAAAG/l82A=")</f>
        <v>1</v>
      </c>
      <c r="CT116" t="b">
        <f>AND('Black &amp; White load sheet'!F1,"AAAAAG/l82E=")</f>
        <v>1</v>
      </c>
      <c r="CU116" t="b">
        <f>AND('Black &amp; White load sheet'!G1,"AAAAAG/l82I=")</f>
        <v>1</v>
      </c>
      <c r="CV116" t="b">
        <f>AND('Black &amp; White load sheet'!H1,"AAAAAG/l82M=")</f>
        <v>1</v>
      </c>
      <c r="CW116" t="b">
        <f>AND('Black &amp; White load sheet'!I1,"AAAAAG/l82Q=")</f>
        <v>1</v>
      </c>
      <c r="CX116" t="b">
        <f>AND('Black &amp; White load sheet'!J1,"AAAAAG/l82U=")</f>
        <v>1</v>
      </c>
      <c r="CY116" t="b">
        <f>AND('Black &amp; White load sheet'!K1,"AAAAAG/l82Y=")</f>
        <v>1</v>
      </c>
      <c r="CZ116" t="b">
        <f>AND('Black &amp; White load sheet'!L1,"AAAAAG/l82c=")</f>
        <v>1</v>
      </c>
      <c r="DA116" t="e">
        <f>AND('Black &amp; White load sheet'!M1,"AAAAAG/l82g=")</f>
        <v>#VALUE!</v>
      </c>
      <c r="DB116" t="b">
        <f>AND('Black &amp; White load sheet'!N1,"AAAAAG/l82k=")</f>
        <v>1</v>
      </c>
      <c r="DC116" t="e">
        <f>AND('Black &amp; White load sheet'!O1,"AAAAAG/l82o=")</f>
        <v>#VALUE!</v>
      </c>
      <c r="DD116" t="e">
        <f>AND('Black &amp; White load sheet'!P1,"AAAAAG/l82s=")</f>
        <v>#VALUE!</v>
      </c>
      <c r="DE116" t="e">
        <f>AND('Black &amp; White load sheet'!Q1,"AAAAAG/l82w=")</f>
        <v>#VALUE!</v>
      </c>
      <c r="DF116" t="e">
        <f>AND('Black &amp; White load sheet'!R1,"AAAAAG/l820=")</f>
        <v>#VALUE!</v>
      </c>
      <c r="DG116" t="e">
        <f>AND('Black &amp; White load sheet'!S1,"AAAAAG/l824=")</f>
        <v>#VALUE!</v>
      </c>
      <c r="DH116">
        <f>IF('Black &amp; White load sheet'!2:2,"AAAAAG/l828=",0)</f>
        <v>0</v>
      </c>
      <c r="DI116" t="e">
        <f>AND('Black &amp; White load sheet'!A2,"AAAAAG/l83A=")</f>
        <v>#VALUE!</v>
      </c>
      <c r="DJ116" t="b">
        <f>AND('Black &amp; White load sheet'!B2,"AAAAAG/l83E=")</f>
        <v>1</v>
      </c>
      <c r="DK116" t="b">
        <f>AND('Black &amp; White load sheet'!C2,"AAAAAG/l83I=")</f>
        <v>1</v>
      </c>
      <c r="DL116" t="b">
        <f>AND('Black &amp; White load sheet'!D2,"AAAAAG/l83M=")</f>
        <v>1</v>
      </c>
      <c r="DM116" t="b">
        <f>AND('Black &amp; White load sheet'!E2,"AAAAAG/l83Q=")</f>
        <v>1</v>
      </c>
      <c r="DN116" t="b">
        <f>AND('Black &amp; White load sheet'!F2,"AAAAAG/l83U=")</f>
        <v>1</v>
      </c>
      <c r="DO116" t="b">
        <f>AND('Black &amp; White load sheet'!G2,"AAAAAG/l83Y=")</f>
        <v>1</v>
      </c>
      <c r="DP116" t="b">
        <f>AND('Black &amp; White load sheet'!H2,"AAAAAG/l83c=")</f>
        <v>1</v>
      </c>
      <c r="DQ116" t="b">
        <f>AND('Black &amp; White load sheet'!I2,"AAAAAG/l83g=")</f>
        <v>1</v>
      </c>
      <c r="DR116" t="b">
        <f>AND('Black &amp; White load sheet'!J2,"AAAAAG/l83k=")</f>
        <v>1</v>
      </c>
      <c r="DS116" t="b">
        <f>AND('Black &amp; White load sheet'!K2,"AAAAAG/l83o=")</f>
        <v>1</v>
      </c>
      <c r="DT116" t="b">
        <f>AND('Black &amp; White load sheet'!L2,"AAAAAG/l83s=")</f>
        <v>1</v>
      </c>
      <c r="DU116" t="b">
        <f>AND('Black &amp; White load sheet'!M2,"AAAAAG/l83w=")</f>
        <v>1</v>
      </c>
      <c r="DV116" t="e">
        <f>AND('Black &amp; White load sheet'!N2,"AAAAAG/l830=")</f>
        <v>#VALUE!</v>
      </c>
      <c r="DW116" t="e">
        <f>AND('Black &amp; White load sheet'!O2,"AAAAAG/l834=")</f>
        <v>#VALUE!</v>
      </c>
      <c r="DX116" t="e">
        <f>AND('Black &amp; White load sheet'!P2,"AAAAAG/l838=")</f>
        <v>#VALUE!</v>
      </c>
      <c r="DY116" t="b">
        <f>AND('Black &amp; White load sheet'!Q2,"AAAAAG/l84A=")</f>
        <v>1</v>
      </c>
      <c r="DZ116" t="b">
        <f>AND('Black &amp; White load sheet'!R2,"AAAAAG/l84E=")</f>
        <v>1</v>
      </c>
      <c r="EA116" t="b">
        <f>AND('Black &amp; White load sheet'!S2,"AAAAAG/l84I=")</f>
        <v>1</v>
      </c>
      <c r="EB116">
        <f>IF('Black &amp; White load sheet'!3:3,"AAAAAG/l84M=",0)</f>
        <v>0</v>
      </c>
      <c r="EC116" t="e">
        <f>AND('Black &amp; White load sheet'!A3,"AAAAAG/l84Q=")</f>
        <v>#VALUE!</v>
      </c>
      <c r="ED116" t="e">
        <f>AND('Black &amp; White load sheet'!B3,"AAAAAG/l84U=")</f>
        <v>#VALUE!</v>
      </c>
      <c r="EE116" t="e">
        <f>AND('Black &amp; White load sheet'!C3,"AAAAAG/l84Y=")</f>
        <v>#VALUE!</v>
      </c>
      <c r="EF116" t="e">
        <f>AND('Black &amp; White load sheet'!D3,"AAAAAG/l84c=")</f>
        <v>#VALUE!</v>
      </c>
      <c r="EG116" t="e">
        <f>AND('Black &amp; White load sheet'!E3,"AAAAAG/l84g=")</f>
        <v>#VALUE!</v>
      </c>
      <c r="EH116" t="e">
        <f>AND('Black &amp; White load sheet'!F3,"AAAAAG/l84k=")</f>
        <v>#VALUE!</v>
      </c>
      <c r="EI116" t="e">
        <f>AND('Black &amp; White load sheet'!G3,"AAAAAG/l84o=")</f>
        <v>#VALUE!</v>
      </c>
      <c r="EJ116" t="e">
        <f>AND('Black &amp; White load sheet'!H3,"AAAAAG/l84s=")</f>
        <v>#VALUE!</v>
      </c>
      <c r="EK116" t="e">
        <f>AND('Black &amp; White load sheet'!I3,"AAAAAG/l84w=")</f>
        <v>#VALUE!</v>
      </c>
      <c r="EL116" t="e">
        <f>AND('Black &amp; White load sheet'!J3,"AAAAAG/l840=")</f>
        <v>#VALUE!</v>
      </c>
      <c r="EM116" t="e">
        <f>AND('Black &amp; White load sheet'!K3,"AAAAAG/l844=")</f>
        <v>#VALUE!</v>
      </c>
      <c r="EN116" t="e">
        <f>AND('Black &amp; White load sheet'!L3,"AAAAAG/l848=")</f>
        <v>#VALUE!</v>
      </c>
      <c r="EO116" t="e">
        <f>AND('Black &amp; White load sheet'!M3,"AAAAAG/l85A=")</f>
        <v>#VALUE!</v>
      </c>
      <c r="EP116" t="e">
        <f>AND('Black &amp; White load sheet'!N3,"AAAAAG/l85E=")</f>
        <v>#VALUE!</v>
      </c>
      <c r="EQ116" t="e">
        <f>AND('Black &amp; White load sheet'!O3,"AAAAAG/l85I=")</f>
        <v>#VALUE!</v>
      </c>
      <c r="ER116" t="e">
        <f>AND('Black &amp; White load sheet'!P3,"AAAAAG/l85M=")</f>
        <v>#VALUE!</v>
      </c>
      <c r="ES116" t="b">
        <f>AND('Black &amp; White load sheet'!Q3,"AAAAAG/l85Q=")</f>
        <v>1</v>
      </c>
      <c r="ET116" t="b">
        <f>AND('Black &amp; White load sheet'!R3,"AAAAAG/l85U=")</f>
        <v>1</v>
      </c>
      <c r="EU116" t="b">
        <f>AND('Black &amp; White load sheet'!S3,"AAAAAG/l85Y=")</f>
        <v>1</v>
      </c>
      <c r="EV116">
        <f>IF('Black &amp; White load sheet'!4:4,"AAAAAG/l85c=",0)</f>
        <v>0</v>
      </c>
      <c r="EW116" t="b">
        <f>AND('Black &amp; White load sheet'!A4,"AAAAAG/l85g=")</f>
        <v>1</v>
      </c>
      <c r="EX116" t="b">
        <f>AND('Black &amp; White load sheet'!B4,"AAAAAG/l85k=")</f>
        <v>0</v>
      </c>
      <c r="EY116" t="b">
        <f>AND('Black &amp; White load sheet'!C4,"AAAAAG/l85o=")</f>
        <v>0</v>
      </c>
      <c r="EZ116" t="b">
        <f>AND('Black &amp; White load sheet'!D4,"AAAAAG/l85s=")</f>
        <v>0</v>
      </c>
      <c r="FA116" t="b">
        <f>AND('Black &amp; White load sheet'!E4,"AAAAAG/l85w=")</f>
        <v>0</v>
      </c>
      <c r="FB116" t="b">
        <f>AND('Black &amp; White load sheet'!F4,"AAAAAG/l850=")</f>
        <v>0</v>
      </c>
      <c r="FC116" t="b">
        <f>AND('Black &amp; White load sheet'!G4,"AAAAAG/l854=")</f>
        <v>0</v>
      </c>
      <c r="FD116" t="b">
        <f>AND('Black &amp; White load sheet'!H4,"AAAAAG/l858=")</f>
        <v>0</v>
      </c>
      <c r="FE116" t="b">
        <f>AND('Black &amp; White load sheet'!I4,"AAAAAG/l86A=")</f>
        <v>0</v>
      </c>
      <c r="FF116" t="b">
        <f>AND('Black &amp; White load sheet'!J4,"AAAAAG/l86E=")</f>
        <v>0</v>
      </c>
      <c r="FG116" t="b">
        <f>AND('Black &amp; White load sheet'!K4,"AAAAAG/l86I=")</f>
        <v>0</v>
      </c>
      <c r="FH116" t="b">
        <f>AND('Black &amp; White load sheet'!L4,"AAAAAG/l86M=")</f>
        <v>0</v>
      </c>
      <c r="FI116" t="b">
        <f>AND('Black &amp; White load sheet'!M4,"AAAAAG/l86Q=")</f>
        <v>1</v>
      </c>
      <c r="FJ116" t="b">
        <f>AND('Black &amp; White load sheet'!N4,"AAAAAG/l86U=")</f>
        <v>0</v>
      </c>
      <c r="FK116" t="b">
        <f>AND('Black &amp; White load sheet'!O4,"AAAAAG/l86Y=")</f>
        <v>0</v>
      </c>
      <c r="FL116" t="e">
        <f>AND('Black &amp; White load sheet'!P4,"AAAAAG/l86c=")</f>
        <v>#VALUE!</v>
      </c>
      <c r="FM116" t="b">
        <f>AND('Black &amp; White load sheet'!Q4,"AAAAAG/l86g=")</f>
        <v>1</v>
      </c>
      <c r="FN116" t="b">
        <f>AND('Black &amp; White load sheet'!R4,"AAAAAG/l86k=")</f>
        <v>1</v>
      </c>
      <c r="FO116" t="b">
        <f>AND('Black &amp; White load sheet'!S4,"AAAAAG/l86o=")</f>
        <v>1</v>
      </c>
      <c r="FP116">
        <f>IF('Black &amp; White load sheet'!5:5,"AAAAAG/l86s=",0)</f>
        <v>0</v>
      </c>
      <c r="FQ116" t="b">
        <f>AND('Black &amp; White load sheet'!A5,"AAAAAG/l86w=")</f>
        <v>1</v>
      </c>
      <c r="FR116" t="b">
        <f>AND('Black &amp; White load sheet'!B5,"AAAAAG/l860=")</f>
        <v>0</v>
      </c>
      <c r="FS116" t="b">
        <f>AND('Black &amp; White load sheet'!C5,"AAAAAG/l864=")</f>
        <v>0</v>
      </c>
      <c r="FT116" t="b">
        <f>AND('Black &amp; White load sheet'!D5,"AAAAAG/l868=")</f>
        <v>0</v>
      </c>
      <c r="FU116" t="b">
        <f>AND('Black &amp; White load sheet'!E5,"AAAAAG/l87A=")</f>
        <v>0</v>
      </c>
      <c r="FV116" t="b">
        <f>AND('Black &amp; White load sheet'!F5,"AAAAAG/l87E=")</f>
        <v>0</v>
      </c>
      <c r="FW116" t="b">
        <f>AND('Black &amp; White load sheet'!G5,"AAAAAG/l87I=")</f>
        <v>0</v>
      </c>
      <c r="FX116" t="b">
        <f>AND('Black &amp; White load sheet'!H5,"AAAAAG/l87M=")</f>
        <v>0</v>
      </c>
      <c r="FY116" t="b">
        <f>AND('Black &amp; White load sheet'!I5,"AAAAAG/l87Q=")</f>
        <v>0</v>
      </c>
      <c r="FZ116" t="b">
        <f>AND('Black &amp; White load sheet'!J5,"AAAAAG/l87U=")</f>
        <v>0</v>
      </c>
      <c r="GA116" t="b">
        <f>AND('Black &amp; White load sheet'!K5,"AAAAAG/l87Y=")</f>
        <v>0</v>
      </c>
      <c r="GB116" t="b">
        <f>AND('Black &amp; White load sheet'!L5,"AAAAAG/l87c=")</f>
        <v>1</v>
      </c>
      <c r="GC116" t="b">
        <f>AND('Black &amp; White load sheet'!M5,"AAAAAG/l87g=")</f>
        <v>1</v>
      </c>
      <c r="GD116" t="b">
        <f>AND('Black &amp; White load sheet'!N5,"AAAAAG/l87k=")</f>
        <v>1</v>
      </c>
      <c r="GE116" t="b">
        <f>AND('Black &amp; White load sheet'!O5,"AAAAAG/l87o=")</f>
        <v>1</v>
      </c>
      <c r="GF116" t="e">
        <f>AND('Black &amp; White load sheet'!P5,"AAAAAG/l87s=")</f>
        <v>#VALUE!</v>
      </c>
      <c r="GG116" t="b">
        <f>AND('Black &amp; White load sheet'!Q5,"AAAAAG/l87w=")</f>
        <v>1</v>
      </c>
      <c r="GH116" t="b">
        <f>AND('Black &amp; White load sheet'!R5,"AAAAAG/l870=")</f>
        <v>1</v>
      </c>
      <c r="GI116" t="b">
        <f>AND('Black &amp; White load sheet'!S5,"AAAAAG/l874=")</f>
        <v>1</v>
      </c>
      <c r="GJ116">
        <f>IF('Black &amp; White load sheet'!6:6,"AAAAAG/l878=",0)</f>
        <v>0</v>
      </c>
      <c r="GK116" t="b">
        <f>AND('Black &amp; White load sheet'!A6,"AAAAAG/l88A=")</f>
        <v>1</v>
      </c>
      <c r="GL116" t="b">
        <f>AND('Black &amp; White load sheet'!B6,"AAAAAG/l88E=")</f>
        <v>0</v>
      </c>
      <c r="GM116" t="b">
        <f>AND('Black &amp; White load sheet'!C6,"AAAAAG/l88I=")</f>
        <v>0</v>
      </c>
      <c r="GN116" t="b">
        <f>AND('Black &amp; White load sheet'!D6,"AAAAAG/l88M=")</f>
        <v>0</v>
      </c>
      <c r="GO116" t="b">
        <f>AND('Black &amp; White load sheet'!E6,"AAAAAG/l88Q=")</f>
        <v>0</v>
      </c>
      <c r="GP116" t="b">
        <f>AND('Black &amp; White load sheet'!F6,"AAAAAG/l88U=")</f>
        <v>0</v>
      </c>
      <c r="GQ116" t="b">
        <f>AND('Black &amp; White load sheet'!G6,"AAAAAG/l88Y=")</f>
        <v>0</v>
      </c>
      <c r="GR116" t="b">
        <f>AND('Black &amp; White load sheet'!H6,"AAAAAG/l88c=")</f>
        <v>0</v>
      </c>
      <c r="GS116" t="b">
        <f>AND('Black &amp; White load sheet'!I6,"AAAAAG/l88g=")</f>
        <v>0</v>
      </c>
      <c r="GT116" t="b">
        <f>AND('Black &amp; White load sheet'!J6,"AAAAAG/l88k=")</f>
        <v>0</v>
      </c>
      <c r="GU116" t="b">
        <f>AND('Black &amp; White load sheet'!K6,"AAAAAG/l88o=")</f>
        <v>1</v>
      </c>
      <c r="GV116" t="b">
        <f>AND('Black &amp; White load sheet'!L6,"AAAAAG/l88s=")</f>
        <v>0</v>
      </c>
      <c r="GW116" t="b">
        <f>AND('Black &amp; White load sheet'!M6,"AAAAAG/l88w=")</f>
        <v>1</v>
      </c>
      <c r="GX116" t="b">
        <f>AND('Black &amp; White load sheet'!N6,"AAAAAG/l880=")</f>
        <v>1</v>
      </c>
      <c r="GY116" t="b">
        <f>AND('Black &amp; White load sheet'!O6,"AAAAAG/l884=")</f>
        <v>1</v>
      </c>
      <c r="GZ116" t="e">
        <f>AND('Black &amp; White load sheet'!P6,"AAAAAG/l888=")</f>
        <v>#VALUE!</v>
      </c>
      <c r="HA116" t="b">
        <f>AND('Black &amp; White load sheet'!Q6,"AAAAAG/l89A=")</f>
        <v>1</v>
      </c>
      <c r="HB116" t="b">
        <f>AND('Black &amp; White load sheet'!R6,"AAAAAG/l89E=")</f>
        <v>1</v>
      </c>
      <c r="HC116" t="b">
        <f>AND('Black &amp; White load sheet'!S6,"AAAAAG/l89I=")</f>
        <v>1</v>
      </c>
      <c r="HD116">
        <f>IF('Black &amp; White load sheet'!7:7,"AAAAAG/l89M=",0)</f>
        <v>0</v>
      </c>
      <c r="HE116" t="b">
        <f>AND('Black &amp; White load sheet'!A7,"AAAAAG/l89Q=")</f>
        <v>1</v>
      </c>
      <c r="HF116" t="b">
        <f>AND('Black &amp; White load sheet'!B7,"AAAAAG/l89U=")</f>
        <v>0</v>
      </c>
      <c r="HG116" t="b">
        <f>AND('Black &amp; White load sheet'!C7,"AAAAAG/l89Y=")</f>
        <v>0</v>
      </c>
      <c r="HH116" t="b">
        <f>AND('Black &amp; White load sheet'!D7,"AAAAAG/l89c=")</f>
        <v>0</v>
      </c>
      <c r="HI116" t="b">
        <f>AND('Black &amp; White load sheet'!E7,"AAAAAG/l89g=")</f>
        <v>0</v>
      </c>
      <c r="HJ116" t="b">
        <f>AND('Black &amp; White load sheet'!F7,"AAAAAG/l89k=")</f>
        <v>0</v>
      </c>
      <c r="HK116" t="b">
        <f>AND('Black &amp; White load sheet'!G7,"AAAAAG/l89o=")</f>
        <v>0</v>
      </c>
      <c r="HL116" t="b">
        <f>AND('Black &amp; White load sheet'!H7,"AAAAAG/l89s=")</f>
        <v>0</v>
      </c>
      <c r="HM116" t="b">
        <f>AND('Black &amp; White load sheet'!I7,"AAAAAG/l89w=")</f>
        <v>0</v>
      </c>
      <c r="HN116" t="b">
        <f>AND('Black &amp; White load sheet'!J7,"AAAAAG/l890=")</f>
        <v>1</v>
      </c>
      <c r="HO116" t="b">
        <f>AND('Black &amp; White load sheet'!K7,"AAAAAG/l894=")</f>
        <v>0</v>
      </c>
      <c r="HP116" t="b">
        <f>AND('Black &amp; White load sheet'!L7,"AAAAAG/l898=")</f>
        <v>0</v>
      </c>
      <c r="HQ116" t="b">
        <f>AND('Black &amp; White load sheet'!M7,"AAAAAG/l8+A=")</f>
        <v>1</v>
      </c>
      <c r="HR116" t="b">
        <f>AND('Black &amp; White load sheet'!N7,"AAAAAG/l8+E=")</f>
        <v>1</v>
      </c>
      <c r="HS116" t="b">
        <f>AND('Black &amp; White load sheet'!O7,"AAAAAG/l8+I=")</f>
        <v>1</v>
      </c>
      <c r="HT116">
        <f>IF('Black &amp; White load sheet'!8:8,"AAAAAG/l8+M=",0)</f>
        <v>0</v>
      </c>
      <c r="HU116" t="b">
        <f>AND('Black &amp; White load sheet'!A8,"AAAAAG/l8+Q=")</f>
        <v>1</v>
      </c>
      <c r="HV116" t="b">
        <f>AND('Black &amp; White load sheet'!B8,"AAAAAG/l8+U=")</f>
        <v>0</v>
      </c>
      <c r="HW116" t="b">
        <f>AND('Black &amp; White load sheet'!C8,"AAAAAG/l8+Y=")</f>
        <v>0</v>
      </c>
      <c r="HX116" t="b">
        <f>AND('Black &amp; White load sheet'!D8,"AAAAAG/l8+c=")</f>
        <v>0</v>
      </c>
      <c r="HY116" t="b">
        <f>AND('Black &amp; White load sheet'!E8,"AAAAAG/l8+g=")</f>
        <v>0</v>
      </c>
      <c r="HZ116" t="b">
        <f>AND('Black &amp; White load sheet'!F8,"AAAAAG/l8+k=")</f>
        <v>0</v>
      </c>
      <c r="IA116" t="b">
        <f>AND('Black &amp; White load sheet'!G8,"AAAAAG/l8+o=")</f>
        <v>0</v>
      </c>
      <c r="IB116" t="b">
        <f>AND('Black &amp; White load sheet'!H8,"AAAAAG/l8+s=")</f>
        <v>0</v>
      </c>
      <c r="IC116" t="b">
        <f>AND('Black &amp; White load sheet'!I8,"AAAAAG/l8+w=")</f>
        <v>1</v>
      </c>
      <c r="ID116" t="b">
        <f>AND('Black &amp; White load sheet'!J8,"AAAAAG/l8+0=")</f>
        <v>0</v>
      </c>
      <c r="IE116" t="b">
        <f>AND('Black &amp; White load sheet'!K8,"AAAAAG/l8+4=")</f>
        <v>0</v>
      </c>
      <c r="IF116" t="b">
        <f>AND('Black &amp; White load sheet'!L8,"AAAAAG/l8+8=")</f>
        <v>0</v>
      </c>
      <c r="IG116" t="b">
        <f>AND('Black &amp; White load sheet'!M8,"AAAAAG/l8/A=")</f>
        <v>1</v>
      </c>
      <c r="IH116" t="b">
        <f>AND('Black &amp; White load sheet'!N8,"AAAAAG/l8/E=")</f>
        <v>1</v>
      </c>
      <c r="II116" t="b">
        <f>AND('Black &amp; White load sheet'!O8,"AAAAAG/l8/I=")</f>
        <v>1</v>
      </c>
      <c r="IJ116">
        <f>IF('Black &amp; White load sheet'!9:9,"AAAAAG/l8/M=",0)</f>
        <v>0</v>
      </c>
      <c r="IK116" t="b">
        <f>AND('Black &amp; White load sheet'!A9,"AAAAAG/l8/Q=")</f>
        <v>1</v>
      </c>
      <c r="IL116" t="b">
        <f>AND('Black &amp; White load sheet'!B9,"AAAAAG/l8/U=")</f>
        <v>0</v>
      </c>
      <c r="IM116" t="b">
        <f>AND('Black &amp; White load sheet'!C9,"AAAAAG/l8/Y=")</f>
        <v>0</v>
      </c>
      <c r="IN116" t="b">
        <f>AND('Black &amp; White load sheet'!D9,"AAAAAG/l8/c=")</f>
        <v>0</v>
      </c>
      <c r="IO116" t="b">
        <f>AND('Black &amp; White load sheet'!E9,"AAAAAG/l8/g=")</f>
        <v>0</v>
      </c>
      <c r="IP116" t="b">
        <f>AND('Black &amp; White load sheet'!F9,"AAAAAG/l8/k=")</f>
        <v>0</v>
      </c>
      <c r="IQ116" t="b">
        <f>AND('Black &amp; White load sheet'!G9,"AAAAAG/l8/o=")</f>
        <v>0</v>
      </c>
      <c r="IR116" t="b">
        <f>AND('Black &amp; White load sheet'!H9,"AAAAAG/l8/s=")</f>
        <v>1</v>
      </c>
      <c r="IS116" t="b">
        <f>AND('Black &amp; White load sheet'!I9,"AAAAAG/l8/w=")</f>
        <v>0</v>
      </c>
      <c r="IT116" t="b">
        <f>AND('Black &amp; White load sheet'!J9,"AAAAAG/l8/0=")</f>
        <v>0</v>
      </c>
      <c r="IU116" t="b">
        <f>AND('Black &amp; White load sheet'!K9,"AAAAAG/l8/4=")</f>
        <v>0</v>
      </c>
      <c r="IV116" t="b">
        <f>AND('Black &amp; White load sheet'!L9,"AAAAAG/l8/8=")</f>
        <v>0</v>
      </c>
    </row>
    <row r="117" spans="1:256">
      <c r="A117" t="b">
        <f>AND('Black &amp; White load sheet'!M9,"AAAAAHzliQA=")</f>
        <v>1</v>
      </c>
      <c r="B117" t="b">
        <f>AND('Black &amp; White load sheet'!N9,"AAAAAHzliQE=")</f>
        <v>1</v>
      </c>
      <c r="C117" t="b">
        <f>AND('Black &amp; White load sheet'!O9,"AAAAAHzliQI=")</f>
        <v>1</v>
      </c>
      <c r="D117">
        <f>IF('Black &amp; White load sheet'!10:10,"AAAAAHzliQM=",0)</f>
        <v>0</v>
      </c>
      <c r="E117" t="b">
        <f>AND('Black &amp; White load sheet'!A10,"AAAAAHzliQQ=")</f>
        <v>1</v>
      </c>
      <c r="F117" t="b">
        <f>AND('Black &amp; White load sheet'!B10,"AAAAAHzliQU=")</f>
        <v>0</v>
      </c>
      <c r="G117" t="b">
        <f>AND('Black &amp; White load sheet'!C10,"AAAAAHzliQY=")</f>
        <v>0</v>
      </c>
      <c r="H117" t="b">
        <f>AND('Black &amp; White load sheet'!D10,"AAAAAHzliQc=")</f>
        <v>0</v>
      </c>
      <c r="I117" t="b">
        <f>AND('Black &amp; White load sheet'!E10,"AAAAAHzliQg=")</f>
        <v>0</v>
      </c>
      <c r="J117" t="b">
        <f>AND('Black &amp; White load sheet'!F10,"AAAAAHzliQk=")</f>
        <v>0</v>
      </c>
      <c r="K117" t="b">
        <f>AND('Black &amp; White load sheet'!G10,"AAAAAHzliQo=")</f>
        <v>0</v>
      </c>
      <c r="L117" t="b">
        <f>AND('Black &amp; White load sheet'!H10,"AAAAAHzliQs=")</f>
        <v>1</v>
      </c>
      <c r="M117" t="b">
        <f>AND('Black &amp; White load sheet'!I10,"AAAAAHzliQw=")</f>
        <v>0</v>
      </c>
      <c r="N117" t="b">
        <f>AND('Black &amp; White load sheet'!J10,"AAAAAHzliQ0=")</f>
        <v>0</v>
      </c>
      <c r="O117" t="b">
        <f>AND('Black &amp; White load sheet'!K10,"AAAAAHzliQ4=")</f>
        <v>0</v>
      </c>
      <c r="P117" t="b">
        <f>AND('Black &amp; White load sheet'!L10,"AAAAAHzliQ8=")</f>
        <v>1</v>
      </c>
      <c r="Q117" t="b">
        <f>AND('Black &amp; White load sheet'!M10,"AAAAAHzliRA=")</f>
        <v>1</v>
      </c>
      <c r="R117" t="b">
        <f>AND('Black &amp; White load sheet'!N10,"AAAAAHzliRE=")</f>
        <v>1</v>
      </c>
      <c r="S117" t="b">
        <f>AND('Black &amp; White load sheet'!O10,"AAAAAHzliRI=")</f>
        <v>1</v>
      </c>
      <c r="T117">
        <f>IF('Black &amp; White load sheet'!11:11,"AAAAAHzliRM=",0)</f>
        <v>0</v>
      </c>
      <c r="U117" t="b">
        <f>AND('Black &amp; White load sheet'!A11,"AAAAAHzliRQ=")</f>
        <v>1</v>
      </c>
      <c r="V117" t="b">
        <f>AND('Black &amp; White load sheet'!B11,"AAAAAHzliRU=")</f>
        <v>0</v>
      </c>
      <c r="W117" t="b">
        <f>AND('Black &amp; White load sheet'!C11,"AAAAAHzliRY=")</f>
        <v>0</v>
      </c>
      <c r="X117" t="b">
        <f>AND('Black &amp; White load sheet'!D11,"AAAAAHzliRc=")</f>
        <v>0</v>
      </c>
      <c r="Y117" t="b">
        <f>AND('Black &amp; White load sheet'!E11,"AAAAAHzliRg=")</f>
        <v>0</v>
      </c>
      <c r="Z117" t="b">
        <f>AND('Black &amp; White load sheet'!F11,"AAAAAHzliRk=")</f>
        <v>0</v>
      </c>
      <c r="AA117" t="b">
        <f>AND('Black &amp; White load sheet'!G11,"AAAAAHzliRo=")</f>
        <v>0</v>
      </c>
      <c r="AB117" t="b">
        <f>AND('Black &amp; White load sheet'!H11,"AAAAAHzliRs=")</f>
        <v>1</v>
      </c>
      <c r="AC117" t="b">
        <f>AND('Black &amp; White load sheet'!I11,"AAAAAHzliRw=")</f>
        <v>0</v>
      </c>
      <c r="AD117" t="b">
        <f>AND('Black &amp; White load sheet'!J11,"AAAAAHzliR0=")</f>
        <v>0</v>
      </c>
      <c r="AE117" t="b">
        <f>AND('Black &amp; White load sheet'!K11,"AAAAAHzliR4=")</f>
        <v>1</v>
      </c>
      <c r="AF117" t="b">
        <f>AND('Black &amp; White load sheet'!L11,"AAAAAHzliR8=")</f>
        <v>0</v>
      </c>
      <c r="AG117" t="b">
        <f>AND('Black &amp; White load sheet'!M11,"AAAAAHzliSA=")</f>
        <v>1</v>
      </c>
      <c r="AH117" t="b">
        <f>AND('Black &amp; White load sheet'!N11,"AAAAAHzliSE=")</f>
        <v>1</v>
      </c>
      <c r="AI117" t="b">
        <f>AND('Black &amp; White load sheet'!O11,"AAAAAHzliSI=")</f>
        <v>1</v>
      </c>
      <c r="AJ117">
        <f>IF('Black &amp; White load sheet'!12:12,"AAAAAHzliSM=",0)</f>
        <v>0</v>
      </c>
      <c r="AK117" t="b">
        <f>AND('Black &amp; White load sheet'!A12,"AAAAAHzliSQ=")</f>
        <v>1</v>
      </c>
      <c r="AL117" t="b">
        <f>AND('Black &amp; White load sheet'!B12,"AAAAAHzliSU=")</f>
        <v>0</v>
      </c>
      <c r="AM117" t="b">
        <f>AND('Black &amp; White load sheet'!C12,"AAAAAHzliSY=")</f>
        <v>0</v>
      </c>
      <c r="AN117" t="b">
        <f>AND('Black &amp; White load sheet'!D12,"AAAAAHzliSc=")</f>
        <v>0</v>
      </c>
      <c r="AO117" t="b">
        <f>AND('Black &amp; White load sheet'!E12,"AAAAAHzliSg=")</f>
        <v>0</v>
      </c>
      <c r="AP117" t="b">
        <f>AND('Black &amp; White load sheet'!F12,"AAAAAHzliSk=")</f>
        <v>0</v>
      </c>
      <c r="AQ117" t="b">
        <f>AND('Black &amp; White load sheet'!G12,"AAAAAHzliSo=")</f>
        <v>0</v>
      </c>
      <c r="AR117" t="b">
        <f>AND('Black &amp; White load sheet'!H12,"AAAAAHzliSs=")</f>
        <v>1</v>
      </c>
      <c r="AS117" t="b">
        <f>AND('Black &amp; White load sheet'!I12,"AAAAAHzliSw=")</f>
        <v>0</v>
      </c>
      <c r="AT117" t="b">
        <f>AND('Black &amp; White load sheet'!J12,"AAAAAHzliS0=")</f>
        <v>1</v>
      </c>
      <c r="AU117" t="b">
        <f>AND('Black &amp; White load sheet'!K12,"AAAAAHzliS4=")</f>
        <v>0</v>
      </c>
      <c r="AV117" t="b">
        <f>AND('Black &amp; White load sheet'!L12,"AAAAAHzliS8=")</f>
        <v>0</v>
      </c>
      <c r="AW117" t="b">
        <f>AND('Black &amp; White load sheet'!M12,"AAAAAHzliTA=")</f>
        <v>1</v>
      </c>
      <c r="AX117" t="b">
        <f>AND('Black &amp; White load sheet'!N12,"AAAAAHzliTE=")</f>
        <v>1</v>
      </c>
      <c r="AY117" t="b">
        <f>AND('Black &amp; White load sheet'!O12,"AAAAAHzliTI=")</f>
        <v>1</v>
      </c>
      <c r="AZ117">
        <f>IF('Black &amp; White load sheet'!13:13,"AAAAAHzliTM=",0)</f>
        <v>0</v>
      </c>
      <c r="BA117" t="b">
        <f>AND('Black &amp; White load sheet'!A13,"AAAAAHzliTQ=")</f>
        <v>1</v>
      </c>
      <c r="BB117" t="b">
        <f>AND('Black &amp; White load sheet'!B13,"AAAAAHzliTU=")</f>
        <v>0</v>
      </c>
      <c r="BC117" t="b">
        <f>AND('Black &amp; White load sheet'!C13,"AAAAAHzliTY=")</f>
        <v>0</v>
      </c>
      <c r="BD117" t="b">
        <f>AND('Black &amp; White load sheet'!D13,"AAAAAHzliTc=")</f>
        <v>0</v>
      </c>
      <c r="BE117" t="b">
        <f>AND('Black &amp; White load sheet'!E13,"AAAAAHzliTg=")</f>
        <v>0</v>
      </c>
      <c r="BF117" t="b">
        <f>AND('Black &amp; White load sheet'!F13,"AAAAAHzliTk=")</f>
        <v>0</v>
      </c>
      <c r="BG117" t="b">
        <f>AND('Black &amp; White load sheet'!G13,"AAAAAHzliTo=")</f>
        <v>0</v>
      </c>
      <c r="BH117" t="b">
        <f>AND('Black &amp; White load sheet'!H13,"AAAAAHzliTs=")</f>
        <v>1</v>
      </c>
      <c r="BI117" t="b">
        <f>AND('Black &amp; White load sheet'!I13,"AAAAAHzliTw=")</f>
        <v>1</v>
      </c>
      <c r="BJ117" t="b">
        <f>AND('Black &amp; White load sheet'!J13,"AAAAAHzliT0=")</f>
        <v>0</v>
      </c>
      <c r="BK117" t="b">
        <f>AND('Black &amp; White load sheet'!K13,"AAAAAHzliT4=")</f>
        <v>0</v>
      </c>
      <c r="BL117" t="b">
        <f>AND('Black &amp; White load sheet'!L13,"AAAAAHzliT8=")</f>
        <v>0</v>
      </c>
      <c r="BM117" t="b">
        <f>AND('Black &amp; White load sheet'!M13,"AAAAAHzliUA=")</f>
        <v>1</v>
      </c>
      <c r="BN117" t="b">
        <f>AND('Black &amp; White load sheet'!N13,"AAAAAHzliUE=")</f>
        <v>1</v>
      </c>
      <c r="BO117" t="b">
        <f>AND('Black &amp; White load sheet'!O13,"AAAAAHzliUI=")</f>
        <v>1</v>
      </c>
      <c r="BP117">
        <f>IF('Black &amp; White load sheet'!14:14,"AAAAAHzliUM=",0)</f>
        <v>0</v>
      </c>
      <c r="BQ117" t="b">
        <f>AND('Black &amp; White load sheet'!A14,"AAAAAHzliUQ=")</f>
        <v>1</v>
      </c>
      <c r="BR117" t="b">
        <f>AND('Black &amp; White load sheet'!B14,"AAAAAHzliUU=")</f>
        <v>0</v>
      </c>
      <c r="BS117" t="b">
        <f>AND('Black &amp; White load sheet'!C14,"AAAAAHzliUY=")</f>
        <v>0</v>
      </c>
      <c r="BT117" t="b">
        <f>AND('Black &amp; White load sheet'!D14,"AAAAAHzliUc=")</f>
        <v>0</v>
      </c>
      <c r="BU117" t="b">
        <f>AND('Black &amp; White load sheet'!E14,"AAAAAHzliUg=")</f>
        <v>0</v>
      </c>
      <c r="BV117" t="b">
        <f>AND('Black &amp; White load sheet'!F14,"AAAAAHzliUk=")</f>
        <v>0</v>
      </c>
      <c r="BW117" t="b">
        <f>AND('Black &amp; White load sheet'!G14,"AAAAAHzliUo=")</f>
        <v>1</v>
      </c>
      <c r="BX117" t="b">
        <f>AND('Black &amp; White load sheet'!H14,"AAAAAHzliUs=")</f>
        <v>0</v>
      </c>
      <c r="BY117" t="b">
        <f>AND('Black &amp; White load sheet'!I14,"AAAAAHzliUw=")</f>
        <v>0</v>
      </c>
      <c r="BZ117" t="b">
        <f>AND('Black &amp; White load sheet'!J14,"AAAAAHzliU0=")</f>
        <v>0</v>
      </c>
      <c r="CA117" t="b">
        <f>AND('Black &amp; White load sheet'!K14,"AAAAAHzliU4=")</f>
        <v>0</v>
      </c>
      <c r="CB117" t="b">
        <f>AND('Black &amp; White load sheet'!L14,"AAAAAHzliU8=")</f>
        <v>0</v>
      </c>
      <c r="CC117" t="b">
        <f>AND('Black &amp; White load sheet'!M14,"AAAAAHzliVA=")</f>
        <v>1</v>
      </c>
      <c r="CD117" t="b">
        <f>AND('Black &amp; White load sheet'!N14,"AAAAAHzliVE=")</f>
        <v>1</v>
      </c>
      <c r="CE117" t="b">
        <f>AND('Black &amp; White load sheet'!O14,"AAAAAHzliVI=")</f>
        <v>1</v>
      </c>
      <c r="CF117">
        <f>IF('Black &amp; White load sheet'!15:15,"AAAAAHzliVM=",0)</f>
        <v>0</v>
      </c>
      <c r="CG117" t="b">
        <f>AND('Black &amp; White load sheet'!A15,"AAAAAHzliVQ=")</f>
        <v>1</v>
      </c>
      <c r="CH117" t="b">
        <f>AND('Black &amp; White load sheet'!B15,"AAAAAHzliVU=")</f>
        <v>0</v>
      </c>
      <c r="CI117" t="b">
        <f>AND('Black &amp; White load sheet'!C15,"AAAAAHzliVY=")</f>
        <v>0</v>
      </c>
      <c r="CJ117" t="b">
        <f>AND('Black &amp; White load sheet'!D15,"AAAAAHzliVc=")</f>
        <v>0</v>
      </c>
      <c r="CK117" t="b">
        <f>AND('Black &amp; White load sheet'!E15,"AAAAAHzliVg=")</f>
        <v>0</v>
      </c>
      <c r="CL117" t="b">
        <f>AND('Black &amp; White load sheet'!F15,"AAAAAHzliVk=")</f>
        <v>0</v>
      </c>
      <c r="CM117" t="b">
        <f>AND('Black &amp; White load sheet'!G15,"AAAAAHzliVo=")</f>
        <v>1</v>
      </c>
      <c r="CN117" t="b">
        <f>AND('Black &amp; White load sheet'!H15,"AAAAAHzliVs=")</f>
        <v>0</v>
      </c>
      <c r="CO117" t="b">
        <f>AND('Black &amp; White load sheet'!I15,"AAAAAHzliVw=")</f>
        <v>0</v>
      </c>
      <c r="CP117" t="b">
        <f>AND('Black &amp; White load sheet'!J15,"AAAAAHzliV0=")</f>
        <v>0</v>
      </c>
      <c r="CQ117" t="b">
        <f>AND('Black &amp; White load sheet'!K15,"AAAAAHzliV4=")</f>
        <v>0</v>
      </c>
      <c r="CR117" t="b">
        <f>AND('Black &amp; White load sheet'!L15,"AAAAAHzliV8=")</f>
        <v>1</v>
      </c>
      <c r="CS117" t="b">
        <f>AND('Black &amp; White load sheet'!M15,"AAAAAHzliWA=")</f>
        <v>1</v>
      </c>
      <c r="CT117" t="b">
        <f>AND('Black &amp; White load sheet'!N15,"AAAAAHzliWE=")</f>
        <v>1</v>
      </c>
      <c r="CU117" t="b">
        <f>AND('Black &amp; White load sheet'!O15,"AAAAAHzliWI=")</f>
        <v>1</v>
      </c>
      <c r="CV117">
        <f>IF('Black &amp; White load sheet'!16:16,"AAAAAHzliWM=",0)</f>
        <v>0</v>
      </c>
      <c r="CW117" t="b">
        <f>AND('Black &amp; White load sheet'!A16,"AAAAAHzliWQ=")</f>
        <v>1</v>
      </c>
      <c r="CX117" t="b">
        <f>AND('Black &amp; White load sheet'!B16,"AAAAAHzliWU=")</f>
        <v>0</v>
      </c>
      <c r="CY117" t="b">
        <f>AND('Black &amp; White load sheet'!C16,"AAAAAHzliWY=")</f>
        <v>0</v>
      </c>
      <c r="CZ117" t="b">
        <f>AND('Black &amp; White load sheet'!D16,"AAAAAHzliWc=")</f>
        <v>0</v>
      </c>
      <c r="DA117" t="b">
        <f>AND('Black &amp; White load sheet'!E16,"AAAAAHzliWg=")</f>
        <v>0</v>
      </c>
      <c r="DB117" t="b">
        <f>AND('Black &amp; White load sheet'!F16,"AAAAAHzliWk=")</f>
        <v>0</v>
      </c>
      <c r="DC117" t="b">
        <f>AND('Black &amp; White load sheet'!G16,"AAAAAHzliWo=")</f>
        <v>1</v>
      </c>
      <c r="DD117" t="b">
        <f>AND('Black &amp; White load sheet'!H16,"AAAAAHzliWs=")</f>
        <v>0</v>
      </c>
      <c r="DE117" t="b">
        <f>AND('Black &amp; White load sheet'!I16,"AAAAAHzliWw=")</f>
        <v>0</v>
      </c>
      <c r="DF117" t="b">
        <f>AND('Black &amp; White load sheet'!J16,"AAAAAHzliW0=")</f>
        <v>0</v>
      </c>
      <c r="DG117" t="b">
        <f>AND('Black &amp; White load sheet'!K16,"AAAAAHzliW4=")</f>
        <v>1</v>
      </c>
      <c r="DH117" t="b">
        <f>AND('Black &amp; White load sheet'!L16,"AAAAAHzliW8=")</f>
        <v>0</v>
      </c>
      <c r="DI117" t="b">
        <f>AND('Black &amp; White load sheet'!M16,"AAAAAHzliXA=")</f>
        <v>1</v>
      </c>
      <c r="DJ117" t="b">
        <f>AND('Black &amp; White load sheet'!N16,"AAAAAHzliXE=")</f>
        <v>1</v>
      </c>
      <c r="DK117" t="b">
        <f>AND('Black &amp; White load sheet'!O16,"AAAAAHzliXI=")</f>
        <v>1</v>
      </c>
      <c r="DL117">
        <f>IF('Black &amp; White load sheet'!17:17,"AAAAAHzliXM=",0)</f>
        <v>0</v>
      </c>
      <c r="DM117" t="b">
        <f>AND('Black &amp; White load sheet'!A17,"AAAAAHzliXQ=")</f>
        <v>1</v>
      </c>
      <c r="DN117" t="b">
        <f>AND('Black &amp; White load sheet'!B17,"AAAAAHzliXU=")</f>
        <v>0</v>
      </c>
      <c r="DO117" t="b">
        <f>AND('Black &amp; White load sheet'!C17,"AAAAAHzliXY=")</f>
        <v>0</v>
      </c>
      <c r="DP117" t="b">
        <f>AND('Black &amp; White load sheet'!D17,"AAAAAHzliXc=")</f>
        <v>0</v>
      </c>
      <c r="DQ117" t="b">
        <f>AND('Black &amp; White load sheet'!E17,"AAAAAHzliXg=")</f>
        <v>0</v>
      </c>
      <c r="DR117" t="b">
        <f>AND('Black &amp; White load sheet'!F17,"AAAAAHzliXk=")</f>
        <v>0</v>
      </c>
      <c r="DS117" t="b">
        <f>AND('Black &amp; White load sheet'!G17,"AAAAAHzliXo=")</f>
        <v>1</v>
      </c>
      <c r="DT117" t="b">
        <f>AND('Black &amp; White load sheet'!H17,"AAAAAHzliXs=")</f>
        <v>0</v>
      </c>
      <c r="DU117" t="b">
        <f>AND('Black &amp; White load sheet'!I17,"AAAAAHzliXw=")</f>
        <v>0</v>
      </c>
      <c r="DV117" t="b">
        <f>AND('Black &amp; White load sheet'!J17,"AAAAAHzliX0=")</f>
        <v>1</v>
      </c>
      <c r="DW117" t="b">
        <f>AND('Black &amp; White load sheet'!K17,"AAAAAHzliX4=")</f>
        <v>0</v>
      </c>
      <c r="DX117" t="b">
        <f>AND('Black &amp; White load sheet'!L17,"AAAAAHzliX8=")</f>
        <v>0</v>
      </c>
      <c r="DY117" t="b">
        <f>AND('Black &amp; White load sheet'!M17,"AAAAAHzliYA=")</f>
        <v>1</v>
      </c>
      <c r="DZ117" t="b">
        <f>AND('Black &amp; White load sheet'!N17,"AAAAAHzliYE=")</f>
        <v>1</v>
      </c>
      <c r="EA117" t="b">
        <f>AND('Black &amp; White load sheet'!O17,"AAAAAHzliYI=")</f>
        <v>1</v>
      </c>
      <c r="EB117">
        <f>IF('Black &amp; White load sheet'!18:18,"AAAAAHzliYM=",0)</f>
        <v>0</v>
      </c>
      <c r="EC117" t="b">
        <f>AND('Black &amp; White load sheet'!A18,"AAAAAHzliYQ=")</f>
        <v>1</v>
      </c>
      <c r="ED117" t="b">
        <f>AND('Black &amp; White load sheet'!B18,"AAAAAHzliYU=")</f>
        <v>0</v>
      </c>
      <c r="EE117" t="b">
        <f>AND('Black &amp; White load sheet'!C18,"AAAAAHzliYY=")</f>
        <v>0</v>
      </c>
      <c r="EF117" t="b">
        <f>AND('Black &amp; White load sheet'!D18,"AAAAAHzliYc=")</f>
        <v>0</v>
      </c>
      <c r="EG117" t="b">
        <f>AND('Black &amp; White load sheet'!E18,"AAAAAHzliYg=")</f>
        <v>0</v>
      </c>
      <c r="EH117" t="b">
        <f>AND('Black &amp; White load sheet'!F18,"AAAAAHzliYk=")</f>
        <v>0</v>
      </c>
      <c r="EI117" t="b">
        <f>AND('Black &amp; White load sheet'!G18,"AAAAAHzliYo=")</f>
        <v>1</v>
      </c>
      <c r="EJ117" t="b">
        <f>AND('Black &amp; White load sheet'!H18,"AAAAAHzliYs=")</f>
        <v>0</v>
      </c>
      <c r="EK117" t="b">
        <f>AND('Black &amp; White load sheet'!I18,"AAAAAHzliYw=")</f>
        <v>1</v>
      </c>
      <c r="EL117" t="b">
        <f>AND('Black &amp; White load sheet'!J18,"AAAAAHzliY0=")</f>
        <v>0</v>
      </c>
      <c r="EM117" t="b">
        <f>AND('Black &amp; White load sheet'!K18,"AAAAAHzliY4=")</f>
        <v>0</v>
      </c>
      <c r="EN117" t="b">
        <f>AND('Black &amp; White load sheet'!L18,"AAAAAHzliY8=")</f>
        <v>0</v>
      </c>
      <c r="EO117" t="b">
        <f>AND('Black &amp; White load sheet'!M18,"AAAAAHzliZA=")</f>
        <v>1</v>
      </c>
      <c r="EP117" t="b">
        <f>AND('Black &amp; White load sheet'!N18,"AAAAAHzliZE=")</f>
        <v>1</v>
      </c>
      <c r="EQ117" t="b">
        <f>AND('Black &amp; White load sheet'!O18,"AAAAAHzliZI=")</f>
        <v>1</v>
      </c>
      <c r="ER117">
        <f>IF('Black &amp; White load sheet'!19:19,"AAAAAHzliZM=",0)</f>
        <v>0</v>
      </c>
      <c r="ES117" t="b">
        <f>AND('Black &amp; White load sheet'!A19,"AAAAAHzliZQ=")</f>
        <v>1</v>
      </c>
      <c r="ET117" t="b">
        <f>AND('Black &amp; White load sheet'!B19,"AAAAAHzliZU=")</f>
        <v>0</v>
      </c>
      <c r="EU117" t="b">
        <f>AND('Black &amp; White load sheet'!C19,"AAAAAHzliZY=")</f>
        <v>0</v>
      </c>
      <c r="EV117" t="b">
        <f>AND('Black &amp; White load sheet'!D19,"AAAAAHzliZc=")</f>
        <v>0</v>
      </c>
      <c r="EW117" t="b">
        <f>AND('Black &amp; White load sheet'!E19,"AAAAAHzliZg=")</f>
        <v>0</v>
      </c>
      <c r="EX117" t="b">
        <f>AND('Black &amp; White load sheet'!F19,"AAAAAHzliZk=")</f>
        <v>0</v>
      </c>
      <c r="EY117" t="b">
        <f>AND('Black &amp; White load sheet'!G19,"AAAAAHzliZo=")</f>
        <v>1</v>
      </c>
      <c r="EZ117" t="b">
        <f>AND('Black &amp; White load sheet'!H19,"AAAAAHzliZs=")</f>
        <v>1</v>
      </c>
      <c r="FA117" t="b">
        <f>AND('Black &amp; White load sheet'!I19,"AAAAAHzliZw=")</f>
        <v>0</v>
      </c>
      <c r="FB117" t="b">
        <f>AND('Black &amp; White load sheet'!J19,"AAAAAHzliZ0=")</f>
        <v>0</v>
      </c>
      <c r="FC117" t="b">
        <f>AND('Black &amp; White load sheet'!K19,"AAAAAHzliZ4=")</f>
        <v>0</v>
      </c>
      <c r="FD117" t="b">
        <f>AND('Black &amp; White load sheet'!L19,"AAAAAHzliZ8=")</f>
        <v>0</v>
      </c>
      <c r="FE117" t="b">
        <f>AND('Black &amp; White load sheet'!M19,"AAAAAHzliaA=")</f>
        <v>1</v>
      </c>
      <c r="FF117" t="b">
        <f>AND('Black &amp; White load sheet'!N19,"AAAAAHzliaE=")</f>
        <v>1</v>
      </c>
      <c r="FG117" t="b">
        <f>AND('Black &amp; White load sheet'!O19,"AAAAAHzliaI=")</f>
        <v>1</v>
      </c>
      <c r="FH117">
        <f>IF('Black &amp; White load sheet'!20:20,"AAAAAHzliaM=",0)</f>
        <v>0</v>
      </c>
      <c r="FI117" t="b">
        <f>AND('Black &amp; White load sheet'!A20,"AAAAAHzliaQ=")</f>
        <v>1</v>
      </c>
      <c r="FJ117" t="b">
        <f>AND('Black &amp; White load sheet'!B20,"AAAAAHzliaU=")</f>
        <v>0</v>
      </c>
      <c r="FK117" t="b">
        <f>AND('Black &amp; White load sheet'!C20,"AAAAAHzliaY=")</f>
        <v>0</v>
      </c>
      <c r="FL117" t="b">
        <f>AND('Black &amp; White load sheet'!D20,"AAAAAHzliac=")</f>
        <v>0</v>
      </c>
      <c r="FM117" t="b">
        <f>AND('Black &amp; White load sheet'!E20,"AAAAAHzliag=")</f>
        <v>0</v>
      </c>
      <c r="FN117" t="b">
        <f>AND('Black &amp; White load sheet'!F20,"AAAAAHzliak=")</f>
        <v>0</v>
      </c>
      <c r="FO117" t="b">
        <f>AND('Black &amp; White load sheet'!G20,"AAAAAHzliao=")</f>
        <v>1</v>
      </c>
      <c r="FP117" t="b">
        <f>AND('Black &amp; White load sheet'!H20,"AAAAAHzlias=")</f>
        <v>1</v>
      </c>
      <c r="FQ117" t="b">
        <f>AND('Black &amp; White load sheet'!I20,"AAAAAHzliaw=")</f>
        <v>0</v>
      </c>
      <c r="FR117" t="b">
        <f>AND('Black &amp; White load sheet'!J20,"AAAAAHzlia0=")</f>
        <v>0</v>
      </c>
      <c r="FS117" t="b">
        <f>AND('Black &amp; White load sheet'!K20,"AAAAAHzlia4=")</f>
        <v>0</v>
      </c>
      <c r="FT117" t="b">
        <f>AND('Black &amp; White load sheet'!L20,"AAAAAHzlia8=")</f>
        <v>1</v>
      </c>
      <c r="FU117" t="b">
        <f>AND('Black &amp; White load sheet'!M20,"AAAAAHzlibA=")</f>
        <v>1</v>
      </c>
      <c r="FV117" t="b">
        <f>AND('Black &amp; White load sheet'!N20,"AAAAAHzlibE=")</f>
        <v>1</v>
      </c>
      <c r="FW117" t="b">
        <f>AND('Black &amp; White load sheet'!O20,"AAAAAHzlibI=")</f>
        <v>1</v>
      </c>
      <c r="FX117">
        <f>IF('Black &amp; White load sheet'!21:21,"AAAAAHzlibM=",0)</f>
        <v>0</v>
      </c>
      <c r="FY117" t="b">
        <f>AND('Black &amp; White load sheet'!A21,"AAAAAHzlibQ=")</f>
        <v>1</v>
      </c>
      <c r="FZ117" t="b">
        <f>AND('Black &amp; White load sheet'!B21,"AAAAAHzlibU=")</f>
        <v>0</v>
      </c>
      <c r="GA117" t="b">
        <f>AND('Black &amp; White load sheet'!C21,"AAAAAHzlibY=")</f>
        <v>0</v>
      </c>
      <c r="GB117" t="b">
        <f>AND('Black &amp; White load sheet'!D21,"AAAAAHzlibc=")</f>
        <v>0</v>
      </c>
      <c r="GC117" t="b">
        <f>AND('Black &amp; White load sheet'!E21,"AAAAAHzlibg=")</f>
        <v>0</v>
      </c>
      <c r="GD117" t="b">
        <f>AND('Black &amp; White load sheet'!F21,"AAAAAHzlibk=")</f>
        <v>0</v>
      </c>
      <c r="GE117" t="b">
        <f>AND('Black &amp; White load sheet'!G21,"AAAAAHzlibo=")</f>
        <v>1</v>
      </c>
      <c r="GF117" t="b">
        <f>AND('Black &amp; White load sheet'!H21,"AAAAAHzlibs=")</f>
        <v>1</v>
      </c>
      <c r="GG117" t="b">
        <f>AND('Black &amp; White load sheet'!I21,"AAAAAHzlibw=")</f>
        <v>0</v>
      </c>
      <c r="GH117" t="b">
        <f>AND('Black &amp; White load sheet'!J21,"AAAAAHzlib0=")</f>
        <v>0</v>
      </c>
      <c r="GI117" t="b">
        <f>AND('Black &amp; White load sheet'!K21,"AAAAAHzlib4=")</f>
        <v>1</v>
      </c>
      <c r="GJ117" t="b">
        <f>AND('Black &amp; White load sheet'!L21,"AAAAAHzlib8=")</f>
        <v>0</v>
      </c>
      <c r="GK117" t="b">
        <f>AND('Black &amp; White load sheet'!M21,"AAAAAHzlicA=")</f>
        <v>1</v>
      </c>
      <c r="GL117" t="b">
        <f>AND('Black &amp; White load sheet'!N21,"AAAAAHzlicE=")</f>
        <v>1</v>
      </c>
      <c r="GM117" t="b">
        <f>AND('Black &amp; White load sheet'!O21,"AAAAAHzlicI=")</f>
        <v>1</v>
      </c>
      <c r="GN117">
        <f>IF('Black &amp; White load sheet'!22:22,"AAAAAHzlicM=",0)</f>
        <v>0</v>
      </c>
      <c r="GO117" t="b">
        <f>AND('Black &amp; White load sheet'!A22,"AAAAAHzlicQ=")</f>
        <v>1</v>
      </c>
      <c r="GP117" t="b">
        <f>AND('Black &amp; White load sheet'!B22,"AAAAAHzlicU=")</f>
        <v>0</v>
      </c>
      <c r="GQ117" t="b">
        <f>AND('Black &amp; White load sheet'!C22,"AAAAAHzlicY=")</f>
        <v>0</v>
      </c>
      <c r="GR117" t="b">
        <f>AND('Black &amp; White load sheet'!D22,"AAAAAHzlicc=")</f>
        <v>0</v>
      </c>
      <c r="GS117" t="b">
        <f>AND('Black &amp; White load sheet'!E22,"AAAAAHzlicg=")</f>
        <v>0</v>
      </c>
      <c r="GT117" t="b">
        <f>AND('Black &amp; White load sheet'!F22,"AAAAAHzlick=")</f>
        <v>0</v>
      </c>
      <c r="GU117" t="b">
        <f>AND('Black &amp; White load sheet'!G22,"AAAAAHzlico=")</f>
        <v>1</v>
      </c>
      <c r="GV117" t="b">
        <f>AND('Black &amp; White load sheet'!H22,"AAAAAHzlics=")</f>
        <v>1</v>
      </c>
      <c r="GW117" t="b">
        <f>AND('Black &amp; White load sheet'!I22,"AAAAAHzlicw=")</f>
        <v>0</v>
      </c>
      <c r="GX117" t="b">
        <f>AND('Black &amp; White load sheet'!J22,"AAAAAHzlic0=")</f>
        <v>1</v>
      </c>
      <c r="GY117" t="b">
        <f>AND('Black &amp; White load sheet'!K22,"AAAAAHzlic4=")</f>
        <v>0</v>
      </c>
      <c r="GZ117" t="b">
        <f>AND('Black &amp; White load sheet'!L22,"AAAAAHzlic8=")</f>
        <v>0</v>
      </c>
      <c r="HA117" t="b">
        <f>AND('Black &amp; White load sheet'!M22,"AAAAAHzlidA=")</f>
        <v>1</v>
      </c>
      <c r="HB117" t="b">
        <f>AND('Black &amp; White load sheet'!N22,"AAAAAHzlidE=")</f>
        <v>1</v>
      </c>
      <c r="HC117" t="b">
        <f>AND('Black &amp; White load sheet'!O22,"AAAAAHzlidI=")</f>
        <v>1</v>
      </c>
      <c r="HD117">
        <f>IF('Black &amp; White load sheet'!23:23,"AAAAAHzlidM=",0)</f>
        <v>0</v>
      </c>
      <c r="HE117" t="b">
        <f>AND('Black &amp; White load sheet'!A23,"AAAAAHzlidQ=")</f>
        <v>1</v>
      </c>
      <c r="HF117" t="b">
        <f>AND('Black &amp; White load sheet'!B23,"AAAAAHzlidU=")</f>
        <v>0</v>
      </c>
      <c r="HG117" t="b">
        <f>AND('Black &amp; White load sheet'!C23,"AAAAAHzlidY=")</f>
        <v>0</v>
      </c>
      <c r="HH117" t="b">
        <f>AND('Black &amp; White load sheet'!D23,"AAAAAHzlidc=")</f>
        <v>0</v>
      </c>
      <c r="HI117" t="b">
        <f>AND('Black &amp; White load sheet'!E23,"AAAAAHzlidg=")</f>
        <v>0</v>
      </c>
      <c r="HJ117" t="b">
        <f>AND('Black &amp; White load sheet'!F23,"AAAAAHzlidk=")</f>
        <v>0</v>
      </c>
      <c r="HK117" t="b">
        <f>AND('Black &amp; White load sheet'!G23,"AAAAAHzlido=")</f>
        <v>1</v>
      </c>
      <c r="HL117" t="b">
        <f>AND('Black &amp; White load sheet'!H23,"AAAAAHzlids=")</f>
        <v>1</v>
      </c>
      <c r="HM117" t="b">
        <f>AND('Black &amp; White load sheet'!I23,"AAAAAHzlidw=")</f>
        <v>1</v>
      </c>
      <c r="HN117" t="b">
        <f>AND('Black &amp; White load sheet'!J23,"AAAAAHzlid0=")</f>
        <v>0</v>
      </c>
      <c r="HO117" t="b">
        <f>AND('Black &amp; White load sheet'!K23,"AAAAAHzlid4=")</f>
        <v>0</v>
      </c>
      <c r="HP117" t="b">
        <f>AND('Black &amp; White load sheet'!L23,"AAAAAHzlid8=")</f>
        <v>0</v>
      </c>
      <c r="HQ117" t="b">
        <f>AND('Black &amp; White load sheet'!M23,"AAAAAHzlieA=")</f>
        <v>1</v>
      </c>
      <c r="HR117" t="b">
        <f>AND('Black &amp; White load sheet'!N23,"AAAAAHzlieE=")</f>
        <v>1</v>
      </c>
      <c r="HS117" t="b">
        <f>AND('Black &amp; White load sheet'!O23,"AAAAAHzlieI=")</f>
        <v>1</v>
      </c>
      <c r="HT117">
        <f>IF('Black &amp; White load sheet'!24:24,"AAAAAHzlieM=",0)</f>
        <v>0</v>
      </c>
      <c r="HU117" t="b">
        <f>AND('Black &amp; White load sheet'!A24,"AAAAAHzlieQ=")</f>
        <v>1</v>
      </c>
      <c r="HV117" t="b">
        <f>AND('Black &amp; White load sheet'!B24,"AAAAAHzlieU=")</f>
        <v>0</v>
      </c>
      <c r="HW117" t="b">
        <f>AND('Black &amp; White load sheet'!C24,"AAAAAHzlieY=")</f>
        <v>0</v>
      </c>
      <c r="HX117" t="b">
        <f>AND('Black &amp; White load sheet'!D24,"AAAAAHzliec=")</f>
        <v>0</v>
      </c>
      <c r="HY117" t="b">
        <f>AND('Black &amp; White load sheet'!E24,"AAAAAHzlieg=")</f>
        <v>0</v>
      </c>
      <c r="HZ117" t="b">
        <f>AND('Black &amp; White load sheet'!F24,"AAAAAHzliek=")</f>
        <v>1</v>
      </c>
      <c r="IA117" t="b">
        <f>AND('Black &amp; White load sheet'!G24,"AAAAAHzlieo=")</f>
        <v>0</v>
      </c>
      <c r="IB117" t="b">
        <f>AND('Black &amp; White load sheet'!H24,"AAAAAHzlies=")</f>
        <v>0</v>
      </c>
      <c r="IC117" t="b">
        <f>AND('Black &amp; White load sheet'!I24,"AAAAAHzliew=")</f>
        <v>0</v>
      </c>
      <c r="ID117" t="b">
        <f>AND('Black &amp; White load sheet'!J24,"AAAAAHzlie0=")</f>
        <v>0</v>
      </c>
      <c r="IE117" t="b">
        <f>AND('Black &amp; White load sheet'!K24,"AAAAAHzlie4=")</f>
        <v>0</v>
      </c>
      <c r="IF117" t="b">
        <f>AND('Black &amp; White load sheet'!L24,"AAAAAHzlie8=")</f>
        <v>0</v>
      </c>
      <c r="IG117" t="b">
        <f>AND('Black &amp; White load sheet'!M24,"AAAAAHzlifA=")</f>
        <v>1</v>
      </c>
      <c r="IH117" t="b">
        <f>AND('Black &amp; White load sheet'!N24,"AAAAAHzlifE=")</f>
        <v>1</v>
      </c>
      <c r="II117" t="b">
        <f>AND('Black &amp; White load sheet'!O24,"AAAAAHzlifI=")</f>
        <v>1</v>
      </c>
      <c r="IJ117">
        <f>IF('Black &amp; White load sheet'!25:25,"AAAAAHzlifM=",0)</f>
        <v>0</v>
      </c>
      <c r="IK117" t="b">
        <f>AND('Black &amp; White load sheet'!A25,"AAAAAHzlifQ=")</f>
        <v>1</v>
      </c>
      <c r="IL117" t="b">
        <f>AND('Black &amp; White load sheet'!B25,"AAAAAHzlifU=")</f>
        <v>0</v>
      </c>
      <c r="IM117" t="b">
        <f>AND('Black &amp; White load sheet'!C25,"AAAAAHzlifY=")</f>
        <v>0</v>
      </c>
      <c r="IN117" t="b">
        <f>AND('Black &amp; White load sheet'!D25,"AAAAAHzlifc=")</f>
        <v>0</v>
      </c>
      <c r="IO117" t="b">
        <f>AND('Black &amp; White load sheet'!E25,"AAAAAHzlifg=")</f>
        <v>0</v>
      </c>
      <c r="IP117" t="b">
        <f>AND('Black &amp; White load sheet'!F25,"AAAAAHzlifk=")</f>
        <v>1</v>
      </c>
      <c r="IQ117" t="b">
        <f>AND('Black &amp; White load sheet'!G25,"AAAAAHzlifo=")</f>
        <v>0</v>
      </c>
      <c r="IR117" t="b">
        <f>AND('Black &amp; White load sheet'!H25,"AAAAAHzlifs=")</f>
        <v>0</v>
      </c>
      <c r="IS117" t="b">
        <f>AND('Black &amp; White load sheet'!I25,"AAAAAHzlifw=")</f>
        <v>0</v>
      </c>
      <c r="IT117" t="b">
        <f>AND('Black &amp; White load sheet'!J25,"AAAAAHzlif0=")</f>
        <v>0</v>
      </c>
      <c r="IU117" t="b">
        <f>AND('Black &amp; White load sheet'!K25,"AAAAAHzlif4=")</f>
        <v>0</v>
      </c>
      <c r="IV117" t="b">
        <f>AND('Black &amp; White load sheet'!L25,"AAAAAHzlif8=")</f>
        <v>1</v>
      </c>
    </row>
    <row r="118" spans="1:256">
      <c r="A118" t="b">
        <f>AND('Black &amp; White load sheet'!M25,"AAAAAH1+/wA=")</f>
        <v>1</v>
      </c>
      <c r="B118" t="b">
        <f>AND('Black &amp; White load sheet'!N25,"AAAAAH1+/wE=")</f>
        <v>1</v>
      </c>
      <c r="C118" t="b">
        <f>AND('Black &amp; White load sheet'!O25,"AAAAAH1+/wI=")</f>
        <v>1</v>
      </c>
      <c r="D118">
        <f>IF('Black &amp; White load sheet'!26:26,"AAAAAH1+/wM=",0)</f>
        <v>0</v>
      </c>
      <c r="E118" t="b">
        <f>AND('Black &amp; White load sheet'!A26,"AAAAAH1+/wQ=")</f>
        <v>1</v>
      </c>
      <c r="F118" t="b">
        <f>AND('Black &amp; White load sheet'!B26,"AAAAAH1+/wU=")</f>
        <v>0</v>
      </c>
      <c r="G118" t="b">
        <f>AND('Black &amp; White load sheet'!C26,"AAAAAH1+/wY=")</f>
        <v>0</v>
      </c>
      <c r="H118" t="b">
        <f>AND('Black &amp; White load sheet'!D26,"AAAAAH1+/wc=")</f>
        <v>0</v>
      </c>
      <c r="I118" t="b">
        <f>AND('Black &amp; White load sheet'!E26,"AAAAAH1+/wg=")</f>
        <v>0</v>
      </c>
      <c r="J118" t="b">
        <f>AND('Black &amp; White load sheet'!F26,"AAAAAH1+/wk=")</f>
        <v>1</v>
      </c>
      <c r="K118" t="b">
        <f>AND('Black &amp; White load sheet'!G26,"AAAAAH1+/wo=")</f>
        <v>0</v>
      </c>
      <c r="L118" t="b">
        <f>AND('Black &amp; White load sheet'!H26,"AAAAAH1+/ws=")</f>
        <v>0</v>
      </c>
      <c r="M118" t="b">
        <f>AND('Black &amp; White load sheet'!I26,"AAAAAH1+/ww=")</f>
        <v>0</v>
      </c>
      <c r="N118" t="b">
        <f>AND('Black &amp; White load sheet'!J26,"AAAAAH1+/w0=")</f>
        <v>0</v>
      </c>
      <c r="O118" t="b">
        <f>AND('Black &amp; White load sheet'!K26,"AAAAAH1+/w4=")</f>
        <v>1</v>
      </c>
      <c r="P118" t="b">
        <f>AND('Black &amp; White load sheet'!L26,"AAAAAH1+/w8=")</f>
        <v>0</v>
      </c>
      <c r="Q118" t="b">
        <f>AND('Black &amp; White load sheet'!M26,"AAAAAH1+/xA=")</f>
        <v>1</v>
      </c>
      <c r="R118" t="b">
        <f>AND('Black &amp; White load sheet'!N26,"AAAAAH1+/xE=")</f>
        <v>1</v>
      </c>
      <c r="S118" t="b">
        <f>AND('Black &amp; White load sheet'!O26,"AAAAAH1+/xI=")</f>
        <v>1</v>
      </c>
      <c r="T118">
        <f>IF('Black &amp; White load sheet'!27:27,"AAAAAH1+/xM=",0)</f>
        <v>0</v>
      </c>
      <c r="U118" t="b">
        <f>AND('Black &amp; White load sheet'!A27,"AAAAAH1+/xQ=")</f>
        <v>1</v>
      </c>
      <c r="V118" t="b">
        <f>AND('Black &amp; White load sheet'!B27,"AAAAAH1+/xU=")</f>
        <v>0</v>
      </c>
      <c r="W118" t="b">
        <f>AND('Black &amp; White load sheet'!C27,"AAAAAH1+/xY=")</f>
        <v>0</v>
      </c>
      <c r="X118" t="b">
        <f>AND('Black &amp; White load sheet'!D27,"AAAAAH1+/xc=")</f>
        <v>0</v>
      </c>
      <c r="Y118" t="b">
        <f>AND('Black &amp; White load sheet'!E27,"AAAAAH1+/xg=")</f>
        <v>0</v>
      </c>
      <c r="Z118" t="b">
        <f>AND('Black &amp; White load sheet'!F27,"AAAAAH1+/xk=")</f>
        <v>1</v>
      </c>
      <c r="AA118" t="b">
        <f>AND('Black &amp; White load sheet'!G27,"AAAAAH1+/xo=")</f>
        <v>0</v>
      </c>
      <c r="AB118" t="b">
        <f>AND('Black &amp; White load sheet'!H27,"AAAAAH1+/xs=")</f>
        <v>0</v>
      </c>
      <c r="AC118" t="b">
        <f>AND('Black &amp; White load sheet'!I27,"AAAAAH1+/xw=")</f>
        <v>0</v>
      </c>
      <c r="AD118" t="b">
        <f>AND('Black &amp; White load sheet'!J27,"AAAAAH1+/x0=")</f>
        <v>1</v>
      </c>
      <c r="AE118" t="b">
        <f>AND('Black &amp; White load sheet'!K27,"AAAAAH1+/x4=")</f>
        <v>0</v>
      </c>
      <c r="AF118" t="b">
        <f>AND('Black &amp; White load sheet'!L27,"AAAAAH1+/x8=")</f>
        <v>0</v>
      </c>
      <c r="AG118" t="b">
        <f>AND('Black &amp; White load sheet'!M27,"AAAAAH1+/yA=")</f>
        <v>1</v>
      </c>
      <c r="AH118" t="b">
        <f>AND('Black &amp; White load sheet'!N27,"AAAAAH1+/yE=")</f>
        <v>1</v>
      </c>
      <c r="AI118" t="b">
        <f>AND('Black &amp; White load sheet'!O27,"AAAAAH1+/yI=")</f>
        <v>1</v>
      </c>
      <c r="AJ118">
        <f>IF('Black &amp; White load sheet'!28:28,"AAAAAH1+/yM=",0)</f>
        <v>0</v>
      </c>
      <c r="AK118" t="b">
        <f>AND('Black &amp; White load sheet'!A28,"AAAAAH1+/yQ=")</f>
        <v>1</v>
      </c>
      <c r="AL118" t="b">
        <f>AND('Black &amp; White load sheet'!B28,"AAAAAH1+/yU=")</f>
        <v>0</v>
      </c>
      <c r="AM118" t="b">
        <f>AND('Black &amp; White load sheet'!C28,"AAAAAH1+/yY=")</f>
        <v>0</v>
      </c>
      <c r="AN118" t="b">
        <f>AND('Black &amp; White load sheet'!D28,"AAAAAH1+/yc=")</f>
        <v>0</v>
      </c>
      <c r="AO118" t="b">
        <f>AND('Black &amp; White load sheet'!E28,"AAAAAH1+/yg=")</f>
        <v>0</v>
      </c>
      <c r="AP118" t="b">
        <f>AND('Black &amp; White load sheet'!F28,"AAAAAH1+/yk=")</f>
        <v>1</v>
      </c>
      <c r="AQ118" t="b">
        <f>AND('Black &amp; White load sheet'!G28,"AAAAAH1+/yo=")</f>
        <v>0</v>
      </c>
      <c r="AR118" t="b">
        <f>AND('Black &amp; White load sheet'!H28,"AAAAAH1+/ys=")</f>
        <v>0</v>
      </c>
      <c r="AS118" t="b">
        <f>AND('Black &amp; White load sheet'!I28,"AAAAAH1+/yw=")</f>
        <v>1</v>
      </c>
      <c r="AT118" t="b">
        <f>AND('Black &amp; White load sheet'!J28,"AAAAAH1+/y0=")</f>
        <v>0</v>
      </c>
      <c r="AU118" t="b">
        <f>AND('Black &amp; White load sheet'!K28,"AAAAAH1+/y4=")</f>
        <v>0</v>
      </c>
      <c r="AV118" t="b">
        <f>AND('Black &amp; White load sheet'!L28,"AAAAAH1+/y8=")</f>
        <v>0</v>
      </c>
      <c r="AW118" t="b">
        <f>AND('Black &amp; White load sheet'!M28,"AAAAAH1+/zA=")</f>
        <v>1</v>
      </c>
      <c r="AX118" t="b">
        <f>AND('Black &amp; White load sheet'!N28,"AAAAAH1+/zE=")</f>
        <v>1</v>
      </c>
      <c r="AY118" t="b">
        <f>AND('Black &amp; White load sheet'!O28,"AAAAAH1+/zI=")</f>
        <v>1</v>
      </c>
      <c r="AZ118">
        <f>IF('Black &amp; White load sheet'!29:29,"AAAAAH1+/zM=",0)</f>
        <v>0</v>
      </c>
      <c r="BA118" t="b">
        <f>AND('Black &amp; White load sheet'!A29,"AAAAAH1+/zQ=")</f>
        <v>1</v>
      </c>
      <c r="BB118" t="b">
        <f>AND('Black &amp; White load sheet'!B29,"AAAAAH1+/zU=")</f>
        <v>0</v>
      </c>
      <c r="BC118" t="b">
        <f>AND('Black &amp; White load sheet'!C29,"AAAAAH1+/zY=")</f>
        <v>0</v>
      </c>
      <c r="BD118" t="b">
        <f>AND('Black &amp; White load sheet'!D29,"AAAAAH1+/zc=")</f>
        <v>0</v>
      </c>
      <c r="BE118" t="b">
        <f>AND('Black &amp; White load sheet'!E29,"AAAAAH1+/zg=")</f>
        <v>0</v>
      </c>
      <c r="BF118" t="b">
        <f>AND('Black &amp; White load sheet'!F29,"AAAAAH1+/zk=")</f>
        <v>1</v>
      </c>
      <c r="BG118" t="b">
        <f>AND('Black &amp; White load sheet'!G29,"AAAAAH1+/zo=")</f>
        <v>0</v>
      </c>
      <c r="BH118" t="b">
        <f>AND('Black &amp; White load sheet'!H29,"AAAAAH1+/zs=")</f>
        <v>1</v>
      </c>
      <c r="BI118" t="b">
        <f>AND('Black &amp; White load sheet'!I29,"AAAAAH1+/zw=")</f>
        <v>0</v>
      </c>
      <c r="BJ118" t="b">
        <f>AND('Black &amp; White load sheet'!J29,"AAAAAH1+/z0=")</f>
        <v>0</v>
      </c>
      <c r="BK118" t="b">
        <f>AND('Black &amp; White load sheet'!K29,"AAAAAH1+/z4=")</f>
        <v>0</v>
      </c>
      <c r="BL118" t="b">
        <f>AND('Black &amp; White load sheet'!L29,"AAAAAH1+/z8=")</f>
        <v>0</v>
      </c>
      <c r="BM118" t="b">
        <f>AND('Black &amp; White load sheet'!M29,"AAAAAH1+/0A=")</f>
        <v>1</v>
      </c>
      <c r="BN118" t="b">
        <f>AND('Black &amp; White load sheet'!N29,"AAAAAH1+/0E=")</f>
        <v>1</v>
      </c>
      <c r="BO118" t="b">
        <f>AND('Black &amp; White load sheet'!O29,"AAAAAH1+/0I=")</f>
        <v>1</v>
      </c>
      <c r="BP118">
        <f>IF('Black &amp; White load sheet'!30:30,"AAAAAH1+/0M=",0)</f>
        <v>0</v>
      </c>
      <c r="BQ118" t="b">
        <f>AND('Black &amp; White load sheet'!A30,"AAAAAH1+/0Q=")</f>
        <v>1</v>
      </c>
      <c r="BR118" t="b">
        <f>AND('Black &amp; White load sheet'!B30,"AAAAAH1+/0U=")</f>
        <v>0</v>
      </c>
      <c r="BS118" t="b">
        <f>AND('Black &amp; White load sheet'!C30,"AAAAAH1+/0Y=")</f>
        <v>0</v>
      </c>
      <c r="BT118" t="b">
        <f>AND('Black &amp; White load sheet'!D30,"AAAAAH1+/0c=")</f>
        <v>0</v>
      </c>
      <c r="BU118" t="b">
        <f>AND('Black &amp; White load sheet'!E30,"AAAAAH1+/0g=")</f>
        <v>0</v>
      </c>
      <c r="BV118" t="b">
        <f>AND('Black &amp; White load sheet'!F30,"AAAAAH1+/0k=")</f>
        <v>1</v>
      </c>
      <c r="BW118" t="b">
        <f>AND('Black &amp; White load sheet'!G30,"AAAAAH1+/0o=")</f>
        <v>0</v>
      </c>
      <c r="BX118" t="b">
        <f>AND('Black &amp; White load sheet'!H30,"AAAAAH1+/0s=")</f>
        <v>1</v>
      </c>
      <c r="BY118" t="b">
        <f>AND('Black &amp; White load sheet'!I30,"AAAAAH1+/0w=")</f>
        <v>0</v>
      </c>
      <c r="BZ118" t="b">
        <f>AND('Black &amp; White load sheet'!J30,"AAAAAH1+/00=")</f>
        <v>0</v>
      </c>
      <c r="CA118" t="b">
        <f>AND('Black &amp; White load sheet'!K30,"AAAAAH1+/04=")</f>
        <v>0</v>
      </c>
      <c r="CB118" t="b">
        <f>AND('Black &amp; White load sheet'!L30,"AAAAAH1+/08=")</f>
        <v>1</v>
      </c>
      <c r="CC118" t="b">
        <f>AND('Black &amp; White load sheet'!M30,"AAAAAH1+/1A=")</f>
        <v>1</v>
      </c>
      <c r="CD118" t="b">
        <f>AND('Black &amp; White load sheet'!N30,"AAAAAH1+/1E=")</f>
        <v>1</v>
      </c>
      <c r="CE118" t="b">
        <f>AND('Black &amp; White load sheet'!O30,"AAAAAH1+/1I=")</f>
        <v>1</v>
      </c>
      <c r="CF118">
        <f>IF('Black &amp; White load sheet'!31:31,"AAAAAH1+/1M=",0)</f>
        <v>0</v>
      </c>
      <c r="CG118" t="b">
        <f>AND('Black &amp; White load sheet'!A31,"AAAAAH1+/1Q=")</f>
        <v>1</v>
      </c>
      <c r="CH118" t="b">
        <f>AND('Black &amp; White load sheet'!B31,"AAAAAH1+/1U=")</f>
        <v>0</v>
      </c>
      <c r="CI118" t="b">
        <f>AND('Black &amp; White load sheet'!C31,"AAAAAH1+/1Y=")</f>
        <v>0</v>
      </c>
      <c r="CJ118" t="b">
        <f>AND('Black &amp; White load sheet'!D31,"AAAAAH1+/1c=")</f>
        <v>0</v>
      </c>
      <c r="CK118" t="b">
        <f>AND('Black &amp; White load sheet'!E31,"AAAAAH1+/1g=")</f>
        <v>0</v>
      </c>
      <c r="CL118" t="b">
        <f>AND('Black &amp; White load sheet'!F31,"AAAAAH1+/1k=")</f>
        <v>1</v>
      </c>
      <c r="CM118" t="b">
        <f>AND('Black &amp; White load sheet'!G31,"AAAAAH1+/1o=")</f>
        <v>0</v>
      </c>
      <c r="CN118" t="b">
        <f>AND('Black &amp; White load sheet'!H31,"AAAAAH1+/1s=")</f>
        <v>1</v>
      </c>
      <c r="CO118" t="b">
        <f>AND('Black &amp; White load sheet'!I31,"AAAAAH1+/1w=")</f>
        <v>0</v>
      </c>
      <c r="CP118" t="b">
        <f>AND('Black &amp; White load sheet'!J31,"AAAAAH1+/10=")</f>
        <v>0</v>
      </c>
      <c r="CQ118" t="b">
        <f>AND('Black &amp; White load sheet'!K31,"AAAAAH1+/14=")</f>
        <v>1</v>
      </c>
      <c r="CR118" t="b">
        <f>AND('Black &amp; White load sheet'!L31,"AAAAAH1+/18=")</f>
        <v>0</v>
      </c>
      <c r="CS118" t="b">
        <f>AND('Black &amp; White load sheet'!M31,"AAAAAH1+/2A=")</f>
        <v>1</v>
      </c>
      <c r="CT118" t="b">
        <f>AND('Black &amp; White load sheet'!N31,"AAAAAH1+/2E=")</f>
        <v>1</v>
      </c>
      <c r="CU118" t="b">
        <f>AND('Black &amp; White load sheet'!O31,"AAAAAH1+/2I=")</f>
        <v>1</v>
      </c>
      <c r="CV118">
        <f>IF('Black &amp; White load sheet'!32:32,"AAAAAH1+/2M=",0)</f>
        <v>0</v>
      </c>
      <c r="CW118" t="b">
        <f>AND('Black &amp; White load sheet'!A32,"AAAAAH1+/2Q=")</f>
        <v>1</v>
      </c>
      <c r="CX118" t="b">
        <f>AND('Black &amp; White load sheet'!B32,"AAAAAH1+/2U=")</f>
        <v>0</v>
      </c>
      <c r="CY118" t="b">
        <f>AND('Black &amp; White load sheet'!C32,"AAAAAH1+/2Y=")</f>
        <v>0</v>
      </c>
      <c r="CZ118" t="b">
        <f>AND('Black &amp; White load sheet'!D32,"AAAAAH1+/2c=")</f>
        <v>0</v>
      </c>
      <c r="DA118" t="b">
        <f>AND('Black &amp; White load sheet'!E32,"AAAAAH1+/2g=")</f>
        <v>0</v>
      </c>
      <c r="DB118" t="b">
        <f>AND('Black &amp; White load sheet'!F32,"AAAAAH1+/2k=")</f>
        <v>1</v>
      </c>
      <c r="DC118" t="b">
        <f>AND('Black &amp; White load sheet'!G32,"AAAAAH1+/2o=")</f>
        <v>0</v>
      </c>
      <c r="DD118" t="b">
        <f>AND('Black &amp; White load sheet'!H32,"AAAAAH1+/2s=")</f>
        <v>1</v>
      </c>
      <c r="DE118" t="b">
        <f>AND('Black &amp; White load sheet'!I32,"AAAAAH1+/2w=")</f>
        <v>0</v>
      </c>
      <c r="DF118" t="b">
        <f>AND('Black &amp; White load sheet'!J32,"AAAAAH1+/20=")</f>
        <v>1</v>
      </c>
      <c r="DG118" t="b">
        <f>AND('Black &amp; White load sheet'!K32,"AAAAAH1+/24=")</f>
        <v>0</v>
      </c>
      <c r="DH118" t="b">
        <f>AND('Black &amp; White load sheet'!L32,"AAAAAH1+/28=")</f>
        <v>0</v>
      </c>
      <c r="DI118" t="b">
        <f>AND('Black &amp; White load sheet'!M32,"AAAAAH1+/3A=")</f>
        <v>1</v>
      </c>
      <c r="DJ118" t="b">
        <f>AND('Black &amp; White load sheet'!N32,"AAAAAH1+/3E=")</f>
        <v>1</v>
      </c>
      <c r="DK118" t="b">
        <f>AND('Black &amp; White load sheet'!O32,"AAAAAH1+/3I=")</f>
        <v>1</v>
      </c>
      <c r="DL118">
        <f>IF('Black &amp; White load sheet'!33:33,"AAAAAH1+/3M=",0)</f>
        <v>0</v>
      </c>
      <c r="DM118" t="b">
        <f>AND('Black &amp; White load sheet'!A33,"AAAAAH1+/3Q=")</f>
        <v>1</v>
      </c>
      <c r="DN118" t="b">
        <f>AND('Black &amp; White load sheet'!B33,"AAAAAH1+/3U=")</f>
        <v>0</v>
      </c>
      <c r="DO118" t="b">
        <f>AND('Black &amp; White load sheet'!C33,"AAAAAH1+/3Y=")</f>
        <v>0</v>
      </c>
      <c r="DP118" t="b">
        <f>AND('Black &amp; White load sheet'!D33,"AAAAAH1+/3c=")</f>
        <v>0</v>
      </c>
      <c r="DQ118" t="b">
        <f>AND('Black &amp; White load sheet'!E33,"AAAAAH1+/3g=")</f>
        <v>0</v>
      </c>
      <c r="DR118" t="b">
        <f>AND('Black &amp; White load sheet'!F33,"AAAAAH1+/3k=")</f>
        <v>1</v>
      </c>
      <c r="DS118" t="b">
        <f>AND('Black &amp; White load sheet'!G33,"AAAAAH1+/3o=")</f>
        <v>0</v>
      </c>
      <c r="DT118" t="b">
        <f>AND('Black &amp; White load sheet'!H33,"AAAAAH1+/3s=")</f>
        <v>1</v>
      </c>
      <c r="DU118" t="b">
        <f>AND('Black &amp; White load sheet'!I33,"AAAAAH1+/3w=")</f>
        <v>1</v>
      </c>
      <c r="DV118" t="b">
        <f>AND('Black &amp; White load sheet'!J33,"AAAAAH1+/30=")</f>
        <v>0</v>
      </c>
      <c r="DW118" t="b">
        <f>AND('Black &amp; White load sheet'!K33,"AAAAAH1+/34=")</f>
        <v>0</v>
      </c>
      <c r="DX118" t="b">
        <f>AND('Black &amp; White load sheet'!L33,"AAAAAH1+/38=")</f>
        <v>0</v>
      </c>
      <c r="DY118" t="b">
        <f>AND('Black &amp; White load sheet'!M33,"AAAAAH1+/4A=")</f>
        <v>1</v>
      </c>
      <c r="DZ118" t="b">
        <f>AND('Black &amp; White load sheet'!N33,"AAAAAH1+/4E=")</f>
        <v>1</v>
      </c>
      <c r="EA118" t="b">
        <f>AND('Black &amp; White load sheet'!O33,"AAAAAH1+/4I=")</f>
        <v>1</v>
      </c>
      <c r="EB118">
        <f>IF('Black &amp; White load sheet'!34:34,"AAAAAH1+/4M=",0)</f>
        <v>0</v>
      </c>
      <c r="EC118" t="b">
        <f>AND('Black &amp; White load sheet'!A34,"AAAAAH1+/4Q=")</f>
        <v>1</v>
      </c>
      <c r="ED118" t="b">
        <f>AND('Black &amp; White load sheet'!B34,"AAAAAH1+/4U=")</f>
        <v>0</v>
      </c>
      <c r="EE118" t="b">
        <f>AND('Black &amp; White load sheet'!C34,"AAAAAH1+/4Y=")</f>
        <v>0</v>
      </c>
      <c r="EF118" t="b">
        <f>AND('Black &amp; White load sheet'!D34,"AAAAAH1+/4c=")</f>
        <v>0</v>
      </c>
      <c r="EG118" t="b">
        <f>AND('Black &amp; White load sheet'!E34,"AAAAAH1+/4g=")</f>
        <v>1</v>
      </c>
      <c r="EH118" t="b">
        <f>AND('Black &amp; White load sheet'!F34,"AAAAAH1+/4k=")</f>
        <v>0</v>
      </c>
      <c r="EI118" t="b">
        <f>AND('Black &amp; White load sheet'!G34,"AAAAAH1+/4o=")</f>
        <v>0</v>
      </c>
      <c r="EJ118" t="b">
        <f>AND('Black &amp; White load sheet'!H34,"AAAAAH1+/4s=")</f>
        <v>0</v>
      </c>
      <c r="EK118" t="b">
        <f>AND('Black &amp; White load sheet'!I34,"AAAAAH1+/4w=")</f>
        <v>0</v>
      </c>
      <c r="EL118" t="b">
        <f>AND('Black &amp; White load sheet'!J34,"AAAAAH1+/40=")</f>
        <v>0</v>
      </c>
      <c r="EM118" t="b">
        <f>AND('Black &amp; White load sheet'!K34,"AAAAAH1+/44=")</f>
        <v>0</v>
      </c>
      <c r="EN118" t="b">
        <f>AND('Black &amp; White load sheet'!L34,"AAAAAH1+/48=")</f>
        <v>0</v>
      </c>
      <c r="EO118" t="b">
        <f>AND('Black &amp; White load sheet'!M34,"AAAAAH1+/5A=")</f>
        <v>1</v>
      </c>
      <c r="EP118" t="b">
        <f>AND('Black &amp; White load sheet'!N34,"AAAAAH1+/5E=")</f>
        <v>1</v>
      </c>
      <c r="EQ118" t="b">
        <f>AND('Black &amp; White load sheet'!O34,"AAAAAH1+/5I=")</f>
        <v>1</v>
      </c>
      <c r="ER118">
        <f>IF('Black &amp; White load sheet'!35:35,"AAAAAH1+/5M=",0)</f>
        <v>0</v>
      </c>
      <c r="ES118" t="b">
        <f>AND('Black &amp; White load sheet'!A35,"AAAAAH1+/5Q=")</f>
        <v>1</v>
      </c>
      <c r="ET118" t="b">
        <f>AND('Black &amp; White load sheet'!B35,"AAAAAH1+/5U=")</f>
        <v>0</v>
      </c>
      <c r="EU118" t="b">
        <f>AND('Black &amp; White load sheet'!C35,"AAAAAH1+/5Y=")</f>
        <v>0</v>
      </c>
      <c r="EV118" t="b">
        <f>AND('Black &amp; White load sheet'!D35,"AAAAAH1+/5c=")</f>
        <v>0</v>
      </c>
      <c r="EW118" t="b">
        <f>AND('Black &amp; White load sheet'!E35,"AAAAAH1+/5g=")</f>
        <v>1</v>
      </c>
      <c r="EX118" t="b">
        <f>AND('Black &amp; White load sheet'!F35,"AAAAAH1+/5k=")</f>
        <v>0</v>
      </c>
      <c r="EY118" t="b">
        <f>AND('Black &amp; White load sheet'!G35,"AAAAAH1+/5o=")</f>
        <v>0</v>
      </c>
      <c r="EZ118" t="b">
        <f>AND('Black &amp; White load sheet'!H35,"AAAAAH1+/5s=")</f>
        <v>0</v>
      </c>
      <c r="FA118" t="b">
        <f>AND('Black &amp; White load sheet'!I35,"AAAAAH1+/5w=")</f>
        <v>0</v>
      </c>
      <c r="FB118" t="b">
        <f>AND('Black &amp; White load sheet'!J35,"AAAAAH1+/50=")</f>
        <v>0</v>
      </c>
      <c r="FC118" t="b">
        <f>AND('Black &amp; White load sheet'!K35,"AAAAAH1+/54=")</f>
        <v>0</v>
      </c>
      <c r="FD118" t="b">
        <f>AND('Black &amp; White load sheet'!L35,"AAAAAH1+/58=")</f>
        <v>1</v>
      </c>
      <c r="FE118" t="b">
        <f>AND('Black &amp; White load sheet'!M35,"AAAAAH1+/6A=")</f>
        <v>1</v>
      </c>
      <c r="FF118" t="b">
        <f>AND('Black &amp; White load sheet'!N35,"AAAAAH1+/6E=")</f>
        <v>1</v>
      </c>
      <c r="FG118" t="b">
        <f>AND('Black &amp; White load sheet'!O35,"AAAAAH1+/6I=")</f>
        <v>1</v>
      </c>
      <c r="FH118">
        <f>IF('Black &amp; White load sheet'!36:36,"AAAAAH1+/6M=",0)</f>
        <v>0</v>
      </c>
      <c r="FI118" t="b">
        <f>AND('Black &amp; White load sheet'!A36,"AAAAAH1+/6Q=")</f>
        <v>1</v>
      </c>
      <c r="FJ118" t="b">
        <f>AND('Black &amp; White load sheet'!B36,"AAAAAH1+/6U=")</f>
        <v>0</v>
      </c>
      <c r="FK118" t="b">
        <f>AND('Black &amp; White load sheet'!C36,"AAAAAH1+/6Y=")</f>
        <v>0</v>
      </c>
      <c r="FL118" t="b">
        <f>AND('Black &amp; White load sheet'!D36,"AAAAAH1+/6c=")</f>
        <v>0</v>
      </c>
      <c r="FM118" t="b">
        <f>AND('Black &amp; White load sheet'!E36,"AAAAAH1+/6g=")</f>
        <v>1</v>
      </c>
      <c r="FN118" t="b">
        <f>AND('Black &amp; White load sheet'!F36,"AAAAAH1+/6k=")</f>
        <v>0</v>
      </c>
      <c r="FO118" t="b">
        <f>AND('Black &amp; White load sheet'!G36,"AAAAAH1+/6o=")</f>
        <v>0</v>
      </c>
      <c r="FP118" t="b">
        <f>AND('Black &amp; White load sheet'!H36,"AAAAAH1+/6s=")</f>
        <v>0</v>
      </c>
      <c r="FQ118" t="b">
        <f>AND('Black &amp; White load sheet'!I36,"AAAAAH1+/6w=")</f>
        <v>0</v>
      </c>
      <c r="FR118" t="b">
        <f>AND('Black &amp; White load sheet'!J36,"AAAAAH1+/60=")</f>
        <v>0</v>
      </c>
      <c r="FS118" t="b">
        <f>AND('Black &amp; White load sheet'!K36,"AAAAAH1+/64=")</f>
        <v>1</v>
      </c>
      <c r="FT118" t="b">
        <f>AND('Black &amp; White load sheet'!L36,"AAAAAH1+/68=")</f>
        <v>0</v>
      </c>
      <c r="FU118" t="b">
        <f>AND('Black &amp; White load sheet'!M36,"AAAAAH1+/7A=")</f>
        <v>1</v>
      </c>
      <c r="FV118" t="b">
        <f>AND('Black &amp; White load sheet'!N36,"AAAAAH1+/7E=")</f>
        <v>1</v>
      </c>
      <c r="FW118" t="b">
        <f>AND('Black &amp; White load sheet'!O36,"AAAAAH1+/7I=")</f>
        <v>1</v>
      </c>
      <c r="FX118">
        <f>IF('Black &amp; White load sheet'!37:37,"AAAAAH1+/7M=",0)</f>
        <v>0</v>
      </c>
      <c r="FY118" t="b">
        <f>AND('Black &amp; White load sheet'!A37,"AAAAAH1+/7Q=")</f>
        <v>1</v>
      </c>
      <c r="FZ118" t="b">
        <f>AND('Black &amp; White load sheet'!B37,"AAAAAH1+/7U=")</f>
        <v>0</v>
      </c>
      <c r="GA118" t="b">
        <f>AND('Black &amp; White load sheet'!C37,"AAAAAH1+/7Y=")</f>
        <v>0</v>
      </c>
      <c r="GB118" t="b">
        <f>AND('Black &amp; White load sheet'!D37,"AAAAAH1+/7c=")</f>
        <v>0</v>
      </c>
      <c r="GC118" t="b">
        <f>AND('Black &amp; White load sheet'!E37,"AAAAAH1+/7g=")</f>
        <v>1</v>
      </c>
      <c r="GD118" t="b">
        <f>AND('Black &amp; White load sheet'!F37,"AAAAAH1+/7k=")</f>
        <v>0</v>
      </c>
      <c r="GE118" t="b">
        <f>AND('Black &amp; White load sheet'!G37,"AAAAAH1+/7o=")</f>
        <v>0</v>
      </c>
      <c r="GF118" t="b">
        <f>AND('Black &amp; White load sheet'!H37,"AAAAAH1+/7s=")</f>
        <v>0</v>
      </c>
      <c r="GG118" t="b">
        <f>AND('Black &amp; White load sheet'!I37,"AAAAAH1+/7w=")</f>
        <v>0</v>
      </c>
      <c r="GH118" t="b">
        <f>AND('Black &amp; White load sheet'!J37,"AAAAAH1+/70=")</f>
        <v>1</v>
      </c>
      <c r="GI118" t="b">
        <f>AND('Black &amp; White load sheet'!K37,"AAAAAH1+/74=")</f>
        <v>0</v>
      </c>
      <c r="GJ118" t="b">
        <f>AND('Black &amp; White load sheet'!L37,"AAAAAH1+/78=")</f>
        <v>0</v>
      </c>
      <c r="GK118" t="b">
        <f>AND('Black &amp; White load sheet'!M37,"AAAAAH1+/8A=")</f>
        <v>1</v>
      </c>
      <c r="GL118" t="b">
        <f>AND('Black &amp; White load sheet'!N37,"AAAAAH1+/8E=")</f>
        <v>1</v>
      </c>
      <c r="GM118" t="b">
        <f>AND('Black &amp; White load sheet'!O37,"AAAAAH1+/8I=")</f>
        <v>1</v>
      </c>
      <c r="GN118">
        <f>IF('Black &amp; White load sheet'!38:38,"AAAAAH1+/8M=",0)</f>
        <v>0</v>
      </c>
      <c r="GO118" t="b">
        <f>AND('Black &amp; White load sheet'!A38,"AAAAAH1+/8Q=")</f>
        <v>1</v>
      </c>
      <c r="GP118" t="b">
        <f>AND('Black &amp; White load sheet'!B38,"AAAAAH1+/8U=")</f>
        <v>0</v>
      </c>
      <c r="GQ118" t="b">
        <f>AND('Black &amp; White load sheet'!C38,"AAAAAH1+/8Y=")</f>
        <v>0</v>
      </c>
      <c r="GR118" t="b">
        <f>AND('Black &amp; White load sheet'!D38,"AAAAAH1+/8c=")</f>
        <v>0</v>
      </c>
      <c r="GS118" t="b">
        <f>AND('Black &amp; White load sheet'!E38,"AAAAAH1+/8g=")</f>
        <v>1</v>
      </c>
      <c r="GT118" t="b">
        <f>AND('Black &amp; White load sheet'!F38,"AAAAAH1+/8k=")</f>
        <v>0</v>
      </c>
      <c r="GU118" t="b">
        <f>AND('Black &amp; White load sheet'!G38,"AAAAAH1+/8o=")</f>
        <v>0</v>
      </c>
      <c r="GV118" t="b">
        <f>AND('Black &amp; White load sheet'!H38,"AAAAAH1+/8s=")</f>
        <v>0</v>
      </c>
      <c r="GW118" t="b">
        <f>AND('Black &amp; White load sheet'!I38,"AAAAAH1+/8w=")</f>
        <v>1</v>
      </c>
      <c r="GX118" t="b">
        <f>AND('Black &amp; White load sheet'!J38,"AAAAAH1+/80=")</f>
        <v>0</v>
      </c>
      <c r="GY118" t="b">
        <f>AND('Black &amp; White load sheet'!K38,"AAAAAH1+/84=")</f>
        <v>0</v>
      </c>
      <c r="GZ118" t="b">
        <f>AND('Black &amp; White load sheet'!L38,"AAAAAH1+/88=")</f>
        <v>0</v>
      </c>
      <c r="HA118" t="b">
        <f>AND('Black &amp; White load sheet'!M38,"AAAAAH1+/9A=")</f>
        <v>1</v>
      </c>
      <c r="HB118" t="b">
        <f>AND('Black &amp; White load sheet'!N38,"AAAAAH1+/9E=")</f>
        <v>1</v>
      </c>
      <c r="HC118" t="b">
        <f>AND('Black &amp; White load sheet'!O38,"AAAAAH1+/9I=")</f>
        <v>1</v>
      </c>
      <c r="HD118">
        <f>IF('Black &amp; White load sheet'!39:39,"AAAAAH1+/9M=",0)</f>
        <v>0</v>
      </c>
      <c r="HE118" t="b">
        <f>AND('Black &amp; White load sheet'!A39,"AAAAAH1+/9Q=")</f>
        <v>1</v>
      </c>
      <c r="HF118" t="b">
        <f>AND('Black &amp; White load sheet'!B39,"AAAAAH1+/9U=")</f>
        <v>0</v>
      </c>
      <c r="HG118" t="b">
        <f>AND('Black &amp; White load sheet'!C39,"AAAAAH1+/9Y=")</f>
        <v>0</v>
      </c>
      <c r="HH118" t="b">
        <f>AND('Black &amp; White load sheet'!D39,"AAAAAH1+/9c=")</f>
        <v>0</v>
      </c>
      <c r="HI118" t="b">
        <f>AND('Black &amp; White load sheet'!E39,"AAAAAH1+/9g=")</f>
        <v>1</v>
      </c>
      <c r="HJ118" t="b">
        <f>AND('Black &amp; White load sheet'!F39,"AAAAAH1+/9k=")</f>
        <v>0</v>
      </c>
      <c r="HK118" t="b">
        <f>AND('Black &amp; White load sheet'!G39,"AAAAAH1+/9o=")</f>
        <v>0</v>
      </c>
      <c r="HL118" t="b">
        <f>AND('Black &amp; White load sheet'!H39,"AAAAAH1+/9s=")</f>
        <v>1</v>
      </c>
      <c r="HM118" t="b">
        <f>AND('Black &amp; White load sheet'!I39,"AAAAAH1+/9w=")</f>
        <v>0</v>
      </c>
      <c r="HN118" t="b">
        <f>AND('Black &amp; White load sheet'!J39,"AAAAAH1+/90=")</f>
        <v>0</v>
      </c>
      <c r="HO118" t="b">
        <f>AND('Black &amp; White load sheet'!K39,"AAAAAH1+/94=")</f>
        <v>0</v>
      </c>
      <c r="HP118" t="b">
        <f>AND('Black &amp; White load sheet'!L39,"AAAAAH1+/98=")</f>
        <v>0</v>
      </c>
      <c r="HQ118" t="b">
        <f>AND('Black &amp; White load sheet'!M39,"AAAAAH1+/+A=")</f>
        <v>1</v>
      </c>
      <c r="HR118" t="b">
        <f>AND('Black &amp; White load sheet'!N39,"AAAAAH1+/+E=")</f>
        <v>1</v>
      </c>
      <c r="HS118" t="b">
        <f>AND('Black &amp; White load sheet'!O39,"AAAAAH1+/+I=")</f>
        <v>1</v>
      </c>
      <c r="HT118">
        <f>IF('Black &amp; White load sheet'!40:40,"AAAAAH1+/+M=",0)</f>
        <v>0</v>
      </c>
      <c r="HU118" t="b">
        <f>AND('Black &amp; White load sheet'!A40,"AAAAAH1+/+Q=")</f>
        <v>1</v>
      </c>
      <c r="HV118" t="b">
        <f>AND('Black &amp; White load sheet'!B40,"AAAAAH1+/+U=")</f>
        <v>0</v>
      </c>
      <c r="HW118" t="b">
        <f>AND('Black &amp; White load sheet'!C40,"AAAAAH1+/+Y=")</f>
        <v>0</v>
      </c>
      <c r="HX118" t="b">
        <f>AND('Black &amp; White load sheet'!D40,"AAAAAH1+/+c=")</f>
        <v>0</v>
      </c>
      <c r="HY118" t="b">
        <f>AND('Black &amp; White load sheet'!E40,"AAAAAH1+/+g=")</f>
        <v>1</v>
      </c>
      <c r="HZ118" t="b">
        <f>AND('Black &amp; White load sheet'!F40,"AAAAAH1+/+k=")</f>
        <v>0</v>
      </c>
      <c r="IA118" t="b">
        <f>AND('Black &amp; White load sheet'!G40,"AAAAAH1+/+o=")</f>
        <v>0</v>
      </c>
      <c r="IB118" t="b">
        <f>AND('Black &amp; White load sheet'!H40,"AAAAAH1+/+s=")</f>
        <v>1</v>
      </c>
      <c r="IC118" t="b">
        <f>AND('Black &amp; White load sheet'!I40,"AAAAAH1+/+w=")</f>
        <v>0</v>
      </c>
      <c r="ID118" t="b">
        <f>AND('Black &amp; White load sheet'!J40,"AAAAAH1+/+0=")</f>
        <v>0</v>
      </c>
      <c r="IE118" t="b">
        <f>AND('Black &amp; White load sheet'!K40,"AAAAAH1+/+4=")</f>
        <v>0</v>
      </c>
      <c r="IF118" t="b">
        <f>AND('Black &amp; White load sheet'!L40,"AAAAAH1+/+8=")</f>
        <v>1</v>
      </c>
      <c r="IG118" t="b">
        <f>AND('Black &amp; White load sheet'!M40,"AAAAAH1+//A=")</f>
        <v>1</v>
      </c>
      <c r="IH118" t="b">
        <f>AND('Black &amp; White load sheet'!N40,"AAAAAH1+//E=")</f>
        <v>1</v>
      </c>
      <c r="II118" t="b">
        <f>AND('Black &amp; White load sheet'!O40,"AAAAAH1+//I=")</f>
        <v>1</v>
      </c>
      <c r="IJ118">
        <f>IF('Black &amp; White load sheet'!41:41,"AAAAAH1+//M=",0)</f>
        <v>0</v>
      </c>
      <c r="IK118" t="b">
        <f>AND('Black &amp; White load sheet'!A41,"AAAAAH1+//Q=")</f>
        <v>1</v>
      </c>
      <c r="IL118" t="b">
        <f>AND('Black &amp; White load sheet'!B41,"AAAAAH1+//U=")</f>
        <v>0</v>
      </c>
      <c r="IM118" t="b">
        <f>AND('Black &amp; White load sheet'!C41,"AAAAAH1+//Y=")</f>
        <v>0</v>
      </c>
      <c r="IN118" t="b">
        <f>AND('Black &amp; White load sheet'!D41,"AAAAAH1+//c=")</f>
        <v>0</v>
      </c>
      <c r="IO118" t="b">
        <f>AND('Black &amp; White load sheet'!E41,"AAAAAH1+//g=")</f>
        <v>1</v>
      </c>
      <c r="IP118" t="b">
        <f>AND('Black &amp; White load sheet'!F41,"AAAAAH1+//k=")</f>
        <v>0</v>
      </c>
      <c r="IQ118" t="b">
        <f>AND('Black &amp; White load sheet'!G41,"AAAAAH1+//o=")</f>
        <v>0</v>
      </c>
      <c r="IR118" t="b">
        <f>AND('Black &amp; White load sheet'!H41,"AAAAAH1+//s=")</f>
        <v>1</v>
      </c>
      <c r="IS118" t="b">
        <f>AND('Black &amp; White load sheet'!I41,"AAAAAH1+//w=")</f>
        <v>0</v>
      </c>
      <c r="IT118" t="b">
        <f>AND('Black &amp; White load sheet'!J41,"AAAAAH1+//0=")</f>
        <v>0</v>
      </c>
      <c r="IU118" t="b">
        <f>AND('Black &amp; White load sheet'!K41,"AAAAAH1+//4=")</f>
        <v>1</v>
      </c>
      <c r="IV118" t="b">
        <f>AND('Black &amp; White load sheet'!L41,"AAAAAH1+//8=")</f>
        <v>0</v>
      </c>
    </row>
    <row r="119" spans="1:256">
      <c r="A119" t="b">
        <f>AND('Black &amp; White load sheet'!M41,"AAAAAD70eQA=")</f>
        <v>1</v>
      </c>
      <c r="B119" t="b">
        <f>AND('Black &amp; White load sheet'!N41,"AAAAAD70eQE=")</f>
        <v>1</v>
      </c>
      <c r="C119" t="b">
        <f>AND('Black &amp; White load sheet'!O41,"AAAAAD70eQI=")</f>
        <v>1</v>
      </c>
      <c r="D119">
        <f>IF('Black &amp; White load sheet'!42:42,"AAAAAD70eQM=",0)</f>
        <v>0</v>
      </c>
      <c r="E119" t="b">
        <f>AND('Black &amp; White load sheet'!A42,"AAAAAD70eQQ=")</f>
        <v>1</v>
      </c>
      <c r="F119" t="b">
        <f>AND('Black &amp; White load sheet'!B42,"AAAAAD70eQU=")</f>
        <v>0</v>
      </c>
      <c r="G119" t="b">
        <f>AND('Black &amp; White load sheet'!C42,"AAAAAD70eQY=")</f>
        <v>0</v>
      </c>
      <c r="H119" t="b">
        <f>AND('Black &amp; White load sheet'!D42,"AAAAAD70eQc=")</f>
        <v>0</v>
      </c>
      <c r="I119" t="b">
        <f>AND('Black &amp; White load sheet'!E42,"AAAAAD70eQg=")</f>
        <v>1</v>
      </c>
      <c r="J119" t="b">
        <f>AND('Black &amp; White load sheet'!F42,"AAAAAD70eQk=")</f>
        <v>0</v>
      </c>
      <c r="K119" t="b">
        <f>AND('Black &amp; White load sheet'!G42,"AAAAAD70eQo=")</f>
        <v>0</v>
      </c>
      <c r="L119" t="b">
        <f>AND('Black &amp; White load sheet'!H42,"AAAAAD70eQs=")</f>
        <v>1</v>
      </c>
      <c r="M119" t="b">
        <f>AND('Black &amp; White load sheet'!I42,"AAAAAD70eQw=")</f>
        <v>0</v>
      </c>
      <c r="N119" t="b">
        <f>AND('Black &amp; White load sheet'!J42,"AAAAAD70eQ0=")</f>
        <v>1</v>
      </c>
      <c r="O119" t="b">
        <f>AND('Black &amp; White load sheet'!K42,"AAAAAD70eQ4=")</f>
        <v>0</v>
      </c>
      <c r="P119" t="b">
        <f>AND('Black &amp; White load sheet'!L42,"AAAAAD70eQ8=")</f>
        <v>0</v>
      </c>
      <c r="Q119" t="b">
        <f>AND('Black &amp; White load sheet'!M42,"AAAAAD70eRA=")</f>
        <v>1</v>
      </c>
      <c r="R119" t="b">
        <f>AND('Black &amp; White load sheet'!N42,"AAAAAD70eRE=")</f>
        <v>1</v>
      </c>
      <c r="S119" t="b">
        <f>AND('Black &amp; White load sheet'!O42,"AAAAAD70eRI=")</f>
        <v>1</v>
      </c>
      <c r="T119">
        <f>IF('Black &amp; White load sheet'!43:43,"AAAAAD70eRM=",0)</f>
        <v>0</v>
      </c>
      <c r="U119" t="b">
        <f>AND('Black &amp; White load sheet'!A43,"AAAAAD70eRQ=")</f>
        <v>1</v>
      </c>
      <c r="V119" t="b">
        <f>AND('Black &amp; White load sheet'!B43,"AAAAAD70eRU=")</f>
        <v>0</v>
      </c>
      <c r="W119" t="b">
        <f>AND('Black &amp; White load sheet'!C43,"AAAAAD70eRY=")</f>
        <v>0</v>
      </c>
      <c r="X119" t="b">
        <f>AND('Black &amp; White load sheet'!D43,"AAAAAD70eRc=")</f>
        <v>0</v>
      </c>
      <c r="Y119" t="b">
        <f>AND('Black &amp; White load sheet'!E43,"AAAAAD70eRg=")</f>
        <v>1</v>
      </c>
      <c r="Z119" t="b">
        <f>AND('Black &amp; White load sheet'!F43,"AAAAAD70eRk=")</f>
        <v>0</v>
      </c>
      <c r="AA119" t="b">
        <f>AND('Black &amp; White load sheet'!G43,"AAAAAD70eRo=")</f>
        <v>0</v>
      </c>
      <c r="AB119" t="b">
        <f>AND('Black &amp; White load sheet'!H43,"AAAAAD70eRs=")</f>
        <v>1</v>
      </c>
      <c r="AC119" t="b">
        <f>AND('Black &amp; White load sheet'!I43,"AAAAAD70eRw=")</f>
        <v>1</v>
      </c>
      <c r="AD119" t="b">
        <f>AND('Black &amp; White load sheet'!J43,"AAAAAD70eR0=")</f>
        <v>0</v>
      </c>
      <c r="AE119" t="b">
        <f>AND('Black &amp; White load sheet'!K43,"AAAAAD70eR4=")</f>
        <v>0</v>
      </c>
      <c r="AF119" t="b">
        <f>AND('Black &amp; White load sheet'!L43,"AAAAAD70eR8=")</f>
        <v>0</v>
      </c>
      <c r="AG119" t="b">
        <f>AND('Black &amp; White load sheet'!M43,"AAAAAD70eSA=")</f>
        <v>1</v>
      </c>
      <c r="AH119" t="b">
        <f>AND('Black &amp; White load sheet'!N43,"AAAAAD70eSE=")</f>
        <v>1</v>
      </c>
      <c r="AI119" t="b">
        <f>AND('Black &amp; White load sheet'!O43,"AAAAAD70eSI=")</f>
        <v>1</v>
      </c>
      <c r="AJ119">
        <f>IF('Black &amp; White load sheet'!44:44,"AAAAAD70eSM=",0)</f>
        <v>0</v>
      </c>
      <c r="AK119" t="b">
        <f>AND('Black &amp; White load sheet'!A44,"AAAAAD70eSQ=")</f>
        <v>1</v>
      </c>
      <c r="AL119" t="b">
        <f>AND('Black &amp; White load sheet'!B44,"AAAAAD70eSU=")</f>
        <v>0</v>
      </c>
      <c r="AM119" t="b">
        <f>AND('Black &amp; White load sheet'!C44,"AAAAAD70eSY=")</f>
        <v>0</v>
      </c>
      <c r="AN119" t="b">
        <f>AND('Black &amp; White load sheet'!D44,"AAAAAD70eSc=")</f>
        <v>0</v>
      </c>
      <c r="AO119" t="b">
        <f>AND('Black &amp; White load sheet'!E44,"AAAAAD70eSg=")</f>
        <v>1</v>
      </c>
      <c r="AP119" t="b">
        <f>AND('Black &amp; White load sheet'!F44,"AAAAAD70eSk=")</f>
        <v>0</v>
      </c>
      <c r="AQ119" t="b">
        <f>AND('Black &amp; White load sheet'!G44,"AAAAAD70eSo=")</f>
        <v>1</v>
      </c>
      <c r="AR119" t="b">
        <f>AND('Black &amp; White load sheet'!H44,"AAAAAD70eSs=")</f>
        <v>0</v>
      </c>
      <c r="AS119" t="b">
        <f>AND('Black &amp; White load sheet'!I44,"AAAAAD70eSw=")</f>
        <v>0</v>
      </c>
      <c r="AT119" t="b">
        <f>AND('Black &amp; White load sheet'!J44,"AAAAAD70eS0=")</f>
        <v>0</v>
      </c>
      <c r="AU119" t="b">
        <f>AND('Black &amp; White load sheet'!K44,"AAAAAD70eS4=")</f>
        <v>0</v>
      </c>
      <c r="AV119" t="b">
        <f>AND('Black &amp; White load sheet'!L44,"AAAAAD70eS8=")</f>
        <v>0</v>
      </c>
      <c r="AW119" t="b">
        <f>AND('Black &amp; White load sheet'!M44,"AAAAAD70eTA=")</f>
        <v>1</v>
      </c>
      <c r="AX119" t="b">
        <f>AND('Black &amp; White load sheet'!N44,"AAAAAD70eTE=")</f>
        <v>1</v>
      </c>
      <c r="AY119" t="b">
        <f>AND('Black &amp; White load sheet'!O44,"AAAAAD70eTI=")</f>
        <v>1</v>
      </c>
      <c r="AZ119">
        <f>IF('Black &amp; White load sheet'!45:45,"AAAAAD70eTM=",0)</f>
        <v>0</v>
      </c>
      <c r="BA119" t="b">
        <f>AND('Black &amp; White load sheet'!A45,"AAAAAD70eTQ=")</f>
        <v>1</v>
      </c>
      <c r="BB119" t="b">
        <f>AND('Black &amp; White load sheet'!B45,"AAAAAD70eTU=")</f>
        <v>0</v>
      </c>
      <c r="BC119" t="b">
        <f>AND('Black &amp; White load sheet'!C45,"AAAAAD70eTY=")</f>
        <v>0</v>
      </c>
      <c r="BD119" t="b">
        <f>AND('Black &amp; White load sheet'!D45,"AAAAAD70eTc=")</f>
        <v>0</v>
      </c>
      <c r="BE119" t="b">
        <f>AND('Black &amp; White load sheet'!E45,"AAAAAD70eTg=")</f>
        <v>1</v>
      </c>
      <c r="BF119" t="b">
        <f>AND('Black &amp; White load sheet'!F45,"AAAAAD70eTk=")</f>
        <v>0</v>
      </c>
      <c r="BG119" t="b">
        <f>AND('Black &amp; White load sheet'!G45,"AAAAAD70eTo=")</f>
        <v>1</v>
      </c>
      <c r="BH119" t="b">
        <f>AND('Black &amp; White load sheet'!H45,"AAAAAD70eTs=")</f>
        <v>0</v>
      </c>
      <c r="BI119" t="b">
        <f>AND('Black &amp; White load sheet'!I45,"AAAAAD70eTw=")</f>
        <v>0</v>
      </c>
      <c r="BJ119" t="b">
        <f>AND('Black &amp; White load sheet'!J45,"AAAAAD70eT0=")</f>
        <v>0</v>
      </c>
      <c r="BK119" t="b">
        <f>AND('Black &amp; White load sheet'!K45,"AAAAAD70eT4=")</f>
        <v>0</v>
      </c>
      <c r="BL119" t="b">
        <f>AND('Black &amp; White load sheet'!L45,"AAAAAD70eT8=")</f>
        <v>1</v>
      </c>
      <c r="BM119" t="b">
        <f>AND('Black &amp; White load sheet'!M45,"AAAAAD70eUA=")</f>
        <v>1</v>
      </c>
      <c r="BN119" t="b">
        <f>AND('Black &amp; White load sheet'!N45,"AAAAAD70eUE=")</f>
        <v>1</v>
      </c>
      <c r="BO119" t="b">
        <f>AND('Black &amp; White load sheet'!O45,"AAAAAD70eUI=")</f>
        <v>1</v>
      </c>
      <c r="BP119">
        <f>IF('Black &amp; White load sheet'!46:46,"AAAAAD70eUM=",0)</f>
        <v>0</v>
      </c>
      <c r="BQ119" t="b">
        <f>AND('Black &amp; White load sheet'!A46,"AAAAAD70eUQ=")</f>
        <v>1</v>
      </c>
      <c r="BR119" t="b">
        <f>AND('Black &amp; White load sheet'!B46,"AAAAAD70eUU=")</f>
        <v>0</v>
      </c>
      <c r="BS119" t="b">
        <f>AND('Black &amp; White load sheet'!C46,"AAAAAD70eUY=")</f>
        <v>0</v>
      </c>
      <c r="BT119" t="b">
        <f>AND('Black &amp; White load sheet'!D46,"AAAAAD70eUc=")</f>
        <v>0</v>
      </c>
      <c r="BU119" t="b">
        <f>AND('Black &amp; White load sheet'!E46,"AAAAAD70eUg=")</f>
        <v>1</v>
      </c>
      <c r="BV119" t="b">
        <f>AND('Black &amp; White load sheet'!F46,"AAAAAD70eUk=")</f>
        <v>0</v>
      </c>
      <c r="BW119" t="b">
        <f>AND('Black &amp; White load sheet'!G46,"AAAAAD70eUo=")</f>
        <v>1</v>
      </c>
      <c r="BX119" t="b">
        <f>AND('Black &amp; White load sheet'!H46,"AAAAAD70eUs=")</f>
        <v>0</v>
      </c>
      <c r="BY119" t="b">
        <f>AND('Black &amp; White load sheet'!I46,"AAAAAD70eUw=")</f>
        <v>0</v>
      </c>
      <c r="BZ119" t="b">
        <f>AND('Black &amp; White load sheet'!J46,"AAAAAD70eU0=")</f>
        <v>0</v>
      </c>
      <c r="CA119" t="b">
        <f>AND('Black &amp; White load sheet'!K46,"AAAAAD70eU4=")</f>
        <v>1</v>
      </c>
      <c r="CB119" t="b">
        <f>AND('Black &amp; White load sheet'!L46,"AAAAAD70eU8=")</f>
        <v>0</v>
      </c>
      <c r="CC119" t="b">
        <f>AND('Black &amp; White load sheet'!M46,"AAAAAD70eVA=")</f>
        <v>1</v>
      </c>
      <c r="CD119" t="b">
        <f>AND('Black &amp; White load sheet'!N46,"AAAAAD70eVE=")</f>
        <v>1</v>
      </c>
      <c r="CE119" t="b">
        <f>AND('Black &amp; White load sheet'!O46,"AAAAAD70eVI=")</f>
        <v>1</v>
      </c>
      <c r="CF119">
        <f>IF('Black &amp; White load sheet'!47:47,"AAAAAD70eVM=",0)</f>
        <v>0</v>
      </c>
      <c r="CG119" t="b">
        <f>AND('Black &amp; White load sheet'!A47,"AAAAAD70eVQ=")</f>
        <v>1</v>
      </c>
      <c r="CH119" t="b">
        <f>AND('Black &amp; White load sheet'!B47,"AAAAAD70eVU=")</f>
        <v>0</v>
      </c>
      <c r="CI119" t="b">
        <f>AND('Black &amp; White load sheet'!C47,"AAAAAD70eVY=")</f>
        <v>0</v>
      </c>
      <c r="CJ119" t="b">
        <f>AND('Black &amp; White load sheet'!D47,"AAAAAD70eVc=")</f>
        <v>0</v>
      </c>
      <c r="CK119" t="b">
        <f>AND('Black &amp; White load sheet'!E47,"AAAAAD70eVg=")</f>
        <v>1</v>
      </c>
      <c r="CL119" t="b">
        <f>AND('Black &amp; White load sheet'!F47,"AAAAAD70eVk=")</f>
        <v>0</v>
      </c>
      <c r="CM119" t="b">
        <f>AND('Black &amp; White load sheet'!G47,"AAAAAD70eVo=")</f>
        <v>1</v>
      </c>
      <c r="CN119" t="b">
        <f>AND('Black &amp; White load sheet'!H47,"AAAAAD70eVs=")</f>
        <v>0</v>
      </c>
      <c r="CO119" t="b">
        <f>AND('Black &amp; White load sheet'!I47,"AAAAAD70eVw=")</f>
        <v>0</v>
      </c>
      <c r="CP119" t="b">
        <f>AND('Black &amp; White load sheet'!J47,"AAAAAD70eV0=")</f>
        <v>1</v>
      </c>
      <c r="CQ119" t="b">
        <f>AND('Black &amp; White load sheet'!K47,"AAAAAD70eV4=")</f>
        <v>0</v>
      </c>
      <c r="CR119" t="b">
        <f>AND('Black &amp; White load sheet'!L47,"AAAAAD70eV8=")</f>
        <v>0</v>
      </c>
      <c r="CS119" t="b">
        <f>AND('Black &amp; White load sheet'!M47,"AAAAAD70eWA=")</f>
        <v>1</v>
      </c>
      <c r="CT119" t="b">
        <f>AND('Black &amp; White load sheet'!N47,"AAAAAD70eWE=")</f>
        <v>1</v>
      </c>
      <c r="CU119" t="b">
        <f>AND('Black &amp; White load sheet'!O47,"AAAAAD70eWI=")</f>
        <v>1</v>
      </c>
      <c r="CV119">
        <f>IF('Black &amp; White load sheet'!48:48,"AAAAAD70eWM=",0)</f>
        <v>0</v>
      </c>
      <c r="CW119" t="b">
        <f>AND('Black &amp; White load sheet'!A48,"AAAAAD70eWQ=")</f>
        <v>1</v>
      </c>
      <c r="CX119" t="b">
        <f>AND('Black &amp; White load sheet'!B48,"AAAAAD70eWU=")</f>
        <v>0</v>
      </c>
      <c r="CY119" t="b">
        <f>AND('Black &amp; White load sheet'!C48,"AAAAAD70eWY=")</f>
        <v>0</v>
      </c>
      <c r="CZ119" t="b">
        <f>AND('Black &amp; White load sheet'!D48,"AAAAAD70eWc=")</f>
        <v>0</v>
      </c>
      <c r="DA119" t="b">
        <f>AND('Black &amp; White load sheet'!E48,"AAAAAD70eWg=")</f>
        <v>1</v>
      </c>
      <c r="DB119" t="b">
        <f>AND('Black &amp; White load sheet'!F48,"AAAAAD70eWk=")</f>
        <v>0</v>
      </c>
      <c r="DC119" t="b">
        <f>AND('Black &amp; White load sheet'!G48,"AAAAAD70eWo=")</f>
        <v>1</v>
      </c>
      <c r="DD119" t="b">
        <f>AND('Black &amp; White load sheet'!H48,"AAAAAD70eWs=")</f>
        <v>0</v>
      </c>
      <c r="DE119" t="b">
        <f>AND('Black &amp; White load sheet'!I48,"AAAAAD70eWw=")</f>
        <v>1</v>
      </c>
      <c r="DF119" t="b">
        <f>AND('Black &amp; White load sheet'!J48,"AAAAAD70eW0=")</f>
        <v>0</v>
      </c>
      <c r="DG119" t="b">
        <f>AND('Black &amp; White load sheet'!K48,"AAAAAD70eW4=")</f>
        <v>0</v>
      </c>
      <c r="DH119" t="b">
        <f>AND('Black &amp; White load sheet'!L48,"AAAAAD70eW8=")</f>
        <v>0</v>
      </c>
      <c r="DI119" t="b">
        <f>AND('Black &amp; White load sheet'!M48,"AAAAAD70eXA=")</f>
        <v>1</v>
      </c>
      <c r="DJ119" t="b">
        <f>AND('Black &amp; White load sheet'!N48,"AAAAAD70eXE=")</f>
        <v>1</v>
      </c>
      <c r="DK119" t="b">
        <f>AND('Black &amp; White load sheet'!O48,"AAAAAD70eXI=")</f>
        <v>1</v>
      </c>
      <c r="DL119">
        <f>IF('Black &amp; White load sheet'!49:49,"AAAAAD70eXM=",0)</f>
        <v>0</v>
      </c>
      <c r="DM119" t="b">
        <f>AND('Black &amp; White load sheet'!A49,"AAAAAD70eXQ=")</f>
        <v>1</v>
      </c>
      <c r="DN119" t="b">
        <f>AND('Black &amp; White load sheet'!B49,"AAAAAD70eXU=")</f>
        <v>0</v>
      </c>
      <c r="DO119" t="b">
        <f>AND('Black &amp; White load sheet'!C49,"AAAAAD70eXY=")</f>
        <v>0</v>
      </c>
      <c r="DP119" t="b">
        <f>AND('Black &amp; White load sheet'!D49,"AAAAAD70eXc=")</f>
        <v>0</v>
      </c>
      <c r="DQ119" t="b">
        <f>AND('Black &amp; White load sheet'!E49,"AAAAAD70eXg=")</f>
        <v>1</v>
      </c>
      <c r="DR119" t="b">
        <f>AND('Black &amp; White load sheet'!F49,"AAAAAD70eXk=")</f>
        <v>0</v>
      </c>
      <c r="DS119" t="b">
        <f>AND('Black &amp; White load sheet'!G49,"AAAAAD70eXo=")</f>
        <v>1</v>
      </c>
      <c r="DT119" t="b">
        <f>AND('Black &amp; White load sheet'!H49,"AAAAAD70eXs=")</f>
        <v>1</v>
      </c>
      <c r="DU119" t="b">
        <f>AND('Black &amp; White load sheet'!I49,"AAAAAD70eXw=")</f>
        <v>0</v>
      </c>
      <c r="DV119" t="b">
        <f>AND('Black &amp; White load sheet'!J49,"AAAAAD70eX0=")</f>
        <v>0</v>
      </c>
      <c r="DW119" t="b">
        <f>AND('Black &amp; White load sheet'!K49,"AAAAAD70eX4=")</f>
        <v>0</v>
      </c>
      <c r="DX119" t="b">
        <f>AND('Black &amp; White load sheet'!L49,"AAAAAD70eX8=")</f>
        <v>0</v>
      </c>
      <c r="DY119" t="b">
        <f>AND('Black &amp; White load sheet'!M49,"AAAAAD70eYA=")</f>
        <v>1</v>
      </c>
      <c r="DZ119" t="b">
        <f>AND('Black &amp; White load sheet'!N49,"AAAAAD70eYE=")</f>
        <v>1</v>
      </c>
      <c r="EA119" t="b">
        <f>AND('Black &amp; White load sheet'!O49,"AAAAAD70eYI=")</f>
        <v>1</v>
      </c>
      <c r="EB119">
        <f>IF('Black &amp; White load sheet'!50:50,"AAAAAD70eYM=",0)</f>
        <v>0</v>
      </c>
      <c r="EC119" t="b">
        <f>AND('Black &amp; White load sheet'!A50,"AAAAAD70eYQ=")</f>
        <v>1</v>
      </c>
      <c r="ED119" t="b">
        <f>AND('Black &amp; White load sheet'!B50,"AAAAAD70eYU=")</f>
        <v>0</v>
      </c>
      <c r="EE119" t="b">
        <f>AND('Black &amp; White load sheet'!C50,"AAAAAD70eYY=")</f>
        <v>0</v>
      </c>
      <c r="EF119" t="b">
        <f>AND('Black &amp; White load sheet'!D50,"AAAAAD70eYc=")</f>
        <v>0</v>
      </c>
      <c r="EG119" t="b">
        <f>AND('Black &amp; White load sheet'!E50,"AAAAAD70eYg=")</f>
        <v>1</v>
      </c>
      <c r="EH119" t="b">
        <f>AND('Black &amp; White load sheet'!F50,"AAAAAD70eYk=")</f>
        <v>0</v>
      </c>
      <c r="EI119" t="b">
        <f>AND('Black &amp; White load sheet'!G50,"AAAAAD70eYo=")</f>
        <v>1</v>
      </c>
      <c r="EJ119" t="b">
        <f>AND('Black &amp; White load sheet'!H50,"AAAAAD70eYs=")</f>
        <v>1</v>
      </c>
      <c r="EK119" t="b">
        <f>AND('Black &amp; White load sheet'!I50,"AAAAAD70eYw=")</f>
        <v>0</v>
      </c>
      <c r="EL119" t="b">
        <f>AND('Black &amp; White load sheet'!J50,"AAAAAD70eY0=")</f>
        <v>0</v>
      </c>
      <c r="EM119" t="b">
        <f>AND('Black &amp; White load sheet'!K50,"AAAAAD70eY4=")</f>
        <v>0</v>
      </c>
      <c r="EN119" t="b">
        <f>AND('Black &amp; White load sheet'!L50,"AAAAAD70eY8=")</f>
        <v>1</v>
      </c>
      <c r="EO119" t="b">
        <f>AND('Black &amp; White load sheet'!M50,"AAAAAD70eZA=")</f>
        <v>1</v>
      </c>
      <c r="EP119" t="b">
        <f>AND('Black &amp; White load sheet'!N50,"AAAAAD70eZE=")</f>
        <v>1</v>
      </c>
      <c r="EQ119" t="b">
        <f>AND('Black &amp; White load sheet'!O50,"AAAAAD70eZI=")</f>
        <v>1</v>
      </c>
      <c r="ER119">
        <f>IF('Black &amp; White load sheet'!51:51,"AAAAAD70eZM=",0)</f>
        <v>0</v>
      </c>
      <c r="ES119" t="b">
        <f>AND('Black &amp; White load sheet'!A51,"AAAAAD70eZQ=")</f>
        <v>1</v>
      </c>
      <c r="ET119" t="b">
        <f>AND('Black &amp; White load sheet'!B51,"AAAAAD70eZU=")</f>
        <v>0</v>
      </c>
      <c r="EU119" t="b">
        <f>AND('Black &amp; White load sheet'!C51,"AAAAAD70eZY=")</f>
        <v>0</v>
      </c>
      <c r="EV119" t="b">
        <f>AND('Black &amp; White load sheet'!D51,"AAAAAD70eZc=")</f>
        <v>0</v>
      </c>
      <c r="EW119" t="b">
        <f>AND('Black &amp; White load sheet'!E51,"AAAAAD70eZg=")</f>
        <v>1</v>
      </c>
      <c r="EX119" t="b">
        <f>AND('Black &amp; White load sheet'!F51,"AAAAAD70eZk=")</f>
        <v>0</v>
      </c>
      <c r="EY119" t="b">
        <f>AND('Black &amp; White load sheet'!G51,"AAAAAD70eZo=")</f>
        <v>1</v>
      </c>
      <c r="EZ119" t="b">
        <f>AND('Black &amp; White load sheet'!H51,"AAAAAD70eZs=")</f>
        <v>1</v>
      </c>
      <c r="FA119" t="b">
        <f>AND('Black &amp; White load sheet'!I51,"AAAAAD70eZw=")</f>
        <v>0</v>
      </c>
      <c r="FB119" t="b">
        <f>AND('Black &amp; White load sheet'!J51,"AAAAAD70eZ0=")</f>
        <v>0</v>
      </c>
      <c r="FC119" t="b">
        <f>AND('Black &amp; White load sheet'!K51,"AAAAAD70eZ4=")</f>
        <v>1</v>
      </c>
      <c r="FD119" t="b">
        <f>AND('Black &amp; White load sheet'!L51,"AAAAAD70eZ8=")</f>
        <v>0</v>
      </c>
      <c r="FE119" t="b">
        <f>AND('Black &amp; White load sheet'!M51,"AAAAAD70eaA=")</f>
        <v>1</v>
      </c>
      <c r="FF119" t="b">
        <f>AND('Black &amp; White load sheet'!N51,"AAAAAD70eaE=")</f>
        <v>1</v>
      </c>
      <c r="FG119" t="b">
        <f>AND('Black &amp; White load sheet'!O51,"AAAAAD70eaI=")</f>
        <v>1</v>
      </c>
      <c r="FH119">
        <f>IF('Black &amp; White load sheet'!52:52,"AAAAAD70eaM=",0)</f>
        <v>0</v>
      </c>
      <c r="FI119" t="b">
        <f>AND('Black &amp; White load sheet'!A52,"AAAAAD70eaQ=")</f>
        <v>1</v>
      </c>
      <c r="FJ119" t="b">
        <f>AND('Black &amp; White load sheet'!B52,"AAAAAD70eaU=")</f>
        <v>0</v>
      </c>
      <c r="FK119" t="b">
        <f>AND('Black &amp; White load sheet'!C52,"AAAAAD70eaY=")</f>
        <v>0</v>
      </c>
      <c r="FL119" t="b">
        <f>AND('Black &amp; White load sheet'!D52,"AAAAAD70eac=")</f>
        <v>0</v>
      </c>
      <c r="FM119" t="b">
        <f>AND('Black &amp; White load sheet'!E52,"AAAAAD70eag=")</f>
        <v>1</v>
      </c>
      <c r="FN119" t="b">
        <f>AND('Black &amp; White load sheet'!F52,"AAAAAD70eak=")</f>
        <v>0</v>
      </c>
      <c r="FO119" t="b">
        <f>AND('Black &amp; White load sheet'!G52,"AAAAAD70eao=")</f>
        <v>1</v>
      </c>
      <c r="FP119" t="b">
        <f>AND('Black &amp; White load sheet'!H52,"AAAAAD70eas=")</f>
        <v>1</v>
      </c>
      <c r="FQ119" t="b">
        <f>AND('Black &amp; White load sheet'!I52,"AAAAAD70eaw=")</f>
        <v>0</v>
      </c>
      <c r="FR119" t="b">
        <f>AND('Black &amp; White load sheet'!J52,"AAAAAD70ea0=")</f>
        <v>1</v>
      </c>
      <c r="FS119" t="b">
        <f>AND('Black &amp; White load sheet'!K52,"AAAAAD70ea4=")</f>
        <v>0</v>
      </c>
      <c r="FT119" t="b">
        <f>AND('Black &amp; White load sheet'!L52,"AAAAAD70ea8=")</f>
        <v>0</v>
      </c>
      <c r="FU119" t="b">
        <f>AND('Black &amp; White load sheet'!M52,"AAAAAD70ebA=")</f>
        <v>1</v>
      </c>
      <c r="FV119" t="b">
        <f>AND('Black &amp; White load sheet'!N52,"AAAAAD70ebE=")</f>
        <v>1</v>
      </c>
      <c r="FW119" t="b">
        <f>AND('Black &amp; White load sheet'!O52,"AAAAAD70ebI=")</f>
        <v>1</v>
      </c>
      <c r="FX119">
        <f>IF('Black &amp; White load sheet'!53:53,"AAAAAD70ebM=",0)</f>
        <v>0</v>
      </c>
      <c r="FY119" t="b">
        <f>AND('Black &amp; White load sheet'!A53,"AAAAAD70ebQ=")</f>
        <v>1</v>
      </c>
      <c r="FZ119" t="b">
        <f>AND('Black &amp; White load sheet'!B53,"AAAAAD70ebU=")</f>
        <v>0</v>
      </c>
      <c r="GA119" t="b">
        <f>AND('Black &amp; White load sheet'!C53,"AAAAAD70ebY=")</f>
        <v>0</v>
      </c>
      <c r="GB119" t="b">
        <f>AND('Black &amp; White load sheet'!D53,"AAAAAD70ebc=")</f>
        <v>0</v>
      </c>
      <c r="GC119" t="b">
        <f>AND('Black &amp; White load sheet'!E53,"AAAAAD70ebg=")</f>
        <v>1</v>
      </c>
      <c r="GD119" t="b">
        <f>AND('Black &amp; White load sheet'!F53,"AAAAAD70ebk=")</f>
        <v>0</v>
      </c>
      <c r="GE119" t="b">
        <f>AND('Black &amp; White load sheet'!G53,"AAAAAD70ebo=")</f>
        <v>1</v>
      </c>
      <c r="GF119" t="b">
        <f>AND('Black &amp; White load sheet'!H53,"AAAAAD70ebs=")</f>
        <v>1</v>
      </c>
      <c r="GG119" t="b">
        <f>AND('Black &amp; White load sheet'!I53,"AAAAAD70ebw=")</f>
        <v>1</v>
      </c>
      <c r="GH119" t="b">
        <f>AND('Black &amp; White load sheet'!J53,"AAAAAD70eb0=")</f>
        <v>0</v>
      </c>
      <c r="GI119" t="b">
        <f>AND('Black &amp; White load sheet'!K53,"AAAAAD70eb4=")</f>
        <v>0</v>
      </c>
      <c r="GJ119" t="b">
        <f>AND('Black &amp; White load sheet'!L53,"AAAAAD70eb8=")</f>
        <v>0</v>
      </c>
      <c r="GK119" t="b">
        <f>AND('Black &amp; White load sheet'!M53,"AAAAAD70ecA=")</f>
        <v>1</v>
      </c>
      <c r="GL119" t="b">
        <f>AND('Black &amp; White load sheet'!N53,"AAAAAD70ecE=")</f>
        <v>1</v>
      </c>
      <c r="GM119" t="b">
        <f>AND('Black &amp; White load sheet'!O53,"AAAAAD70ecI=")</f>
        <v>1</v>
      </c>
      <c r="GN119">
        <f>IF('Black &amp; White load sheet'!54:54,"AAAAAD70ecM=",0)</f>
        <v>0</v>
      </c>
      <c r="GO119" t="b">
        <f>AND('Black &amp; White load sheet'!A54,"AAAAAD70ecQ=")</f>
        <v>1</v>
      </c>
      <c r="GP119" t="b">
        <f>AND('Black &amp; White load sheet'!B54,"AAAAAD70ecU=")</f>
        <v>0</v>
      </c>
      <c r="GQ119" t="b">
        <f>AND('Black &amp; White load sheet'!C54,"AAAAAD70ecY=")</f>
        <v>1</v>
      </c>
      <c r="GR119" t="b">
        <f>AND('Black &amp; White load sheet'!D54,"AAAAAD70ecc=")</f>
        <v>0</v>
      </c>
      <c r="GS119" t="b">
        <f>AND('Black &amp; White load sheet'!E54,"AAAAAD70ecg=")</f>
        <v>0</v>
      </c>
      <c r="GT119" t="b">
        <f>AND('Black &amp; White load sheet'!F54,"AAAAAD70eck=")</f>
        <v>0</v>
      </c>
      <c r="GU119" t="b">
        <f>AND('Black &amp; White load sheet'!G54,"AAAAAD70eco=")</f>
        <v>0</v>
      </c>
      <c r="GV119" t="b">
        <f>AND('Black &amp; White load sheet'!H54,"AAAAAD70ecs=")</f>
        <v>0</v>
      </c>
      <c r="GW119" t="b">
        <f>AND('Black &amp; White load sheet'!I54,"AAAAAD70ecw=")</f>
        <v>0</v>
      </c>
      <c r="GX119" t="b">
        <f>AND('Black &amp; White load sheet'!J54,"AAAAAD70ec0=")</f>
        <v>0</v>
      </c>
      <c r="GY119" t="b">
        <f>AND('Black &amp; White load sheet'!K54,"AAAAAD70ec4=")</f>
        <v>0</v>
      </c>
      <c r="GZ119" t="b">
        <f>AND('Black &amp; White load sheet'!L54,"AAAAAD70ec8=")</f>
        <v>0</v>
      </c>
      <c r="HA119" t="b">
        <f>AND('Black &amp; White load sheet'!M54,"AAAAAD70edA=")</f>
        <v>1</v>
      </c>
      <c r="HB119" t="b">
        <f>AND('Black &amp; White load sheet'!N54,"AAAAAD70edE=")</f>
        <v>1</v>
      </c>
      <c r="HC119" t="b">
        <f>AND('Black &amp; White load sheet'!O54,"AAAAAD70edI=")</f>
        <v>1</v>
      </c>
      <c r="HD119">
        <f>IF('Black &amp; White load sheet'!55:55,"AAAAAD70edM=",0)</f>
        <v>0</v>
      </c>
      <c r="HE119" t="b">
        <f>AND('Black &amp; White load sheet'!A55,"AAAAAD70edQ=")</f>
        <v>1</v>
      </c>
      <c r="HF119" t="b">
        <f>AND('Black &amp; White load sheet'!B55,"AAAAAD70edU=")</f>
        <v>0</v>
      </c>
      <c r="HG119" t="b">
        <f>AND('Black &amp; White load sheet'!C55,"AAAAAD70edY=")</f>
        <v>1</v>
      </c>
      <c r="HH119" t="b">
        <f>AND('Black &amp; White load sheet'!D55,"AAAAAD70edc=")</f>
        <v>0</v>
      </c>
      <c r="HI119" t="b">
        <f>AND('Black &amp; White load sheet'!E55,"AAAAAD70edg=")</f>
        <v>0</v>
      </c>
      <c r="HJ119" t="b">
        <f>AND('Black &amp; White load sheet'!F55,"AAAAAD70edk=")</f>
        <v>0</v>
      </c>
      <c r="HK119" t="b">
        <f>AND('Black &amp; White load sheet'!G55,"AAAAAD70edo=")</f>
        <v>0</v>
      </c>
      <c r="HL119" t="b">
        <f>AND('Black &amp; White load sheet'!H55,"AAAAAD70eds=")</f>
        <v>0</v>
      </c>
      <c r="HM119" t="b">
        <f>AND('Black &amp; White load sheet'!I55,"AAAAAD70edw=")</f>
        <v>0</v>
      </c>
      <c r="HN119" t="b">
        <f>AND('Black &amp; White load sheet'!J55,"AAAAAD70ed0=")</f>
        <v>0</v>
      </c>
      <c r="HO119" t="b">
        <f>AND('Black &amp; White load sheet'!K55,"AAAAAD70ed4=")</f>
        <v>0</v>
      </c>
      <c r="HP119" t="b">
        <f>AND('Black &amp; White load sheet'!L55,"AAAAAD70ed8=")</f>
        <v>1</v>
      </c>
      <c r="HQ119" t="b">
        <f>AND('Black &amp; White load sheet'!M55,"AAAAAD70eeA=")</f>
        <v>1</v>
      </c>
      <c r="HR119" t="b">
        <f>AND('Black &amp; White load sheet'!N55,"AAAAAD70eeE=")</f>
        <v>1</v>
      </c>
      <c r="HS119" t="b">
        <f>AND('Black &amp; White load sheet'!O55,"AAAAAD70eeI=")</f>
        <v>1</v>
      </c>
      <c r="HT119">
        <f>IF('Black &amp; White load sheet'!56:56,"AAAAAD70eeM=",0)</f>
        <v>0</v>
      </c>
      <c r="HU119" t="b">
        <f>AND('Black &amp; White load sheet'!A56,"AAAAAD70eeQ=")</f>
        <v>1</v>
      </c>
      <c r="HV119" t="b">
        <f>AND('Black &amp; White load sheet'!B56,"AAAAAD70eeU=")</f>
        <v>0</v>
      </c>
      <c r="HW119" t="b">
        <f>AND('Black &amp; White load sheet'!C56,"AAAAAD70eeY=")</f>
        <v>1</v>
      </c>
      <c r="HX119" t="b">
        <f>AND('Black &amp; White load sheet'!D56,"AAAAAD70eec=")</f>
        <v>0</v>
      </c>
      <c r="HY119" t="b">
        <f>AND('Black &amp; White load sheet'!E56,"AAAAAD70eeg=")</f>
        <v>0</v>
      </c>
      <c r="HZ119" t="b">
        <f>AND('Black &amp; White load sheet'!F56,"AAAAAD70eek=")</f>
        <v>0</v>
      </c>
      <c r="IA119" t="b">
        <f>AND('Black &amp; White load sheet'!G56,"AAAAAD70eeo=")</f>
        <v>0</v>
      </c>
      <c r="IB119" t="b">
        <f>AND('Black &amp; White load sheet'!H56,"AAAAAD70ees=")</f>
        <v>0</v>
      </c>
      <c r="IC119" t="b">
        <f>AND('Black &amp; White load sheet'!I56,"AAAAAD70eew=")</f>
        <v>0</v>
      </c>
      <c r="ID119" t="b">
        <f>AND('Black &amp; White load sheet'!J56,"AAAAAD70ee0=")</f>
        <v>0</v>
      </c>
      <c r="IE119" t="b">
        <f>AND('Black &amp; White load sheet'!K56,"AAAAAD70ee4=")</f>
        <v>1</v>
      </c>
      <c r="IF119" t="b">
        <f>AND('Black &amp; White load sheet'!L56,"AAAAAD70ee8=")</f>
        <v>0</v>
      </c>
      <c r="IG119" t="b">
        <f>AND('Black &amp; White load sheet'!M56,"AAAAAD70efA=")</f>
        <v>1</v>
      </c>
      <c r="IH119" t="b">
        <f>AND('Black &amp; White load sheet'!N56,"AAAAAD70efE=")</f>
        <v>1</v>
      </c>
      <c r="II119" t="b">
        <f>AND('Black &amp; White load sheet'!O56,"AAAAAD70efI=")</f>
        <v>1</v>
      </c>
      <c r="IJ119">
        <f>IF('Black &amp; White load sheet'!57:57,"AAAAAD70efM=",0)</f>
        <v>0</v>
      </c>
      <c r="IK119" t="b">
        <f>AND('Black &amp; White load sheet'!A57,"AAAAAD70efQ=")</f>
        <v>1</v>
      </c>
      <c r="IL119" t="b">
        <f>AND('Black &amp; White load sheet'!B57,"AAAAAD70efU=")</f>
        <v>0</v>
      </c>
      <c r="IM119" t="b">
        <f>AND('Black &amp; White load sheet'!C57,"AAAAAD70efY=")</f>
        <v>1</v>
      </c>
      <c r="IN119" t="b">
        <f>AND('Black &amp; White load sheet'!D57,"AAAAAD70efc=")</f>
        <v>0</v>
      </c>
      <c r="IO119" t="b">
        <f>AND('Black &amp; White load sheet'!E57,"AAAAAD70efg=")</f>
        <v>0</v>
      </c>
      <c r="IP119" t="b">
        <f>AND('Black &amp; White load sheet'!F57,"AAAAAD70efk=")</f>
        <v>0</v>
      </c>
      <c r="IQ119" t="b">
        <f>AND('Black &amp; White load sheet'!G57,"AAAAAD70efo=")</f>
        <v>0</v>
      </c>
      <c r="IR119" t="b">
        <f>AND('Black &amp; White load sheet'!H57,"AAAAAD70efs=")</f>
        <v>0</v>
      </c>
      <c r="IS119" t="b">
        <f>AND('Black &amp; White load sheet'!I57,"AAAAAD70efw=")</f>
        <v>0</v>
      </c>
      <c r="IT119" t="b">
        <f>AND('Black &amp; White load sheet'!J57,"AAAAAD70ef0=")</f>
        <v>1</v>
      </c>
      <c r="IU119" t="b">
        <f>AND('Black &amp; White load sheet'!K57,"AAAAAD70ef4=")</f>
        <v>0</v>
      </c>
      <c r="IV119" t="b">
        <f>AND('Black &amp; White load sheet'!L57,"AAAAAD70ef8=")</f>
        <v>0</v>
      </c>
    </row>
    <row r="120" spans="1:256">
      <c r="A120" t="b">
        <f>AND('Black &amp; White load sheet'!M57,"AAAAADezfwA=")</f>
        <v>1</v>
      </c>
      <c r="B120" t="b">
        <f>AND('Black &amp; White load sheet'!N57,"AAAAADezfwE=")</f>
        <v>1</v>
      </c>
      <c r="C120" t="b">
        <f>AND('Black &amp; White load sheet'!O57,"AAAAADezfwI=")</f>
        <v>1</v>
      </c>
      <c r="D120">
        <f>IF('Black &amp; White load sheet'!58:58,"AAAAADezfwM=",0)</f>
        <v>0</v>
      </c>
      <c r="E120" t="b">
        <f>AND('Black &amp; White load sheet'!A58,"AAAAADezfwQ=")</f>
        <v>1</v>
      </c>
      <c r="F120" t="b">
        <f>AND('Black &amp; White load sheet'!B58,"AAAAADezfwU=")</f>
        <v>0</v>
      </c>
      <c r="G120" t="b">
        <f>AND('Black &amp; White load sheet'!C58,"AAAAADezfwY=")</f>
        <v>1</v>
      </c>
      <c r="H120" t="b">
        <f>AND('Black &amp; White load sheet'!D58,"AAAAADezfwc=")</f>
        <v>0</v>
      </c>
      <c r="I120" t="b">
        <f>AND('Black &amp; White load sheet'!E58,"AAAAADezfwg=")</f>
        <v>0</v>
      </c>
      <c r="J120" t="b">
        <f>AND('Black &amp; White load sheet'!F58,"AAAAADezfwk=")</f>
        <v>0</v>
      </c>
      <c r="K120" t="b">
        <f>AND('Black &amp; White load sheet'!G58,"AAAAADezfwo=")</f>
        <v>0</v>
      </c>
      <c r="L120" t="b">
        <f>AND('Black &amp; White load sheet'!H58,"AAAAADezfws=")</f>
        <v>0</v>
      </c>
      <c r="M120" t="b">
        <f>AND('Black &amp; White load sheet'!I58,"AAAAADezfww=")</f>
        <v>1</v>
      </c>
      <c r="N120" t="b">
        <f>AND('Black &amp; White load sheet'!J58,"AAAAADezfw0=")</f>
        <v>0</v>
      </c>
      <c r="O120" t="b">
        <f>AND('Black &amp; White load sheet'!K58,"AAAAADezfw4=")</f>
        <v>0</v>
      </c>
      <c r="P120" t="b">
        <f>AND('Black &amp; White load sheet'!L58,"AAAAADezfw8=")</f>
        <v>0</v>
      </c>
      <c r="Q120" t="b">
        <f>AND('Black &amp; White load sheet'!M58,"AAAAADezfxA=")</f>
        <v>1</v>
      </c>
      <c r="R120" t="b">
        <f>AND('Black &amp; White load sheet'!N58,"AAAAADezfxE=")</f>
        <v>1</v>
      </c>
      <c r="S120" t="b">
        <f>AND('Black &amp; White load sheet'!O58,"AAAAADezfxI=")</f>
        <v>1</v>
      </c>
      <c r="T120">
        <f>IF('Black &amp; White load sheet'!59:59,"AAAAADezfxM=",0)</f>
        <v>0</v>
      </c>
      <c r="U120" t="b">
        <f>AND('Black &amp; White load sheet'!A59,"AAAAADezfxQ=")</f>
        <v>1</v>
      </c>
      <c r="V120" t="b">
        <f>AND('Black &amp; White load sheet'!B59,"AAAAADezfxU=")</f>
        <v>0</v>
      </c>
      <c r="W120" t="b">
        <f>AND('Black &amp; White load sheet'!C59,"AAAAADezfxY=")</f>
        <v>1</v>
      </c>
      <c r="X120" t="b">
        <f>AND('Black &amp; White load sheet'!D59,"AAAAADezfxc=")</f>
        <v>0</v>
      </c>
      <c r="Y120" t="b">
        <f>AND('Black &amp; White load sheet'!E59,"AAAAADezfxg=")</f>
        <v>0</v>
      </c>
      <c r="Z120" t="b">
        <f>AND('Black &amp; White load sheet'!F59,"AAAAADezfxk=")</f>
        <v>0</v>
      </c>
      <c r="AA120" t="b">
        <f>AND('Black &amp; White load sheet'!G59,"AAAAADezfxo=")</f>
        <v>0</v>
      </c>
      <c r="AB120" t="b">
        <f>AND('Black &amp; White load sheet'!H59,"AAAAADezfxs=")</f>
        <v>1</v>
      </c>
      <c r="AC120" t="b">
        <f>AND('Black &amp; White load sheet'!I59,"AAAAADezfxw=")</f>
        <v>0</v>
      </c>
      <c r="AD120" t="b">
        <f>AND('Black &amp; White load sheet'!J59,"AAAAADezfx0=")</f>
        <v>0</v>
      </c>
      <c r="AE120" t="b">
        <f>AND('Black &amp; White load sheet'!K59,"AAAAADezfx4=")</f>
        <v>0</v>
      </c>
      <c r="AF120" t="b">
        <f>AND('Black &amp; White load sheet'!L59,"AAAAADezfx8=")</f>
        <v>0</v>
      </c>
      <c r="AG120" t="b">
        <f>AND('Black &amp; White load sheet'!M59,"AAAAADezfyA=")</f>
        <v>1</v>
      </c>
      <c r="AH120" t="b">
        <f>AND('Black &amp; White load sheet'!N59,"AAAAADezfyE=")</f>
        <v>1</v>
      </c>
      <c r="AI120" t="b">
        <f>AND('Black &amp; White load sheet'!O59,"AAAAADezfyI=")</f>
        <v>1</v>
      </c>
      <c r="AJ120">
        <f>IF('Black &amp; White load sheet'!60:60,"AAAAADezfyM=",0)</f>
        <v>0</v>
      </c>
      <c r="AK120" t="b">
        <f>AND('Black &amp; White load sheet'!A60,"AAAAADezfyQ=")</f>
        <v>1</v>
      </c>
      <c r="AL120" t="b">
        <f>AND('Black &amp; White load sheet'!B60,"AAAAADezfyU=")</f>
        <v>0</v>
      </c>
      <c r="AM120" t="b">
        <f>AND('Black &amp; White load sheet'!C60,"AAAAADezfyY=")</f>
        <v>1</v>
      </c>
      <c r="AN120" t="b">
        <f>AND('Black &amp; White load sheet'!D60,"AAAAADezfyc=")</f>
        <v>0</v>
      </c>
      <c r="AO120" t="b">
        <f>AND('Black &amp; White load sheet'!E60,"AAAAADezfyg=")</f>
        <v>0</v>
      </c>
      <c r="AP120" t="b">
        <f>AND('Black &amp; White load sheet'!F60,"AAAAADezfyk=")</f>
        <v>0</v>
      </c>
      <c r="AQ120" t="b">
        <f>AND('Black &amp; White load sheet'!G60,"AAAAADezfyo=")</f>
        <v>0</v>
      </c>
      <c r="AR120" t="b">
        <f>AND('Black &amp; White load sheet'!H60,"AAAAADezfys=")</f>
        <v>1</v>
      </c>
      <c r="AS120" t="b">
        <f>AND('Black &amp; White load sheet'!I60,"AAAAADezfyw=")</f>
        <v>0</v>
      </c>
      <c r="AT120" t="b">
        <f>AND('Black &amp; White load sheet'!J60,"AAAAADezfy0=")</f>
        <v>0</v>
      </c>
      <c r="AU120" t="b">
        <f>AND('Black &amp; White load sheet'!K60,"AAAAADezfy4=")</f>
        <v>0</v>
      </c>
      <c r="AV120" t="b">
        <f>AND('Black &amp; White load sheet'!L60,"AAAAADezfy8=")</f>
        <v>1</v>
      </c>
      <c r="AW120" t="b">
        <f>AND('Black &amp; White load sheet'!M60,"AAAAADezfzA=")</f>
        <v>1</v>
      </c>
      <c r="AX120" t="b">
        <f>AND('Black &amp; White load sheet'!N60,"AAAAADezfzE=")</f>
        <v>1</v>
      </c>
      <c r="AY120" t="b">
        <f>AND('Black &amp; White load sheet'!O60,"AAAAADezfzI=")</f>
        <v>1</v>
      </c>
      <c r="AZ120">
        <f>IF('Black &amp; White load sheet'!61:61,"AAAAADezfzM=",0)</f>
        <v>0</v>
      </c>
      <c r="BA120" t="b">
        <f>AND('Black &amp; White load sheet'!A61,"AAAAADezfzQ=")</f>
        <v>1</v>
      </c>
      <c r="BB120" t="b">
        <f>AND('Black &amp; White load sheet'!B61,"AAAAADezfzU=")</f>
        <v>0</v>
      </c>
      <c r="BC120" t="b">
        <f>AND('Black &amp; White load sheet'!C61,"AAAAADezfzY=")</f>
        <v>1</v>
      </c>
      <c r="BD120" t="b">
        <f>AND('Black &amp; White load sheet'!D61,"AAAAADezfzc=")</f>
        <v>0</v>
      </c>
      <c r="BE120" t="b">
        <f>AND('Black &amp; White load sheet'!E61,"AAAAADezfzg=")</f>
        <v>0</v>
      </c>
      <c r="BF120" t="b">
        <f>AND('Black &amp; White load sheet'!F61,"AAAAADezfzk=")</f>
        <v>0</v>
      </c>
      <c r="BG120" t="b">
        <f>AND('Black &amp; White load sheet'!G61,"AAAAADezfzo=")</f>
        <v>0</v>
      </c>
      <c r="BH120" t="b">
        <f>AND('Black &amp; White load sheet'!H61,"AAAAADezfzs=")</f>
        <v>1</v>
      </c>
      <c r="BI120" t="b">
        <f>AND('Black &amp; White load sheet'!I61,"AAAAADezfzw=")</f>
        <v>0</v>
      </c>
      <c r="BJ120" t="b">
        <f>AND('Black &amp; White load sheet'!J61,"AAAAADezfz0=")</f>
        <v>0</v>
      </c>
      <c r="BK120" t="b">
        <f>AND('Black &amp; White load sheet'!K61,"AAAAADezfz4=")</f>
        <v>1</v>
      </c>
      <c r="BL120" t="b">
        <f>AND('Black &amp; White load sheet'!L61,"AAAAADezfz8=")</f>
        <v>0</v>
      </c>
      <c r="BM120" t="b">
        <f>AND('Black &amp; White load sheet'!M61,"AAAAADezf0A=")</f>
        <v>1</v>
      </c>
      <c r="BN120" t="b">
        <f>AND('Black &amp; White load sheet'!N61,"AAAAADezf0E=")</f>
        <v>1</v>
      </c>
      <c r="BO120" t="b">
        <f>AND('Black &amp; White load sheet'!O61,"AAAAADezf0I=")</f>
        <v>1</v>
      </c>
      <c r="BP120">
        <f>IF('Black &amp; White load sheet'!62:62,"AAAAADezf0M=",0)</f>
        <v>0</v>
      </c>
      <c r="BQ120" t="b">
        <f>AND('Black &amp; White load sheet'!A62,"AAAAADezf0Q=")</f>
        <v>1</v>
      </c>
      <c r="BR120" t="b">
        <f>AND('Black &amp; White load sheet'!B62,"AAAAADezf0U=")</f>
        <v>0</v>
      </c>
      <c r="BS120" t="b">
        <f>AND('Black &amp; White load sheet'!C62,"AAAAADezf0Y=")</f>
        <v>1</v>
      </c>
      <c r="BT120" t="b">
        <f>AND('Black &amp; White load sheet'!D62,"AAAAADezf0c=")</f>
        <v>0</v>
      </c>
      <c r="BU120" t="b">
        <f>AND('Black &amp; White load sheet'!E62,"AAAAADezf0g=")</f>
        <v>0</v>
      </c>
      <c r="BV120" t="b">
        <f>AND('Black &amp; White load sheet'!F62,"AAAAADezf0k=")</f>
        <v>0</v>
      </c>
      <c r="BW120" t="b">
        <f>AND('Black &amp; White load sheet'!G62,"AAAAADezf0o=")</f>
        <v>0</v>
      </c>
      <c r="BX120" t="b">
        <f>AND('Black &amp; White load sheet'!H62,"AAAAADezf0s=")</f>
        <v>1</v>
      </c>
      <c r="BY120" t="b">
        <f>AND('Black &amp; White load sheet'!I62,"AAAAADezf0w=")</f>
        <v>0</v>
      </c>
      <c r="BZ120" t="b">
        <f>AND('Black &amp; White load sheet'!J62,"AAAAADezf00=")</f>
        <v>1</v>
      </c>
      <c r="CA120" t="b">
        <f>AND('Black &amp; White load sheet'!K62,"AAAAADezf04=")</f>
        <v>0</v>
      </c>
      <c r="CB120" t="b">
        <f>AND('Black &amp; White load sheet'!L62,"AAAAADezf08=")</f>
        <v>0</v>
      </c>
      <c r="CC120" t="b">
        <f>AND('Black &amp; White load sheet'!M62,"AAAAADezf1A=")</f>
        <v>1</v>
      </c>
      <c r="CD120" t="b">
        <f>AND('Black &amp; White load sheet'!N62,"AAAAADezf1E=")</f>
        <v>1</v>
      </c>
      <c r="CE120" t="b">
        <f>AND('Black &amp; White load sheet'!O62,"AAAAADezf1I=")</f>
        <v>1</v>
      </c>
      <c r="CF120">
        <f>IF('Black &amp; White load sheet'!63:63,"AAAAADezf1M=",0)</f>
        <v>0</v>
      </c>
      <c r="CG120" t="b">
        <f>AND('Black &amp; White load sheet'!A63,"AAAAADezf1Q=")</f>
        <v>1</v>
      </c>
      <c r="CH120" t="b">
        <f>AND('Black &amp; White load sheet'!B63,"AAAAADezf1U=")</f>
        <v>0</v>
      </c>
      <c r="CI120" t="b">
        <f>AND('Black &amp; White load sheet'!C63,"AAAAADezf1Y=")</f>
        <v>1</v>
      </c>
      <c r="CJ120" t="b">
        <f>AND('Black &amp; White load sheet'!D63,"AAAAADezf1c=")</f>
        <v>0</v>
      </c>
      <c r="CK120" t="b">
        <f>AND('Black &amp; White load sheet'!E63,"AAAAADezf1g=")</f>
        <v>0</v>
      </c>
      <c r="CL120" t="b">
        <f>AND('Black &amp; White load sheet'!F63,"AAAAADezf1k=")</f>
        <v>0</v>
      </c>
      <c r="CM120" t="b">
        <f>AND('Black &amp; White load sheet'!G63,"AAAAADezf1o=")</f>
        <v>0</v>
      </c>
      <c r="CN120" t="b">
        <f>AND('Black &amp; White load sheet'!H63,"AAAAADezf1s=")</f>
        <v>1</v>
      </c>
      <c r="CO120" t="b">
        <f>AND('Black &amp; White load sheet'!I63,"AAAAADezf1w=")</f>
        <v>1</v>
      </c>
      <c r="CP120" t="b">
        <f>AND('Black &amp; White load sheet'!J63,"AAAAADezf10=")</f>
        <v>0</v>
      </c>
      <c r="CQ120" t="b">
        <f>AND('Black &amp; White load sheet'!K63,"AAAAADezf14=")</f>
        <v>0</v>
      </c>
      <c r="CR120" t="b">
        <f>AND('Black &amp; White load sheet'!L63,"AAAAADezf18=")</f>
        <v>0</v>
      </c>
      <c r="CS120" t="b">
        <f>AND('Black &amp; White load sheet'!M63,"AAAAADezf2A=")</f>
        <v>1</v>
      </c>
      <c r="CT120" t="b">
        <f>AND('Black &amp; White load sheet'!N63,"AAAAADezf2E=")</f>
        <v>1</v>
      </c>
      <c r="CU120" t="b">
        <f>AND('Black &amp; White load sheet'!O63,"AAAAADezf2I=")</f>
        <v>1</v>
      </c>
      <c r="CV120">
        <f>IF('Black &amp; White load sheet'!64:64,"AAAAADezf2M=",0)</f>
        <v>0</v>
      </c>
      <c r="CW120" t="b">
        <f>AND('Black &amp; White load sheet'!A64,"AAAAADezf2Q=")</f>
        <v>1</v>
      </c>
      <c r="CX120" t="b">
        <f>AND('Black &amp; White load sheet'!B64,"AAAAADezf2U=")</f>
        <v>0</v>
      </c>
      <c r="CY120" t="b">
        <f>AND('Black &amp; White load sheet'!C64,"AAAAADezf2Y=")</f>
        <v>1</v>
      </c>
      <c r="CZ120" t="b">
        <f>AND('Black &amp; White load sheet'!D64,"AAAAADezf2c=")</f>
        <v>0</v>
      </c>
      <c r="DA120" t="b">
        <f>AND('Black &amp; White load sheet'!E64,"AAAAADezf2g=")</f>
        <v>0</v>
      </c>
      <c r="DB120" t="b">
        <f>AND('Black &amp; White load sheet'!F64,"AAAAADezf2k=")</f>
        <v>0</v>
      </c>
      <c r="DC120" t="b">
        <f>AND('Black &amp; White load sheet'!G64,"AAAAADezf2o=")</f>
        <v>1</v>
      </c>
      <c r="DD120" t="b">
        <f>AND('Black &amp; White load sheet'!H64,"AAAAADezf2s=")</f>
        <v>0</v>
      </c>
      <c r="DE120" t="b">
        <f>AND('Black &amp; White load sheet'!I64,"AAAAADezf2w=")</f>
        <v>0</v>
      </c>
      <c r="DF120" t="b">
        <f>AND('Black &amp; White load sheet'!J64,"AAAAADezf20=")</f>
        <v>0</v>
      </c>
      <c r="DG120" t="b">
        <f>AND('Black &amp; White load sheet'!K64,"AAAAADezf24=")</f>
        <v>0</v>
      </c>
      <c r="DH120" t="b">
        <f>AND('Black &amp; White load sheet'!L64,"AAAAADezf28=")</f>
        <v>0</v>
      </c>
      <c r="DI120" t="b">
        <f>AND('Black &amp; White load sheet'!M64,"AAAAADezf3A=")</f>
        <v>1</v>
      </c>
      <c r="DJ120" t="b">
        <f>AND('Black &amp; White load sheet'!N64,"AAAAADezf3E=")</f>
        <v>1</v>
      </c>
      <c r="DK120" t="b">
        <f>AND('Black &amp; White load sheet'!O64,"AAAAADezf3I=")</f>
        <v>1</v>
      </c>
      <c r="DL120">
        <f>IF('Black &amp; White load sheet'!65:65,"AAAAADezf3M=",0)</f>
        <v>0</v>
      </c>
      <c r="DM120" t="b">
        <f>AND('Black &amp; White load sheet'!A65,"AAAAADezf3Q=")</f>
        <v>1</v>
      </c>
      <c r="DN120" t="b">
        <f>AND('Black &amp; White load sheet'!B65,"AAAAADezf3U=")</f>
        <v>0</v>
      </c>
      <c r="DO120" t="b">
        <f>AND('Black &amp; White load sheet'!C65,"AAAAADezf3Y=")</f>
        <v>1</v>
      </c>
      <c r="DP120" t="b">
        <f>AND('Black &amp; White load sheet'!D65,"AAAAADezf3c=")</f>
        <v>0</v>
      </c>
      <c r="DQ120" t="b">
        <f>AND('Black &amp; White load sheet'!E65,"AAAAADezf3g=")</f>
        <v>0</v>
      </c>
      <c r="DR120" t="b">
        <f>AND('Black &amp; White load sheet'!F65,"AAAAADezf3k=")</f>
        <v>0</v>
      </c>
      <c r="DS120" t="b">
        <f>AND('Black &amp; White load sheet'!G65,"AAAAADezf3o=")</f>
        <v>1</v>
      </c>
      <c r="DT120" t="b">
        <f>AND('Black &amp; White load sheet'!H65,"AAAAADezf3s=")</f>
        <v>0</v>
      </c>
      <c r="DU120" t="b">
        <f>AND('Black &amp; White load sheet'!I65,"AAAAADezf3w=")</f>
        <v>0</v>
      </c>
      <c r="DV120" t="b">
        <f>AND('Black &amp; White load sheet'!J65,"AAAAADezf30=")</f>
        <v>0</v>
      </c>
      <c r="DW120" t="b">
        <f>AND('Black &amp; White load sheet'!K65,"AAAAADezf34=")</f>
        <v>0</v>
      </c>
      <c r="DX120" t="b">
        <f>AND('Black &amp; White load sheet'!L65,"AAAAADezf38=")</f>
        <v>1</v>
      </c>
      <c r="DY120" t="b">
        <f>AND('Black &amp; White load sheet'!M65,"AAAAADezf4A=")</f>
        <v>1</v>
      </c>
      <c r="DZ120" t="b">
        <f>AND('Black &amp; White load sheet'!N65,"AAAAADezf4E=")</f>
        <v>1</v>
      </c>
      <c r="EA120" t="b">
        <f>AND('Black &amp; White load sheet'!O65,"AAAAADezf4I=")</f>
        <v>1</v>
      </c>
      <c r="EB120">
        <f>IF('Black &amp; White load sheet'!66:66,"AAAAADezf4M=",0)</f>
        <v>0</v>
      </c>
      <c r="EC120" t="b">
        <f>AND('Black &amp; White load sheet'!A66,"AAAAADezf4Q=")</f>
        <v>1</v>
      </c>
      <c r="ED120" t="b">
        <f>AND('Black &amp; White load sheet'!B66,"AAAAADezf4U=")</f>
        <v>0</v>
      </c>
      <c r="EE120" t="b">
        <f>AND('Black &amp; White load sheet'!C66,"AAAAADezf4Y=")</f>
        <v>1</v>
      </c>
      <c r="EF120" t="b">
        <f>AND('Black &amp; White load sheet'!D66,"AAAAADezf4c=")</f>
        <v>0</v>
      </c>
      <c r="EG120" t="b">
        <f>AND('Black &amp; White load sheet'!E66,"AAAAADezf4g=")</f>
        <v>0</v>
      </c>
      <c r="EH120" t="b">
        <f>AND('Black &amp; White load sheet'!F66,"AAAAADezf4k=")</f>
        <v>0</v>
      </c>
      <c r="EI120" t="b">
        <f>AND('Black &amp; White load sheet'!G66,"AAAAADezf4o=")</f>
        <v>1</v>
      </c>
      <c r="EJ120" t="b">
        <f>AND('Black &amp; White load sheet'!H66,"AAAAADezf4s=")</f>
        <v>0</v>
      </c>
      <c r="EK120" t="b">
        <f>AND('Black &amp; White load sheet'!I66,"AAAAADezf4w=")</f>
        <v>0</v>
      </c>
      <c r="EL120" t="b">
        <f>AND('Black &amp; White load sheet'!J66,"AAAAADezf40=")</f>
        <v>0</v>
      </c>
      <c r="EM120" t="b">
        <f>AND('Black &amp; White load sheet'!K66,"AAAAADezf44=")</f>
        <v>1</v>
      </c>
      <c r="EN120" t="b">
        <f>AND('Black &amp; White load sheet'!L66,"AAAAADezf48=")</f>
        <v>0</v>
      </c>
      <c r="EO120" t="b">
        <f>AND('Black &amp; White load sheet'!M66,"AAAAADezf5A=")</f>
        <v>1</v>
      </c>
      <c r="EP120" t="b">
        <f>AND('Black &amp; White load sheet'!N66,"AAAAADezf5E=")</f>
        <v>1</v>
      </c>
      <c r="EQ120" t="b">
        <f>AND('Black &amp; White load sheet'!O66,"AAAAADezf5I=")</f>
        <v>1</v>
      </c>
      <c r="ER120">
        <f>IF('Black &amp; White load sheet'!67:67,"AAAAADezf5M=",0)</f>
        <v>0</v>
      </c>
      <c r="ES120" t="b">
        <f>AND('Black &amp; White load sheet'!A67,"AAAAADezf5Q=")</f>
        <v>1</v>
      </c>
      <c r="ET120" t="b">
        <f>AND('Black &amp; White load sheet'!B67,"AAAAADezf5U=")</f>
        <v>0</v>
      </c>
      <c r="EU120" t="b">
        <f>AND('Black &amp; White load sheet'!C67,"AAAAADezf5Y=")</f>
        <v>1</v>
      </c>
      <c r="EV120" t="b">
        <f>AND('Black &amp; White load sheet'!D67,"AAAAADezf5c=")</f>
        <v>0</v>
      </c>
      <c r="EW120" t="b">
        <f>AND('Black &amp; White load sheet'!E67,"AAAAADezf5g=")</f>
        <v>0</v>
      </c>
      <c r="EX120" t="b">
        <f>AND('Black &amp; White load sheet'!F67,"AAAAADezf5k=")</f>
        <v>0</v>
      </c>
      <c r="EY120" t="b">
        <f>AND('Black &amp; White load sheet'!G67,"AAAAADezf5o=")</f>
        <v>1</v>
      </c>
      <c r="EZ120" t="b">
        <f>AND('Black &amp; White load sheet'!H67,"AAAAADezf5s=")</f>
        <v>0</v>
      </c>
      <c r="FA120" t="b">
        <f>AND('Black &amp; White load sheet'!I67,"AAAAADezf5w=")</f>
        <v>0</v>
      </c>
      <c r="FB120" t="b">
        <f>AND('Black &amp; White load sheet'!J67,"AAAAADezf50=")</f>
        <v>1</v>
      </c>
      <c r="FC120" t="b">
        <f>AND('Black &amp; White load sheet'!K67,"AAAAADezf54=")</f>
        <v>0</v>
      </c>
      <c r="FD120" t="b">
        <f>AND('Black &amp; White load sheet'!L67,"AAAAADezf58=")</f>
        <v>0</v>
      </c>
      <c r="FE120" t="b">
        <f>AND('Black &amp; White load sheet'!M67,"AAAAADezf6A=")</f>
        <v>1</v>
      </c>
      <c r="FF120" t="b">
        <f>AND('Black &amp; White load sheet'!N67,"AAAAADezf6E=")</f>
        <v>1</v>
      </c>
      <c r="FG120" t="b">
        <f>AND('Black &amp; White load sheet'!O67,"AAAAADezf6I=")</f>
        <v>1</v>
      </c>
      <c r="FH120">
        <f>IF('Black &amp; White load sheet'!68:68,"AAAAADezf6M=",0)</f>
        <v>0</v>
      </c>
      <c r="FI120" t="b">
        <f>AND('Black &amp; White load sheet'!A68,"AAAAADezf6Q=")</f>
        <v>1</v>
      </c>
      <c r="FJ120" t="b">
        <f>AND('Black &amp; White load sheet'!B68,"AAAAADezf6U=")</f>
        <v>0</v>
      </c>
      <c r="FK120" t="b">
        <f>AND('Black &amp; White load sheet'!C68,"AAAAADezf6Y=")</f>
        <v>1</v>
      </c>
      <c r="FL120" t="b">
        <f>AND('Black &amp; White load sheet'!D68,"AAAAADezf6c=")</f>
        <v>0</v>
      </c>
      <c r="FM120" t="b">
        <f>AND('Black &amp; White load sheet'!E68,"AAAAADezf6g=")</f>
        <v>0</v>
      </c>
      <c r="FN120" t="b">
        <f>AND('Black &amp; White load sheet'!F68,"AAAAADezf6k=")</f>
        <v>0</v>
      </c>
      <c r="FO120" t="b">
        <f>AND('Black &amp; White load sheet'!G68,"AAAAADezf6o=")</f>
        <v>1</v>
      </c>
      <c r="FP120" t="b">
        <f>AND('Black &amp; White load sheet'!H68,"AAAAADezf6s=")</f>
        <v>0</v>
      </c>
      <c r="FQ120" t="b">
        <f>AND('Black &amp; White load sheet'!I68,"AAAAADezf6w=")</f>
        <v>1</v>
      </c>
      <c r="FR120" t="b">
        <f>AND('Black &amp; White load sheet'!J68,"AAAAADezf60=")</f>
        <v>0</v>
      </c>
      <c r="FS120" t="b">
        <f>AND('Black &amp; White load sheet'!K68,"AAAAADezf64=")</f>
        <v>0</v>
      </c>
      <c r="FT120" t="b">
        <f>AND('Black &amp; White load sheet'!L68,"AAAAADezf68=")</f>
        <v>0</v>
      </c>
      <c r="FU120" t="b">
        <f>AND('Black &amp; White load sheet'!M68,"AAAAADezf7A=")</f>
        <v>1</v>
      </c>
      <c r="FV120" t="b">
        <f>AND('Black &amp; White load sheet'!N68,"AAAAADezf7E=")</f>
        <v>1</v>
      </c>
      <c r="FW120" t="b">
        <f>AND('Black &amp; White load sheet'!O68,"AAAAADezf7I=")</f>
        <v>1</v>
      </c>
      <c r="FX120">
        <f>IF('Black &amp; White load sheet'!69:69,"AAAAADezf7M=",0)</f>
        <v>0</v>
      </c>
      <c r="FY120" t="b">
        <f>AND('Black &amp; White load sheet'!A69,"AAAAADezf7Q=")</f>
        <v>1</v>
      </c>
      <c r="FZ120" t="b">
        <f>AND('Black &amp; White load sheet'!B69,"AAAAADezf7U=")</f>
        <v>0</v>
      </c>
      <c r="GA120" t="b">
        <f>AND('Black &amp; White load sheet'!C69,"AAAAADezf7Y=")</f>
        <v>1</v>
      </c>
      <c r="GB120" t="b">
        <f>AND('Black &amp; White load sheet'!D69,"AAAAADezf7c=")</f>
        <v>0</v>
      </c>
      <c r="GC120" t="b">
        <f>AND('Black &amp; White load sheet'!E69,"AAAAADezf7g=")</f>
        <v>0</v>
      </c>
      <c r="GD120" t="b">
        <f>AND('Black &amp; White load sheet'!F69,"AAAAADezf7k=")</f>
        <v>0</v>
      </c>
      <c r="GE120" t="b">
        <f>AND('Black &amp; White load sheet'!G69,"AAAAADezf7o=")</f>
        <v>1</v>
      </c>
      <c r="GF120" t="b">
        <f>AND('Black &amp; White load sheet'!H69,"AAAAADezf7s=")</f>
        <v>1</v>
      </c>
      <c r="GG120" t="b">
        <f>AND('Black &amp; White load sheet'!I69,"AAAAADezf7w=")</f>
        <v>0</v>
      </c>
      <c r="GH120" t="b">
        <f>AND('Black &amp; White load sheet'!J69,"AAAAADezf70=")</f>
        <v>0</v>
      </c>
      <c r="GI120" t="b">
        <f>AND('Black &amp; White load sheet'!K69,"AAAAADezf74=")</f>
        <v>0</v>
      </c>
      <c r="GJ120" t="b">
        <f>AND('Black &amp; White load sheet'!L69,"AAAAADezf78=")</f>
        <v>0</v>
      </c>
      <c r="GK120" t="b">
        <f>AND('Black &amp; White load sheet'!M69,"AAAAADezf8A=")</f>
        <v>1</v>
      </c>
      <c r="GL120" t="b">
        <f>AND('Black &amp; White load sheet'!N69,"AAAAADezf8E=")</f>
        <v>1</v>
      </c>
      <c r="GM120" t="b">
        <f>AND('Black &amp; White load sheet'!O69,"AAAAADezf8I=")</f>
        <v>1</v>
      </c>
      <c r="GN120">
        <f>IF('Black &amp; White load sheet'!70:70,"AAAAADezf8M=",0)</f>
        <v>0</v>
      </c>
      <c r="GO120" t="b">
        <f>AND('Black &amp; White load sheet'!A70,"AAAAADezf8Q=")</f>
        <v>1</v>
      </c>
      <c r="GP120" t="b">
        <f>AND('Black &amp; White load sheet'!B70,"AAAAADezf8U=")</f>
        <v>0</v>
      </c>
      <c r="GQ120" t="b">
        <f>AND('Black &amp; White load sheet'!C70,"AAAAADezf8Y=")</f>
        <v>1</v>
      </c>
      <c r="GR120" t="b">
        <f>AND('Black &amp; White load sheet'!D70,"AAAAADezf8c=")</f>
        <v>0</v>
      </c>
      <c r="GS120" t="b">
        <f>AND('Black &amp; White load sheet'!E70,"AAAAADezf8g=")</f>
        <v>0</v>
      </c>
      <c r="GT120" t="b">
        <f>AND('Black &amp; White load sheet'!F70,"AAAAADezf8k=")</f>
        <v>0</v>
      </c>
      <c r="GU120" t="b">
        <f>AND('Black &amp; White load sheet'!G70,"AAAAADezf8o=")</f>
        <v>1</v>
      </c>
      <c r="GV120" t="b">
        <f>AND('Black &amp; White load sheet'!H70,"AAAAADezf8s=")</f>
        <v>1</v>
      </c>
      <c r="GW120" t="b">
        <f>AND('Black &amp; White load sheet'!I70,"AAAAADezf8w=")</f>
        <v>0</v>
      </c>
      <c r="GX120" t="b">
        <f>AND('Black &amp; White load sheet'!J70,"AAAAADezf80=")</f>
        <v>0</v>
      </c>
      <c r="GY120" t="b">
        <f>AND('Black &amp; White load sheet'!K70,"AAAAADezf84=")</f>
        <v>0</v>
      </c>
      <c r="GZ120" t="b">
        <f>AND('Black &amp; White load sheet'!L70,"AAAAADezf88=")</f>
        <v>1</v>
      </c>
      <c r="HA120" t="b">
        <f>AND('Black &amp; White load sheet'!M70,"AAAAADezf9A=")</f>
        <v>1</v>
      </c>
      <c r="HB120" t="b">
        <f>AND('Black &amp; White load sheet'!N70,"AAAAADezf9E=")</f>
        <v>1</v>
      </c>
      <c r="HC120" t="b">
        <f>AND('Black &amp; White load sheet'!O70,"AAAAADezf9I=")</f>
        <v>1</v>
      </c>
      <c r="HD120">
        <f>IF('Black &amp; White load sheet'!71:71,"AAAAADezf9M=",0)</f>
        <v>0</v>
      </c>
      <c r="HE120" t="b">
        <f>AND('Black &amp; White load sheet'!A71,"AAAAADezf9Q=")</f>
        <v>1</v>
      </c>
      <c r="HF120" t="b">
        <f>AND('Black &amp; White load sheet'!B71,"AAAAADezf9U=")</f>
        <v>0</v>
      </c>
      <c r="HG120" t="b">
        <f>AND('Black &amp; White load sheet'!C71,"AAAAADezf9Y=")</f>
        <v>1</v>
      </c>
      <c r="HH120" t="b">
        <f>AND('Black &amp; White load sheet'!D71,"AAAAADezf9c=")</f>
        <v>0</v>
      </c>
      <c r="HI120" t="b">
        <f>AND('Black &amp; White load sheet'!E71,"AAAAADezf9g=")</f>
        <v>0</v>
      </c>
      <c r="HJ120" t="b">
        <f>AND('Black &amp; White load sheet'!F71,"AAAAADezf9k=")</f>
        <v>0</v>
      </c>
      <c r="HK120" t="b">
        <f>AND('Black &amp; White load sheet'!G71,"AAAAADezf9o=")</f>
        <v>1</v>
      </c>
      <c r="HL120" t="b">
        <f>AND('Black &amp; White load sheet'!H71,"AAAAADezf9s=")</f>
        <v>1</v>
      </c>
      <c r="HM120" t="b">
        <f>AND('Black &amp; White load sheet'!I71,"AAAAADezf9w=")</f>
        <v>0</v>
      </c>
      <c r="HN120" t="b">
        <f>AND('Black &amp; White load sheet'!J71,"AAAAADezf90=")</f>
        <v>0</v>
      </c>
      <c r="HO120" t="b">
        <f>AND('Black &amp; White load sheet'!K71,"AAAAADezf94=")</f>
        <v>1</v>
      </c>
      <c r="HP120" t="b">
        <f>AND('Black &amp; White load sheet'!L71,"AAAAADezf98=")</f>
        <v>0</v>
      </c>
      <c r="HQ120" t="b">
        <f>AND('Black &amp; White load sheet'!M71,"AAAAADezf+A=")</f>
        <v>1</v>
      </c>
      <c r="HR120" t="b">
        <f>AND('Black &amp; White load sheet'!N71,"AAAAADezf+E=")</f>
        <v>1</v>
      </c>
      <c r="HS120" t="b">
        <f>AND('Black &amp; White load sheet'!O71,"AAAAADezf+I=")</f>
        <v>1</v>
      </c>
      <c r="HT120">
        <f>IF('Black &amp; White load sheet'!72:72,"AAAAADezf+M=",0)</f>
        <v>0</v>
      </c>
      <c r="HU120" t="b">
        <f>AND('Black &amp; White load sheet'!A72,"AAAAADezf+Q=")</f>
        <v>1</v>
      </c>
      <c r="HV120" t="b">
        <f>AND('Black &amp; White load sheet'!B72,"AAAAADezf+U=")</f>
        <v>0</v>
      </c>
      <c r="HW120" t="b">
        <f>AND('Black &amp; White load sheet'!C72,"AAAAADezf+Y=")</f>
        <v>1</v>
      </c>
      <c r="HX120" t="b">
        <f>AND('Black &amp; White load sheet'!D72,"AAAAADezf+c=")</f>
        <v>0</v>
      </c>
      <c r="HY120" t="b">
        <f>AND('Black &amp; White load sheet'!E72,"AAAAADezf+g=")</f>
        <v>0</v>
      </c>
      <c r="HZ120" t="b">
        <f>AND('Black &amp; White load sheet'!F72,"AAAAADezf+k=")</f>
        <v>0</v>
      </c>
      <c r="IA120" t="b">
        <f>AND('Black &amp; White load sheet'!G72,"AAAAADezf+o=")</f>
        <v>1</v>
      </c>
      <c r="IB120" t="b">
        <f>AND('Black &amp; White load sheet'!H72,"AAAAADezf+s=")</f>
        <v>1</v>
      </c>
      <c r="IC120" t="b">
        <f>AND('Black &amp; White load sheet'!I72,"AAAAADezf+w=")</f>
        <v>0</v>
      </c>
      <c r="ID120" t="b">
        <f>AND('Black &amp; White load sheet'!J72,"AAAAADezf+0=")</f>
        <v>1</v>
      </c>
      <c r="IE120" t="b">
        <f>AND('Black &amp; White load sheet'!K72,"AAAAADezf+4=")</f>
        <v>0</v>
      </c>
      <c r="IF120" t="b">
        <f>AND('Black &amp; White load sheet'!L72,"AAAAADezf+8=")</f>
        <v>0</v>
      </c>
      <c r="IG120" t="b">
        <f>AND('Black &amp; White load sheet'!M72,"AAAAADezf/A=")</f>
        <v>1</v>
      </c>
      <c r="IH120" t="b">
        <f>AND('Black &amp; White load sheet'!N72,"AAAAADezf/E=")</f>
        <v>1</v>
      </c>
      <c r="II120" t="b">
        <f>AND('Black &amp; White load sheet'!O72,"AAAAADezf/I=")</f>
        <v>1</v>
      </c>
      <c r="IJ120">
        <f>IF('Black &amp; White load sheet'!73:73,"AAAAADezf/M=",0)</f>
        <v>0</v>
      </c>
      <c r="IK120" t="b">
        <f>AND('Black &amp; White load sheet'!A73,"AAAAADezf/Q=")</f>
        <v>1</v>
      </c>
      <c r="IL120" t="b">
        <f>AND('Black &amp; White load sheet'!B73,"AAAAADezf/U=")</f>
        <v>0</v>
      </c>
      <c r="IM120" t="b">
        <f>AND('Black &amp; White load sheet'!C73,"AAAAADezf/Y=")</f>
        <v>1</v>
      </c>
      <c r="IN120" t="b">
        <f>AND('Black &amp; White load sheet'!D73,"AAAAADezf/c=")</f>
        <v>0</v>
      </c>
      <c r="IO120" t="b">
        <f>AND('Black &amp; White load sheet'!E73,"AAAAADezf/g=")</f>
        <v>0</v>
      </c>
      <c r="IP120" t="b">
        <f>AND('Black &amp; White load sheet'!F73,"AAAAADezf/k=")</f>
        <v>0</v>
      </c>
      <c r="IQ120" t="b">
        <f>AND('Black &amp; White load sheet'!G73,"AAAAADezf/o=")</f>
        <v>1</v>
      </c>
      <c r="IR120" t="b">
        <f>AND('Black &amp; White load sheet'!H73,"AAAAADezf/s=")</f>
        <v>1</v>
      </c>
      <c r="IS120" t="b">
        <f>AND('Black &amp; White load sheet'!I73,"AAAAADezf/w=")</f>
        <v>1</v>
      </c>
      <c r="IT120" t="b">
        <f>AND('Black &amp; White load sheet'!J73,"AAAAADezf/0=")</f>
        <v>0</v>
      </c>
      <c r="IU120" t="b">
        <f>AND('Black &amp; White load sheet'!K73,"AAAAADezf/4=")</f>
        <v>0</v>
      </c>
      <c r="IV120" t="b">
        <f>AND('Black &amp; White load sheet'!L73,"AAAAADezf/8=")</f>
        <v>0</v>
      </c>
    </row>
    <row r="121" spans="1:256">
      <c r="A121" t="b">
        <f>AND('Black &amp; White load sheet'!M73,"AAAAAD/l/wA=")</f>
        <v>1</v>
      </c>
      <c r="B121" t="b">
        <f>AND('Black &amp; White load sheet'!N73,"AAAAAD/l/wE=")</f>
        <v>1</v>
      </c>
      <c r="C121" t="b">
        <f>AND('Black &amp; White load sheet'!O73,"AAAAAD/l/wI=")</f>
        <v>1</v>
      </c>
      <c r="D121">
        <f>IF('Black &amp; White load sheet'!74:74,"AAAAAD/l/wM=",0)</f>
        <v>0</v>
      </c>
      <c r="E121" t="b">
        <f>AND('Black &amp; White load sheet'!A74,"AAAAAD/l/wQ=")</f>
        <v>1</v>
      </c>
      <c r="F121" t="b">
        <f>AND('Black &amp; White load sheet'!B74,"AAAAAD/l/wU=")</f>
        <v>0</v>
      </c>
      <c r="G121" t="b">
        <f>AND('Black &amp; White load sheet'!C74,"AAAAAD/l/wY=")</f>
        <v>1</v>
      </c>
      <c r="H121" t="b">
        <f>AND('Black &amp; White load sheet'!D74,"AAAAAD/l/wc=")</f>
        <v>0</v>
      </c>
      <c r="I121" t="b">
        <f>AND('Black &amp; White load sheet'!E74,"AAAAAD/l/wg=")</f>
        <v>0</v>
      </c>
      <c r="J121" t="b">
        <f>AND('Black &amp; White load sheet'!F74,"AAAAAD/l/wk=")</f>
        <v>1</v>
      </c>
      <c r="K121" t="b">
        <f>AND('Black &amp; White load sheet'!G74,"AAAAAD/l/wo=")</f>
        <v>0</v>
      </c>
      <c r="L121" t="b">
        <f>AND('Black &amp; White load sheet'!H74,"AAAAAD/l/ws=")</f>
        <v>0</v>
      </c>
      <c r="M121" t="b">
        <f>AND('Black &amp; White load sheet'!I74,"AAAAAD/l/ww=")</f>
        <v>0</v>
      </c>
      <c r="N121" t="b">
        <f>AND('Black &amp; White load sheet'!J74,"AAAAAD/l/w0=")</f>
        <v>0</v>
      </c>
      <c r="O121" t="b">
        <f>AND('Black &amp; White load sheet'!K74,"AAAAAD/l/w4=")</f>
        <v>0</v>
      </c>
      <c r="P121" t="b">
        <f>AND('Black &amp; White load sheet'!L74,"AAAAAD/l/w8=")</f>
        <v>0</v>
      </c>
      <c r="Q121" t="b">
        <f>AND('Black &amp; White load sheet'!M74,"AAAAAD/l/xA=")</f>
        <v>1</v>
      </c>
      <c r="R121" t="b">
        <f>AND('Black &amp; White load sheet'!N74,"AAAAAD/l/xE=")</f>
        <v>1</v>
      </c>
      <c r="S121" t="b">
        <f>AND('Black &amp; White load sheet'!O74,"AAAAAD/l/xI=")</f>
        <v>1</v>
      </c>
      <c r="T121">
        <f>IF('Black &amp; White load sheet'!75:75,"AAAAAD/l/xM=",0)</f>
        <v>0</v>
      </c>
      <c r="U121" t="b">
        <f>AND('Black &amp; White load sheet'!A75,"AAAAAD/l/xQ=")</f>
        <v>1</v>
      </c>
      <c r="V121" t="b">
        <f>AND('Black &amp; White load sheet'!B75,"AAAAAD/l/xU=")</f>
        <v>0</v>
      </c>
      <c r="W121" t="b">
        <f>AND('Black &amp; White load sheet'!C75,"AAAAAD/l/xY=")</f>
        <v>1</v>
      </c>
      <c r="X121" t="b">
        <f>AND('Black &amp; White load sheet'!D75,"AAAAAD/l/xc=")</f>
        <v>0</v>
      </c>
      <c r="Y121" t="b">
        <f>AND('Black &amp; White load sheet'!E75,"AAAAAD/l/xg=")</f>
        <v>0</v>
      </c>
      <c r="Z121" t="b">
        <f>AND('Black &amp; White load sheet'!F75,"AAAAAD/l/xk=")</f>
        <v>1</v>
      </c>
      <c r="AA121" t="b">
        <f>AND('Black &amp; White load sheet'!G75,"AAAAAD/l/xo=")</f>
        <v>0</v>
      </c>
      <c r="AB121" t="b">
        <f>AND('Black &amp; White load sheet'!H75,"AAAAAD/l/xs=")</f>
        <v>0</v>
      </c>
      <c r="AC121" t="b">
        <f>AND('Black &amp; White load sheet'!I75,"AAAAAD/l/xw=")</f>
        <v>0</v>
      </c>
      <c r="AD121" t="b">
        <f>AND('Black &amp; White load sheet'!J75,"AAAAAD/l/x0=")</f>
        <v>0</v>
      </c>
      <c r="AE121" t="b">
        <f>AND('Black &amp; White load sheet'!K75,"AAAAAD/l/x4=")</f>
        <v>0</v>
      </c>
      <c r="AF121" t="b">
        <f>AND('Black &amp; White load sheet'!L75,"AAAAAD/l/x8=")</f>
        <v>1</v>
      </c>
      <c r="AG121" t="b">
        <f>AND('Black &amp; White load sheet'!M75,"AAAAAD/l/yA=")</f>
        <v>1</v>
      </c>
      <c r="AH121" t="b">
        <f>AND('Black &amp; White load sheet'!N75,"AAAAAD/l/yE=")</f>
        <v>1</v>
      </c>
      <c r="AI121" t="b">
        <f>AND('Black &amp; White load sheet'!O75,"AAAAAD/l/yI=")</f>
        <v>1</v>
      </c>
      <c r="AJ121">
        <f>IF('Black &amp; White load sheet'!76:76,"AAAAAD/l/yM=",0)</f>
        <v>0</v>
      </c>
      <c r="AK121" t="b">
        <f>AND('Black &amp; White load sheet'!A76,"AAAAAD/l/yQ=")</f>
        <v>1</v>
      </c>
      <c r="AL121" t="b">
        <f>AND('Black &amp; White load sheet'!B76,"AAAAAD/l/yU=")</f>
        <v>0</v>
      </c>
      <c r="AM121" t="b">
        <f>AND('Black &amp; White load sheet'!C76,"AAAAAD/l/yY=")</f>
        <v>1</v>
      </c>
      <c r="AN121" t="b">
        <f>AND('Black &amp; White load sheet'!D76,"AAAAAD/l/yc=")</f>
        <v>0</v>
      </c>
      <c r="AO121" t="b">
        <f>AND('Black &amp; White load sheet'!E76,"AAAAAD/l/yg=")</f>
        <v>0</v>
      </c>
      <c r="AP121" t="b">
        <f>AND('Black &amp; White load sheet'!F76,"AAAAAD/l/yk=")</f>
        <v>1</v>
      </c>
      <c r="AQ121" t="b">
        <f>AND('Black &amp; White load sheet'!G76,"AAAAAD/l/yo=")</f>
        <v>0</v>
      </c>
      <c r="AR121" t="b">
        <f>AND('Black &amp; White load sheet'!H76,"AAAAAD/l/ys=")</f>
        <v>0</v>
      </c>
      <c r="AS121" t="b">
        <f>AND('Black &amp; White load sheet'!I76,"AAAAAD/l/yw=")</f>
        <v>0</v>
      </c>
      <c r="AT121" t="b">
        <f>AND('Black &amp; White load sheet'!J76,"AAAAAD/l/y0=")</f>
        <v>0</v>
      </c>
      <c r="AU121" t="b">
        <f>AND('Black &amp; White load sheet'!K76,"AAAAAD/l/y4=")</f>
        <v>1</v>
      </c>
      <c r="AV121" t="b">
        <f>AND('Black &amp; White load sheet'!L76,"AAAAAD/l/y8=")</f>
        <v>0</v>
      </c>
      <c r="AW121" t="b">
        <f>AND('Black &amp; White load sheet'!M76,"AAAAAD/l/zA=")</f>
        <v>1</v>
      </c>
      <c r="AX121" t="b">
        <f>AND('Black &amp; White load sheet'!N76,"AAAAAD/l/zE=")</f>
        <v>1</v>
      </c>
      <c r="AY121" t="b">
        <f>AND('Black &amp; White load sheet'!O76,"AAAAAD/l/zI=")</f>
        <v>1</v>
      </c>
      <c r="AZ121">
        <f>IF('Black &amp; White load sheet'!77:77,"AAAAAD/l/zM=",0)</f>
        <v>0</v>
      </c>
      <c r="BA121" t="b">
        <f>AND('Black &amp; White load sheet'!A77,"AAAAAD/l/zQ=")</f>
        <v>1</v>
      </c>
      <c r="BB121" t="b">
        <f>AND('Black &amp; White load sheet'!B77,"AAAAAD/l/zU=")</f>
        <v>0</v>
      </c>
      <c r="BC121" t="b">
        <f>AND('Black &amp; White load sheet'!C77,"AAAAAD/l/zY=")</f>
        <v>1</v>
      </c>
      <c r="BD121" t="b">
        <f>AND('Black &amp; White load sheet'!D77,"AAAAAD/l/zc=")</f>
        <v>0</v>
      </c>
      <c r="BE121" t="b">
        <f>AND('Black &amp; White load sheet'!E77,"AAAAAD/l/zg=")</f>
        <v>0</v>
      </c>
      <c r="BF121" t="b">
        <f>AND('Black &amp; White load sheet'!F77,"AAAAAD/l/zk=")</f>
        <v>1</v>
      </c>
      <c r="BG121" t="b">
        <f>AND('Black &amp; White load sheet'!G77,"AAAAAD/l/zo=")</f>
        <v>0</v>
      </c>
      <c r="BH121" t="b">
        <f>AND('Black &amp; White load sheet'!H77,"AAAAAD/l/zs=")</f>
        <v>0</v>
      </c>
      <c r="BI121" t="b">
        <f>AND('Black &amp; White load sheet'!I77,"AAAAAD/l/zw=")</f>
        <v>0</v>
      </c>
      <c r="BJ121" t="b">
        <f>AND('Black &amp; White load sheet'!J77,"AAAAAD/l/z0=")</f>
        <v>1</v>
      </c>
      <c r="BK121" t="b">
        <f>AND('Black &amp; White load sheet'!K77,"AAAAAD/l/z4=")</f>
        <v>0</v>
      </c>
      <c r="BL121" t="b">
        <f>AND('Black &amp; White load sheet'!L77,"AAAAAD/l/z8=")</f>
        <v>0</v>
      </c>
      <c r="BM121" t="b">
        <f>AND('Black &amp; White load sheet'!M77,"AAAAAD/l/0A=")</f>
        <v>1</v>
      </c>
      <c r="BN121" t="b">
        <f>AND('Black &amp; White load sheet'!N77,"AAAAAD/l/0E=")</f>
        <v>1</v>
      </c>
      <c r="BO121" t="b">
        <f>AND('Black &amp; White load sheet'!O77,"AAAAAD/l/0I=")</f>
        <v>1</v>
      </c>
      <c r="BP121">
        <f>IF('Black &amp; White load sheet'!78:78,"AAAAAD/l/0M=",0)</f>
        <v>0</v>
      </c>
      <c r="BQ121" t="b">
        <f>AND('Black &amp; White load sheet'!A78,"AAAAAD/l/0Q=")</f>
        <v>1</v>
      </c>
      <c r="BR121" t="b">
        <f>AND('Black &amp; White load sheet'!B78,"AAAAAD/l/0U=")</f>
        <v>0</v>
      </c>
      <c r="BS121" t="b">
        <f>AND('Black &amp; White load sheet'!C78,"AAAAAD/l/0Y=")</f>
        <v>1</v>
      </c>
      <c r="BT121" t="b">
        <f>AND('Black &amp; White load sheet'!D78,"AAAAAD/l/0c=")</f>
        <v>0</v>
      </c>
      <c r="BU121" t="b">
        <f>AND('Black &amp; White load sheet'!E78,"AAAAAD/l/0g=")</f>
        <v>0</v>
      </c>
      <c r="BV121" t="b">
        <f>AND('Black &amp; White load sheet'!F78,"AAAAAD/l/0k=")</f>
        <v>1</v>
      </c>
      <c r="BW121" t="b">
        <f>AND('Black &amp; White load sheet'!G78,"AAAAAD/l/0o=")</f>
        <v>0</v>
      </c>
      <c r="BX121" t="b">
        <f>AND('Black &amp; White load sheet'!H78,"AAAAAD/l/0s=")</f>
        <v>0</v>
      </c>
      <c r="BY121" t="b">
        <f>AND('Black &amp; White load sheet'!I78,"AAAAAD/l/0w=")</f>
        <v>1</v>
      </c>
      <c r="BZ121" t="b">
        <f>AND('Black &amp; White load sheet'!J78,"AAAAAD/l/00=")</f>
        <v>0</v>
      </c>
      <c r="CA121" t="b">
        <f>AND('Black &amp; White load sheet'!K78,"AAAAAD/l/04=")</f>
        <v>0</v>
      </c>
      <c r="CB121" t="b">
        <f>AND('Black &amp; White load sheet'!L78,"AAAAAD/l/08=")</f>
        <v>0</v>
      </c>
      <c r="CC121" t="b">
        <f>AND('Black &amp; White load sheet'!M78,"AAAAAD/l/1A=")</f>
        <v>1</v>
      </c>
      <c r="CD121" t="b">
        <f>AND('Black &amp; White load sheet'!N78,"AAAAAD/l/1E=")</f>
        <v>1</v>
      </c>
      <c r="CE121" t="b">
        <f>AND('Black &amp; White load sheet'!O78,"AAAAAD/l/1I=")</f>
        <v>1</v>
      </c>
      <c r="CF121">
        <f>IF('Black &amp; White load sheet'!79:79,"AAAAAD/l/1M=",0)</f>
        <v>0</v>
      </c>
      <c r="CG121" t="b">
        <f>AND('Black &amp; White load sheet'!A79,"AAAAAD/l/1Q=")</f>
        <v>1</v>
      </c>
      <c r="CH121" t="b">
        <f>AND('Black &amp; White load sheet'!B79,"AAAAAD/l/1U=")</f>
        <v>0</v>
      </c>
      <c r="CI121" t="b">
        <f>AND('Black &amp; White load sheet'!C79,"AAAAAD/l/1Y=")</f>
        <v>1</v>
      </c>
      <c r="CJ121" t="b">
        <f>AND('Black &amp; White load sheet'!D79,"AAAAAD/l/1c=")</f>
        <v>0</v>
      </c>
      <c r="CK121" t="b">
        <f>AND('Black &amp; White load sheet'!E79,"AAAAAD/l/1g=")</f>
        <v>0</v>
      </c>
      <c r="CL121" t="b">
        <f>AND('Black &amp; White load sheet'!F79,"AAAAAD/l/1k=")</f>
        <v>1</v>
      </c>
      <c r="CM121" t="b">
        <f>AND('Black &amp; White load sheet'!G79,"AAAAAD/l/1o=")</f>
        <v>0</v>
      </c>
      <c r="CN121" t="b">
        <f>AND('Black &amp; White load sheet'!H79,"AAAAAD/l/1s=")</f>
        <v>1</v>
      </c>
      <c r="CO121" t="b">
        <f>AND('Black &amp; White load sheet'!I79,"AAAAAD/l/1w=")</f>
        <v>0</v>
      </c>
      <c r="CP121" t="b">
        <f>AND('Black &amp; White load sheet'!J79,"AAAAAD/l/10=")</f>
        <v>0</v>
      </c>
      <c r="CQ121" t="b">
        <f>AND('Black &amp; White load sheet'!K79,"AAAAAD/l/14=")</f>
        <v>0</v>
      </c>
      <c r="CR121" t="b">
        <f>AND('Black &amp; White load sheet'!L79,"AAAAAD/l/18=")</f>
        <v>0</v>
      </c>
      <c r="CS121" t="b">
        <f>AND('Black &amp; White load sheet'!M79,"AAAAAD/l/2A=")</f>
        <v>1</v>
      </c>
      <c r="CT121" t="b">
        <f>AND('Black &amp; White load sheet'!N79,"AAAAAD/l/2E=")</f>
        <v>1</v>
      </c>
      <c r="CU121" t="b">
        <f>AND('Black &amp; White load sheet'!O79,"AAAAAD/l/2I=")</f>
        <v>1</v>
      </c>
      <c r="CV121">
        <f>IF('Black &amp; White load sheet'!80:80,"AAAAAD/l/2M=",0)</f>
        <v>0</v>
      </c>
      <c r="CW121" t="b">
        <f>AND('Black &amp; White load sheet'!A80,"AAAAAD/l/2Q=")</f>
        <v>1</v>
      </c>
      <c r="CX121" t="b">
        <f>AND('Black &amp; White load sheet'!B80,"AAAAAD/l/2U=")</f>
        <v>0</v>
      </c>
      <c r="CY121" t="b">
        <f>AND('Black &amp; White load sheet'!C80,"AAAAAD/l/2Y=")</f>
        <v>1</v>
      </c>
      <c r="CZ121" t="b">
        <f>AND('Black &amp; White load sheet'!D80,"AAAAAD/l/2c=")</f>
        <v>0</v>
      </c>
      <c r="DA121" t="b">
        <f>AND('Black &amp; White load sheet'!E80,"AAAAAD/l/2g=")</f>
        <v>0</v>
      </c>
      <c r="DB121" t="b">
        <f>AND('Black &amp; White load sheet'!F80,"AAAAAD/l/2k=")</f>
        <v>1</v>
      </c>
      <c r="DC121" t="b">
        <f>AND('Black &amp; White load sheet'!G80,"AAAAAD/l/2o=")</f>
        <v>0</v>
      </c>
      <c r="DD121" t="b">
        <f>AND('Black &amp; White load sheet'!H80,"AAAAAD/l/2s=")</f>
        <v>1</v>
      </c>
      <c r="DE121" t="b">
        <f>AND('Black &amp; White load sheet'!I80,"AAAAAD/l/2w=")</f>
        <v>0</v>
      </c>
      <c r="DF121" t="b">
        <f>AND('Black &amp; White load sheet'!J80,"AAAAAD/l/20=")</f>
        <v>0</v>
      </c>
      <c r="DG121" t="b">
        <f>AND('Black &amp; White load sheet'!K80,"AAAAAD/l/24=")</f>
        <v>0</v>
      </c>
      <c r="DH121" t="b">
        <f>AND('Black &amp; White load sheet'!L80,"AAAAAD/l/28=")</f>
        <v>1</v>
      </c>
      <c r="DI121" t="b">
        <f>AND('Black &amp; White load sheet'!M80,"AAAAAD/l/3A=")</f>
        <v>1</v>
      </c>
      <c r="DJ121" t="b">
        <f>AND('Black &amp; White load sheet'!N80,"AAAAAD/l/3E=")</f>
        <v>1</v>
      </c>
      <c r="DK121" t="b">
        <f>AND('Black &amp; White load sheet'!O80,"AAAAAD/l/3I=")</f>
        <v>1</v>
      </c>
      <c r="DL121">
        <f>IF('Black &amp; White load sheet'!81:81,"AAAAAD/l/3M=",0)</f>
        <v>0</v>
      </c>
      <c r="DM121" t="b">
        <f>AND('Black &amp; White load sheet'!A81,"AAAAAD/l/3Q=")</f>
        <v>1</v>
      </c>
      <c r="DN121" t="b">
        <f>AND('Black &amp; White load sheet'!B81,"AAAAAD/l/3U=")</f>
        <v>0</v>
      </c>
      <c r="DO121" t="b">
        <f>AND('Black &amp; White load sheet'!C81,"AAAAAD/l/3Y=")</f>
        <v>1</v>
      </c>
      <c r="DP121" t="b">
        <f>AND('Black &amp; White load sheet'!D81,"AAAAAD/l/3c=")</f>
        <v>0</v>
      </c>
      <c r="DQ121" t="b">
        <f>AND('Black &amp; White load sheet'!E81,"AAAAAD/l/3g=")</f>
        <v>0</v>
      </c>
      <c r="DR121" t="b">
        <f>AND('Black &amp; White load sheet'!F81,"AAAAAD/l/3k=")</f>
        <v>1</v>
      </c>
      <c r="DS121" t="b">
        <f>AND('Black &amp; White load sheet'!G81,"AAAAAD/l/3o=")</f>
        <v>0</v>
      </c>
      <c r="DT121" t="b">
        <f>AND('Black &amp; White load sheet'!H81,"AAAAAD/l/3s=")</f>
        <v>1</v>
      </c>
      <c r="DU121" t="b">
        <f>AND('Black &amp; White load sheet'!I81,"AAAAAD/l/3w=")</f>
        <v>0</v>
      </c>
      <c r="DV121" t="b">
        <f>AND('Black &amp; White load sheet'!J81,"AAAAAD/l/30=")</f>
        <v>0</v>
      </c>
      <c r="DW121" t="b">
        <f>AND('Black &amp; White load sheet'!K81,"AAAAAD/l/34=")</f>
        <v>1</v>
      </c>
      <c r="DX121" t="b">
        <f>AND('Black &amp; White load sheet'!L81,"AAAAAD/l/38=")</f>
        <v>0</v>
      </c>
      <c r="DY121" t="b">
        <f>AND('Black &amp; White load sheet'!M81,"AAAAAD/l/4A=")</f>
        <v>1</v>
      </c>
      <c r="DZ121" t="b">
        <f>AND('Black &amp; White load sheet'!N81,"AAAAAD/l/4E=")</f>
        <v>1</v>
      </c>
      <c r="EA121" t="b">
        <f>AND('Black &amp; White load sheet'!O81,"AAAAAD/l/4I=")</f>
        <v>1</v>
      </c>
      <c r="EB121">
        <f>IF('Black &amp; White load sheet'!82:82,"AAAAAD/l/4M=",0)</f>
        <v>0</v>
      </c>
      <c r="EC121" t="b">
        <f>AND('Black &amp; White load sheet'!A82,"AAAAAD/l/4Q=")</f>
        <v>1</v>
      </c>
      <c r="ED121" t="b">
        <f>AND('Black &amp; White load sheet'!B82,"AAAAAD/l/4U=")</f>
        <v>0</v>
      </c>
      <c r="EE121" t="b">
        <f>AND('Black &amp; White load sheet'!C82,"AAAAAD/l/4Y=")</f>
        <v>1</v>
      </c>
      <c r="EF121" t="b">
        <f>AND('Black &amp; White load sheet'!D82,"AAAAAD/l/4c=")</f>
        <v>0</v>
      </c>
      <c r="EG121" t="b">
        <f>AND('Black &amp; White load sheet'!E82,"AAAAAD/l/4g=")</f>
        <v>0</v>
      </c>
      <c r="EH121" t="b">
        <f>AND('Black &amp; White load sheet'!F82,"AAAAAD/l/4k=")</f>
        <v>1</v>
      </c>
      <c r="EI121" t="b">
        <f>AND('Black &amp; White load sheet'!G82,"AAAAAD/l/4o=")</f>
        <v>0</v>
      </c>
      <c r="EJ121" t="b">
        <f>AND('Black &amp; White load sheet'!H82,"AAAAAD/l/4s=")</f>
        <v>1</v>
      </c>
      <c r="EK121" t="b">
        <f>AND('Black &amp; White load sheet'!I82,"AAAAAD/l/4w=")</f>
        <v>0</v>
      </c>
      <c r="EL121" t="b">
        <f>AND('Black &amp; White load sheet'!J82,"AAAAAD/l/40=")</f>
        <v>1</v>
      </c>
      <c r="EM121" t="b">
        <f>AND('Black &amp; White load sheet'!K82,"AAAAAD/l/44=")</f>
        <v>0</v>
      </c>
      <c r="EN121" t="b">
        <f>AND('Black &amp; White load sheet'!L82,"AAAAAD/l/48=")</f>
        <v>0</v>
      </c>
      <c r="EO121" t="b">
        <f>AND('Black &amp; White load sheet'!M82,"AAAAAD/l/5A=")</f>
        <v>1</v>
      </c>
      <c r="EP121" t="b">
        <f>AND('Black &amp; White load sheet'!N82,"AAAAAD/l/5E=")</f>
        <v>1</v>
      </c>
      <c r="EQ121" t="b">
        <f>AND('Black &amp; White load sheet'!O82,"AAAAAD/l/5I=")</f>
        <v>1</v>
      </c>
      <c r="ER121">
        <f>IF('Black &amp; White load sheet'!83:83,"AAAAAD/l/5M=",0)</f>
        <v>0</v>
      </c>
      <c r="ES121" t="b">
        <f>AND('Black &amp; White load sheet'!A83,"AAAAAD/l/5Q=")</f>
        <v>1</v>
      </c>
      <c r="ET121" t="b">
        <f>AND('Black &amp; White load sheet'!B83,"AAAAAD/l/5U=")</f>
        <v>0</v>
      </c>
      <c r="EU121" t="b">
        <f>AND('Black &amp; White load sheet'!C83,"AAAAAD/l/5Y=")</f>
        <v>1</v>
      </c>
      <c r="EV121" t="b">
        <f>AND('Black &amp; White load sheet'!D83,"AAAAAD/l/5c=")</f>
        <v>0</v>
      </c>
      <c r="EW121" t="b">
        <f>AND('Black &amp; White load sheet'!E83,"AAAAAD/l/5g=")</f>
        <v>0</v>
      </c>
      <c r="EX121" t="b">
        <f>AND('Black &amp; White load sheet'!F83,"AAAAAD/l/5k=")</f>
        <v>1</v>
      </c>
      <c r="EY121" t="b">
        <f>AND('Black &amp; White load sheet'!G83,"AAAAAD/l/5o=")</f>
        <v>0</v>
      </c>
      <c r="EZ121" t="b">
        <f>AND('Black &amp; White load sheet'!H83,"AAAAAD/l/5s=")</f>
        <v>1</v>
      </c>
      <c r="FA121" t="b">
        <f>AND('Black &amp; White load sheet'!I83,"AAAAAD/l/5w=")</f>
        <v>1</v>
      </c>
      <c r="FB121" t="b">
        <f>AND('Black &amp; White load sheet'!J83,"AAAAAD/l/50=")</f>
        <v>0</v>
      </c>
      <c r="FC121" t="b">
        <f>AND('Black &amp; White load sheet'!K83,"AAAAAD/l/54=")</f>
        <v>0</v>
      </c>
      <c r="FD121" t="b">
        <f>AND('Black &amp; White load sheet'!L83,"AAAAAD/l/58=")</f>
        <v>0</v>
      </c>
      <c r="FE121" t="b">
        <f>AND('Black &amp; White load sheet'!M83,"AAAAAD/l/6A=")</f>
        <v>1</v>
      </c>
      <c r="FF121" t="b">
        <f>AND('Black &amp; White load sheet'!N83,"AAAAAD/l/6E=")</f>
        <v>1</v>
      </c>
      <c r="FG121" t="b">
        <f>AND('Black &amp; White load sheet'!O83,"AAAAAD/l/6I=")</f>
        <v>1</v>
      </c>
      <c r="FH121">
        <f>IF('Black &amp; White load sheet'!84:84,"AAAAAD/l/6M=",0)</f>
        <v>0</v>
      </c>
      <c r="FI121" t="b">
        <f>AND('Black &amp; White load sheet'!A84,"AAAAAD/l/6Q=")</f>
        <v>1</v>
      </c>
      <c r="FJ121" t="b">
        <f>AND('Black &amp; White load sheet'!B84,"AAAAAD/l/6U=")</f>
        <v>0</v>
      </c>
      <c r="FK121" t="b">
        <f>AND('Black &amp; White load sheet'!C84,"AAAAAD/l/6Y=")</f>
        <v>1</v>
      </c>
      <c r="FL121" t="b">
        <f>AND('Black &amp; White load sheet'!D84,"AAAAAD/l/6c=")</f>
        <v>0</v>
      </c>
      <c r="FM121" t="b">
        <f>AND('Black &amp; White load sheet'!E84,"AAAAAD/l/6g=")</f>
        <v>1</v>
      </c>
      <c r="FN121" t="b">
        <f>AND('Black &amp; White load sheet'!F84,"AAAAAD/l/6k=")</f>
        <v>0</v>
      </c>
      <c r="FO121" t="b">
        <f>AND('Black &amp; White load sheet'!G84,"AAAAAD/l/6o=")</f>
        <v>0</v>
      </c>
      <c r="FP121" t="b">
        <f>AND('Black &amp; White load sheet'!H84,"AAAAAD/l/6s=")</f>
        <v>0</v>
      </c>
      <c r="FQ121" t="b">
        <f>AND('Black &amp; White load sheet'!I84,"AAAAAD/l/6w=")</f>
        <v>0</v>
      </c>
      <c r="FR121" t="b">
        <f>AND('Black &amp; White load sheet'!J84,"AAAAAD/l/60=")</f>
        <v>0</v>
      </c>
      <c r="FS121" t="b">
        <f>AND('Black &amp; White load sheet'!K84,"AAAAAD/l/64=")</f>
        <v>0</v>
      </c>
      <c r="FT121" t="b">
        <f>AND('Black &amp; White load sheet'!L84,"AAAAAD/l/68=")</f>
        <v>0</v>
      </c>
      <c r="FU121" t="b">
        <f>AND('Black &amp; White load sheet'!M84,"AAAAAD/l/7A=")</f>
        <v>1</v>
      </c>
      <c r="FV121" t="b">
        <f>AND('Black &amp; White load sheet'!N84,"AAAAAD/l/7E=")</f>
        <v>1</v>
      </c>
      <c r="FW121" t="b">
        <f>AND('Black &amp; White load sheet'!O84,"AAAAAD/l/7I=")</f>
        <v>1</v>
      </c>
      <c r="FX121">
        <f>IF('Black &amp; White load sheet'!85:85,"AAAAAD/l/7M=",0)</f>
        <v>0</v>
      </c>
      <c r="FY121" t="b">
        <f>AND('Black &amp; White load sheet'!A85,"AAAAAD/l/7Q=")</f>
        <v>1</v>
      </c>
      <c r="FZ121" t="b">
        <f>AND('Black &amp; White load sheet'!B85,"AAAAAD/l/7U=")</f>
        <v>0</v>
      </c>
      <c r="GA121" t="b">
        <f>AND('Black &amp; White load sheet'!C85,"AAAAAD/l/7Y=")</f>
        <v>1</v>
      </c>
      <c r="GB121" t="b">
        <f>AND('Black &amp; White load sheet'!D85,"AAAAAD/l/7c=")</f>
        <v>0</v>
      </c>
      <c r="GC121" t="b">
        <f>AND('Black &amp; White load sheet'!E85,"AAAAAD/l/7g=")</f>
        <v>1</v>
      </c>
      <c r="GD121" t="b">
        <f>AND('Black &amp; White load sheet'!F85,"AAAAAD/l/7k=")</f>
        <v>0</v>
      </c>
      <c r="GE121" t="b">
        <f>AND('Black &amp; White load sheet'!G85,"AAAAAD/l/7o=")</f>
        <v>0</v>
      </c>
      <c r="GF121" t="b">
        <f>AND('Black &amp; White load sheet'!H85,"AAAAAD/l/7s=")</f>
        <v>0</v>
      </c>
      <c r="GG121" t="b">
        <f>AND('Black &amp; White load sheet'!I85,"AAAAAD/l/7w=")</f>
        <v>0</v>
      </c>
      <c r="GH121" t="b">
        <f>AND('Black &amp; White load sheet'!J85,"AAAAAD/l/70=")</f>
        <v>0</v>
      </c>
      <c r="GI121" t="b">
        <f>AND('Black &amp; White load sheet'!K85,"AAAAAD/l/74=")</f>
        <v>0</v>
      </c>
      <c r="GJ121" t="b">
        <f>AND('Black &amp; White load sheet'!L85,"AAAAAD/l/78=")</f>
        <v>1</v>
      </c>
      <c r="GK121" t="b">
        <f>AND('Black &amp; White load sheet'!M85,"AAAAAD/l/8A=")</f>
        <v>1</v>
      </c>
      <c r="GL121" t="b">
        <f>AND('Black &amp; White load sheet'!N85,"AAAAAD/l/8E=")</f>
        <v>1</v>
      </c>
      <c r="GM121" t="b">
        <f>AND('Black &amp; White load sheet'!O85,"AAAAAD/l/8I=")</f>
        <v>1</v>
      </c>
      <c r="GN121">
        <f>IF('Black &amp; White load sheet'!86:86,"AAAAAD/l/8M=",0)</f>
        <v>0</v>
      </c>
      <c r="GO121" t="b">
        <f>AND('Black &amp; White load sheet'!A86,"AAAAAD/l/8Q=")</f>
        <v>1</v>
      </c>
      <c r="GP121" t="b">
        <f>AND('Black &amp; White load sheet'!B86,"AAAAAD/l/8U=")</f>
        <v>0</v>
      </c>
      <c r="GQ121" t="b">
        <f>AND('Black &amp; White load sheet'!C86,"AAAAAD/l/8Y=")</f>
        <v>1</v>
      </c>
      <c r="GR121" t="b">
        <f>AND('Black &amp; White load sheet'!D86,"AAAAAD/l/8c=")</f>
        <v>0</v>
      </c>
      <c r="GS121" t="b">
        <f>AND('Black &amp; White load sheet'!E86,"AAAAAD/l/8g=")</f>
        <v>1</v>
      </c>
      <c r="GT121" t="b">
        <f>AND('Black &amp; White load sheet'!F86,"AAAAAD/l/8k=")</f>
        <v>0</v>
      </c>
      <c r="GU121" t="b">
        <f>AND('Black &amp; White load sheet'!G86,"AAAAAD/l/8o=")</f>
        <v>0</v>
      </c>
      <c r="GV121" t="b">
        <f>AND('Black &amp; White load sheet'!H86,"AAAAAD/l/8s=")</f>
        <v>0</v>
      </c>
      <c r="GW121" t="b">
        <f>AND('Black &amp; White load sheet'!I86,"AAAAAD/l/8w=")</f>
        <v>0</v>
      </c>
      <c r="GX121" t="b">
        <f>AND('Black &amp; White load sheet'!J86,"AAAAAD/l/80=")</f>
        <v>0</v>
      </c>
      <c r="GY121" t="b">
        <f>AND('Black &amp; White load sheet'!K86,"AAAAAD/l/84=")</f>
        <v>1</v>
      </c>
      <c r="GZ121" t="b">
        <f>AND('Black &amp; White load sheet'!L86,"AAAAAD/l/88=")</f>
        <v>0</v>
      </c>
      <c r="HA121" t="b">
        <f>AND('Black &amp; White load sheet'!M86,"AAAAAD/l/9A=")</f>
        <v>1</v>
      </c>
      <c r="HB121" t="b">
        <f>AND('Black &amp; White load sheet'!N86,"AAAAAD/l/9E=")</f>
        <v>1</v>
      </c>
      <c r="HC121" t="b">
        <f>AND('Black &amp; White load sheet'!O86,"AAAAAD/l/9I=")</f>
        <v>1</v>
      </c>
      <c r="HD121">
        <f>IF('Black &amp; White load sheet'!87:87,"AAAAAD/l/9M=",0)</f>
        <v>0</v>
      </c>
      <c r="HE121" t="b">
        <f>AND('Black &amp; White load sheet'!A87,"AAAAAD/l/9Q=")</f>
        <v>1</v>
      </c>
      <c r="HF121" t="b">
        <f>AND('Black &amp; White load sheet'!B87,"AAAAAD/l/9U=")</f>
        <v>0</v>
      </c>
      <c r="HG121" t="b">
        <f>AND('Black &amp; White load sheet'!C87,"AAAAAD/l/9Y=")</f>
        <v>1</v>
      </c>
      <c r="HH121" t="b">
        <f>AND('Black &amp; White load sheet'!D87,"AAAAAD/l/9c=")</f>
        <v>0</v>
      </c>
      <c r="HI121" t="b">
        <f>AND('Black &amp; White load sheet'!E87,"AAAAAD/l/9g=")</f>
        <v>1</v>
      </c>
      <c r="HJ121" t="b">
        <f>AND('Black &amp; White load sheet'!F87,"AAAAAD/l/9k=")</f>
        <v>0</v>
      </c>
      <c r="HK121" t="b">
        <f>AND('Black &amp; White load sheet'!G87,"AAAAAD/l/9o=")</f>
        <v>0</v>
      </c>
      <c r="HL121" t="b">
        <f>AND('Black &amp; White load sheet'!H87,"AAAAAD/l/9s=")</f>
        <v>0</v>
      </c>
      <c r="HM121" t="b">
        <f>AND('Black &amp; White load sheet'!I87,"AAAAAD/l/9w=")</f>
        <v>0</v>
      </c>
      <c r="HN121" t="b">
        <f>AND('Black &amp; White load sheet'!J87,"AAAAAD/l/90=")</f>
        <v>1</v>
      </c>
      <c r="HO121" t="b">
        <f>AND('Black &amp; White load sheet'!K87,"AAAAAD/l/94=")</f>
        <v>0</v>
      </c>
      <c r="HP121" t="b">
        <f>AND('Black &amp; White load sheet'!L87,"AAAAAD/l/98=")</f>
        <v>0</v>
      </c>
      <c r="HQ121" t="b">
        <f>AND('Black &amp; White load sheet'!M87,"AAAAAD/l/+A=")</f>
        <v>1</v>
      </c>
      <c r="HR121" t="b">
        <f>AND('Black &amp; White load sheet'!N87,"AAAAAD/l/+E=")</f>
        <v>1</v>
      </c>
      <c r="HS121" t="b">
        <f>AND('Black &amp; White load sheet'!O87,"AAAAAD/l/+I=")</f>
        <v>1</v>
      </c>
      <c r="HT121">
        <f>IF('Black &amp; White load sheet'!88:88,"AAAAAD/l/+M=",0)</f>
        <v>0</v>
      </c>
      <c r="HU121" t="b">
        <f>AND('Black &amp; White load sheet'!A88,"AAAAAD/l/+Q=")</f>
        <v>1</v>
      </c>
      <c r="HV121" t="b">
        <f>AND('Black &amp; White load sheet'!B88,"AAAAAD/l/+U=")</f>
        <v>0</v>
      </c>
      <c r="HW121" t="b">
        <f>AND('Black &amp; White load sheet'!C88,"AAAAAD/l/+Y=")</f>
        <v>1</v>
      </c>
      <c r="HX121" t="b">
        <f>AND('Black &amp; White load sheet'!D88,"AAAAAD/l/+c=")</f>
        <v>0</v>
      </c>
      <c r="HY121" t="b">
        <f>AND('Black &amp; White load sheet'!E88,"AAAAAD/l/+g=")</f>
        <v>1</v>
      </c>
      <c r="HZ121" t="b">
        <f>AND('Black &amp; White load sheet'!F88,"AAAAAD/l/+k=")</f>
        <v>0</v>
      </c>
      <c r="IA121" t="b">
        <f>AND('Black &amp; White load sheet'!G88,"AAAAAD/l/+o=")</f>
        <v>0</v>
      </c>
      <c r="IB121" t="b">
        <f>AND('Black &amp; White load sheet'!H88,"AAAAAD/l/+s=")</f>
        <v>0</v>
      </c>
      <c r="IC121" t="b">
        <f>AND('Black &amp; White load sheet'!I88,"AAAAAD/l/+w=")</f>
        <v>1</v>
      </c>
      <c r="ID121" t="b">
        <f>AND('Black &amp; White load sheet'!J88,"AAAAAD/l/+0=")</f>
        <v>0</v>
      </c>
      <c r="IE121" t="b">
        <f>AND('Black &amp; White load sheet'!K88,"AAAAAD/l/+4=")</f>
        <v>0</v>
      </c>
      <c r="IF121" t="b">
        <f>AND('Black &amp; White load sheet'!L88,"AAAAAD/l/+8=")</f>
        <v>0</v>
      </c>
      <c r="IG121" t="b">
        <f>AND('Black &amp; White load sheet'!M88,"AAAAAD/l//A=")</f>
        <v>1</v>
      </c>
      <c r="IH121" t="b">
        <f>AND('Black &amp; White load sheet'!N88,"AAAAAD/l//E=")</f>
        <v>1</v>
      </c>
      <c r="II121" t="b">
        <f>AND('Black &amp; White load sheet'!O88,"AAAAAD/l//I=")</f>
        <v>1</v>
      </c>
      <c r="IJ121">
        <f>IF('Black &amp; White load sheet'!89:89,"AAAAAD/l//M=",0)</f>
        <v>0</v>
      </c>
      <c r="IK121" t="b">
        <f>AND('Black &amp; White load sheet'!A89,"AAAAAD/l//Q=")</f>
        <v>1</v>
      </c>
      <c r="IL121" t="b">
        <f>AND('Black &amp; White load sheet'!B89,"AAAAAD/l//U=")</f>
        <v>0</v>
      </c>
      <c r="IM121" t="b">
        <f>AND('Black &amp; White load sheet'!C89,"AAAAAD/l//Y=")</f>
        <v>1</v>
      </c>
      <c r="IN121" t="b">
        <f>AND('Black &amp; White load sheet'!D89,"AAAAAD/l//c=")</f>
        <v>0</v>
      </c>
      <c r="IO121" t="b">
        <f>AND('Black &amp; White load sheet'!E89,"AAAAAD/l//g=")</f>
        <v>1</v>
      </c>
      <c r="IP121" t="b">
        <f>AND('Black &amp; White load sheet'!F89,"AAAAAD/l//k=")</f>
        <v>0</v>
      </c>
      <c r="IQ121" t="b">
        <f>AND('Black &amp; White load sheet'!G89,"AAAAAD/l//o=")</f>
        <v>0</v>
      </c>
      <c r="IR121" t="b">
        <f>AND('Black &amp; White load sheet'!H89,"AAAAAD/l//s=")</f>
        <v>1</v>
      </c>
      <c r="IS121" t="b">
        <f>AND('Black &amp; White load sheet'!I89,"AAAAAD/l//w=")</f>
        <v>0</v>
      </c>
      <c r="IT121" t="b">
        <f>AND('Black &amp; White load sheet'!J89,"AAAAAD/l//0=")</f>
        <v>0</v>
      </c>
      <c r="IU121" t="b">
        <f>AND('Black &amp; White load sheet'!K89,"AAAAAD/l//4=")</f>
        <v>0</v>
      </c>
      <c r="IV121" t="b">
        <f>AND('Black &amp; White load sheet'!L89,"AAAAAD/l//8=")</f>
        <v>0</v>
      </c>
    </row>
    <row r="122" spans="1:256">
      <c r="A122" t="b">
        <f>AND('Black &amp; White load sheet'!M89,"AAAAAH7/3wA=")</f>
        <v>1</v>
      </c>
      <c r="B122" t="b">
        <f>AND('Black &amp; White load sheet'!N89,"AAAAAH7/3wE=")</f>
        <v>1</v>
      </c>
      <c r="C122" t="b">
        <f>AND('Black &amp; White load sheet'!O89,"AAAAAH7/3wI=")</f>
        <v>1</v>
      </c>
      <c r="D122">
        <f>IF('Black &amp; White load sheet'!90:90,"AAAAAH7/3wM=",0)</f>
        <v>0</v>
      </c>
      <c r="E122" t="b">
        <f>AND('Black &amp; White load sheet'!A90,"AAAAAH7/3wQ=")</f>
        <v>1</v>
      </c>
      <c r="F122" t="b">
        <f>AND('Black &amp; White load sheet'!B90,"AAAAAH7/3wU=")</f>
        <v>0</v>
      </c>
      <c r="G122" t="b">
        <f>AND('Black &amp; White load sheet'!C90,"AAAAAH7/3wY=")</f>
        <v>1</v>
      </c>
      <c r="H122" t="b">
        <f>AND('Black &amp; White load sheet'!D90,"AAAAAH7/3wc=")</f>
        <v>0</v>
      </c>
      <c r="I122" t="b">
        <f>AND('Black &amp; White load sheet'!E90,"AAAAAH7/3wg=")</f>
        <v>1</v>
      </c>
      <c r="J122" t="b">
        <f>AND('Black &amp; White load sheet'!F90,"AAAAAH7/3wk=")</f>
        <v>0</v>
      </c>
      <c r="K122" t="b">
        <f>AND('Black &amp; White load sheet'!G90,"AAAAAH7/3wo=")</f>
        <v>0</v>
      </c>
      <c r="L122" t="b">
        <f>AND('Black &amp; White load sheet'!H90,"AAAAAH7/3ws=")</f>
        <v>1</v>
      </c>
      <c r="M122" t="b">
        <f>AND('Black &amp; White load sheet'!I90,"AAAAAH7/3ww=")</f>
        <v>0</v>
      </c>
      <c r="N122" t="b">
        <f>AND('Black &amp; White load sheet'!J90,"AAAAAH7/3w0=")</f>
        <v>0</v>
      </c>
      <c r="O122" t="b">
        <f>AND('Black &amp; White load sheet'!K90,"AAAAAH7/3w4=")</f>
        <v>0</v>
      </c>
      <c r="P122" t="b">
        <f>AND('Black &amp; White load sheet'!L90,"AAAAAH7/3w8=")</f>
        <v>1</v>
      </c>
      <c r="Q122" t="b">
        <f>AND('Black &amp; White load sheet'!M90,"AAAAAH7/3xA=")</f>
        <v>1</v>
      </c>
      <c r="R122" t="b">
        <f>AND('Black &amp; White load sheet'!N90,"AAAAAH7/3xE=")</f>
        <v>1</v>
      </c>
      <c r="S122" t="b">
        <f>AND('Black &amp; White load sheet'!O90,"AAAAAH7/3xI=")</f>
        <v>1</v>
      </c>
      <c r="T122">
        <f>IF('Black &amp; White load sheet'!91:91,"AAAAAH7/3xM=",0)</f>
        <v>0</v>
      </c>
      <c r="U122" t="b">
        <f>AND('Black &amp; White load sheet'!A91,"AAAAAH7/3xQ=")</f>
        <v>1</v>
      </c>
      <c r="V122" t="b">
        <f>AND('Black &amp; White load sheet'!B91,"AAAAAH7/3xU=")</f>
        <v>0</v>
      </c>
      <c r="W122" t="b">
        <f>AND('Black &amp; White load sheet'!C91,"AAAAAH7/3xY=")</f>
        <v>1</v>
      </c>
      <c r="X122" t="b">
        <f>AND('Black &amp; White load sheet'!D91,"AAAAAH7/3xc=")</f>
        <v>0</v>
      </c>
      <c r="Y122" t="b">
        <f>AND('Black &amp; White load sheet'!E91,"AAAAAH7/3xg=")</f>
        <v>1</v>
      </c>
      <c r="Z122" t="b">
        <f>AND('Black &amp; White load sheet'!F91,"AAAAAH7/3xk=")</f>
        <v>0</v>
      </c>
      <c r="AA122" t="b">
        <f>AND('Black &amp; White load sheet'!G91,"AAAAAH7/3xo=")</f>
        <v>0</v>
      </c>
      <c r="AB122" t="b">
        <f>AND('Black &amp; White load sheet'!H91,"AAAAAH7/3xs=")</f>
        <v>1</v>
      </c>
      <c r="AC122" t="b">
        <f>AND('Black &amp; White load sheet'!I91,"AAAAAH7/3xw=")</f>
        <v>0</v>
      </c>
      <c r="AD122" t="b">
        <f>AND('Black &amp; White load sheet'!J91,"AAAAAH7/3x0=")</f>
        <v>0</v>
      </c>
      <c r="AE122" t="b">
        <f>AND('Black &amp; White load sheet'!K91,"AAAAAH7/3x4=")</f>
        <v>1</v>
      </c>
      <c r="AF122" t="b">
        <f>AND('Black &amp; White load sheet'!L91,"AAAAAH7/3x8=")</f>
        <v>0</v>
      </c>
      <c r="AG122" t="b">
        <f>AND('Black &amp; White load sheet'!M91,"AAAAAH7/3yA=")</f>
        <v>1</v>
      </c>
      <c r="AH122" t="b">
        <f>AND('Black &amp; White load sheet'!N91,"AAAAAH7/3yE=")</f>
        <v>1</v>
      </c>
      <c r="AI122" t="b">
        <f>AND('Black &amp; White load sheet'!O91,"AAAAAH7/3yI=")</f>
        <v>1</v>
      </c>
      <c r="AJ122">
        <f>IF('Black &amp; White load sheet'!92:92,"AAAAAH7/3yM=",0)</f>
        <v>0</v>
      </c>
      <c r="AK122" t="b">
        <f>AND('Black &amp; White load sheet'!A92,"AAAAAH7/3yQ=")</f>
        <v>1</v>
      </c>
      <c r="AL122" t="b">
        <f>AND('Black &amp; White load sheet'!B92,"AAAAAH7/3yU=")</f>
        <v>0</v>
      </c>
      <c r="AM122" t="b">
        <f>AND('Black &amp; White load sheet'!C92,"AAAAAH7/3yY=")</f>
        <v>1</v>
      </c>
      <c r="AN122" t="b">
        <f>AND('Black &amp; White load sheet'!D92,"AAAAAH7/3yc=")</f>
        <v>0</v>
      </c>
      <c r="AO122" t="b">
        <f>AND('Black &amp; White load sheet'!E92,"AAAAAH7/3yg=")</f>
        <v>1</v>
      </c>
      <c r="AP122" t="b">
        <f>AND('Black &amp; White load sheet'!F92,"AAAAAH7/3yk=")</f>
        <v>0</v>
      </c>
      <c r="AQ122" t="b">
        <f>AND('Black &amp; White load sheet'!G92,"AAAAAH7/3yo=")</f>
        <v>0</v>
      </c>
      <c r="AR122" t="b">
        <f>AND('Black &amp; White load sheet'!H92,"AAAAAH7/3ys=")</f>
        <v>1</v>
      </c>
      <c r="AS122" t="b">
        <f>AND('Black &amp; White load sheet'!I92,"AAAAAH7/3yw=")</f>
        <v>0</v>
      </c>
      <c r="AT122" t="b">
        <f>AND('Black &amp; White load sheet'!J92,"AAAAAH7/3y0=")</f>
        <v>1</v>
      </c>
      <c r="AU122" t="b">
        <f>AND('Black &amp; White load sheet'!K92,"AAAAAH7/3y4=")</f>
        <v>0</v>
      </c>
      <c r="AV122" t="b">
        <f>AND('Black &amp; White load sheet'!L92,"AAAAAH7/3y8=")</f>
        <v>0</v>
      </c>
      <c r="AW122" t="b">
        <f>AND('Black &amp; White load sheet'!M92,"AAAAAH7/3zA=")</f>
        <v>1</v>
      </c>
      <c r="AX122" t="b">
        <f>AND('Black &amp; White load sheet'!N92,"AAAAAH7/3zE=")</f>
        <v>1</v>
      </c>
      <c r="AY122" t="b">
        <f>AND('Black &amp; White load sheet'!O92,"AAAAAH7/3zI=")</f>
        <v>1</v>
      </c>
      <c r="AZ122">
        <f>IF('Black &amp; White load sheet'!93:93,"AAAAAH7/3zM=",0)</f>
        <v>0</v>
      </c>
      <c r="BA122" t="b">
        <f>AND('Black &amp; White load sheet'!A93,"AAAAAH7/3zQ=")</f>
        <v>1</v>
      </c>
      <c r="BB122" t="b">
        <f>AND('Black &amp; White load sheet'!B93,"AAAAAH7/3zU=")</f>
        <v>0</v>
      </c>
      <c r="BC122" t="b">
        <f>AND('Black &amp; White load sheet'!C93,"AAAAAH7/3zY=")</f>
        <v>1</v>
      </c>
      <c r="BD122" t="b">
        <f>AND('Black &amp; White load sheet'!D93,"AAAAAH7/3zc=")</f>
        <v>0</v>
      </c>
      <c r="BE122" t="b">
        <f>AND('Black &amp; White load sheet'!E93,"AAAAAH7/3zg=")</f>
        <v>1</v>
      </c>
      <c r="BF122" t="b">
        <f>AND('Black &amp; White load sheet'!F93,"AAAAAH7/3zk=")</f>
        <v>0</v>
      </c>
      <c r="BG122" t="b">
        <f>AND('Black &amp; White load sheet'!G93,"AAAAAH7/3zo=")</f>
        <v>0</v>
      </c>
      <c r="BH122" t="b">
        <f>AND('Black &amp; White load sheet'!H93,"AAAAAH7/3zs=")</f>
        <v>1</v>
      </c>
      <c r="BI122" t="b">
        <f>AND('Black &amp; White load sheet'!I93,"AAAAAH7/3zw=")</f>
        <v>1</v>
      </c>
      <c r="BJ122" t="b">
        <f>AND('Black &amp; White load sheet'!J93,"AAAAAH7/3z0=")</f>
        <v>0</v>
      </c>
      <c r="BK122" t="b">
        <f>AND('Black &amp; White load sheet'!K93,"AAAAAH7/3z4=")</f>
        <v>0</v>
      </c>
      <c r="BL122" t="b">
        <f>AND('Black &amp; White load sheet'!L93,"AAAAAH7/3z8=")</f>
        <v>0</v>
      </c>
      <c r="BM122" t="b">
        <f>AND('Black &amp; White load sheet'!M93,"AAAAAH7/30A=")</f>
        <v>1</v>
      </c>
      <c r="BN122" t="b">
        <f>AND('Black &amp; White load sheet'!N93,"AAAAAH7/30E=")</f>
        <v>1</v>
      </c>
      <c r="BO122" t="b">
        <f>AND('Black &amp; White load sheet'!O93,"AAAAAH7/30I=")</f>
        <v>1</v>
      </c>
      <c r="BP122">
        <f>IF('Black &amp; White load sheet'!94:94,"AAAAAH7/30M=",0)</f>
        <v>0</v>
      </c>
      <c r="BQ122" t="b">
        <f>AND('Black &amp; White load sheet'!A94,"AAAAAH7/30Q=")</f>
        <v>1</v>
      </c>
      <c r="BR122" t="b">
        <f>AND('Black &amp; White load sheet'!B94,"AAAAAH7/30U=")</f>
        <v>0</v>
      </c>
      <c r="BS122" t="b">
        <f>AND('Black &amp; White load sheet'!C94,"AAAAAH7/30Y=")</f>
        <v>1</v>
      </c>
      <c r="BT122" t="b">
        <f>AND('Black &amp; White load sheet'!D94,"AAAAAH7/30c=")</f>
        <v>0</v>
      </c>
      <c r="BU122" t="b">
        <f>AND('Black &amp; White load sheet'!E94,"AAAAAH7/30g=")</f>
        <v>1</v>
      </c>
      <c r="BV122" t="b">
        <f>AND('Black &amp; White load sheet'!F94,"AAAAAH7/30k=")</f>
        <v>0</v>
      </c>
      <c r="BW122" t="b">
        <f>AND('Black &amp; White load sheet'!G94,"AAAAAH7/30o=")</f>
        <v>1</v>
      </c>
      <c r="BX122" t="b">
        <f>AND('Black &amp; White load sheet'!H94,"AAAAAH7/30s=")</f>
        <v>0</v>
      </c>
      <c r="BY122" t="b">
        <f>AND('Black &amp; White load sheet'!I94,"AAAAAH7/30w=")</f>
        <v>0</v>
      </c>
      <c r="BZ122" t="b">
        <f>AND('Black &amp; White load sheet'!J94,"AAAAAH7/300=")</f>
        <v>0</v>
      </c>
      <c r="CA122" t="b">
        <f>AND('Black &amp; White load sheet'!K94,"AAAAAH7/304=")</f>
        <v>0</v>
      </c>
      <c r="CB122" t="b">
        <f>AND('Black &amp; White load sheet'!L94,"AAAAAH7/308=")</f>
        <v>0</v>
      </c>
      <c r="CC122" t="b">
        <f>AND('Black &amp; White load sheet'!M94,"AAAAAH7/31A=")</f>
        <v>1</v>
      </c>
      <c r="CD122" t="b">
        <f>AND('Black &amp; White load sheet'!N94,"AAAAAH7/31E=")</f>
        <v>1</v>
      </c>
      <c r="CE122" t="b">
        <f>AND('Black &amp; White load sheet'!O94,"AAAAAH7/31I=")</f>
        <v>1</v>
      </c>
      <c r="CF122">
        <f>IF('Black &amp; White load sheet'!95:95,"AAAAAH7/31M=",0)</f>
        <v>0</v>
      </c>
      <c r="CG122" t="b">
        <f>AND('Black &amp; White load sheet'!A95,"AAAAAH7/31Q=")</f>
        <v>1</v>
      </c>
      <c r="CH122" t="b">
        <f>AND('Black &amp; White load sheet'!B95,"AAAAAH7/31U=")</f>
        <v>0</v>
      </c>
      <c r="CI122" t="b">
        <f>AND('Black &amp; White load sheet'!C95,"AAAAAH7/31Y=")</f>
        <v>1</v>
      </c>
      <c r="CJ122" t="b">
        <f>AND('Black &amp; White load sheet'!D95,"AAAAAH7/31c=")</f>
        <v>0</v>
      </c>
      <c r="CK122" t="b">
        <f>AND('Black &amp; White load sheet'!E95,"AAAAAH7/31g=")</f>
        <v>1</v>
      </c>
      <c r="CL122" t="b">
        <f>AND('Black &amp; White load sheet'!F95,"AAAAAH7/31k=")</f>
        <v>0</v>
      </c>
      <c r="CM122" t="b">
        <f>AND('Black &amp; White load sheet'!G95,"AAAAAH7/31o=")</f>
        <v>1</v>
      </c>
      <c r="CN122" t="b">
        <f>AND('Black &amp; White load sheet'!H95,"AAAAAH7/31s=")</f>
        <v>0</v>
      </c>
      <c r="CO122" t="b">
        <f>AND('Black &amp; White load sheet'!I95,"AAAAAH7/31w=")</f>
        <v>0</v>
      </c>
      <c r="CP122" t="b">
        <f>AND('Black &amp; White load sheet'!J95,"AAAAAH7/310=")</f>
        <v>0</v>
      </c>
      <c r="CQ122" t="b">
        <f>AND('Black &amp; White load sheet'!K95,"AAAAAH7/314=")</f>
        <v>0</v>
      </c>
      <c r="CR122" t="b">
        <f>AND('Black &amp; White load sheet'!L95,"AAAAAH7/318=")</f>
        <v>1</v>
      </c>
      <c r="CS122" t="b">
        <f>AND('Black &amp; White load sheet'!M95,"AAAAAH7/32A=")</f>
        <v>1</v>
      </c>
      <c r="CT122" t="b">
        <f>AND('Black &amp; White load sheet'!N95,"AAAAAH7/32E=")</f>
        <v>1</v>
      </c>
      <c r="CU122" t="b">
        <f>AND('Black &amp; White load sheet'!O95,"AAAAAH7/32I=")</f>
        <v>1</v>
      </c>
      <c r="CV122">
        <f>IF('Black &amp; White load sheet'!96:96,"AAAAAH7/32M=",0)</f>
        <v>0</v>
      </c>
      <c r="CW122" t="b">
        <f>AND('Black &amp; White load sheet'!A96,"AAAAAH7/32Q=")</f>
        <v>1</v>
      </c>
      <c r="CX122" t="b">
        <f>AND('Black &amp; White load sheet'!B96,"AAAAAH7/32U=")</f>
        <v>0</v>
      </c>
      <c r="CY122" t="b">
        <f>AND('Black &amp; White load sheet'!C96,"AAAAAH7/32Y=")</f>
        <v>1</v>
      </c>
      <c r="CZ122" t="b">
        <f>AND('Black &amp; White load sheet'!D96,"AAAAAH7/32c=")</f>
        <v>0</v>
      </c>
      <c r="DA122" t="b">
        <f>AND('Black &amp; White load sheet'!E96,"AAAAAH7/32g=")</f>
        <v>1</v>
      </c>
      <c r="DB122" t="b">
        <f>AND('Black &amp; White load sheet'!F96,"AAAAAH7/32k=")</f>
        <v>0</v>
      </c>
      <c r="DC122" t="b">
        <f>AND('Black &amp; White load sheet'!G96,"AAAAAH7/32o=")</f>
        <v>1</v>
      </c>
      <c r="DD122" t="b">
        <f>AND('Black &amp; White load sheet'!H96,"AAAAAH7/32s=")</f>
        <v>0</v>
      </c>
      <c r="DE122" t="b">
        <f>AND('Black &amp; White load sheet'!I96,"AAAAAH7/32w=")</f>
        <v>0</v>
      </c>
      <c r="DF122" t="b">
        <f>AND('Black &amp; White load sheet'!J96,"AAAAAH7/320=")</f>
        <v>0</v>
      </c>
      <c r="DG122" t="b">
        <f>AND('Black &amp; White load sheet'!K96,"AAAAAH7/324=")</f>
        <v>1</v>
      </c>
      <c r="DH122" t="b">
        <f>AND('Black &amp; White load sheet'!L96,"AAAAAH7/328=")</f>
        <v>0</v>
      </c>
      <c r="DI122" t="b">
        <f>AND('Black &amp; White load sheet'!M96,"AAAAAH7/33A=")</f>
        <v>1</v>
      </c>
      <c r="DJ122" t="b">
        <f>AND('Black &amp; White load sheet'!N96,"AAAAAH7/33E=")</f>
        <v>1</v>
      </c>
      <c r="DK122" t="b">
        <f>AND('Black &amp; White load sheet'!O96,"AAAAAH7/33I=")</f>
        <v>1</v>
      </c>
      <c r="DL122">
        <f>IF('Black &amp; White load sheet'!97:97,"AAAAAH7/33M=",0)</f>
        <v>0</v>
      </c>
      <c r="DM122" t="b">
        <f>AND('Black &amp; White load sheet'!A97,"AAAAAH7/33Q=")</f>
        <v>1</v>
      </c>
      <c r="DN122" t="b">
        <f>AND('Black &amp; White load sheet'!B97,"AAAAAH7/33U=")</f>
        <v>0</v>
      </c>
      <c r="DO122" t="b">
        <f>AND('Black &amp; White load sheet'!C97,"AAAAAH7/33Y=")</f>
        <v>1</v>
      </c>
      <c r="DP122" t="b">
        <f>AND('Black &amp; White load sheet'!D97,"AAAAAH7/33c=")</f>
        <v>0</v>
      </c>
      <c r="DQ122" t="b">
        <f>AND('Black &amp; White load sheet'!E97,"AAAAAH7/33g=")</f>
        <v>1</v>
      </c>
      <c r="DR122" t="b">
        <f>AND('Black &amp; White load sheet'!F97,"AAAAAH7/33k=")</f>
        <v>0</v>
      </c>
      <c r="DS122" t="b">
        <f>AND('Black &amp; White load sheet'!G97,"AAAAAH7/33o=")</f>
        <v>1</v>
      </c>
      <c r="DT122" t="b">
        <f>AND('Black &amp; White load sheet'!H97,"AAAAAH7/33s=")</f>
        <v>0</v>
      </c>
      <c r="DU122" t="b">
        <f>AND('Black &amp; White load sheet'!I97,"AAAAAH7/33w=")</f>
        <v>0</v>
      </c>
      <c r="DV122" t="b">
        <f>AND('Black &amp; White load sheet'!J97,"AAAAAH7/330=")</f>
        <v>1</v>
      </c>
      <c r="DW122" t="b">
        <f>AND('Black &amp; White load sheet'!K97,"AAAAAH7/334=")</f>
        <v>0</v>
      </c>
      <c r="DX122" t="b">
        <f>AND('Black &amp; White load sheet'!L97,"AAAAAH7/338=")</f>
        <v>0</v>
      </c>
      <c r="DY122" t="b">
        <f>AND('Black &amp; White load sheet'!M97,"AAAAAH7/34A=")</f>
        <v>1</v>
      </c>
      <c r="DZ122" t="b">
        <f>AND('Black &amp; White load sheet'!N97,"AAAAAH7/34E=")</f>
        <v>1</v>
      </c>
      <c r="EA122" t="b">
        <f>AND('Black &amp; White load sheet'!O97,"AAAAAH7/34I=")</f>
        <v>1</v>
      </c>
      <c r="EB122">
        <f>IF('Black &amp; White load sheet'!98:98,"AAAAAH7/34M=",0)</f>
        <v>0</v>
      </c>
      <c r="EC122" t="b">
        <f>AND('Black &amp; White load sheet'!A98,"AAAAAH7/34Q=")</f>
        <v>1</v>
      </c>
      <c r="ED122" t="b">
        <f>AND('Black &amp; White load sheet'!B98,"AAAAAH7/34U=")</f>
        <v>0</v>
      </c>
      <c r="EE122" t="b">
        <f>AND('Black &amp; White load sheet'!C98,"AAAAAH7/34Y=")</f>
        <v>1</v>
      </c>
      <c r="EF122" t="b">
        <f>AND('Black &amp; White load sheet'!D98,"AAAAAH7/34c=")</f>
        <v>0</v>
      </c>
      <c r="EG122" t="b">
        <f>AND('Black &amp; White load sheet'!E98,"AAAAAH7/34g=")</f>
        <v>1</v>
      </c>
      <c r="EH122" t="b">
        <f>AND('Black &amp; White load sheet'!F98,"AAAAAH7/34k=")</f>
        <v>0</v>
      </c>
      <c r="EI122" t="b">
        <f>AND('Black &amp; White load sheet'!G98,"AAAAAH7/34o=")</f>
        <v>1</v>
      </c>
      <c r="EJ122" t="b">
        <f>AND('Black &amp; White load sheet'!H98,"AAAAAH7/34s=")</f>
        <v>0</v>
      </c>
      <c r="EK122" t="b">
        <f>AND('Black &amp; White load sheet'!I98,"AAAAAH7/34w=")</f>
        <v>1</v>
      </c>
      <c r="EL122" t="b">
        <f>AND('Black &amp; White load sheet'!J98,"AAAAAH7/340=")</f>
        <v>0</v>
      </c>
      <c r="EM122" t="b">
        <f>AND('Black &amp; White load sheet'!K98,"AAAAAH7/344=")</f>
        <v>0</v>
      </c>
      <c r="EN122" t="b">
        <f>AND('Black &amp; White load sheet'!L98,"AAAAAH7/348=")</f>
        <v>0</v>
      </c>
      <c r="EO122" t="b">
        <f>AND('Black &amp; White load sheet'!M98,"AAAAAH7/35A=")</f>
        <v>1</v>
      </c>
      <c r="EP122" t="b">
        <f>AND('Black &amp; White load sheet'!N98,"AAAAAH7/35E=")</f>
        <v>1</v>
      </c>
      <c r="EQ122" t="b">
        <f>AND('Black &amp; White load sheet'!O98,"AAAAAH7/35I=")</f>
        <v>1</v>
      </c>
      <c r="ER122">
        <f>IF('Black &amp; White load sheet'!99:99,"AAAAAH7/35M=",0)</f>
        <v>0</v>
      </c>
      <c r="ES122" t="b">
        <f>AND('Black &amp; White load sheet'!A99,"AAAAAH7/35Q=")</f>
        <v>1</v>
      </c>
      <c r="ET122" t="b">
        <f>AND('Black &amp; White load sheet'!B99,"AAAAAH7/35U=")</f>
        <v>0</v>
      </c>
      <c r="EU122" t="b">
        <f>AND('Black &amp; White load sheet'!C99,"AAAAAH7/35Y=")</f>
        <v>1</v>
      </c>
      <c r="EV122" t="b">
        <f>AND('Black &amp; White load sheet'!D99,"AAAAAH7/35c=")</f>
        <v>0</v>
      </c>
      <c r="EW122" t="b">
        <f>AND('Black &amp; White load sheet'!E99,"AAAAAH7/35g=")</f>
        <v>1</v>
      </c>
      <c r="EX122" t="b">
        <f>AND('Black &amp; White load sheet'!F99,"AAAAAH7/35k=")</f>
        <v>0</v>
      </c>
      <c r="EY122" t="b">
        <f>AND('Black &amp; White load sheet'!G99,"AAAAAH7/35o=")</f>
        <v>1</v>
      </c>
      <c r="EZ122" t="b">
        <f>AND('Black &amp; White load sheet'!H99,"AAAAAH7/35s=")</f>
        <v>1</v>
      </c>
      <c r="FA122" t="b">
        <f>AND('Black &amp; White load sheet'!I99,"AAAAAH7/35w=")</f>
        <v>0</v>
      </c>
      <c r="FB122" t="b">
        <f>AND('Black &amp; White load sheet'!J99,"AAAAAH7/350=")</f>
        <v>0</v>
      </c>
      <c r="FC122" t="b">
        <f>AND('Black &amp; White load sheet'!K99,"AAAAAH7/354=")</f>
        <v>0</v>
      </c>
      <c r="FD122" t="b">
        <f>AND('Black &amp; White load sheet'!L99,"AAAAAH7/358=")</f>
        <v>0</v>
      </c>
      <c r="FE122" t="b">
        <f>AND('Black &amp; White load sheet'!M99,"AAAAAH7/36A=")</f>
        <v>1</v>
      </c>
      <c r="FF122" t="b">
        <f>AND('Black &amp; White load sheet'!N99,"AAAAAH7/36E=")</f>
        <v>1</v>
      </c>
      <c r="FG122" t="b">
        <f>AND('Black &amp; White load sheet'!O99,"AAAAAH7/36I=")</f>
        <v>1</v>
      </c>
      <c r="FH122">
        <f>IF('Black &amp; White load sheet'!100:100,"AAAAAH7/36M=",0)</f>
        <v>0</v>
      </c>
      <c r="FI122" t="b">
        <f>AND('Black &amp; White load sheet'!A100,"AAAAAH7/36Q=")</f>
        <v>1</v>
      </c>
      <c r="FJ122" t="b">
        <f>AND('Black &amp; White load sheet'!B100,"AAAAAH7/36U=")</f>
        <v>0</v>
      </c>
      <c r="FK122" t="b">
        <f>AND('Black &amp; White load sheet'!C100,"AAAAAH7/36Y=")</f>
        <v>1</v>
      </c>
      <c r="FL122" t="b">
        <f>AND('Black &amp; White load sheet'!D100,"AAAAAH7/36c=")</f>
        <v>0</v>
      </c>
      <c r="FM122" t="b">
        <f>AND('Black &amp; White load sheet'!E100,"AAAAAH7/36g=")</f>
        <v>1</v>
      </c>
      <c r="FN122" t="b">
        <f>AND('Black &amp; White load sheet'!F100,"AAAAAH7/36k=")</f>
        <v>0</v>
      </c>
      <c r="FO122" t="b">
        <f>AND('Black &amp; White load sheet'!G100,"AAAAAH7/36o=")</f>
        <v>1</v>
      </c>
      <c r="FP122" t="b">
        <f>AND('Black &amp; White load sheet'!H100,"AAAAAH7/36s=")</f>
        <v>1</v>
      </c>
      <c r="FQ122" t="b">
        <f>AND('Black &amp; White load sheet'!I100,"AAAAAH7/36w=")</f>
        <v>0</v>
      </c>
      <c r="FR122" t="b">
        <f>AND('Black &amp; White load sheet'!J100,"AAAAAH7/360=")</f>
        <v>0</v>
      </c>
      <c r="FS122" t="b">
        <f>AND('Black &amp; White load sheet'!K100,"AAAAAH7/364=")</f>
        <v>0</v>
      </c>
      <c r="FT122" t="b">
        <f>AND('Black &amp; White load sheet'!L100,"AAAAAH7/368=")</f>
        <v>1</v>
      </c>
      <c r="FU122" t="b">
        <f>AND('Black &amp; White load sheet'!M100,"AAAAAH7/37A=")</f>
        <v>1</v>
      </c>
      <c r="FV122" t="b">
        <f>AND('Black &amp; White load sheet'!N100,"AAAAAH7/37E=")</f>
        <v>1</v>
      </c>
      <c r="FW122" t="b">
        <f>AND('Black &amp; White load sheet'!O100,"AAAAAH7/37I=")</f>
        <v>1</v>
      </c>
      <c r="FX122">
        <f>IF('Black &amp; White load sheet'!101:101,"AAAAAH7/37M=",0)</f>
        <v>0</v>
      </c>
      <c r="FY122" t="b">
        <f>AND('Black &amp; White load sheet'!A101,"AAAAAH7/37Q=")</f>
        <v>1</v>
      </c>
      <c r="FZ122" t="b">
        <f>AND('Black &amp; White load sheet'!B101,"AAAAAH7/37U=")</f>
        <v>0</v>
      </c>
      <c r="GA122" t="b">
        <f>AND('Black &amp; White load sheet'!C101,"AAAAAH7/37Y=")</f>
        <v>1</v>
      </c>
      <c r="GB122" t="b">
        <f>AND('Black &amp; White load sheet'!D101,"AAAAAH7/37c=")</f>
        <v>0</v>
      </c>
      <c r="GC122" t="b">
        <f>AND('Black &amp; White load sheet'!E101,"AAAAAH7/37g=")</f>
        <v>1</v>
      </c>
      <c r="GD122" t="b">
        <f>AND('Black &amp; White load sheet'!F101,"AAAAAH7/37k=")</f>
        <v>0</v>
      </c>
      <c r="GE122" t="b">
        <f>AND('Black &amp; White load sheet'!G101,"AAAAAH7/37o=")</f>
        <v>1</v>
      </c>
      <c r="GF122" t="b">
        <f>AND('Black &amp; White load sheet'!H101,"AAAAAH7/37s=")</f>
        <v>1</v>
      </c>
      <c r="GG122" t="b">
        <f>AND('Black &amp; White load sheet'!I101,"AAAAAH7/37w=")</f>
        <v>0</v>
      </c>
      <c r="GH122" t="b">
        <f>AND('Black &amp; White load sheet'!J101,"AAAAAH7/370=")</f>
        <v>0</v>
      </c>
      <c r="GI122" t="b">
        <f>AND('Black &amp; White load sheet'!K101,"AAAAAH7/374=")</f>
        <v>1</v>
      </c>
      <c r="GJ122" t="b">
        <f>AND('Black &amp; White load sheet'!L101,"AAAAAH7/378=")</f>
        <v>0</v>
      </c>
      <c r="GK122" t="b">
        <f>AND('Black &amp; White load sheet'!M101,"AAAAAH7/38A=")</f>
        <v>1</v>
      </c>
      <c r="GL122" t="b">
        <f>AND('Black &amp; White load sheet'!N101,"AAAAAH7/38E=")</f>
        <v>1</v>
      </c>
      <c r="GM122" t="b">
        <f>AND('Black &amp; White load sheet'!O101,"AAAAAH7/38I=")</f>
        <v>1</v>
      </c>
      <c r="GN122">
        <f>IF('Black &amp; White load sheet'!102:102,"AAAAAH7/38M=",0)</f>
        <v>0</v>
      </c>
      <c r="GO122" t="b">
        <f>AND('Black &amp; White load sheet'!A102,"AAAAAH7/38Q=")</f>
        <v>1</v>
      </c>
      <c r="GP122" t="b">
        <f>AND('Black &amp; White load sheet'!B102,"AAAAAH7/38U=")</f>
        <v>0</v>
      </c>
      <c r="GQ122" t="b">
        <f>AND('Black &amp; White load sheet'!C102,"AAAAAH7/38Y=")</f>
        <v>1</v>
      </c>
      <c r="GR122" t="b">
        <f>AND('Black &amp; White load sheet'!D102,"AAAAAH7/38c=")</f>
        <v>0</v>
      </c>
      <c r="GS122" t="b">
        <f>AND('Black &amp; White load sheet'!E102,"AAAAAH7/38g=")</f>
        <v>1</v>
      </c>
      <c r="GT122" t="b">
        <f>AND('Black &amp; White load sheet'!F102,"AAAAAH7/38k=")</f>
        <v>0</v>
      </c>
      <c r="GU122" t="b">
        <f>AND('Black &amp; White load sheet'!G102,"AAAAAH7/38o=")</f>
        <v>1</v>
      </c>
      <c r="GV122" t="b">
        <f>AND('Black &amp; White load sheet'!H102,"AAAAAH7/38s=")</f>
        <v>1</v>
      </c>
      <c r="GW122" t="b">
        <f>AND('Black &amp; White load sheet'!I102,"AAAAAH7/38w=")</f>
        <v>0</v>
      </c>
      <c r="GX122" t="b">
        <f>AND('Black &amp; White load sheet'!J102,"AAAAAH7/380=")</f>
        <v>1</v>
      </c>
      <c r="GY122" t="b">
        <f>AND('Black &amp; White load sheet'!K102,"AAAAAH7/384=")</f>
        <v>0</v>
      </c>
      <c r="GZ122" t="b">
        <f>AND('Black &amp; White load sheet'!L102,"AAAAAH7/388=")</f>
        <v>0</v>
      </c>
      <c r="HA122" t="b">
        <f>AND('Black &amp; White load sheet'!M102,"AAAAAH7/39A=")</f>
        <v>1</v>
      </c>
      <c r="HB122" t="b">
        <f>AND('Black &amp; White load sheet'!N102,"AAAAAH7/39E=")</f>
        <v>1</v>
      </c>
      <c r="HC122" t="b">
        <f>AND('Black &amp; White load sheet'!O102,"AAAAAH7/39I=")</f>
        <v>1</v>
      </c>
      <c r="HD122">
        <f>IF('Black &amp; White load sheet'!103:103,"AAAAAH7/39M=",0)</f>
        <v>0</v>
      </c>
      <c r="HE122" t="b">
        <f>AND('Black &amp; White load sheet'!A103,"AAAAAH7/39Q=")</f>
        <v>1</v>
      </c>
      <c r="HF122" t="b">
        <f>AND('Black &amp; White load sheet'!B103,"AAAAAH7/39U=")</f>
        <v>0</v>
      </c>
      <c r="HG122" t="b">
        <f>AND('Black &amp; White load sheet'!C103,"AAAAAH7/39Y=")</f>
        <v>1</v>
      </c>
      <c r="HH122" t="b">
        <f>AND('Black &amp; White load sheet'!D103,"AAAAAH7/39c=")</f>
        <v>0</v>
      </c>
      <c r="HI122" t="b">
        <f>AND('Black &amp; White load sheet'!E103,"AAAAAH7/39g=")</f>
        <v>1</v>
      </c>
      <c r="HJ122" t="b">
        <f>AND('Black &amp; White load sheet'!F103,"AAAAAH7/39k=")</f>
        <v>0</v>
      </c>
      <c r="HK122" t="b">
        <f>AND('Black &amp; White load sheet'!G103,"AAAAAH7/39o=")</f>
        <v>1</v>
      </c>
      <c r="HL122" t="b">
        <f>AND('Black &amp; White load sheet'!H103,"AAAAAH7/39s=")</f>
        <v>1</v>
      </c>
      <c r="HM122" t="b">
        <f>AND('Black &amp; White load sheet'!I103,"AAAAAH7/39w=")</f>
        <v>1</v>
      </c>
      <c r="HN122" t="b">
        <f>AND('Black &amp; White load sheet'!J103,"AAAAAH7/390=")</f>
        <v>0</v>
      </c>
      <c r="HO122" t="b">
        <f>AND('Black &amp; White load sheet'!K103,"AAAAAH7/394=")</f>
        <v>0</v>
      </c>
      <c r="HP122" t="b">
        <f>AND('Black &amp; White load sheet'!L103,"AAAAAH7/398=")</f>
        <v>0</v>
      </c>
      <c r="HQ122" t="b">
        <f>AND('Black &amp; White load sheet'!M103,"AAAAAH7/3+A=")</f>
        <v>1</v>
      </c>
      <c r="HR122" t="b">
        <f>AND('Black &amp; White load sheet'!N103,"AAAAAH7/3+E=")</f>
        <v>1</v>
      </c>
      <c r="HS122" t="b">
        <f>AND('Black &amp; White load sheet'!O103,"AAAAAH7/3+I=")</f>
        <v>1</v>
      </c>
      <c r="HT122">
        <f>IF('Black &amp; White load sheet'!104:104,"AAAAAH7/3+M=",0)</f>
        <v>0</v>
      </c>
      <c r="HU122" t="b">
        <f>AND('Black &amp; White load sheet'!A104,"AAAAAH7/3+Q=")</f>
        <v>1</v>
      </c>
      <c r="HV122" t="b">
        <f>AND('Black &amp; White load sheet'!B104,"AAAAAH7/3+U=")</f>
        <v>1</v>
      </c>
      <c r="HW122" t="b">
        <f>AND('Black &amp; White load sheet'!C104,"AAAAAH7/3+Y=")</f>
        <v>0</v>
      </c>
      <c r="HX122" t="b">
        <f>AND('Black &amp; White load sheet'!D104,"AAAAAH7/3+c=")</f>
        <v>0</v>
      </c>
      <c r="HY122" t="b">
        <f>AND('Black &amp; White load sheet'!E104,"AAAAAH7/3+g=")</f>
        <v>0</v>
      </c>
      <c r="HZ122" t="b">
        <f>AND('Black &amp; White load sheet'!F104,"AAAAAH7/3+k=")</f>
        <v>0</v>
      </c>
      <c r="IA122" t="b">
        <f>AND('Black &amp; White load sheet'!G104,"AAAAAH7/3+o=")</f>
        <v>0</v>
      </c>
      <c r="IB122" t="b">
        <f>AND('Black &amp; White load sheet'!H104,"AAAAAH7/3+s=")</f>
        <v>0</v>
      </c>
      <c r="IC122" t="b">
        <f>AND('Black &amp; White load sheet'!I104,"AAAAAH7/3+w=")</f>
        <v>0</v>
      </c>
      <c r="ID122" t="b">
        <f>AND('Black &amp; White load sheet'!J104,"AAAAAH7/3+0=")</f>
        <v>0</v>
      </c>
      <c r="IE122" t="b">
        <f>AND('Black &amp; White load sheet'!K104,"AAAAAH7/3+4=")</f>
        <v>0</v>
      </c>
      <c r="IF122" t="b">
        <f>AND('Black &amp; White load sheet'!L104,"AAAAAH7/3+8=")</f>
        <v>0</v>
      </c>
      <c r="IG122" t="b">
        <f>AND('Black &amp; White load sheet'!M104,"AAAAAH7/3/A=")</f>
        <v>1</v>
      </c>
      <c r="IH122" t="b">
        <f>AND('Black &amp; White load sheet'!N104,"AAAAAH7/3/E=")</f>
        <v>1</v>
      </c>
      <c r="II122" t="b">
        <f>AND('Black &amp; White load sheet'!O104,"AAAAAH7/3/I=")</f>
        <v>1</v>
      </c>
      <c r="IJ122">
        <f>IF('Black &amp; White load sheet'!105:105,"AAAAAH7/3/M=",0)</f>
        <v>0</v>
      </c>
      <c r="IK122" t="b">
        <f>AND('Black &amp; White load sheet'!A105,"AAAAAH7/3/Q=")</f>
        <v>1</v>
      </c>
      <c r="IL122" t="b">
        <f>AND('Black &amp; White load sheet'!B105,"AAAAAH7/3/U=")</f>
        <v>1</v>
      </c>
      <c r="IM122" t="b">
        <f>AND('Black &amp; White load sheet'!C105,"AAAAAH7/3/Y=")</f>
        <v>0</v>
      </c>
      <c r="IN122" t="b">
        <f>AND('Black &amp; White load sheet'!D105,"AAAAAH7/3/c=")</f>
        <v>0</v>
      </c>
      <c r="IO122" t="b">
        <f>AND('Black &amp; White load sheet'!E105,"AAAAAH7/3/g=")</f>
        <v>0</v>
      </c>
      <c r="IP122" t="b">
        <f>AND('Black &amp; White load sheet'!F105,"AAAAAH7/3/k=")</f>
        <v>0</v>
      </c>
      <c r="IQ122" t="b">
        <f>AND('Black &amp; White load sheet'!G105,"AAAAAH7/3/o=")</f>
        <v>0</v>
      </c>
      <c r="IR122" t="b">
        <f>AND('Black &amp; White load sheet'!H105,"AAAAAH7/3/s=")</f>
        <v>0</v>
      </c>
      <c r="IS122" t="b">
        <f>AND('Black &amp; White load sheet'!I105,"AAAAAH7/3/w=")</f>
        <v>0</v>
      </c>
      <c r="IT122" t="b">
        <f>AND('Black &amp; White load sheet'!J105,"AAAAAH7/3/0=")</f>
        <v>0</v>
      </c>
      <c r="IU122" t="b">
        <f>AND('Black &amp; White load sheet'!K105,"AAAAAH7/3/4=")</f>
        <v>0</v>
      </c>
      <c r="IV122" t="b">
        <f>AND('Black &amp; White load sheet'!L105,"AAAAAH7/3/8=")</f>
        <v>1</v>
      </c>
    </row>
    <row r="123" spans="1:256">
      <c r="A123" t="b">
        <f>AND('Black &amp; White load sheet'!M105,"AAAAAC/7vwA=")</f>
        <v>1</v>
      </c>
      <c r="B123" t="b">
        <f>AND('Black &amp; White load sheet'!N105,"AAAAAC/7vwE=")</f>
        <v>1</v>
      </c>
      <c r="C123" t="b">
        <f>AND('Black &amp; White load sheet'!O105,"AAAAAC/7vwI=")</f>
        <v>1</v>
      </c>
      <c r="D123">
        <f>IF('Black &amp; White load sheet'!106:106,"AAAAAC/7vwM=",0)</f>
        <v>0</v>
      </c>
      <c r="E123" t="b">
        <f>AND('Black &amp; White load sheet'!A106,"AAAAAC/7vwQ=")</f>
        <v>1</v>
      </c>
      <c r="F123" t="b">
        <f>AND('Black &amp; White load sheet'!B106,"AAAAAC/7vwU=")</f>
        <v>1</v>
      </c>
      <c r="G123" t="b">
        <f>AND('Black &amp; White load sheet'!C106,"AAAAAC/7vwY=")</f>
        <v>0</v>
      </c>
      <c r="H123" t="b">
        <f>AND('Black &amp; White load sheet'!D106,"AAAAAC/7vwc=")</f>
        <v>0</v>
      </c>
      <c r="I123" t="b">
        <f>AND('Black &amp; White load sheet'!E106,"AAAAAC/7vwg=")</f>
        <v>0</v>
      </c>
      <c r="J123" t="b">
        <f>AND('Black &amp; White load sheet'!F106,"AAAAAC/7vwk=")</f>
        <v>0</v>
      </c>
      <c r="K123" t="b">
        <f>AND('Black &amp; White load sheet'!G106,"AAAAAC/7vwo=")</f>
        <v>0</v>
      </c>
      <c r="L123" t="b">
        <f>AND('Black &amp; White load sheet'!H106,"AAAAAC/7vws=")</f>
        <v>0</v>
      </c>
      <c r="M123" t="b">
        <f>AND('Black &amp; White load sheet'!I106,"AAAAAC/7vww=")</f>
        <v>0</v>
      </c>
      <c r="N123" t="b">
        <f>AND('Black &amp; White load sheet'!J106,"AAAAAC/7vw0=")</f>
        <v>0</v>
      </c>
      <c r="O123" t="b">
        <f>AND('Black &amp; White load sheet'!K106,"AAAAAC/7vw4=")</f>
        <v>1</v>
      </c>
      <c r="P123" t="b">
        <f>AND('Black &amp; White load sheet'!L106,"AAAAAC/7vw8=")</f>
        <v>0</v>
      </c>
      <c r="Q123" t="b">
        <f>AND('Black &amp; White load sheet'!M106,"AAAAAC/7vxA=")</f>
        <v>1</v>
      </c>
      <c r="R123" t="b">
        <f>AND('Black &amp; White load sheet'!N106,"AAAAAC/7vxE=")</f>
        <v>1</v>
      </c>
      <c r="S123" t="b">
        <f>AND('Black &amp; White load sheet'!O106,"AAAAAC/7vxI=")</f>
        <v>1</v>
      </c>
      <c r="T123">
        <f>IF('Black &amp; White load sheet'!107:107,"AAAAAC/7vxM=",0)</f>
        <v>0</v>
      </c>
      <c r="U123" t="b">
        <f>AND('Black &amp; White load sheet'!A107,"AAAAAC/7vxQ=")</f>
        <v>1</v>
      </c>
      <c r="V123" t="b">
        <f>AND('Black &amp; White load sheet'!B107,"AAAAAC/7vxU=")</f>
        <v>1</v>
      </c>
      <c r="W123" t="b">
        <f>AND('Black &amp; White load sheet'!C107,"AAAAAC/7vxY=")</f>
        <v>0</v>
      </c>
      <c r="X123" t="b">
        <f>AND('Black &amp; White load sheet'!D107,"AAAAAC/7vxc=")</f>
        <v>0</v>
      </c>
      <c r="Y123" t="b">
        <f>AND('Black &amp; White load sheet'!E107,"AAAAAC/7vxg=")</f>
        <v>0</v>
      </c>
      <c r="Z123" t="b">
        <f>AND('Black &amp; White load sheet'!F107,"AAAAAC/7vxk=")</f>
        <v>0</v>
      </c>
      <c r="AA123" t="b">
        <f>AND('Black &amp; White load sheet'!G107,"AAAAAC/7vxo=")</f>
        <v>0</v>
      </c>
      <c r="AB123" t="b">
        <f>AND('Black &amp; White load sheet'!H107,"AAAAAC/7vxs=")</f>
        <v>0</v>
      </c>
      <c r="AC123" t="b">
        <f>AND('Black &amp; White load sheet'!I107,"AAAAAC/7vxw=")</f>
        <v>0</v>
      </c>
      <c r="AD123" t="b">
        <f>AND('Black &amp; White load sheet'!J107,"AAAAAC/7vx0=")</f>
        <v>1</v>
      </c>
      <c r="AE123" t="b">
        <f>AND('Black &amp; White load sheet'!K107,"AAAAAC/7vx4=")</f>
        <v>0</v>
      </c>
      <c r="AF123" t="b">
        <f>AND('Black &amp; White load sheet'!L107,"AAAAAC/7vx8=")</f>
        <v>0</v>
      </c>
      <c r="AG123" t="b">
        <f>AND('Black &amp; White load sheet'!M107,"AAAAAC/7vyA=")</f>
        <v>1</v>
      </c>
      <c r="AH123" t="b">
        <f>AND('Black &amp; White load sheet'!N107,"AAAAAC/7vyE=")</f>
        <v>1</v>
      </c>
      <c r="AI123" t="b">
        <f>AND('Black &amp; White load sheet'!O107,"AAAAAC/7vyI=")</f>
        <v>1</v>
      </c>
      <c r="AJ123">
        <f>IF('Black &amp; White load sheet'!108:108,"AAAAAC/7vyM=",0)</f>
        <v>0</v>
      </c>
      <c r="AK123" t="b">
        <f>AND('Black &amp; White load sheet'!A108,"AAAAAC/7vyQ=")</f>
        <v>1</v>
      </c>
      <c r="AL123" t="b">
        <f>AND('Black &amp; White load sheet'!B108,"AAAAAC/7vyU=")</f>
        <v>1</v>
      </c>
      <c r="AM123" t="b">
        <f>AND('Black &amp; White load sheet'!C108,"AAAAAC/7vyY=")</f>
        <v>0</v>
      </c>
      <c r="AN123" t="b">
        <f>AND('Black &amp; White load sheet'!D108,"AAAAAC/7vyc=")</f>
        <v>0</v>
      </c>
      <c r="AO123" t="b">
        <f>AND('Black &amp; White load sheet'!E108,"AAAAAC/7vyg=")</f>
        <v>0</v>
      </c>
      <c r="AP123" t="b">
        <f>AND('Black &amp; White load sheet'!F108,"AAAAAC/7vyk=")</f>
        <v>0</v>
      </c>
      <c r="AQ123" t="b">
        <f>AND('Black &amp; White load sheet'!G108,"AAAAAC/7vyo=")</f>
        <v>0</v>
      </c>
      <c r="AR123" t="b">
        <f>AND('Black &amp; White load sheet'!H108,"AAAAAC/7vys=")</f>
        <v>0</v>
      </c>
      <c r="AS123" t="b">
        <f>AND('Black &amp; White load sheet'!I108,"AAAAAC/7vyw=")</f>
        <v>1</v>
      </c>
      <c r="AT123" t="b">
        <f>AND('Black &amp; White load sheet'!J108,"AAAAAC/7vy0=")</f>
        <v>0</v>
      </c>
      <c r="AU123" t="b">
        <f>AND('Black &amp; White load sheet'!K108,"AAAAAC/7vy4=")</f>
        <v>0</v>
      </c>
      <c r="AV123" t="b">
        <f>AND('Black &amp; White load sheet'!L108,"AAAAAC/7vy8=")</f>
        <v>0</v>
      </c>
      <c r="AW123" t="b">
        <f>AND('Black &amp; White load sheet'!M108,"AAAAAC/7vzA=")</f>
        <v>1</v>
      </c>
      <c r="AX123" t="b">
        <f>AND('Black &amp; White load sheet'!N108,"AAAAAC/7vzE=")</f>
        <v>1</v>
      </c>
      <c r="AY123" t="b">
        <f>AND('Black &amp; White load sheet'!O108,"AAAAAC/7vzI=")</f>
        <v>1</v>
      </c>
      <c r="AZ123">
        <f>IF('Black &amp; White load sheet'!109:109,"AAAAAC/7vzM=",0)</f>
        <v>0</v>
      </c>
      <c r="BA123" t="b">
        <f>AND('Black &amp; White load sheet'!A109,"AAAAAC/7vzQ=")</f>
        <v>1</v>
      </c>
      <c r="BB123" t="b">
        <f>AND('Black &amp; White load sheet'!B109,"AAAAAC/7vzU=")</f>
        <v>1</v>
      </c>
      <c r="BC123" t="b">
        <f>AND('Black &amp; White load sheet'!C109,"AAAAAC/7vzY=")</f>
        <v>0</v>
      </c>
      <c r="BD123" t="b">
        <f>AND('Black &amp; White load sheet'!D109,"AAAAAC/7vzc=")</f>
        <v>0</v>
      </c>
      <c r="BE123" t="b">
        <f>AND('Black &amp; White load sheet'!E109,"AAAAAC/7vzg=")</f>
        <v>0</v>
      </c>
      <c r="BF123" t="b">
        <f>AND('Black &amp; White load sheet'!F109,"AAAAAC/7vzk=")</f>
        <v>0</v>
      </c>
      <c r="BG123" t="b">
        <f>AND('Black &amp; White load sheet'!G109,"AAAAAC/7vzo=")</f>
        <v>0</v>
      </c>
      <c r="BH123" t="b">
        <f>AND('Black &amp; White load sheet'!H109,"AAAAAC/7vzs=")</f>
        <v>1</v>
      </c>
      <c r="BI123" t="b">
        <f>AND('Black &amp; White load sheet'!I109,"AAAAAC/7vzw=")</f>
        <v>0</v>
      </c>
      <c r="BJ123" t="b">
        <f>AND('Black &amp; White load sheet'!J109,"AAAAAC/7vz0=")</f>
        <v>0</v>
      </c>
      <c r="BK123" t="b">
        <f>AND('Black &amp; White load sheet'!K109,"AAAAAC/7vz4=")</f>
        <v>0</v>
      </c>
      <c r="BL123" t="b">
        <f>AND('Black &amp; White load sheet'!L109,"AAAAAC/7vz8=")</f>
        <v>0</v>
      </c>
      <c r="BM123" t="b">
        <f>AND('Black &amp; White load sheet'!M109,"AAAAAC/7v0A=")</f>
        <v>1</v>
      </c>
      <c r="BN123" t="b">
        <f>AND('Black &amp; White load sheet'!N109,"AAAAAC/7v0E=")</f>
        <v>1</v>
      </c>
      <c r="BO123" t="b">
        <f>AND('Black &amp; White load sheet'!O109,"AAAAAC/7v0I=")</f>
        <v>1</v>
      </c>
      <c r="BP123">
        <f>IF('Black &amp; White load sheet'!110:110,"AAAAAC/7v0M=",0)</f>
        <v>0</v>
      </c>
      <c r="BQ123" t="b">
        <f>AND('Black &amp; White load sheet'!A110,"AAAAAC/7v0Q=")</f>
        <v>1</v>
      </c>
      <c r="BR123" t="b">
        <f>AND('Black &amp; White load sheet'!B110,"AAAAAC/7v0U=")</f>
        <v>1</v>
      </c>
      <c r="BS123" t="b">
        <f>AND('Black &amp; White load sheet'!C110,"AAAAAC/7v0Y=")</f>
        <v>0</v>
      </c>
      <c r="BT123" t="b">
        <f>AND('Black &amp; White load sheet'!D110,"AAAAAC/7v0c=")</f>
        <v>0</v>
      </c>
      <c r="BU123" t="b">
        <f>AND('Black &amp; White load sheet'!E110,"AAAAAC/7v0g=")</f>
        <v>0</v>
      </c>
      <c r="BV123" t="b">
        <f>AND('Black &amp; White load sheet'!F110,"AAAAAC/7v0k=")</f>
        <v>0</v>
      </c>
      <c r="BW123" t="b">
        <f>AND('Black &amp; White load sheet'!G110,"AAAAAC/7v0o=")</f>
        <v>0</v>
      </c>
      <c r="BX123" t="b">
        <f>AND('Black &amp; White load sheet'!H110,"AAAAAC/7v0s=")</f>
        <v>1</v>
      </c>
      <c r="BY123" t="b">
        <f>AND('Black &amp; White load sheet'!I110,"AAAAAC/7v0w=")</f>
        <v>0</v>
      </c>
      <c r="BZ123" t="b">
        <f>AND('Black &amp; White load sheet'!J110,"AAAAAC/7v00=")</f>
        <v>0</v>
      </c>
      <c r="CA123" t="b">
        <f>AND('Black &amp; White load sheet'!K110,"AAAAAC/7v04=")</f>
        <v>0</v>
      </c>
      <c r="CB123" t="b">
        <f>AND('Black &amp; White load sheet'!L110,"AAAAAC/7v08=")</f>
        <v>1</v>
      </c>
      <c r="CC123" t="b">
        <f>AND('Black &amp; White load sheet'!M110,"AAAAAC/7v1A=")</f>
        <v>1</v>
      </c>
      <c r="CD123" t="b">
        <f>AND('Black &amp; White load sheet'!N110,"AAAAAC/7v1E=")</f>
        <v>1</v>
      </c>
      <c r="CE123" t="b">
        <f>AND('Black &amp; White load sheet'!O110,"AAAAAC/7v1I=")</f>
        <v>1</v>
      </c>
      <c r="CF123">
        <f>IF('Black &amp; White load sheet'!111:111,"AAAAAC/7v1M=",0)</f>
        <v>0</v>
      </c>
      <c r="CG123" t="b">
        <f>AND('Black &amp; White load sheet'!A111,"AAAAAC/7v1Q=")</f>
        <v>1</v>
      </c>
      <c r="CH123" t="b">
        <f>AND('Black &amp; White load sheet'!B111,"AAAAAC/7v1U=")</f>
        <v>1</v>
      </c>
      <c r="CI123" t="b">
        <f>AND('Black &amp; White load sheet'!C111,"AAAAAC/7v1Y=")</f>
        <v>0</v>
      </c>
      <c r="CJ123" t="b">
        <f>AND('Black &amp; White load sheet'!D111,"AAAAAC/7v1c=")</f>
        <v>0</v>
      </c>
      <c r="CK123" t="b">
        <f>AND('Black &amp; White load sheet'!E111,"AAAAAC/7v1g=")</f>
        <v>0</v>
      </c>
      <c r="CL123" t="b">
        <f>AND('Black &amp; White load sheet'!F111,"AAAAAC/7v1k=")</f>
        <v>0</v>
      </c>
      <c r="CM123" t="b">
        <f>AND('Black &amp; White load sheet'!G111,"AAAAAC/7v1o=")</f>
        <v>0</v>
      </c>
      <c r="CN123" t="b">
        <f>AND('Black &amp; White load sheet'!H111,"AAAAAC/7v1s=")</f>
        <v>1</v>
      </c>
      <c r="CO123" t="b">
        <f>AND('Black &amp; White load sheet'!I111,"AAAAAC/7v1w=")</f>
        <v>0</v>
      </c>
      <c r="CP123" t="b">
        <f>AND('Black &amp; White load sheet'!J111,"AAAAAC/7v10=")</f>
        <v>0</v>
      </c>
      <c r="CQ123" t="b">
        <f>AND('Black &amp; White load sheet'!K111,"AAAAAC/7v14=")</f>
        <v>1</v>
      </c>
      <c r="CR123" t="b">
        <f>AND('Black &amp; White load sheet'!L111,"AAAAAC/7v18=")</f>
        <v>0</v>
      </c>
      <c r="CS123" t="b">
        <f>AND('Black &amp; White load sheet'!M111,"AAAAAC/7v2A=")</f>
        <v>1</v>
      </c>
      <c r="CT123" t="b">
        <f>AND('Black &amp; White load sheet'!N111,"AAAAAC/7v2E=")</f>
        <v>1</v>
      </c>
      <c r="CU123" t="b">
        <f>AND('Black &amp; White load sheet'!O111,"AAAAAC/7v2I=")</f>
        <v>1</v>
      </c>
      <c r="CV123">
        <f>IF('Black &amp; White load sheet'!112:112,"AAAAAC/7v2M=",0)</f>
        <v>0</v>
      </c>
      <c r="CW123" t="b">
        <f>AND('Black &amp; White load sheet'!A112,"AAAAAC/7v2Q=")</f>
        <v>1</v>
      </c>
      <c r="CX123" t="b">
        <f>AND('Black &amp; White load sheet'!B112,"AAAAAC/7v2U=")</f>
        <v>1</v>
      </c>
      <c r="CY123" t="b">
        <f>AND('Black &amp; White load sheet'!C112,"AAAAAC/7v2Y=")</f>
        <v>0</v>
      </c>
      <c r="CZ123" t="b">
        <f>AND('Black &amp; White load sheet'!D112,"AAAAAC/7v2c=")</f>
        <v>0</v>
      </c>
      <c r="DA123" t="b">
        <f>AND('Black &amp; White load sheet'!E112,"AAAAAC/7v2g=")</f>
        <v>0</v>
      </c>
      <c r="DB123" t="b">
        <f>AND('Black &amp; White load sheet'!F112,"AAAAAC/7v2k=")</f>
        <v>0</v>
      </c>
      <c r="DC123" t="b">
        <f>AND('Black &amp; White load sheet'!G112,"AAAAAC/7v2o=")</f>
        <v>0</v>
      </c>
      <c r="DD123" t="b">
        <f>AND('Black &amp; White load sheet'!H112,"AAAAAC/7v2s=")</f>
        <v>1</v>
      </c>
      <c r="DE123" t="b">
        <f>AND('Black &amp; White load sheet'!I112,"AAAAAC/7v2w=")</f>
        <v>0</v>
      </c>
      <c r="DF123" t="b">
        <f>AND('Black &amp; White load sheet'!J112,"AAAAAC/7v20=")</f>
        <v>1</v>
      </c>
      <c r="DG123" t="b">
        <f>AND('Black &amp; White load sheet'!K112,"AAAAAC/7v24=")</f>
        <v>0</v>
      </c>
      <c r="DH123" t="b">
        <f>AND('Black &amp; White load sheet'!L112,"AAAAAC/7v28=")</f>
        <v>0</v>
      </c>
      <c r="DI123" t="b">
        <f>AND('Black &amp; White load sheet'!M112,"AAAAAC/7v3A=")</f>
        <v>1</v>
      </c>
      <c r="DJ123" t="b">
        <f>AND('Black &amp; White load sheet'!N112,"AAAAAC/7v3E=")</f>
        <v>1</v>
      </c>
      <c r="DK123" t="b">
        <f>AND('Black &amp; White load sheet'!O112,"AAAAAC/7v3I=")</f>
        <v>1</v>
      </c>
      <c r="DL123">
        <f>IF('Black &amp; White load sheet'!113:113,"AAAAAC/7v3M=",0)</f>
        <v>0</v>
      </c>
      <c r="DM123" t="b">
        <f>AND('Black &amp; White load sheet'!A113,"AAAAAC/7v3Q=")</f>
        <v>1</v>
      </c>
      <c r="DN123" t="b">
        <f>AND('Black &amp; White load sheet'!B113,"AAAAAC/7v3U=")</f>
        <v>1</v>
      </c>
      <c r="DO123" t="b">
        <f>AND('Black &amp; White load sheet'!C113,"AAAAAC/7v3Y=")</f>
        <v>0</v>
      </c>
      <c r="DP123" t="b">
        <f>AND('Black &amp; White load sheet'!D113,"AAAAAC/7v3c=")</f>
        <v>0</v>
      </c>
      <c r="DQ123" t="b">
        <f>AND('Black &amp; White load sheet'!E113,"AAAAAC/7v3g=")</f>
        <v>0</v>
      </c>
      <c r="DR123" t="b">
        <f>AND('Black &amp; White load sheet'!F113,"AAAAAC/7v3k=")</f>
        <v>0</v>
      </c>
      <c r="DS123" t="b">
        <f>AND('Black &amp; White load sheet'!G113,"AAAAAC/7v3o=")</f>
        <v>0</v>
      </c>
      <c r="DT123" t="b">
        <f>AND('Black &amp; White load sheet'!H113,"AAAAAC/7v3s=")</f>
        <v>1</v>
      </c>
      <c r="DU123" t="b">
        <f>AND('Black &amp; White load sheet'!I113,"AAAAAC/7v3w=")</f>
        <v>1</v>
      </c>
      <c r="DV123" t="b">
        <f>AND('Black &amp; White load sheet'!J113,"AAAAAC/7v30=")</f>
        <v>0</v>
      </c>
      <c r="DW123" t="b">
        <f>AND('Black &amp; White load sheet'!K113,"AAAAAC/7v34=")</f>
        <v>0</v>
      </c>
      <c r="DX123" t="b">
        <f>AND('Black &amp; White load sheet'!L113,"AAAAAC/7v38=")</f>
        <v>0</v>
      </c>
      <c r="DY123" t="b">
        <f>AND('Black &amp; White load sheet'!M113,"AAAAAC/7v4A=")</f>
        <v>1</v>
      </c>
      <c r="DZ123" t="b">
        <f>AND('Black &amp; White load sheet'!N113,"AAAAAC/7v4E=")</f>
        <v>1</v>
      </c>
      <c r="EA123" t="b">
        <f>AND('Black &amp; White load sheet'!O113,"AAAAAC/7v4I=")</f>
        <v>1</v>
      </c>
      <c r="EB123">
        <f>IF('Black &amp; White load sheet'!114:114,"AAAAAC/7v4M=",0)</f>
        <v>0</v>
      </c>
      <c r="EC123" t="b">
        <f>AND('Black &amp; White load sheet'!A114,"AAAAAC/7v4Q=")</f>
        <v>1</v>
      </c>
      <c r="ED123" t="b">
        <f>AND('Black &amp; White load sheet'!B114,"AAAAAC/7v4U=")</f>
        <v>1</v>
      </c>
      <c r="EE123" t="b">
        <f>AND('Black &amp; White load sheet'!C114,"AAAAAC/7v4Y=")</f>
        <v>0</v>
      </c>
      <c r="EF123" t="b">
        <f>AND('Black &amp; White load sheet'!D114,"AAAAAC/7v4c=")</f>
        <v>0</v>
      </c>
      <c r="EG123" t="b">
        <f>AND('Black &amp; White load sheet'!E114,"AAAAAC/7v4g=")</f>
        <v>0</v>
      </c>
      <c r="EH123" t="b">
        <f>AND('Black &amp; White load sheet'!F114,"AAAAAC/7v4k=")</f>
        <v>0</v>
      </c>
      <c r="EI123" t="b">
        <f>AND('Black &amp; White load sheet'!G114,"AAAAAC/7v4o=")</f>
        <v>1</v>
      </c>
      <c r="EJ123" t="b">
        <f>AND('Black &amp; White load sheet'!H114,"AAAAAC/7v4s=")</f>
        <v>0</v>
      </c>
      <c r="EK123" t="b">
        <f>AND('Black &amp; White load sheet'!I114,"AAAAAC/7v4w=")</f>
        <v>0</v>
      </c>
      <c r="EL123" t="b">
        <f>AND('Black &amp; White load sheet'!J114,"AAAAAC/7v40=")</f>
        <v>0</v>
      </c>
      <c r="EM123" t="b">
        <f>AND('Black &amp; White load sheet'!K114,"AAAAAC/7v44=")</f>
        <v>0</v>
      </c>
      <c r="EN123" t="b">
        <f>AND('Black &amp; White load sheet'!L114,"AAAAAC/7v48=")</f>
        <v>0</v>
      </c>
      <c r="EO123" t="b">
        <f>AND('Black &amp; White load sheet'!M114,"AAAAAC/7v5A=")</f>
        <v>1</v>
      </c>
      <c r="EP123" t="b">
        <f>AND('Black &amp; White load sheet'!N114,"AAAAAC/7v5E=")</f>
        <v>1</v>
      </c>
      <c r="EQ123" t="b">
        <f>AND('Black &amp; White load sheet'!O114,"AAAAAC/7v5I=")</f>
        <v>1</v>
      </c>
      <c r="ER123">
        <f>IF('Black &amp; White load sheet'!115:115,"AAAAAC/7v5M=",0)</f>
        <v>0</v>
      </c>
      <c r="ES123" t="b">
        <f>AND('Black &amp; White load sheet'!A115,"AAAAAC/7v5Q=")</f>
        <v>1</v>
      </c>
      <c r="ET123" t="b">
        <f>AND('Black &amp; White load sheet'!B115,"AAAAAC/7v5U=")</f>
        <v>1</v>
      </c>
      <c r="EU123" t="b">
        <f>AND('Black &amp; White load sheet'!C115,"AAAAAC/7v5Y=")</f>
        <v>0</v>
      </c>
      <c r="EV123" t="b">
        <f>AND('Black &amp; White load sheet'!D115,"AAAAAC/7v5c=")</f>
        <v>0</v>
      </c>
      <c r="EW123" t="b">
        <f>AND('Black &amp; White load sheet'!E115,"AAAAAC/7v5g=")</f>
        <v>0</v>
      </c>
      <c r="EX123" t="b">
        <f>AND('Black &amp; White load sheet'!F115,"AAAAAC/7v5k=")</f>
        <v>0</v>
      </c>
      <c r="EY123" t="b">
        <f>AND('Black &amp; White load sheet'!G115,"AAAAAC/7v5o=")</f>
        <v>1</v>
      </c>
      <c r="EZ123" t="b">
        <f>AND('Black &amp; White load sheet'!H115,"AAAAAC/7v5s=")</f>
        <v>0</v>
      </c>
      <c r="FA123" t="b">
        <f>AND('Black &amp; White load sheet'!I115,"AAAAAC/7v5w=")</f>
        <v>0</v>
      </c>
      <c r="FB123" t="b">
        <f>AND('Black &amp; White load sheet'!J115,"AAAAAC/7v50=")</f>
        <v>0</v>
      </c>
      <c r="FC123" t="b">
        <f>AND('Black &amp; White load sheet'!K115,"AAAAAC/7v54=")</f>
        <v>0</v>
      </c>
      <c r="FD123" t="b">
        <f>AND('Black &amp; White load sheet'!L115,"AAAAAC/7v58=")</f>
        <v>1</v>
      </c>
      <c r="FE123" t="b">
        <f>AND('Black &amp; White load sheet'!M115,"AAAAAC/7v6A=")</f>
        <v>1</v>
      </c>
      <c r="FF123" t="b">
        <f>AND('Black &amp; White load sheet'!N115,"AAAAAC/7v6E=")</f>
        <v>1</v>
      </c>
      <c r="FG123" t="b">
        <f>AND('Black &amp; White load sheet'!O115,"AAAAAC/7v6I=")</f>
        <v>1</v>
      </c>
      <c r="FH123">
        <f>IF('Black &amp; White load sheet'!116:116,"AAAAAC/7v6M=",0)</f>
        <v>0</v>
      </c>
      <c r="FI123" t="b">
        <f>AND('Black &amp; White load sheet'!A116,"AAAAAC/7v6Q=")</f>
        <v>1</v>
      </c>
      <c r="FJ123" t="b">
        <f>AND('Black &amp; White load sheet'!B116,"AAAAAC/7v6U=")</f>
        <v>1</v>
      </c>
      <c r="FK123" t="b">
        <f>AND('Black &amp; White load sheet'!C116,"AAAAAC/7v6Y=")</f>
        <v>0</v>
      </c>
      <c r="FL123" t="b">
        <f>AND('Black &amp; White load sheet'!D116,"AAAAAC/7v6c=")</f>
        <v>0</v>
      </c>
      <c r="FM123" t="b">
        <f>AND('Black &amp; White load sheet'!E116,"AAAAAC/7v6g=")</f>
        <v>0</v>
      </c>
      <c r="FN123" t="b">
        <f>AND('Black &amp; White load sheet'!F116,"AAAAAC/7v6k=")</f>
        <v>0</v>
      </c>
      <c r="FO123" t="b">
        <f>AND('Black &amp; White load sheet'!G116,"AAAAAC/7v6o=")</f>
        <v>1</v>
      </c>
      <c r="FP123" t="b">
        <f>AND('Black &amp; White load sheet'!H116,"AAAAAC/7v6s=")</f>
        <v>0</v>
      </c>
      <c r="FQ123" t="b">
        <f>AND('Black &amp; White load sheet'!I116,"AAAAAC/7v6w=")</f>
        <v>0</v>
      </c>
      <c r="FR123" t="b">
        <f>AND('Black &amp; White load sheet'!J116,"AAAAAC/7v60=")</f>
        <v>0</v>
      </c>
      <c r="FS123" t="b">
        <f>AND('Black &amp; White load sheet'!K116,"AAAAAC/7v64=")</f>
        <v>1</v>
      </c>
      <c r="FT123" t="b">
        <f>AND('Black &amp; White load sheet'!L116,"AAAAAC/7v68=")</f>
        <v>0</v>
      </c>
      <c r="FU123" t="b">
        <f>AND('Black &amp; White load sheet'!M116,"AAAAAC/7v7A=")</f>
        <v>1</v>
      </c>
      <c r="FV123" t="b">
        <f>AND('Black &amp; White load sheet'!N116,"AAAAAC/7v7E=")</f>
        <v>1</v>
      </c>
      <c r="FW123" t="b">
        <f>AND('Black &amp; White load sheet'!O116,"AAAAAC/7v7I=")</f>
        <v>1</v>
      </c>
      <c r="FX123">
        <f>IF('Black &amp; White load sheet'!117:117,"AAAAAC/7v7M=",0)</f>
        <v>0</v>
      </c>
      <c r="FY123" t="b">
        <f>AND('Black &amp; White load sheet'!A117,"AAAAAC/7v7Q=")</f>
        <v>1</v>
      </c>
      <c r="FZ123" t="b">
        <f>AND('Black &amp; White load sheet'!B117,"AAAAAC/7v7U=")</f>
        <v>1</v>
      </c>
      <c r="GA123" t="b">
        <f>AND('Black &amp; White load sheet'!C117,"AAAAAC/7v7Y=")</f>
        <v>0</v>
      </c>
      <c r="GB123" t="b">
        <f>AND('Black &amp; White load sheet'!D117,"AAAAAC/7v7c=")</f>
        <v>0</v>
      </c>
      <c r="GC123" t="b">
        <f>AND('Black &amp; White load sheet'!E117,"AAAAAC/7v7g=")</f>
        <v>0</v>
      </c>
      <c r="GD123" t="b">
        <f>AND('Black &amp; White load sheet'!F117,"AAAAAC/7v7k=")</f>
        <v>0</v>
      </c>
      <c r="GE123" t="b">
        <f>AND('Black &amp; White load sheet'!G117,"AAAAAC/7v7o=")</f>
        <v>1</v>
      </c>
      <c r="GF123" t="b">
        <f>AND('Black &amp; White load sheet'!H117,"AAAAAC/7v7s=")</f>
        <v>0</v>
      </c>
      <c r="GG123" t="b">
        <f>AND('Black &amp; White load sheet'!I117,"AAAAAC/7v7w=")</f>
        <v>0</v>
      </c>
      <c r="GH123" t="b">
        <f>AND('Black &amp; White load sheet'!J117,"AAAAAC/7v70=")</f>
        <v>1</v>
      </c>
      <c r="GI123" t="b">
        <f>AND('Black &amp; White load sheet'!K117,"AAAAAC/7v74=")</f>
        <v>0</v>
      </c>
      <c r="GJ123" t="b">
        <f>AND('Black &amp; White load sheet'!L117,"AAAAAC/7v78=")</f>
        <v>0</v>
      </c>
      <c r="GK123" t="b">
        <f>AND('Black &amp; White load sheet'!M117,"AAAAAC/7v8A=")</f>
        <v>1</v>
      </c>
      <c r="GL123" t="b">
        <f>AND('Black &amp; White load sheet'!N117,"AAAAAC/7v8E=")</f>
        <v>1</v>
      </c>
      <c r="GM123" t="b">
        <f>AND('Black &amp; White load sheet'!O117,"AAAAAC/7v8I=")</f>
        <v>1</v>
      </c>
      <c r="GN123">
        <f>IF('Black &amp; White load sheet'!118:118,"AAAAAC/7v8M=",0)</f>
        <v>0</v>
      </c>
      <c r="GO123" t="b">
        <f>AND('Black &amp; White load sheet'!A118,"AAAAAC/7v8Q=")</f>
        <v>1</v>
      </c>
      <c r="GP123" t="b">
        <f>AND('Black &amp; White load sheet'!B118,"AAAAAC/7v8U=")</f>
        <v>1</v>
      </c>
      <c r="GQ123" t="b">
        <f>AND('Black &amp; White load sheet'!C118,"AAAAAC/7v8Y=")</f>
        <v>0</v>
      </c>
      <c r="GR123" t="b">
        <f>AND('Black &amp; White load sheet'!D118,"AAAAAC/7v8c=")</f>
        <v>0</v>
      </c>
      <c r="GS123" t="b">
        <f>AND('Black &amp; White load sheet'!E118,"AAAAAC/7v8g=")</f>
        <v>0</v>
      </c>
      <c r="GT123" t="b">
        <f>AND('Black &amp; White load sheet'!F118,"AAAAAC/7v8k=")</f>
        <v>0</v>
      </c>
      <c r="GU123" t="b">
        <f>AND('Black &amp; White load sheet'!G118,"AAAAAC/7v8o=")</f>
        <v>1</v>
      </c>
      <c r="GV123" t="b">
        <f>AND('Black &amp; White load sheet'!H118,"AAAAAC/7v8s=")</f>
        <v>0</v>
      </c>
      <c r="GW123" t="b">
        <f>AND('Black &amp; White load sheet'!I118,"AAAAAC/7v8w=")</f>
        <v>1</v>
      </c>
      <c r="GX123" t="b">
        <f>AND('Black &amp; White load sheet'!J118,"AAAAAC/7v80=")</f>
        <v>0</v>
      </c>
      <c r="GY123" t="b">
        <f>AND('Black &amp; White load sheet'!K118,"AAAAAC/7v84=")</f>
        <v>0</v>
      </c>
      <c r="GZ123" t="b">
        <f>AND('Black &amp; White load sheet'!L118,"AAAAAC/7v88=")</f>
        <v>0</v>
      </c>
      <c r="HA123" t="b">
        <f>AND('Black &amp; White load sheet'!M118,"AAAAAC/7v9A=")</f>
        <v>1</v>
      </c>
      <c r="HB123" t="b">
        <f>AND('Black &amp; White load sheet'!N118,"AAAAAC/7v9E=")</f>
        <v>1</v>
      </c>
      <c r="HC123" t="b">
        <f>AND('Black &amp; White load sheet'!O118,"AAAAAC/7v9I=")</f>
        <v>1</v>
      </c>
      <c r="HD123">
        <f>IF('Black &amp; White load sheet'!119:119,"AAAAAC/7v9M=",0)</f>
        <v>0</v>
      </c>
      <c r="HE123" t="b">
        <f>AND('Black &amp; White load sheet'!A119,"AAAAAC/7v9Q=")</f>
        <v>1</v>
      </c>
      <c r="HF123" t="b">
        <f>AND('Black &amp; White load sheet'!B119,"AAAAAC/7v9U=")</f>
        <v>1</v>
      </c>
      <c r="HG123" t="b">
        <f>AND('Black &amp; White load sheet'!C119,"AAAAAC/7v9Y=")</f>
        <v>0</v>
      </c>
      <c r="HH123" t="b">
        <f>AND('Black &amp; White load sheet'!D119,"AAAAAC/7v9c=")</f>
        <v>0</v>
      </c>
      <c r="HI123" t="b">
        <f>AND('Black &amp; White load sheet'!E119,"AAAAAC/7v9g=")</f>
        <v>0</v>
      </c>
      <c r="HJ123" t="b">
        <f>AND('Black &amp; White load sheet'!F119,"AAAAAC/7v9k=")</f>
        <v>0</v>
      </c>
      <c r="HK123" t="b">
        <f>AND('Black &amp; White load sheet'!G119,"AAAAAC/7v9o=")</f>
        <v>1</v>
      </c>
      <c r="HL123" t="b">
        <f>AND('Black &amp; White load sheet'!H119,"AAAAAC/7v9s=")</f>
        <v>1</v>
      </c>
      <c r="HM123" t="b">
        <f>AND('Black &amp; White load sheet'!I119,"AAAAAC/7v9w=")</f>
        <v>0</v>
      </c>
      <c r="HN123" t="b">
        <f>AND('Black &amp; White load sheet'!J119,"AAAAAC/7v90=")</f>
        <v>0</v>
      </c>
      <c r="HO123" t="b">
        <f>AND('Black &amp; White load sheet'!K119,"AAAAAC/7v94=")</f>
        <v>0</v>
      </c>
      <c r="HP123" t="b">
        <f>AND('Black &amp; White load sheet'!L119,"AAAAAC/7v98=")</f>
        <v>0</v>
      </c>
      <c r="HQ123" t="b">
        <f>AND('Black &amp; White load sheet'!M119,"AAAAAC/7v+A=")</f>
        <v>1</v>
      </c>
      <c r="HR123" t="b">
        <f>AND('Black &amp; White load sheet'!N119,"AAAAAC/7v+E=")</f>
        <v>1</v>
      </c>
      <c r="HS123" t="b">
        <f>AND('Black &amp; White load sheet'!O119,"AAAAAC/7v+I=")</f>
        <v>1</v>
      </c>
      <c r="HT123">
        <f>IF('Black &amp; White load sheet'!120:120,"AAAAAC/7v+M=",0)</f>
        <v>0</v>
      </c>
      <c r="HU123" t="b">
        <f>AND('Black &amp; White load sheet'!A120,"AAAAAC/7v+Q=")</f>
        <v>1</v>
      </c>
      <c r="HV123" t="b">
        <f>AND('Black &amp; White load sheet'!B120,"AAAAAC/7v+U=")</f>
        <v>1</v>
      </c>
      <c r="HW123" t="b">
        <f>AND('Black &amp; White load sheet'!C120,"AAAAAC/7v+Y=")</f>
        <v>0</v>
      </c>
      <c r="HX123" t="b">
        <f>AND('Black &amp; White load sheet'!D120,"AAAAAC/7v+c=")</f>
        <v>0</v>
      </c>
      <c r="HY123" t="b">
        <f>AND('Black &amp; White load sheet'!E120,"AAAAAC/7v+g=")</f>
        <v>0</v>
      </c>
      <c r="HZ123" t="b">
        <f>AND('Black &amp; White load sheet'!F120,"AAAAAC/7v+k=")</f>
        <v>0</v>
      </c>
      <c r="IA123" t="b">
        <f>AND('Black &amp; White load sheet'!G120,"AAAAAC/7v+o=")</f>
        <v>1</v>
      </c>
      <c r="IB123" t="b">
        <f>AND('Black &amp; White load sheet'!H120,"AAAAAC/7v+s=")</f>
        <v>1</v>
      </c>
      <c r="IC123" t="b">
        <f>AND('Black &amp; White load sheet'!I120,"AAAAAC/7v+w=")</f>
        <v>0</v>
      </c>
      <c r="ID123" t="b">
        <f>AND('Black &amp; White load sheet'!J120,"AAAAAC/7v+0=")</f>
        <v>0</v>
      </c>
      <c r="IE123" t="b">
        <f>AND('Black &amp; White load sheet'!K120,"AAAAAC/7v+4=")</f>
        <v>0</v>
      </c>
      <c r="IF123" t="b">
        <f>AND('Black &amp; White load sheet'!L120,"AAAAAC/7v+8=")</f>
        <v>1</v>
      </c>
      <c r="IG123" t="b">
        <f>AND('Black &amp; White load sheet'!M120,"AAAAAC/7v/A=")</f>
        <v>1</v>
      </c>
      <c r="IH123" t="b">
        <f>AND('Black &amp; White load sheet'!N120,"AAAAAC/7v/E=")</f>
        <v>1</v>
      </c>
      <c r="II123" t="b">
        <f>AND('Black &amp; White load sheet'!O120,"AAAAAC/7v/I=")</f>
        <v>1</v>
      </c>
      <c r="IJ123">
        <f>IF('Black &amp; White load sheet'!121:121,"AAAAAC/7v/M=",0)</f>
        <v>0</v>
      </c>
      <c r="IK123" t="b">
        <f>AND('Black &amp; White load sheet'!A121,"AAAAAC/7v/Q=")</f>
        <v>1</v>
      </c>
      <c r="IL123" t="b">
        <f>AND('Black &amp; White load sheet'!B121,"AAAAAC/7v/U=")</f>
        <v>1</v>
      </c>
      <c r="IM123" t="b">
        <f>AND('Black &amp; White load sheet'!C121,"AAAAAC/7v/Y=")</f>
        <v>0</v>
      </c>
      <c r="IN123" t="b">
        <f>AND('Black &amp; White load sheet'!D121,"AAAAAC/7v/c=")</f>
        <v>0</v>
      </c>
      <c r="IO123" t="b">
        <f>AND('Black &amp; White load sheet'!E121,"AAAAAC/7v/g=")</f>
        <v>0</v>
      </c>
      <c r="IP123" t="b">
        <f>AND('Black &amp; White load sheet'!F121,"AAAAAC/7v/k=")</f>
        <v>0</v>
      </c>
      <c r="IQ123" t="b">
        <f>AND('Black &amp; White load sheet'!G121,"AAAAAC/7v/o=")</f>
        <v>1</v>
      </c>
      <c r="IR123" t="b">
        <f>AND('Black &amp; White load sheet'!H121,"AAAAAC/7v/s=")</f>
        <v>1</v>
      </c>
      <c r="IS123" t="b">
        <f>AND('Black &amp; White load sheet'!I121,"AAAAAC/7v/w=")</f>
        <v>0</v>
      </c>
      <c r="IT123" t="b">
        <f>AND('Black &amp; White load sheet'!J121,"AAAAAC/7v/0=")</f>
        <v>0</v>
      </c>
      <c r="IU123" t="b">
        <f>AND('Black &amp; White load sheet'!K121,"AAAAAC/7v/4=")</f>
        <v>1</v>
      </c>
      <c r="IV123" t="b">
        <f>AND('Black &amp; White load sheet'!L121,"AAAAAC/7v/8=")</f>
        <v>0</v>
      </c>
    </row>
    <row r="124" spans="1:256">
      <c r="A124" t="b">
        <f>AND('Black &amp; White load sheet'!M121,"AAAAAH2P7gA=")</f>
        <v>1</v>
      </c>
      <c r="B124" t="b">
        <f>AND('Black &amp; White load sheet'!N121,"AAAAAH2P7gE=")</f>
        <v>1</v>
      </c>
      <c r="C124" t="b">
        <f>AND('Black &amp; White load sheet'!O121,"AAAAAH2P7gI=")</f>
        <v>1</v>
      </c>
      <c r="D124">
        <f>IF('Black &amp; White load sheet'!122:122,"AAAAAH2P7gM=",0)</f>
        <v>0</v>
      </c>
      <c r="E124" t="b">
        <f>AND('Black &amp; White load sheet'!A122,"AAAAAH2P7gQ=")</f>
        <v>1</v>
      </c>
      <c r="F124" t="b">
        <f>AND('Black &amp; White load sheet'!B122,"AAAAAH2P7gU=")</f>
        <v>1</v>
      </c>
      <c r="G124" t="b">
        <f>AND('Black &amp; White load sheet'!C122,"AAAAAH2P7gY=")</f>
        <v>0</v>
      </c>
      <c r="H124" t="b">
        <f>AND('Black &amp; White load sheet'!D122,"AAAAAH2P7gc=")</f>
        <v>0</v>
      </c>
      <c r="I124" t="b">
        <f>AND('Black &amp; White load sheet'!E122,"AAAAAH2P7gg=")</f>
        <v>0</v>
      </c>
      <c r="J124" t="b">
        <f>AND('Black &amp; White load sheet'!F122,"AAAAAH2P7gk=")</f>
        <v>0</v>
      </c>
      <c r="K124" t="b">
        <f>AND('Black &amp; White load sheet'!G122,"AAAAAH2P7go=")</f>
        <v>1</v>
      </c>
      <c r="L124" t="b">
        <f>AND('Black &amp; White load sheet'!H122,"AAAAAH2P7gs=")</f>
        <v>1</v>
      </c>
      <c r="M124" t="b">
        <f>AND('Black &amp; White load sheet'!I122,"AAAAAH2P7gw=")</f>
        <v>0</v>
      </c>
      <c r="N124" t="b">
        <f>AND('Black &amp; White load sheet'!J122,"AAAAAH2P7g0=")</f>
        <v>1</v>
      </c>
      <c r="O124" t="b">
        <f>AND('Black &amp; White load sheet'!K122,"AAAAAH2P7g4=")</f>
        <v>0</v>
      </c>
      <c r="P124" t="b">
        <f>AND('Black &amp; White load sheet'!L122,"AAAAAH2P7g8=")</f>
        <v>0</v>
      </c>
      <c r="Q124" t="b">
        <f>AND('Black &amp; White load sheet'!M122,"AAAAAH2P7hA=")</f>
        <v>1</v>
      </c>
      <c r="R124" t="b">
        <f>AND('Black &amp; White load sheet'!N122,"AAAAAH2P7hE=")</f>
        <v>1</v>
      </c>
      <c r="S124" t="b">
        <f>AND('Black &amp; White load sheet'!O122,"AAAAAH2P7hI=")</f>
        <v>1</v>
      </c>
      <c r="T124">
        <f>IF('Black &amp; White load sheet'!123:123,"AAAAAH2P7hM=",0)</f>
        <v>0</v>
      </c>
      <c r="U124" t="b">
        <f>AND('Black &amp; White load sheet'!A123,"AAAAAH2P7hQ=")</f>
        <v>1</v>
      </c>
      <c r="V124" t="b">
        <f>AND('Black &amp; White load sheet'!B123,"AAAAAH2P7hU=")</f>
        <v>1</v>
      </c>
      <c r="W124" t="b">
        <f>AND('Black &amp; White load sheet'!C123,"AAAAAH2P7hY=")</f>
        <v>0</v>
      </c>
      <c r="X124" t="b">
        <f>AND('Black &amp; White load sheet'!D123,"AAAAAH2P7hc=")</f>
        <v>0</v>
      </c>
      <c r="Y124" t="b">
        <f>AND('Black &amp; White load sheet'!E123,"AAAAAH2P7hg=")</f>
        <v>0</v>
      </c>
      <c r="Z124" t="b">
        <f>AND('Black &amp; White load sheet'!F123,"AAAAAH2P7hk=")</f>
        <v>0</v>
      </c>
      <c r="AA124" t="b">
        <f>AND('Black &amp; White load sheet'!G123,"AAAAAH2P7ho=")</f>
        <v>1</v>
      </c>
      <c r="AB124" t="b">
        <f>AND('Black &amp; White load sheet'!H123,"AAAAAH2P7hs=")</f>
        <v>1</v>
      </c>
      <c r="AC124" t="b">
        <f>AND('Black &amp; White load sheet'!I123,"AAAAAH2P7hw=")</f>
        <v>1</v>
      </c>
      <c r="AD124" t="b">
        <f>AND('Black &amp; White load sheet'!J123,"AAAAAH2P7h0=")</f>
        <v>0</v>
      </c>
      <c r="AE124" t="b">
        <f>AND('Black &amp; White load sheet'!K123,"AAAAAH2P7h4=")</f>
        <v>0</v>
      </c>
      <c r="AF124" t="b">
        <f>AND('Black &amp; White load sheet'!L123,"AAAAAH2P7h8=")</f>
        <v>0</v>
      </c>
      <c r="AG124" t="b">
        <f>AND('Black &amp; White load sheet'!M123,"AAAAAH2P7iA=")</f>
        <v>1</v>
      </c>
      <c r="AH124" t="b">
        <f>AND('Black &amp; White load sheet'!N123,"AAAAAH2P7iE=")</f>
        <v>1</v>
      </c>
      <c r="AI124" t="b">
        <f>AND('Black &amp; White load sheet'!O123,"AAAAAH2P7iI=")</f>
        <v>1</v>
      </c>
      <c r="AJ124">
        <f>IF('Black &amp; White load sheet'!124:124,"AAAAAH2P7iM=",0)</f>
        <v>0</v>
      </c>
      <c r="AK124" t="b">
        <f>AND('Black &amp; White load sheet'!A124,"AAAAAH2P7iQ=")</f>
        <v>1</v>
      </c>
      <c r="AL124" t="b">
        <f>AND('Black &amp; White load sheet'!B124,"AAAAAH2P7iU=")</f>
        <v>1</v>
      </c>
      <c r="AM124" t="b">
        <f>AND('Black &amp; White load sheet'!C124,"AAAAAH2P7iY=")</f>
        <v>0</v>
      </c>
      <c r="AN124" t="b">
        <f>AND('Black &amp; White load sheet'!D124,"AAAAAH2P7ic=")</f>
        <v>0</v>
      </c>
      <c r="AO124" t="b">
        <f>AND('Black &amp; White load sheet'!E124,"AAAAAH2P7ig=")</f>
        <v>0</v>
      </c>
      <c r="AP124" t="b">
        <f>AND('Black &amp; White load sheet'!F124,"AAAAAH2P7ik=")</f>
        <v>1</v>
      </c>
      <c r="AQ124" t="b">
        <f>AND('Black &amp; White load sheet'!G124,"AAAAAH2P7io=")</f>
        <v>0</v>
      </c>
      <c r="AR124" t="b">
        <f>AND('Black &amp; White load sheet'!H124,"AAAAAH2P7is=")</f>
        <v>0</v>
      </c>
      <c r="AS124" t="b">
        <f>AND('Black &amp; White load sheet'!I124,"AAAAAH2P7iw=")</f>
        <v>0</v>
      </c>
      <c r="AT124" t="b">
        <f>AND('Black &amp; White load sheet'!J124,"AAAAAH2P7i0=")</f>
        <v>0</v>
      </c>
      <c r="AU124" t="b">
        <f>AND('Black &amp; White load sheet'!K124,"AAAAAH2P7i4=")</f>
        <v>0</v>
      </c>
      <c r="AV124" t="b">
        <f>AND('Black &amp; White load sheet'!L124,"AAAAAH2P7i8=")</f>
        <v>0</v>
      </c>
      <c r="AW124" t="b">
        <f>AND('Black &amp; White load sheet'!M124,"AAAAAH2P7jA=")</f>
        <v>1</v>
      </c>
      <c r="AX124" t="b">
        <f>AND('Black &amp; White load sheet'!N124,"AAAAAH2P7jE=")</f>
        <v>1</v>
      </c>
      <c r="AY124" t="b">
        <f>AND('Black &amp; White load sheet'!O124,"AAAAAH2P7jI=")</f>
        <v>1</v>
      </c>
      <c r="AZ124">
        <f>IF('Black &amp; White load sheet'!125:125,"AAAAAH2P7jM=",0)</f>
        <v>0</v>
      </c>
      <c r="BA124" t="b">
        <f>AND('Black &amp; White load sheet'!A125,"AAAAAH2P7jQ=")</f>
        <v>1</v>
      </c>
      <c r="BB124" t="b">
        <f>AND('Black &amp; White load sheet'!B125,"AAAAAH2P7jU=")</f>
        <v>1</v>
      </c>
      <c r="BC124" t="b">
        <f>AND('Black &amp; White load sheet'!C125,"AAAAAH2P7jY=")</f>
        <v>0</v>
      </c>
      <c r="BD124" t="b">
        <f>AND('Black &amp; White load sheet'!D125,"AAAAAH2P7jc=")</f>
        <v>0</v>
      </c>
      <c r="BE124" t="b">
        <f>AND('Black &amp; White load sheet'!E125,"AAAAAH2P7jg=")</f>
        <v>0</v>
      </c>
      <c r="BF124" t="b">
        <f>AND('Black &amp; White load sheet'!F125,"AAAAAH2P7jk=")</f>
        <v>1</v>
      </c>
      <c r="BG124" t="b">
        <f>AND('Black &amp; White load sheet'!G125,"AAAAAH2P7jo=")</f>
        <v>0</v>
      </c>
      <c r="BH124" t="b">
        <f>AND('Black &amp; White load sheet'!H125,"AAAAAH2P7js=")</f>
        <v>0</v>
      </c>
      <c r="BI124" t="b">
        <f>AND('Black &amp; White load sheet'!I125,"AAAAAH2P7jw=")</f>
        <v>0</v>
      </c>
      <c r="BJ124" t="b">
        <f>AND('Black &amp; White load sheet'!J125,"AAAAAH2P7j0=")</f>
        <v>0</v>
      </c>
      <c r="BK124" t="b">
        <f>AND('Black &amp; White load sheet'!K125,"AAAAAH2P7j4=")</f>
        <v>0</v>
      </c>
      <c r="BL124" t="b">
        <f>AND('Black &amp; White load sheet'!L125,"AAAAAH2P7j8=")</f>
        <v>1</v>
      </c>
      <c r="BM124" t="b">
        <f>AND('Black &amp; White load sheet'!M125,"AAAAAH2P7kA=")</f>
        <v>1</v>
      </c>
      <c r="BN124" t="b">
        <f>AND('Black &amp; White load sheet'!N125,"AAAAAH2P7kE=")</f>
        <v>1</v>
      </c>
      <c r="BO124" t="b">
        <f>AND('Black &amp; White load sheet'!O125,"AAAAAH2P7kI=")</f>
        <v>1</v>
      </c>
      <c r="BP124">
        <f>IF('Black &amp; White load sheet'!126:126,"AAAAAH2P7kM=",0)</f>
        <v>0</v>
      </c>
      <c r="BQ124" t="b">
        <f>AND('Black &amp; White load sheet'!A126,"AAAAAH2P7kQ=")</f>
        <v>1</v>
      </c>
      <c r="BR124" t="b">
        <f>AND('Black &amp; White load sheet'!B126,"AAAAAH2P7kU=")</f>
        <v>1</v>
      </c>
      <c r="BS124" t="b">
        <f>AND('Black &amp; White load sheet'!C126,"AAAAAH2P7kY=")</f>
        <v>0</v>
      </c>
      <c r="BT124" t="b">
        <f>AND('Black &amp; White load sheet'!D126,"AAAAAH2P7kc=")</f>
        <v>0</v>
      </c>
      <c r="BU124" t="b">
        <f>AND('Black &amp; White load sheet'!E126,"AAAAAH2P7kg=")</f>
        <v>0</v>
      </c>
      <c r="BV124" t="b">
        <f>AND('Black &amp; White load sheet'!F126,"AAAAAH2P7kk=")</f>
        <v>1</v>
      </c>
      <c r="BW124" t="b">
        <f>AND('Black &amp; White load sheet'!G126,"AAAAAH2P7ko=")</f>
        <v>0</v>
      </c>
      <c r="BX124" t="b">
        <f>AND('Black &amp; White load sheet'!H126,"AAAAAH2P7ks=")</f>
        <v>0</v>
      </c>
      <c r="BY124" t="b">
        <f>AND('Black &amp; White load sheet'!I126,"AAAAAH2P7kw=")</f>
        <v>0</v>
      </c>
      <c r="BZ124" t="b">
        <f>AND('Black &amp; White load sheet'!J126,"AAAAAH2P7k0=")</f>
        <v>0</v>
      </c>
      <c r="CA124" t="b">
        <f>AND('Black &amp; White load sheet'!K126,"AAAAAH2P7k4=")</f>
        <v>1</v>
      </c>
      <c r="CB124" t="b">
        <f>AND('Black &amp; White load sheet'!L126,"AAAAAH2P7k8=")</f>
        <v>0</v>
      </c>
      <c r="CC124" t="b">
        <f>AND('Black &amp; White load sheet'!M126,"AAAAAH2P7lA=")</f>
        <v>1</v>
      </c>
      <c r="CD124" t="b">
        <f>AND('Black &amp; White load sheet'!N126,"AAAAAH2P7lE=")</f>
        <v>1</v>
      </c>
      <c r="CE124" t="b">
        <f>AND('Black &amp; White load sheet'!O126,"AAAAAH2P7lI=")</f>
        <v>1</v>
      </c>
      <c r="CF124">
        <f>IF('Black &amp; White load sheet'!127:127,"AAAAAH2P7lM=",0)</f>
        <v>0</v>
      </c>
      <c r="CG124" t="b">
        <f>AND('Black &amp; White load sheet'!A127,"AAAAAH2P7lQ=")</f>
        <v>1</v>
      </c>
      <c r="CH124" t="b">
        <f>AND('Black &amp; White load sheet'!B127,"AAAAAH2P7lU=")</f>
        <v>1</v>
      </c>
      <c r="CI124" t="b">
        <f>AND('Black &amp; White load sheet'!C127,"AAAAAH2P7lY=")</f>
        <v>0</v>
      </c>
      <c r="CJ124" t="b">
        <f>AND('Black &amp; White load sheet'!D127,"AAAAAH2P7lc=")</f>
        <v>0</v>
      </c>
      <c r="CK124" t="b">
        <f>AND('Black &amp; White load sheet'!E127,"AAAAAH2P7lg=")</f>
        <v>0</v>
      </c>
      <c r="CL124" t="b">
        <f>AND('Black &amp; White load sheet'!F127,"AAAAAH2P7lk=")</f>
        <v>1</v>
      </c>
      <c r="CM124" t="b">
        <f>AND('Black &amp; White load sheet'!G127,"AAAAAH2P7lo=")</f>
        <v>0</v>
      </c>
      <c r="CN124" t="b">
        <f>AND('Black &amp; White load sheet'!H127,"AAAAAH2P7ls=")</f>
        <v>0</v>
      </c>
      <c r="CO124" t="b">
        <f>AND('Black &amp; White load sheet'!I127,"AAAAAH2P7lw=")</f>
        <v>0</v>
      </c>
      <c r="CP124" t="b">
        <f>AND('Black &amp; White load sheet'!J127,"AAAAAH2P7l0=")</f>
        <v>1</v>
      </c>
      <c r="CQ124" t="b">
        <f>AND('Black &amp; White load sheet'!K127,"AAAAAH2P7l4=")</f>
        <v>0</v>
      </c>
      <c r="CR124" t="b">
        <f>AND('Black &amp; White load sheet'!L127,"AAAAAH2P7l8=")</f>
        <v>0</v>
      </c>
      <c r="CS124" t="b">
        <f>AND('Black &amp; White load sheet'!M127,"AAAAAH2P7mA=")</f>
        <v>1</v>
      </c>
      <c r="CT124" t="b">
        <f>AND('Black &amp; White load sheet'!N127,"AAAAAH2P7mE=")</f>
        <v>1</v>
      </c>
      <c r="CU124" t="b">
        <f>AND('Black &amp; White load sheet'!O127,"AAAAAH2P7mI=")</f>
        <v>1</v>
      </c>
      <c r="CV124">
        <f>IF('Black &amp; White load sheet'!128:128,"AAAAAH2P7mM=",0)</f>
        <v>0</v>
      </c>
      <c r="CW124" t="b">
        <f>AND('Black &amp; White load sheet'!A128,"AAAAAH2P7mQ=")</f>
        <v>1</v>
      </c>
      <c r="CX124" t="b">
        <f>AND('Black &amp; White load sheet'!B128,"AAAAAH2P7mU=")</f>
        <v>1</v>
      </c>
      <c r="CY124" t="b">
        <f>AND('Black &amp; White load sheet'!C128,"AAAAAH2P7mY=")</f>
        <v>0</v>
      </c>
      <c r="CZ124" t="b">
        <f>AND('Black &amp; White load sheet'!D128,"AAAAAH2P7mc=")</f>
        <v>0</v>
      </c>
      <c r="DA124" t="b">
        <f>AND('Black &amp; White load sheet'!E128,"AAAAAH2P7mg=")</f>
        <v>0</v>
      </c>
      <c r="DB124" t="b">
        <f>AND('Black &amp; White load sheet'!F128,"AAAAAH2P7mk=")</f>
        <v>1</v>
      </c>
      <c r="DC124" t="b">
        <f>AND('Black &amp; White load sheet'!G128,"AAAAAH2P7mo=")</f>
        <v>0</v>
      </c>
      <c r="DD124" t="b">
        <f>AND('Black &amp; White load sheet'!H128,"AAAAAH2P7ms=")</f>
        <v>0</v>
      </c>
      <c r="DE124" t="b">
        <f>AND('Black &amp; White load sheet'!I128,"AAAAAH2P7mw=")</f>
        <v>1</v>
      </c>
      <c r="DF124" t="b">
        <f>AND('Black &amp; White load sheet'!J128,"AAAAAH2P7m0=")</f>
        <v>0</v>
      </c>
      <c r="DG124" t="b">
        <f>AND('Black &amp; White load sheet'!K128,"AAAAAH2P7m4=")</f>
        <v>0</v>
      </c>
      <c r="DH124" t="b">
        <f>AND('Black &amp; White load sheet'!L128,"AAAAAH2P7m8=")</f>
        <v>0</v>
      </c>
      <c r="DI124" t="b">
        <f>AND('Black &amp; White load sheet'!M128,"AAAAAH2P7nA=")</f>
        <v>1</v>
      </c>
      <c r="DJ124" t="b">
        <f>AND('Black &amp; White load sheet'!N128,"AAAAAH2P7nE=")</f>
        <v>1</v>
      </c>
      <c r="DK124" t="b">
        <f>AND('Black &amp; White load sheet'!O128,"AAAAAH2P7nI=")</f>
        <v>1</v>
      </c>
      <c r="DL124">
        <f>IF('Black &amp; White load sheet'!129:129,"AAAAAH2P7nM=",0)</f>
        <v>0</v>
      </c>
      <c r="DM124" t="b">
        <f>AND('Black &amp; White load sheet'!A129,"AAAAAH2P7nQ=")</f>
        <v>1</v>
      </c>
      <c r="DN124" t="b">
        <f>AND('Black &amp; White load sheet'!B129,"AAAAAH2P7nU=")</f>
        <v>1</v>
      </c>
      <c r="DO124" t="b">
        <f>AND('Black &amp; White load sheet'!C129,"AAAAAH2P7nY=")</f>
        <v>0</v>
      </c>
      <c r="DP124" t="b">
        <f>AND('Black &amp; White load sheet'!D129,"AAAAAH2P7nc=")</f>
        <v>0</v>
      </c>
      <c r="DQ124" t="b">
        <f>AND('Black &amp; White load sheet'!E129,"AAAAAH2P7ng=")</f>
        <v>0</v>
      </c>
      <c r="DR124" t="b">
        <f>AND('Black &amp; White load sheet'!F129,"AAAAAH2P7nk=")</f>
        <v>1</v>
      </c>
      <c r="DS124" t="b">
        <f>AND('Black &amp; White load sheet'!G129,"AAAAAH2P7no=")</f>
        <v>0</v>
      </c>
      <c r="DT124" t="b">
        <f>AND('Black &amp; White load sheet'!H129,"AAAAAH2P7ns=")</f>
        <v>1</v>
      </c>
      <c r="DU124" t="b">
        <f>AND('Black &amp; White load sheet'!I129,"AAAAAH2P7nw=")</f>
        <v>0</v>
      </c>
      <c r="DV124" t="b">
        <f>AND('Black &amp; White load sheet'!J129,"AAAAAH2P7n0=")</f>
        <v>0</v>
      </c>
      <c r="DW124" t="b">
        <f>AND('Black &amp; White load sheet'!K129,"AAAAAH2P7n4=")</f>
        <v>0</v>
      </c>
      <c r="DX124" t="b">
        <f>AND('Black &amp; White load sheet'!L129,"AAAAAH2P7n8=")</f>
        <v>0</v>
      </c>
      <c r="DY124" t="b">
        <f>AND('Black &amp; White load sheet'!M129,"AAAAAH2P7oA=")</f>
        <v>1</v>
      </c>
      <c r="DZ124" t="b">
        <f>AND('Black &amp; White load sheet'!N129,"AAAAAH2P7oE=")</f>
        <v>1</v>
      </c>
      <c r="EA124" t="b">
        <f>AND('Black &amp; White load sheet'!O129,"AAAAAH2P7oI=")</f>
        <v>1</v>
      </c>
      <c r="EB124">
        <f>IF('Black &amp; White load sheet'!130:130,"AAAAAH2P7oM=",0)</f>
        <v>0</v>
      </c>
      <c r="EC124" t="b">
        <f>AND('Black &amp; White load sheet'!A130,"AAAAAH2P7oQ=")</f>
        <v>1</v>
      </c>
      <c r="ED124" t="b">
        <f>AND('Black &amp; White load sheet'!B130,"AAAAAH2P7oU=")</f>
        <v>1</v>
      </c>
      <c r="EE124" t="b">
        <f>AND('Black &amp; White load sheet'!C130,"AAAAAH2P7oY=")</f>
        <v>0</v>
      </c>
      <c r="EF124" t="b">
        <f>AND('Black &amp; White load sheet'!D130,"AAAAAH2P7oc=")</f>
        <v>0</v>
      </c>
      <c r="EG124" t="b">
        <f>AND('Black &amp; White load sheet'!E130,"AAAAAH2P7og=")</f>
        <v>0</v>
      </c>
      <c r="EH124" t="b">
        <f>AND('Black &amp; White load sheet'!F130,"AAAAAH2P7ok=")</f>
        <v>1</v>
      </c>
      <c r="EI124" t="b">
        <f>AND('Black &amp; White load sheet'!G130,"AAAAAH2P7oo=")</f>
        <v>0</v>
      </c>
      <c r="EJ124" t="b">
        <f>AND('Black &amp; White load sheet'!H130,"AAAAAH2P7os=")</f>
        <v>1</v>
      </c>
      <c r="EK124" t="b">
        <f>AND('Black &amp; White load sheet'!I130,"AAAAAH2P7ow=")</f>
        <v>0</v>
      </c>
      <c r="EL124" t="b">
        <f>AND('Black &amp; White load sheet'!J130,"AAAAAH2P7o0=")</f>
        <v>0</v>
      </c>
      <c r="EM124" t="b">
        <f>AND('Black &amp; White load sheet'!K130,"AAAAAH2P7o4=")</f>
        <v>0</v>
      </c>
      <c r="EN124" t="b">
        <f>AND('Black &amp; White load sheet'!L130,"AAAAAH2P7o8=")</f>
        <v>1</v>
      </c>
      <c r="EO124" t="b">
        <f>AND('Black &amp; White load sheet'!M130,"AAAAAH2P7pA=")</f>
        <v>1</v>
      </c>
      <c r="EP124" t="b">
        <f>AND('Black &amp; White load sheet'!N130,"AAAAAH2P7pE=")</f>
        <v>1</v>
      </c>
      <c r="EQ124" t="b">
        <f>AND('Black &amp; White load sheet'!O130,"AAAAAH2P7pI=")</f>
        <v>1</v>
      </c>
      <c r="ER124">
        <f>IF('Black &amp; White load sheet'!131:131,"AAAAAH2P7pM=",0)</f>
        <v>0</v>
      </c>
      <c r="ES124" t="b">
        <f>AND('Black &amp; White load sheet'!A131,"AAAAAH2P7pQ=")</f>
        <v>1</v>
      </c>
      <c r="ET124" t="b">
        <f>AND('Black &amp; White load sheet'!B131,"AAAAAH2P7pU=")</f>
        <v>1</v>
      </c>
      <c r="EU124" t="b">
        <f>AND('Black &amp; White load sheet'!C131,"AAAAAH2P7pY=")</f>
        <v>0</v>
      </c>
      <c r="EV124" t="b">
        <f>AND('Black &amp; White load sheet'!D131,"AAAAAH2P7pc=")</f>
        <v>0</v>
      </c>
      <c r="EW124" t="b">
        <f>AND('Black &amp; White load sheet'!E131,"AAAAAH2P7pg=")</f>
        <v>0</v>
      </c>
      <c r="EX124" t="b">
        <f>AND('Black &amp; White load sheet'!F131,"AAAAAH2P7pk=")</f>
        <v>1</v>
      </c>
      <c r="EY124" t="b">
        <f>AND('Black &amp; White load sheet'!G131,"AAAAAH2P7po=")</f>
        <v>0</v>
      </c>
      <c r="EZ124" t="b">
        <f>AND('Black &amp; White load sheet'!H131,"AAAAAH2P7ps=")</f>
        <v>1</v>
      </c>
      <c r="FA124" t="b">
        <f>AND('Black &amp; White load sheet'!I131,"AAAAAH2P7pw=")</f>
        <v>0</v>
      </c>
      <c r="FB124" t="b">
        <f>AND('Black &amp; White load sheet'!J131,"AAAAAH2P7p0=")</f>
        <v>0</v>
      </c>
      <c r="FC124" t="b">
        <f>AND('Black &amp; White load sheet'!K131,"AAAAAH2P7p4=")</f>
        <v>1</v>
      </c>
      <c r="FD124" t="b">
        <f>AND('Black &amp; White load sheet'!L131,"AAAAAH2P7p8=")</f>
        <v>0</v>
      </c>
      <c r="FE124" t="b">
        <f>AND('Black &amp; White load sheet'!M131,"AAAAAH2P7qA=")</f>
        <v>1</v>
      </c>
      <c r="FF124" t="b">
        <f>AND('Black &amp; White load sheet'!N131,"AAAAAH2P7qE=")</f>
        <v>1</v>
      </c>
      <c r="FG124" t="b">
        <f>AND('Black &amp; White load sheet'!O131,"AAAAAH2P7qI=")</f>
        <v>1</v>
      </c>
      <c r="FH124">
        <f>IF('Black &amp; White load sheet'!132:132,"AAAAAH2P7qM=",0)</f>
        <v>0</v>
      </c>
      <c r="FI124" t="b">
        <f>AND('Black &amp; White load sheet'!A132,"AAAAAH2P7qQ=")</f>
        <v>1</v>
      </c>
      <c r="FJ124" t="b">
        <f>AND('Black &amp; White load sheet'!B132,"AAAAAH2P7qU=")</f>
        <v>1</v>
      </c>
      <c r="FK124" t="b">
        <f>AND('Black &amp; White load sheet'!C132,"AAAAAH2P7qY=")</f>
        <v>0</v>
      </c>
      <c r="FL124" t="b">
        <f>AND('Black &amp; White load sheet'!D132,"AAAAAH2P7qc=")</f>
        <v>0</v>
      </c>
      <c r="FM124" t="b">
        <f>AND('Black &amp; White load sheet'!E132,"AAAAAH2P7qg=")</f>
        <v>0</v>
      </c>
      <c r="FN124" t="b">
        <f>AND('Black &amp; White load sheet'!F132,"AAAAAH2P7qk=")</f>
        <v>1</v>
      </c>
      <c r="FO124" t="b">
        <f>AND('Black &amp; White load sheet'!G132,"AAAAAH2P7qo=")</f>
        <v>0</v>
      </c>
      <c r="FP124" t="b">
        <f>AND('Black &amp; White load sheet'!H132,"AAAAAH2P7qs=")</f>
        <v>1</v>
      </c>
      <c r="FQ124" t="b">
        <f>AND('Black &amp; White load sheet'!I132,"AAAAAH2P7qw=")</f>
        <v>0</v>
      </c>
      <c r="FR124" t="b">
        <f>AND('Black &amp; White load sheet'!J132,"AAAAAH2P7q0=")</f>
        <v>1</v>
      </c>
      <c r="FS124" t="b">
        <f>AND('Black &amp; White load sheet'!K132,"AAAAAH2P7q4=")</f>
        <v>0</v>
      </c>
      <c r="FT124" t="b">
        <f>AND('Black &amp; White load sheet'!L132,"AAAAAH2P7q8=")</f>
        <v>0</v>
      </c>
      <c r="FU124" t="b">
        <f>AND('Black &amp; White load sheet'!M132,"AAAAAH2P7rA=")</f>
        <v>1</v>
      </c>
      <c r="FV124" t="b">
        <f>AND('Black &amp; White load sheet'!N132,"AAAAAH2P7rE=")</f>
        <v>1</v>
      </c>
      <c r="FW124" t="b">
        <f>AND('Black &amp; White load sheet'!O132,"AAAAAH2P7rI=")</f>
        <v>1</v>
      </c>
      <c r="FX124">
        <f>IF('Black &amp; White load sheet'!133:133,"AAAAAH2P7rM=",0)</f>
        <v>0</v>
      </c>
      <c r="FY124" t="b">
        <f>AND('Black &amp; White load sheet'!A133,"AAAAAH2P7rQ=")</f>
        <v>1</v>
      </c>
      <c r="FZ124" t="b">
        <f>AND('Black &amp; White load sheet'!B133,"AAAAAH2P7rU=")</f>
        <v>1</v>
      </c>
      <c r="GA124" t="b">
        <f>AND('Black &amp; White load sheet'!C133,"AAAAAH2P7rY=")</f>
        <v>0</v>
      </c>
      <c r="GB124" t="b">
        <f>AND('Black &amp; White load sheet'!D133,"AAAAAH2P7rc=")</f>
        <v>0</v>
      </c>
      <c r="GC124" t="b">
        <f>AND('Black &amp; White load sheet'!E133,"AAAAAH2P7rg=")</f>
        <v>0</v>
      </c>
      <c r="GD124" t="b">
        <f>AND('Black &amp; White load sheet'!F133,"AAAAAH2P7rk=")</f>
        <v>1</v>
      </c>
      <c r="GE124" t="b">
        <f>AND('Black &amp; White load sheet'!G133,"AAAAAH2P7ro=")</f>
        <v>0</v>
      </c>
      <c r="GF124" t="b">
        <f>AND('Black &amp; White load sheet'!H133,"AAAAAH2P7rs=")</f>
        <v>1</v>
      </c>
      <c r="GG124" t="b">
        <f>AND('Black &amp; White load sheet'!I133,"AAAAAH2P7rw=")</f>
        <v>1</v>
      </c>
      <c r="GH124" t="b">
        <f>AND('Black &amp; White load sheet'!J133,"AAAAAH2P7r0=")</f>
        <v>0</v>
      </c>
      <c r="GI124" t="b">
        <f>AND('Black &amp; White load sheet'!K133,"AAAAAH2P7r4=")</f>
        <v>0</v>
      </c>
      <c r="GJ124" t="b">
        <f>AND('Black &amp; White load sheet'!L133,"AAAAAH2P7r8=")</f>
        <v>0</v>
      </c>
      <c r="GK124" t="b">
        <f>AND('Black &amp; White load sheet'!M133,"AAAAAH2P7sA=")</f>
        <v>1</v>
      </c>
      <c r="GL124" t="b">
        <f>AND('Black &amp; White load sheet'!N133,"AAAAAH2P7sE=")</f>
        <v>1</v>
      </c>
      <c r="GM124" t="b">
        <f>AND('Black &amp; White load sheet'!O133,"AAAAAH2P7sI=")</f>
        <v>1</v>
      </c>
      <c r="GN124">
        <f>IF('Black &amp; White load sheet'!134:134,"AAAAAH2P7sM=",0)</f>
        <v>0</v>
      </c>
      <c r="GO124" t="b">
        <f>AND('Black &amp; White load sheet'!A134,"AAAAAH2P7sQ=")</f>
        <v>1</v>
      </c>
      <c r="GP124" t="b">
        <f>AND('Black &amp; White load sheet'!B134,"AAAAAH2P7sU=")</f>
        <v>1</v>
      </c>
      <c r="GQ124" t="b">
        <f>AND('Black &amp; White load sheet'!C134,"AAAAAH2P7sY=")</f>
        <v>0</v>
      </c>
      <c r="GR124" t="b">
        <f>AND('Black &amp; White load sheet'!D134,"AAAAAH2P7sc=")</f>
        <v>0</v>
      </c>
      <c r="GS124" t="b">
        <f>AND('Black &amp; White load sheet'!E134,"AAAAAH2P7sg=")</f>
        <v>1</v>
      </c>
      <c r="GT124" t="b">
        <f>AND('Black &amp; White load sheet'!F134,"AAAAAH2P7sk=")</f>
        <v>0</v>
      </c>
      <c r="GU124" t="b">
        <f>AND('Black &amp; White load sheet'!G134,"AAAAAH2P7so=")</f>
        <v>0</v>
      </c>
      <c r="GV124" t="b">
        <f>AND('Black &amp; White load sheet'!H134,"AAAAAH2P7ss=")</f>
        <v>0</v>
      </c>
      <c r="GW124" t="b">
        <f>AND('Black &amp; White load sheet'!I134,"AAAAAH2P7sw=")</f>
        <v>0</v>
      </c>
      <c r="GX124" t="b">
        <f>AND('Black &amp; White load sheet'!J134,"AAAAAH2P7s0=")</f>
        <v>0</v>
      </c>
      <c r="GY124" t="b">
        <f>AND('Black &amp; White load sheet'!K134,"AAAAAH2P7s4=")</f>
        <v>0</v>
      </c>
      <c r="GZ124" t="b">
        <f>AND('Black &amp; White load sheet'!L134,"AAAAAH2P7s8=")</f>
        <v>0</v>
      </c>
      <c r="HA124" t="b">
        <f>AND('Black &amp; White load sheet'!M134,"AAAAAH2P7tA=")</f>
        <v>1</v>
      </c>
      <c r="HB124" t="b">
        <f>AND('Black &amp; White load sheet'!N134,"AAAAAH2P7tE=")</f>
        <v>1</v>
      </c>
      <c r="HC124" t="b">
        <f>AND('Black &amp; White load sheet'!O134,"AAAAAH2P7tI=")</f>
        <v>1</v>
      </c>
      <c r="HD124">
        <f>IF('Black &amp; White load sheet'!135:135,"AAAAAH2P7tM=",0)</f>
        <v>0</v>
      </c>
      <c r="HE124" t="b">
        <f>AND('Black &amp; White load sheet'!A135,"AAAAAH2P7tQ=")</f>
        <v>1</v>
      </c>
      <c r="HF124" t="b">
        <f>AND('Black &amp; White load sheet'!B135,"AAAAAH2P7tU=")</f>
        <v>1</v>
      </c>
      <c r="HG124" t="b">
        <f>AND('Black &amp; White load sheet'!C135,"AAAAAH2P7tY=")</f>
        <v>0</v>
      </c>
      <c r="HH124" t="b">
        <f>AND('Black &amp; White load sheet'!D135,"AAAAAH2P7tc=")</f>
        <v>0</v>
      </c>
      <c r="HI124" t="b">
        <f>AND('Black &amp; White load sheet'!E135,"AAAAAH2P7tg=")</f>
        <v>1</v>
      </c>
      <c r="HJ124" t="b">
        <f>AND('Black &amp; White load sheet'!F135,"AAAAAH2P7tk=")</f>
        <v>0</v>
      </c>
      <c r="HK124" t="b">
        <f>AND('Black &amp; White load sheet'!G135,"AAAAAH2P7to=")</f>
        <v>0</v>
      </c>
      <c r="HL124" t="b">
        <f>AND('Black &amp; White load sheet'!H135,"AAAAAH2P7ts=")</f>
        <v>0</v>
      </c>
      <c r="HM124" t="b">
        <f>AND('Black &amp; White load sheet'!I135,"AAAAAH2P7tw=")</f>
        <v>0</v>
      </c>
      <c r="HN124" t="b">
        <f>AND('Black &amp; White load sheet'!J135,"AAAAAH2P7t0=")</f>
        <v>0</v>
      </c>
      <c r="HO124" t="b">
        <f>AND('Black &amp; White load sheet'!K135,"AAAAAH2P7t4=")</f>
        <v>0</v>
      </c>
      <c r="HP124" t="b">
        <f>AND('Black &amp; White load sheet'!L135,"AAAAAH2P7t8=")</f>
        <v>1</v>
      </c>
      <c r="HQ124" t="b">
        <f>AND('Black &amp; White load sheet'!M135,"AAAAAH2P7uA=")</f>
        <v>1</v>
      </c>
      <c r="HR124" t="b">
        <f>AND('Black &amp; White load sheet'!N135,"AAAAAH2P7uE=")</f>
        <v>1</v>
      </c>
      <c r="HS124" t="b">
        <f>AND('Black &amp; White load sheet'!O135,"AAAAAH2P7uI=")</f>
        <v>1</v>
      </c>
      <c r="HT124">
        <f>IF('Black &amp; White load sheet'!136:136,"AAAAAH2P7uM=",0)</f>
        <v>0</v>
      </c>
      <c r="HU124" t="b">
        <f>AND('Black &amp; White load sheet'!A136,"AAAAAH2P7uQ=")</f>
        <v>1</v>
      </c>
      <c r="HV124" t="b">
        <f>AND('Black &amp; White load sheet'!B136,"AAAAAH2P7uU=")</f>
        <v>1</v>
      </c>
      <c r="HW124" t="b">
        <f>AND('Black &amp; White load sheet'!C136,"AAAAAH2P7uY=")</f>
        <v>0</v>
      </c>
      <c r="HX124" t="b">
        <f>AND('Black &amp; White load sheet'!D136,"AAAAAH2P7uc=")</f>
        <v>0</v>
      </c>
      <c r="HY124" t="b">
        <f>AND('Black &amp; White load sheet'!E136,"AAAAAH2P7ug=")</f>
        <v>1</v>
      </c>
      <c r="HZ124" t="b">
        <f>AND('Black &amp; White load sheet'!F136,"AAAAAH2P7uk=")</f>
        <v>0</v>
      </c>
      <c r="IA124" t="b">
        <f>AND('Black &amp; White load sheet'!G136,"AAAAAH2P7uo=")</f>
        <v>0</v>
      </c>
      <c r="IB124" t="b">
        <f>AND('Black &amp; White load sheet'!H136,"AAAAAH2P7us=")</f>
        <v>0</v>
      </c>
      <c r="IC124" t="b">
        <f>AND('Black &amp; White load sheet'!I136,"AAAAAH2P7uw=")</f>
        <v>0</v>
      </c>
      <c r="ID124" t="b">
        <f>AND('Black &amp; White load sheet'!J136,"AAAAAH2P7u0=")</f>
        <v>0</v>
      </c>
      <c r="IE124" t="b">
        <f>AND('Black &amp; White load sheet'!K136,"AAAAAH2P7u4=")</f>
        <v>1</v>
      </c>
      <c r="IF124" t="b">
        <f>AND('Black &amp; White load sheet'!L136,"AAAAAH2P7u8=")</f>
        <v>0</v>
      </c>
      <c r="IG124" t="b">
        <f>AND('Black &amp; White load sheet'!M136,"AAAAAH2P7vA=")</f>
        <v>1</v>
      </c>
      <c r="IH124" t="b">
        <f>AND('Black &amp; White load sheet'!N136,"AAAAAH2P7vE=")</f>
        <v>1</v>
      </c>
      <c r="II124" t="b">
        <f>AND('Black &amp; White load sheet'!O136,"AAAAAH2P7vI=")</f>
        <v>1</v>
      </c>
      <c r="IJ124">
        <f>IF('Black &amp; White load sheet'!137:137,"AAAAAH2P7vM=",0)</f>
        <v>0</v>
      </c>
      <c r="IK124" t="b">
        <f>AND('Black &amp; White load sheet'!A137,"AAAAAH2P7vQ=")</f>
        <v>1</v>
      </c>
      <c r="IL124" t="b">
        <f>AND('Black &amp; White load sheet'!B137,"AAAAAH2P7vU=")</f>
        <v>1</v>
      </c>
      <c r="IM124" t="b">
        <f>AND('Black &amp; White load sheet'!C137,"AAAAAH2P7vY=")</f>
        <v>0</v>
      </c>
      <c r="IN124" t="b">
        <f>AND('Black &amp; White load sheet'!D137,"AAAAAH2P7vc=")</f>
        <v>0</v>
      </c>
      <c r="IO124" t="b">
        <f>AND('Black &amp; White load sheet'!E137,"AAAAAH2P7vg=")</f>
        <v>1</v>
      </c>
      <c r="IP124" t="b">
        <f>AND('Black &amp; White load sheet'!F137,"AAAAAH2P7vk=")</f>
        <v>0</v>
      </c>
      <c r="IQ124" t="b">
        <f>AND('Black &amp; White load sheet'!G137,"AAAAAH2P7vo=")</f>
        <v>0</v>
      </c>
      <c r="IR124" t="b">
        <f>AND('Black &amp; White load sheet'!H137,"AAAAAH2P7vs=")</f>
        <v>0</v>
      </c>
      <c r="IS124" t="b">
        <f>AND('Black &amp; White load sheet'!I137,"AAAAAH2P7vw=")</f>
        <v>0</v>
      </c>
      <c r="IT124" t="b">
        <f>AND('Black &amp; White load sheet'!J137,"AAAAAH2P7v0=")</f>
        <v>1</v>
      </c>
      <c r="IU124" t="b">
        <f>AND('Black &amp; White load sheet'!K137,"AAAAAH2P7v4=")</f>
        <v>0</v>
      </c>
      <c r="IV124" t="b">
        <f>AND('Black &amp; White load sheet'!L137,"AAAAAH2P7v8=")</f>
        <v>0</v>
      </c>
    </row>
    <row r="125" spans="1:256">
      <c r="A125" t="b">
        <f>AND('Black &amp; White load sheet'!M137,"AAAAAG77rwA=")</f>
        <v>1</v>
      </c>
      <c r="B125" t="b">
        <f>AND('Black &amp; White load sheet'!N137,"AAAAAG77rwE=")</f>
        <v>1</v>
      </c>
      <c r="C125" t="b">
        <f>AND('Black &amp; White load sheet'!O137,"AAAAAG77rwI=")</f>
        <v>1</v>
      </c>
      <c r="D125">
        <f>IF('Black &amp; White load sheet'!138:138,"AAAAAG77rwM=",0)</f>
        <v>0</v>
      </c>
      <c r="E125" t="b">
        <f>AND('Black &amp; White load sheet'!A138,"AAAAAG77rwQ=")</f>
        <v>1</v>
      </c>
      <c r="F125" t="b">
        <f>AND('Black &amp; White load sheet'!B138,"AAAAAG77rwU=")</f>
        <v>1</v>
      </c>
      <c r="G125" t="b">
        <f>AND('Black &amp; White load sheet'!C138,"AAAAAG77rwY=")</f>
        <v>0</v>
      </c>
      <c r="H125" t="b">
        <f>AND('Black &amp; White load sheet'!D138,"AAAAAG77rwc=")</f>
        <v>0</v>
      </c>
      <c r="I125" t="b">
        <f>AND('Black &amp; White load sheet'!E138,"AAAAAG77rwg=")</f>
        <v>1</v>
      </c>
      <c r="J125" t="b">
        <f>AND('Black &amp; White load sheet'!F138,"AAAAAG77rwk=")</f>
        <v>0</v>
      </c>
      <c r="K125" t="b">
        <f>AND('Black &amp; White load sheet'!G138,"AAAAAG77rwo=")</f>
        <v>0</v>
      </c>
      <c r="L125" t="b">
        <f>AND('Black &amp; White load sheet'!H138,"AAAAAG77rws=")</f>
        <v>0</v>
      </c>
      <c r="M125" t="b">
        <f>AND('Black &amp; White load sheet'!I138,"AAAAAG77rww=")</f>
        <v>1</v>
      </c>
      <c r="N125" t="b">
        <f>AND('Black &amp; White load sheet'!J138,"AAAAAG77rw0=")</f>
        <v>0</v>
      </c>
      <c r="O125" t="b">
        <f>AND('Black &amp; White load sheet'!K138,"AAAAAG77rw4=")</f>
        <v>0</v>
      </c>
      <c r="P125" t="b">
        <f>AND('Black &amp; White load sheet'!L138,"AAAAAG77rw8=")</f>
        <v>0</v>
      </c>
      <c r="Q125" t="b">
        <f>AND('Black &amp; White load sheet'!M138,"AAAAAG77rxA=")</f>
        <v>1</v>
      </c>
      <c r="R125" t="b">
        <f>AND('Black &amp; White load sheet'!N138,"AAAAAG77rxE=")</f>
        <v>1</v>
      </c>
      <c r="S125" t="b">
        <f>AND('Black &amp; White load sheet'!O138,"AAAAAG77rxI=")</f>
        <v>1</v>
      </c>
      <c r="T125">
        <f>IF('Black &amp; White load sheet'!139:139,"AAAAAG77rxM=",0)</f>
        <v>0</v>
      </c>
      <c r="U125" t="b">
        <f>AND('Black &amp; White load sheet'!A139,"AAAAAG77rxQ=")</f>
        <v>1</v>
      </c>
      <c r="V125" t="b">
        <f>AND('Black &amp; White load sheet'!B139,"AAAAAG77rxU=")</f>
        <v>1</v>
      </c>
      <c r="W125" t="b">
        <f>AND('Black &amp; White load sheet'!C139,"AAAAAG77rxY=")</f>
        <v>0</v>
      </c>
      <c r="X125" t="b">
        <f>AND('Black &amp; White load sheet'!D139,"AAAAAG77rxc=")</f>
        <v>0</v>
      </c>
      <c r="Y125" t="b">
        <f>AND('Black &amp; White load sheet'!E139,"AAAAAG77rxg=")</f>
        <v>1</v>
      </c>
      <c r="Z125" t="b">
        <f>AND('Black &amp; White load sheet'!F139,"AAAAAG77rxk=")</f>
        <v>0</v>
      </c>
      <c r="AA125" t="b">
        <f>AND('Black &amp; White load sheet'!G139,"AAAAAG77rxo=")</f>
        <v>0</v>
      </c>
      <c r="AB125" t="b">
        <f>AND('Black &amp; White load sheet'!H139,"AAAAAG77rxs=")</f>
        <v>1</v>
      </c>
      <c r="AC125" t="b">
        <f>AND('Black &amp; White load sheet'!I139,"AAAAAG77rxw=")</f>
        <v>0</v>
      </c>
      <c r="AD125" t="b">
        <f>AND('Black &amp; White load sheet'!J139,"AAAAAG77rx0=")</f>
        <v>0</v>
      </c>
      <c r="AE125" t="b">
        <f>AND('Black &amp; White load sheet'!K139,"AAAAAG77rx4=")</f>
        <v>0</v>
      </c>
      <c r="AF125" t="b">
        <f>AND('Black &amp; White load sheet'!L139,"AAAAAG77rx8=")</f>
        <v>0</v>
      </c>
      <c r="AG125" t="b">
        <f>AND('Black &amp; White load sheet'!M139,"AAAAAG77ryA=")</f>
        <v>1</v>
      </c>
      <c r="AH125" t="b">
        <f>AND('Black &amp; White load sheet'!N139,"AAAAAG77ryE=")</f>
        <v>1</v>
      </c>
      <c r="AI125" t="b">
        <f>AND('Black &amp; White load sheet'!O139,"AAAAAG77ryI=")</f>
        <v>1</v>
      </c>
      <c r="AJ125">
        <f>IF('Black &amp; White load sheet'!140:140,"AAAAAG77ryM=",0)</f>
        <v>0</v>
      </c>
      <c r="AK125" t="b">
        <f>AND('Black &amp; White load sheet'!A140,"AAAAAG77ryQ=")</f>
        <v>1</v>
      </c>
      <c r="AL125" t="b">
        <f>AND('Black &amp; White load sheet'!B140,"AAAAAG77ryU=")</f>
        <v>1</v>
      </c>
      <c r="AM125" t="b">
        <f>AND('Black &amp; White load sheet'!C140,"AAAAAG77ryY=")</f>
        <v>0</v>
      </c>
      <c r="AN125" t="b">
        <f>AND('Black &amp; White load sheet'!D140,"AAAAAG77ryc=")</f>
        <v>0</v>
      </c>
      <c r="AO125" t="b">
        <f>AND('Black &amp; White load sheet'!E140,"AAAAAG77ryg=")</f>
        <v>1</v>
      </c>
      <c r="AP125" t="b">
        <f>AND('Black &amp; White load sheet'!F140,"AAAAAG77ryk=")</f>
        <v>0</v>
      </c>
      <c r="AQ125" t="b">
        <f>AND('Black &amp; White load sheet'!G140,"AAAAAG77ryo=")</f>
        <v>0</v>
      </c>
      <c r="AR125" t="b">
        <f>AND('Black &amp; White load sheet'!H140,"AAAAAG77rys=")</f>
        <v>1</v>
      </c>
      <c r="AS125" t="b">
        <f>AND('Black &amp; White load sheet'!I140,"AAAAAG77ryw=")</f>
        <v>0</v>
      </c>
      <c r="AT125" t="b">
        <f>AND('Black &amp; White load sheet'!J140,"AAAAAG77ry0=")</f>
        <v>0</v>
      </c>
      <c r="AU125" t="b">
        <f>AND('Black &amp; White load sheet'!K140,"AAAAAG77ry4=")</f>
        <v>0</v>
      </c>
      <c r="AV125" t="b">
        <f>AND('Black &amp; White load sheet'!L140,"AAAAAG77ry8=")</f>
        <v>1</v>
      </c>
      <c r="AW125" t="b">
        <f>AND('Black &amp; White load sheet'!M140,"AAAAAG77rzA=")</f>
        <v>1</v>
      </c>
      <c r="AX125" t="b">
        <f>AND('Black &amp; White load sheet'!N140,"AAAAAG77rzE=")</f>
        <v>1</v>
      </c>
      <c r="AY125" t="b">
        <f>AND('Black &amp; White load sheet'!O140,"AAAAAG77rzI=")</f>
        <v>1</v>
      </c>
      <c r="AZ125">
        <f>IF('Black &amp; White load sheet'!141:141,"AAAAAG77rzM=",0)</f>
        <v>0</v>
      </c>
      <c r="BA125" t="b">
        <f>AND('Black &amp; White load sheet'!A141,"AAAAAG77rzQ=")</f>
        <v>1</v>
      </c>
      <c r="BB125" t="b">
        <f>AND('Black &amp; White load sheet'!B141,"AAAAAG77rzU=")</f>
        <v>1</v>
      </c>
      <c r="BC125" t="b">
        <f>AND('Black &amp; White load sheet'!C141,"AAAAAG77rzY=")</f>
        <v>0</v>
      </c>
      <c r="BD125" t="b">
        <f>AND('Black &amp; White load sheet'!D141,"AAAAAG77rzc=")</f>
        <v>0</v>
      </c>
      <c r="BE125" t="b">
        <f>AND('Black &amp; White load sheet'!E141,"AAAAAG77rzg=")</f>
        <v>1</v>
      </c>
      <c r="BF125" t="b">
        <f>AND('Black &amp; White load sheet'!F141,"AAAAAG77rzk=")</f>
        <v>0</v>
      </c>
      <c r="BG125" t="b">
        <f>AND('Black &amp; White load sheet'!G141,"AAAAAG77rzo=")</f>
        <v>0</v>
      </c>
      <c r="BH125" t="b">
        <f>AND('Black &amp; White load sheet'!H141,"AAAAAG77rzs=")</f>
        <v>1</v>
      </c>
      <c r="BI125" t="b">
        <f>AND('Black &amp; White load sheet'!I141,"AAAAAG77rzw=")</f>
        <v>0</v>
      </c>
      <c r="BJ125" t="b">
        <f>AND('Black &amp; White load sheet'!J141,"AAAAAG77rz0=")</f>
        <v>0</v>
      </c>
      <c r="BK125" t="b">
        <f>AND('Black &amp; White load sheet'!K141,"AAAAAG77rz4=")</f>
        <v>1</v>
      </c>
      <c r="BL125" t="b">
        <f>AND('Black &amp; White load sheet'!L141,"AAAAAG77rz8=")</f>
        <v>0</v>
      </c>
      <c r="BM125" t="b">
        <f>AND('Black &amp; White load sheet'!M141,"AAAAAG77r0A=")</f>
        <v>1</v>
      </c>
      <c r="BN125" t="b">
        <f>AND('Black &amp; White load sheet'!N141,"AAAAAG77r0E=")</f>
        <v>1</v>
      </c>
      <c r="BO125" t="b">
        <f>AND('Black &amp; White load sheet'!O141,"AAAAAG77r0I=")</f>
        <v>1</v>
      </c>
      <c r="BP125">
        <f>IF('Black &amp; White load sheet'!142:142,"AAAAAG77r0M=",0)</f>
        <v>0</v>
      </c>
      <c r="BQ125" t="b">
        <f>AND('Black &amp; White load sheet'!A142,"AAAAAG77r0Q=")</f>
        <v>1</v>
      </c>
      <c r="BR125" t="b">
        <f>AND('Black &amp; White load sheet'!B142,"AAAAAG77r0U=")</f>
        <v>1</v>
      </c>
      <c r="BS125" t="b">
        <f>AND('Black &amp; White load sheet'!C142,"AAAAAG77r0Y=")</f>
        <v>0</v>
      </c>
      <c r="BT125" t="b">
        <f>AND('Black &amp; White load sheet'!D142,"AAAAAG77r0c=")</f>
        <v>0</v>
      </c>
      <c r="BU125" t="b">
        <f>AND('Black &amp; White load sheet'!E142,"AAAAAG77r0g=")</f>
        <v>1</v>
      </c>
      <c r="BV125" t="b">
        <f>AND('Black &amp; White load sheet'!F142,"AAAAAG77r0k=")</f>
        <v>0</v>
      </c>
      <c r="BW125" t="b">
        <f>AND('Black &amp; White load sheet'!G142,"AAAAAG77r0o=")</f>
        <v>0</v>
      </c>
      <c r="BX125" t="b">
        <f>AND('Black &amp; White load sheet'!H142,"AAAAAG77r0s=")</f>
        <v>1</v>
      </c>
      <c r="BY125" t="b">
        <f>AND('Black &amp; White load sheet'!I142,"AAAAAG77r0w=")</f>
        <v>0</v>
      </c>
      <c r="BZ125" t="b">
        <f>AND('Black &amp; White load sheet'!J142,"AAAAAG77r00=")</f>
        <v>1</v>
      </c>
      <c r="CA125" t="b">
        <f>AND('Black &amp; White load sheet'!K142,"AAAAAG77r04=")</f>
        <v>0</v>
      </c>
      <c r="CB125" t="b">
        <f>AND('Black &amp; White load sheet'!L142,"AAAAAG77r08=")</f>
        <v>0</v>
      </c>
      <c r="CC125" t="b">
        <f>AND('Black &amp; White load sheet'!M142,"AAAAAG77r1A=")</f>
        <v>1</v>
      </c>
      <c r="CD125" t="b">
        <f>AND('Black &amp; White load sheet'!N142,"AAAAAG77r1E=")</f>
        <v>1</v>
      </c>
      <c r="CE125" t="b">
        <f>AND('Black &amp; White load sheet'!O142,"AAAAAG77r1I=")</f>
        <v>1</v>
      </c>
      <c r="CF125">
        <f>IF('Black &amp; White load sheet'!143:143,"AAAAAG77r1M=",0)</f>
        <v>0</v>
      </c>
      <c r="CG125" t="b">
        <f>AND('Black &amp; White load sheet'!A143,"AAAAAG77r1Q=")</f>
        <v>1</v>
      </c>
      <c r="CH125" t="b">
        <f>AND('Black &amp; White load sheet'!B143,"AAAAAG77r1U=")</f>
        <v>1</v>
      </c>
      <c r="CI125" t="b">
        <f>AND('Black &amp; White load sheet'!C143,"AAAAAG77r1Y=")</f>
        <v>0</v>
      </c>
      <c r="CJ125" t="b">
        <f>AND('Black &amp; White load sheet'!D143,"AAAAAG77r1c=")</f>
        <v>0</v>
      </c>
      <c r="CK125" t="b">
        <f>AND('Black &amp; White load sheet'!E143,"AAAAAG77r1g=")</f>
        <v>1</v>
      </c>
      <c r="CL125" t="b">
        <f>AND('Black &amp; White load sheet'!F143,"AAAAAG77r1k=")</f>
        <v>0</v>
      </c>
      <c r="CM125" t="b">
        <f>AND('Black &amp; White load sheet'!G143,"AAAAAG77r1o=")</f>
        <v>0</v>
      </c>
      <c r="CN125" t="b">
        <f>AND('Black &amp; White load sheet'!H143,"AAAAAG77r1s=")</f>
        <v>1</v>
      </c>
      <c r="CO125" t="b">
        <f>AND('Black &amp; White load sheet'!I143,"AAAAAG77r1w=")</f>
        <v>1</v>
      </c>
      <c r="CP125" t="b">
        <f>AND('Black &amp; White load sheet'!J143,"AAAAAG77r10=")</f>
        <v>0</v>
      </c>
      <c r="CQ125" t="b">
        <f>AND('Black &amp; White load sheet'!K143,"AAAAAG77r14=")</f>
        <v>0</v>
      </c>
      <c r="CR125" t="b">
        <f>AND('Black &amp; White load sheet'!L143,"AAAAAG77r18=")</f>
        <v>0</v>
      </c>
      <c r="CS125" t="b">
        <f>AND('Black &amp; White load sheet'!M143,"AAAAAG77r2A=")</f>
        <v>1</v>
      </c>
      <c r="CT125" t="b">
        <f>AND('Black &amp; White load sheet'!N143,"AAAAAG77r2E=")</f>
        <v>1</v>
      </c>
      <c r="CU125" t="b">
        <f>AND('Black &amp; White load sheet'!O143,"AAAAAG77r2I=")</f>
        <v>1</v>
      </c>
      <c r="CV125">
        <f>IF('Black &amp; White load sheet'!144:144,"AAAAAG77r2M=",0)</f>
        <v>0</v>
      </c>
      <c r="CW125" t="b">
        <f>AND('Black &amp; White load sheet'!A144,"AAAAAG77r2Q=")</f>
        <v>1</v>
      </c>
      <c r="CX125" t="b">
        <f>AND('Black &amp; White load sheet'!B144,"AAAAAG77r2U=")</f>
        <v>1</v>
      </c>
      <c r="CY125" t="b">
        <f>AND('Black &amp; White load sheet'!C144,"AAAAAG77r2Y=")</f>
        <v>0</v>
      </c>
      <c r="CZ125" t="b">
        <f>AND('Black &amp; White load sheet'!D144,"AAAAAG77r2c=")</f>
        <v>0</v>
      </c>
      <c r="DA125" t="b">
        <f>AND('Black &amp; White load sheet'!E144,"AAAAAG77r2g=")</f>
        <v>1</v>
      </c>
      <c r="DB125" t="b">
        <f>AND('Black &amp; White load sheet'!F144,"AAAAAG77r2k=")</f>
        <v>0</v>
      </c>
      <c r="DC125" t="b">
        <f>AND('Black &amp; White load sheet'!G144,"AAAAAG77r2o=")</f>
        <v>1</v>
      </c>
      <c r="DD125" t="b">
        <f>AND('Black &amp; White load sheet'!H144,"AAAAAG77r2s=")</f>
        <v>0</v>
      </c>
      <c r="DE125" t="b">
        <f>AND('Black &amp; White load sheet'!I144,"AAAAAG77r2w=")</f>
        <v>0</v>
      </c>
      <c r="DF125" t="b">
        <f>AND('Black &amp; White load sheet'!J144,"AAAAAG77r20=")</f>
        <v>0</v>
      </c>
      <c r="DG125" t="b">
        <f>AND('Black &amp; White load sheet'!K144,"AAAAAG77r24=")</f>
        <v>0</v>
      </c>
      <c r="DH125" t="b">
        <f>AND('Black &amp; White load sheet'!L144,"AAAAAG77r28=")</f>
        <v>0</v>
      </c>
      <c r="DI125" t="b">
        <f>AND('Black &amp; White load sheet'!M144,"AAAAAG77r3A=")</f>
        <v>1</v>
      </c>
      <c r="DJ125" t="b">
        <f>AND('Black &amp; White load sheet'!N144,"AAAAAG77r3E=")</f>
        <v>1</v>
      </c>
      <c r="DK125" t="b">
        <f>AND('Black &amp; White load sheet'!O144,"AAAAAG77r3I=")</f>
        <v>1</v>
      </c>
      <c r="DL125">
        <f>IF('Black &amp; White load sheet'!145:145,"AAAAAG77r3M=",0)</f>
        <v>0</v>
      </c>
      <c r="DM125" t="b">
        <f>AND('Black &amp; White load sheet'!A145,"AAAAAG77r3Q=")</f>
        <v>1</v>
      </c>
      <c r="DN125" t="b">
        <f>AND('Black &amp; White load sheet'!B145,"AAAAAG77r3U=")</f>
        <v>1</v>
      </c>
      <c r="DO125" t="b">
        <f>AND('Black &amp; White load sheet'!C145,"AAAAAG77r3Y=")</f>
        <v>0</v>
      </c>
      <c r="DP125" t="b">
        <f>AND('Black &amp; White load sheet'!D145,"AAAAAG77r3c=")</f>
        <v>0</v>
      </c>
      <c r="DQ125" t="b">
        <f>AND('Black &amp; White load sheet'!E145,"AAAAAG77r3g=")</f>
        <v>1</v>
      </c>
      <c r="DR125" t="b">
        <f>AND('Black &amp; White load sheet'!F145,"AAAAAG77r3k=")</f>
        <v>0</v>
      </c>
      <c r="DS125" t="b">
        <f>AND('Black &amp; White load sheet'!G145,"AAAAAG77r3o=")</f>
        <v>1</v>
      </c>
      <c r="DT125" t="b">
        <f>AND('Black &amp; White load sheet'!H145,"AAAAAG77r3s=")</f>
        <v>0</v>
      </c>
      <c r="DU125" t="b">
        <f>AND('Black &amp; White load sheet'!I145,"AAAAAG77r3w=")</f>
        <v>0</v>
      </c>
      <c r="DV125" t="b">
        <f>AND('Black &amp; White load sheet'!J145,"AAAAAG77r30=")</f>
        <v>0</v>
      </c>
      <c r="DW125" t="b">
        <f>AND('Black &amp; White load sheet'!K145,"AAAAAG77r34=")</f>
        <v>0</v>
      </c>
      <c r="DX125" t="b">
        <f>AND('Black &amp; White load sheet'!L145,"AAAAAG77r38=")</f>
        <v>1</v>
      </c>
      <c r="DY125" t="b">
        <f>AND('Black &amp; White load sheet'!M145,"AAAAAG77r4A=")</f>
        <v>1</v>
      </c>
      <c r="DZ125" t="b">
        <f>AND('Black &amp; White load sheet'!N145,"AAAAAG77r4E=")</f>
        <v>1</v>
      </c>
      <c r="EA125" t="b">
        <f>AND('Black &amp; White load sheet'!O145,"AAAAAG77r4I=")</f>
        <v>1</v>
      </c>
      <c r="EB125">
        <f>IF('Black &amp; White load sheet'!146:146,"AAAAAG77r4M=",0)</f>
        <v>0</v>
      </c>
      <c r="EC125" t="b">
        <f>AND('Black &amp; White load sheet'!A146,"AAAAAG77r4Q=")</f>
        <v>1</v>
      </c>
      <c r="ED125" t="b">
        <f>AND('Black &amp; White load sheet'!B146,"AAAAAG77r4U=")</f>
        <v>1</v>
      </c>
      <c r="EE125" t="b">
        <f>AND('Black &amp; White load sheet'!C146,"AAAAAG77r4Y=")</f>
        <v>0</v>
      </c>
      <c r="EF125" t="b">
        <f>AND('Black &amp; White load sheet'!D146,"AAAAAG77r4c=")</f>
        <v>0</v>
      </c>
      <c r="EG125" t="b">
        <f>AND('Black &amp; White load sheet'!E146,"AAAAAG77r4g=")</f>
        <v>1</v>
      </c>
      <c r="EH125" t="b">
        <f>AND('Black &amp; White load sheet'!F146,"AAAAAG77r4k=")</f>
        <v>0</v>
      </c>
      <c r="EI125" t="b">
        <f>AND('Black &amp; White load sheet'!G146,"AAAAAG77r4o=")</f>
        <v>1</v>
      </c>
      <c r="EJ125" t="b">
        <f>AND('Black &amp; White load sheet'!H146,"AAAAAG77r4s=")</f>
        <v>0</v>
      </c>
      <c r="EK125" t="b">
        <f>AND('Black &amp; White load sheet'!I146,"AAAAAG77r4w=")</f>
        <v>0</v>
      </c>
      <c r="EL125" t="b">
        <f>AND('Black &amp; White load sheet'!J146,"AAAAAG77r40=")</f>
        <v>0</v>
      </c>
      <c r="EM125" t="b">
        <f>AND('Black &amp; White load sheet'!K146,"AAAAAG77r44=")</f>
        <v>1</v>
      </c>
      <c r="EN125" t="b">
        <f>AND('Black &amp; White load sheet'!L146,"AAAAAG77r48=")</f>
        <v>0</v>
      </c>
      <c r="EO125" t="b">
        <f>AND('Black &amp; White load sheet'!M146,"AAAAAG77r5A=")</f>
        <v>1</v>
      </c>
      <c r="EP125" t="b">
        <f>AND('Black &amp; White load sheet'!N146,"AAAAAG77r5E=")</f>
        <v>1</v>
      </c>
      <c r="EQ125" t="b">
        <f>AND('Black &amp; White load sheet'!O146,"AAAAAG77r5I=")</f>
        <v>1</v>
      </c>
      <c r="ER125">
        <f>IF('Black &amp; White load sheet'!147:147,"AAAAAG77r5M=",0)</f>
        <v>0</v>
      </c>
      <c r="ES125" t="b">
        <f>AND('Black &amp; White load sheet'!A147,"AAAAAG77r5Q=")</f>
        <v>1</v>
      </c>
      <c r="ET125" t="b">
        <f>AND('Black &amp; White load sheet'!B147,"AAAAAG77r5U=")</f>
        <v>1</v>
      </c>
      <c r="EU125" t="b">
        <f>AND('Black &amp; White load sheet'!C147,"AAAAAG77r5Y=")</f>
        <v>0</v>
      </c>
      <c r="EV125" t="b">
        <f>AND('Black &amp; White load sheet'!D147,"AAAAAG77r5c=")</f>
        <v>0</v>
      </c>
      <c r="EW125" t="b">
        <f>AND('Black &amp; White load sheet'!E147,"AAAAAG77r5g=")</f>
        <v>1</v>
      </c>
      <c r="EX125" t="b">
        <f>AND('Black &amp; White load sheet'!F147,"AAAAAG77r5k=")</f>
        <v>0</v>
      </c>
      <c r="EY125" t="b">
        <f>AND('Black &amp; White load sheet'!G147,"AAAAAG77r5o=")</f>
        <v>1</v>
      </c>
      <c r="EZ125" t="b">
        <f>AND('Black &amp; White load sheet'!H147,"AAAAAG77r5s=")</f>
        <v>0</v>
      </c>
      <c r="FA125" t="b">
        <f>AND('Black &amp; White load sheet'!I147,"AAAAAG77r5w=")</f>
        <v>0</v>
      </c>
      <c r="FB125" t="b">
        <f>AND('Black &amp; White load sheet'!J147,"AAAAAG77r50=")</f>
        <v>1</v>
      </c>
      <c r="FC125" t="b">
        <f>AND('Black &amp; White load sheet'!K147,"AAAAAG77r54=")</f>
        <v>0</v>
      </c>
      <c r="FD125" t="b">
        <f>AND('Black &amp; White load sheet'!L147,"AAAAAG77r58=")</f>
        <v>0</v>
      </c>
      <c r="FE125" t="b">
        <f>AND('Black &amp; White load sheet'!M147,"AAAAAG77r6A=")</f>
        <v>1</v>
      </c>
      <c r="FF125" t="b">
        <f>AND('Black &amp; White load sheet'!N147,"AAAAAG77r6E=")</f>
        <v>1</v>
      </c>
      <c r="FG125" t="b">
        <f>AND('Black &amp; White load sheet'!O147,"AAAAAG77r6I=")</f>
        <v>1</v>
      </c>
      <c r="FH125">
        <f>IF('Black &amp; White load sheet'!148:148,"AAAAAG77r6M=",0)</f>
        <v>0</v>
      </c>
      <c r="FI125" t="b">
        <f>AND('Black &amp; White load sheet'!A148,"AAAAAG77r6Q=")</f>
        <v>1</v>
      </c>
      <c r="FJ125" t="b">
        <f>AND('Black &amp; White load sheet'!B148,"AAAAAG77r6U=")</f>
        <v>1</v>
      </c>
      <c r="FK125" t="b">
        <f>AND('Black &amp; White load sheet'!C148,"AAAAAG77r6Y=")</f>
        <v>0</v>
      </c>
      <c r="FL125" t="b">
        <f>AND('Black &amp; White load sheet'!D148,"AAAAAG77r6c=")</f>
        <v>0</v>
      </c>
      <c r="FM125" t="b">
        <f>AND('Black &amp; White load sheet'!E148,"AAAAAG77r6g=")</f>
        <v>1</v>
      </c>
      <c r="FN125" t="b">
        <f>AND('Black &amp; White load sheet'!F148,"AAAAAG77r6k=")</f>
        <v>0</v>
      </c>
      <c r="FO125" t="b">
        <f>AND('Black &amp; White load sheet'!G148,"AAAAAG77r6o=")</f>
        <v>1</v>
      </c>
      <c r="FP125" t="b">
        <f>AND('Black &amp; White load sheet'!H148,"AAAAAG77r6s=")</f>
        <v>0</v>
      </c>
      <c r="FQ125" t="b">
        <f>AND('Black &amp; White load sheet'!I148,"AAAAAG77r6w=")</f>
        <v>1</v>
      </c>
      <c r="FR125" t="b">
        <f>AND('Black &amp; White load sheet'!J148,"AAAAAG77r60=")</f>
        <v>0</v>
      </c>
      <c r="FS125" t="b">
        <f>AND('Black &amp; White load sheet'!K148,"AAAAAG77r64=")</f>
        <v>0</v>
      </c>
      <c r="FT125" t="b">
        <f>AND('Black &amp; White load sheet'!L148,"AAAAAG77r68=")</f>
        <v>0</v>
      </c>
      <c r="FU125" t="b">
        <f>AND('Black &amp; White load sheet'!M148,"AAAAAG77r7A=")</f>
        <v>1</v>
      </c>
      <c r="FV125" t="b">
        <f>AND('Black &amp; White load sheet'!N148,"AAAAAG77r7E=")</f>
        <v>1</v>
      </c>
      <c r="FW125" t="b">
        <f>AND('Black &amp; White load sheet'!O148,"AAAAAG77r7I=")</f>
        <v>1</v>
      </c>
      <c r="FX125">
        <f>IF('Black &amp; White load sheet'!149:149,"AAAAAG77r7M=",0)</f>
        <v>0</v>
      </c>
      <c r="FY125" t="b">
        <f>AND('Black &amp; White load sheet'!A149,"AAAAAG77r7Q=")</f>
        <v>1</v>
      </c>
      <c r="FZ125" t="b">
        <f>AND('Black &amp; White load sheet'!B149,"AAAAAG77r7U=")</f>
        <v>1</v>
      </c>
      <c r="GA125" t="b">
        <f>AND('Black &amp; White load sheet'!C149,"AAAAAG77r7Y=")</f>
        <v>0</v>
      </c>
      <c r="GB125" t="b">
        <f>AND('Black &amp; White load sheet'!D149,"AAAAAG77r7c=")</f>
        <v>0</v>
      </c>
      <c r="GC125" t="b">
        <f>AND('Black &amp; White load sheet'!E149,"AAAAAG77r7g=")</f>
        <v>1</v>
      </c>
      <c r="GD125" t="b">
        <f>AND('Black &amp; White load sheet'!F149,"AAAAAG77r7k=")</f>
        <v>0</v>
      </c>
      <c r="GE125" t="b">
        <f>AND('Black &amp; White load sheet'!G149,"AAAAAG77r7o=")</f>
        <v>1</v>
      </c>
      <c r="GF125" t="b">
        <f>AND('Black &amp; White load sheet'!H149,"AAAAAG77r7s=")</f>
        <v>1</v>
      </c>
      <c r="GG125" t="b">
        <f>AND('Black &amp; White load sheet'!I149,"AAAAAG77r7w=")</f>
        <v>0</v>
      </c>
      <c r="GH125" t="b">
        <f>AND('Black &amp; White load sheet'!J149,"AAAAAG77r70=")</f>
        <v>0</v>
      </c>
      <c r="GI125" t="b">
        <f>AND('Black &amp; White load sheet'!K149,"AAAAAG77r74=")</f>
        <v>0</v>
      </c>
      <c r="GJ125" t="b">
        <f>AND('Black &amp; White load sheet'!L149,"AAAAAG77r78=")</f>
        <v>0</v>
      </c>
      <c r="GK125" t="b">
        <f>AND('Black &amp; White load sheet'!M149,"AAAAAG77r8A=")</f>
        <v>1</v>
      </c>
      <c r="GL125" t="b">
        <f>AND('Black &amp; White load sheet'!N149,"AAAAAG77r8E=")</f>
        <v>1</v>
      </c>
      <c r="GM125" t="b">
        <f>AND('Black &amp; White load sheet'!O149,"AAAAAG77r8I=")</f>
        <v>1</v>
      </c>
      <c r="GN125">
        <f>IF('Black &amp; White load sheet'!150:150,"AAAAAG77r8M=",0)</f>
        <v>0</v>
      </c>
      <c r="GO125" t="b">
        <f>AND('Black &amp; White load sheet'!A150,"AAAAAG77r8Q=")</f>
        <v>1</v>
      </c>
      <c r="GP125" t="b">
        <f>AND('Black &amp; White load sheet'!B150,"AAAAAG77r8U=")</f>
        <v>1</v>
      </c>
      <c r="GQ125" t="b">
        <f>AND('Black &amp; White load sheet'!C150,"AAAAAG77r8Y=")</f>
        <v>0</v>
      </c>
      <c r="GR125" t="b">
        <f>AND('Black &amp; White load sheet'!D150,"AAAAAG77r8c=")</f>
        <v>0</v>
      </c>
      <c r="GS125" t="b">
        <f>AND('Black &amp; White load sheet'!E150,"AAAAAG77r8g=")</f>
        <v>1</v>
      </c>
      <c r="GT125" t="b">
        <f>AND('Black &amp; White load sheet'!F150,"AAAAAG77r8k=")</f>
        <v>0</v>
      </c>
      <c r="GU125" t="b">
        <f>AND('Black &amp; White load sheet'!G150,"AAAAAG77r8o=")</f>
        <v>1</v>
      </c>
      <c r="GV125" t="b">
        <f>AND('Black &amp; White load sheet'!H150,"AAAAAG77r8s=")</f>
        <v>1</v>
      </c>
      <c r="GW125" t="b">
        <f>AND('Black &amp; White load sheet'!I150,"AAAAAG77r8w=")</f>
        <v>0</v>
      </c>
      <c r="GX125" t="b">
        <f>AND('Black &amp; White load sheet'!J150,"AAAAAG77r80=")</f>
        <v>0</v>
      </c>
      <c r="GY125" t="b">
        <f>AND('Black &amp; White load sheet'!K150,"AAAAAG77r84=")</f>
        <v>0</v>
      </c>
      <c r="GZ125" t="b">
        <f>AND('Black &amp; White load sheet'!L150,"AAAAAG77r88=")</f>
        <v>1</v>
      </c>
      <c r="HA125" t="b">
        <f>AND('Black &amp; White load sheet'!M150,"AAAAAG77r9A=")</f>
        <v>1</v>
      </c>
      <c r="HB125" t="b">
        <f>AND('Black &amp; White load sheet'!N150,"AAAAAG77r9E=")</f>
        <v>1</v>
      </c>
      <c r="HC125" t="b">
        <f>AND('Black &amp; White load sheet'!O150,"AAAAAG77r9I=")</f>
        <v>1</v>
      </c>
      <c r="HD125">
        <f>IF('Black &amp; White load sheet'!151:151,"AAAAAG77r9M=",0)</f>
        <v>0</v>
      </c>
      <c r="HE125" t="b">
        <f>AND('Black &amp; White load sheet'!A151,"AAAAAG77r9Q=")</f>
        <v>1</v>
      </c>
      <c r="HF125" t="b">
        <f>AND('Black &amp; White load sheet'!B151,"AAAAAG77r9U=")</f>
        <v>1</v>
      </c>
      <c r="HG125" t="b">
        <f>AND('Black &amp; White load sheet'!C151,"AAAAAG77r9Y=")</f>
        <v>0</v>
      </c>
      <c r="HH125" t="b">
        <f>AND('Black &amp; White load sheet'!D151,"AAAAAG77r9c=")</f>
        <v>0</v>
      </c>
      <c r="HI125" t="b">
        <f>AND('Black &amp; White load sheet'!E151,"AAAAAG77r9g=")</f>
        <v>1</v>
      </c>
      <c r="HJ125" t="b">
        <f>AND('Black &amp; White load sheet'!F151,"AAAAAG77r9k=")</f>
        <v>0</v>
      </c>
      <c r="HK125" t="b">
        <f>AND('Black &amp; White load sheet'!G151,"AAAAAG77r9o=")</f>
        <v>1</v>
      </c>
      <c r="HL125" t="b">
        <f>AND('Black &amp; White load sheet'!H151,"AAAAAG77r9s=")</f>
        <v>1</v>
      </c>
      <c r="HM125" t="b">
        <f>AND('Black &amp; White load sheet'!I151,"AAAAAG77r9w=")</f>
        <v>0</v>
      </c>
      <c r="HN125" t="b">
        <f>AND('Black &amp; White load sheet'!J151,"AAAAAG77r90=")</f>
        <v>0</v>
      </c>
      <c r="HO125" t="b">
        <f>AND('Black &amp; White load sheet'!K151,"AAAAAG77r94=")</f>
        <v>1</v>
      </c>
      <c r="HP125" t="b">
        <f>AND('Black &amp; White load sheet'!L151,"AAAAAG77r98=")</f>
        <v>0</v>
      </c>
      <c r="HQ125" t="b">
        <f>AND('Black &amp; White load sheet'!M151,"AAAAAG77r+A=")</f>
        <v>1</v>
      </c>
      <c r="HR125" t="b">
        <f>AND('Black &amp; White load sheet'!N151,"AAAAAG77r+E=")</f>
        <v>1</v>
      </c>
      <c r="HS125" t="b">
        <f>AND('Black &amp; White load sheet'!O151,"AAAAAG77r+I=")</f>
        <v>1</v>
      </c>
      <c r="HT125">
        <f>IF('Black &amp; White load sheet'!152:152,"AAAAAG77r+M=",0)</f>
        <v>0</v>
      </c>
      <c r="HU125" t="b">
        <f>AND('Black &amp; White load sheet'!A152,"AAAAAG77r+Q=")</f>
        <v>1</v>
      </c>
      <c r="HV125" t="b">
        <f>AND('Black &amp; White load sheet'!B152,"AAAAAG77r+U=")</f>
        <v>1</v>
      </c>
      <c r="HW125" t="b">
        <f>AND('Black &amp; White load sheet'!C152,"AAAAAG77r+Y=")</f>
        <v>0</v>
      </c>
      <c r="HX125" t="b">
        <f>AND('Black &amp; White load sheet'!D152,"AAAAAG77r+c=")</f>
        <v>0</v>
      </c>
      <c r="HY125" t="b">
        <f>AND('Black &amp; White load sheet'!E152,"AAAAAG77r+g=")</f>
        <v>1</v>
      </c>
      <c r="HZ125" t="b">
        <f>AND('Black &amp; White load sheet'!F152,"AAAAAG77r+k=")</f>
        <v>0</v>
      </c>
      <c r="IA125" t="b">
        <f>AND('Black &amp; White load sheet'!G152,"AAAAAG77r+o=")</f>
        <v>1</v>
      </c>
      <c r="IB125" t="b">
        <f>AND('Black &amp; White load sheet'!H152,"AAAAAG77r+s=")</f>
        <v>1</v>
      </c>
      <c r="IC125" t="b">
        <f>AND('Black &amp; White load sheet'!I152,"AAAAAG77r+w=")</f>
        <v>0</v>
      </c>
      <c r="ID125" t="b">
        <f>AND('Black &amp; White load sheet'!J152,"AAAAAG77r+0=")</f>
        <v>1</v>
      </c>
      <c r="IE125" t="b">
        <f>AND('Black &amp; White load sheet'!K152,"AAAAAG77r+4=")</f>
        <v>0</v>
      </c>
      <c r="IF125" t="b">
        <f>AND('Black &amp; White load sheet'!L152,"AAAAAG77r+8=")</f>
        <v>0</v>
      </c>
      <c r="IG125" t="b">
        <f>AND('Black &amp; White load sheet'!M152,"AAAAAG77r/A=")</f>
        <v>1</v>
      </c>
      <c r="IH125" t="b">
        <f>AND('Black &amp; White load sheet'!N152,"AAAAAG77r/E=")</f>
        <v>1</v>
      </c>
      <c r="II125" t="b">
        <f>AND('Black &amp; White load sheet'!O152,"AAAAAG77r/I=")</f>
        <v>1</v>
      </c>
      <c r="IJ125">
        <f>IF('Black &amp; White load sheet'!153:153,"AAAAAG77r/M=",0)</f>
        <v>0</v>
      </c>
      <c r="IK125" t="b">
        <f>AND('Black &amp; White load sheet'!A153,"AAAAAG77r/Q=")</f>
        <v>1</v>
      </c>
      <c r="IL125" t="b">
        <f>AND('Black &amp; White load sheet'!B153,"AAAAAG77r/U=")</f>
        <v>1</v>
      </c>
      <c r="IM125" t="b">
        <f>AND('Black &amp; White load sheet'!C153,"AAAAAG77r/Y=")</f>
        <v>0</v>
      </c>
      <c r="IN125" t="b">
        <f>AND('Black &amp; White load sheet'!D153,"AAAAAG77r/c=")</f>
        <v>0</v>
      </c>
      <c r="IO125" t="b">
        <f>AND('Black &amp; White load sheet'!E153,"AAAAAG77r/g=")</f>
        <v>1</v>
      </c>
      <c r="IP125" t="b">
        <f>AND('Black &amp; White load sheet'!F153,"AAAAAG77r/k=")</f>
        <v>0</v>
      </c>
      <c r="IQ125" t="b">
        <f>AND('Black &amp; White load sheet'!G153,"AAAAAG77r/o=")</f>
        <v>1</v>
      </c>
      <c r="IR125" t="b">
        <f>AND('Black &amp; White load sheet'!H153,"AAAAAG77r/s=")</f>
        <v>1</v>
      </c>
      <c r="IS125" t="b">
        <f>AND('Black &amp; White load sheet'!I153,"AAAAAG77r/w=")</f>
        <v>1</v>
      </c>
      <c r="IT125" t="b">
        <f>AND('Black &amp; White load sheet'!J153,"AAAAAG77r/0=")</f>
        <v>0</v>
      </c>
      <c r="IU125" t="b">
        <f>AND('Black &amp; White load sheet'!K153,"AAAAAG77r/4=")</f>
        <v>0</v>
      </c>
      <c r="IV125" t="b">
        <f>AND('Black &amp; White load sheet'!L153,"AAAAAG77r/8=")</f>
        <v>0</v>
      </c>
    </row>
    <row r="126" spans="1:256">
      <c r="A126" t="b">
        <f>AND('Black &amp; White load sheet'!M153,"AAAAADN/fwA=")</f>
        <v>1</v>
      </c>
      <c r="B126" t="b">
        <f>AND('Black &amp; White load sheet'!N153,"AAAAADN/fwE=")</f>
        <v>1</v>
      </c>
      <c r="C126" t="b">
        <f>AND('Black &amp; White load sheet'!O153,"AAAAADN/fwI=")</f>
        <v>1</v>
      </c>
      <c r="D126">
        <f>IF('Black &amp; White load sheet'!154:154,"AAAAADN/fwM=",0)</f>
        <v>0</v>
      </c>
      <c r="E126" t="b">
        <f>AND('Black &amp; White load sheet'!A154,"AAAAADN/fwQ=")</f>
        <v>1</v>
      </c>
      <c r="F126" t="b">
        <f>AND('Black &amp; White load sheet'!B154,"AAAAADN/fwU=")</f>
        <v>1</v>
      </c>
      <c r="G126" t="b">
        <f>AND('Black &amp; White load sheet'!C154,"AAAAADN/fwY=")</f>
        <v>1</v>
      </c>
      <c r="H126" t="b">
        <f>AND('Black &amp; White load sheet'!D154,"AAAAADN/fwc=")</f>
        <v>0</v>
      </c>
      <c r="I126" t="b">
        <f>AND('Black &amp; White load sheet'!E154,"AAAAADN/fwg=")</f>
        <v>0</v>
      </c>
      <c r="J126" t="b">
        <f>AND('Black &amp; White load sheet'!F154,"AAAAADN/fwk=")</f>
        <v>0</v>
      </c>
      <c r="K126" t="b">
        <f>AND('Black &amp; White load sheet'!G154,"AAAAADN/fwo=")</f>
        <v>0</v>
      </c>
      <c r="L126" t="b">
        <f>AND('Black &amp; White load sheet'!H154,"AAAAADN/fws=")</f>
        <v>0</v>
      </c>
      <c r="M126" t="b">
        <f>AND('Black &amp; White load sheet'!I154,"AAAAADN/fww=")</f>
        <v>0</v>
      </c>
      <c r="N126" t="b">
        <f>AND('Black &amp; White load sheet'!J154,"AAAAADN/fw0=")</f>
        <v>0</v>
      </c>
      <c r="O126" t="b">
        <f>AND('Black &amp; White load sheet'!K154,"AAAAADN/fw4=")</f>
        <v>0</v>
      </c>
      <c r="P126" t="b">
        <f>AND('Black &amp; White load sheet'!L154,"AAAAADN/fw8=")</f>
        <v>0</v>
      </c>
      <c r="Q126" t="b">
        <f>AND('Black &amp; White load sheet'!M154,"AAAAADN/fxA=")</f>
        <v>1</v>
      </c>
      <c r="R126" t="b">
        <f>AND('Black &amp; White load sheet'!N154,"AAAAADN/fxE=")</f>
        <v>1</v>
      </c>
      <c r="S126" t="b">
        <f>AND('Black &amp; White load sheet'!O154,"AAAAADN/fxI=")</f>
        <v>1</v>
      </c>
      <c r="T126">
        <f>IF('Black &amp; White load sheet'!155:155,"AAAAADN/fxM=",0)</f>
        <v>0</v>
      </c>
      <c r="U126" t="b">
        <f>AND('Black &amp; White load sheet'!A155,"AAAAADN/fxQ=")</f>
        <v>1</v>
      </c>
      <c r="V126" t="b">
        <f>AND('Black &amp; White load sheet'!B155,"AAAAADN/fxU=")</f>
        <v>1</v>
      </c>
      <c r="W126" t="b">
        <f>AND('Black &amp; White load sheet'!C155,"AAAAADN/fxY=")</f>
        <v>1</v>
      </c>
      <c r="X126" t="b">
        <f>AND('Black &amp; White load sheet'!D155,"AAAAADN/fxc=")</f>
        <v>0</v>
      </c>
      <c r="Y126" t="b">
        <f>AND('Black &amp; White load sheet'!E155,"AAAAADN/fxg=")</f>
        <v>0</v>
      </c>
      <c r="Z126" t="b">
        <f>AND('Black &amp; White load sheet'!F155,"AAAAADN/fxk=")</f>
        <v>0</v>
      </c>
      <c r="AA126" t="b">
        <f>AND('Black &amp; White load sheet'!G155,"AAAAADN/fxo=")</f>
        <v>0</v>
      </c>
      <c r="AB126" t="b">
        <f>AND('Black &amp; White load sheet'!H155,"AAAAADN/fxs=")</f>
        <v>0</v>
      </c>
      <c r="AC126" t="b">
        <f>AND('Black &amp; White load sheet'!I155,"AAAAADN/fxw=")</f>
        <v>0</v>
      </c>
      <c r="AD126" t="b">
        <f>AND('Black &amp; White load sheet'!J155,"AAAAADN/fx0=")</f>
        <v>0</v>
      </c>
      <c r="AE126" t="b">
        <f>AND('Black &amp; White load sheet'!K155,"AAAAADN/fx4=")</f>
        <v>0</v>
      </c>
      <c r="AF126" t="b">
        <f>AND('Black &amp; White load sheet'!L155,"AAAAADN/fx8=")</f>
        <v>1</v>
      </c>
      <c r="AG126" t="b">
        <f>AND('Black &amp; White load sheet'!M155,"AAAAADN/fyA=")</f>
        <v>1</v>
      </c>
      <c r="AH126" t="b">
        <f>AND('Black &amp; White load sheet'!N155,"AAAAADN/fyE=")</f>
        <v>1</v>
      </c>
      <c r="AI126" t="b">
        <f>AND('Black &amp; White load sheet'!O155,"AAAAADN/fyI=")</f>
        <v>1</v>
      </c>
      <c r="AJ126">
        <f>IF('Black &amp; White load sheet'!156:156,"AAAAADN/fyM=",0)</f>
        <v>0</v>
      </c>
      <c r="AK126" t="b">
        <f>AND('Black &amp; White load sheet'!A156,"AAAAADN/fyQ=")</f>
        <v>1</v>
      </c>
      <c r="AL126" t="b">
        <f>AND('Black &amp; White load sheet'!B156,"AAAAADN/fyU=")</f>
        <v>1</v>
      </c>
      <c r="AM126" t="b">
        <f>AND('Black &amp; White load sheet'!C156,"AAAAADN/fyY=")</f>
        <v>1</v>
      </c>
      <c r="AN126" t="b">
        <f>AND('Black &amp; White load sheet'!D156,"AAAAADN/fyc=")</f>
        <v>0</v>
      </c>
      <c r="AO126" t="b">
        <f>AND('Black &amp; White load sheet'!E156,"AAAAADN/fyg=")</f>
        <v>0</v>
      </c>
      <c r="AP126" t="b">
        <f>AND('Black &amp; White load sheet'!F156,"AAAAADN/fyk=")</f>
        <v>0</v>
      </c>
      <c r="AQ126" t="b">
        <f>AND('Black &amp; White load sheet'!G156,"AAAAADN/fyo=")</f>
        <v>0</v>
      </c>
      <c r="AR126" t="b">
        <f>AND('Black &amp; White load sheet'!H156,"AAAAADN/fys=")</f>
        <v>0</v>
      </c>
      <c r="AS126" t="b">
        <f>AND('Black &amp; White load sheet'!I156,"AAAAADN/fyw=")</f>
        <v>0</v>
      </c>
      <c r="AT126" t="b">
        <f>AND('Black &amp; White load sheet'!J156,"AAAAADN/fy0=")</f>
        <v>0</v>
      </c>
      <c r="AU126" t="b">
        <f>AND('Black &amp; White load sheet'!K156,"AAAAADN/fy4=")</f>
        <v>1</v>
      </c>
      <c r="AV126" t="b">
        <f>AND('Black &amp; White load sheet'!L156,"AAAAADN/fy8=")</f>
        <v>0</v>
      </c>
      <c r="AW126" t="b">
        <f>AND('Black &amp; White load sheet'!M156,"AAAAADN/fzA=")</f>
        <v>1</v>
      </c>
      <c r="AX126" t="b">
        <f>AND('Black &amp; White load sheet'!N156,"AAAAADN/fzE=")</f>
        <v>1</v>
      </c>
      <c r="AY126" t="b">
        <f>AND('Black &amp; White load sheet'!O156,"AAAAADN/fzI=")</f>
        <v>1</v>
      </c>
      <c r="AZ126">
        <f>IF('Black &amp; White load sheet'!157:157,"AAAAADN/fzM=",0)</f>
        <v>0</v>
      </c>
      <c r="BA126" t="b">
        <f>AND('Black &amp; White load sheet'!A157,"AAAAADN/fzQ=")</f>
        <v>1</v>
      </c>
      <c r="BB126" t="b">
        <f>AND('Black &amp; White load sheet'!B157,"AAAAADN/fzU=")</f>
        <v>1</v>
      </c>
      <c r="BC126" t="b">
        <f>AND('Black &amp; White load sheet'!C157,"AAAAADN/fzY=")</f>
        <v>1</v>
      </c>
      <c r="BD126" t="b">
        <f>AND('Black &amp; White load sheet'!D157,"AAAAADN/fzc=")</f>
        <v>0</v>
      </c>
      <c r="BE126" t="b">
        <f>AND('Black &amp; White load sheet'!E157,"AAAAADN/fzg=")</f>
        <v>0</v>
      </c>
      <c r="BF126" t="b">
        <f>AND('Black &amp; White load sheet'!F157,"AAAAADN/fzk=")</f>
        <v>0</v>
      </c>
      <c r="BG126" t="b">
        <f>AND('Black &amp; White load sheet'!G157,"AAAAADN/fzo=")</f>
        <v>0</v>
      </c>
      <c r="BH126" t="b">
        <f>AND('Black &amp; White load sheet'!H157,"AAAAADN/fzs=")</f>
        <v>0</v>
      </c>
      <c r="BI126" t="b">
        <f>AND('Black &amp; White load sheet'!I157,"AAAAADN/fzw=")</f>
        <v>0</v>
      </c>
      <c r="BJ126" t="b">
        <f>AND('Black &amp; White load sheet'!J157,"AAAAADN/fz0=")</f>
        <v>1</v>
      </c>
      <c r="BK126" t="b">
        <f>AND('Black &amp; White load sheet'!K157,"AAAAADN/fz4=")</f>
        <v>0</v>
      </c>
      <c r="BL126" t="b">
        <f>AND('Black &amp; White load sheet'!L157,"AAAAADN/fz8=")</f>
        <v>0</v>
      </c>
      <c r="BM126" t="b">
        <f>AND('Black &amp; White load sheet'!M157,"AAAAADN/f0A=")</f>
        <v>1</v>
      </c>
      <c r="BN126" t="b">
        <f>AND('Black &amp; White load sheet'!N157,"AAAAADN/f0E=")</f>
        <v>1</v>
      </c>
      <c r="BO126" t="b">
        <f>AND('Black &amp; White load sheet'!O157,"AAAAADN/f0I=")</f>
        <v>1</v>
      </c>
      <c r="BP126">
        <f>IF('Black &amp; White load sheet'!158:158,"AAAAADN/f0M=",0)</f>
        <v>0</v>
      </c>
      <c r="BQ126" t="b">
        <f>AND('Black &amp; White load sheet'!A158,"AAAAADN/f0Q=")</f>
        <v>1</v>
      </c>
      <c r="BR126" t="b">
        <f>AND('Black &amp; White load sheet'!B158,"AAAAADN/f0U=")</f>
        <v>1</v>
      </c>
      <c r="BS126" t="b">
        <f>AND('Black &amp; White load sheet'!C158,"AAAAADN/f0Y=")</f>
        <v>1</v>
      </c>
      <c r="BT126" t="b">
        <f>AND('Black &amp; White load sheet'!D158,"AAAAADN/f0c=")</f>
        <v>0</v>
      </c>
      <c r="BU126" t="b">
        <f>AND('Black &amp; White load sheet'!E158,"AAAAADN/f0g=")</f>
        <v>0</v>
      </c>
      <c r="BV126" t="b">
        <f>AND('Black &amp; White load sheet'!F158,"AAAAADN/f0k=")</f>
        <v>0</v>
      </c>
      <c r="BW126" t="b">
        <f>AND('Black &amp; White load sheet'!G158,"AAAAADN/f0o=")</f>
        <v>0</v>
      </c>
      <c r="BX126" t="b">
        <f>AND('Black &amp; White load sheet'!H158,"AAAAADN/f0s=")</f>
        <v>0</v>
      </c>
      <c r="BY126" t="b">
        <f>AND('Black &amp; White load sheet'!I158,"AAAAADN/f0w=")</f>
        <v>1</v>
      </c>
      <c r="BZ126" t="b">
        <f>AND('Black &amp; White load sheet'!J158,"AAAAADN/f00=")</f>
        <v>0</v>
      </c>
      <c r="CA126" t="b">
        <f>AND('Black &amp; White load sheet'!K158,"AAAAADN/f04=")</f>
        <v>0</v>
      </c>
      <c r="CB126" t="b">
        <f>AND('Black &amp; White load sheet'!L158,"AAAAADN/f08=")</f>
        <v>0</v>
      </c>
      <c r="CC126" t="b">
        <f>AND('Black &amp; White load sheet'!M158,"AAAAADN/f1A=")</f>
        <v>1</v>
      </c>
      <c r="CD126" t="b">
        <f>AND('Black &amp; White load sheet'!N158,"AAAAADN/f1E=")</f>
        <v>1</v>
      </c>
      <c r="CE126" t="b">
        <f>AND('Black &amp; White load sheet'!O158,"AAAAADN/f1I=")</f>
        <v>1</v>
      </c>
      <c r="CF126">
        <f>IF('Black &amp; White load sheet'!159:159,"AAAAADN/f1M=",0)</f>
        <v>0</v>
      </c>
      <c r="CG126" t="b">
        <f>AND('Black &amp; White load sheet'!A159,"AAAAADN/f1Q=")</f>
        <v>1</v>
      </c>
      <c r="CH126" t="b">
        <f>AND('Black &amp; White load sheet'!B159,"AAAAADN/f1U=")</f>
        <v>1</v>
      </c>
      <c r="CI126" t="b">
        <f>AND('Black &amp; White load sheet'!C159,"AAAAADN/f1Y=")</f>
        <v>1</v>
      </c>
      <c r="CJ126" t="b">
        <f>AND('Black &amp; White load sheet'!D159,"AAAAADN/f1c=")</f>
        <v>0</v>
      </c>
      <c r="CK126" t="b">
        <f>AND('Black &amp; White load sheet'!E159,"AAAAADN/f1g=")</f>
        <v>0</v>
      </c>
      <c r="CL126" t="b">
        <f>AND('Black &amp; White load sheet'!F159,"AAAAADN/f1k=")</f>
        <v>0</v>
      </c>
      <c r="CM126" t="b">
        <f>AND('Black &amp; White load sheet'!G159,"AAAAADN/f1o=")</f>
        <v>0</v>
      </c>
      <c r="CN126" t="b">
        <f>AND('Black &amp; White load sheet'!H159,"AAAAADN/f1s=")</f>
        <v>1</v>
      </c>
      <c r="CO126" t="b">
        <f>AND('Black &amp; White load sheet'!I159,"AAAAADN/f1w=")</f>
        <v>0</v>
      </c>
      <c r="CP126" t="b">
        <f>AND('Black &amp; White load sheet'!J159,"AAAAADN/f10=")</f>
        <v>0</v>
      </c>
      <c r="CQ126" t="b">
        <f>AND('Black &amp; White load sheet'!K159,"AAAAADN/f14=")</f>
        <v>0</v>
      </c>
      <c r="CR126" t="b">
        <f>AND('Black &amp; White load sheet'!L159,"AAAAADN/f18=")</f>
        <v>0</v>
      </c>
      <c r="CS126" t="b">
        <f>AND('Black &amp; White load sheet'!M159,"AAAAADN/f2A=")</f>
        <v>1</v>
      </c>
      <c r="CT126" t="b">
        <f>AND('Black &amp; White load sheet'!N159,"AAAAADN/f2E=")</f>
        <v>1</v>
      </c>
      <c r="CU126" t="b">
        <f>AND('Black &amp; White load sheet'!O159,"AAAAADN/f2I=")</f>
        <v>1</v>
      </c>
      <c r="CV126">
        <f>IF('Black &amp; White load sheet'!160:160,"AAAAADN/f2M=",0)</f>
        <v>0</v>
      </c>
      <c r="CW126" t="b">
        <f>AND('Black &amp; White load sheet'!A160,"AAAAADN/f2Q=")</f>
        <v>1</v>
      </c>
      <c r="CX126" t="b">
        <f>AND('Black &amp; White load sheet'!B160,"AAAAADN/f2U=")</f>
        <v>1</v>
      </c>
      <c r="CY126" t="b">
        <f>AND('Black &amp; White load sheet'!C160,"AAAAADN/f2Y=")</f>
        <v>1</v>
      </c>
      <c r="CZ126" t="b">
        <f>AND('Black &amp; White load sheet'!D160,"AAAAADN/f2c=")</f>
        <v>0</v>
      </c>
      <c r="DA126" t="b">
        <f>AND('Black &amp; White load sheet'!E160,"AAAAADN/f2g=")</f>
        <v>0</v>
      </c>
      <c r="DB126" t="b">
        <f>AND('Black &amp; White load sheet'!F160,"AAAAADN/f2k=")</f>
        <v>0</v>
      </c>
      <c r="DC126" t="b">
        <f>AND('Black &amp; White load sheet'!G160,"AAAAADN/f2o=")</f>
        <v>0</v>
      </c>
      <c r="DD126" t="b">
        <f>AND('Black &amp; White load sheet'!H160,"AAAAADN/f2s=")</f>
        <v>1</v>
      </c>
      <c r="DE126" t="b">
        <f>AND('Black &amp; White load sheet'!I160,"AAAAADN/f2w=")</f>
        <v>0</v>
      </c>
      <c r="DF126" t="b">
        <f>AND('Black &amp; White load sheet'!J160,"AAAAADN/f20=")</f>
        <v>0</v>
      </c>
      <c r="DG126" t="b">
        <f>AND('Black &amp; White load sheet'!K160,"AAAAADN/f24=")</f>
        <v>0</v>
      </c>
      <c r="DH126" t="b">
        <f>AND('Black &amp; White load sheet'!L160,"AAAAADN/f28=")</f>
        <v>1</v>
      </c>
      <c r="DI126" t="b">
        <f>AND('Black &amp; White load sheet'!M160,"AAAAADN/f3A=")</f>
        <v>1</v>
      </c>
      <c r="DJ126" t="b">
        <f>AND('Black &amp; White load sheet'!N160,"AAAAADN/f3E=")</f>
        <v>1</v>
      </c>
      <c r="DK126" t="b">
        <f>AND('Black &amp; White load sheet'!O160,"AAAAADN/f3I=")</f>
        <v>1</v>
      </c>
      <c r="DL126">
        <f>IF('Black &amp; White load sheet'!161:161,"AAAAADN/f3M=",0)</f>
        <v>0</v>
      </c>
      <c r="DM126" t="b">
        <f>AND('Black &amp; White load sheet'!A161,"AAAAADN/f3Q=")</f>
        <v>1</v>
      </c>
      <c r="DN126" t="b">
        <f>AND('Black &amp; White load sheet'!B161,"AAAAADN/f3U=")</f>
        <v>1</v>
      </c>
      <c r="DO126" t="b">
        <f>AND('Black &amp; White load sheet'!C161,"AAAAADN/f3Y=")</f>
        <v>1</v>
      </c>
      <c r="DP126" t="b">
        <f>AND('Black &amp; White load sheet'!D161,"AAAAADN/f3c=")</f>
        <v>0</v>
      </c>
      <c r="DQ126" t="b">
        <f>AND('Black &amp; White load sheet'!E161,"AAAAADN/f3g=")</f>
        <v>0</v>
      </c>
      <c r="DR126" t="b">
        <f>AND('Black &amp; White load sheet'!F161,"AAAAADN/f3k=")</f>
        <v>0</v>
      </c>
      <c r="DS126" t="b">
        <f>AND('Black &amp; White load sheet'!G161,"AAAAADN/f3o=")</f>
        <v>0</v>
      </c>
      <c r="DT126" t="b">
        <f>AND('Black &amp; White load sheet'!H161,"AAAAADN/f3s=")</f>
        <v>1</v>
      </c>
      <c r="DU126" t="b">
        <f>AND('Black &amp; White load sheet'!I161,"AAAAADN/f3w=")</f>
        <v>0</v>
      </c>
      <c r="DV126" t="b">
        <f>AND('Black &amp; White load sheet'!J161,"AAAAADN/f30=")</f>
        <v>0</v>
      </c>
      <c r="DW126" t="b">
        <f>AND('Black &amp; White load sheet'!K161,"AAAAADN/f34=")</f>
        <v>1</v>
      </c>
      <c r="DX126" t="b">
        <f>AND('Black &amp; White load sheet'!L161,"AAAAADN/f38=")</f>
        <v>0</v>
      </c>
      <c r="DY126" t="b">
        <f>AND('Black &amp; White load sheet'!M161,"AAAAADN/f4A=")</f>
        <v>1</v>
      </c>
      <c r="DZ126" t="b">
        <f>AND('Black &amp; White load sheet'!N161,"AAAAADN/f4E=")</f>
        <v>1</v>
      </c>
      <c r="EA126" t="b">
        <f>AND('Black &amp; White load sheet'!O161,"AAAAADN/f4I=")</f>
        <v>1</v>
      </c>
      <c r="EB126">
        <f>IF('Black &amp; White load sheet'!162:162,"AAAAADN/f4M=",0)</f>
        <v>0</v>
      </c>
      <c r="EC126" t="b">
        <f>AND('Black &amp; White load sheet'!A162,"AAAAADN/f4Q=")</f>
        <v>1</v>
      </c>
      <c r="ED126" t="b">
        <f>AND('Black &amp; White load sheet'!B162,"AAAAADN/f4U=")</f>
        <v>1</v>
      </c>
      <c r="EE126" t="b">
        <f>AND('Black &amp; White load sheet'!C162,"AAAAADN/f4Y=")</f>
        <v>1</v>
      </c>
      <c r="EF126" t="b">
        <f>AND('Black &amp; White load sheet'!D162,"AAAAADN/f4c=")</f>
        <v>0</v>
      </c>
      <c r="EG126" t="b">
        <f>AND('Black &amp; White load sheet'!E162,"AAAAADN/f4g=")</f>
        <v>0</v>
      </c>
      <c r="EH126" t="b">
        <f>AND('Black &amp; White load sheet'!F162,"AAAAADN/f4k=")</f>
        <v>0</v>
      </c>
      <c r="EI126" t="b">
        <f>AND('Black &amp; White load sheet'!G162,"AAAAADN/f4o=")</f>
        <v>0</v>
      </c>
      <c r="EJ126" t="b">
        <f>AND('Black &amp; White load sheet'!H162,"AAAAADN/f4s=")</f>
        <v>1</v>
      </c>
      <c r="EK126" t="b">
        <f>AND('Black &amp; White load sheet'!I162,"AAAAADN/f4w=")</f>
        <v>0</v>
      </c>
      <c r="EL126" t="b">
        <f>AND('Black &amp; White load sheet'!J162,"AAAAADN/f40=")</f>
        <v>1</v>
      </c>
      <c r="EM126" t="b">
        <f>AND('Black &amp; White load sheet'!K162,"AAAAADN/f44=")</f>
        <v>0</v>
      </c>
      <c r="EN126" t="b">
        <f>AND('Black &amp; White load sheet'!L162,"AAAAADN/f48=")</f>
        <v>0</v>
      </c>
      <c r="EO126" t="b">
        <f>AND('Black &amp; White load sheet'!M162,"AAAAADN/f5A=")</f>
        <v>1</v>
      </c>
      <c r="EP126" t="b">
        <f>AND('Black &amp; White load sheet'!N162,"AAAAADN/f5E=")</f>
        <v>1</v>
      </c>
      <c r="EQ126" t="b">
        <f>AND('Black &amp; White load sheet'!O162,"AAAAADN/f5I=")</f>
        <v>1</v>
      </c>
      <c r="ER126">
        <f>IF('Black &amp; White load sheet'!163:163,"AAAAADN/f5M=",0)</f>
        <v>0</v>
      </c>
      <c r="ES126" t="b">
        <f>AND('Black &amp; White load sheet'!A163,"AAAAADN/f5Q=")</f>
        <v>1</v>
      </c>
      <c r="ET126" t="b">
        <f>AND('Black &amp; White load sheet'!B163,"AAAAADN/f5U=")</f>
        <v>1</v>
      </c>
      <c r="EU126" t="b">
        <f>AND('Black &amp; White load sheet'!C163,"AAAAADN/f5Y=")</f>
        <v>1</v>
      </c>
      <c r="EV126" t="b">
        <f>AND('Black &amp; White load sheet'!D163,"AAAAADN/f5c=")</f>
        <v>0</v>
      </c>
      <c r="EW126" t="b">
        <f>AND('Black &amp; White load sheet'!E163,"AAAAADN/f5g=")</f>
        <v>0</v>
      </c>
      <c r="EX126" t="b">
        <f>AND('Black &amp; White load sheet'!F163,"AAAAADN/f5k=")</f>
        <v>0</v>
      </c>
      <c r="EY126" t="b">
        <f>AND('Black &amp; White load sheet'!G163,"AAAAADN/f5o=")</f>
        <v>0</v>
      </c>
      <c r="EZ126" t="b">
        <f>AND('Black &amp; White load sheet'!H163,"AAAAADN/f5s=")</f>
        <v>1</v>
      </c>
      <c r="FA126" t="b">
        <f>AND('Black &amp; White load sheet'!I163,"AAAAADN/f5w=")</f>
        <v>1</v>
      </c>
      <c r="FB126" t="b">
        <f>AND('Black &amp; White load sheet'!J163,"AAAAADN/f50=")</f>
        <v>0</v>
      </c>
      <c r="FC126" t="b">
        <f>AND('Black &amp; White load sheet'!K163,"AAAAADN/f54=")</f>
        <v>0</v>
      </c>
      <c r="FD126" t="b">
        <f>AND('Black &amp; White load sheet'!L163,"AAAAADN/f58=")</f>
        <v>0</v>
      </c>
      <c r="FE126" t="b">
        <f>AND('Black &amp; White load sheet'!M163,"AAAAADN/f6A=")</f>
        <v>1</v>
      </c>
      <c r="FF126" t="b">
        <f>AND('Black &amp; White load sheet'!N163,"AAAAADN/f6E=")</f>
        <v>1</v>
      </c>
      <c r="FG126" t="b">
        <f>AND('Black &amp; White load sheet'!O163,"AAAAADN/f6I=")</f>
        <v>1</v>
      </c>
      <c r="FH126">
        <f>IF('Black &amp; White load sheet'!164:164,"AAAAADN/f6M=",0)</f>
        <v>0</v>
      </c>
      <c r="FI126" t="b">
        <f>AND('Black &amp; White load sheet'!A164,"AAAAADN/f6Q=")</f>
        <v>1</v>
      </c>
      <c r="FJ126" t="b">
        <f>AND('Black &amp; White load sheet'!B164,"AAAAADN/f6U=")</f>
        <v>1</v>
      </c>
      <c r="FK126" t="b">
        <f>AND('Black &amp; White load sheet'!C164,"AAAAADN/f6Y=")</f>
        <v>1</v>
      </c>
      <c r="FL126" t="b">
        <f>AND('Black &amp; White load sheet'!D164,"AAAAADN/f6c=")</f>
        <v>0</v>
      </c>
      <c r="FM126" t="b">
        <f>AND('Black &amp; White load sheet'!E164,"AAAAADN/f6g=")</f>
        <v>0</v>
      </c>
      <c r="FN126" t="b">
        <f>AND('Black &amp; White load sheet'!F164,"AAAAADN/f6k=")</f>
        <v>0</v>
      </c>
      <c r="FO126" t="b">
        <f>AND('Black &amp; White load sheet'!G164,"AAAAADN/f6o=")</f>
        <v>1</v>
      </c>
      <c r="FP126" t="b">
        <f>AND('Black &amp; White load sheet'!H164,"AAAAADN/f6s=")</f>
        <v>0</v>
      </c>
      <c r="FQ126" t="b">
        <f>AND('Black &amp; White load sheet'!I164,"AAAAADN/f6w=")</f>
        <v>0</v>
      </c>
      <c r="FR126" t="b">
        <f>AND('Black &amp; White load sheet'!J164,"AAAAADN/f60=")</f>
        <v>0</v>
      </c>
      <c r="FS126" t="b">
        <f>AND('Black &amp; White load sheet'!K164,"AAAAADN/f64=")</f>
        <v>0</v>
      </c>
      <c r="FT126" t="b">
        <f>AND('Black &amp; White load sheet'!L164,"AAAAADN/f68=")</f>
        <v>0</v>
      </c>
      <c r="FU126" t="b">
        <f>AND('Black &amp; White load sheet'!M164,"AAAAADN/f7A=")</f>
        <v>1</v>
      </c>
      <c r="FV126" t="b">
        <f>AND('Black &amp; White load sheet'!N164,"AAAAADN/f7E=")</f>
        <v>1</v>
      </c>
      <c r="FW126" t="b">
        <f>AND('Black &amp; White load sheet'!O164,"AAAAADN/f7I=")</f>
        <v>1</v>
      </c>
      <c r="FX126">
        <f>IF('Black &amp; White load sheet'!165:165,"AAAAADN/f7M=",0)</f>
        <v>0</v>
      </c>
      <c r="FY126" t="b">
        <f>AND('Black &amp; White load sheet'!A165,"AAAAADN/f7Q=")</f>
        <v>1</v>
      </c>
      <c r="FZ126" t="b">
        <f>AND('Black &amp; White load sheet'!B165,"AAAAADN/f7U=")</f>
        <v>1</v>
      </c>
      <c r="GA126" t="b">
        <f>AND('Black &amp; White load sheet'!C165,"AAAAADN/f7Y=")</f>
        <v>1</v>
      </c>
      <c r="GB126" t="b">
        <f>AND('Black &amp; White load sheet'!D165,"AAAAADN/f7c=")</f>
        <v>0</v>
      </c>
      <c r="GC126" t="b">
        <f>AND('Black &amp; White load sheet'!E165,"AAAAADN/f7g=")</f>
        <v>0</v>
      </c>
      <c r="GD126" t="b">
        <f>AND('Black &amp; White load sheet'!F165,"AAAAADN/f7k=")</f>
        <v>0</v>
      </c>
      <c r="GE126" t="b">
        <f>AND('Black &amp; White load sheet'!G165,"AAAAADN/f7o=")</f>
        <v>1</v>
      </c>
      <c r="GF126" t="b">
        <f>AND('Black &amp; White load sheet'!H165,"AAAAADN/f7s=")</f>
        <v>0</v>
      </c>
      <c r="GG126" t="b">
        <f>AND('Black &amp; White load sheet'!I165,"AAAAADN/f7w=")</f>
        <v>0</v>
      </c>
      <c r="GH126" t="b">
        <f>AND('Black &amp; White load sheet'!J165,"AAAAADN/f70=")</f>
        <v>0</v>
      </c>
      <c r="GI126" t="b">
        <f>AND('Black &amp; White load sheet'!K165,"AAAAADN/f74=")</f>
        <v>0</v>
      </c>
      <c r="GJ126" t="b">
        <f>AND('Black &amp; White load sheet'!L165,"AAAAADN/f78=")</f>
        <v>1</v>
      </c>
      <c r="GK126" t="b">
        <f>AND('Black &amp; White load sheet'!M165,"AAAAADN/f8A=")</f>
        <v>1</v>
      </c>
      <c r="GL126" t="b">
        <f>AND('Black &amp; White load sheet'!N165,"AAAAADN/f8E=")</f>
        <v>1</v>
      </c>
      <c r="GM126" t="b">
        <f>AND('Black &amp; White load sheet'!O165,"AAAAADN/f8I=")</f>
        <v>1</v>
      </c>
      <c r="GN126">
        <f>IF('Black &amp; White load sheet'!166:166,"AAAAADN/f8M=",0)</f>
        <v>0</v>
      </c>
      <c r="GO126" t="b">
        <f>AND('Black &amp; White load sheet'!A166,"AAAAADN/f8Q=")</f>
        <v>1</v>
      </c>
      <c r="GP126" t="b">
        <f>AND('Black &amp; White load sheet'!B166,"AAAAADN/f8U=")</f>
        <v>1</v>
      </c>
      <c r="GQ126" t="b">
        <f>AND('Black &amp; White load sheet'!C166,"AAAAADN/f8Y=")</f>
        <v>1</v>
      </c>
      <c r="GR126" t="b">
        <f>AND('Black &amp; White load sheet'!D166,"AAAAADN/f8c=")</f>
        <v>0</v>
      </c>
      <c r="GS126" t="b">
        <f>AND('Black &amp; White load sheet'!E166,"AAAAADN/f8g=")</f>
        <v>0</v>
      </c>
      <c r="GT126" t="b">
        <f>AND('Black &amp; White load sheet'!F166,"AAAAADN/f8k=")</f>
        <v>0</v>
      </c>
      <c r="GU126" t="b">
        <f>AND('Black &amp; White load sheet'!G166,"AAAAADN/f8o=")</f>
        <v>1</v>
      </c>
      <c r="GV126" t="b">
        <f>AND('Black &amp; White load sheet'!H166,"AAAAADN/f8s=")</f>
        <v>0</v>
      </c>
      <c r="GW126" t="b">
        <f>AND('Black &amp; White load sheet'!I166,"AAAAADN/f8w=")</f>
        <v>0</v>
      </c>
      <c r="GX126" t="b">
        <f>AND('Black &amp; White load sheet'!J166,"AAAAADN/f80=")</f>
        <v>0</v>
      </c>
      <c r="GY126" t="b">
        <f>AND('Black &amp; White load sheet'!K166,"AAAAADN/f84=")</f>
        <v>1</v>
      </c>
      <c r="GZ126" t="b">
        <f>AND('Black &amp; White load sheet'!L166,"AAAAADN/f88=")</f>
        <v>0</v>
      </c>
      <c r="HA126" t="b">
        <f>AND('Black &amp; White load sheet'!M166,"AAAAADN/f9A=")</f>
        <v>1</v>
      </c>
      <c r="HB126" t="b">
        <f>AND('Black &amp; White load sheet'!N166,"AAAAADN/f9E=")</f>
        <v>1</v>
      </c>
      <c r="HC126" t="b">
        <f>AND('Black &amp; White load sheet'!O166,"AAAAADN/f9I=")</f>
        <v>1</v>
      </c>
      <c r="HD126">
        <f>IF('Black &amp; White load sheet'!167:167,"AAAAADN/f9M=",0)</f>
        <v>0</v>
      </c>
      <c r="HE126" t="b">
        <f>AND('Black &amp; White load sheet'!A167,"AAAAADN/f9Q=")</f>
        <v>1</v>
      </c>
      <c r="HF126" t="b">
        <f>AND('Black &amp; White load sheet'!B167,"AAAAADN/f9U=")</f>
        <v>1</v>
      </c>
      <c r="HG126" t="b">
        <f>AND('Black &amp; White load sheet'!C167,"AAAAADN/f9Y=")</f>
        <v>1</v>
      </c>
      <c r="HH126" t="b">
        <f>AND('Black &amp; White load sheet'!D167,"AAAAADN/f9c=")</f>
        <v>0</v>
      </c>
      <c r="HI126" t="b">
        <f>AND('Black &amp; White load sheet'!E167,"AAAAADN/f9g=")</f>
        <v>0</v>
      </c>
      <c r="HJ126" t="b">
        <f>AND('Black &amp; White load sheet'!F167,"AAAAADN/f9k=")</f>
        <v>0</v>
      </c>
      <c r="HK126" t="b">
        <f>AND('Black &amp; White load sheet'!G167,"AAAAADN/f9o=")</f>
        <v>1</v>
      </c>
      <c r="HL126" t="b">
        <f>AND('Black &amp; White load sheet'!H167,"AAAAADN/f9s=")</f>
        <v>0</v>
      </c>
      <c r="HM126" t="b">
        <f>AND('Black &amp; White load sheet'!I167,"AAAAADN/f9w=")</f>
        <v>0</v>
      </c>
      <c r="HN126" t="b">
        <f>AND('Black &amp; White load sheet'!J167,"AAAAADN/f90=")</f>
        <v>1</v>
      </c>
      <c r="HO126" t="b">
        <f>AND('Black &amp; White load sheet'!K167,"AAAAADN/f94=")</f>
        <v>0</v>
      </c>
      <c r="HP126" t="b">
        <f>AND('Black &amp; White load sheet'!L167,"AAAAADN/f98=")</f>
        <v>0</v>
      </c>
      <c r="HQ126" t="b">
        <f>AND('Black &amp; White load sheet'!M167,"AAAAADN/f+A=")</f>
        <v>1</v>
      </c>
      <c r="HR126" t="b">
        <f>AND('Black &amp; White load sheet'!N167,"AAAAADN/f+E=")</f>
        <v>1</v>
      </c>
      <c r="HS126" t="b">
        <f>AND('Black &amp; White load sheet'!O167,"AAAAADN/f+I=")</f>
        <v>1</v>
      </c>
      <c r="HT126">
        <f>IF('Black &amp; White load sheet'!168:168,"AAAAADN/f+M=",0)</f>
        <v>0</v>
      </c>
      <c r="HU126" t="b">
        <f>AND('Black &amp; White load sheet'!A168,"AAAAADN/f+Q=")</f>
        <v>1</v>
      </c>
      <c r="HV126" t="b">
        <f>AND('Black &amp; White load sheet'!B168,"AAAAADN/f+U=")</f>
        <v>1</v>
      </c>
      <c r="HW126" t="b">
        <f>AND('Black &amp; White load sheet'!C168,"AAAAADN/f+Y=")</f>
        <v>1</v>
      </c>
      <c r="HX126" t="b">
        <f>AND('Black &amp; White load sheet'!D168,"AAAAADN/f+c=")</f>
        <v>0</v>
      </c>
      <c r="HY126" t="b">
        <f>AND('Black &amp; White load sheet'!E168,"AAAAADN/f+g=")</f>
        <v>0</v>
      </c>
      <c r="HZ126" t="b">
        <f>AND('Black &amp; White load sheet'!F168,"AAAAADN/f+k=")</f>
        <v>0</v>
      </c>
      <c r="IA126" t="b">
        <f>AND('Black &amp; White load sheet'!G168,"AAAAADN/f+o=")</f>
        <v>1</v>
      </c>
      <c r="IB126" t="b">
        <f>AND('Black &amp; White load sheet'!H168,"AAAAADN/f+s=")</f>
        <v>0</v>
      </c>
      <c r="IC126" t="b">
        <f>AND('Black &amp; White load sheet'!I168,"AAAAADN/f+w=")</f>
        <v>1</v>
      </c>
      <c r="ID126" t="b">
        <f>AND('Black &amp; White load sheet'!J168,"AAAAADN/f+0=")</f>
        <v>0</v>
      </c>
      <c r="IE126" t="b">
        <f>AND('Black &amp; White load sheet'!K168,"AAAAADN/f+4=")</f>
        <v>0</v>
      </c>
      <c r="IF126" t="b">
        <f>AND('Black &amp; White load sheet'!L168,"AAAAADN/f+8=")</f>
        <v>0</v>
      </c>
      <c r="IG126" t="b">
        <f>AND('Black &amp; White load sheet'!M168,"AAAAADN/f/A=")</f>
        <v>1</v>
      </c>
      <c r="IH126" t="b">
        <f>AND('Black &amp; White load sheet'!N168,"AAAAADN/f/E=")</f>
        <v>1</v>
      </c>
      <c r="II126" t="b">
        <f>AND('Black &amp; White load sheet'!O168,"AAAAADN/f/I=")</f>
        <v>1</v>
      </c>
      <c r="IJ126">
        <f>IF('Black &amp; White load sheet'!169:169,"AAAAADN/f/M=",0)</f>
        <v>0</v>
      </c>
      <c r="IK126" t="b">
        <f>AND('Black &amp; White load sheet'!A169,"AAAAADN/f/Q=")</f>
        <v>1</v>
      </c>
      <c r="IL126" t="b">
        <f>AND('Black &amp; White load sheet'!B169,"AAAAADN/f/U=")</f>
        <v>1</v>
      </c>
      <c r="IM126" t="b">
        <f>AND('Black &amp; White load sheet'!C169,"AAAAADN/f/Y=")</f>
        <v>1</v>
      </c>
      <c r="IN126" t="b">
        <f>AND('Black &amp; White load sheet'!D169,"AAAAADN/f/c=")</f>
        <v>0</v>
      </c>
      <c r="IO126" t="b">
        <f>AND('Black &amp; White load sheet'!E169,"AAAAADN/f/g=")</f>
        <v>0</v>
      </c>
      <c r="IP126" t="b">
        <f>AND('Black &amp; White load sheet'!F169,"AAAAADN/f/k=")</f>
        <v>0</v>
      </c>
      <c r="IQ126" t="b">
        <f>AND('Black &amp; White load sheet'!G169,"AAAAADN/f/o=")</f>
        <v>1</v>
      </c>
      <c r="IR126" t="b">
        <f>AND('Black &amp; White load sheet'!H169,"AAAAADN/f/s=")</f>
        <v>1</v>
      </c>
      <c r="IS126" t="b">
        <f>AND('Black &amp; White load sheet'!I169,"AAAAADN/f/w=")</f>
        <v>0</v>
      </c>
      <c r="IT126" t="b">
        <f>AND('Black &amp; White load sheet'!J169,"AAAAADN/f/0=")</f>
        <v>0</v>
      </c>
      <c r="IU126" t="b">
        <f>AND('Black &amp; White load sheet'!K169,"AAAAADN/f/4=")</f>
        <v>0</v>
      </c>
      <c r="IV126" t="b">
        <f>AND('Black &amp; White load sheet'!L169,"AAAAADN/f/8=")</f>
        <v>0</v>
      </c>
    </row>
    <row r="127" spans="1:256">
      <c r="A127" t="b">
        <f>AND('Black &amp; White load sheet'!M169,"AAAAADt//QA=")</f>
        <v>1</v>
      </c>
      <c r="B127" t="b">
        <f>AND('Black &amp; White load sheet'!N169,"AAAAADt//QE=")</f>
        <v>1</v>
      </c>
      <c r="C127" t="b">
        <f>AND('Black &amp; White load sheet'!O169,"AAAAADt//QI=")</f>
        <v>1</v>
      </c>
      <c r="D127">
        <f>IF('Black &amp; White load sheet'!170:170,"AAAAADt//QM=",0)</f>
        <v>0</v>
      </c>
      <c r="E127" t="b">
        <f>AND('Black &amp; White load sheet'!A170,"AAAAADt//QQ=")</f>
        <v>1</v>
      </c>
      <c r="F127" t="b">
        <f>AND('Black &amp; White load sheet'!B170,"AAAAADt//QU=")</f>
        <v>1</v>
      </c>
      <c r="G127" t="b">
        <f>AND('Black &amp; White load sheet'!C170,"AAAAADt//QY=")</f>
        <v>1</v>
      </c>
      <c r="H127" t="b">
        <f>AND('Black &amp; White load sheet'!D170,"AAAAADt//Qc=")</f>
        <v>0</v>
      </c>
      <c r="I127" t="b">
        <f>AND('Black &amp; White load sheet'!E170,"AAAAADt//Qg=")</f>
        <v>0</v>
      </c>
      <c r="J127" t="b">
        <f>AND('Black &amp; White load sheet'!F170,"AAAAADt//Qk=")</f>
        <v>0</v>
      </c>
      <c r="K127" t="b">
        <f>AND('Black &amp; White load sheet'!G170,"AAAAADt//Qo=")</f>
        <v>1</v>
      </c>
      <c r="L127" t="b">
        <f>AND('Black &amp; White load sheet'!H170,"AAAAADt//Qs=")</f>
        <v>1</v>
      </c>
      <c r="M127" t="b">
        <f>AND('Black &amp; White load sheet'!I170,"AAAAADt//Qw=")</f>
        <v>0</v>
      </c>
      <c r="N127" t="b">
        <f>AND('Black &amp; White load sheet'!J170,"AAAAADt//Q0=")</f>
        <v>0</v>
      </c>
      <c r="O127" t="b">
        <f>AND('Black &amp; White load sheet'!K170,"AAAAADt//Q4=")</f>
        <v>0</v>
      </c>
      <c r="P127" t="b">
        <f>AND('Black &amp; White load sheet'!L170,"AAAAADt//Q8=")</f>
        <v>1</v>
      </c>
      <c r="Q127" t="b">
        <f>AND('Black &amp; White load sheet'!M170,"AAAAADt//RA=")</f>
        <v>1</v>
      </c>
      <c r="R127" t="b">
        <f>AND('Black &amp; White load sheet'!N170,"AAAAADt//RE=")</f>
        <v>1</v>
      </c>
      <c r="S127" t="b">
        <f>AND('Black &amp; White load sheet'!O170,"AAAAADt//RI=")</f>
        <v>1</v>
      </c>
      <c r="T127">
        <f>IF('Black &amp; White load sheet'!171:171,"AAAAADt//RM=",0)</f>
        <v>0</v>
      </c>
      <c r="U127" t="b">
        <f>AND('Black &amp; White load sheet'!A171,"AAAAADt//RQ=")</f>
        <v>1</v>
      </c>
      <c r="V127" t="b">
        <f>AND('Black &amp; White load sheet'!B171,"AAAAADt//RU=")</f>
        <v>1</v>
      </c>
      <c r="W127" t="b">
        <f>AND('Black &amp; White load sheet'!C171,"AAAAADt//RY=")</f>
        <v>1</v>
      </c>
      <c r="X127" t="b">
        <f>AND('Black &amp; White load sheet'!D171,"AAAAADt//Rc=")</f>
        <v>0</v>
      </c>
      <c r="Y127" t="b">
        <f>AND('Black &amp; White load sheet'!E171,"AAAAADt//Rg=")</f>
        <v>0</v>
      </c>
      <c r="Z127" t="b">
        <f>AND('Black &amp; White load sheet'!F171,"AAAAADt//Rk=")</f>
        <v>0</v>
      </c>
      <c r="AA127" t="b">
        <f>AND('Black &amp; White load sheet'!G171,"AAAAADt//Ro=")</f>
        <v>1</v>
      </c>
      <c r="AB127" t="b">
        <f>AND('Black &amp; White load sheet'!H171,"AAAAADt//Rs=")</f>
        <v>1</v>
      </c>
      <c r="AC127" t="b">
        <f>AND('Black &amp; White load sheet'!I171,"AAAAADt//Rw=")</f>
        <v>0</v>
      </c>
      <c r="AD127" t="b">
        <f>AND('Black &amp; White load sheet'!J171,"AAAAADt//R0=")</f>
        <v>0</v>
      </c>
      <c r="AE127" t="b">
        <f>AND('Black &amp; White load sheet'!K171,"AAAAADt//R4=")</f>
        <v>1</v>
      </c>
      <c r="AF127" t="b">
        <f>AND('Black &amp; White load sheet'!L171,"AAAAADt//R8=")</f>
        <v>0</v>
      </c>
      <c r="AG127" t="b">
        <f>AND('Black &amp; White load sheet'!M171,"AAAAADt//SA=")</f>
        <v>1</v>
      </c>
      <c r="AH127" t="b">
        <f>AND('Black &amp; White load sheet'!N171,"AAAAADt//SE=")</f>
        <v>1</v>
      </c>
      <c r="AI127" t="b">
        <f>AND('Black &amp; White load sheet'!O171,"AAAAADt//SI=")</f>
        <v>1</v>
      </c>
      <c r="AJ127">
        <f>IF('Black &amp; White load sheet'!172:172,"AAAAADt//SM=",0)</f>
        <v>0</v>
      </c>
      <c r="AK127" t="b">
        <f>AND('Black &amp; White load sheet'!A172,"AAAAADt//SQ=")</f>
        <v>1</v>
      </c>
      <c r="AL127" t="b">
        <f>AND('Black &amp; White load sheet'!B172,"AAAAADt//SU=")</f>
        <v>1</v>
      </c>
      <c r="AM127" t="b">
        <f>AND('Black &amp; White load sheet'!C172,"AAAAADt//SY=")</f>
        <v>1</v>
      </c>
      <c r="AN127" t="b">
        <f>AND('Black &amp; White load sheet'!D172,"AAAAADt//Sc=")</f>
        <v>0</v>
      </c>
      <c r="AO127" t="b">
        <f>AND('Black &amp; White load sheet'!E172,"AAAAADt//Sg=")</f>
        <v>0</v>
      </c>
      <c r="AP127" t="b">
        <f>AND('Black &amp; White load sheet'!F172,"AAAAADt//Sk=")</f>
        <v>0</v>
      </c>
      <c r="AQ127" t="b">
        <f>AND('Black &amp; White load sheet'!G172,"AAAAADt//So=")</f>
        <v>1</v>
      </c>
      <c r="AR127" t="b">
        <f>AND('Black &amp; White load sheet'!H172,"AAAAADt//Ss=")</f>
        <v>1</v>
      </c>
      <c r="AS127" t="b">
        <f>AND('Black &amp; White load sheet'!I172,"AAAAADt//Sw=")</f>
        <v>0</v>
      </c>
      <c r="AT127" t="b">
        <f>AND('Black &amp; White load sheet'!J172,"AAAAADt//S0=")</f>
        <v>1</v>
      </c>
      <c r="AU127" t="b">
        <f>AND('Black &amp; White load sheet'!K172,"AAAAADt//S4=")</f>
        <v>0</v>
      </c>
      <c r="AV127" t="b">
        <f>AND('Black &amp; White load sheet'!L172,"AAAAADt//S8=")</f>
        <v>0</v>
      </c>
      <c r="AW127" t="b">
        <f>AND('Black &amp; White load sheet'!M172,"AAAAADt//TA=")</f>
        <v>1</v>
      </c>
      <c r="AX127" t="b">
        <f>AND('Black &amp; White load sheet'!N172,"AAAAADt//TE=")</f>
        <v>1</v>
      </c>
      <c r="AY127" t="b">
        <f>AND('Black &amp; White load sheet'!O172,"AAAAADt//TI=")</f>
        <v>1</v>
      </c>
      <c r="AZ127">
        <f>IF('Black &amp; White load sheet'!173:173,"AAAAADt//TM=",0)</f>
        <v>0</v>
      </c>
      <c r="BA127" t="b">
        <f>AND('Black &amp; White load sheet'!A173,"AAAAADt//TQ=")</f>
        <v>1</v>
      </c>
      <c r="BB127" t="b">
        <f>AND('Black &amp; White load sheet'!B173,"AAAAADt//TU=")</f>
        <v>1</v>
      </c>
      <c r="BC127" t="b">
        <f>AND('Black &amp; White load sheet'!C173,"AAAAADt//TY=")</f>
        <v>1</v>
      </c>
      <c r="BD127" t="b">
        <f>AND('Black &amp; White load sheet'!D173,"AAAAADt//Tc=")</f>
        <v>0</v>
      </c>
      <c r="BE127" t="b">
        <f>AND('Black &amp; White load sheet'!E173,"AAAAADt//Tg=")</f>
        <v>0</v>
      </c>
      <c r="BF127" t="b">
        <f>AND('Black &amp; White load sheet'!F173,"AAAAADt//Tk=")</f>
        <v>0</v>
      </c>
      <c r="BG127" t="b">
        <f>AND('Black &amp; White load sheet'!G173,"AAAAADt//To=")</f>
        <v>1</v>
      </c>
      <c r="BH127" t="b">
        <f>AND('Black &amp; White load sheet'!H173,"AAAAADt//Ts=")</f>
        <v>1</v>
      </c>
      <c r="BI127" t="b">
        <f>AND('Black &amp; White load sheet'!I173,"AAAAADt//Tw=")</f>
        <v>1</v>
      </c>
      <c r="BJ127" t="b">
        <f>AND('Black &amp; White load sheet'!J173,"AAAAADt//T0=")</f>
        <v>0</v>
      </c>
      <c r="BK127" t="b">
        <f>AND('Black &amp; White load sheet'!K173,"AAAAADt//T4=")</f>
        <v>0</v>
      </c>
      <c r="BL127" t="b">
        <f>AND('Black &amp; White load sheet'!L173,"AAAAADt//T8=")</f>
        <v>0</v>
      </c>
      <c r="BM127" t="b">
        <f>AND('Black &amp; White load sheet'!M173,"AAAAADt//UA=")</f>
        <v>1</v>
      </c>
      <c r="BN127" t="b">
        <f>AND('Black &amp; White load sheet'!N173,"AAAAADt//UE=")</f>
        <v>1</v>
      </c>
      <c r="BO127" t="b">
        <f>AND('Black &amp; White load sheet'!O173,"AAAAADt//UI=")</f>
        <v>1</v>
      </c>
      <c r="BP127">
        <f>IF('Black &amp; White load sheet'!174:174,"AAAAADt//UM=",0)</f>
        <v>0</v>
      </c>
      <c r="BQ127" t="b">
        <f>AND('Black &amp; White load sheet'!A174,"AAAAADt//UQ=")</f>
        <v>1</v>
      </c>
      <c r="BR127" t="b">
        <f>AND('Black &amp; White load sheet'!B174,"AAAAADt//UU=")</f>
        <v>1</v>
      </c>
      <c r="BS127" t="b">
        <f>AND('Black &amp; White load sheet'!C174,"AAAAADt//UY=")</f>
        <v>1</v>
      </c>
      <c r="BT127" t="b">
        <f>AND('Black &amp; White load sheet'!D174,"AAAAADt//Uc=")</f>
        <v>0</v>
      </c>
      <c r="BU127" t="b">
        <f>AND('Black &amp; White load sheet'!E174,"AAAAADt//Ug=")</f>
        <v>0</v>
      </c>
      <c r="BV127" t="b">
        <f>AND('Black &amp; White load sheet'!F174,"AAAAADt//Uk=")</f>
        <v>1</v>
      </c>
      <c r="BW127" t="b">
        <f>AND('Black &amp; White load sheet'!G174,"AAAAADt//Uo=")</f>
        <v>0</v>
      </c>
      <c r="BX127" t="b">
        <f>AND('Black &amp; White load sheet'!H174,"AAAAADt//Us=")</f>
        <v>0</v>
      </c>
      <c r="BY127" t="b">
        <f>AND('Black &amp; White load sheet'!I174,"AAAAADt//Uw=")</f>
        <v>0</v>
      </c>
      <c r="BZ127" t="b">
        <f>AND('Black &amp; White load sheet'!J174,"AAAAADt//U0=")</f>
        <v>0</v>
      </c>
      <c r="CA127" t="b">
        <f>AND('Black &amp; White load sheet'!K174,"AAAAADt//U4=")</f>
        <v>0</v>
      </c>
      <c r="CB127" t="b">
        <f>AND('Black &amp; White load sheet'!L174,"AAAAADt//U8=")</f>
        <v>0</v>
      </c>
      <c r="CC127" t="b">
        <f>AND('Black &amp; White load sheet'!M174,"AAAAADt//VA=")</f>
        <v>1</v>
      </c>
      <c r="CD127" t="b">
        <f>AND('Black &amp; White load sheet'!N174,"AAAAADt//VE=")</f>
        <v>1</v>
      </c>
      <c r="CE127" t="b">
        <f>AND('Black &amp; White load sheet'!O174,"AAAAADt//VI=")</f>
        <v>1</v>
      </c>
      <c r="CF127">
        <f>IF('Black &amp; White load sheet'!175:175,"AAAAADt//VM=",0)</f>
        <v>0</v>
      </c>
      <c r="CG127" t="b">
        <f>AND('Black &amp; White load sheet'!A175,"AAAAADt//VQ=")</f>
        <v>1</v>
      </c>
      <c r="CH127" t="b">
        <f>AND('Black &amp; White load sheet'!B175,"AAAAADt//VU=")</f>
        <v>1</v>
      </c>
      <c r="CI127" t="b">
        <f>AND('Black &amp; White load sheet'!C175,"AAAAADt//VY=")</f>
        <v>1</v>
      </c>
      <c r="CJ127" t="b">
        <f>AND('Black &amp; White load sheet'!D175,"AAAAADt//Vc=")</f>
        <v>0</v>
      </c>
      <c r="CK127" t="b">
        <f>AND('Black &amp; White load sheet'!E175,"AAAAADt//Vg=")</f>
        <v>0</v>
      </c>
      <c r="CL127" t="b">
        <f>AND('Black &amp; White load sheet'!F175,"AAAAADt//Vk=")</f>
        <v>1</v>
      </c>
      <c r="CM127" t="b">
        <f>AND('Black &amp; White load sheet'!G175,"AAAAADt//Vo=")</f>
        <v>0</v>
      </c>
      <c r="CN127" t="b">
        <f>AND('Black &amp; White load sheet'!H175,"AAAAADt//Vs=")</f>
        <v>0</v>
      </c>
      <c r="CO127" t="b">
        <f>AND('Black &amp; White load sheet'!I175,"AAAAADt//Vw=")</f>
        <v>0</v>
      </c>
      <c r="CP127" t="b">
        <f>AND('Black &amp; White load sheet'!J175,"AAAAADt//V0=")</f>
        <v>0</v>
      </c>
      <c r="CQ127" t="b">
        <f>AND('Black &amp; White load sheet'!K175,"AAAAADt//V4=")</f>
        <v>0</v>
      </c>
      <c r="CR127" t="b">
        <f>AND('Black &amp; White load sheet'!L175,"AAAAADt//V8=")</f>
        <v>1</v>
      </c>
      <c r="CS127" t="b">
        <f>AND('Black &amp; White load sheet'!M175,"AAAAADt//WA=")</f>
        <v>1</v>
      </c>
      <c r="CT127" t="b">
        <f>AND('Black &amp; White load sheet'!N175,"AAAAADt//WE=")</f>
        <v>1</v>
      </c>
      <c r="CU127" t="b">
        <f>AND('Black &amp; White load sheet'!O175,"AAAAADt//WI=")</f>
        <v>1</v>
      </c>
      <c r="CV127">
        <f>IF('Black &amp; White load sheet'!176:176,"AAAAADt//WM=",0)</f>
        <v>0</v>
      </c>
      <c r="CW127" t="b">
        <f>AND('Black &amp; White load sheet'!A176,"AAAAADt//WQ=")</f>
        <v>1</v>
      </c>
      <c r="CX127" t="b">
        <f>AND('Black &amp; White load sheet'!B176,"AAAAADt//WU=")</f>
        <v>1</v>
      </c>
      <c r="CY127" t="b">
        <f>AND('Black &amp; White load sheet'!C176,"AAAAADt//WY=")</f>
        <v>1</v>
      </c>
      <c r="CZ127" t="b">
        <f>AND('Black &amp; White load sheet'!D176,"AAAAADt//Wc=")</f>
        <v>0</v>
      </c>
      <c r="DA127" t="b">
        <f>AND('Black &amp; White load sheet'!E176,"AAAAADt//Wg=")</f>
        <v>0</v>
      </c>
      <c r="DB127" t="b">
        <f>AND('Black &amp; White load sheet'!F176,"AAAAADt//Wk=")</f>
        <v>1</v>
      </c>
      <c r="DC127" t="b">
        <f>AND('Black &amp; White load sheet'!G176,"AAAAADt//Wo=")</f>
        <v>0</v>
      </c>
      <c r="DD127" t="b">
        <f>AND('Black &amp; White load sheet'!H176,"AAAAADt//Ws=")</f>
        <v>0</v>
      </c>
      <c r="DE127" t="b">
        <f>AND('Black &amp; White load sheet'!I176,"AAAAADt//Ww=")</f>
        <v>0</v>
      </c>
      <c r="DF127" t="b">
        <f>AND('Black &amp; White load sheet'!J176,"AAAAADt//W0=")</f>
        <v>0</v>
      </c>
      <c r="DG127" t="b">
        <f>AND('Black &amp; White load sheet'!K176,"AAAAADt//W4=")</f>
        <v>1</v>
      </c>
      <c r="DH127" t="b">
        <f>AND('Black &amp; White load sheet'!L176,"AAAAADt//W8=")</f>
        <v>0</v>
      </c>
      <c r="DI127" t="b">
        <f>AND('Black &amp; White load sheet'!M176,"AAAAADt//XA=")</f>
        <v>1</v>
      </c>
      <c r="DJ127" t="b">
        <f>AND('Black &amp; White load sheet'!N176,"AAAAADt//XE=")</f>
        <v>1</v>
      </c>
      <c r="DK127" t="b">
        <f>AND('Black &amp; White load sheet'!O176,"AAAAADt//XI=")</f>
        <v>1</v>
      </c>
      <c r="DL127">
        <f>IF('Black &amp; White load sheet'!177:177,"AAAAADt//XM=",0)</f>
        <v>0</v>
      </c>
      <c r="DM127" t="b">
        <f>AND('Black &amp; White load sheet'!A177,"AAAAADt//XQ=")</f>
        <v>1</v>
      </c>
      <c r="DN127" t="b">
        <f>AND('Black &amp; White load sheet'!B177,"AAAAADt//XU=")</f>
        <v>1</v>
      </c>
      <c r="DO127" t="b">
        <f>AND('Black &amp; White load sheet'!C177,"AAAAADt//XY=")</f>
        <v>1</v>
      </c>
      <c r="DP127" t="b">
        <f>AND('Black &amp; White load sheet'!D177,"AAAAADt//Xc=")</f>
        <v>0</v>
      </c>
      <c r="DQ127" t="b">
        <f>AND('Black &amp; White load sheet'!E177,"AAAAADt//Xg=")</f>
        <v>0</v>
      </c>
      <c r="DR127" t="b">
        <f>AND('Black &amp; White load sheet'!F177,"AAAAADt//Xk=")</f>
        <v>1</v>
      </c>
      <c r="DS127" t="b">
        <f>AND('Black &amp; White load sheet'!G177,"AAAAADt//Xo=")</f>
        <v>0</v>
      </c>
      <c r="DT127" t="b">
        <f>AND('Black &amp; White load sheet'!H177,"AAAAADt//Xs=")</f>
        <v>0</v>
      </c>
      <c r="DU127" t="b">
        <f>AND('Black &amp; White load sheet'!I177,"AAAAADt//Xw=")</f>
        <v>0</v>
      </c>
      <c r="DV127" t="b">
        <f>AND('Black &amp; White load sheet'!J177,"AAAAADt//X0=")</f>
        <v>1</v>
      </c>
      <c r="DW127" t="b">
        <f>AND('Black &amp; White load sheet'!K177,"AAAAADt//X4=")</f>
        <v>0</v>
      </c>
      <c r="DX127" t="b">
        <f>AND('Black &amp; White load sheet'!L177,"AAAAADt//X8=")</f>
        <v>0</v>
      </c>
      <c r="DY127" t="b">
        <f>AND('Black &amp; White load sheet'!M177,"AAAAADt//YA=")</f>
        <v>1</v>
      </c>
      <c r="DZ127" t="b">
        <f>AND('Black &amp; White load sheet'!N177,"AAAAADt//YE=")</f>
        <v>1</v>
      </c>
      <c r="EA127" t="b">
        <f>AND('Black &amp; White load sheet'!O177,"AAAAADt//YI=")</f>
        <v>1</v>
      </c>
      <c r="EB127">
        <f>IF('Black &amp; White load sheet'!178:178,"AAAAADt//YM=",0)</f>
        <v>0</v>
      </c>
      <c r="EC127" t="b">
        <f>AND('Black &amp; White load sheet'!A178,"AAAAADt//YQ=")</f>
        <v>1</v>
      </c>
      <c r="ED127" t="b">
        <f>AND('Black &amp; White load sheet'!B178,"AAAAADt//YU=")</f>
        <v>1</v>
      </c>
      <c r="EE127" t="b">
        <f>AND('Black &amp; White load sheet'!C178,"AAAAADt//YY=")</f>
        <v>1</v>
      </c>
      <c r="EF127" t="b">
        <f>AND('Black &amp; White load sheet'!D178,"AAAAADt//Yc=")</f>
        <v>0</v>
      </c>
      <c r="EG127" t="b">
        <f>AND('Black &amp; White load sheet'!E178,"AAAAADt//Yg=")</f>
        <v>0</v>
      </c>
      <c r="EH127" t="b">
        <f>AND('Black &amp; White load sheet'!F178,"AAAAADt//Yk=")</f>
        <v>1</v>
      </c>
      <c r="EI127" t="b">
        <f>AND('Black &amp; White load sheet'!G178,"AAAAADt//Yo=")</f>
        <v>0</v>
      </c>
      <c r="EJ127" t="b">
        <f>AND('Black &amp; White load sheet'!H178,"AAAAADt//Ys=")</f>
        <v>0</v>
      </c>
      <c r="EK127" t="b">
        <f>AND('Black &amp; White load sheet'!I178,"AAAAADt//Yw=")</f>
        <v>1</v>
      </c>
      <c r="EL127" t="b">
        <f>AND('Black &amp; White load sheet'!J178,"AAAAADt//Y0=")</f>
        <v>0</v>
      </c>
      <c r="EM127" t="b">
        <f>AND('Black &amp; White load sheet'!K178,"AAAAADt//Y4=")</f>
        <v>0</v>
      </c>
      <c r="EN127" t="b">
        <f>AND('Black &amp; White load sheet'!L178,"AAAAADt//Y8=")</f>
        <v>0</v>
      </c>
      <c r="EO127" t="b">
        <f>AND('Black &amp; White load sheet'!M178,"AAAAADt//ZA=")</f>
        <v>1</v>
      </c>
      <c r="EP127" t="b">
        <f>AND('Black &amp; White load sheet'!N178,"AAAAADt//ZE=")</f>
        <v>1</v>
      </c>
      <c r="EQ127" t="b">
        <f>AND('Black &amp; White load sheet'!O178,"AAAAADt//ZI=")</f>
        <v>1</v>
      </c>
      <c r="ER127">
        <f>IF('Black &amp; White load sheet'!179:179,"AAAAADt//ZM=",0)</f>
        <v>0</v>
      </c>
      <c r="ES127" t="b">
        <f>AND('Black &amp; White load sheet'!A179,"AAAAADt//ZQ=")</f>
        <v>1</v>
      </c>
      <c r="ET127" t="b">
        <f>AND('Black &amp; White load sheet'!B179,"AAAAADt//ZU=")</f>
        <v>1</v>
      </c>
      <c r="EU127" t="b">
        <f>AND('Black &amp; White load sheet'!C179,"AAAAADt//ZY=")</f>
        <v>1</v>
      </c>
      <c r="EV127" t="b">
        <f>AND('Black &amp; White load sheet'!D179,"AAAAADt//Zc=")</f>
        <v>0</v>
      </c>
      <c r="EW127" t="b">
        <f>AND('Black &amp; White load sheet'!E179,"AAAAADt//Zg=")</f>
        <v>0</v>
      </c>
      <c r="EX127" t="b">
        <f>AND('Black &amp; White load sheet'!F179,"AAAAADt//Zk=")</f>
        <v>1</v>
      </c>
      <c r="EY127" t="b">
        <f>AND('Black &amp; White load sheet'!G179,"AAAAADt//Zo=")</f>
        <v>0</v>
      </c>
      <c r="EZ127" t="b">
        <f>AND('Black &amp; White load sheet'!H179,"AAAAADt//Zs=")</f>
        <v>1</v>
      </c>
      <c r="FA127" t="b">
        <f>AND('Black &amp; White load sheet'!I179,"AAAAADt//Zw=")</f>
        <v>0</v>
      </c>
      <c r="FB127" t="b">
        <f>AND('Black &amp; White load sheet'!J179,"AAAAADt//Z0=")</f>
        <v>0</v>
      </c>
      <c r="FC127" t="b">
        <f>AND('Black &amp; White load sheet'!K179,"AAAAADt//Z4=")</f>
        <v>0</v>
      </c>
      <c r="FD127" t="b">
        <f>AND('Black &amp; White load sheet'!L179,"AAAAADt//Z8=")</f>
        <v>0</v>
      </c>
      <c r="FE127" t="b">
        <f>AND('Black &amp; White load sheet'!M179,"AAAAADt//aA=")</f>
        <v>1</v>
      </c>
      <c r="FF127" t="b">
        <f>AND('Black &amp; White load sheet'!N179,"AAAAADt//aE=")</f>
        <v>1</v>
      </c>
      <c r="FG127" t="b">
        <f>AND('Black &amp; White load sheet'!O179,"AAAAADt//aI=")</f>
        <v>1</v>
      </c>
      <c r="FH127">
        <f>IF('Black &amp; White load sheet'!180:180,"AAAAADt//aM=",0)</f>
        <v>0</v>
      </c>
      <c r="FI127" t="b">
        <f>AND('Black &amp; White load sheet'!A180,"AAAAADt//aQ=")</f>
        <v>1</v>
      </c>
      <c r="FJ127" t="b">
        <f>AND('Black &amp; White load sheet'!B180,"AAAAADt//aU=")</f>
        <v>1</v>
      </c>
      <c r="FK127" t="b">
        <f>AND('Black &amp; White load sheet'!C180,"AAAAADt//aY=")</f>
        <v>1</v>
      </c>
      <c r="FL127" t="b">
        <f>AND('Black &amp; White load sheet'!D180,"AAAAADt//ac=")</f>
        <v>0</v>
      </c>
      <c r="FM127" t="b">
        <f>AND('Black &amp; White load sheet'!E180,"AAAAADt//ag=")</f>
        <v>0</v>
      </c>
      <c r="FN127" t="b">
        <f>AND('Black &amp; White load sheet'!F180,"AAAAADt//ak=")</f>
        <v>1</v>
      </c>
      <c r="FO127" t="b">
        <f>AND('Black &amp; White load sheet'!G180,"AAAAADt//ao=")</f>
        <v>0</v>
      </c>
      <c r="FP127" t="b">
        <f>AND('Black &amp; White load sheet'!H180,"AAAAADt//as=")</f>
        <v>1</v>
      </c>
      <c r="FQ127" t="b">
        <f>AND('Black &amp; White load sheet'!I180,"AAAAADt//aw=")</f>
        <v>0</v>
      </c>
      <c r="FR127" t="b">
        <f>AND('Black &amp; White load sheet'!J180,"AAAAADt//a0=")</f>
        <v>0</v>
      </c>
      <c r="FS127" t="b">
        <f>AND('Black &amp; White load sheet'!K180,"AAAAADt//a4=")</f>
        <v>0</v>
      </c>
      <c r="FT127" t="b">
        <f>AND('Black &amp; White load sheet'!L180,"AAAAADt//a8=")</f>
        <v>1</v>
      </c>
      <c r="FU127" t="b">
        <f>AND('Black &amp; White load sheet'!M180,"AAAAADt//bA=")</f>
        <v>1</v>
      </c>
      <c r="FV127" t="b">
        <f>AND('Black &amp; White load sheet'!N180,"AAAAADt//bE=")</f>
        <v>1</v>
      </c>
      <c r="FW127" t="b">
        <f>AND('Black &amp; White load sheet'!O180,"AAAAADt//bI=")</f>
        <v>1</v>
      </c>
      <c r="FX127">
        <f>IF('Black &amp; White load sheet'!181:181,"AAAAADt//bM=",0)</f>
        <v>0</v>
      </c>
      <c r="FY127" t="b">
        <f>AND('Black &amp; White load sheet'!A181,"AAAAADt//bQ=")</f>
        <v>1</v>
      </c>
      <c r="FZ127" t="b">
        <f>AND('Black &amp; White load sheet'!B181,"AAAAADt//bU=")</f>
        <v>1</v>
      </c>
      <c r="GA127" t="b">
        <f>AND('Black &amp; White load sheet'!C181,"AAAAADt//bY=")</f>
        <v>1</v>
      </c>
      <c r="GB127" t="b">
        <f>AND('Black &amp; White load sheet'!D181,"AAAAADt//bc=")</f>
        <v>0</v>
      </c>
      <c r="GC127" t="b">
        <f>AND('Black &amp; White load sheet'!E181,"AAAAADt//bg=")</f>
        <v>0</v>
      </c>
      <c r="GD127" t="b">
        <f>AND('Black &amp; White load sheet'!F181,"AAAAADt//bk=")</f>
        <v>1</v>
      </c>
      <c r="GE127" t="b">
        <f>AND('Black &amp; White load sheet'!G181,"AAAAADt//bo=")</f>
        <v>0</v>
      </c>
      <c r="GF127" t="b">
        <f>AND('Black &amp; White load sheet'!H181,"AAAAADt//bs=")</f>
        <v>1</v>
      </c>
      <c r="GG127" t="b">
        <f>AND('Black &amp; White load sheet'!I181,"AAAAADt//bw=")</f>
        <v>0</v>
      </c>
      <c r="GH127" t="b">
        <f>AND('Black &amp; White load sheet'!J181,"AAAAADt//b0=")</f>
        <v>0</v>
      </c>
      <c r="GI127" t="b">
        <f>AND('Black &amp; White load sheet'!K181,"AAAAADt//b4=")</f>
        <v>1</v>
      </c>
      <c r="GJ127" t="b">
        <f>AND('Black &amp; White load sheet'!L181,"AAAAADt//b8=")</f>
        <v>0</v>
      </c>
      <c r="GK127" t="b">
        <f>AND('Black &amp; White load sheet'!M181,"AAAAADt//cA=")</f>
        <v>1</v>
      </c>
      <c r="GL127" t="b">
        <f>AND('Black &amp; White load sheet'!N181,"AAAAADt//cE=")</f>
        <v>1</v>
      </c>
      <c r="GM127" t="b">
        <f>AND('Black &amp; White load sheet'!O181,"AAAAADt//cI=")</f>
        <v>1</v>
      </c>
      <c r="GN127">
        <f>IF('Black &amp; White load sheet'!182:182,"AAAAADt//cM=",0)</f>
        <v>0</v>
      </c>
      <c r="GO127" t="b">
        <f>AND('Black &amp; White load sheet'!A182,"AAAAADt//cQ=")</f>
        <v>1</v>
      </c>
      <c r="GP127" t="b">
        <f>AND('Black &amp; White load sheet'!B182,"AAAAADt//cU=")</f>
        <v>1</v>
      </c>
      <c r="GQ127" t="b">
        <f>AND('Black &amp; White load sheet'!C182,"AAAAADt//cY=")</f>
        <v>1</v>
      </c>
      <c r="GR127" t="b">
        <f>AND('Black &amp; White load sheet'!D182,"AAAAADt//cc=")</f>
        <v>0</v>
      </c>
      <c r="GS127" t="b">
        <f>AND('Black &amp; White load sheet'!E182,"AAAAADt//cg=")</f>
        <v>0</v>
      </c>
      <c r="GT127" t="b">
        <f>AND('Black &amp; White load sheet'!F182,"AAAAADt//ck=")</f>
        <v>1</v>
      </c>
      <c r="GU127" t="b">
        <f>AND('Black &amp; White load sheet'!G182,"AAAAADt//co=")</f>
        <v>0</v>
      </c>
      <c r="GV127" t="b">
        <f>AND('Black &amp; White load sheet'!H182,"AAAAADt//cs=")</f>
        <v>1</v>
      </c>
      <c r="GW127" t="b">
        <f>AND('Black &amp; White load sheet'!I182,"AAAAADt//cw=")</f>
        <v>0</v>
      </c>
      <c r="GX127" t="b">
        <f>AND('Black &amp; White load sheet'!J182,"AAAAADt//c0=")</f>
        <v>1</v>
      </c>
      <c r="GY127" t="b">
        <f>AND('Black &amp; White load sheet'!K182,"AAAAADt//c4=")</f>
        <v>0</v>
      </c>
      <c r="GZ127" t="b">
        <f>AND('Black &amp; White load sheet'!L182,"AAAAADt//c8=")</f>
        <v>0</v>
      </c>
      <c r="HA127" t="b">
        <f>AND('Black &amp; White load sheet'!M182,"AAAAADt//dA=")</f>
        <v>1</v>
      </c>
      <c r="HB127" t="b">
        <f>AND('Black &amp; White load sheet'!N182,"AAAAADt//dE=")</f>
        <v>1</v>
      </c>
      <c r="HC127" t="b">
        <f>AND('Black &amp; White load sheet'!O182,"AAAAADt//dI=")</f>
        <v>1</v>
      </c>
      <c r="HD127">
        <f>IF('Black &amp; White load sheet'!183:183,"AAAAADt//dM=",0)</f>
        <v>0</v>
      </c>
      <c r="HE127" t="b">
        <f>AND('Black &amp; White load sheet'!A183,"AAAAADt//dQ=")</f>
        <v>1</v>
      </c>
      <c r="HF127" t="b">
        <f>AND('Black &amp; White load sheet'!B183,"AAAAADt//dU=")</f>
        <v>1</v>
      </c>
      <c r="HG127" t="b">
        <f>AND('Black &amp; White load sheet'!C183,"AAAAADt//dY=")</f>
        <v>1</v>
      </c>
      <c r="HH127" t="b">
        <f>AND('Black &amp; White load sheet'!D183,"AAAAADt//dc=")</f>
        <v>0</v>
      </c>
      <c r="HI127" t="b">
        <f>AND('Black &amp; White load sheet'!E183,"AAAAADt//dg=")</f>
        <v>0</v>
      </c>
      <c r="HJ127" t="b">
        <f>AND('Black &amp; White load sheet'!F183,"AAAAADt//dk=")</f>
        <v>1</v>
      </c>
      <c r="HK127" t="b">
        <f>AND('Black &amp; White load sheet'!G183,"AAAAADt//do=")</f>
        <v>0</v>
      </c>
      <c r="HL127" t="b">
        <f>AND('Black &amp; White load sheet'!H183,"AAAAADt//ds=")</f>
        <v>1</v>
      </c>
      <c r="HM127" t="b">
        <f>AND('Black &amp; White load sheet'!I183,"AAAAADt//dw=")</f>
        <v>1</v>
      </c>
      <c r="HN127" t="b">
        <f>AND('Black &amp; White load sheet'!J183,"AAAAADt//d0=")</f>
        <v>0</v>
      </c>
      <c r="HO127" t="b">
        <f>AND('Black &amp; White load sheet'!K183,"AAAAADt//d4=")</f>
        <v>0</v>
      </c>
      <c r="HP127" t="b">
        <f>AND('Black &amp; White load sheet'!L183,"AAAAADt//d8=")</f>
        <v>0</v>
      </c>
      <c r="HQ127" t="b">
        <f>AND('Black &amp; White load sheet'!M183,"AAAAADt//eA=")</f>
        <v>1</v>
      </c>
      <c r="HR127" t="b">
        <f>AND('Black &amp; White load sheet'!N183,"AAAAADt//eE=")</f>
        <v>1</v>
      </c>
      <c r="HS127" t="b">
        <f>AND('Black &amp; White load sheet'!O183,"AAAAADt//eI=")</f>
        <v>1</v>
      </c>
      <c r="HT127">
        <f>IF('Black &amp; White load sheet'!184:184,"AAAAADt//eM=",0)</f>
        <v>0</v>
      </c>
      <c r="HU127" t="b">
        <f>AND('Black &amp; White load sheet'!A184,"AAAAADt//eQ=")</f>
        <v>1</v>
      </c>
      <c r="HV127" t="b">
        <f>AND('Black &amp; White load sheet'!B184,"AAAAADt//eU=")</f>
        <v>1</v>
      </c>
      <c r="HW127" t="b">
        <f>AND('Black &amp; White load sheet'!C184,"AAAAADt//eY=")</f>
        <v>1</v>
      </c>
      <c r="HX127" t="b">
        <f>AND('Black &amp; White load sheet'!D184,"AAAAADt//ec=")</f>
        <v>0</v>
      </c>
      <c r="HY127" t="b">
        <f>AND('Black &amp; White load sheet'!E184,"AAAAADt//eg=")</f>
        <v>1</v>
      </c>
      <c r="HZ127" t="b">
        <f>AND('Black &amp; White load sheet'!F184,"AAAAADt//ek=")</f>
        <v>0</v>
      </c>
      <c r="IA127" t="b">
        <f>AND('Black &amp; White load sheet'!G184,"AAAAADt//eo=")</f>
        <v>0</v>
      </c>
      <c r="IB127" t="b">
        <f>AND('Black &amp; White load sheet'!H184,"AAAAADt//es=")</f>
        <v>0</v>
      </c>
      <c r="IC127" t="b">
        <f>AND('Black &amp; White load sheet'!I184,"AAAAADt//ew=")</f>
        <v>0</v>
      </c>
      <c r="ID127" t="b">
        <f>AND('Black &amp; White load sheet'!J184,"AAAAADt//e0=")</f>
        <v>0</v>
      </c>
      <c r="IE127" t="b">
        <f>AND('Black &amp; White load sheet'!K184,"AAAAADt//e4=")</f>
        <v>0</v>
      </c>
      <c r="IF127" t="b">
        <f>AND('Black &amp; White load sheet'!L184,"AAAAADt//e8=")</f>
        <v>0</v>
      </c>
      <c r="IG127" t="b">
        <f>AND('Black &amp; White load sheet'!M184,"AAAAADt//fA=")</f>
        <v>1</v>
      </c>
      <c r="IH127" t="b">
        <f>AND('Black &amp; White load sheet'!N184,"AAAAADt//fE=")</f>
        <v>1</v>
      </c>
      <c r="II127" t="b">
        <f>AND('Black &amp; White load sheet'!O184,"AAAAADt//fI=")</f>
        <v>1</v>
      </c>
      <c r="IJ127">
        <f>IF('Black &amp; White load sheet'!185:185,"AAAAADt//fM=",0)</f>
        <v>0</v>
      </c>
      <c r="IK127" t="b">
        <f>AND('Black &amp; White load sheet'!A185,"AAAAADt//fQ=")</f>
        <v>1</v>
      </c>
      <c r="IL127" t="b">
        <f>AND('Black &amp; White load sheet'!B185,"AAAAADt//fU=")</f>
        <v>1</v>
      </c>
      <c r="IM127" t="b">
        <f>AND('Black &amp; White load sheet'!C185,"AAAAADt//fY=")</f>
        <v>1</v>
      </c>
      <c r="IN127" t="b">
        <f>AND('Black &amp; White load sheet'!D185,"AAAAADt//fc=")</f>
        <v>0</v>
      </c>
      <c r="IO127" t="b">
        <f>AND('Black &amp; White load sheet'!E185,"AAAAADt//fg=")</f>
        <v>1</v>
      </c>
      <c r="IP127" t="b">
        <f>AND('Black &amp; White load sheet'!F185,"AAAAADt//fk=")</f>
        <v>0</v>
      </c>
      <c r="IQ127" t="b">
        <f>AND('Black &amp; White load sheet'!G185,"AAAAADt//fo=")</f>
        <v>0</v>
      </c>
      <c r="IR127" t="b">
        <f>AND('Black &amp; White load sheet'!H185,"AAAAADt//fs=")</f>
        <v>0</v>
      </c>
      <c r="IS127" t="b">
        <f>AND('Black &amp; White load sheet'!I185,"AAAAADt//fw=")</f>
        <v>0</v>
      </c>
      <c r="IT127" t="b">
        <f>AND('Black &amp; White load sheet'!J185,"AAAAADt//f0=")</f>
        <v>0</v>
      </c>
      <c r="IU127" t="b">
        <f>AND('Black &amp; White load sheet'!K185,"AAAAADt//f4=")</f>
        <v>0</v>
      </c>
      <c r="IV127" t="b">
        <f>AND('Black &amp; White load sheet'!L185,"AAAAADt//f8=")</f>
        <v>1</v>
      </c>
    </row>
    <row r="128" spans="1:256">
      <c r="A128" t="b">
        <f>AND('Black &amp; White load sheet'!M185,"AAAAAHfvnQA=")</f>
        <v>1</v>
      </c>
      <c r="B128" t="b">
        <f>AND('Black &amp; White load sheet'!N185,"AAAAAHfvnQE=")</f>
        <v>1</v>
      </c>
      <c r="C128" t="b">
        <f>AND('Black &amp; White load sheet'!O185,"AAAAAHfvnQI=")</f>
        <v>1</v>
      </c>
      <c r="D128">
        <f>IF('Black &amp; White load sheet'!186:186,"AAAAAHfvnQM=",0)</f>
        <v>0</v>
      </c>
      <c r="E128" t="b">
        <f>AND('Black &amp; White load sheet'!A186,"AAAAAHfvnQQ=")</f>
        <v>1</v>
      </c>
      <c r="F128" t="b">
        <f>AND('Black &amp; White load sheet'!B186,"AAAAAHfvnQU=")</f>
        <v>1</v>
      </c>
      <c r="G128" t="b">
        <f>AND('Black &amp; White load sheet'!C186,"AAAAAHfvnQY=")</f>
        <v>1</v>
      </c>
      <c r="H128" t="b">
        <f>AND('Black &amp; White load sheet'!D186,"AAAAAHfvnQc=")</f>
        <v>0</v>
      </c>
      <c r="I128" t="b">
        <f>AND('Black &amp; White load sheet'!E186,"AAAAAHfvnQg=")</f>
        <v>1</v>
      </c>
      <c r="J128" t="b">
        <f>AND('Black &amp; White load sheet'!F186,"AAAAAHfvnQk=")</f>
        <v>0</v>
      </c>
      <c r="K128" t="b">
        <f>AND('Black &amp; White load sheet'!G186,"AAAAAHfvnQo=")</f>
        <v>0</v>
      </c>
      <c r="L128" t="b">
        <f>AND('Black &amp; White load sheet'!H186,"AAAAAHfvnQs=")</f>
        <v>0</v>
      </c>
      <c r="M128" t="b">
        <f>AND('Black &amp; White load sheet'!I186,"AAAAAHfvnQw=")</f>
        <v>0</v>
      </c>
      <c r="N128" t="b">
        <f>AND('Black &amp; White load sheet'!J186,"AAAAAHfvnQ0=")</f>
        <v>0</v>
      </c>
      <c r="O128" t="b">
        <f>AND('Black &amp; White load sheet'!K186,"AAAAAHfvnQ4=")</f>
        <v>1</v>
      </c>
      <c r="P128" t="b">
        <f>AND('Black &amp; White load sheet'!L186,"AAAAAHfvnQ8=")</f>
        <v>0</v>
      </c>
      <c r="Q128" t="b">
        <f>AND('Black &amp; White load sheet'!M186,"AAAAAHfvnRA=")</f>
        <v>1</v>
      </c>
      <c r="R128" t="b">
        <f>AND('Black &amp; White load sheet'!N186,"AAAAAHfvnRE=")</f>
        <v>1</v>
      </c>
      <c r="S128" t="b">
        <f>AND('Black &amp; White load sheet'!O186,"AAAAAHfvnRI=")</f>
        <v>1</v>
      </c>
      <c r="T128">
        <f>IF('Black &amp; White load sheet'!187:187,"AAAAAHfvnRM=",0)</f>
        <v>0</v>
      </c>
      <c r="U128" t="b">
        <f>AND('Black &amp; White load sheet'!A187,"AAAAAHfvnRQ=")</f>
        <v>1</v>
      </c>
      <c r="V128" t="b">
        <f>AND('Black &amp; White load sheet'!B187,"AAAAAHfvnRU=")</f>
        <v>1</v>
      </c>
      <c r="W128" t="b">
        <f>AND('Black &amp; White load sheet'!C187,"AAAAAHfvnRY=")</f>
        <v>1</v>
      </c>
      <c r="X128" t="b">
        <f>AND('Black &amp; White load sheet'!D187,"AAAAAHfvnRc=")</f>
        <v>0</v>
      </c>
      <c r="Y128" t="b">
        <f>AND('Black &amp; White load sheet'!E187,"AAAAAHfvnRg=")</f>
        <v>1</v>
      </c>
      <c r="Z128" t="b">
        <f>AND('Black &amp; White load sheet'!F187,"AAAAAHfvnRk=")</f>
        <v>0</v>
      </c>
      <c r="AA128" t="b">
        <f>AND('Black &amp; White load sheet'!G187,"AAAAAHfvnRo=")</f>
        <v>0</v>
      </c>
      <c r="AB128" t="b">
        <f>AND('Black &amp; White load sheet'!H187,"AAAAAHfvnRs=")</f>
        <v>0</v>
      </c>
      <c r="AC128" t="b">
        <f>AND('Black &amp; White load sheet'!I187,"AAAAAHfvnRw=")</f>
        <v>0</v>
      </c>
      <c r="AD128" t="b">
        <f>AND('Black &amp; White load sheet'!J187,"AAAAAHfvnR0=")</f>
        <v>1</v>
      </c>
      <c r="AE128" t="b">
        <f>AND('Black &amp; White load sheet'!K187,"AAAAAHfvnR4=")</f>
        <v>0</v>
      </c>
      <c r="AF128" t="b">
        <f>AND('Black &amp; White load sheet'!L187,"AAAAAHfvnR8=")</f>
        <v>0</v>
      </c>
      <c r="AG128" t="b">
        <f>AND('Black &amp; White load sheet'!M187,"AAAAAHfvnSA=")</f>
        <v>1</v>
      </c>
      <c r="AH128" t="b">
        <f>AND('Black &amp; White load sheet'!N187,"AAAAAHfvnSE=")</f>
        <v>1</v>
      </c>
      <c r="AI128" t="b">
        <f>AND('Black &amp; White load sheet'!O187,"AAAAAHfvnSI=")</f>
        <v>1</v>
      </c>
      <c r="AJ128">
        <f>IF('Black &amp; White load sheet'!188:188,"AAAAAHfvnSM=",0)</f>
        <v>0</v>
      </c>
      <c r="AK128" t="b">
        <f>AND('Black &amp; White load sheet'!A188,"AAAAAHfvnSQ=")</f>
        <v>1</v>
      </c>
      <c r="AL128" t="b">
        <f>AND('Black &amp; White load sheet'!B188,"AAAAAHfvnSU=")</f>
        <v>1</v>
      </c>
      <c r="AM128" t="b">
        <f>AND('Black &amp; White load sheet'!C188,"AAAAAHfvnSY=")</f>
        <v>1</v>
      </c>
      <c r="AN128" t="b">
        <f>AND('Black &amp; White load sheet'!D188,"AAAAAHfvnSc=")</f>
        <v>0</v>
      </c>
      <c r="AO128" t="b">
        <f>AND('Black &amp; White load sheet'!E188,"AAAAAHfvnSg=")</f>
        <v>1</v>
      </c>
      <c r="AP128" t="b">
        <f>AND('Black &amp; White load sheet'!F188,"AAAAAHfvnSk=")</f>
        <v>0</v>
      </c>
      <c r="AQ128" t="b">
        <f>AND('Black &amp; White load sheet'!G188,"AAAAAHfvnSo=")</f>
        <v>0</v>
      </c>
      <c r="AR128" t="b">
        <f>AND('Black &amp; White load sheet'!H188,"AAAAAHfvnSs=")</f>
        <v>0</v>
      </c>
      <c r="AS128" t="b">
        <f>AND('Black &amp; White load sheet'!I188,"AAAAAHfvnSw=")</f>
        <v>1</v>
      </c>
      <c r="AT128" t="b">
        <f>AND('Black &amp; White load sheet'!J188,"AAAAAHfvnS0=")</f>
        <v>0</v>
      </c>
      <c r="AU128" t="b">
        <f>AND('Black &amp; White load sheet'!K188,"AAAAAHfvnS4=")</f>
        <v>0</v>
      </c>
      <c r="AV128" t="b">
        <f>AND('Black &amp; White load sheet'!L188,"AAAAAHfvnS8=")</f>
        <v>0</v>
      </c>
      <c r="AW128" t="b">
        <f>AND('Black &amp; White load sheet'!M188,"AAAAAHfvnTA=")</f>
        <v>1</v>
      </c>
      <c r="AX128" t="b">
        <f>AND('Black &amp; White load sheet'!N188,"AAAAAHfvnTE=")</f>
        <v>1</v>
      </c>
      <c r="AY128" t="b">
        <f>AND('Black &amp; White load sheet'!O188,"AAAAAHfvnTI=")</f>
        <v>1</v>
      </c>
      <c r="AZ128">
        <f>IF('Black &amp; White load sheet'!189:189,"AAAAAHfvnTM=",0)</f>
        <v>0</v>
      </c>
      <c r="BA128" t="b">
        <f>AND('Black &amp; White load sheet'!A189,"AAAAAHfvnTQ=")</f>
        <v>1</v>
      </c>
      <c r="BB128" t="b">
        <f>AND('Black &amp; White load sheet'!B189,"AAAAAHfvnTU=")</f>
        <v>1</v>
      </c>
      <c r="BC128" t="b">
        <f>AND('Black &amp; White load sheet'!C189,"AAAAAHfvnTY=")</f>
        <v>1</v>
      </c>
      <c r="BD128" t="b">
        <f>AND('Black &amp; White load sheet'!D189,"AAAAAHfvnTc=")</f>
        <v>0</v>
      </c>
      <c r="BE128" t="b">
        <f>AND('Black &amp; White load sheet'!E189,"AAAAAHfvnTg=")</f>
        <v>1</v>
      </c>
      <c r="BF128" t="b">
        <f>AND('Black &amp; White load sheet'!F189,"AAAAAHfvnTk=")</f>
        <v>0</v>
      </c>
      <c r="BG128" t="b">
        <f>AND('Black &amp; White load sheet'!G189,"AAAAAHfvnTo=")</f>
        <v>0</v>
      </c>
      <c r="BH128" t="b">
        <f>AND('Black &amp; White load sheet'!H189,"AAAAAHfvnTs=")</f>
        <v>1</v>
      </c>
      <c r="BI128" t="b">
        <f>AND('Black &amp; White load sheet'!I189,"AAAAAHfvnTw=")</f>
        <v>0</v>
      </c>
      <c r="BJ128" t="b">
        <f>AND('Black &amp; White load sheet'!J189,"AAAAAHfvnT0=")</f>
        <v>0</v>
      </c>
      <c r="BK128" t="b">
        <f>AND('Black &amp; White load sheet'!K189,"AAAAAHfvnT4=")</f>
        <v>0</v>
      </c>
      <c r="BL128" t="b">
        <f>AND('Black &amp; White load sheet'!L189,"AAAAAHfvnT8=")</f>
        <v>0</v>
      </c>
      <c r="BM128" t="b">
        <f>AND('Black &amp; White load sheet'!M189,"AAAAAHfvnUA=")</f>
        <v>1</v>
      </c>
      <c r="BN128" t="b">
        <f>AND('Black &amp; White load sheet'!N189,"AAAAAHfvnUE=")</f>
        <v>1</v>
      </c>
      <c r="BO128" t="b">
        <f>AND('Black &amp; White load sheet'!O189,"AAAAAHfvnUI=")</f>
        <v>1</v>
      </c>
      <c r="BP128">
        <f>IF('Black &amp; White load sheet'!190:190,"AAAAAHfvnUM=",0)</f>
        <v>0</v>
      </c>
      <c r="BQ128" t="b">
        <f>AND('Black &amp; White load sheet'!A190,"AAAAAHfvnUQ=")</f>
        <v>1</v>
      </c>
      <c r="BR128" t="b">
        <f>AND('Black &amp; White load sheet'!B190,"AAAAAHfvnUU=")</f>
        <v>1</v>
      </c>
      <c r="BS128" t="b">
        <f>AND('Black &amp; White load sheet'!C190,"AAAAAHfvnUY=")</f>
        <v>1</v>
      </c>
      <c r="BT128" t="b">
        <f>AND('Black &amp; White load sheet'!D190,"AAAAAHfvnUc=")</f>
        <v>0</v>
      </c>
      <c r="BU128" t="b">
        <f>AND('Black &amp; White load sheet'!E190,"AAAAAHfvnUg=")</f>
        <v>1</v>
      </c>
      <c r="BV128" t="b">
        <f>AND('Black &amp; White load sheet'!F190,"AAAAAHfvnUk=")</f>
        <v>0</v>
      </c>
      <c r="BW128" t="b">
        <f>AND('Black &amp; White load sheet'!G190,"AAAAAHfvnUo=")</f>
        <v>0</v>
      </c>
      <c r="BX128" t="b">
        <f>AND('Black &amp; White load sheet'!H190,"AAAAAHfvnUs=")</f>
        <v>1</v>
      </c>
      <c r="BY128" t="b">
        <f>AND('Black &amp; White load sheet'!I190,"AAAAAHfvnUw=")</f>
        <v>0</v>
      </c>
      <c r="BZ128" t="b">
        <f>AND('Black &amp; White load sheet'!J190,"AAAAAHfvnU0=")</f>
        <v>0</v>
      </c>
      <c r="CA128" t="b">
        <f>AND('Black &amp; White load sheet'!K190,"AAAAAHfvnU4=")</f>
        <v>0</v>
      </c>
      <c r="CB128" t="b">
        <f>AND('Black &amp; White load sheet'!L190,"AAAAAHfvnU8=")</f>
        <v>1</v>
      </c>
      <c r="CC128" t="b">
        <f>AND('Black &amp; White load sheet'!M190,"AAAAAHfvnVA=")</f>
        <v>1</v>
      </c>
      <c r="CD128" t="b">
        <f>AND('Black &amp; White load sheet'!N190,"AAAAAHfvnVE=")</f>
        <v>1</v>
      </c>
      <c r="CE128" t="b">
        <f>AND('Black &amp; White load sheet'!O190,"AAAAAHfvnVI=")</f>
        <v>1</v>
      </c>
      <c r="CF128">
        <f>IF('Black &amp; White load sheet'!191:191,"AAAAAHfvnVM=",0)</f>
        <v>0</v>
      </c>
      <c r="CG128" t="b">
        <f>AND('Black &amp; White load sheet'!A191,"AAAAAHfvnVQ=")</f>
        <v>1</v>
      </c>
      <c r="CH128" t="b">
        <f>AND('Black &amp; White load sheet'!B191,"AAAAAHfvnVU=")</f>
        <v>1</v>
      </c>
      <c r="CI128" t="b">
        <f>AND('Black &amp; White load sheet'!C191,"AAAAAHfvnVY=")</f>
        <v>1</v>
      </c>
      <c r="CJ128" t="b">
        <f>AND('Black &amp; White load sheet'!D191,"AAAAAHfvnVc=")</f>
        <v>0</v>
      </c>
      <c r="CK128" t="b">
        <f>AND('Black &amp; White load sheet'!E191,"AAAAAHfvnVg=")</f>
        <v>1</v>
      </c>
      <c r="CL128" t="b">
        <f>AND('Black &amp; White load sheet'!F191,"AAAAAHfvnVk=")</f>
        <v>0</v>
      </c>
      <c r="CM128" t="b">
        <f>AND('Black &amp; White load sheet'!G191,"AAAAAHfvnVo=")</f>
        <v>0</v>
      </c>
      <c r="CN128" t="b">
        <f>AND('Black &amp; White load sheet'!H191,"AAAAAHfvnVs=")</f>
        <v>1</v>
      </c>
      <c r="CO128" t="b">
        <f>AND('Black &amp; White load sheet'!I191,"AAAAAHfvnVw=")</f>
        <v>0</v>
      </c>
      <c r="CP128" t="b">
        <f>AND('Black &amp; White load sheet'!J191,"AAAAAHfvnV0=")</f>
        <v>0</v>
      </c>
      <c r="CQ128" t="b">
        <f>AND('Black &amp; White load sheet'!K191,"AAAAAHfvnV4=")</f>
        <v>1</v>
      </c>
      <c r="CR128" t="b">
        <f>AND('Black &amp; White load sheet'!L191,"AAAAAHfvnV8=")</f>
        <v>0</v>
      </c>
      <c r="CS128" t="b">
        <f>AND('Black &amp; White load sheet'!M191,"AAAAAHfvnWA=")</f>
        <v>1</v>
      </c>
      <c r="CT128" t="b">
        <f>AND('Black &amp; White load sheet'!N191,"AAAAAHfvnWE=")</f>
        <v>1</v>
      </c>
      <c r="CU128" t="b">
        <f>AND('Black &amp; White load sheet'!O191,"AAAAAHfvnWI=")</f>
        <v>1</v>
      </c>
      <c r="CV128">
        <f>IF('Black &amp; White load sheet'!192:192,"AAAAAHfvnWM=",0)</f>
        <v>0</v>
      </c>
      <c r="CW128" t="b">
        <f>AND('Black &amp; White load sheet'!A192,"AAAAAHfvnWQ=")</f>
        <v>1</v>
      </c>
      <c r="CX128" t="b">
        <f>AND('Black &amp; White load sheet'!B192,"AAAAAHfvnWU=")</f>
        <v>1</v>
      </c>
      <c r="CY128" t="b">
        <f>AND('Black &amp; White load sheet'!C192,"AAAAAHfvnWY=")</f>
        <v>1</v>
      </c>
      <c r="CZ128" t="b">
        <f>AND('Black &amp; White load sheet'!D192,"AAAAAHfvnWc=")</f>
        <v>0</v>
      </c>
      <c r="DA128" t="b">
        <f>AND('Black &amp; White load sheet'!E192,"AAAAAHfvnWg=")</f>
        <v>1</v>
      </c>
      <c r="DB128" t="b">
        <f>AND('Black &amp; White load sheet'!F192,"AAAAAHfvnWk=")</f>
        <v>0</v>
      </c>
      <c r="DC128" t="b">
        <f>AND('Black &amp; White load sheet'!G192,"AAAAAHfvnWo=")</f>
        <v>0</v>
      </c>
      <c r="DD128" t="b">
        <f>AND('Black &amp; White load sheet'!H192,"AAAAAHfvnWs=")</f>
        <v>1</v>
      </c>
      <c r="DE128" t="b">
        <f>AND('Black &amp; White load sheet'!I192,"AAAAAHfvnWw=")</f>
        <v>0</v>
      </c>
      <c r="DF128" t="b">
        <f>AND('Black &amp; White load sheet'!J192,"AAAAAHfvnW0=")</f>
        <v>1</v>
      </c>
      <c r="DG128" t="b">
        <f>AND('Black &amp; White load sheet'!K192,"AAAAAHfvnW4=")</f>
        <v>0</v>
      </c>
      <c r="DH128" t="b">
        <f>AND('Black &amp; White load sheet'!L192,"AAAAAHfvnW8=")</f>
        <v>0</v>
      </c>
      <c r="DI128" t="b">
        <f>AND('Black &amp; White load sheet'!M192,"AAAAAHfvnXA=")</f>
        <v>1</v>
      </c>
      <c r="DJ128" t="b">
        <f>AND('Black &amp; White load sheet'!N192,"AAAAAHfvnXE=")</f>
        <v>1</v>
      </c>
      <c r="DK128" t="b">
        <f>AND('Black &amp; White load sheet'!O192,"AAAAAHfvnXI=")</f>
        <v>1</v>
      </c>
      <c r="DL128">
        <f>IF('Black &amp; White load sheet'!193:193,"AAAAAHfvnXM=",0)</f>
        <v>0</v>
      </c>
      <c r="DM128" t="b">
        <f>AND('Black &amp; White load sheet'!A193,"AAAAAHfvnXQ=")</f>
        <v>1</v>
      </c>
      <c r="DN128" t="b">
        <f>AND('Black &amp; White load sheet'!B193,"AAAAAHfvnXU=")</f>
        <v>1</v>
      </c>
      <c r="DO128" t="b">
        <f>AND('Black &amp; White load sheet'!C193,"AAAAAHfvnXY=")</f>
        <v>1</v>
      </c>
      <c r="DP128" t="b">
        <f>AND('Black &amp; White load sheet'!D193,"AAAAAHfvnXc=")</f>
        <v>0</v>
      </c>
      <c r="DQ128" t="b">
        <f>AND('Black &amp; White load sheet'!E193,"AAAAAHfvnXg=")</f>
        <v>1</v>
      </c>
      <c r="DR128" t="b">
        <f>AND('Black &amp; White load sheet'!F193,"AAAAAHfvnXk=")</f>
        <v>0</v>
      </c>
      <c r="DS128" t="b">
        <f>AND('Black &amp; White load sheet'!G193,"AAAAAHfvnXo=")</f>
        <v>0</v>
      </c>
      <c r="DT128" t="b">
        <f>AND('Black &amp; White load sheet'!H193,"AAAAAHfvnXs=")</f>
        <v>1</v>
      </c>
      <c r="DU128" t="b">
        <f>AND('Black &amp; White load sheet'!I193,"AAAAAHfvnXw=")</f>
        <v>1</v>
      </c>
      <c r="DV128" t="b">
        <f>AND('Black &amp; White load sheet'!J193,"AAAAAHfvnX0=")</f>
        <v>0</v>
      </c>
      <c r="DW128" t="b">
        <f>AND('Black &amp; White load sheet'!K193,"AAAAAHfvnX4=")</f>
        <v>0</v>
      </c>
      <c r="DX128" t="b">
        <f>AND('Black &amp; White load sheet'!L193,"AAAAAHfvnX8=")</f>
        <v>0</v>
      </c>
      <c r="DY128" t="b">
        <f>AND('Black &amp; White load sheet'!M193,"AAAAAHfvnYA=")</f>
        <v>1</v>
      </c>
      <c r="DZ128" t="b">
        <f>AND('Black &amp; White load sheet'!N193,"AAAAAHfvnYE=")</f>
        <v>1</v>
      </c>
      <c r="EA128" t="b">
        <f>AND('Black &amp; White load sheet'!O193,"AAAAAHfvnYI=")</f>
        <v>1</v>
      </c>
      <c r="EB128">
        <f>IF('Black &amp; White load sheet'!194:194,"AAAAAHfvnYM=",0)</f>
        <v>0</v>
      </c>
      <c r="EC128" t="b">
        <f>AND('Black &amp; White load sheet'!A194,"AAAAAHfvnYQ=")</f>
        <v>1</v>
      </c>
      <c r="ED128" t="b">
        <f>AND('Black &amp; White load sheet'!B194,"AAAAAHfvnYU=")</f>
        <v>1</v>
      </c>
      <c r="EE128" t="b">
        <f>AND('Black &amp; White load sheet'!C194,"AAAAAHfvnYY=")</f>
        <v>1</v>
      </c>
      <c r="EF128" t="b">
        <f>AND('Black &amp; White load sheet'!D194,"AAAAAHfvnYc=")</f>
        <v>0</v>
      </c>
      <c r="EG128" t="b">
        <f>AND('Black &amp; White load sheet'!E194,"AAAAAHfvnYg=")</f>
        <v>1</v>
      </c>
      <c r="EH128" t="b">
        <f>AND('Black &amp; White load sheet'!F194,"AAAAAHfvnYk=")</f>
        <v>0</v>
      </c>
      <c r="EI128" t="b">
        <f>AND('Black &amp; White load sheet'!G194,"AAAAAHfvnYo=")</f>
        <v>1</v>
      </c>
      <c r="EJ128" t="b">
        <f>AND('Black &amp; White load sheet'!H194,"AAAAAHfvnYs=")</f>
        <v>0</v>
      </c>
      <c r="EK128" t="b">
        <f>AND('Black &amp; White load sheet'!I194,"AAAAAHfvnYw=")</f>
        <v>0</v>
      </c>
      <c r="EL128" t="b">
        <f>AND('Black &amp; White load sheet'!J194,"AAAAAHfvnY0=")</f>
        <v>0</v>
      </c>
      <c r="EM128" t="b">
        <f>AND('Black &amp; White load sheet'!K194,"AAAAAHfvnY4=")</f>
        <v>0</v>
      </c>
      <c r="EN128" t="b">
        <f>AND('Black &amp; White load sheet'!L194,"AAAAAHfvnY8=")</f>
        <v>0</v>
      </c>
      <c r="EO128" t="b">
        <f>AND('Black &amp; White load sheet'!M194,"AAAAAHfvnZA=")</f>
        <v>1</v>
      </c>
      <c r="EP128" t="b">
        <f>AND('Black &amp; White load sheet'!N194,"AAAAAHfvnZE=")</f>
        <v>1</v>
      </c>
      <c r="EQ128" t="b">
        <f>AND('Black &amp; White load sheet'!O194,"AAAAAHfvnZI=")</f>
        <v>1</v>
      </c>
      <c r="ER128">
        <f>IF('Black &amp; White load sheet'!195:195,"AAAAAHfvnZM=",0)</f>
        <v>0</v>
      </c>
      <c r="ES128" t="b">
        <f>AND('Black &amp; White load sheet'!A195,"AAAAAHfvnZQ=")</f>
        <v>1</v>
      </c>
      <c r="ET128" t="b">
        <f>AND('Black &amp; White load sheet'!B195,"AAAAAHfvnZU=")</f>
        <v>1</v>
      </c>
      <c r="EU128" t="b">
        <f>AND('Black &amp; White load sheet'!C195,"AAAAAHfvnZY=")</f>
        <v>1</v>
      </c>
      <c r="EV128" t="b">
        <f>AND('Black &amp; White load sheet'!D195,"AAAAAHfvnZc=")</f>
        <v>0</v>
      </c>
      <c r="EW128" t="b">
        <f>AND('Black &amp; White load sheet'!E195,"AAAAAHfvnZg=")</f>
        <v>1</v>
      </c>
      <c r="EX128" t="b">
        <f>AND('Black &amp; White load sheet'!F195,"AAAAAHfvnZk=")</f>
        <v>0</v>
      </c>
      <c r="EY128" t="b">
        <f>AND('Black &amp; White load sheet'!G195,"AAAAAHfvnZo=")</f>
        <v>1</v>
      </c>
      <c r="EZ128" t="b">
        <f>AND('Black &amp; White load sheet'!H195,"AAAAAHfvnZs=")</f>
        <v>0</v>
      </c>
      <c r="FA128" t="b">
        <f>AND('Black &amp; White load sheet'!I195,"AAAAAHfvnZw=")</f>
        <v>0</v>
      </c>
      <c r="FB128" t="b">
        <f>AND('Black &amp; White load sheet'!J195,"AAAAAHfvnZ0=")</f>
        <v>0</v>
      </c>
      <c r="FC128" t="b">
        <f>AND('Black &amp; White load sheet'!K195,"AAAAAHfvnZ4=")</f>
        <v>0</v>
      </c>
      <c r="FD128" t="b">
        <f>AND('Black &amp; White load sheet'!L195,"AAAAAHfvnZ8=")</f>
        <v>1</v>
      </c>
      <c r="FE128" t="b">
        <f>AND('Black &amp; White load sheet'!M195,"AAAAAHfvnaA=")</f>
        <v>1</v>
      </c>
      <c r="FF128" t="b">
        <f>AND('Black &amp; White load sheet'!N195,"AAAAAHfvnaE=")</f>
        <v>1</v>
      </c>
      <c r="FG128" t="b">
        <f>AND('Black &amp; White load sheet'!O195,"AAAAAHfvnaI=")</f>
        <v>1</v>
      </c>
      <c r="FH128">
        <f>IF('Black &amp; White load sheet'!196:196,"AAAAAHfvnaM=",0)</f>
        <v>0</v>
      </c>
      <c r="FI128" t="b">
        <f>AND('Black &amp; White load sheet'!A196,"AAAAAHfvnaQ=")</f>
        <v>1</v>
      </c>
      <c r="FJ128" t="b">
        <f>AND('Black &amp; White load sheet'!B196,"AAAAAHfvnaU=")</f>
        <v>1</v>
      </c>
      <c r="FK128" t="b">
        <f>AND('Black &amp; White load sheet'!C196,"AAAAAHfvnaY=")</f>
        <v>1</v>
      </c>
      <c r="FL128" t="b">
        <f>AND('Black &amp; White load sheet'!D196,"AAAAAHfvnac=")</f>
        <v>0</v>
      </c>
      <c r="FM128" t="b">
        <f>AND('Black &amp; White load sheet'!E196,"AAAAAHfvnag=")</f>
        <v>1</v>
      </c>
      <c r="FN128" t="b">
        <f>AND('Black &amp; White load sheet'!F196,"AAAAAHfvnak=")</f>
        <v>0</v>
      </c>
      <c r="FO128" t="b">
        <f>AND('Black &amp; White load sheet'!G196,"AAAAAHfvnao=")</f>
        <v>1</v>
      </c>
      <c r="FP128" t="b">
        <f>AND('Black &amp; White load sheet'!H196,"AAAAAHfvnas=")</f>
        <v>0</v>
      </c>
      <c r="FQ128" t="b">
        <f>AND('Black &amp; White load sheet'!I196,"AAAAAHfvnaw=")</f>
        <v>0</v>
      </c>
      <c r="FR128" t="b">
        <f>AND('Black &amp; White load sheet'!J196,"AAAAAHfvna0=")</f>
        <v>0</v>
      </c>
      <c r="FS128" t="b">
        <f>AND('Black &amp; White load sheet'!K196,"AAAAAHfvna4=")</f>
        <v>1</v>
      </c>
      <c r="FT128" t="b">
        <f>AND('Black &amp; White load sheet'!L196,"AAAAAHfvna8=")</f>
        <v>0</v>
      </c>
      <c r="FU128" t="b">
        <f>AND('Black &amp; White load sheet'!M196,"AAAAAHfvnbA=")</f>
        <v>1</v>
      </c>
      <c r="FV128" t="b">
        <f>AND('Black &amp; White load sheet'!N196,"AAAAAHfvnbE=")</f>
        <v>1</v>
      </c>
      <c r="FW128" t="b">
        <f>AND('Black &amp; White load sheet'!O196,"AAAAAHfvnbI=")</f>
        <v>1</v>
      </c>
      <c r="FX128">
        <f>IF('Black &amp; White load sheet'!197:197,"AAAAAHfvnbM=",0)</f>
        <v>0</v>
      </c>
      <c r="FY128" t="b">
        <f>AND('Black &amp; White load sheet'!A197,"AAAAAHfvnbQ=")</f>
        <v>1</v>
      </c>
      <c r="FZ128" t="b">
        <f>AND('Black &amp; White load sheet'!B197,"AAAAAHfvnbU=")</f>
        <v>1</v>
      </c>
      <c r="GA128" t="b">
        <f>AND('Black &amp; White load sheet'!C197,"AAAAAHfvnbY=")</f>
        <v>1</v>
      </c>
      <c r="GB128" t="b">
        <f>AND('Black &amp; White load sheet'!D197,"AAAAAHfvnbc=")</f>
        <v>0</v>
      </c>
      <c r="GC128" t="b">
        <f>AND('Black &amp; White load sheet'!E197,"AAAAAHfvnbg=")</f>
        <v>1</v>
      </c>
      <c r="GD128" t="b">
        <f>AND('Black &amp; White load sheet'!F197,"AAAAAHfvnbk=")</f>
        <v>0</v>
      </c>
      <c r="GE128" t="b">
        <f>AND('Black &amp; White load sheet'!G197,"AAAAAHfvnbo=")</f>
        <v>1</v>
      </c>
      <c r="GF128" t="b">
        <f>AND('Black &amp; White load sheet'!H197,"AAAAAHfvnbs=")</f>
        <v>0</v>
      </c>
      <c r="GG128" t="b">
        <f>AND('Black &amp; White load sheet'!I197,"AAAAAHfvnbw=")</f>
        <v>0</v>
      </c>
      <c r="GH128" t="b">
        <f>AND('Black &amp; White load sheet'!J197,"AAAAAHfvnb0=")</f>
        <v>1</v>
      </c>
      <c r="GI128" t="b">
        <f>AND('Black &amp; White load sheet'!K197,"AAAAAHfvnb4=")</f>
        <v>0</v>
      </c>
      <c r="GJ128" t="b">
        <f>AND('Black &amp; White load sheet'!L197,"AAAAAHfvnb8=")</f>
        <v>0</v>
      </c>
      <c r="GK128" t="b">
        <f>AND('Black &amp; White load sheet'!M197,"AAAAAHfvncA=")</f>
        <v>1</v>
      </c>
      <c r="GL128" t="b">
        <f>AND('Black &amp; White load sheet'!N197,"AAAAAHfvncE=")</f>
        <v>1</v>
      </c>
      <c r="GM128" t="b">
        <f>AND('Black &amp; White load sheet'!O197,"AAAAAHfvncI=")</f>
        <v>1</v>
      </c>
      <c r="GN128">
        <f>IF('Black &amp; White load sheet'!198:198,"AAAAAHfvncM=",0)</f>
        <v>0</v>
      </c>
      <c r="GO128" t="b">
        <f>AND('Black &amp; White load sheet'!A198,"AAAAAHfvncQ=")</f>
        <v>1</v>
      </c>
      <c r="GP128" t="b">
        <f>AND('Black &amp; White load sheet'!B198,"AAAAAHfvncU=")</f>
        <v>1</v>
      </c>
      <c r="GQ128" t="b">
        <f>AND('Black &amp; White load sheet'!C198,"AAAAAHfvncY=")</f>
        <v>1</v>
      </c>
      <c r="GR128" t="b">
        <f>AND('Black &amp; White load sheet'!D198,"AAAAAHfvncc=")</f>
        <v>0</v>
      </c>
      <c r="GS128" t="b">
        <f>AND('Black &amp; White load sheet'!E198,"AAAAAHfvncg=")</f>
        <v>1</v>
      </c>
      <c r="GT128" t="b">
        <f>AND('Black &amp; White load sheet'!F198,"AAAAAHfvnck=")</f>
        <v>0</v>
      </c>
      <c r="GU128" t="b">
        <f>AND('Black &amp; White load sheet'!G198,"AAAAAHfvnco=")</f>
        <v>1</v>
      </c>
      <c r="GV128" t="b">
        <f>AND('Black &amp; White load sheet'!H198,"AAAAAHfvncs=")</f>
        <v>0</v>
      </c>
      <c r="GW128" t="b">
        <f>AND('Black &amp; White load sheet'!I198,"AAAAAHfvncw=")</f>
        <v>1</v>
      </c>
      <c r="GX128" t="b">
        <f>AND('Black &amp; White load sheet'!J198,"AAAAAHfvnc0=")</f>
        <v>0</v>
      </c>
      <c r="GY128" t="b">
        <f>AND('Black &amp; White load sheet'!K198,"AAAAAHfvnc4=")</f>
        <v>0</v>
      </c>
      <c r="GZ128" t="b">
        <f>AND('Black &amp; White load sheet'!L198,"AAAAAHfvnc8=")</f>
        <v>0</v>
      </c>
      <c r="HA128" t="b">
        <f>AND('Black &amp; White load sheet'!M198,"AAAAAHfvndA=")</f>
        <v>1</v>
      </c>
      <c r="HB128" t="b">
        <f>AND('Black &amp; White load sheet'!N198,"AAAAAHfvndE=")</f>
        <v>1</v>
      </c>
      <c r="HC128" t="b">
        <f>AND('Black &amp; White load sheet'!O198,"AAAAAHfvndI=")</f>
        <v>1</v>
      </c>
      <c r="HD128">
        <f>IF('Black &amp; White load sheet'!199:199,"AAAAAHfvndM=",0)</f>
        <v>0</v>
      </c>
      <c r="HE128" t="b">
        <f>AND('Black &amp; White load sheet'!A199,"AAAAAHfvndQ=")</f>
        <v>1</v>
      </c>
      <c r="HF128" t="b">
        <f>AND('Black &amp; White load sheet'!B199,"AAAAAHfvndU=")</f>
        <v>1</v>
      </c>
      <c r="HG128" t="b">
        <f>AND('Black &amp; White load sheet'!C199,"AAAAAHfvndY=")</f>
        <v>1</v>
      </c>
      <c r="HH128" t="b">
        <f>AND('Black &amp; White load sheet'!D199,"AAAAAHfvndc=")</f>
        <v>0</v>
      </c>
      <c r="HI128" t="b">
        <f>AND('Black &amp; White load sheet'!E199,"AAAAAHfvndg=")</f>
        <v>1</v>
      </c>
      <c r="HJ128" t="b">
        <f>AND('Black &amp; White load sheet'!F199,"AAAAAHfvndk=")</f>
        <v>0</v>
      </c>
      <c r="HK128" t="b">
        <f>AND('Black &amp; White load sheet'!G199,"AAAAAHfvndo=")</f>
        <v>1</v>
      </c>
      <c r="HL128" t="b">
        <f>AND('Black &amp; White load sheet'!H199,"AAAAAHfvnds=")</f>
        <v>1</v>
      </c>
      <c r="HM128" t="b">
        <f>AND('Black &amp; White load sheet'!I199,"AAAAAHfvndw=")</f>
        <v>0</v>
      </c>
      <c r="HN128" t="b">
        <f>AND('Black &amp; White load sheet'!J199,"AAAAAHfvnd0=")</f>
        <v>0</v>
      </c>
      <c r="HO128" t="b">
        <f>AND('Black &amp; White load sheet'!K199,"AAAAAHfvnd4=")</f>
        <v>0</v>
      </c>
      <c r="HP128" t="b">
        <f>AND('Black &amp; White load sheet'!L199,"AAAAAHfvnd8=")</f>
        <v>0</v>
      </c>
      <c r="HQ128" t="b">
        <f>AND('Black &amp; White load sheet'!M199,"AAAAAHfvneA=")</f>
        <v>1</v>
      </c>
      <c r="HR128" t="b">
        <f>AND('Black &amp; White load sheet'!N199,"AAAAAHfvneE=")</f>
        <v>1</v>
      </c>
      <c r="HS128" t="b">
        <f>AND('Black &amp; White load sheet'!O199,"AAAAAHfvneI=")</f>
        <v>1</v>
      </c>
      <c r="HT128">
        <f>IF('Black &amp; White load sheet'!200:200,"AAAAAHfvneM=",0)</f>
        <v>0</v>
      </c>
      <c r="HU128" t="b">
        <f>AND('Black &amp; White load sheet'!A200,"AAAAAHfvneQ=")</f>
        <v>1</v>
      </c>
      <c r="HV128" t="b">
        <f>AND('Black &amp; White load sheet'!B200,"AAAAAHfvneU=")</f>
        <v>1</v>
      </c>
      <c r="HW128" t="b">
        <f>AND('Black &amp; White load sheet'!C200,"AAAAAHfvneY=")</f>
        <v>1</v>
      </c>
      <c r="HX128" t="b">
        <f>AND('Black &amp; White load sheet'!D200,"AAAAAHfvnec=")</f>
        <v>0</v>
      </c>
      <c r="HY128" t="b">
        <f>AND('Black &amp; White load sheet'!E200,"AAAAAHfvneg=")</f>
        <v>1</v>
      </c>
      <c r="HZ128" t="b">
        <f>AND('Black &amp; White load sheet'!F200,"AAAAAHfvnek=")</f>
        <v>0</v>
      </c>
      <c r="IA128" t="b">
        <f>AND('Black &amp; White load sheet'!G200,"AAAAAHfvneo=")</f>
        <v>1</v>
      </c>
      <c r="IB128" t="b">
        <f>AND('Black &amp; White load sheet'!H200,"AAAAAHfvnes=")</f>
        <v>1</v>
      </c>
      <c r="IC128" t="b">
        <f>AND('Black &amp; White load sheet'!I200,"AAAAAHfvnew=")</f>
        <v>0</v>
      </c>
      <c r="ID128" t="b">
        <f>AND('Black &amp; White load sheet'!J200,"AAAAAHfvne0=")</f>
        <v>0</v>
      </c>
      <c r="IE128" t="b">
        <f>AND('Black &amp; White load sheet'!K200,"AAAAAHfvne4=")</f>
        <v>0</v>
      </c>
      <c r="IF128" t="b">
        <f>AND('Black &amp; White load sheet'!L200,"AAAAAHfvne8=")</f>
        <v>1</v>
      </c>
      <c r="IG128" t="b">
        <f>AND('Black &amp; White load sheet'!M200,"AAAAAHfvnfA=")</f>
        <v>1</v>
      </c>
      <c r="IH128" t="b">
        <f>AND('Black &amp; White load sheet'!N200,"AAAAAHfvnfE=")</f>
        <v>1</v>
      </c>
      <c r="II128" t="b">
        <f>AND('Black &amp; White load sheet'!O200,"AAAAAHfvnfI=")</f>
        <v>1</v>
      </c>
      <c r="IJ128">
        <f>IF('Black &amp; White load sheet'!201:201,"AAAAAHfvnfM=",0)</f>
        <v>0</v>
      </c>
      <c r="IK128" t="b">
        <f>AND('Black &amp; White load sheet'!A201,"AAAAAHfvnfQ=")</f>
        <v>1</v>
      </c>
      <c r="IL128" t="b">
        <f>AND('Black &amp; White load sheet'!B201,"AAAAAHfvnfU=")</f>
        <v>1</v>
      </c>
      <c r="IM128" t="b">
        <f>AND('Black &amp; White load sheet'!C201,"AAAAAHfvnfY=")</f>
        <v>1</v>
      </c>
      <c r="IN128" t="b">
        <f>AND('Black &amp; White load sheet'!D201,"AAAAAHfvnfc=")</f>
        <v>0</v>
      </c>
      <c r="IO128" t="b">
        <f>AND('Black &amp; White load sheet'!E201,"AAAAAHfvnfg=")</f>
        <v>1</v>
      </c>
      <c r="IP128" t="b">
        <f>AND('Black &amp; White load sheet'!F201,"AAAAAHfvnfk=")</f>
        <v>0</v>
      </c>
      <c r="IQ128" t="b">
        <f>AND('Black &amp; White load sheet'!G201,"AAAAAHfvnfo=")</f>
        <v>1</v>
      </c>
      <c r="IR128" t="b">
        <f>AND('Black &amp; White load sheet'!H201,"AAAAAHfvnfs=")</f>
        <v>1</v>
      </c>
      <c r="IS128" t="b">
        <f>AND('Black &amp; White load sheet'!I201,"AAAAAHfvnfw=")</f>
        <v>0</v>
      </c>
      <c r="IT128" t="b">
        <f>AND('Black &amp; White load sheet'!J201,"AAAAAHfvnf0=")</f>
        <v>0</v>
      </c>
      <c r="IU128" t="b">
        <f>AND('Black &amp; White load sheet'!K201,"AAAAAHfvnf4=")</f>
        <v>1</v>
      </c>
      <c r="IV128" t="b">
        <f>AND('Black &amp; White load sheet'!L201,"AAAAAHfvnf8=")</f>
        <v>0</v>
      </c>
    </row>
    <row r="129" spans="1:256">
      <c r="A129" t="b">
        <f>AND('Black &amp; White load sheet'!M201,"AAAAAH9/+wA=")</f>
        <v>1</v>
      </c>
      <c r="B129" t="b">
        <f>AND('Black &amp; White load sheet'!N201,"AAAAAH9/+wE=")</f>
        <v>1</v>
      </c>
      <c r="C129" t="b">
        <f>AND('Black &amp; White load sheet'!O201,"AAAAAH9/+wI=")</f>
        <v>1</v>
      </c>
      <c r="D129">
        <f>IF('Black &amp; White load sheet'!202:202,"AAAAAH9/+wM=",0)</f>
        <v>0</v>
      </c>
      <c r="E129" t="b">
        <f>AND('Black &amp; White load sheet'!A202,"AAAAAH9/+wQ=")</f>
        <v>1</v>
      </c>
      <c r="F129" t="b">
        <f>AND('Black &amp; White load sheet'!B202,"AAAAAH9/+wU=")</f>
        <v>1</v>
      </c>
      <c r="G129" t="b">
        <f>AND('Black &amp; White load sheet'!C202,"AAAAAH9/+wY=")</f>
        <v>1</v>
      </c>
      <c r="H129" t="b">
        <f>AND('Black &amp; White load sheet'!D202,"AAAAAH9/+wc=")</f>
        <v>0</v>
      </c>
      <c r="I129" t="b">
        <f>AND('Black &amp; White load sheet'!E202,"AAAAAH9/+wg=")</f>
        <v>1</v>
      </c>
      <c r="J129" t="b">
        <f>AND('Black &amp; White load sheet'!F202,"AAAAAH9/+wk=")</f>
        <v>0</v>
      </c>
      <c r="K129" t="b">
        <f>AND('Black &amp; White load sheet'!G202,"AAAAAH9/+wo=")</f>
        <v>1</v>
      </c>
      <c r="L129" t="b">
        <f>AND('Black &amp; White load sheet'!H202,"AAAAAH9/+ws=")</f>
        <v>1</v>
      </c>
      <c r="M129" t="b">
        <f>AND('Black &amp; White load sheet'!I202,"AAAAAH9/+ww=")</f>
        <v>0</v>
      </c>
      <c r="N129" t="b">
        <f>AND('Black &amp; White load sheet'!J202,"AAAAAH9/+w0=")</f>
        <v>1</v>
      </c>
      <c r="O129" t="b">
        <f>AND('Black &amp; White load sheet'!K202,"AAAAAH9/+w4=")</f>
        <v>0</v>
      </c>
      <c r="P129" t="b">
        <f>AND('Black &amp; White load sheet'!L202,"AAAAAH9/+w8=")</f>
        <v>0</v>
      </c>
      <c r="Q129" t="b">
        <f>AND('Black &amp; White load sheet'!M202,"AAAAAH9/+xA=")</f>
        <v>1</v>
      </c>
      <c r="R129" t="b">
        <f>AND('Black &amp; White load sheet'!N202,"AAAAAH9/+xE=")</f>
        <v>1</v>
      </c>
      <c r="S129" t="b">
        <f>AND('Black &amp; White load sheet'!O202,"AAAAAH9/+xI=")</f>
        <v>1</v>
      </c>
      <c r="T129">
        <f>IF('Black &amp; White load sheet'!203:203,"AAAAAH9/+xM=",0)</f>
        <v>0</v>
      </c>
      <c r="U129" t="b">
        <f>AND('Black &amp; White load sheet'!A203,"AAAAAH9/+xQ=")</f>
        <v>1</v>
      </c>
      <c r="V129" t="b">
        <f>AND('Black &amp; White load sheet'!B203,"AAAAAH9/+xU=")</f>
        <v>1</v>
      </c>
      <c r="W129" t="b">
        <f>AND('Black &amp; White load sheet'!C203,"AAAAAH9/+xY=")</f>
        <v>1</v>
      </c>
      <c r="X129" t="b">
        <f>AND('Black &amp; White load sheet'!D203,"AAAAAH9/+xc=")</f>
        <v>0</v>
      </c>
      <c r="Y129" t="b">
        <f>AND('Black &amp; White load sheet'!E203,"AAAAAH9/+xg=")</f>
        <v>1</v>
      </c>
      <c r="Z129" t="b">
        <f>AND('Black &amp; White load sheet'!F203,"AAAAAH9/+xk=")</f>
        <v>0</v>
      </c>
      <c r="AA129" t="b">
        <f>AND('Black &amp; White load sheet'!G203,"AAAAAH9/+xo=")</f>
        <v>1</v>
      </c>
      <c r="AB129" t="b">
        <f>AND('Black &amp; White load sheet'!H203,"AAAAAH9/+xs=")</f>
        <v>1</v>
      </c>
      <c r="AC129" t="b">
        <f>AND('Black &amp; White load sheet'!I203,"AAAAAH9/+xw=")</f>
        <v>1</v>
      </c>
      <c r="AD129" t="b">
        <f>AND('Black &amp; White load sheet'!J203,"AAAAAH9/+x0=")</f>
        <v>0</v>
      </c>
      <c r="AE129" t="b">
        <f>AND('Black &amp; White load sheet'!K203,"AAAAAH9/+x4=")</f>
        <v>0</v>
      </c>
      <c r="AF129" t="b">
        <f>AND('Black &amp; White load sheet'!L203,"AAAAAH9/+x8=")</f>
        <v>0</v>
      </c>
      <c r="AG129" t="b">
        <f>AND('Black &amp; White load sheet'!M203,"AAAAAH9/+yA=")</f>
        <v>1</v>
      </c>
      <c r="AH129" t="b">
        <f>AND('Black &amp; White load sheet'!N203,"AAAAAH9/+yE=")</f>
        <v>1</v>
      </c>
      <c r="AI129" t="b">
        <f>AND('Black &amp; White load sheet'!O203,"AAAAAH9/+yI=")</f>
        <v>1</v>
      </c>
      <c r="AJ129">
        <f>IF('Black &amp; White load sheet'!204:204,"AAAAAH9/+yM=",0)</f>
        <v>0</v>
      </c>
      <c r="AK129" t="b">
        <f>AND('Black &amp; White load sheet'!A204,"AAAAAH9/+yQ=")</f>
        <v>1</v>
      </c>
      <c r="AL129" t="b">
        <f>AND('Black &amp; White load sheet'!B204,"AAAAAH9/+yU=")</f>
        <v>1</v>
      </c>
      <c r="AM129" t="b">
        <f>AND('Black &amp; White load sheet'!C204,"AAAAAH9/+yY=")</f>
        <v>0</v>
      </c>
      <c r="AN129" t="b">
        <f>AND('Black &amp; White load sheet'!D204,"AAAAAH9/+yc=")</f>
        <v>0</v>
      </c>
      <c r="AO129" t="b">
        <f>AND('Black &amp; White load sheet'!E204,"AAAAAH9/+yg=")</f>
        <v>0</v>
      </c>
      <c r="AP129" t="b">
        <f>AND('Black &amp; White load sheet'!F204,"AAAAAH9/+yk=")</f>
        <v>0</v>
      </c>
      <c r="AQ129" t="b">
        <f>AND('Black &amp; White load sheet'!G204,"AAAAAH9/+yo=")</f>
        <v>0</v>
      </c>
      <c r="AR129" t="b">
        <f>AND('Black &amp; White load sheet'!H204,"AAAAAH9/+ys=")</f>
        <v>0</v>
      </c>
      <c r="AS129" t="b">
        <f>AND('Black &amp; White load sheet'!I204,"AAAAAH9/+yw=")</f>
        <v>0</v>
      </c>
      <c r="AT129" t="b">
        <f>AND('Black &amp; White load sheet'!J204,"AAAAAH9/+y0=")</f>
        <v>0</v>
      </c>
      <c r="AU129" t="b">
        <f>AND('Black &amp; White load sheet'!K204,"AAAAAH9/+y4=")</f>
        <v>0</v>
      </c>
      <c r="AV129" t="b">
        <f>AND('Black &amp; White load sheet'!L204,"AAAAAH9/+y8=")</f>
        <v>0</v>
      </c>
      <c r="AW129" t="b">
        <f>AND('Black &amp; White load sheet'!M204,"AAAAAH9/+zA=")</f>
        <v>1</v>
      </c>
      <c r="AX129" t="b">
        <f>AND('Black &amp; White load sheet'!N204,"AAAAAH9/+zE=")</f>
        <v>1</v>
      </c>
      <c r="AY129" t="b">
        <f>AND('Black &amp; White load sheet'!O204,"AAAAAH9/+zI=")</f>
        <v>1</v>
      </c>
      <c r="AZ129">
        <f>IF('Black &amp; White load sheet'!205:205,"AAAAAH9/+zM=",0)</f>
        <v>0</v>
      </c>
      <c r="BA129" t="b">
        <f>AND('Black &amp; White load sheet'!A205,"AAAAAH9/+zQ=")</f>
        <v>1</v>
      </c>
      <c r="BB129" t="b">
        <f>AND('Black &amp; White load sheet'!B205,"AAAAAH9/+zU=")</f>
        <v>1</v>
      </c>
      <c r="BC129" t="b">
        <f>AND('Black &amp; White load sheet'!C205,"AAAAAH9/+zY=")</f>
        <v>0</v>
      </c>
      <c r="BD129" t="b">
        <f>AND('Black &amp; White load sheet'!D205,"AAAAAH9/+zc=")</f>
        <v>0</v>
      </c>
      <c r="BE129" t="b">
        <f>AND('Black &amp; White load sheet'!E205,"AAAAAH9/+zg=")</f>
        <v>0</v>
      </c>
      <c r="BF129" t="b">
        <f>AND('Black &amp; White load sheet'!F205,"AAAAAH9/+zk=")</f>
        <v>0</v>
      </c>
      <c r="BG129" t="b">
        <f>AND('Black &amp; White load sheet'!G205,"AAAAAH9/+zo=")</f>
        <v>0</v>
      </c>
      <c r="BH129" t="b">
        <f>AND('Black &amp; White load sheet'!H205,"AAAAAH9/+zs=")</f>
        <v>0</v>
      </c>
      <c r="BI129" t="b">
        <f>AND('Black &amp; White load sheet'!I205,"AAAAAH9/+zw=")</f>
        <v>0</v>
      </c>
      <c r="BJ129" t="b">
        <f>AND('Black &amp; White load sheet'!J205,"AAAAAH9/+z0=")</f>
        <v>0</v>
      </c>
      <c r="BK129" t="b">
        <f>AND('Black &amp; White load sheet'!K205,"AAAAAH9/+z4=")</f>
        <v>0</v>
      </c>
      <c r="BL129" t="b">
        <f>AND('Black &amp; White load sheet'!L205,"AAAAAH9/+z8=")</f>
        <v>1</v>
      </c>
      <c r="BM129" t="b">
        <f>AND('Black &amp; White load sheet'!M205,"AAAAAH9/+0A=")</f>
        <v>1</v>
      </c>
      <c r="BN129" t="b">
        <f>AND('Black &amp; White load sheet'!N205,"AAAAAH9/+0E=")</f>
        <v>1</v>
      </c>
      <c r="BO129" t="b">
        <f>AND('Black &amp; White load sheet'!O205,"AAAAAH9/+0I=")</f>
        <v>1</v>
      </c>
      <c r="BP129">
        <f>IF('Black &amp; White load sheet'!206:206,"AAAAAH9/+0M=",0)</f>
        <v>0</v>
      </c>
      <c r="BQ129" t="b">
        <f>AND('Black &amp; White load sheet'!A206,"AAAAAH9/+0Q=")</f>
        <v>1</v>
      </c>
      <c r="BR129" t="b">
        <f>AND('Black &amp; White load sheet'!B206,"AAAAAH9/+0U=")</f>
        <v>1</v>
      </c>
      <c r="BS129" t="b">
        <f>AND('Black &amp; White load sheet'!C206,"AAAAAH9/+0Y=")</f>
        <v>0</v>
      </c>
      <c r="BT129" t="b">
        <f>AND('Black &amp; White load sheet'!D206,"AAAAAH9/+0c=")</f>
        <v>0</v>
      </c>
      <c r="BU129" t="b">
        <f>AND('Black &amp; White load sheet'!E206,"AAAAAH9/+0g=")</f>
        <v>0</v>
      </c>
      <c r="BV129" t="b">
        <f>AND('Black &amp; White load sheet'!F206,"AAAAAH9/+0k=")</f>
        <v>0</v>
      </c>
      <c r="BW129" t="b">
        <f>AND('Black &amp; White load sheet'!G206,"AAAAAH9/+0o=")</f>
        <v>0</v>
      </c>
      <c r="BX129" t="b">
        <f>AND('Black &amp; White load sheet'!H206,"AAAAAH9/+0s=")</f>
        <v>0</v>
      </c>
      <c r="BY129" t="b">
        <f>AND('Black &amp; White load sheet'!I206,"AAAAAH9/+0w=")</f>
        <v>0</v>
      </c>
      <c r="BZ129" t="b">
        <f>AND('Black &amp; White load sheet'!J206,"AAAAAH9/+00=")</f>
        <v>0</v>
      </c>
      <c r="CA129" t="b">
        <f>AND('Black &amp; White load sheet'!K206,"AAAAAH9/+04=")</f>
        <v>1</v>
      </c>
      <c r="CB129" t="b">
        <f>AND('Black &amp; White load sheet'!L206,"AAAAAH9/+08=")</f>
        <v>0</v>
      </c>
      <c r="CC129" t="b">
        <f>AND('Black &amp; White load sheet'!M206,"AAAAAH9/+1A=")</f>
        <v>1</v>
      </c>
      <c r="CD129" t="b">
        <f>AND('Black &amp; White load sheet'!N206,"AAAAAH9/+1E=")</f>
        <v>1</v>
      </c>
      <c r="CE129" t="b">
        <f>AND('Black &amp; White load sheet'!O206,"AAAAAH9/+1I=")</f>
        <v>1</v>
      </c>
      <c r="CF129">
        <f>IF('Black &amp; White load sheet'!207:207,"AAAAAH9/+1M=",0)</f>
        <v>0</v>
      </c>
      <c r="CG129" t="b">
        <f>AND('Black &amp; White load sheet'!A207,"AAAAAH9/+1Q=")</f>
        <v>1</v>
      </c>
      <c r="CH129" t="b">
        <f>AND('Black &amp; White load sheet'!B207,"AAAAAH9/+1U=")</f>
        <v>1</v>
      </c>
      <c r="CI129" t="b">
        <f>AND('Black &amp; White load sheet'!C207,"AAAAAH9/+1Y=")</f>
        <v>0</v>
      </c>
      <c r="CJ129" t="b">
        <f>AND('Black &amp; White load sheet'!D207,"AAAAAH9/+1c=")</f>
        <v>0</v>
      </c>
      <c r="CK129" t="b">
        <f>AND('Black &amp; White load sheet'!E207,"AAAAAH9/+1g=")</f>
        <v>0</v>
      </c>
      <c r="CL129" t="b">
        <f>AND('Black &amp; White load sheet'!F207,"AAAAAH9/+1k=")</f>
        <v>0</v>
      </c>
      <c r="CM129" t="b">
        <f>AND('Black &amp; White load sheet'!G207,"AAAAAH9/+1o=")</f>
        <v>0</v>
      </c>
      <c r="CN129" t="b">
        <f>AND('Black &amp; White load sheet'!H207,"AAAAAH9/+1s=")</f>
        <v>0</v>
      </c>
      <c r="CO129" t="b">
        <f>AND('Black &amp; White load sheet'!I207,"AAAAAH9/+1w=")</f>
        <v>0</v>
      </c>
      <c r="CP129" t="b">
        <f>AND('Black &amp; White load sheet'!J207,"AAAAAH9/+10=")</f>
        <v>1</v>
      </c>
      <c r="CQ129" t="b">
        <f>AND('Black &amp; White load sheet'!K207,"AAAAAH9/+14=")</f>
        <v>0</v>
      </c>
      <c r="CR129" t="b">
        <f>AND('Black &amp; White load sheet'!L207,"AAAAAH9/+18=")</f>
        <v>0</v>
      </c>
      <c r="CS129" t="b">
        <f>AND('Black &amp; White load sheet'!M207,"AAAAAH9/+2A=")</f>
        <v>1</v>
      </c>
      <c r="CT129" t="b">
        <f>AND('Black &amp; White load sheet'!N207,"AAAAAH9/+2E=")</f>
        <v>1</v>
      </c>
      <c r="CU129" t="b">
        <f>AND('Black &amp; White load sheet'!O207,"AAAAAH9/+2I=")</f>
        <v>1</v>
      </c>
      <c r="CV129">
        <f>IF('Black &amp; White load sheet'!208:208,"AAAAAH9/+2M=",0)</f>
        <v>0</v>
      </c>
      <c r="CW129" t="b">
        <f>AND('Black &amp; White load sheet'!A208,"AAAAAH9/+2Q=")</f>
        <v>1</v>
      </c>
      <c r="CX129" t="b">
        <f>AND('Black &amp; White load sheet'!B208,"AAAAAH9/+2U=")</f>
        <v>1</v>
      </c>
      <c r="CY129" t="b">
        <f>AND('Black &amp; White load sheet'!C208,"AAAAAH9/+2Y=")</f>
        <v>0</v>
      </c>
      <c r="CZ129" t="b">
        <f>AND('Black &amp; White load sheet'!D208,"AAAAAH9/+2c=")</f>
        <v>0</v>
      </c>
      <c r="DA129" t="b">
        <f>AND('Black &amp; White load sheet'!E208,"AAAAAH9/+2g=")</f>
        <v>0</v>
      </c>
      <c r="DB129" t="b">
        <f>AND('Black &amp; White load sheet'!F208,"AAAAAH9/+2k=")</f>
        <v>0</v>
      </c>
      <c r="DC129" t="b">
        <f>AND('Black &amp; White load sheet'!G208,"AAAAAH9/+2o=")</f>
        <v>0</v>
      </c>
      <c r="DD129" t="b">
        <f>AND('Black &amp; White load sheet'!H208,"AAAAAH9/+2s=")</f>
        <v>0</v>
      </c>
      <c r="DE129" t="b">
        <f>AND('Black &amp; White load sheet'!I208,"AAAAAH9/+2w=")</f>
        <v>1</v>
      </c>
      <c r="DF129" t="b">
        <f>AND('Black &amp; White load sheet'!J208,"AAAAAH9/+20=")</f>
        <v>0</v>
      </c>
      <c r="DG129" t="b">
        <f>AND('Black &amp; White load sheet'!K208,"AAAAAH9/+24=")</f>
        <v>0</v>
      </c>
      <c r="DH129" t="b">
        <f>AND('Black &amp; White load sheet'!L208,"AAAAAH9/+28=")</f>
        <v>0</v>
      </c>
      <c r="DI129" t="b">
        <f>AND('Black &amp; White load sheet'!M208,"AAAAAH9/+3A=")</f>
        <v>1</v>
      </c>
      <c r="DJ129" t="b">
        <f>AND('Black &amp; White load sheet'!N208,"AAAAAH9/+3E=")</f>
        <v>1</v>
      </c>
      <c r="DK129" t="b">
        <f>AND('Black &amp; White load sheet'!O208,"AAAAAH9/+3I=")</f>
        <v>1</v>
      </c>
      <c r="DL129">
        <f>IF('Black &amp; White load sheet'!209:209,"AAAAAH9/+3M=",0)</f>
        <v>0</v>
      </c>
      <c r="DM129" t="b">
        <f>AND('Black &amp; White load sheet'!A209,"AAAAAH9/+3Q=")</f>
        <v>1</v>
      </c>
      <c r="DN129" t="b">
        <f>AND('Black &amp; White load sheet'!B209,"AAAAAH9/+3U=")</f>
        <v>1</v>
      </c>
      <c r="DO129" t="b">
        <f>AND('Black &amp; White load sheet'!C209,"AAAAAH9/+3Y=")</f>
        <v>0</v>
      </c>
      <c r="DP129" t="b">
        <f>AND('Black &amp; White load sheet'!D209,"AAAAAH9/+3c=")</f>
        <v>0</v>
      </c>
      <c r="DQ129" t="b">
        <f>AND('Black &amp; White load sheet'!E209,"AAAAAH9/+3g=")</f>
        <v>0</v>
      </c>
      <c r="DR129" t="b">
        <f>AND('Black &amp; White load sheet'!F209,"AAAAAH9/+3k=")</f>
        <v>0</v>
      </c>
      <c r="DS129" t="b">
        <f>AND('Black &amp; White load sheet'!G209,"AAAAAH9/+3o=")</f>
        <v>0</v>
      </c>
      <c r="DT129" t="b">
        <f>AND('Black &amp; White load sheet'!H209,"AAAAAH9/+3s=")</f>
        <v>1</v>
      </c>
      <c r="DU129" t="b">
        <f>AND('Black &amp; White load sheet'!I209,"AAAAAH9/+3w=")</f>
        <v>0</v>
      </c>
      <c r="DV129" t="b">
        <f>AND('Black &amp; White load sheet'!J209,"AAAAAH9/+30=")</f>
        <v>0</v>
      </c>
      <c r="DW129" t="b">
        <f>AND('Black &amp; White load sheet'!K209,"AAAAAH9/+34=")</f>
        <v>0</v>
      </c>
      <c r="DX129" t="b">
        <f>AND('Black &amp; White load sheet'!L209,"AAAAAH9/+38=")</f>
        <v>0</v>
      </c>
      <c r="DY129" t="b">
        <f>AND('Black &amp; White load sheet'!M209,"AAAAAH9/+4A=")</f>
        <v>1</v>
      </c>
      <c r="DZ129" t="b">
        <f>AND('Black &amp; White load sheet'!N209,"AAAAAH9/+4E=")</f>
        <v>1</v>
      </c>
      <c r="EA129" t="b">
        <f>AND('Black &amp; White load sheet'!O209,"AAAAAH9/+4I=")</f>
        <v>1</v>
      </c>
      <c r="EB129">
        <f>IF('Black &amp; White load sheet'!210:210,"AAAAAH9/+4M=",0)</f>
        <v>0</v>
      </c>
      <c r="EC129" t="b">
        <f>AND('Black &amp; White load sheet'!A210,"AAAAAH9/+4Q=")</f>
        <v>1</v>
      </c>
      <c r="ED129" t="b">
        <f>AND('Black &amp; White load sheet'!B210,"AAAAAH9/+4U=")</f>
        <v>1</v>
      </c>
      <c r="EE129" t="b">
        <f>AND('Black &amp; White load sheet'!C210,"AAAAAH9/+4Y=")</f>
        <v>0</v>
      </c>
      <c r="EF129" t="b">
        <f>AND('Black &amp; White load sheet'!D210,"AAAAAH9/+4c=")</f>
        <v>0</v>
      </c>
      <c r="EG129" t="b">
        <f>AND('Black &amp; White load sheet'!E210,"AAAAAH9/+4g=")</f>
        <v>0</v>
      </c>
      <c r="EH129" t="b">
        <f>AND('Black &amp; White load sheet'!F210,"AAAAAH9/+4k=")</f>
        <v>0</v>
      </c>
      <c r="EI129" t="b">
        <f>AND('Black &amp; White load sheet'!G210,"AAAAAH9/+4o=")</f>
        <v>0</v>
      </c>
      <c r="EJ129" t="b">
        <f>AND('Black &amp; White load sheet'!H210,"AAAAAH9/+4s=")</f>
        <v>1</v>
      </c>
      <c r="EK129" t="b">
        <f>AND('Black &amp; White load sheet'!I210,"AAAAAH9/+4w=")</f>
        <v>0</v>
      </c>
      <c r="EL129" t="b">
        <f>AND('Black &amp; White load sheet'!J210,"AAAAAH9/+40=")</f>
        <v>0</v>
      </c>
      <c r="EM129" t="b">
        <f>AND('Black &amp; White load sheet'!K210,"AAAAAH9/+44=")</f>
        <v>0</v>
      </c>
      <c r="EN129" t="b">
        <f>AND('Black &amp; White load sheet'!L210,"AAAAAH9/+48=")</f>
        <v>1</v>
      </c>
      <c r="EO129" t="b">
        <f>AND('Black &amp; White load sheet'!M210,"AAAAAH9/+5A=")</f>
        <v>1</v>
      </c>
      <c r="EP129" t="b">
        <f>AND('Black &amp; White load sheet'!N210,"AAAAAH9/+5E=")</f>
        <v>1</v>
      </c>
      <c r="EQ129" t="b">
        <f>AND('Black &amp; White load sheet'!O210,"AAAAAH9/+5I=")</f>
        <v>1</v>
      </c>
      <c r="ER129">
        <f>IF('Black &amp; White load sheet'!211:211,"AAAAAH9/+5M=",0)</f>
        <v>0</v>
      </c>
      <c r="ES129" t="b">
        <f>AND('Black &amp; White load sheet'!A211,"AAAAAH9/+5Q=")</f>
        <v>1</v>
      </c>
      <c r="ET129" t="b">
        <f>AND('Black &amp; White load sheet'!B211,"AAAAAH9/+5U=")</f>
        <v>1</v>
      </c>
      <c r="EU129" t="b">
        <f>AND('Black &amp; White load sheet'!C211,"AAAAAH9/+5Y=")</f>
        <v>0</v>
      </c>
      <c r="EV129" t="b">
        <f>AND('Black &amp; White load sheet'!D211,"AAAAAH9/+5c=")</f>
        <v>0</v>
      </c>
      <c r="EW129" t="b">
        <f>AND('Black &amp; White load sheet'!E211,"AAAAAH9/+5g=")</f>
        <v>0</v>
      </c>
      <c r="EX129" t="b">
        <f>AND('Black &amp; White load sheet'!F211,"AAAAAH9/+5k=")</f>
        <v>0</v>
      </c>
      <c r="EY129" t="b">
        <f>AND('Black &amp; White load sheet'!G211,"AAAAAH9/+5o=")</f>
        <v>0</v>
      </c>
      <c r="EZ129" t="b">
        <f>AND('Black &amp; White load sheet'!H211,"AAAAAH9/+5s=")</f>
        <v>1</v>
      </c>
      <c r="FA129" t="b">
        <f>AND('Black &amp; White load sheet'!I211,"AAAAAH9/+5w=")</f>
        <v>0</v>
      </c>
      <c r="FB129" t="b">
        <f>AND('Black &amp; White load sheet'!J211,"AAAAAH9/+50=")</f>
        <v>0</v>
      </c>
      <c r="FC129" t="b">
        <f>AND('Black &amp; White load sheet'!K211,"AAAAAH9/+54=")</f>
        <v>1</v>
      </c>
      <c r="FD129" t="b">
        <f>AND('Black &amp; White load sheet'!L211,"AAAAAH9/+58=")</f>
        <v>0</v>
      </c>
      <c r="FE129" t="b">
        <f>AND('Black &amp; White load sheet'!M211,"AAAAAH9/+6A=")</f>
        <v>1</v>
      </c>
      <c r="FF129" t="b">
        <f>AND('Black &amp; White load sheet'!N211,"AAAAAH9/+6E=")</f>
        <v>1</v>
      </c>
      <c r="FG129" t="b">
        <f>AND('Black &amp; White load sheet'!O211,"AAAAAH9/+6I=")</f>
        <v>1</v>
      </c>
      <c r="FH129">
        <f>IF('Black &amp; White load sheet'!212:212,"AAAAAH9/+6M=",0)</f>
        <v>0</v>
      </c>
      <c r="FI129" t="b">
        <f>AND('Black &amp; White load sheet'!A212,"AAAAAH9/+6Q=")</f>
        <v>1</v>
      </c>
      <c r="FJ129" t="b">
        <f>AND('Black &amp; White load sheet'!B212,"AAAAAH9/+6U=")</f>
        <v>1</v>
      </c>
      <c r="FK129" t="b">
        <f>AND('Black &amp; White load sheet'!C212,"AAAAAH9/+6Y=")</f>
        <v>0</v>
      </c>
      <c r="FL129" t="b">
        <f>AND('Black &amp; White load sheet'!D212,"AAAAAH9/+6c=")</f>
        <v>0</v>
      </c>
      <c r="FM129" t="b">
        <f>AND('Black &amp; White load sheet'!E212,"AAAAAH9/+6g=")</f>
        <v>0</v>
      </c>
      <c r="FN129" t="b">
        <f>AND('Black &amp; White load sheet'!F212,"AAAAAH9/+6k=")</f>
        <v>0</v>
      </c>
      <c r="FO129" t="b">
        <f>AND('Black &amp; White load sheet'!G212,"AAAAAH9/+6o=")</f>
        <v>0</v>
      </c>
      <c r="FP129" t="b">
        <f>AND('Black &amp; White load sheet'!H212,"AAAAAH9/+6s=")</f>
        <v>1</v>
      </c>
      <c r="FQ129" t="b">
        <f>AND('Black &amp; White load sheet'!I212,"AAAAAH9/+6w=")</f>
        <v>0</v>
      </c>
      <c r="FR129" t="b">
        <f>AND('Black &amp; White load sheet'!J212,"AAAAAH9/+60=")</f>
        <v>1</v>
      </c>
      <c r="FS129" t="b">
        <f>AND('Black &amp; White load sheet'!K212,"AAAAAH9/+64=")</f>
        <v>0</v>
      </c>
      <c r="FT129" t="b">
        <f>AND('Black &amp; White load sheet'!L212,"AAAAAH9/+68=")</f>
        <v>0</v>
      </c>
      <c r="FU129" t="b">
        <f>AND('Black &amp; White load sheet'!M212,"AAAAAH9/+7A=")</f>
        <v>1</v>
      </c>
      <c r="FV129" t="b">
        <f>AND('Black &amp; White load sheet'!N212,"AAAAAH9/+7E=")</f>
        <v>1</v>
      </c>
      <c r="FW129" t="b">
        <f>AND('Black &amp; White load sheet'!O212,"AAAAAH9/+7I=")</f>
        <v>1</v>
      </c>
      <c r="FX129">
        <f>IF('Black &amp; White load sheet'!213:213,"AAAAAH9/+7M=",0)</f>
        <v>0</v>
      </c>
      <c r="FY129" t="b">
        <f>AND('Black &amp; White load sheet'!A213,"AAAAAH9/+7Q=")</f>
        <v>1</v>
      </c>
      <c r="FZ129" t="b">
        <f>AND('Black &amp; White load sheet'!B213,"AAAAAH9/+7U=")</f>
        <v>1</v>
      </c>
      <c r="GA129" t="b">
        <f>AND('Black &amp; White load sheet'!C213,"AAAAAH9/+7Y=")</f>
        <v>0</v>
      </c>
      <c r="GB129" t="b">
        <f>AND('Black &amp; White load sheet'!D213,"AAAAAH9/+7c=")</f>
        <v>0</v>
      </c>
      <c r="GC129" t="b">
        <f>AND('Black &amp; White load sheet'!E213,"AAAAAH9/+7g=")</f>
        <v>0</v>
      </c>
      <c r="GD129" t="b">
        <f>AND('Black &amp; White load sheet'!F213,"AAAAAH9/+7k=")</f>
        <v>0</v>
      </c>
      <c r="GE129" t="b">
        <f>AND('Black &amp; White load sheet'!G213,"AAAAAH9/+7o=")</f>
        <v>0</v>
      </c>
      <c r="GF129" t="b">
        <f>AND('Black &amp; White load sheet'!H213,"AAAAAH9/+7s=")</f>
        <v>1</v>
      </c>
      <c r="GG129" t="b">
        <f>AND('Black &amp; White load sheet'!I213,"AAAAAH9/+7w=")</f>
        <v>1</v>
      </c>
      <c r="GH129" t="b">
        <f>AND('Black &amp; White load sheet'!J213,"AAAAAH9/+70=")</f>
        <v>0</v>
      </c>
      <c r="GI129" t="b">
        <f>AND('Black &amp; White load sheet'!K213,"AAAAAH9/+74=")</f>
        <v>0</v>
      </c>
      <c r="GJ129" t="b">
        <f>AND('Black &amp; White load sheet'!L213,"AAAAAH9/+78=")</f>
        <v>0</v>
      </c>
      <c r="GK129" t="b">
        <f>AND('Black &amp; White load sheet'!M213,"AAAAAH9/+8A=")</f>
        <v>1</v>
      </c>
      <c r="GL129" t="b">
        <f>AND('Black &amp; White load sheet'!N213,"AAAAAH9/+8E=")</f>
        <v>1</v>
      </c>
      <c r="GM129" t="b">
        <f>AND('Black &amp; White load sheet'!O213,"AAAAAH9/+8I=")</f>
        <v>1</v>
      </c>
      <c r="GN129">
        <f>IF('Black &amp; White load sheet'!214:214,"AAAAAH9/+8M=",0)</f>
        <v>0</v>
      </c>
      <c r="GO129" t="b">
        <f>AND('Black &amp; White load sheet'!A214,"AAAAAH9/+8Q=")</f>
        <v>1</v>
      </c>
      <c r="GP129" t="b">
        <f>AND('Black &amp; White load sheet'!B214,"AAAAAH9/+8U=")</f>
        <v>1</v>
      </c>
      <c r="GQ129" t="b">
        <f>AND('Black &amp; White load sheet'!C214,"AAAAAH9/+8Y=")</f>
        <v>0</v>
      </c>
      <c r="GR129" t="b">
        <f>AND('Black &amp; White load sheet'!D214,"AAAAAH9/+8c=")</f>
        <v>0</v>
      </c>
      <c r="GS129" t="b">
        <f>AND('Black &amp; White load sheet'!E214,"AAAAAH9/+8g=")</f>
        <v>0</v>
      </c>
      <c r="GT129" t="b">
        <f>AND('Black &amp; White load sheet'!F214,"AAAAAH9/+8k=")</f>
        <v>0</v>
      </c>
      <c r="GU129" t="b">
        <f>AND('Black &amp; White load sheet'!G214,"AAAAAH9/+8o=")</f>
        <v>1</v>
      </c>
      <c r="GV129" t="b">
        <f>AND('Black &amp; White load sheet'!H214,"AAAAAH9/+8s=")</f>
        <v>0</v>
      </c>
      <c r="GW129" t="b">
        <f>AND('Black &amp; White load sheet'!I214,"AAAAAH9/+8w=")</f>
        <v>0</v>
      </c>
      <c r="GX129" t="b">
        <f>AND('Black &amp; White load sheet'!J214,"AAAAAH9/+80=")</f>
        <v>0</v>
      </c>
      <c r="GY129" t="b">
        <f>AND('Black &amp; White load sheet'!K214,"AAAAAH9/+84=")</f>
        <v>0</v>
      </c>
      <c r="GZ129" t="b">
        <f>AND('Black &amp; White load sheet'!L214,"AAAAAH9/+88=")</f>
        <v>0</v>
      </c>
      <c r="HA129" t="b">
        <f>AND('Black &amp; White load sheet'!M214,"AAAAAH9/+9A=")</f>
        <v>1</v>
      </c>
      <c r="HB129" t="b">
        <f>AND('Black &amp; White load sheet'!N214,"AAAAAH9/+9E=")</f>
        <v>1</v>
      </c>
      <c r="HC129" t="b">
        <f>AND('Black &amp; White load sheet'!O214,"AAAAAH9/+9I=")</f>
        <v>1</v>
      </c>
      <c r="HD129">
        <f>IF('Black &amp; White load sheet'!215:215,"AAAAAH9/+9M=",0)</f>
        <v>0</v>
      </c>
      <c r="HE129" t="b">
        <f>AND('Black &amp; White load sheet'!A215,"AAAAAH9/+9Q=")</f>
        <v>1</v>
      </c>
      <c r="HF129" t="b">
        <f>AND('Black &amp; White load sheet'!B215,"AAAAAH9/+9U=")</f>
        <v>1</v>
      </c>
      <c r="HG129" t="b">
        <f>AND('Black &amp; White load sheet'!C215,"AAAAAH9/+9Y=")</f>
        <v>0</v>
      </c>
      <c r="HH129" t="b">
        <f>AND('Black &amp; White load sheet'!D215,"AAAAAH9/+9c=")</f>
        <v>0</v>
      </c>
      <c r="HI129" t="b">
        <f>AND('Black &amp; White load sheet'!E215,"AAAAAH9/+9g=")</f>
        <v>0</v>
      </c>
      <c r="HJ129" t="b">
        <f>AND('Black &amp; White load sheet'!F215,"AAAAAH9/+9k=")</f>
        <v>0</v>
      </c>
      <c r="HK129" t="b">
        <f>AND('Black &amp; White load sheet'!G215,"AAAAAH9/+9o=")</f>
        <v>1</v>
      </c>
      <c r="HL129" t="b">
        <f>AND('Black &amp; White load sheet'!H215,"AAAAAH9/+9s=")</f>
        <v>0</v>
      </c>
      <c r="HM129" t="b">
        <f>AND('Black &amp; White load sheet'!I215,"AAAAAH9/+9w=")</f>
        <v>0</v>
      </c>
      <c r="HN129" t="b">
        <f>AND('Black &amp; White load sheet'!J215,"AAAAAH9/+90=")</f>
        <v>0</v>
      </c>
      <c r="HO129" t="b">
        <f>AND('Black &amp; White load sheet'!K215,"AAAAAH9/+94=")</f>
        <v>0</v>
      </c>
      <c r="HP129" t="b">
        <f>AND('Black &amp; White load sheet'!L215,"AAAAAH9/+98=")</f>
        <v>1</v>
      </c>
      <c r="HQ129" t="b">
        <f>AND('Black &amp; White load sheet'!M215,"AAAAAH9/++A=")</f>
        <v>1</v>
      </c>
      <c r="HR129" t="b">
        <f>AND('Black &amp; White load sheet'!N215,"AAAAAH9/++E=")</f>
        <v>1</v>
      </c>
      <c r="HS129" t="b">
        <f>AND('Black &amp; White load sheet'!O215,"AAAAAH9/++I=")</f>
        <v>1</v>
      </c>
      <c r="HT129">
        <f>IF('Black &amp; White load sheet'!216:216,"AAAAAH9/++M=",0)</f>
        <v>0</v>
      </c>
      <c r="HU129" t="b">
        <f>AND('Black &amp; White load sheet'!A216,"AAAAAH9/++Q=")</f>
        <v>1</v>
      </c>
      <c r="HV129" t="b">
        <f>AND('Black &amp; White load sheet'!B216,"AAAAAH9/++U=")</f>
        <v>1</v>
      </c>
      <c r="HW129" t="b">
        <f>AND('Black &amp; White load sheet'!C216,"AAAAAH9/++Y=")</f>
        <v>0</v>
      </c>
      <c r="HX129" t="b">
        <f>AND('Black &amp; White load sheet'!D216,"AAAAAH9/++c=")</f>
        <v>0</v>
      </c>
      <c r="HY129" t="b">
        <f>AND('Black &amp; White load sheet'!E216,"AAAAAH9/++g=")</f>
        <v>0</v>
      </c>
      <c r="HZ129" t="b">
        <f>AND('Black &amp; White load sheet'!F216,"AAAAAH9/++k=")</f>
        <v>0</v>
      </c>
      <c r="IA129" t="b">
        <f>AND('Black &amp; White load sheet'!G216,"AAAAAH9/++o=")</f>
        <v>1</v>
      </c>
      <c r="IB129" t="b">
        <f>AND('Black &amp; White load sheet'!H216,"AAAAAH9/++s=")</f>
        <v>0</v>
      </c>
      <c r="IC129" t="b">
        <f>AND('Black &amp; White load sheet'!I216,"AAAAAH9/++w=")</f>
        <v>0</v>
      </c>
      <c r="ID129" t="b">
        <f>AND('Black &amp; White load sheet'!J216,"AAAAAH9/++0=")</f>
        <v>0</v>
      </c>
      <c r="IE129" t="b">
        <f>AND('Black &amp; White load sheet'!K216,"AAAAAH9/++4=")</f>
        <v>1</v>
      </c>
      <c r="IF129" t="b">
        <f>AND('Black &amp; White load sheet'!L216,"AAAAAH9/++8=")</f>
        <v>0</v>
      </c>
      <c r="IG129" t="b">
        <f>AND('Black &amp; White load sheet'!M216,"AAAAAH9/+/A=")</f>
        <v>1</v>
      </c>
      <c r="IH129" t="b">
        <f>AND('Black &amp; White load sheet'!N216,"AAAAAH9/+/E=")</f>
        <v>1</v>
      </c>
      <c r="II129" t="b">
        <f>AND('Black &amp; White load sheet'!O216,"AAAAAH9/+/I=")</f>
        <v>1</v>
      </c>
      <c r="IJ129">
        <f>IF('Black &amp; White load sheet'!217:217,"AAAAAH9/+/M=",0)</f>
        <v>0</v>
      </c>
      <c r="IK129" t="b">
        <f>AND('Black &amp; White load sheet'!A217,"AAAAAH9/+/Q=")</f>
        <v>1</v>
      </c>
      <c r="IL129" t="b">
        <f>AND('Black &amp; White load sheet'!B217,"AAAAAH9/+/U=")</f>
        <v>1</v>
      </c>
      <c r="IM129" t="b">
        <f>AND('Black &amp; White load sheet'!C217,"AAAAAH9/+/Y=")</f>
        <v>0</v>
      </c>
      <c r="IN129" t="b">
        <f>AND('Black &amp; White load sheet'!D217,"AAAAAH9/+/c=")</f>
        <v>0</v>
      </c>
      <c r="IO129" t="b">
        <f>AND('Black &amp; White load sheet'!E217,"AAAAAH9/+/g=")</f>
        <v>0</v>
      </c>
      <c r="IP129" t="b">
        <f>AND('Black &amp; White load sheet'!F217,"AAAAAH9/+/k=")</f>
        <v>0</v>
      </c>
      <c r="IQ129" t="b">
        <f>AND('Black &amp; White load sheet'!G217,"AAAAAH9/+/o=")</f>
        <v>1</v>
      </c>
      <c r="IR129" t="b">
        <f>AND('Black &amp; White load sheet'!H217,"AAAAAH9/+/s=")</f>
        <v>0</v>
      </c>
      <c r="IS129" t="b">
        <f>AND('Black &amp; White load sheet'!I217,"AAAAAH9/+/w=")</f>
        <v>0</v>
      </c>
      <c r="IT129" t="b">
        <f>AND('Black &amp; White load sheet'!J217,"AAAAAH9/+/0=")</f>
        <v>1</v>
      </c>
      <c r="IU129" t="b">
        <f>AND('Black &amp; White load sheet'!K217,"AAAAAH9/+/4=")</f>
        <v>0</v>
      </c>
      <c r="IV129" t="b">
        <f>AND('Black &amp; White load sheet'!L217,"AAAAAH9/+/8=")</f>
        <v>0</v>
      </c>
    </row>
    <row r="130" spans="1:256">
      <c r="A130" t="b">
        <f>AND('Black &amp; White load sheet'!M217,"AAAAAHd9/QA=")</f>
        <v>1</v>
      </c>
      <c r="B130" t="b">
        <f>AND('Black &amp; White load sheet'!N217,"AAAAAHd9/QE=")</f>
        <v>1</v>
      </c>
      <c r="C130" t="b">
        <f>AND('Black &amp; White load sheet'!O217,"AAAAAHd9/QI=")</f>
        <v>1</v>
      </c>
      <c r="D130">
        <f>IF('Black &amp; White load sheet'!218:218,"AAAAAHd9/QM=",0)</f>
        <v>0</v>
      </c>
      <c r="E130" t="b">
        <f>AND('Black &amp; White load sheet'!A218,"AAAAAHd9/QQ=")</f>
        <v>1</v>
      </c>
      <c r="F130" t="b">
        <f>AND('Black &amp; White load sheet'!B218,"AAAAAHd9/QU=")</f>
        <v>1</v>
      </c>
      <c r="G130" t="b">
        <f>AND('Black &amp; White load sheet'!C218,"AAAAAHd9/QY=")</f>
        <v>0</v>
      </c>
      <c r="H130" t="b">
        <f>AND('Black &amp; White load sheet'!D218,"AAAAAHd9/Qc=")</f>
        <v>0</v>
      </c>
      <c r="I130" t="b">
        <f>AND('Black &amp; White load sheet'!E218,"AAAAAHd9/Qg=")</f>
        <v>0</v>
      </c>
      <c r="J130" t="b">
        <f>AND('Black &amp; White load sheet'!F218,"AAAAAHd9/Qk=")</f>
        <v>0</v>
      </c>
      <c r="K130" t="b">
        <f>AND('Black &amp; White load sheet'!G218,"AAAAAHd9/Qo=")</f>
        <v>1</v>
      </c>
      <c r="L130" t="b">
        <f>AND('Black &amp; White load sheet'!H218,"AAAAAHd9/Qs=")</f>
        <v>0</v>
      </c>
      <c r="M130" t="b">
        <f>AND('Black &amp; White load sheet'!I218,"AAAAAHd9/Qw=")</f>
        <v>1</v>
      </c>
      <c r="N130" t="b">
        <f>AND('Black &amp; White load sheet'!J218,"AAAAAHd9/Q0=")</f>
        <v>0</v>
      </c>
      <c r="O130" t="b">
        <f>AND('Black &amp; White load sheet'!K218,"AAAAAHd9/Q4=")</f>
        <v>0</v>
      </c>
      <c r="P130" t="b">
        <f>AND('Black &amp; White load sheet'!L218,"AAAAAHd9/Q8=")</f>
        <v>0</v>
      </c>
      <c r="Q130" t="b">
        <f>AND('Black &amp; White load sheet'!M218,"AAAAAHd9/RA=")</f>
        <v>1</v>
      </c>
      <c r="R130" t="b">
        <f>AND('Black &amp; White load sheet'!N218,"AAAAAHd9/RE=")</f>
        <v>1</v>
      </c>
      <c r="S130" t="b">
        <f>AND('Black &amp; White load sheet'!O218,"AAAAAHd9/RI=")</f>
        <v>1</v>
      </c>
      <c r="T130">
        <f>IF('Black &amp; White load sheet'!219:219,"AAAAAHd9/RM=",0)</f>
        <v>0</v>
      </c>
      <c r="U130" t="b">
        <f>AND('Black &amp; White load sheet'!A219,"AAAAAHd9/RQ=")</f>
        <v>1</v>
      </c>
      <c r="V130" t="b">
        <f>AND('Black &amp; White load sheet'!B219,"AAAAAHd9/RU=")</f>
        <v>1</v>
      </c>
      <c r="W130" t="b">
        <f>AND('Black &amp; White load sheet'!C219,"AAAAAHd9/RY=")</f>
        <v>0</v>
      </c>
      <c r="X130" t="b">
        <f>AND('Black &amp; White load sheet'!D219,"AAAAAHd9/Rc=")</f>
        <v>0</v>
      </c>
      <c r="Y130" t="b">
        <f>AND('Black &amp; White load sheet'!E219,"AAAAAHd9/Rg=")</f>
        <v>0</v>
      </c>
      <c r="Z130" t="b">
        <f>AND('Black &amp; White load sheet'!F219,"AAAAAHd9/Rk=")</f>
        <v>0</v>
      </c>
      <c r="AA130" t="b">
        <f>AND('Black &amp; White load sheet'!G219,"AAAAAHd9/Ro=")</f>
        <v>1</v>
      </c>
      <c r="AB130" t="b">
        <f>AND('Black &amp; White load sheet'!H219,"AAAAAHd9/Rs=")</f>
        <v>1</v>
      </c>
      <c r="AC130" t="b">
        <f>AND('Black &amp; White load sheet'!I219,"AAAAAHd9/Rw=")</f>
        <v>0</v>
      </c>
      <c r="AD130" t="b">
        <f>AND('Black &amp; White load sheet'!J219,"AAAAAHd9/R0=")</f>
        <v>0</v>
      </c>
      <c r="AE130" t="b">
        <f>AND('Black &amp; White load sheet'!K219,"AAAAAHd9/R4=")</f>
        <v>0</v>
      </c>
      <c r="AF130" t="b">
        <f>AND('Black &amp; White load sheet'!L219,"AAAAAHd9/R8=")</f>
        <v>0</v>
      </c>
      <c r="AG130" t="b">
        <f>AND('Black &amp; White load sheet'!M219,"AAAAAHd9/SA=")</f>
        <v>1</v>
      </c>
      <c r="AH130" t="b">
        <f>AND('Black &amp; White load sheet'!N219,"AAAAAHd9/SE=")</f>
        <v>1</v>
      </c>
      <c r="AI130" t="b">
        <f>AND('Black &amp; White load sheet'!O219,"AAAAAHd9/SI=")</f>
        <v>1</v>
      </c>
      <c r="AJ130">
        <f>IF('Black &amp; White load sheet'!220:220,"AAAAAHd9/SM=",0)</f>
        <v>0</v>
      </c>
      <c r="AK130" t="b">
        <f>AND('Black &amp; White load sheet'!A220,"AAAAAHd9/SQ=")</f>
        <v>1</v>
      </c>
      <c r="AL130" t="b">
        <f>AND('Black &amp; White load sheet'!B220,"AAAAAHd9/SU=")</f>
        <v>1</v>
      </c>
      <c r="AM130" t="b">
        <f>AND('Black &amp; White load sheet'!C220,"AAAAAHd9/SY=")</f>
        <v>0</v>
      </c>
      <c r="AN130" t="b">
        <f>AND('Black &amp; White load sheet'!D220,"AAAAAHd9/Sc=")</f>
        <v>0</v>
      </c>
      <c r="AO130" t="b">
        <f>AND('Black &amp; White load sheet'!E220,"AAAAAHd9/Sg=")</f>
        <v>0</v>
      </c>
      <c r="AP130" t="b">
        <f>AND('Black &amp; White load sheet'!F220,"AAAAAHd9/Sk=")</f>
        <v>0</v>
      </c>
      <c r="AQ130" t="b">
        <f>AND('Black &amp; White load sheet'!G220,"AAAAAHd9/So=")</f>
        <v>1</v>
      </c>
      <c r="AR130" t="b">
        <f>AND('Black &amp; White load sheet'!H220,"AAAAAHd9/Ss=")</f>
        <v>1</v>
      </c>
      <c r="AS130" t="b">
        <f>AND('Black &amp; White load sheet'!I220,"AAAAAHd9/Sw=")</f>
        <v>0</v>
      </c>
      <c r="AT130" t="b">
        <f>AND('Black &amp; White load sheet'!J220,"AAAAAHd9/S0=")</f>
        <v>0</v>
      </c>
      <c r="AU130" t="b">
        <f>AND('Black &amp; White load sheet'!K220,"AAAAAHd9/S4=")</f>
        <v>0</v>
      </c>
      <c r="AV130" t="b">
        <f>AND('Black &amp; White load sheet'!L220,"AAAAAHd9/S8=")</f>
        <v>1</v>
      </c>
      <c r="AW130" t="b">
        <f>AND('Black &amp; White load sheet'!M220,"AAAAAHd9/TA=")</f>
        <v>1</v>
      </c>
      <c r="AX130" t="b">
        <f>AND('Black &amp; White load sheet'!N220,"AAAAAHd9/TE=")</f>
        <v>1</v>
      </c>
      <c r="AY130" t="b">
        <f>AND('Black &amp; White load sheet'!O220,"AAAAAHd9/TI=")</f>
        <v>1</v>
      </c>
      <c r="AZ130">
        <f>IF('Black &amp; White load sheet'!221:221,"AAAAAHd9/TM=",0)</f>
        <v>0</v>
      </c>
      <c r="BA130" t="b">
        <f>AND('Black &amp; White load sheet'!A221,"AAAAAHd9/TQ=")</f>
        <v>1</v>
      </c>
      <c r="BB130" t="b">
        <f>AND('Black &amp; White load sheet'!B221,"AAAAAHd9/TU=")</f>
        <v>1</v>
      </c>
      <c r="BC130" t="b">
        <f>AND('Black &amp; White load sheet'!C221,"AAAAAHd9/TY=")</f>
        <v>0</v>
      </c>
      <c r="BD130" t="b">
        <f>AND('Black &amp; White load sheet'!D221,"AAAAAHd9/Tc=")</f>
        <v>0</v>
      </c>
      <c r="BE130" t="b">
        <f>AND('Black &amp; White load sheet'!E221,"AAAAAHd9/Tg=")</f>
        <v>0</v>
      </c>
      <c r="BF130" t="b">
        <f>AND('Black &amp; White load sheet'!F221,"AAAAAHd9/Tk=")</f>
        <v>0</v>
      </c>
      <c r="BG130" t="b">
        <f>AND('Black &amp; White load sheet'!G221,"AAAAAHd9/To=")</f>
        <v>1</v>
      </c>
      <c r="BH130" t="b">
        <f>AND('Black &amp; White load sheet'!H221,"AAAAAHd9/Ts=")</f>
        <v>1</v>
      </c>
      <c r="BI130" t="b">
        <f>AND('Black &amp; White load sheet'!I221,"AAAAAHd9/Tw=")</f>
        <v>0</v>
      </c>
      <c r="BJ130" t="b">
        <f>AND('Black &amp; White load sheet'!J221,"AAAAAHd9/T0=")</f>
        <v>0</v>
      </c>
      <c r="BK130" t="b">
        <f>AND('Black &amp; White load sheet'!K221,"AAAAAHd9/T4=")</f>
        <v>1</v>
      </c>
      <c r="BL130" t="b">
        <f>AND('Black &amp; White load sheet'!L221,"AAAAAHd9/T8=")</f>
        <v>0</v>
      </c>
      <c r="BM130" t="b">
        <f>AND('Black &amp; White load sheet'!M221,"AAAAAHd9/UA=")</f>
        <v>1</v>
      </c>
      <c r="BN130" t="b">
        <f>AND('Black &amp; White load sheet'!N221,"AAAAAHd9/UE=")</f>
        <v>1</v>
      </c>
      <c r="BO130" t="b">
        <f>AND('Black &amp; White load sheet'!O221,"AAAAAHd9/UI=")</f>
        <v>1</v>
      </c>
      <c r="BP130">
        <f>IF('Black &amp; White load sheet'!222:222,"AAAAAHd9/UM=",0)</f>
        <v>0</v>
      </c>
      <c r="BQ130" t="b">
        <f>AND('Black &amp; White load sheet'!A222,"AAAAAHd9/UQ=")</f>
        <v>1</v>
      </c>
      <c r="BR130" t="b">
        <f>AND('Black &amp; White load sheet'!B222,"AAAAAHd9/UU=")</f>
        <v>1</v>
      </c>
      <c r="BS130" t="b">
        <f>AND('Black &amp; White load sheet'!C222,"AAAAAHd9/UY=")</f>
        <v>0</v>
      </c>
      <c r="BT130" t="b">
        <f>AND('Black &amp; White load sheet'!D222,"AAAAAHd9/Uc=")</f>
        <v>0</v>
      </c>
      <c r="BU130" t="b">
        <f>AND('Black &amp; White load sheet'!E222,"AAAAAHd9/Ug=")</f>
        <v>0</v>
      </c>
      <c r="BV130" t="b">
        <f>AND('Black &amp; White load sheet'!F222,"AAAAAHd9/Uk=")</f>
        <v>0</v>
      </c>
      <c r="BW130" t="b">
        <f>AND('Black &amp; White load sheet'!G222,"AAAAAHd9/Uo=")</f>
        <v>1</v>
      </c>
      <c r="BX130" t="b">
        <f>AND('Black &amp; White load sheet'!H222,"AAAAAHd9/Us=")</f>
        <v>1</v>
      </c>
      <c r="BY130" t="b">
        <f>AND('Black &amp; White load sheet'!I222,"AAAAAHd9/Uw=")</f>
        <v>0</v>
      </c>
      <c r="BZ130" t="b">
        <f>AND('Black &amp; White load sheet'!J222,"AAAAAHd9/U0=")</f>
        <v>1</v>
      </c>
      <c r="CA130" t="b">
        <f>AND('Black &amp; White load sheet'!K222,"AAAAAHd9/U4=")</f>
        <v>0</v>
      </c>
      <c r="CB130" t="b">
        <f>AND('Black &amp; White load sheet'!L222,"AAAAAHd9/U8=")</f>
        <v>0</v>
      </c>
      <c r="CC130" t="b">
        <f>AND('Black &amp; White load sheet'!M222,"AAAAAHd9/VA=")</f>
        <v>1</v>
      </c>
      <c r="CD130" t="b">
        <f>AND('Black &amp; White load sheet'!N222,"AAAAAHd9/VE=")</f>
        <v>1</v>
      </c>
      <c r="CE130" t="b">
        <f>AND('Black &amp; White load sheet'!O222,"AAAAAHd9/VI=")</f>
        <v>1</v>
      </c>
      <c r="CF130">
        <f>IF('Black &amp; White load sheet'!223:223,"AAAAAHd9/VM=",0)</f>
        <v>0</v>
      </c>
      <c r="CG130" t="b">
        <f>AND('Black &amp; White load sheet'!A223,"AAAAAHd9/VQ=")</f>
        <v>1</v>
      </c>
      <c r="CH130" t="b">
        <f>AND('Black &amp; White load sheet'!B223,"AAAAAHd9/VU=")</f>
        <v>1</v>
      </c>
      <c r="CI130" t="b">
        <f>AND('Black &amp; White load sheet'!C223,"AAAAAHd9/VY=")</f>
        <v>0</v>
      </c>
      <c r="CJ130" t="b">
        <f>AND('Black &amp; White load sheet'!D223,"AAAAAHd9/Vc=")</f>
        <v>0</v>
      </c>
      <c r="CK130" t="b">
        <f>AND('Black &amp; White load sheet'!E223,"AAAAAHd9/Vg=")</f>
        <v>0</v>
      </c>
      <c r="CL130" t="b">
        <f>AND('Black &amp; White load sheet'!F223,"AAAAAHd9/Vk=")</f>
        <v>0</v>
      </c>
      <c r="CM130" t="b">
        <f>AND('Black &amp; White load sheet'!G223,"AAAAAHd9/Vo=")</f>
        <v>1</v>
      </c>
      <c r="CN130" t="b">
        <f>AND('Black &amp; White load sheet'!H223,"AAAAAHd9/Vs=")</f>
        <v>1</v>
      </c>
      <c r="CO130" t="b">
        <f>AND('Black &amp; White load sheet'!I223,"AAAAAHd9/Vw=")</f>
        <v>1</v>
      </c>
      <c r="CP130" t="b">
        <f>AND('Black &amp; White load sheet'!J223,"AAAAAHd9/V0=")</f>
        <v>0</v>
      </c>
      <c r="CQ130" t="b">
        <f>AND('Black &amp; White load sheet'!K223,"AAAAAHd9/V4=")</f>
        <v>0</v>
      </c>
      <c r="CR130" t="b">
        <f>AND('Black &amp; White load sheet'!L223,"AAAAAHd9/V8=")</f>
        <v>0</v>
      </c>
      <c r="CS130" t="b">
        <f>AND('Black &amp; White load sheet'!M223,"AAAAAHd9/WA=")</f>
        <v>1</v>
      </c>
      <c r="CT130" t="b">
        <f>AND('Black &amp; White load sheet'!N223,"AAAAAHd9/WE=")</f>
        <v>1</v>
      </c>
      <c r="CU130" t="b">
        <f>AND('Black &amp; White load sheet'!O223,"AAAAAHd9/WI=")</f>
        <v>1</v>
      </c>
      <c r="CV130">
        <f>IF('Black &amp; White load sheet'!224:224,"AAAAAHd9/WM=",0)</f>
        <v>0</v>
      </c>
      <c r="CW130" t="b">
        <f>AND('Black &amp; White load sheet'!A224,"AAAAAHd9/WQ=")</f>
        <v>1</v>
      </c>
      <c r="CX130" t="b">
        <f>AND('Black &amp; White load sheet'!B224,"AAAAAHd9/WU=")</f>
        <v>1</v>
      </c>
      <c r="CY130" t="b">
        <f>AND('Black &amp; White load sheet'!C224,"AAAAAHd9/WY=")</f>
        <v>0</v>
      </c>
      <c r="CZ130" t="b">
        <f>AND('Black &amp; White load sheet'!D224,"AAAAAHd9/Wc=")</f>
        <v>0</v>
      </c>
      <c r="DA130" t="b">
        <f>AND('Black &amp; White load sheet'!E224,"AAAAAHd9/Wg=")</f>
        <v>0</v>
      </c>
      <c r="DB130" t="b">
        <f>AND('Black &amp; White load sheet'!F224,"AAAAAHd9/Wk=")</f>
        <v>1</v>
      </c>
      <c r="DC130" t="b">
        <f>AND('Black &amp; White load sheet'!G224,"AAAAAHd9/Wo=")</f>
        <v>0</v>
      </c>
      <c r="DD130" t="b">
        <f>AND('Black &amp; White load sheet'!H224,"AAAAAHd9/Ws=")</f>
        <v>0</v>
      </c>
      <c r="DE130" t="b">
        <f>AND('Black &amp; White load sheet'!I224,"AAAAAHd9/Ww=")</f>
        <v>0</v>
      </c>
      <c r="DF130" t="b">
        <f>AND('Black &amp; White load sheet'!J224,"AAAAAHd9/W0=")</f>
        <v>0</v>
      </c>
      <c r="DG130" t="b">
        <f>AND('Black &amp; White load sheet'!K224,"AAAAAHd9/W4=")</f>
        <v>0</v>
      </c>
      <c r="DH130" t="b">
        <f>AND('Black &amp; White load sheet'!L224,"AAAAAHd9/W8=")</f>
        <v>0</v>
      </c>
      <c r="DI130" t="b">
        <f>AND('Black &amp; White load sheet'!M224,"AAAAAHd9/XA=")</f>
        <v>1</v>
      </c>
      <c r="DJ130" t="b">
        <f>AND('Black &amp; White load sheet'!N224,"AAAAAHd9/XE=")</f>
        <v>1</v>
      </c>
      <c r="DK130" t="b">
        <f>AND('Black &amp; White load sheet'!O224,"AAAAAHd9/XI=")</f>
        <v>1</v>
      </c>
      <c r="DL130">
        <f>IF('Black &amp; White load sheet'!225:225,"AAAAAHd9/XM=",0)</f>
        <v>0</v>
      </c>
      <c r="DM130" t="b">
        <f>AND('Black &amp; White load sheet'!A225,"AAAAAHd9/XQ=")</f>
        <v>1</v>
      </c>
      <c r="DN130" t="b">
        <f>AND('Black &amp; White load sheet'!B225,"AAAAAHd9/XU=")</f>
        <v>1</v>
      </c>
      <c r="DO130" t="b">
        <f>AND('Black &amp; White load sheet'!C225,"AAAAAHd9/XY=")</f>
        <v>0</v>
      </c>
      <c r="DP130" t="b">
        <f>AND('Black &amp; White load sheet'!D225,"AAAAAHd9/Xc=")</f>
        <v>0</v>
      </c>
      <c r="DQ130" t="b">
        <f>AND('Black &amp; White load sheet'!E225,"AAAAAHd9/Xg=")</f>
        <v>0</v>
      </c>
      <c r="DR130" t="b">
        <f>AND('Black &amp; White load sheet'!F225,"AAAAAHd9/Xk=")</f>
        <v>1</v>
      </c>
      <c r="DS130" t="b">
        <f>AND('Black &amp; White load sheet'!G225,"AAAAAHd9/Xo=")</f>
        <v>0</v>
      </c>
      <c r="DT130" t="b">
        <f>AND('Black &amp; White load sheet'!H225,"AAAAAHd9/Xs=")</f>
        <v>0</v>
      </c>
      <c r="DU130" t="b">
        <f>AND('Black &amp; White load sheet'!I225,"AAAAAHd9/Xw=")</f>
        <v>0</v>
      </c>
      <c r="DV130" t="b">
        <f>AND('Black &amp; White load sheet'!J225,"AAAAAHd9/X0=")</f>
        <v>0</v>
      </c>
      <c r="DW130" t="b">
        <f>AND('Black &amp; White load sheet'!K225,"AAAAAHd9/X4=")</f>
        <v>0</v>
      </c>
      <c r="DX130" t="b">
        <f>AND('Black &amp; White load sheet'!L225,"AAAAAHd9/X8=")</f>
        <v>1</v>
      </c>
      <c r="DY130" t="b">
        <f>AND('Black &amp; White load sheet'!M225,"AAAAAHd9/YA=")</f>
        <v>1</v>
      </c>
      <c r="DZ130" t="b">
        <f>AND('Black &amp; White load sheet'!N225,"AAAAAHd9/YE=")</f>
        <v>1</v>
      </c>
      <c r="EA130" t="b">
        <f>AND('Black &amp; White load sheet'!O225,"AAAAAHd9/YI=")</f>
        <v>1</v>
      </c>
      <c r="EB130">
        <f>IF('Black &amp; White load sheet'!226:226,"AAAAAHd9/YM=",0)</f>
        <v>0</v>
      </c>
      <c r="EC130" t="b">
        <f>AND('Black &amp; White load sheet'!A226,"AAAAAHd9/YQ=")</f>
        <v>1</v>
      </c>
      <c r="ED130" t="b">
        <f>AND('Black &amp; White load sheet'!B226,"AAAAAHd9/YU=")</f>
        <v>1</v>
      </c>
      <c r="EE130" t="b">
        <f>AND('Black &amp; White load sheet'!C226,"AAAAAHd9/YY=")</f>
        <v>0</v>
      </c>
      <c r="EF130" t="b">
        <f>AND('Black &amp; White load sheet'!D226,"AAAAAHd9/Yc=")</f>
        <v>0</v>
      </c>
      <c r="EG130" t="b">
        <f>AND('Black &amp; White load sheet'!E226,"AAAAAHd9/Yg=")</f>
        <v>0</v>
      </c>
      <c r="EH130" t="b">
        <f>AND('Black &amp; White load sheet'!F226,"AAAAAHd9/Yk=")</f>
        <v>1</v>
      </c>
      <c r="EI130" t="b">
        <f>AND('Black &amp; White load sheet'!G226,"AAAAAHd9/Yo=")</f>
        <v>0</v>
      </c>
      <c r="EJ130" t="b">
        <f>AND('Black &amp; White load sheet'!H226,"AAAAAHd9/Ys=")</f>
        <v>0</v>
      </c>
      <c r="EK130" t="b">
        <f>AND('Black &amp; White load sheet'!I226,"AAAAAHd9/Yw=")</f>
        <v>0</v>
      </c>
      <c r="EL130" t="b">
        <f>AND('Black &amp; White load sheet'!J226,"AAAAAHd9/Y0=")</f>
        <v>0</v>
      </c>
      <c r="EM130" t="b">
        <f>AND('Black &amp; White load sheet'!K226,"AAAAAHd9/Y4=")</f>
        <v>1</v>
      </c>
      <c r="EN130" t="b">
        <f>AND('Black &amp; White load sheet'!L226,"AAAAAHd9/Y8=")</f>
        <v>0</v>
      </c>
      <c r="EO130" t="b">
        <f>AND('Black &amp; White load sheet'!M226,"AAAAAHd9/ZA=")</f>
        <v>1</v>
      </c>
      <c r="EP130" t="b">
        <f>AND('Black &amp; White load sheet'!N226,"AAAAAHd9/ZE=")</f>
        <v>1</v>
      </c>
      <c r="EQ130" t="b">
        <f>AND('Black &amp; White load sheet'!O226,"AAAAAHd9/ZI=")</f>
        <v>1</v>
      </c>
      <c r="ER130">
        <f>IF('Black &amp; White load sheet'!227:227,"AAAAAHd9/ZM=",0)</f>
        <v>0</v>
      </c>
      <c r="ES130" t="b">
        <f>AND('Black &amp; White load sheet'!A227,"AAAAAHd9/ZQ=")</f>
        <v>1</v>
      </c>
      <c r="ET130" t="b">
        <f>AND('Black &amp; White load sheet'!B227,"AAAAAHd9/ZU=")</f>
        <v>1</v>
      </c>
      <c r="EU130" t="b">
        <f>AND('Black &amp; White load sheet'!C227,"AAAAAHd9/ZY=")</f>
        <v>0</v>
      </c>
      <c r="EV130" t="b">
        <f>AND('Black &amp; White load sheet'!D227,"AAAAAHd9/Zc=")</f>
        <v>0</v>
      </c>
      <c r="EW130" t="b">
        <f>AND('Black &amp; White load sheet'!E227,"AAAAAHd9/Zg=")</f>
        <v>0</v>
      </c>
      <c r="EX130" t="b">
        <f>AND('Black &amp; White load sheet'!F227,"AAAAAHd9/Zk=")</f>
        <v>1</v>
      </c>
      <c r="EY130" t="b">
        <f>AND('Black &amp; White load sheet'!G227,"AAAAAHd9/Zo=")</f>
        <v>0</v>
      </c>
      <c r="EZ130" t="b">
        <f>AND('Black &amp; White load sheet'!H227,"AAAAAHd9/Zs=")</f>
        <v>0</v>
      </c>
      <c r="FA130" t="b">
        <f>AND('Black &amp; White load sheet'!I227,"AAAAAHd9/Zw=")</f>
        <v>0</v>
      </c>
      <c r="FB130" t="b">
        <f>AND('Black &amp; White load sheet'!J227,"AAAAAHd9/Z0=")</f>
        <v>1</v>
      </c>
      <c r="FC130" t="b">
        <f>AND('Black &amp; White load sheet'!K227,"AAAAAHd9/Z4=")</f>
        <v>0</v>
      </c>
      <c r="FD130" t="b">
        <f>AND('Black &amp; White load sheet'!L227,"AAAAAHd9/Z8=")</f>
        <v>0</v>
      </c>
      <c r="FE130" t="b">
        <f>AND('Black &amp; White load sheet'!M227,"AAAAAHd9/aA=")</f>
        <v>1</v>
      </c>
      <c r="FF130" t="b">
        <f>AND('Black &amp; White load sheet'!N227,"AAAAAHd9/aE=")</f>
        <v>1</v>
      </c>
      <c r="FG130" t="b">
        <f>AND('Black &amp; White load sheet'!O227,"AAAAAHd9/aI=")</f>
        <v>1</v>
      </c>
      <c r="FH130">
        <f>IF('Black &amp; White load sheet'!228:228,"AAAAAHd9/aM=",0)</f>
        <v>0</v>
      </c>
      <c r="FI130" t="b">
        <f>AND('Black &amp; White load sheet'!A228,"AAAAAHd9/aQ=")</f>
        <v>1</v>
      </c>
      <c r="FJ130" t="b">
        <f>AND('Black &amp; White load sheet'!B228,"AAAAAHd9/aU=")</f>
        <v>1</v>
      </c>
      <c r="FK130" t="b">
        <f>AND('Black &amp; White load sheet'!C228,"AAAAAHd9/aY=")</f>
        <v>0</v>
      </c>
      <c r="FL130" t="b">
        <f>AND('Black &amp; White load sheet'!D228,"AAAAAHd9/ac=")</f>
        <v>0</v>
      </c>
      <c r="FM130" t="b">
        <f>AND('Black &amp; White load sheet'!E228,"AAAAAHd9/ag=")</f>
        <v>0</v>
      </c>
      <c r="FN130" t="b">
        <f>AND('Black &amp; White load sheet'!F228,"AAAAAHd9/ak=")</f>
        <v>1</v>
      </c>
      <c r="FO130" t="b">
        <f>AND('Black &amp; White load sheet'!G228,"AAAAAHd9/ao=")</f>
        <v>0</v>
      </c>
      <c r="FP130" t="b">
        <f>AND('Black &amp; White load sheet'!H228,"AAAAAHd9/as=")</f>
        <v>0</v>
      </c>
      <c r="FQ130" t="b">
        <f>AND('Black &amp; White load sheet'!I228,"AAAAAHd9/aw=")</f>
        <v>1</v>
      </c>
      <c r="FR130" t="b">
        <f>AND('Black &amp; White load sheet'!J228,"AAAAAHd9/a0=")</f>
        <v>0</v>
      </c>
      <c r="FS130" t="b">
        <f>AND('Black &amp; White load sheet'!K228,"AAAAAHd9/a4=")</f>
        <v>0</v>
      </c>
      <c r="FT130" t="b">
        <f>AND('Black &amp; White load sheet'!L228,"AAAAAHd9/a8=")</f>
        <v>0</v>
      </c>
      <c r="FU130" t="b">
        <f>AND('Black &amp; White load sheet'!M228,"AAAAAHd9/bA=")</f>
        <v>1</v>
      </c>
      <c r="FV130" t="b">
        <f>AND('Black &amp; White load sheet'!N228,"AAAAAHd9/bE=")</f>
        <v>1</v>
      </c>
      <c r="FW130" t="b">
        <f>AND('Black &amp; White load sheet'!O228,"AAAAAHd9/bI=")</f>
        <v>1</v>
      </c>
      <c r="FX130">
        <f>IF('Black &amp; White load sheet'!229:229,"AAAAAHd9/bM=",0)</f>
        <v>0</v>
      </c>
      <c r="FY130" t="b">
        <f>AND('Black &amp; White load sheet'!A229,"AAAAAHd9/bQ=")</f>
        <v>1</v>
      </c>
      <c r="FZ130" t="b">
        <f>AND('Black &amp; White load sheet'!B229,"AAAAAHd9/bU=")</f>
        <v>1</v>
      </c>
      <c r="GA130" t="b">
        <f>AND('Black &amp; White load sheet'!C229,"AAAAAHd9/bY=")</f>
        <v>0</v>
      </c>
      <c r="GB130" t="b">
        <f>AND('Black &amp; White load sheet'!D229,"AAAAAHd9/bc=")</f>
        <v>0</v>
      </c>
      <c r="GC130" t="b">
        <f>AND('Black &amp; White load sheet'!E229,"AAAAAHd9/bg=")</f>
        <v>0</v>
      </c>
      <c r="GD130" t="b">
        <f>AND('Black &amp; White load sheet'!F229,"AAAAAHd9/bk=")</f>
        <v>1</v>
      </c>
      <c r="GE130" t="b">
        <f>AND('Black &amp; White load sheet'!G229,"AAAAAHd9/bo=")</f>
        <v>0</v>
      </c>
      <c r="GF130" t="b">
        <f>AND('Black &amp; White load sheet'!H229,"AAAAAHd9/bs=")</f>
        <v>1</v>
      </c>
      <c r="GG130" t="b">
        <f>AND('Black &amp; White load sheet'!I229,"AAAAAHd9/bw=")</f>
        <v>0</v>
      </c>
      <c r="GH130" t="b">
        <f>AND('Black &amp; White load sheet'!J229,"AAAAAHd9/b0=")</f>
        <v>0</v>
      </c>
      <c r="GI130" t="b">
        <f>AND('Black &amp; White load sheet'!K229,"AAAAAHd9/b4=")</f>
        <v>0</v>
      </c>
      <c r="GJ130" t="b">
        <f>AND('Black &amp; White load sheet'!L229,"AAAAAHd9/b8=")</f>
        <v>0</v>
      </c>
      <c r="GK130" t="b">
        <f>AND('Black &amp; White load sheet'!M229,"AAAAAHd9/cA=")</f>
        <v>1</v>
      </c>
      <c r="GL130" t="b">
        <f>AND('Black &amp; White load sheet'!N229,"AAAAAHd9/cE=")</f>
        <v>1</v>
      </c>
      <c r="GM130" t="b">
        <f>AND('Black &amp; White load sheet'!O229,"AAAAAHd9/cI=")</f>
        <v>1</v>
      </c>
      <c r="GN130">
        <f>IF('Black &amp; White load sheet'!230:230,"AAAAAHd9/cM=",0)</f>
        <v>0</v>
      </c>
      <c r="GO130" t="b">
        <f>AND('Black &amp; White load sheet'!A230,"AAAAAHd9/cQ=")</f>
        <v>1</v>
      </c>
      <c r="GP130" t="b">
        <f>AND('Black &amp; White load sheet'!B230,"AAAAAHd9/cU=")</f>
        <v>1</v>
      </c>
      <c r="GQ130" t="b">
        <f>AND('Black &amp; White load sheet'!C230,"AAAAAHd9/cY=")</f>
        <v>0</v>
      </c>
      <c r="GR130" t="b">
        <f>AND('Black &amp; White load sheet'!D230,"AAAAAHd9/cc=")</f>
        <v>0</v>
      </c>
      <c r="GS130" t="b">
        <f>AND('Black &amp; White load sheet'!E230,"AAAAAHd9/cg=")</f>
        <v>0</v>
      </c>
      <c r="GT130" t="b">
        <f>AND('Black &amp; White load sheet'!F230,"AAAAAHd9/ck=")</f>
        <v>1</v>
      </c>
      <c r="GU130" t="b">
        <f>AND('Black &amp; White load sheet'!G230,"AAAAAHd9/co=")</f>
        <v>0</v>
      </c>
      <c r="GV130" t="b">
        <f>AND('Black &amp; White load sheet'!H230,"AAAAAHd9/cs=")</f>
        <v>1</v>
      </c>
      <c r="GW130" t="b">
        <f>AND('Black &amp; White load sheet'!I230,"AAAAAHd9/cw=")</f>
        <v>0</v>
      </c>
      <c r="GX130" t="b">
        <f>AND('Black &amp; White load sheet'!J230,"AAAAAHd9/c0=")</f>
        <v>0</v>
      </c>
      <c r="GY130" t="b">
        <f>AND('Black &amp; White load sheet'!K230,"AAAAAHd9/c4=")</f>
        <v>0</v>
      </c>
      <c r="GZ130" t="b">
        <f>AND('Black &amp; White load sheet'!L230,"AAAAAHd9/c8=")</f>
        <v>1</v>
      </c>
      <c r="HA130" t="b">
        <f>AND('Black &amp; White load sheet'!M230,"AAAAAHd9/dA=")</f>
        <v>1</v>
      </c>
      <c r="HB130" t="b">
        <f>AND('Black &amp; White load sheet'!N230,"AAAAAHd9/dE=")</f>
        <v>1</v>
      </c>
      <c r="HC130" t="b">
        <f>AND('Black &amp; White load sheet'!O230,"AAAAAHd9/dI=")</f>
        <v>1</v>
      </c>
      <c r="HD130">
        <f>IF('Black &amp; White load sheet'!231:231,"AAAAAHd9/dM=",0)</f>
        <v>0</v>
      </c>
      <c r="HE130" t="b">
        <f>AND('Black &amp; White load sheet'!A231,"AAAAAHd9/dQ=")</f>
        <v>1</v>
      </c>
      <c r="HF130" t="b">
        <f>AND('Black &amp; White load sheet'!B231,"AAAAAHd9/dU=")</f>
        <v>1</v>
      </c>
      <c r="HG130" t="b">
        <f>AND('Black &amp; White load sheet'!C231,"AAAAAHd9/dY=")</f>
        <v>0</v>
      </c>
      <c r="HH130" t="b">
        <f>AND('Black &amp; White load sheet'!D231,"AAAAAHd9/dc=")</f>
        <v>0</v>
      </c>
      <c r="HI130" t="b">
        <f>AND('Black &amp; White load sheet'!E231,"AAAAAHd9/dg=")</f>
        <v>0</v>
      </c>
      <c r="HJ130" t="b">
        <f>AND('Black &amp; White load sheet'!F231,"AAAAAHd9/dk=")</f>
        <v>1</v>
      </c>
      <c r="HK130" t="b">
        <f>AND('Black &amp; White load sheet'!G231,"AAAAAHd9/do=")</f>
        <v>0</v>
      </c>
      <c r="HL130" t="b">
        <f>AND('Black &amp; White load sheet'!H231,"AAAAAHd9/ds=")</f>
        <v>1</v>
      </c>
      <c r="HM130" t="b">
        <f>AND('Black &amp; White load sheet'!I231,"AAAAAHd9/dw=")</f>
        <v>0</v>
      </c>
      <c r="HN130" t="b">
        <f>AND('Black &amp; White load sheet'!J231,"AAAAAHd9/d0=")</f>
        <v>0</v>
      </c>
      <c r="HO130" t="b">
        <f>AND('Black &amp; White load sheet'!K231,"AAAAAHd9/d4=")</f>
        <v>1</v>
      </c>
      <c r="HP130" t="b">
        <f>AND('Black &amp; White load sheet'!L231,"AAAAAHd9/d8=")</f>
        <v>0</v>
      </c>
      <c r="HQ130" t="b">
        <f>AND('Black &amp; White load sheet'!M231,"AAAAAHd9/eA=")</f>
        <v>1</v>
      </c>
      <c r="HR130" t="b">
        <f>AND('Black &amp; White load sheet'!N231,"AAAAAHd9/eE=")</f>
        <v>1</v>
      </c>
      <c r="HS130" t="b">
        <f>AND('Black &amp; White load sheet'!O231,"AAAAAHd9/eI=")</f>
        <v>1</v>
      </c>
      <c r="HT130">
        <f>IF('Black &amp; White load sheet'!232:232,"AAAAAHd9/eM=",0)</f>
        <v>0</v>
      </c>
      <c r="HU130" t="b">
        <f>AND('Black &amp; White load sheet'!A232,"AAAAAHd9/eQ=")</f>
        <v>1</v>
      </c>
      <c r="HV130" t="b">
        <f>AND('Black &amp; White load sheet'!B232,"AAAAAHd9/eU=")</f>
        <v>1</v>
      </c>
      <c r="HW130" t="b">
        <f>AND('Black &amp; White load sheet'!C232,"AAAAAHd9/eY=")</f>
        <v>0</v>
      </c>
      <c r="HX130" t="b">
        <f>AND('Black &amp; White load sheet'!D232,"AAAAAHd9/ec=")</f>
        <v>0</v>
      </c>
      <c r="HY130" t="b">
        <f>AND('Black &amp; White load sheet'!E232,"AAAAAHd9/eg=")</f>
        <v>0</v>
      </c>
      <c r="HZ130" t="b">
        <f>AND('Black &amp; White load sheet'!F232,"AAAAAHd9/ek=")</f>
        <v>1</v>
      </c>
      <c r="IA130" t="b">
        <f>AND('Black &amp; White load sheet'!G232,"AAAAAHd9/eo=")</f>
        <v>0</v>
      </c>
      <c r="IB130" t="b">
        <f>AND('Black &amp; White load sheet'!H232,"AAAAAHd9/es=")</f>
        <v>1</v>
      </c>
      <c r="IC130" t="b">
        <f>AND('Black &amp; White load sheet'!I232,"AAAAAHd9/ew=")</f>
        <v>0</v>
      </c>
      <c r="ID130" t="b">
        <f>AND('Black &amp; White load sheet'!J232,"AAAAAHd9/e0=")</f>
        <v>1</v>
      </c>
      <c r="IE130" t="b">
        <f>AND('Black &amp; White load sheet'!K232,"AAAAAHd9/e4=")</f>
        <v>0</v>
      </c>
      <c r="IF130" t="b">
        <f>AND('Black &amp; White load sheet'!L232,"AAAAAHd9/e8=")</f>
        <v>0</v>
      </c>
      <c r="IG130" t="b">
        <f>AND('Black &amp; White load sheet'!M232,"AAAAAHd9/fA=")</f>
        <v>1</v>
      </c>
      <c r="IH130" t="b">
        <f>AND('Black &amp; White load sheet'!N232,"AAAAAHd9/fE=")</f>
        <v>1</v>
      </c>
      <c r="II130" t="b">
        <f>AND('Black &amp; White load sheet'!O232,"AAAAAHd9/fI=")</f>
        <v>1</v>
      </c>
      <c r="IJ130">
        <f>IF('Black &amp; White load sheet'!233:233,"AAAAAHd9/fM=",0)</f>
        <v>0</v>
      </c>
      <c r="IK130" t="b">
        <f>AND('Black &amp; White load sheet'!A233,"AAAAAHd9/fQ=")</f>
        <v>1</v>
      </c>
      <c r="IL130" t="b">
        <f>AND('Black &amp; White load sheet'!B233,"AAAAAHd9/fU=")</f>
        <v>1</v>
      </c>
      <c r="IM130" t="b">
        <f>AND('Black &amp; White load sheet'!C233,"AAAAAHd9/fY=")</f>
        <v>0</v>
      </c>
      <c r="IN130" t="b">
        <f>AND('Black &amp; White load sheet'!D233,"AAAAAHd9/fc=")</f>
        <v>0</v>
      </c>
      <c r="IO130" t="b">
        <f>AND('Black &amp; White load sheet'!E233,"AAAAAHd9/fg=")</f>
        <v>0</v>
      </c>
      <c r="IP130" t="b">
        <f>AND('Black &amp; White load sheet'!F233,"AAAAAHd9/fk=")</f>
        <v>1</v>
      </c>
      <c r="IQ130" t="b">
        <f>AND('Black &amp; White load sheet'!G233,"AAAAAHd9/fo=")</f>
        <v>0</v>
      </c>
      <c r="IR130" t="b">
        <f>AND('Black &amp; White load sheet'!H233,"AAAAAHd9/fs=")</f>
        <v>1</v>
      </c>
      <c r="IS130" t="b">
        <f>AND('Black &amp; White load sheet'!I233,"AAAAAHd9/fw=")</f>
        <v>1</v>
      </c>
      <c r="IT130" t="b">
        <f>AND('Black &amp; White load sheet'!J233,"AAAAAHd9/f0=")</f>
        <v>0</v>
      </c>
      <c r="IU130" t="b">
        <f>AND('Black &amp; White load sheet'!K233,"AAAAAHd9/f4=")</f>
        <v>0</v>
      </c>
      <c r="IV130" t="b">
        <f>AND('Black &amp; White load sheet'!L233,"AAAAAHd9/f8=")</f>
        <v>0</v>
      </c>
    </row>
    <row r="131" spans="1:256">
      <c r="A131" t="b">
        <f>AND('Black &amp; White load sheet'!M233,"AAAAAH+D4wA=")</f>
        <v>1</v>
      </c>
      <c r="B131" t="b">
        <f>AND('Black &amp; White load sheet'!N233,"AAAAAH+D4wE=")</f>
        <v>1</v>
      </c>
      <c r="C131" t="b">
        <f>AND('Black &amp; White load sheet'!O233,"AAAAAH+D4wI=")</f>
        <v>1</v>
      </c>
      <c r="D131">
        <f>IF('Black &amp; White load sheet'!234:234,"AAAAAH+D4wM=",0)</f>
        <v>0</v>
      </c>
      <c r="E131" t="b">
        <f>AND('Black &amp; White load sheet'!A234,"AAAAAH+D4wQ=")</f>
        <v>1</v>
      </c>
      <c r="F131" t="b">
        <f>AND('Black &amp; White load sheet'!B234,"AAAAAH+D4wU=")</f>
        <v>1</v>
      </c>
      <c r="G131" t="b">
        <f>AND('Black &amp; White load sheet'!C234,"AAAAAH+D4wY=")</f>
        <v>0</v>
      </c>
      <c r="H131" t="b">
        <f>AND('Black &amp; White load sheet'!D234,"AAAAAH+D4wc=")</f>
        <v>0</v>
      </c>
      <c r="I131" t="b">
        <f>AND('Black &amp; White load sheet'!E234,"AAAAAH+D4wg=")</f>
        <v>1</v>
      </c>
      <c r="J131" t="b">
        <f>AND('Black &amp; White load sheet'!F234,"AAAAAH+D4wk=")</f>
        <v>0</v>
      </c>
      <c r="K131" t="b">
        <f>AND('Black &amp; White load sheet'!G234,"AAAAAH+D4wo=")</f>
        <v>0</v>
      </c>
      <c r="L131" t="b">
        <f>AND('Black &amp; White load sheet'!H234,"AAAAAH+D4ws=")</f>
        <v>0</v>
      </c>
      <c r="M131" t="b">
        <f>AND('Black &amp; White load sheet'!I234,"AAAAAH+D4ww=")</f>
        <v>0</v>
      </c>
      <c r="N131" t="b">
        <f>AND('Black &amp; White load sheet'!J234,"AAAAAH+D4w0=")</f>
        <v>0</v>
      </c>
      <c r="O131" t="b">
        <f>AND('Black &amp; White load sheet'!K234,"AAAAAH+D4w4=")</f>
        <v>0</v>
      </c>
      <c r="P131" t="b">
        <f>AND('Black &amp; White load sheet'!L234,"AAAAAH+D4w8=")</f>
        <v>0</v>
      </c>
      <c r="Q131" t="b">
        <f>AND('Black &amp; White load sheet'!M234,"AAAAAH+D4xA=")</f>
        <v>1</v>
      </c>
      <c r="R131" t="b">
        <f>AND('Black &amp; White load sheet'!N234,"AAAAAH+D4xE=")</f>
        <v>1</v>
      </c>
      <c r="S131" t="b">
        <f>AND('Black &amp; White load sheet'!O234,"AAAAAH+D4xI=")</f>
        <v>1</v>
      </c>
      <c r="T131">
        <f>IF('Black &amp; White load sheet'!235:235,"AAAAAH+D4xM=",0)</f>
        <v>0</v>
      </c>
      <c r="U131" t="b">
        <f>AND('Black &amp; White load sheet'!A235,"AAAAAH+D4xQ=")</f>
        <v>1</v>
      </c>
      <c r="V131" t="b">
        <f>AND('Black &amp; White load sheet'!B235,"AAAAAH+D4xU=")</f>
        <v>1</v>
      </c>
      <c r="W131" t="b">
        <f>AND('Black &amp; White load sheet'!C235,"AAAAAH+D4xY=")</f>
        <v>0</v>
      </c>
      <c r="X131" t="b">
        <f>AND('Black &amp; White load sheet'!D235,"AAAAAH+D4xc=")</f>
        <v>0</v>
      </c>
      <c r="Y131" t="b">
        <f>AND('Black &amp; White load sheet'!E235,"AAAAAH+D4xg=")</f>
        <v>1</v>
      </c>
      <c r="Z131" t="b">
        <f>AND('Black &amp; White load sheet'!F235,"AAAAAH+D4xk=")</f>
        <v>0</v>
      </c>
      <c r="AA131" t="b">
        <f>AND('Black &amp; White load sheet'!G235,"AAAAAH+D4xo=")</f>
        <v>0</v>
      </c>
      <c r="AB131" t="b">
        <f>AND('Black &amp; White load sheet'!H235,"AAAAAH+D4xs=")</f>
        <v>0</v>
      </c>
      <c r="AC131" t="b">
        <f>AND('Black &amp; White load sheet'!I235,"AAAAAH+D4xw=")</f>
        <v>0</v>
      </c>
      <c r="AD131" t="b">
        <f>AND('Black &amp; White load sheet'!J235,"AAAAAH+D4x0=")</f>
        <v>0</v>
      </c>
      <c r="AE131" t="b">
        <f>AND('Black &amp; White load sheet'!K235,"AAAAAH+D4x4=")</f>
        <v>0</v>
      </c>
      <c r="AF131" t="b">
        <f>AND('Black &amp; White load sheet'!L235,"AAAAAH+D4x8=")</f>
        <v>1</v>
      </c>
      <c r="AG131" t="b">
        <f>AND('Black &amp; White load sheet'!M235,"AAAAAH+D4yA=")</f>
        <v>1</v>
      </c>
      <c r="AH131" t="b">
        <f>AND('Black &amp; White load sheet'!N235,"AAAAAH+D4yE=")</f>
        <v>1</v>
      </c>
      <c r="AI131" t="b">
        <f>AND('Black &amp; White load sheet'!O235,"AAAAAH+D4yI=")</f>
        <v>1</v>
      </c>
      <c r="AJ131">
        <f>IF('Black &amp; White load sheet'!236:236,"AAAAAH+D4yM=",0)</f>
        <v>0</v>
      </c>
      <c r="AK131" t="b">
        <f>AND('Black &amp; White load sheet'!A236,"AAAAAH+D4yQ=")</f>
        <v>1</v>
      </c>
      <c r="AL131" t="b">
        <f>AND('Black &amp; White load sheet'!B236,"AAAAAH+D4yU=")</f>
        <v>1</v>
      </c>
      <c r="AM131" t="b">
        <f>AND('Black &amp; White load sheet'!C236,"AAAAAH+D4yY=")</f>
        <v>0</v>
      </c>
      <c r="AN131" t="b">
        <f>AND('Black &amp; White load sheet'!D236,"AAAAAH+D4yc=")</f>
        <v>0</v>
      </c>
      <c r="AO131" t="b">
        <f>AND('Black &amp; White load sheet'!E236,"AAAAAH+D4yg=")</f>
        <v>1</v>
      </c>
      <c r="AP131" t="b">
        <f>AND('Black &amp; White load sheet'!F236,"AAAAAH+D4yk=")</f>
        <v>0</v>
      </c>
      <c r="AQ131" t="b">
        <f>AND('Black &amp; White load sheet'!G236,"AAAAAH+D4yo=")</f>
        <v>0</v>
      </c>
      <c r="AR131" t="b">
        <f>AND('Black &amp; White load sheet'!H236,"AAAAAH+D4ys=")</f>
        <v>0</v>
      </c>
      <c r="AS131" t="b">
        <f>AND('Black &amp; White load sheet'!I236,"AAAAAH+D4yw=")</f>
        <v>0</v>
      </c>
      <c r="AT131" t="b">
        <f>AND('Black &amp; White load sheet'!J236,"AAAAAH+D4y0=")</f>
        <v>0</v>
      </c>
      <c r="AU131" t="b">
        <f>AND('Black &amp; White load sheet'!K236,"AAAAAH+D4y4=")</f>
        <v>1</v>
      </c>
      <c r="AV131" t="b">
        <f>AND('Black &amp; White load sheet'!L236,"AAAAAH+D4y8=")</f>
        <v>0</v>
      </c>
      <c r="AW131" t="b">
        <f>AND('Black &amp; White load sheet'!M236,"AAAAAH+D4zA=")</f>
        <v>1</v>
      </c>
      <c r="AX131" t="b">
        <f>AND('Black &amp; White load sheet'!N236,"AAAAAH+D4zE=")</f>
        <v>1</v>
      </c>
      <c r="AY131" t="b">
        <f>AND('Black &amp; White load sheet'!O236,"AAAAAH+D4zI=")</f>
        <v>1</v>
      </c>
      <c r="AZ131">
        <f>IF('Black &amp; White load sheet'!237:237,"AAAAAH+D4zM=",0)</f>
        <v>0</v>
      </c>
      <c r="BA131" t="b">
        <f>AND('Black &amp; White load sheet'!A237,"AAAAAH+D4zQ=")</f>
        <v>1</v>
      </c>
      <c r="BB131" t="b">
        <f>AND('Black &amp; White load sheet'!B237,"AAAAAH+D4zU=")</f>
        <v>1</v>
      </c>
      <c r="BC131" t="b">
        <f>AND('Black &amp; White load sheet'!C237,"AAAAAH+D4zY=")</f>
        <v>0</v>
      </c>
      <c r="BD131" t="b">
        <f>AND('Black &amp; White load sheet'!D237,"AAAAAH+D4zc=")</f>
        <v>0</v>
      </c>
      <c r="BE131" t="b">
        <f>AND('Black &amp; White load sheet'!E237,"AAAAAH+D4zg=")</f>
        <v>1</v>
      </c>
      <c r="BF131" t="b">
        <f>AND('Black &amp; White load sheet'!F237,"AAAAAH+D4zk=")</f>
        <v>0</v>
      </c>
      <c r="BG131" t="b">
        <f>AND('Black &amp; White load sheet'!G237,"AAAAAH+D4zo=")</f>
        <v>0</v>
      </c>
      <c r="BH131" t="b">
        <f>AND('Black &amp; White load sheet'!H237,"AAAAAH+D4zs=")</f>
        <v>0</v>
      </c>
      <c r="BI131" t="b">
        <f>AND('Black &amp; White load sheet'!I237,"AAAAAH+D4zw=")</f>
        <v>0</v>
      </c>
      <c r="BJ131" t="b">
        <f>AND('Black &amp; White load sheet'!J237,"AAAAAH+D4z0=")</f>
        <v>1</v>
      </c>
      <c r="BK131" t="b">
        <f>AND('Black &amp; White load sheet'!K237,"AAAAAH+D4z4=")</f>
        <v>0</v>
      </c>
      <c r="BL131" t="b">
        <f>AND('Black &amp; White load sheet'!L237,"AAAAAH+D4z8=")</f>
        <v>0</v>
      </c>
      <c r="BM131" t="b">
        <f>AND('Black &amp; White load sheet'!M237,"AAAAAH+D40A=")</f>
        <v>1</v>
      </c>
      <c r="BN131" t="b">
        <f>AND('Black &amp; White load sheet'!N237,"AAAAAH+D40E=")</f>
        <v>1</v>
      </c>
      <c r="BO131" t="b">
        <f>AND('Black &amp; White load sheet'!O237,"AAAAAH+D40I=")</f>
        <v>1</v>
      </c>
      <c r="BP131">
        <f>IF('Black &amp; White load sheet'!238:238,"AAAAAH+D40M=",0)</f>
        <v>0</v>
      </c>
      <c r="BQ131" t="b">
        <f>AND('Black &amp; White load sheet'!A238,"AAAAAH+D40Q=")</f>
        <v>1</v>
      </c>
      <c r="BR131" t="b">
        <f>AND('Black &amp; White load sheet'!B238,"AAAAAH+D40U=")</f>
        <v>1</v>
      </c>
      <c r="BS131" t="b">
        <f>AND('Black &amp; White load sheet'!C238,"AAAAAH+D40Y=")</f>
        <v>0</v>
      </c>
      <c r="BT131" t="b">
        <f>AND('Black &amp; White load sheet'!D238,"AAAAAH+D40c=")</f>
        <v>0</v>
      </c>
      <c r="BU131" t="b">
        <f>AND('Black &amp; White load sheet'!E238,"AAAAAH+D40g=")</f>
        <v>1</v>
      </c>
      <c r="BV131" t="b">
        <f>AND('Black &amp; White load sheet'!F238,"AAAAAH+D40k=")</f>
        <v>0</v>
      </c>
      <c r="BW131" t="b">
        <f>AND('Black &amp; White load sheet'!G238,"AAAAAH+D40o=")</f>
        <v>0</v>
      </c>
      <c r="BX131" t="b">
        <f>AND('Black &amp; White load sheet'!H238,"AAAAAH+D40s=")</f>
        <v>0</v>
      </c>
      <c r="BY131" t="b">
        <f>AND('Black &amp; White load sheet'!I238,"AAAAAH+D40w=")</f>
        <v>1</v>
      </c>
      <c r="BZ131" t="b">
        <f>AND('Black &amp; White load sheet'!J238,"AAAAAH+D400=")</f>
        <v>0</v>
      </c>
      <c r="CA131" t="b">
        <f>AND('Black &amp; White load sheet'!K238,"AAAAAH+D404=")</f>
        <v>0</v>
      </c>
      <c r="CB131" t="b">
        <f>AND('Black &amp; White load sheet'!L238,"AAAAAH+D408=")</f>
        <v>0</v>
      </c>
      <c r="CC131" t="b">
        <f>AND('Black &amp; White load sheet'!M238,"AAAAAH+D41A=")</f>
        <v>1</v>
      </c>
      <c r="CD131" t="b">
        <f>AND('Black &amp; White load sheet'!N238,"AAAAAH+D41E=")</f>
        <v>1</v>
      </c>
      <c r="CE131" t="b">
        <f>AND('Black &amp; White load sheet'!O238,"AAAAAH+D41I=")</f>
        <v>1</v>
      </c>
      <c r="CF131">
        <f>IF('Black &amp; White load sheet'!239:239,"AAAAAH+D41M=",0)</f>
        <v>0</v>
      </c>
      <c r="CG131" t="b">
        <f>AND('Black &amp; White load sheet'!A239,"AAAAAH+D41Q=")</f>
        <v>1</v>
      </c>
      <c r="CH131" t="b">
        <f>AND('Black &amp; White load sheet'!B239,"AAAAAH+D41U=")</f>
        <v>1</v>
      </c>
      <c r="CI131" t="b">
        <f>AND('Black &amp; White load sheet'!C239,"AAAAAH+D41Y=")</f>
        <v>0</v>
      </c>
      <c r="CJ131" t="b">
        <f>AND('Black &amp; White load sheet'!D239,"AAAAAH+D41c=")</f>
        <v>0</v>
      </c>
      <c r="CK131" t="b">
        <f>AND('Black &amp; White load sheet'!E239,"AAAAAH+D41g=")</f>
        <v>1</v>
      </c>
      <c r="CL131" t="b">
        <f>AND('Black &amp; White load sheet'!F239,"AAAAAH+D41k=")</f>
        <v>0</v>
      </c>
      <c r="CM131" t="b">
        <f>AND('Black &amp; White load sheet'!G239,"AAAAAH+D41o=")</f>
        <v>0</v>
      </c>
      <c r="CN131" t="b">
        <f>AND('Black &amp; White load sheet'!H239,"AAAAAH+D41s=")</f>
        <v>1</v>
      </c>
      <c r="CO131" t="b">
        <f>AND('Black &amp; White load sheet'!I239,"AAAAAH+D41w=")</f>
        <v>0</v>
      </c>
      <c r="CP131" t="b">
        <f>AND('Black &amp; White load sheet'!J239,"AAAAAH+D410=")</f>
        <v>0</v>
      </c>
      <c r="CQ131" t="b">
        <f>AND('Black &amp; White load sheet'!K239,"AAAAAH+D414=")</f>
        <v>0</v>
      </c>
      <c r="CR131" t="b">
        <f>AND('Black &amp; White load sheet'!L239,"AAAAAH+D418=")</f>
        <v>0</v>
      </c>
      <c r="CS131" t="b">
        <f>AND('Black &amp; White load sheet'!M239,"AAAAAH+D42A=")</f>
        <v>1</v>
      </c>
      <c r="CT131" t="b">
        <f>AND('Black &amp; White load sheet'!N239,"AAAAAH+D42E=")</f>
        <v>1</v>
      </c>
      <c r="CU131" t="b">
        <f>AND('Black &amp; White load sheet'!O239,"AAAAAH+D42I=")</f>
        <v>1</v>
      </c>
      <c r="CV131">
        <f>IF('Black &amp; White load sheet'!240:240,"AAAAAH+D42M=",0)</f>
        <v>0</v>
      </c>
      <c r="CW131" t="b">
        <f>AND('Black &amp; White load sheet'!A240,"AAAAAH+D42Q=")</f>
        <v>1</v>
      </c>
      <c r="CX131" t="b">
        <f>AND('Black &amp; White load sheet'!B240,"AAAAAH+D42U=")</f>
        <v>1</v>
      </c>
      <c r="CY131" t="b">
        <f>AND('Black &amp; White load sheet'!C240,"AAAAAH+D42Y=")</f>
        <v>0</v>
      </c>
      <c r="CZ131" t="b">
        <f>AND('Black &amp; White load sheet'!D240,"AAAAAH+D42c=")</f>
        <v>0</v>
      </c>
      <c r="DA131" t="b">
        <f>AND('Black &amp; White load sheet'!E240,"AAAAAH+D42g=")</f>
        <v>1</v>
      </c>
      <c r="DB131" t="b">
        <f>AND('Black &amp; White load sheet'!F240,"AAAAAH+D42k=")</f>
        <v>0</v>
      </c>
      <c r="DC131" t="b">
        <f>AND('Black &amp; White load sheet'!G240,"AAAAAH+D42o=")</f>
        <v>0</v>
      </c>
      <c r="DD131" t="b">
        <f>AND('Black &amp; White load sheet'!H240,"AAAAAH+D42s=")</f>
        <v>1</v>
      </c>
      <c r="DE131" t="b">
        <f>AND('Black &amp; White load sheet'!I240,"AAAAAH+D42w=")</f>
        <v>0</v>
      </c>
      <c r="DF131" t="b">
        <f>AND('Black &amp; White load sheet'!J240,"AAAAAH+D420=")</f>
        <v>0</v>
      </c>
      <c r="DG131" t="b">
        <f>AND('Black &amp; White load sheet'!K240,"AAAAAH+D424=")</f>
        <v>0</v>
      </c>
      <c r="DH131" t="b">
        <f>AND('Black &amp; White load sheet'!L240,"AAAAAH+D428=")</f>
        <v>1</v>
      </c>
      <c r="DI131" t="b">
        <f>AND('Black &amp; White load sheet'!M240,"AAAAAH+D43A=")</f>
        <v>1</v>
      </c>
      <c r="DJ131" t="b">
        <f>AND('Black &amp; White load sheet'!N240,"AAAAAH+D43E=")</f>
        <v>1</v>
      </c>
      <c r="DK131" t="b">
        <f>AND('Black &amp; White load sheet'!O240,"AAAAAH+D43I=")</f>
        <v>1</v>
      </c>
      <c r="DL131">
        <f>IF('Black &amp; White load sheet'!241:241,"AAAAAH+D43M=",0)</f>
        <v>0</v>
      </c>
      <c r="DM131" t="b">
        <f>AND('Black &amp; White load sheet'!A241,"AAAAAH+D43Q=")</f>
        <v>1</v>
      </c>
      <c r="DN131" t="b">
        <f>AND('Black &amp; White load sheet'!B241,"AAAAAH+D43U=")</f>
        <v>1</v>
      </c>
      <c r="DO131" t="b">
        <f>AND('Black &amp; White load sheet'!C241,"AAAAAH+D43Y=")</f>
        <v>0</v>
      </c>
      <c r="DP131" t="b">
        <f>AND('Black &amp; White load sheet'!D241,"AAAAAH+D43c=")</f>
        <v>0</v>
      </c>
      <c r="DQ131" t="b">
        <f>AND('Black &amp; White load sheet'!E241,"AAAAAH+D43g=")</f>
        <v>1</v>
      </c>
      <c r="DR131" t="b">
        <f>AND('Black &amp; White load sheet'!F241,"AAAAAH+D43k=")</f>
        <v>0</v>
      </c>
      <c r="DS131" t="b">
        <f>AND('Black &amp; White load sheet'!G241,"AAAAAH+D43o=")</f>
        <v>0</v>
      </c>
      <c r="DT131" t="b">
        <f>AND('Black &amp; White load sheet'!H241,"AAAAAH+D43s=")</f>
        <v>1</v>
      </c>
      <c r="DU131" t="b">
        <f>AND('Black &amp; White load sheet'!I241,"AAAAAH+D43w=")</f>
        <v>0</v>
      </c>
      <c r="DV131" t="b">
        <f>AND('Black &amp; White load sheet'!J241,"AAAAAH+D430=")</f>
        <v>0</v>
      </c>
      <c r="DW131" t="b">
        <f>AND('Black &amp; White load sheet'!K241,"AAAAAH+D434=")</f>
        <v>1</v>
      </c>
      <c r="DX131" t="b">
        <f>AND('Black &amp; White load sheet'!L241,"AAAAAH+D438=")</f>
        <v>0</v>
      </c>
      <c r="DY131" t="b">
        <f>AND('Black &amp; White load sheet'!M241,"AAAAAH+D44A=")</f>
        <v>1</v>
      </c>
      <c r="DZ131" t="b">
        <f>AND('Black &amp; White load sheet'!N241,"AAAAAH+D44E=")</f>
        <v>1</v>
      </c>
      <c r="EA131" t="b">
        <f>AND('Black &amp; White load sheet'!O241,"AAAAAH+D44I=")</f>
        <v>1</v>
      </c>
      <c r="EB131">
        <f>IF('Black &amp; White load sheet'!242:242,"AAAAAH+D44M=",0)</f>
        <v>0</v>
      </c>
      <c r="EC131" t="b">
        <f>AND('Black &amp; White load sheet'!A242,"AAAAAH+D44Q=")</f>
        <v>1</v>
      </c>
      <c r="ED131" t="b">
        <f>AND('Black &amp; White load sheet'!B242,"AAAAAH+D44U=")</f>
        <v>1</v>
      </c>
      <c r="EE131" t="b">
        <f>AND('Black &amp; White load sheet'!C242,"AAAAAH+D44Y=")</f>
        <v>0</v>
      </c>
      <c r="EF131" t="b">
        <f>AND('Black &amp; White load sheet'!D242,"AAAAAH+D44c=")</f>
        <v>0</v>
      </c>
      <c r="EG131" t="b">
        <f>AND('Black &amp; White load sheet'!E242,"AAAAAH+D44g=")</f>
        <v>1</v>
      </c>
      <c r="EH131" t="b">
        <f>AND('Black &amp; White load sheet'!F242,"AAAAAH+D44k=")</f>
        <v>0</v>
      </c>
      <c r="EI131" t="b">
        <f>AND('Black &amp; White load sheet'!G242,"AAAAAH+D44o=")</f>
        <v>0</v>
      </c>
      <c r="EJ131" t="b">
        <f>AND('Black &amp; White load sheet'!H242,"AAAAAH+D44s=")</f>
        <v>1</v>
      </c>
      <c r="EK131" t="b">
        <f>AND('Black &amp; White load sheet'!I242,"AAAAAH+D44w=")</f>
        <v>0</v>
      </c>
      <c r="EL131" t="b">
        <f>AND('Black &amp; White load sheet'!J242,"AAAAAH+D440=")</f>
        <v>1</v>
      </c>
      <c r="EM131" t="b">
        <f>AND('Black &amp; White load sheet'!K242,"AAAAAH+D444=")</f>
        <v>0</v>
      </c>
      <c r="EN131" t="b">
        <f>AND('Black &amp; White load sheet'!L242,"AAAAAH+D448=")</f>
        <v>0</v>
      </c>
      <c r="EO131" t="b">
        <f>AND('Black &amp; White load sheet'!M242,"AAAAAH+D45A=")</f>
        <v>1</v>
      </c>
      <c r="EP131" t="b">
        <f>AND('Black &amp; White load sheet'!N242,"AAAAAH+D45E=")</f>
        <v>1</v>
      </c>
      <c r="EQ131" t="b">
        <f>AND('Black &amp; White load sheet'!O242,"AAAAAH+D45I=")</f>
        <v>1</v>
      </c>
      <c r="ER131">
        <f>IF('Black &amp; White load sheet'!243:243,"AAAAAH+D45M=",0)</f>
        <v>0</v>
      </c>
      <c r="ES131" t="b">
        <f>AND('Black &amp; White load sheet'!A243,"AAAAAH+D45Q=")</f>
        <v>1</v>
      </c>
      <c r="ET131" t="b">
        <f>AND('Black &amp; White load sheet'!B243,"AAAAAH+D45U=")</f>
        <v>1</v>
      </c>
      <c r="EU131" t="b">
        <f>AND('Black &amp; White load sheet'!C243,"AAAAAH+D45Y=")</f>
        <v>0</v>
      </c>
      <c r="EV131" t="b">
        <f>AND('Black &amp; White load sheet'!D243,"AAAAAH+D45c=")</f>
        <v>0</v>
      </c>
      <c r="EW131" t="b">
        <f>AND('Black &amp; White load sheet'!E243,"AAAAAH+D45g=")</f>
        <v>1</v>
      </c>
      <c r="EX131" t="b">
        <f>AND('Black &amp; White load sheet'!F243,"AAAAAH+D45k=")</f>
        <v>0</v>
      </c>
      <c r="EY131" t="b">
        <f>AND('Black &amp; White load sheet'!G243,"AAAAAH+D45o=")</f>
        <v>0</v>
      </c>
      <c r="EZ131" t="b">
        <f>AND('Black &amp; White load sheet'!H243,"AAAAAH+D45s=")</f>
        <v>1</v>
      </c>
      <c r="FA131" t="b">
        <f>AND('Black &amp; White load sheet'!I243,"AAAAAH+D45w=")</f>
        <v>1</v>
      </c>
      <c r="FB131" t="b">
        <f>AND('Black &amp; White load sheet'!J243,"AAAAAH+D450=")</f>
        <v>0</v>
      </c>
      <c r="FC131" t="b">
        <f>AND('Black &amp; White load sheet'!K243,"AAAAAH+D454=")</f>
        <v>0</v>
      </c>
      <c r="FD131" t="b">
        <f>AND('Black &amp; White load sheet'!L243,"AAAAAH+D458=")</f>
        <v>0</v>
      </c>
      <c r="FE131" t="b">
        <f>AND('Black &amp; White load sheet'!M243,"AAAAAH+D46A=")</f>
        <v>1</v>
      </c>
      <c r="FF131" t="b">
        <f>AND('Black &amp; White load sheet'!N243,"AAAAAH+D46E=")</f>
        <v>1</v>
      </c>
      <c r="FG131" t="b">
        <f>AND('Black &amp; White load sheet'!O243,"AAAAAH+D46I=")</f>
        <v>1</v>
      </c>
      <c r="FH131">
        <f>IF('Black &amp; White load sheet'!244:244,"AAAAAH+D46M=",0)</f>
        <v>0</v>
      </c>
      <c r="FI131" t="b">
        <f>AND('Black &amp; White load sheet'!A244,"AAAAAH+D46Q=")</f>
        <v>1</v>
      </c>
      <c r="FJ131" t="b">
        <f>AND('Black &amp; White load sheet'!B244,"AAAAAH+D46U=")</f>
        <v>1</v>
      </c>
      <c r="FK131" t="b">
        <f>AND('Black &amp; White load sheet'!C244,"AAAAAH+D46Y=")</f>
        <v>0</v>
      </c>
      <c r="FL131" t="b">
        <f>AND('Black &amp; White load sheet'!D244,"AAAAAH+D46c=")</f>
        <v>0</v>
      </c>
      <c r="FM131" t="b">
        <f>AND('Black &amp; White load sheet'!E244,"AAAAAH+D46g=")</f>
        <v>1</v>
      </c>
      <c r="FN131" t="b">
        <f>AND('Black &amp; White load sheet'!F244,"AAAAAH+D46k=")</f>
        <v>0</v>
      </c>
      <c r="FO131" t="b">
        <f>AND('Black &amp; White load sheet'!G244,"AAAAAH+D46o=")</f>
        <v>1</v>
      </c>
      <c r="FP131" t="b">
        <f>AND('Black &amp; White load sheet'!H244,"AAAAAH+D46s=")</f>
        <v>0</v>
      </c>
      <c r="FQ131" t="b">
        <f>AND('Black &amp; White load sheet'!I244,"AAAAAH+D46w=")</f>
        <v>0</v>
      </c>
      <c r="FR131" t="b">
        <f>AND('Black &amp; White load sheet'!J244,"AAAAAH+D460=")</f>
        <v>0</v>
      </c>
      <c r="FS131" t="b">
        <f>AND('Black &amp; White load sheet'!K244,"AAAAAH+D464=")</f>
        <v>0</v>
      </c>
      <c r="FT131" t="b">
        <f>AND('Black &amp; White load sheet'!L244,"AAAAAH+D468=")</f>
        <v>0</v>
      </c>
      <c r="FU131" t="b">
        <f>AND('Black &amp; White load sheet'!M244,"AAAAAH+D47A=")</f>
        <v>1</v>
      </c>
      <c r="FV131" t="b">
        <f>AND('Black &amp; White load sheet'!N244,"AAAAAH+D47E=")</f>
        <v>1</v>
      </c>
      <c r="FW131" t="b">
        <f>AND('Black &amp; White load sheet'!O244,"AAAAAH+D47I=")</f>
        <v>1</v>
      </c>
      <c r="FX131">
        <f>IF('Black &amp; White load sheet'!245:245,"AAAAAH+D47M=",0)</f>
        <v>0</v>
      </c>
      <c r="FY131" t="b">
        <f>AND('Black &amp; White load sheet'!A245,"AAAAAH+D47Q=")</f>
        <v>1</v>
      </c>
      <c r="FZ131" t="b">
        <f>AND('Black &amp; White load sheet'!B245,"AAAAAH+D47U=")</f>
        <v>1</v>
      </c>
      <c r="GA131" t="b">
        <f>AND('Black &amp; White load sheet'!C245,"AAAAAH+D47Y=")</f>
        <v>0</v>
      </c>
      <c r="GB131" t="b">
        <f>AND('Black &amp; White load sheet'!D245,"AAAAAH+D47c=")</f>
        <v>0</v>
      </c>
      <c r="GC131" t="b">
        <f>AND('Black &amp; White load sheet'!E245,"AAAAAH+D47g=")</f>
        <v>1</v>
      </c>
      <c r="GD131" t="b">
        <f>AND('Black &amp; White load sheet'!F245,"AAAAAH+D47k=")</f>
        <v>0</v>
      </c>
      <c r="GE131" t="b">
        <f>AND('Black &amp; White load sheet'!G245,"AAAAAH+D47o=")</f>
        <v>1</v>
      </c>
      <c r="GF131" t="b">
        <f>AND('Black &amp; White load sheet'!H245,"AAAAAH+D47s=")</f>
        <v>0</v>
      </c>
      <c r="GG131" t="b">
        <f>AND('Black &amp; White load sheet'!I245,"AAAAAH+D47w=")</f>
        <v>0</v>
      </c>
      <c r="GH131" t="b">
        <f>AND('Black &amp; White load sheet'!J245,"AAAAAH+D470=")</f>
        <v>0</v>
      </c>
      <c r="GI131" t="b">
        <f>AND('Black &amp; White load sheet'!K245,"AAAAAH+D474=")</f>
        <v>0</v>
      </c>
      <c r="GJ131" t="b">
        <f>AND('Black &amp; White load sheet'!L245,"AAAAAH+D478=")</f>
        <v>1</v>
      </c>
      <c r="GK131" t="b">
        <f>AND('Black &amp; White load sheet'!M245,"AAAAAH+D48A=")</f>
        <v>1</v>
      </c>
      <c r="GL131" t="b">
        <f>AND('Black &amp; White load sheet'!N245,"AAAAAH+D48E=")</f>
        <v>1</v>
      </c>
      <c r="GM131" t="b">
        <f>AND('Black &amp; White load sheet'!O245,"AAAAAH+D48I=")</f>
        <v>1</v>
      </c>
      <c r="GN131">
        <f>IF('Black &amp; White load sheet'!246:246,"AAAAAH+D48M=",0)</f>
        <v>0</v>
      </c>
      <c r="GO131" t="b">
        <f>AND('Black &amp; White load sheet'!A246,"AAAAAH+D48Q=")</f>
        <v>1</v>
      </c>
      <c r="GP131" t="b">
        <f>AND('Black &amp; White load sheet'!B246,"AAAAAH+D48U=")</f>
        <v>1</v>
      </c>
      <c r="GQ131" t="b">
        <f>AND('Black &amp; White load sheet'!C246,"AAAAAH+D48Y=")</f>
        <v>0</v>
      </c>
      <c r="GR131" t="b">
        <f>AND('Black &amp; White load sheet'!D246,"AAAAAH+D48c=")</f>
        <v>0</v>
      </c>
      <c r="GS131" t="b">
        <f>AND('Black &amp; White load sheet'!E246,"AAAAAH+D48g=")</f>
        <v>1</v>
      </c>
      <c r="GT131" t="b">
        <f>AND('Black &amp; White load sheet'!F246,"AAAAAH+D48k=")</f>
        <v>0</v>
      </c>
      <c r="GU131" t="b">
        <f>AND('Black &amp; White load sheet'!G246,"AAAAAH+D48o=")</f>
        <v>1</v>
      </c>
      <c r="GV131" t="b">
        <f>AND('Black &amp; White load sheet'!H246,"AAAAAH+D48s=")</f>
        <v>0</v>
      </c>
      <c r="GW131" t="b">
        <f>AND('Black &amp; White load sheet'!I246,"AAAAAH+D48w=")</f>
        <v>0</v>
      </c>
      <c r="GX131" t="b">
        <f>AND('Black &amp; White load sheet'!J246,"AAAAAH+D480=")</f>
        <v>0</v>
      </c>
      <c r="GY131" t="b">
        <f>AND('Black &amp; White load sheet'!K246,"AAAAAH+D484=")</f>
        <v>1</v>
      </c>
      <c r="GZ131" t="b">
        <f>AND('Black &amp; White load sheet'!L246,"AAAAAH+D488=")</f>
        <v>0</v>
      </c>
      <c r="HA131" t="b">
        <f>AND('Black &amp; White load sheet'!M246,"AAAAAH+D49A=")</f>
        <v>1</v>
      </c>
      <c r="HB131" t="b">
        <f>AND('Black &amp; White load sheet'!N246,"AAAAAH+D49E=")</f>
        <v>1</v>
      </c>
      <c r="HC131" t="b">
        <f>AND('Black &amp; White load sheet'!O246,"AAAAAH+D49I=")</f>
        <v>1</v>
      </c>
      <c r="HD131">
        <f>IF('Black &amp; White load sheet'!247:247,"AAAAAH+D49M=",0)</f>
        <v>0</v>
      </c>
      <c r="HE131" t="b">
        <f>AND('Black &amp; White load sheet'!A247,"AAAAAH+D49Q=")</f>
        <v>1</v>
      </c>
      <c r="HF131" t="b">
        <f>AND('Black &amp; White load sheet'!B247,"AAAAAH+D49U=")</f>
        <v>1</v>
      </c>
      <c r="HG131" t="b">
        <f>AND('Black &amp; White load sheet'!C247,"AAAAAH+D49Y=")</f>
        <v>0</v>
      </c>
      <c r="HH131" t="b">
        <f>AND('Black &amp; White load sheet'!D247,"AAAAAH+D49c=")</f>
        <v>0</v>
      </c>
      <c r="HI131" t="b">
        <f>AND('Black &amp; White load sheet'!E247,"AAAAAH+D49g=")</f>
        <v>1</v>
      </c>
      <c r="HJ131" t="b">
        <f>AND('Black &amp; White load sheet'!F247,"AAAAAH+D49k=")</f>
        <v>0</v>
      </c>
      <c r="HK131" t="b">
        <f>AND('Black &amp; White load sheet'!G247,"AAAAAH+D49o=")</f>
        <v>1</v>
      </c>
      <c r="HL131" t="b">
        <f>AND('Black &amp; White load sheet'!H247,"AAAAAH+D49s=")</f>
        <v>0</v>
      </c>
      <c r="HM131" t="b">
        <f>AND('Black &amp; White load sheet'!I247,"AAAAAH+D49w=")</f>
        <v>0</v>
      </c>
      <c r="HN131" t="b">
        <f>AND('Black &amp; White load sheet'!J247,"AAAAAH+D490=")</f>
        <v>1</v>
      </c>
      <c r="HO131" t="b">
        <f>AND('Black &amp; White load sheet'!K247,"AAAAAH+D494=")</f>
        <v>0</v>
      </c>
      <c r="HP131" t="b">
        <f>AND('Black &amp; White load sheet'!L247,"AAAAAH+D498=")</f>
        <v>0</v>
      </c>
      <c r="HQ131" t="b">
        <f>AND('Black &amp; White load sheet'!M247,"AAAAAH+D4+A=")</f>
        <v>1</v>
      </c>
      <c r="HR131" t="b">
        <f>AND('Black &amp; White load sheet'!N247,"AAAAAH+D4+E=")</f>
        <v>1</v>
      </c>
      <c r="HS131" t="b">
        <f>AND('Black &amp; White load sheet'!O247,"AAAAAH+D4+I=")</f>
        <v>1</v>
      </c>
      <c r="HT131">
        <f>IF('Black &amp; White load sheet'!248:248,"AAAAAH+D4+M=",0)</f>
        <v>0</v>
      </c>
      <c r="HU131" t="b">
        <f>AND('Black &amp; White load sheet'!A248,"AAAAAH+D4+Q=")</f>
        <v>1</v>
      </c>
      <c r="HV131" t="b">
        <f>AND('Black &amp; White load sheet'!B248,"AAAAAH+D4+U=")</f>
        <v>1</v>
      </c>
      <c r="HW131" t="b">
        <f>AND('Black &amp; White load sheet'!C248,"AAAAAH+D4+Y=")</f>
        <v>0</v>
      </c>
      <c r="HX131" t="b">
        <f>AND('Black &amp; White load sheet'!D248,"AAAAAH+D4+c=")</f>
        <v>0</v>
      </c>
      <c r="HY131" t="b">
        <f>AND('Black &amp; White load sheet'!E248,"AAAAAH+D4+g=")</f>
        <v>1</v>
      </c>
      <c r="HZ131" t="b">
        <f>AND('Black &amp; White load sheet'!F248,"AAAAAH+D4+k=")</f>
        <v>0</v>
      </c>
      <c r="IA131" t="b">
        <f>AND('Black &amp; White load sheet'!G248,"AAAAAH+D4+o=")</f>
        <v>1</v>
      </c>
      <c r="IB131" t="b">
        <f>AND('Black &amp; White load sheet'!H248,"AAAAAH+D4+s=")</f>
        <v>0</v>
      </c>
      <c r="IC131" t="b">
        <f>AND('Black &amp; White load sheet'!I248,"AAAAAH+D4+w=")</f>
        <v>1</v>
      </c>
      <c r="ID131" t="b">
        <f>AND('Black &amp; White load sheet'!J248,"AAAAAH+D4+0=")</f>
        <v>0</v>
      </c>
      <c r="IE131" t="b">
        <f>AND('Black &amp; White load sheet'!K248,"AAAAAH+D4+4=")</f>
        <v>0</v>
      </c>
      <c r="IF131" t="b">
        <f>AND('Black &amp; White load sheet'!L248,"AAAAAH+D4+8=")</f>
        <v>0</v>
      </c>
      <c r="IG131" t="b">
        <f>AND('Black &amp; White load sheet'!M248,"AAAAAH+D4/A=")</f>
        <v>1</v>
      </c>
      <c r="IH131" t="b">
        <f>AND('Black &amp; White load sheet'!N248,"AAAAAH+D4/E=")</f>
        <v>1</v>
      </c>
      <c r="II131" t="b">
        <f>AND('Black &amp; White load sheet'!O248,"AAAAAH+D4/I=")</f>
        <v>1</v>
      </c>
      <c r="IJ131">
        <f>IF('Black &amp; White load sheet'!249:249,"AAAAAH+D4/M=",0)</f>
        <v>0</v>
      </c>
      <c r="IK131" t="b">
        <f>AND('Black &amp; White load sheet'!A249,"AAAAAH+D4/Q=")</f>
        <v>1</v>
      </c>
      <c r="IL131" t="b">
        <f>AND('Black &amp; White load sheet'!B249,"AAAAAH+D4/U=")</f>
        <v>1</v>
      </c>
      <c r="IM131" t="b">
        <f>AND('Black &amp; White load sheet'!C249,"AAAAAH+D4/Y=")</f>
        <v>0</v>
      </c>
      <c r="IN131" t="b">
        <f>AND('Black &amp; White load sheet'!D249,"AAAAAH+D4/c=")</f>
        <v>0</v>
      </c>
      <c r="IO131" t="b">
        <f>AND('Black &amp; White load sheet'!E249,"AAAAAH+D4/g=")</f>
        <v>1</v>
      </c>
      <c r="IP131" t="b">
        <f>AND('Black &amp; White load sheet'!F249,"AAAAAH+D4/k=")</f>
        <v>0</v>
      </c>
      <c r="IQ131" t="b">
        <f>AND('Black &amp; White load sheet'!G249,"AAAAAH+D4/o=")</f>
        <v>1</v>
      </c>
      <c r="IR131" t="b">
        <f>AND('Black &amp; White load sheet'!H249,"AAAAAH+D4/s=")</f>
        <v>1</v>
      </c>
      <c r="IS131" t="b">
        <f>AND('Black &amp; White load sheet'!I249,"AAAAAH+D4/w=")</f>
        <v>0</v>
      </c>
      <c r="IT131" t="b">
        <f>AND('Black &amp; White load sheet'!J249,"AAAAAH+D4/0=")</f>
        <v>0</v>
      </c>
      <c r="IU131" t="b">
        <f>AND('Black &amp; White load sheet'!K249,"AAAAAH+D4/4=")</f>
        <v>0</v>
      </c>
      <c r="IV131" t="b">
        <f>AND('Black &amp; White load sheet'!L249,"AAAAAH+D4/8=")</f>
        <v>0</v>
      </c>
    </row>
    <row r="132" spans="1:256">
      <c r="A132" t="b">
        <f>AND('Black &amp; White load sheet'!M249,"AAAAAGX/vwA=")</f>
        <v>1</v>
      </c>
      <c r="B132" t="b">
        <f>AND('Black &amp; White load sheet'!N249,"AAAAAGX/vwE=")</f>
        <v>1</v>
      </c>
      <c r="C132" t="b">
        <f>AND('Black &amp; White load sheet'!O249,"AAAAAGX/vwI=")</f>
        <v>1</v>
      </c>
      <c r="D132">
        <f>IF('Black &amp; White load sheet'!250:250,"AAAAAGX/vwM=",0)</f>
        <v>0</v>
      </c>
      <c r="E132" t="b">
        <f>AND('Black &amp; White load sheet'!A250,"AAAAAGX/vwQ=")</f>
        <v>1</v>
      </c>
      <c r="F132" t="b">
        <f>AND('Black &amp; White load sheet'!B250,"AAAAAGX/vwU=")</f>
        <v>1</v>
      </c>
      <c r="G132" t="b">
        <f>AND('Black &amp; White load sheet'!C250,"AAAAAGX/vwY=")</f>
        <v>0</v>
      </c>
      <c r="H132" t="b">
        <f>AND('Black &amp; White load sheet'!D250,"AAAAAGX/vwc=")</f>
        <v>0</v>
      </c>
      <c r="I132" t="b">
        <f>AND('Black &amp; White load sheet'!E250,"AAAAAGX/vwg=")</f>
        <v>1</v>
      </c>
      <c r="J132" t="b">
        <f>AND('Black &amp; White load sheet'!F250,"AAAAAGX/vwk=")</f>
        <v>0</v>
      </c>
      <c r="K132" t="b">
        <f>AND('Black &amp; White load sheet'!G250,"AAAAAGX/vwo=")</f>
        <v>1</v>
      </c>
      <c r="L132" t="b">
        <f>AND('Black &amp; White load sheet'!H250,"AAAAAGX/vws=")</f>
        <v>1</v>
      </c>
      <c r="M132" t="b">
        <f>AND('Black &amp; White load sheet'!I250,"AAAAAGX/vww=")</f>
        <v>0</v>
      </c>
      <c r="N132" t="b">
        <f>AND('Black &amp; White load sheet'!J250,"AAAAAGX/vw0=")</f>
        <v>0</v>
      </c>
      <c r="O132" t="b">
        <f>AND('Black &amp; White load sheet'!K250,"AAAAAGX/vw4=")</f>
        <v>0</v>
      </c>
      <c r="P132" t="b">
        <f>AND('Black &amp; White load sheet'!L250,"AAAAAGX/vw8=")</f>
        <v>1</v>
      </c>
      <c r="Q132" t="b">
        <f>AND('Black &amp; White load sheet'!M250,"AAAAAGX/vxA=")</f>
        <v>1</v>
      </c>
      <c r="R132" t="b">
        <f>AND('Black &amp; White load sheet'!N250,"AAAAAGX/vxE=")</f>
        <v>1</v>
      </c>
      <c r="S132" t="b">
        <f>AND('Black &amp; White load sheet'!O250,"AAAAAGX/vxI=")</f>
        <v>1</v>
      </c>
      <c r="T132">
        <f>IF('Black &amp; White load sheet'!251:251,"AAAAAGX/vxM=",0)</f>
        <v>0</v>
      </c>
      <c r="U132" t="b">
        <f>AND('Black &amp; White load sheet'!A251,"AAAAAGX/vxQ=")</f>
        <v>1</v>
      </c>
      <c r="V132" t="b">
        <f>AND('Black &amp; White load sheet'!B251,"AAAAAGX/vxU=")</f>
        <v>1</v>
      </c>
      <c r="W132" t="b">
        <f>AND('Black &amp; White load sheet'!C251,"AAAAAGX/vxY=")</f>
        <v>0</v>
      </c>
      <c r="X132" t="b">
        <f>AND('Black &amp; White load sheet'!D251,"AAAAAGX/vxc=")</f>
        <v>0</v>
      </c>
      <c r="Y132" t="b">
        <f>AND('Black &amp; White load sheet'!E251,"AAAAAGX/vxg=")</f>
        <v>1</v>
      </c>
      <c r="Z132" t="b">
        <f>AND('Black &amp; White load sheet'!F251,"AAAAAGX/vxk=")</f>
        <v>0</v>
      </c>
      <c r="AA132" t="b">
        <f>AND('Black &amp; White load sheet'!G251,"AAAAAGX/vxo=")</f>
        <v>1</v>
      </c>
      <c r="AB132" t="b">
        <f>AND('Black &amp; White load sheet'!H251,"AAAAAGX/vxs=")</f>
        <v>1</v>
      </c>
      <c r="AC132" t="b">
        <f>AND('Black &amp; White load sheet'!I251,"AAAAAGX/vxw=")</f>
        <v>0</v>
      </c>
      <c r="AD132" t="b">
        <f>AND('Black &amp; White load sheet'!J251,"AAAAAGX/vx0=")</f>
        <v>0</v>
      </c>
      <c r="AE132" t="b">
        <f>AND('Black &amp; White load sheet'!K251,"AAAAAGX/vx4=")</f>
        <v>1</v>
      </c>
      <c r="AF132" t="b">
        <f>AND('Black &amp; White load sheet'!L251,"AAAAAGX/vx8=")</f>
        <v>0</v>
      </c>
      <c r="AG132" t="b">
        <f>AND('Black &amp; White load sheet'!M251,"AAAAAGX/vyA=")</f>
        <v>1</v>
      </c>
      <c r="AH132" t="b">
        <f>AND('Black &amp; White load sheet'!N251,"AAAAAGX/vyE=")</f>
        <v>1</v>
      </c>
      <c r="AI132" t="b">
        <f>AND('Black &amp; White load sheet'!O251,"AAAAAGX/vyI=")</f>
        <v>1</v>
      </c>
      <c r="AJ132">
        <f>IF('Black &amp; White load sheet'!252:252,"AAAAAGX/vyM=",0)</f>
        <v>0</v>
      </c>
      <c r="AK132" t="b">
        <f>AND('Black &amp; White load sheet'!A252,"AAAAAGX/vyQ=")</f>
        <v>1</v>
      </c>
      <c r="AL132" t="b">
        <f>AND('Black &amp; White load sheet'!B252,"AAAAAGX/vyU=")</f>
        <v>1</v>
      </c>
      <c r="AM132" t="b">
        <f>AND('Black &amp; White load sheet'!C252,"AAAAAGX/vyY=")</f>
        <v>0</v>
      </c>
      <c r="AN132" t="b">
        <f>AND('Black &amp; White load sheet'!D252,"AAAAAGX/vyc=")</f>
        <v>0</v>
      </c>
      <c r="AO132" t="b">
        <f>AND('Black &amp; White load sheet'!E252,"AAAAAGX/vyg=")</f>
        <v>1</v>
      </c>
      <c r="AP132" t="b">
        <f>AND('Black &amp; White load sheet'!F252,"AAAAAGX/vyk=")</f>
        <v>0</v>
      </c>
      <c r="AQ132" t="b">
        <f>AND('Black &amp; White load sheet'!G252,"AAAAAGX/vyo=")</f>
        <v>1</v>
      </c>
      <c r="AR132" t="b">
        <f>AND('Black &amp; White load sheet'!H252,"AAAAAGX/vys=")</f>
        <v>1</v>
      </c>
      <c r="AS132" t="b">
        <f>AND('Black &amp; White load sheet'!I252,"AAAAAGX/vyw=")</f>
        <v>0</v>
      </c>
      <c r="AT132" t="b">
        <f>AND('Black &amp; White load sheet'!J252,"AAAAAGX/vy0=")</f>
        <v>1</v>
      </c>
      <c r="AU132" t="b">
        <f>AND('Black &amp; White load sheet'!K252,"AAAAAGX/vy4=")</f>
        <v>0</v>
      </c>
      <c r="AV132" t="b">
        <f>AND('Black &amp; White load sheet'!L252,"AAAAAGX/vy8=")</f>
        <v>0</v>
      </c>
      <c r="AW132" t="b">
        <f>AND('Black &amp; White load sheet'!M252,"AAAAAGX/vzA=")</f>
        <v>1</v>
      </c>
      <c r="AX132" t="b">
        <f>AND('Black &amp; White load sheet'!N252,"AAAAAGX/vzE=")</f>
        <v>1</v>
      </c>
      <c r="AY132" t="b">
        <f>AND('Black &amp; White load sheet'!O252,"AAAAAGX/vzI=")</f>
        <v>1</v>
      </c>
      <c r="AZ132">
        <f>IF('Black &amp; White load sheet'!253:253,"AAAAAGX/vzM=",0)</f>
        <v>0</v>
      </c>
      <c r="BA132" t="b">
        <f>AND('Black &amp; White load sheet'!A253,"AAAAAGX/vzQ=")</f>
        <v>1</v>
      </c>
      <c r="BB132" t="b">
        <f>AND('Black &amp; White load sheet'!B253,"AAAAAGX/vzU=")</f>
        <v>1</v>
      </c>
      <c r="BC132" t="b">
        <f>AND('Black &amp; White load sheet'!C253,"AAAAAGX/vzY=")</f>
        <v>0</v>
      </c>
      <c r="BD132" t="b">
        <f>AND('Black &amp; White load sheet'!D253,"AAAAAGX/vzc=")</f>
        <v>0</v>
      </c>
      <c r="BE132" t="b">
        <f>AND('Black &amp; White load sheet'!E253,"AAAAAGX/vzg=")</f>
        <v>1</v>
      </c>
      <c r="BF132" t="b">
        <f>AND('Black &amp; White load sheet'!F253,"AAAAAGX/vzk=")</f>
        <v>0</v>
      </c>
      <c r="BG132" t="b">
        <f>AND('Black &amp; White load sheet'!G253,"AAAAAGX/vzo=")</f>
        <v>1</v>
      </c>
      <c r="BH132" t="b">
        <f>AND('Black &amp; White load sheet'!H253,"AAAAAGX/vzs=")</f>
        <v>1</v>
      </c>
      <c r="BI132" t="b">
        <f>AND('Black &amp; White load sheet'!I253,"AAAAAGX/vzw=")</f>
        <v>1</v>
      </c>
      <c r="BJ132" t="b">
        <f>AND('Black &amp; White load sheet'!J253,"AAAAAGX/vz0=")</f>
        <v>0</v>
      </c>
      <c r="BK132" t="b">
        <f>AND('Black &amp; White load sheet'!K253,"AAAAAGX/vz4=")</f>
        <v>0</v>
      </c>
      <c r="BL132" t="b">
        <f>AND('Black &amp; White load sheet'!L253,"AAAAAGX/vz8=")</f>
        <v>0</v>
      </c>
      <c r="BM132" t="b">
        <f>AND('Black &amp; White load sheet'!M253,"AAAAAGX/v0A=")</f>
        <v>1</v>
      </c>
      <c r="BN132" t="b">
        <f>AND('Black &amp; White load sheet'!N253,"AAAAAGX/v0E=")</f>
        <v>1</v>
      </c>
      <c r="BO132" t="b">
        <f>AND('Black &amp; White load sheet'!O253,"AAAAAGX/v0I=")</f>
        <v>1</v>
      </c>
      <c r="BP132">
        <f>IF('Black &amp; White load sheet'!254:254,"AAAAAGX/v0M=",0)</f>
        <v>0</v>
      </c>
      <c r="BQ132" t="b">
        <f>AND('Black &amp; White load sheet'!A254,"AAAAAGX/v0Q=")</f>
        <v>1</v>
      </c>
      <c r="BR132" t="b">
        <f>AND('Black &amp; White load sheet'!B254,"AAAAAGX/v0U=")</f>
        <v>1</v>
      </c>
      <c r="BS132" t="b">
        <f>AND('Black &amp; White load sheet'!C254,"AAAAAGX/v0Y=")</f>
        <v>1</v>
      </c>
      <c r="BT132" t="b">
        <f>AND('Black &amp; White load sheet'!D254,"AAAAAGX/v0c=")</f>
        <v>0</v>
      </c>
      <c r="BU132" t="b">
        <f>AND('Black &amp; White load sheet'!E254,"AAAAAGX/v0g=")</f>
        <v>0</v>
      </c>
      <c r="BV132" t="b">
        <f>AND('Black &amp; White load sheet'!F254,"AAAAAGX/v0k=")</f>
        <v>0</v>
      </c>
      <c r="BW132" t="b">
        <f>AND('Black &amp; White load sheet'!G254,"AAAAAGX/v0o=")</f>
        <v>0</v>
      </c>
      <c r="BX132" t="b">
        <f>AND('Black &amp; White load sheet'!H254,"AAAAAGX/v0s=")</f>
        <v>0</v>
      </c>
      <c r="BY132" t="b">
        <f>AND('Black &amp; White load sheet'!I254,"AAAAAGX/v0w=")</f>
        <v>0</v>
      </c>
      <c r="BZ132" t="b">
        <f>AND('Black &amp; White load sheet'!J254,"AAAAAGX/v00=")</f>
        <v>0</v>
      </c>
      <c r="CA132" t="b">
        <f>AND('Black &amp; White load sheet'!K254,"AAAAAGX/v04=")</f>
        <v>0</v>
      </c>
      <c r="CB132" t="b">
        <f>AND('Black &amp; White load sheet'!L254,"AAAAAGX/v08=")</f>
        <v>0</v>
      </c>
      <c r="CC132" t="b">
        <f>AND('Black &amp; White load sheet'!M254,"AAAAAGX/v1A=")</f>
        <v>1</v>
      </c>
      <c r="CD132" t="b">
        <f>AND('Black &amp; White load sheet'!N254,"AAAAAGX/v1E=")</f>
        <v>1</v>
      </c>
      <c r="CE132" t="b">
        <f>AND('Black &amp; White load sheet'!O254,"AAAAAGX/v1I=")</f>
        <v>1</v>
      </c>
      <c r="CF132">
        <f>IF('Black &amp; White load sheet'!255:255,"AAAAAGX/v1M=",0)</f>
        <v>0</v>
      </c>
      <c r="CG132" t="b">
        <f>AND('Black &amp; White load sheet'!A255,"AAAAAGX/v1Q=")</f>
        <v>1</v>
      </c>
      <c r="CH132" t="b">
        <f>AND('Black &amp; White load sheet'!B255,"AAAAAGX/v1U=")</f>
        <v>1</v>
      </c>
      <c r="CI132" t="b">
        <f>AND('Black &amp; White load sheet'!C255,"AAAAAGX/v1Y=")</f>
        <v>1</v>
      </c>
      <c r="CJ132" t="b">
        <f>AND('Black &amp; White load sheet'!D255,"AAAAAGX/v1c=")</f>
        <v>0</v>
      </c>
      <c r="CK132" t="b">
        <f>AND('Black &amp; White load sheet'!E255,"AAAAAGX/v1g=")</f>
        <v>0</v>
      </c>
      <c r="CL132" t="b">
        <f>AND('Black &amp; White load sheet'!F255,"AAAAAGX/v1k=")</f>
        <v>0</v>
      </c>
      <c r="CM132" t="b">
        <f>AND('Black &amp; White load sheet'!G255,"AAAAAGX/v1o=")</f>
        <v>0</v>
      </c>
      <c r="CN132" t="b">
        <f>AND('Black &amp; White load sheet'!H255,"AAAAAGX/v1s=")</f>
        <v>0</v>
      </c>
      <c r="CO132" t="b">
        <f>AND('Black &amp; White load sheet'!I255,"AAAAAGX/v1w=")</f>
        <v>0</v>
      </c>
      <c r="CP132" t="b">
        <f>AND('Black &amp; White load sheet'!J255,"AAAAAGX/v10=")</f>
        <v>0</v>
      </c>
      <c r="CQ132" t="b">
        <f>AND('Black &amp; White load sheet'!K255,"AAAAAGX/v14=")</f>
        <v>0</v>
      </c>
      <c r="CR132" t="b">
        <f>AND('Black &amp; White load sheet'!L255,"AAAAAGX/v18=")</f>
        <v>1</v>
      </c>
      <c r="CS132" t="b">
        <f>AND('Black &amp; White load sheet'!M255,"AAAAAGX/v2A=")</f>
        <v>1</v>
      </c>
      <c r="CT132" t="b">
        <f>AND('Black &amp; White load sheet'!N255,"AAAAAGX/v2E=")</f>
        <v>1</v>
      </c>
      <c r="CU132" t="b">
        <f>AND('Black &amp; White load sheet'!O255,"AAAAAGX/v2I=")</f>
        <v>1</v>
      </c>
      <c r="CV132">
        <f>IF('Black &amp; White load sheet'!256:256,"AAAAAGX/v2M=",0)</f>
        <v>0</v>
      </c>
      <c r="CW132" t="b">
        <f>AND('Black &amp; White load sheet'!A256,"AAAAAGX/v2Q=")</f>
        <v>1</v>
      </c>
      <c r="CX132" t="b">
        <f>AND('Black &amp; White load sheet'!B256,"AAAAAGX/v2U=")</f>
        <v>1</v>
      </c>
      <c r="CY132" t="b">
        <f>AND('Black &amp; White load sheet'!C256,"AAAAAGX/v2Y=")</f>
        <v>1</v>
      </c>
      <c r="CZ132" t="b">
        <f>AND('Black &amp; White load sheet'!D256,"AAAAAGX/v2c=")</f>
        <v>0</v>
      </c>
      <c r="DA132" t="b">
        <f>AND('Black &amp; White load sheet'!E256,"AAAAAGX/v2g=")</f>
        <v>0</v>
      </c>
      <c r="DB132" t="b">
        <f>AND('Black &amp; White load sheet'!F256,"AAAAAGX/v2k=")</f>
        <v>0</v>
      </c>
      <c r="DC132" t="b">
        <f>AND('Black &amp; White load sheet'!G256,"AAAAAGX/v2o=")</f>
        <v>0</v>
      </c>
      <c r="DD132" t="b">
        <f>AND('Black &amp; White load sheet'!H256,"AAAAAGX/v2s=")</f>
        <v>0</v>
      </c>
      <c r="DE132" t="b">
        <f>AND('Black &amp; White load sheet'!I256,"AAAAAGX/v2w=")</f>
        <v>0</v>
      </c>
      <c r="DF132" t="b">
        <f>AND('Black &amp; White load sheet'!J256,"AAAAAGX/v20=")</f>
        <v>0</v>
      </c>
      <c r="DG132" t="b">
        <f>AND('Black &amp; White load sheet'!K256,"AAAAAGX/v24=")</f>
        <v>1</v>
      </c>
      <c r="DH132" t="b">
        <f>AND('Black &amp; White load sheet'!L256,"AAAAAGX/v28=")</f>
        <v>0</v>
      </c>
      <c r="DI132" t="b">
        <f>AND('Black &amp; White load sheet'!M256,"AAAAAGX/v3A=")</f>
        <v>1</v>
      </c>
      <c r="DJ132" t="b">
        <f>AND('Black &amp; White load sheet'!N256,"AAAAAGX/v3E=")</f>
        <v>1</v>
      </c>
      <c r="DK132" t="b">
        <f>AND('Black &amp; White load sheet'!O256,"AAAAAGX/v3I=")</f>
        <v>1</v>
      </c>
      <c r="DL132">
        <f>IF('Black &amp; White load sheet'!257:257,"AAAAAGX/v3M=",0)</f>
        <v>0</v>
      </c>
      <c r="DM132" t="b">
        <f>AND('Black &amp; White load sheet'!A257,"AAAAAGX/v3Q=")</f>
        <v>1</v>
      </c>
      <c r="DN132" t="b">
        <f>AND('Black &amp; White load sheet'!B257,"AAAAAGX/v3U=")</f>
        <v>1</v>
      </c>
      <c r="DO132" t="b">
        <f>AND('Black &amp; White load sheet'!C257,"AAAAAGX/v3Y=")</f>
        <v>1</v>
      </c>
      <c r="DP132" t="b">
        <f>AND('Black &amp; White load sheet'!D257,"AAAAAGX/v3c=")</f>
        <v>0</v>
      </c>
      <c r="DQ132" t="b">
        <f>AND('Black &amp; White load sheet'!E257,"AAAAAGX/v3g=")</f>
        <v>0</v>
      </c>
      <c r="DR132" t="b">
        <f>AND('Black &amp; White load sheet'!F257,"AAAAAGX/v3k=")</f>
        <v>0</v>
      </c>
      <c r="DS132" t="b">
        <f>AND('Black &amp; White load sheet'!G257,"AAAAAGX/v3o=")</f>
        <v>0</v>
      </c>
      <c r="DT132" t="b">
        <f>AND('Black &amp; White load sheet'!H257,"AAAAAGX/v3s=")</f>
        <v>0</v>
      </c>
      <c r="DU132" t="b">
        <f>AND('Black &amp; White load sheet'!I257,"AAAAAGX/v3w=")</f>
        <v>0</v>
      </c>
      <c r="DV132" t="b">
        <f>AND('Black &amp; White load sheet'!J257,"AAAAAGX/v30=")</f>
        <v>1</v>
      </c>
      <c r="DW132" t="b">
        <f>AND('Black &amp; White load sheet'!K257,"AAAAAGX/v34=")</f>
        <v>0</v>
      </c>
      <c r="DX132" t="b">
        <f>AND('Black &amp; White load sheet'!L257,"AAAAAGX/v38=")</f>
        <v>0</v>
      </c>
      <c r="DY132" t="b">
        <f>AND('Black &amp; White load sheet'!M257,"AAAAAGX/v4A=")</f>
        <v>1</v>
      </c>
      <c r="DZ132" t="b">
        <f>AND('Black &amp; White load sheet'!N257,"AAAAAGX/v4E=")</f>
        <v>1</v>
      </c>
      <c r="EA132" t="b">
        <f>AND('Black &amp; White load sheet'!O257,"AAAAAGX/v4I=")</f>
        <v>1</v>
      </c>
      <c r="EB132">
        <f>IF('Black &amp; White load sheet'!258:258,"AAAAAGX/v4M=",0)</f>
        <v>0</v>
      </c>
      <c r="EC132" t="b">
        <f>AND('Black &amp; White load sheet'!A258,"AAAAAGX/v4Q=")</f>
        <v>1</v>
      </c>
      <c r="ED132" t="b">
        <f>AND('Black &amp; White load sheet'!B258,"AAAAAGX/v4U=")</f>
        <v>1</v>
      </c>
      <c r="EE132" t="b">
        <f>AND('Black &amp; White load sheet'!C258,"AAAAAGX/v4Y=")</f>
        <v>1</v>
      </c>
      <c r="EF132" t="b">
        <f>AND('Black &amp; White load sheet'!D258,"AAAAAGX/v4c=")</f>
        <v>0</v>
      </c>
      <c r="EG132" t="b">
        <f>AND('Black &amp; White load sheet'!E258,"AAAAAGX/v4g=")</f>
        <v>0</v>
      </c>
      <c r="EH132" t="b">
        <f>AND('Black &amp; White load sheet'!F258,"AAAAAGX/v4k=")</f>
        <v>0</v>
      </c>
      <c r="EI132" t="b">
        <f>AND('Black &amp; White load sheet'!G258,"AAAAAGX/v4o=")</f>
        <v>0</v>
      </c>
      <c r="EJ132" t="b">
        <f>AND('Black &amp; White load sheet'!H258,"AAAAAGX/v4s=")</f>
        <v>0</v>
      </c>
      <c r="EK132" t="b">
        <f>AND('Black &amp; White load sheet'!I258,"AAAAAGX/v4w=")</f>
        <v>1</v>
      </c>
      <c r="EL132" t="b">
        <f>AND('Black &amp; White load sheet'!J258,"AAAAAGX/v40=")</f>
        <v>0</v>
      </c>
      <c r="EM132" t="b">
        <f>AND('Black &amp; White load sheet'!K258,"AAAAAGX/v44=")</f>
        <v>0</v>
      </c>
      <c r="EN132" t="b">
        <f>AND('Black &amp; White load sheet'!L258,"AAAAAGX/v48=")</f>
        <v>0</v>
      </c>
      <c r="EO132" t="b">
        <f>AND('Black &amp; White load sheet'!M258,"AAAAAGX/v5A=")</f>
        <v>1</v>
      </c>
      <c r="EP132" t="b">
        <f>AND('Black &amp; White load sheet'!N258,"AAAAAGX/v5E=")</f>
        <v>1</v>
      </c>
      <c r="EQ132" t="b">
        <f>AND('Black &amp; White load sheet'!O258,"AAAAAGX/v5I=")</f>
        <v>1</v>
      </c>
      <c r="ER132">
        <f>IF('Black &amp; White load sheet'!259:259,"AAAAAGX/v5M=",0)</f>
        <v>0</v>
      </c>
      <c r="ES132" t="b">
        <f>AND('Black &amp; White load sheet'!A259,"AAAAAGX/v5Q=")</f>
        <v>1</v>
      </c>
      <c r="ET132" t="b">
        <f>AND('Black &amp; White load sheet'!B259,"AAAAAGX/v5U=")</f>
        <v>1</v>
      </c>
      <c r="EU132" t="b">
        <f>AND('Black &amp; White load sheet'!C259,"AAAAAGX/v5Y=")</f>
        <v>1</v>
      </c>
      <c r="EV132" t="b">
        <f>AND('Black &amp; White load sheet'!D259,"AAAAAGX/v5c=")</f>
        <v>0</v>
      </c>
      <c r="EW132" t="b">
        <f>AND('Black &amp; White load sheet'!E259,"AAAAAGX/v5g=")</f>
        <v>0</v>
      </c>
      <c r="EX132" t="b">
        <f>AND('Black &amp; White load sheet'!F259,"AAAAAGX/v5k=")</f>
        <v>0</v>
      </c>
      <c r="EY132" t="b">
        <f>AND('Black &amp; White load sheet'!G259,"AAAAAGX/v5o=")</f>
        <v>0</v>
      </c>
      <c r="EZ132" t="b">
        <f>AND('Black &amp; White load sheet'!H259,"AAAAAGX/v5s=")</f>
        <v>1</v>
      </c>
      <c r="FA132" t="b">
        <f>AND('Black &amp; White load sheet'!I259,"AAAAAGX/v5w=")</f>
        <v>0</v>
      </c>
      <c r="FB132" t="b">
        <f>AND('Black &amp; White load sheet'!J259,"AAAAAGX/v50=")</f>
        <v>0</v>
      </c>
      <c r="FC132" t="b">
        <f>AND('Black &amp; White load sheet'!K259,"AAAAAGX/v54=")</f>
        <v>0</v>
      </c>
      <c r="FD132" t="b">
        <f>AND('Black &amp; White load sheet'!L259,"AAAAAGX/v58=")</f>
        <v>0</v>
      </c>
      <c r="FE132" t="b">
        <f>AND('Black &amp; White load sheet'!M259,"AAAAAGX/v6A=")</f>
        <v>1</v>
      </c>
      <c r="FF132" t="b">
        <f>AND('Black &amp; White load sheet'!N259,"AAAAAGX/v6E=")</f>
        <v>1</v>
      </c>
      <c r="FG132" t="b">
        <f>AND('Black &amp; White load sheet'!O259,"AAAAAGX/v6I=")</f>
        <v>1</v>
      </c>
      <c r="FH132">
        <f>IF('Black &amp; White load sheet'!260:260,"AAAAAGX/v6M=",0)</f>
        <v>0</v>
      </c>
      <c r="FI132" t="b">
        <f>AND('Black &amp; White load sheet'!A260,"AAAAAGX/v6Q=")</f>
        <v>1</v>
      </c>
      <c r="FJ132" t="b">
        <f>AND('Black &amp; White load sheet'!B260,"AAAAAGX/v6U=")</f>
        <v>1</v>
      </c>
      <c r="FK132" t="b">
        <f>AND('Black &amp; White load sheet'!C260,"AAAAAGX/v6Y=")</f>
        <v>1</v>
      </c>
      <c r="FL132" t="b">
        <f>AND('Black &amp; White load sheet'!D260,"AAAAAGX/v6c=")</f>
        <v>0</v>
      </c>
      <c r="FM132" t="b">
        <f>AND('Black &amp; White load sheet'!E260,"AAAAAGX/v6g=")</f>
        <v>0</v>
      </c>
      <c r="FN132" t="b">
        <f>AND('Black &amp; White load sheet'!F260,"AAAAAGX/v6k=")</f>
        <v>0</v>
      </c>
      <c r="FO132" t="b">
        <f>AND('Black &amp; White load sheet'!G260,"AAAAAGX/v6o=")</f>
        <v>0</v>
      </c>
      <c r="FP132" t="b">
        <f>AND('Black &amp; White load sheet'!H260,"AAAAAGX/v6s=")</f>
        <v>1</v>
      </c>
      <c r="FQ132" t="b">
        <f>AND('Black &amp; White load sheet'!I260,"AAAAAGX/v6w=")</f>
        <v>0</v>
      </c>
      <c r="FR132" t="b">
        <f>AND('Black &amp; White load sheet'!J260,"AAAAAGX/v60=")</f>
        <v>0</v>
      </c>
      <c r="FS132" t="b">
        <f>AND('Black &amp; White load sheet'!K260,"AAAAAGX/v64=")</f>
        <v>0</v>
      </c>
      <c r="FT132" t="b">
        <f>AND('Black &amp; White load sheet'!L260,"AAAAAGX/v68=")</f>
        <v>1</v>
      </c>
      <c r="FU132" t="b">
        <f>AND('Black &amp; White load sheet'!M260,"AAAAAGX/v7A=")</f>
        <v>1</v>
      </c>
      <c r="FV132" t="b">
        <f>AND('Black &amp; White load sheet'!N260,"AAAAAGX/v7E=")</f>
        <v>1</v>
      </c>
      <c r="FW132" t="b">
        <f>AND('Black &amp; White load sheet'!O260,"AAAAAGX/v7I=")</f>
        <v>1</v>
      </c>
      <c r="FX132">
        <f>IF('Black &amp; White load sheet'!261:261,"AAAAAGX/v7M=",0)</f>
        <v>0</v>
      </c>
      <c r="FY132" t="b">
        <f>AND('Black &amp; White load sheet'!A261,"AAAAAGX/v7Q=")</f>
        <v>1</v>
      </c>
      <c r="FZ132" t="b">
        <f>AND('Black &amp; White load sheet'!B261,"AAAAAGX/v7U=")</f>
        <v>1</v>
      </c>
      <c r="GA132" t="b">
        <f>AND('Black &amp; White load sheet'!C261,"AAAAAGX/v7Y=")</f>
        <v>1</v>
      </c>
      <c r="GB132" t="b">
        <f>AND('Black &amp; White load sheet'!D261,"AAAAAGX/v7c=")</f>
        <v>0</v>
      </c>
      <c r="GC132" t="b">
        <f>AND('Black &amp; White load sheet'!E261,"AAAAAGX/v7g=")</f>
        <v>0</v>
      </c>
      <c r="GD132" t="b">
        <f>AND('Black &amp; White load sheet'!F261,"AAAAAGX/v7k=")</f>
        <v>0</v>
      </c>
      <c r="GE132" t="b">
        <f>AND('Black &amp; White load sheet'!G261,"AAAAAGX/v7o=")</f>
        <v>0</v>
      </c>
      <c r="GF132" t="b">
        <f>AND('Black &amp; White load sheet'!H261,"AAAAAGX/v7s=")</f>
        <v>1</v>
      </c>
      <c r="GG132" t="b">
        <f>AND('Black &amp; White load sheet'!I261,"AAAAAGX/v7w=")</f>
        <v>0</v>
      </c>
      <c r="GH132" t="b">
        <f>AND('Black &amp; White load sheet'!J261,"AAAAAGX/v70=")</f>
        <v>0</v>
      </c>
      <c r="GI132" t="b">
        <f>AND('Black &amp; White load sheet'!K261,"AAAAAGX/v74=")</f>
        <v>1</v>
      </c>
      <c r="GJ132" t="b">
        <f>AND('Black &amp; White load sheet'!L261,"AAAAAGX/v78=")</f>
        <v>0</v>
      </c>
      <c r="GK132" t="b">
        <f>AND('Black &amp; White load sheet'!M261,"AAAAAGX/v8A=")</f>
        <v>1</v>
      </c>
      <c r="GL132" t="b">
        <f>AND('Black &amp; White load sheet'!N261,"AAAAAGX/v8E=")</f>
        <v>1</v>
      </c>
      <c r="GM132" t="b">
        <f>AND('Black &amp; White load sheet'!O261,"AAAAAGX/v8I=")</f>
        <v>1</v>
      </c>
      <c r="GN132">
        <f>IF('Black &amp; White load sheet'!262:262,"AAAAAGX/v8M=",0)</f>
        <v>0</v>
      </c>
      <c r="GO132" t="b">
        <f>AND('Black &amp; White load sheet'!A262,"AAAAAGX/v8Q=")</f>
        <v>1</v>
      </c>
      <c r="GP132" t="b">
        <f>AND('Black &amp; White load sheet'!B262,"AAAAAGX/v8U=")</f>
        <v>1</v>
      </c>
      <c r="GQ132" t="b">
        <f>AND('Black &amp; White load sheet'!C262,"AAAAAGX/v8Y=")</f>
        <v>1</v>
      </c>
      <c r="GR132" t="b">
        <f>AND('Black &amp; White load sheet'!D262,"AAAAAGX/v8c=")</f>
        <v>0</v>
      </c>
      <c r="GS132" t="b">
        <f>AND('Black &amp; White load sheet'!E262,"AAAAAGX/v8g=")</f>
        <v>0</v>
      </c>
      <c r="GT132" t="b">
        <f>AND('Black &amp; White load sheet'!F262,"AAAAAGX/v8k=")</f>
        <v>0</v>
      </c>
      <c r="GU132" t="b">
        <f>AND('Black &amp; White load sheet'!G262,"AAAAAGX/v8o=")</f>
        <v>0</v>
      </c>
      <c r="GV132" t="b">
        <f>AND('Black &amp; White load sheet'!H262,"AAAAAGX/v8s=")</f>
        <v>1</v>
      </c>
      <c r="GW132" t="b">
        <f>AND('Black &amp; White load sheet'!I262,"AAAAAGX/v8w=")</f>
        <v>0</v>
      </c>
      <c r="GX132" t="b">
        <f>AND('Black &amp; White load sheet'!J262,"AAAAAGX/v80=")</f>
        <v>1</v>
      </c>
      <c r="GY132" t="b">
        <f>AND('Black &amp; White load sheet'!K262,"AAAAAGX/v84=")</f>
        <v>0</v>
      </c>
      <c r="GZ132" t="b">
        <f>AND('Black &amp; White load sheet'!L262,"AAAAAGX/v88=")</f>
        <v>0</v>
      </c>
      <c r="HA132" t="b">
        <f>AND('Black &amp; White load sheet'!M262,"AAAAAGX/v9A=")</f>
        <v>1</v>
      </c>
      <c r="HB132" t="b">
        <f>AND('Black &amp; White load sheet'!N262,"AAAAAGX/v9E=")</f>
        <v>1</v>
      </c>
      <c r="HC132" t="b">
        <f>AND('Black &amp; White load sheet'!O262,"AAAAAGX/v9I=")</f>
        <v>1</v>
      </c>
      <c r="HD132">
        <f>IF('Black &amp; White load sheet'!263:263,"AAAAAGX/v9M=",0)</f>
        <v>0</v>
      </c>
      <c r="HE132" t="b">
        <f>AND('Black &amp; White load sheet'!A263,"AAAAAGX/v9Q=")</f>
        <v>1</v>
      </c>
      <c r="HF132" t="b">
        <f>AND('Black &amp; White load sheet'!B263,"AAAAAGX/v9U=")</f>
        <v>1</v>
      </c>
      <c r="HG132" t="b">
        <f>AND('Black &amp; White load sheet'!C263,"AAAAAGX/v9Y=")</f>
        <v>1</v>
      </c>
      <c r="HH132" t="b">
        <f>AND('Black &amp; White load sheet'!D263,"AAAAAGX/v9c=")</f>
        <v>0</v>
      </c>
      <c r="HI132" t="b">
        <f>AND('Black &amp; White load sheet'!E263,"AAAAAGX/v9g=")</f>
        <v>0</v>
      </c>
      <c r="HJ132" t="b">
        <f>AND('Black &amp; White load sheet'!F263,"AAAAAGX/v9k=")</f>
        <v>0</v>
      </c>
      <c r="HK132" t="b">
        <f>AND('Black &amp; White load sheet'!G263,"AAAAAGX/v9o=")</f>
        <v>0</v>
      </c>
      <c r="HL132" t="b">
        <f>AND('Black &amp; White load sheet'!H263,"AAAAAGX/v9s=")</f>
        <v>1</v>
      </c>
      <c r="HM132" t="b">
        <f>AND('Black &amp; White load sheet'!I263,"AAAAAGX/v9w=")</f>
        <v>1</v>
      </c>
      <c r="HN132" t="b">
        <f>AND('Black &amp; White load sheet'!J263,"AAAAAGX/v90=")</f>
        <v>0</v>
      </c>
      <c r="HO132" t="b">
        <f>AND('Black &amp; White load sheet'!K263,"AAAAAGX/v94=")</f>
        <v>0</v>
      </c>
      <c r="HP132" t="b">
        <f>AND('Black &amp; White load sheet'!L263,"AAAAAGX/v98=")</f>
        <v>0</v>
      </c>
      <c r="HQ132" t="b">
        <f>AND('Black &amp; White load sheet'!M263,"AAAAAGX/v+A=")</f>
        <v>1</v>
      </c>
      <c r="HR132" t="b">
        <f>AND('Black &amp; White load sheet'!N263,"AAAAAGX/v+E=")</f>
        <v>1</v>
      </c>
      <c r="HS132" t="b">
        <f>AND('Black &amp; White load sheet'!O263,"AAAAAGX/v+I=")</f>
        <v>1</v>
      </c>
      <c r="HT132">
        <f>IF('Black &amp; White load sheet'!264:264,"AAAAAGX/v+M=",0)</f>
        <v>0</v>
      </c>
      <c r="HU132" t="b">
        <f>AND('Black &amp; White load sheet'!A264,"AAAAAGX/v+Q=")</f>
        <v>1</v>
      </c>
      <c r="HV132" t="b">
        <f>AND('Black &amp; White load sheet'!B264,"AAAAAGX/v+U=")</f>
        <v>1</v>
      </c>
      <c r="HW132" t="b">
        <f>AND('Black &amp; White load sheet'!C264,"AAAAAGX/v+Y=")</f>
        <v>1</v>
      </c>
      <c r="HX132" t="b">
        <f>AND('Black &amp; White load sheet'!D264,"AAAAAGX/v+c=")</f>
        <v>0</v>
      </c>
      <c r="HY132" t="b">
        <f>AND('Black &amp; White load sheet'!E264,"AAAAAGX/v+g=")</f>
        <v>0</v>
      </c>
      <c r="HZ132" t="b">
        <f>AND('Black &amp; White load sheet'!F264,"AAAAAGX/v+k=")</f>
        <v>0</v>
      </c>
      <c r="IA132" t="b">
        <f>AND('Black &amp; White load sheet'!G264,"AAAAAGX/v+o=")</f>
        <v>1</v>
      </c>
      <c r="IB132" t="b">
        <f>AND('Black &amp; White load sheet'!H264,"AAAAAGX/v+s=")</f>
        <v>0</v>
      </c>
      <c r="IC132" t="b">
        <f>AND('Black &amp; White load sheet'!I264,"AAAAAGX/v+w=")</f>
        <v>0</v>
      </c>
      <c r="ID132" t="b">
        <f>AND('Black &amp; White load sheet'!J264,"AAAAAGX/v+0=")</f>
        <v>0</v>
      </c>
      <c r="IE132" t="b">
        <f>AND('Black &amp; White load sheet'!K264,"AAAAAGX/v+4=")</f>
        <v>0</v>
      </c>
      <c r="IF132" t="b">
        <f>AND('Black &amp; White load sheet'!L264,"AAAAAGX/v+8=")</f>
        <v>0</v>
      </c>
      <c r="IG132" t="b">
        <f>AND('Black &amp; White load sheet'!M264,"AAAAAGX/v/A=")</f>
        <v>1</v>
      </c>
      <c r="IH132" t="b">
        <f>AND('Black &amp; White load sheet'!N264,"AAAAAGX/v/E=")</f>
        <v>1</v>
      </c>
      <c r="II132" t="b">
        <f>AND('Black &amp; White load sheet'!O264,"AAAAAGX/v/I=")</f>
        <v>1</v>
      </c>
      <c r="IJ132">
        <f>IF('Black &amp; White load sheet'!265:265,"AAAAAGX/v/M=",0)</f>
        <v>0</v>
      </c>
      <c r="IK132" t="b">
        <f>AND('Black &amp; White load sheet'!A265,"AAAAAGX/v/Q=")</f>
        <v>1</v>
      </c>
      <c r="IL132" t="b">
        <f>AND('Black &amp; White load sheet'!B265,"AAAAAGX/v/U=")</f>
        <v>1</v>
      </c>
      <c r="IM132" t="b">
        <f>AND('Black &amp; White load sheet'!C265,"AAAAAGX/v/Y=")</f>
        <v>1</v>
      </c>
      <c r="IN132" t="b">
        <f>AND('Black &amp; White load sheet'!D265,"AAAAAGX/v/c=")</f>
        <v>0</v>
      </c>
      <c r="IO132" t="b">
        <f>AND('Black &amp; White load sheet'!E265,"AAAAAGX/v/g=")</f>
        <v>0</v>
      </c>
      <c r="IP132" t="b">
        <f>AND('Black &amp; White load sheet'!F265,"AAAAAGX/v/k=")</f>
        <v>0</v>
      </c>
      <c r="IQ132" t="b">
        <f>AND('Black &amp; White load sheet'!G265,"AAAAAGX/v/o=")</f>
        <v>1</v>
      </c>
      <c r="IR132" t="b">
        <f>AND('Black &amp; White load sheet'!H265,"AAAAAGX/v/s=")</f>
        <v>0</v>
      </c>
      <c r="IS132" t="b">
        <f>AND('Black &amp; White load sheet'!I265,"AAAAAGX/v/w=")</f>
        <v>0</v>
      </c>
      <c r="IT132" t="b">
        <f>AND('Black &amp; White load sheet'!J265,"AAAAAGX/v/0=")</f>
        <v>0</v>
      </c>
      <c r="IU132" t="b">
        <f>AND('Black &amp; White load sheet'!K265,"AAAAAGX/v/4=")</f>
        <v>0</v>
      </c>
      <c r="IV132" t="b">
        <f>AND('Black &amp; White load sheet'!L265,"AAAAAGX/v/8=")</f>
        <v>1</v>
      </c>
    </row>
    <row r="133" spans="1:256">
      <c r="A133" t="b">
        <f>AND('Black &amp; White load sheet'!M265,"AAAAAHf7ewA=")</f>
        <v>1</v>
      </c>
      <c r="B133" t="b">
        <f>AND('Black &amp; White load sheet'!N265,"AAAAAHf7ewE=")</f>
        <v>1</v>
      </c>
      <c r="C133" t="b">
        <f>AND('Black &amp; White load sheet'!O265,"AAAAAHf7ewI=")</f>
        <v>1</v>
      </c>
      <c r="D133">
        <f>IF('Black &amp; White load sheet'!266:266,"AAAAAHf7ewM=",0)</f>
        <v>0</v>
      </c>
      <c r="E133" t="b">
        <f>AND('Black &amp; White load sheet'!A266,"AAAAAHf7ewQ=")</f>
        <v>1</v>
      </c>
      <c r="F133" t="b">
        <f>AND('Black &amp; White load sheet'!B266,"AAAAAHf7ewU=")</f>
        <v>1</v>
      </c>
      <c r="G133" t="b">
        <f>AND('Black &amp; White load sheet'!C266,"AAAAAHf7ewY=")</f>
        <v>1</v>
      </c>
      <c r="H133" t="b">
        <f>AND('Black &amp; White load sheet'!D266,"AAAAAHf7ewc=")</f>
        <v>0</v>
      </c>
      <c r="I133" t="b">
        <f>AND('Black &amp; White load sheet'!E266,"AAAAAHf7ewg=")</f>
        <v>0</v>
      </c>
      <c r="J133" t="b">
        <f>AND('Black &amp; White load sheet'!F266,"AAAAAHf7ewk=")</f>
        <v>0</v>
      </c>
      <c r="K133" t="b">
        <f>AND('Black &amp; White load sheet'!G266,"AAAAAHf7ewo=")</f>
        <v>1</v>
      </c>
      <c r="L133" t="b">
        <f>AND('Black &amp; White load sheet'!H266,"AAAAAHf7ews=")</f>
        <v>0</v>
      </c>
      <c r="M133" t="b">
        <f>AND('Black &amp; White load sheet'!I266,"AAAAAHf7eww=")</f>
        <v>0</v>
      </c>
      <c r="N133" t="b">
        <f>AND('Black &amp; White load sheet'!J266,"AAAAAHf7ew0=")</f>
        <v>0</v>
      </c>
      <c r="O133" t="b">
        <f>AND('Black &amp; White load sheet'!K266,"AAAAAHf7ew4=")</f>
        <v>1</v>
      </c>
      <c r="P133" t="b">
        <f>AND('Black &amp; White load sheet'!L266,"AAAAAHf7ew8=")</f>
        <v>0</v>
      </c>
      <c r="Q133" t="b">
        <f>AND('Black &amp; White load sheet'!M266,"AAAAAHf7exA=")</f>
        <v>1</v>
      </c>
      <c r="R133" t="b">
        <f>AND('Black &amp; White load sheet'!N266,"AAAAAHf7exE=")</f>
        <v>1</v>
      </c>
      <c r="S133" t="b">
        <f>AND('Black &amp; White load sheet'!O266,"AAAAAHf7exI=")</f>
        <v>1</v>
      </c>
      <c r="T133">
        <f>IF('Black &amp; White load sheet'!267:267,"AAAAAHf7exM=",0)</f>
        <v>0</v>
      </c>
      <c r="U133" t="b">
        <f>AND('Black &amp; White load sheet'!A267,"AAAAAHf7exQ=")</f>
        <v>1</v>
      </c>
      <c r="V133" t="b">
        <f>AND('Black &amp; White load sheet'!B267,"AAAAAHf7exU=")</f>
        <v>1</v>
      </c>
      <c r="W133" t="b">
        <f>AND('Black &amp; White load sheet'!C267,"AAAAAHf7exY=")</f>
        <v>1</v>
      </c>
      <c r="X133" t="b">
        <f>AND('Black &amp; White load sheet'!D267,"AAAAAHf7exc=")</f>
        <v>0</v>
      </c>
      <c r="Y133" t="b">
        <f>AND('Black &amp; White load sheet'!E267,"AAAAAHf7exg=")</f>
        <v>0</v>
      </c>
      <c r="Z133" t="b">
        <f>AND('Black &amp; White load sheet'!F267,"AAAAAHf7exk=")</f>
        <v>0</v>
      </c>
      <c r="AA133" t="b">
        <f>AND('Black &amp; White load sheet'!G267,"AAAAAHf7exo=")</f>
        <v>1</v>
      </c>
      <c r="AB133" t="b">
        <f>AND('Black &amp; White load sheet'!H267,"AAAAAHf7exs=")</f>
        <v>0</v>
      </c>
      <c r="AC133" t="b">
        <f>AND('Black &amp; White load sheet'!I267,"AAAAAHf7exw=")</f>
        <v>0</v>
      </c>
      <c r="AD133" t="b">
        <f>AND('Black &amp; White load sheet'!J267,"AAAAAHf7ex0=")</f>
        <v>1</v>
      </c>
      <c r="AE133" t="b">
        <f>AND('Black &amp; White load sheet'!K267,"AAAAAHf7ex4=")</f>
        <v>0</v>
      </c>
      <c r="AF133" t="b">
        <f>AND('Black &amp; White load sheet'!L267,"AAAAAHf7ex8=")</f>
        <v>0</v>
      </c>
      <c r="AG133" t="b">
        <f>AND('Black &amp; White load sheet'!M267,"AAAAAHf7eyA=")</f>
        <v>1</v>
      </c>
      <c r="AH133" t="b">
        <f>AND('Black &amp; White load sheet'!N267,"AAAAAHf7eyE=")</f>
        <v>1</v>
      </c>
      <c r="AI133" t="b">
        <f>AND('Black &amp; White load sheet'!O267,"AAAAAHf7eyI=")</f>
        <v>1</v>
      </c>
      <c r="AJ133">
        <f>IF('Black &amp; White load sheet'!268:268,"AAAAAHf7eyM=",0)</f>
        <v>0</v>
      </c>
      <c r="AK133" t="b">
        <f>AND('Black &amp; White load sheet'!A268,"AAAAAHf7eyQ=")</f>
        <v>1</v>
      </c>
      <c r="AL133" t="b">
        <f>AND('Black &amp; White load sheet'!B268,"AAAAAHf7eyU=")</f>
        <v>1</v>
      </c>
      <c r="AM133" t="b">
        <f>AND('Black &amp; White load sheet'!C268,"AAAAAHf7eyY=")</f>
        <v>1</v>
      </c>
      <c r="AN133" t="b">
        <f>AND('Black &amp; White load sheet'!D268,"AAAAAHf7eyc=")</f>
        <v>0</v>
      </c>
      <c r="AO133" t="b">
        <f>AND('Black &amp; White load sheet'!E268,"AAAAAHf7eyg=")</f>
        <v>0</v>
      </c>
      <c r="AP133" t="b">
        <f>AND('Black &amp; White load sheet'!F268,"AAAAAHf7eyk=")</f>
        <v>0</v>
      </c>
      <c r="AQ133" t="b">
        <f>AND('Black &amp; White load sheet'!G268,"AAAAAHf7eyo=")</f>
        <v>1</v>
      </c>
      <c r="AR133" t="b">
        <f>AND('Black &amp; White load sheet'!H268,"AAAAAHf7eys=")</f>
        <v>0</v>
      </c>
      <c r="AS133" t="b">
        <f>AND('Black &amp; White load sheet'!I268,"AAAAAHf7eyw=")</f>
        <v>1</v>
      </c>
      <c r="AT133" t="b">
        <f>AND('Black &amp; White load sheet'!J268,"AAAAAHf7ey0=")</f>
        <v>0</v>
      </c>
      <c r="AU133" t="b">
        <f>AND('Black &amp; White load sheet'!K268,"AAAAAHf7ey4=")</f>
        <v>0</v>
      </c>
      <c r="AV133" t="b">
        <f>AND('Black &amp; White load sheet'!L268,"AAAAAHf7ey8=")</f>
        <v>0</v>
      </c>
      <c r="AW133" t="b">
        <f>AND('Black &amp; White load sheet'!M268,"AAAAAHf7ezA=")</f>
        <v>1</v>
      </c>
      <c r="AX133" t="b">
        <f>AND('Black &amp; White load sheet'!N268,"AAAAAHf7ezE=")</f>
        <v>1</v>
      </c>
      <c r="AY133" t="b">
        <f>AND('Black &amp; White load sheet'!O268,"AAAAAHf7ezI=")</f>
        <v>1</v>
      </c>
      <c r="AZ133">
        <f>IF('Black &amp; White load sheet'!269:269,"AAAAAHf7ezM=",0)</f>
        <v>0</v>
      </c>
      <c r="BA133" t="b">
        <f>AND('Black &amp; White load sheet'!A269,"AAAAAHf7ezQ=")</f>
        <v>1</v>
      </c>
      <c r="BB133" t="b">
        <f>AND('Black &amp; White load sheet'!B269,"AAAAAHf7ezU=")</f>
        <v>1</v>
      </c>
      <c r="BC133" t="b">
        <f>AND('Black &amp; White load sheet'!C269,"AAAAAHf7ezY=")</f>
        <v>1</v>
      </c>
      <c r="BD133" t="b">
        <f>AND('Black &amp; White load sheet'!D269,"AAAAAHf7ezc=")</f>
        <v>0</v>
      </c>
      <c r="BE133" t="b">
        <f>AND('Black &amp; White load sheet'!E269,"AAAAAHf7ezg=")</f>
        <v>0</v>
      </c>
      <c r="BF133" t="b">
        <f>AND('Black &amp; White load sheet'!F269,"AAAAAHf7ezk=")</f>
        <v>0</v>
      </c>
      <c r="BG133" t="b">
        <f>AND('Black &amp; White load sheet'!G269,"AAAAAHf7ezo=")</f>
        <v>1</v>
      </c>
      <c r="BH133" t="b">
        <f>AND('Black &amp; White load sheet'!H269,"AAAAAHf7ezs=")</f>
        <v>1</v>
      </c>
      <c r="BI133" t="b">
        <f>AND('Black &amp; White load sheet'!I269,"AAAAAHf7ezw=")</f>
        <v>0</v>
      </c>
      <c r="BJ133" t="b">
        <f>AND('Black &amp; White load sheet'!J269,"AAAAAHf7ez0=")</f>
        <v>0</v>
      </c>
      <c r="BK133" t="b">
        <f>AND('Black &amp; White load sheet'!K269,"AAAAAHf7ez4=")</f>
        <v>0</v>
      </c>
      <c r="BL133" t="b">
        <f>AND('Black &amp; White load sheet'!L269,"AAAAAHf7ez8=")</f>
        <v>0</v>
      </c>
      <c r="BM133" t="b">
        <f>AND('Black &amp; White load sheet'!M269,"AAAAAHf7e0A=")</f>
        <v>1</v>
      </c>
      <c r="BN133" t="b">
        <f>AND('Black &amp; White load sheet'!N269,"AAAAAHf7e0E=")</f>
        <v>1</v>
      </c>
      <c r="BO133" t="b">
        <f>AND('Black &amp; White load sheet'!O269,"AAAAAHf7e0I=")</f>
        <v>1</v>
      </c>
      <c r="BP133">
        <f>IF('Black &amp; White load sheet'!270:270,"AAAAAHf7e0M=",0)</f>
        <v>0</v>
      </c>
      <c r="BQ133" t="b">
        <f>AND('Black &amp; White load sheet'!A270,"AAAAAHf7e0Q=")</f>
        <v>1</v>
      </c>
      <c r="BR133" t="b">
        <f>AND('Black &amp; White load sheet'!B270,"AAAAAHf7e0U=")</f>
        <v>1</v>
      </c>
      <c r="BS133" t="b">
        <f>AND('Black &amp; White load sheet'!C270,"AAAAAHf7e0Y=")</f>
        <v>1</v>
      </c>
      <c r="BT133" t="b">
        <f>AND('Black &amp; White load sheet'!D270,"AAAAAHf7e0c=")</f>
        <v>0</v>
      </c>
      <c r="BU133" t="b">
        <f>AND('Black &amp; White load sheet'!E270,"AAAAAHf7e0g=")</f>
        <v>0</v>
      </c>
      <c r="BV133" t="b">
        <f>AND('Black &amp; White load sheet'!F270,"AAAAAHf7e0k=")</f>
        <v>0</v>
      </c>
      <c r="BW133" t="b">
        <f>AND('Black &amp; White load sheet'!G270,"AAAAAHf7e0o=")</f>
        <v>1</v>
      </c>
      <c r="BX133" t="b">
        <f>AND('Black &amp; White load sheet'!H270,"AAAAAHf7e0s=")</f>
        <v>1</v>
      </c>
      <c r="BY133" t="b">
        <f>AND('Black &amp; White load sheet'!I270,"AAAAAHf7e0w=")</f>
        <v>0</v>
      </c>
      <c r="BZ133" t="b">
        <f>AND('Black &amp; White load sheet'!J270,"AAAAAHf7e00=")</f>
        <v>0</v>
      </c>
      <c r="CA133" t="b">
        <f>AND('Black &amp; White load sheet'!K270,"AAAAAHf7e04=")</f>
        <v>0</v>
      </c>
      <c r="CB133" t="b">
        <f>AND('Black &amp; White load sheet'!L270,"AAAAAHf7e08=")</f>
        <v>1</v>
      </c>
      <c r="CC133" t="b">
        <f>AND('Black &amp; White load sheet'!M270,"AAAAAHf7e1A=")</f>
        <v>1</v>
      </c>
      <c r="CD133" t="b">
        <f>AND('Black &amp; White load sheet'!N270,"AAAAAHf7e1E=")</f>
        <v>1</v>
      </c>
      <c r="CE133" t="b">
        <f>AND('Black &amp; White load sheet'!O270,"AAAAAHf7e1I=")</f>
        <v>1</v>
      </c>
      <c r="CF133">
        <f>IF('Black &amp; White load sheet'!271:271,"AAAAAHf7e1M=",0)</f>
        <v>0</v>
      </c>
      <c r="CG133" t="b">
        <f>AND('Black &amp; White load sheet'!A271,"AAAAAHf7e1Q=")</f>
        <v>1</v>
      </c>
      <c r="CH133" t="b">
        <f>AND('Black &amp; White load sheet'!B271,"AAAAAHf7e1U=")</f>
        <v>1</v>
      </c>
      <c r="CI133" t="b">
        <f>AND('Black &amp; White load sheet'!C271,"AAAAAHf7e1Y=")</f>
        <v>1</v>
      </c>
      <c r="CJ133" t="b">
        <f>AND('Black &amp; White load sheet'!D271,"AAAAAHf7e1c=")</f>
        <v>0</v>
      </c>
      <c r="CK133" t="b">
        <f>AND('Black &amp; White load sheet'!E271,"AAAAAHf7e1g=")</f>
        <v>0</v>
      </c>
      <c r="CL133" t="b">
        <f>AND('Black &amp; White load sheet'!F271,"AAAAAHf7e1k=")</f>
        <v>0</v>
      </c>
      <c r="CM133" t="b">
        <f>AND('Black &amp; White load sheet'!G271,"AAAAAHf7e1o=")</f>
        <v>1</v>
      </c>
      <c r="CN133" t="b">
        <f>AND('Black &amp; White load sheet'!H271,"AAAAAHf7e1s=")</f>
        <v>1</v>
      </c>
      <c r="CO133" t="b">
        <f>AND('Black &amp; White load sheet'!I271,"AAAAAHf7e1w=")</f>
        <v>0</v>
      </c>
      <c r="CP133" t="b">
        <f>AND('Black &amp; White load sheet'!J271,"AAAAAHf7e10=")</f>
        <v>0</v>
      </c>
      <c r="CQ133" t="b">
        <f>AND('Black &amp; White load sheet'!K271,"AAAAAHf7e14=")</f>
        <v>1</v>
      </c>
      <c r="CR133" t="b">
        <f>AND('Black &amp; White load sheet'!L271,"AAAAAHf7e18=")</f>
        <v>0</v>
      </c>
      <c r="CS133" t="b">
        <f>AND('Black &amp; White load sheet'!M271,"AAAAAHf7e2A=")</f>
        <v>1</v>
      </c>
      <c r="CT133" t="b">
        <f>AND('Black &amp; White load sheet'!N271,"AAAAAHf7e2E=")</f>
        <v>1</v>
      </c>
      <c r="CU133" t="b">
        <f>AND('Black &amp; White load sheet'!O271,"AAAAAHf7e2I=")</f>
        <v>1</v>
      </c>
      <c r="CV133">
        <f>IF('Black &amp; White load sheet'!272:272,"AAAAAHf7e2M=",0)</f>
        <v>0</v>
      </c>
      <c r="CW133" t="b">
        <f>AND('Black &amp; White load sheet'!A272,"AAAAAHf7e2Q=")</f>
        <v>1</v>
      </c>
      <c r="CX133" t="b">
        <f>AND('Black &amp; White load sheet'!B272,"AAAAAHf7e2U=")</f>
        <v>1</v>
      </c>
      <c r="CY133" t="b">
        <f>AND('Black &amp; White load sheet'!C272,"AAAAAHf7e2Y=")</f>
        <v>1</v>
      </c>
      <c r="CZ133" t="b">
        <f>AND('Black &amp; White load sheet'!D272,"AAAAAHf7e2c=")</f>
        <v>0</v>
      </c>
      <c r="DA133" t="b">
        <f>AND('Black &amp; White load sheet'!E272,"AAAAAHf7e2g=")</f>
        <v>0</v>
      </c>
      <c r="DB133" t="b">
        <f>AND('Black &amp; White load sheet'!F272,"AAAAAHf7e2k=")</f>
        <v>0</v>
      </c>
      <c r="DC133" t="b">
        <f>AND('Black &amp; White load sheet'!G272,"AAAAAHf7e2o=")</f>
        <v>1</v>
      </c>
      <c r="DD133" t="b">
        <f>AND('Black &amp; White load sheet'!H272,"AAAAAHf7e2s=")</f>
        <v>1</v>
      </c>
      <c r="DE133" t="b">
        <f>AND('Black &amp; White load sheet'!I272,"AAAAAHf7e2w=")</f>
        <v>0</v>
      </c>
      <c r="DF133" t="b">
        <f>AND('Black &amp; White load sheet'!J272,"AAAAAHf7e20=")</f>
        <v>1</v>
      </c>
      <c r="DG133" t="b">
        <f>AND('Black &amp; White load sheet'!K272,"AAAAAHf7e24=")</f>
        <v>0</v>
      </c>
      <c r="DH133" t="b">
        <f>AND('Black &amp; White load sheet'!L272,"AAAAAHf7e28=")</f>
        <v>0</v>
      </c>
      <c r="DI133" t="b">
        <f>AND('Black &amp; White load sheet'!M272,"AAAAAHf7e3A=")</f>
        <v>1</v>
      </c>
      <c r="DJ133" t="b">
        <f>AND('Black &amp; White load sheet'!N272,"AAAAAHf7e3E=")</f>
        <v>1</v>
      </c>
      <c r="DK133" t="b">
        <f>AND('Black &amp; White load sheet'!O272,"AAAAAHf7e3I=")</f>
        <v>1</v>
      </c>
      <c r="DL133">
        <f>IF('Black &amp; White load sheet'!273:273,"AAAAAHf7e3M=",0)</f>
        <v>0</v>
      </c>
      <c r="DM133" t="b">
        <f>AND('Black &amp; White load sheet'!A273,"AAAAAHf7e3Q=")</f>
        <v>1</v>
      </c>
      <c r="DN133" t="b">
        <f>AND('Black &amp; White load sheet'!B273,"AAAAAHf7e3U=")</f>
        <v>1</v>
      </c>
      <c r="DO133" t="b">
        <f>AND('Black &amp; White load sheet'!C273,"AAAAAHf7e3Y=")</f>
        <v>1</v>
      </c>
      <c r="DP133" t="b">
        <f>AND('Black &amp; White load sheet'!D273,"AAAAAHf7e3c=")</f>
        <v>0</v>
      </c>
      <c r="DQ133" t="b">
        <f>AND('Black &amp; White load sheet'!E273,"AAAAAHf7e3g=")</f>
        <v>0</v>
      </c>
      <c r="DR133" t="b">
        <f>AND('Black &amp; White load sheet'!F273,"AAAAAHf7e3k=")</f>
        <v>0</v>
      </c>
      <c r="DS133" t="b">
        <f>AND('Black &amp; White load sheet'!G273,"AAAAAHf7e3o=")</f>
        <v>1</v>
      </c>
      <c r="DT133" t="b">
        <f>AND('Black &amp; White load sheet'!H273,"AAAAAHf7e3s=")</f>
        <v>1</v>
      </c>
      <c r="DU133" t="b">
        <f>AND('Black &amp; White load sheet'!I273,"AAAAAHf7e3w=")</f>
        <v>1</v>
      </c>
      <c r="DV133" t="b">
        <f>AND('Black &amp; White load sheet'!J273,"AAAAAHf7e30=")</f>
        <v>0</v>
      </c>
      <c r="DW133" t="b">
        <f>AND('Black &amp; White load sheet'!K273,"AAAAAHf7e34=")</f>
        <v>0</v>
      </c>
      <c r="DX133" t="b">
        <f>AND('Black &amp; White load sheet'!L273,"AAAAAHf7e38=")</f>
        <v>0</v>
      </c>
      <c r="DY133" t="b">
        <f>AND('Black &amp; White load sheet'!M273,"AAAAAHf7e4A=")</f>
        <v>1</v>
      </c>
      <c r="DZ133" t="b">
        <f>AND('Black &amp; White load sheet'!N273,"AAAAAHf7e4E=")</f>
        <v>1</v>
      </c>
      <c r="EA133" t="b">
        <f>AND('Black &amp; White load sheet'!O273,"AAAAAHf7e4I=")</f>
        <v>1</v>
      </c>
      <c r="EB133">
        <f>IF('Black &amp; White load sheet'!274:274,"AAAAAHf7e4M=",0)</f>
        <v>0</v>
      </c>
      <c r="EC133" t="b">
        <f>AND('Black &amp; White load sheet'!A274,"AAAAAHf7e4Q=")</f>
        <v>1</v>
      </c>
      <c r="ED133" t="b">
        <f>AND('Black &amp; White load sheet'!B274,"AAAAAHf7e4U=")</f>
        <v>1</v>
      </c>
      <c r="EE133" t="b">
        <f>AND('Black &amp; White load sheet'!C274,"AAAAAHf7e4Y=")</f>
        <v>1</v>
      </c>
      <c r="EF133" t="b">
        <f>AND('Black &amp; White load sheet'!D274,"AAAAAHf7e4c=")</f>
        <v>0</v>
      </c>
      <c r="EG133" t="b">
        <f>AND('Black &amp; White load sheet'!E274,"AAAAAHf7e4g=")</f>
        <v>0</v>
      </c>
      <c r="EH133" t="b">
        <f>AND('Black &amp; White load sheet'!F274,"AAAAAHf7e4k=")</f>
        <v>1</v>
      </c>
      <c r="EI133" t="b">
        <f>AND('Black &amp; White load sheet'!G274,"AAAAAHf7e4o=")</f>
        <v>0</v>
      </c>
      <c r="EJ133" t="b">
        <f>AND('Black &amp; White load sheet'!H274,"AAAAAHf7e4s=")</f>
        <v>0</v>
      </c>
      <c r="EK133" t="b">
        <f>AND('Black &amp; White load sheet'!I274,"AAAAAHf7e4w=")</f>
        <v>0</v>
      </c>
      <c r="EL133" t="b">
        <f>AND('Black &amp; White load sheet'!J274,"AAAAAHf7e40=")</f>
        <v>0</v>
      </c>
      <c r="EM133" t="b">
        <f>AND('Black &amp; White load sheet'!K274,"AAAAAHf7e44=")</f>
        <v>0</v>
      </c>
      <c r="EN133" t="b">
        <f>AND('Black &amp; White load sheet'!L274,"AAAAAHf7e48=")</f>
        <v>0</v>
      </c>
      <c r="EO133" t="b">
        <f>AND('Black &amp; White load sheet'!M274,"AAAAAHf7e5A=")</f>
        <v>1</v>
      </c>
      <c r="EP133" t="b">
        <f>AND('Black &amp; White load sheet'!N274,"AAAAAHf7e5E=")</f>
        <v>1</v>
      </c>
      <c r="EQ133" t="b">
        <f>AND('Black &amp; White load sheet'!O274,"AAAAAHf7e5I=")</f>
        <v>1</v>
      </c>
      <c r="ER133">
        <f>IF('Black &amp; White load sheet'!275:275,"AAAAAHf7e5M=",0)</f>
        <v>0</v>
      </c>
      <c r="ES133" t="b">
        <f>AND('Black &amp; White load sheet'!A275,"AAAAAHf7e5Q=")</f>
        <v>1</v>
      </c>
      <c r="ET133" t="b">
        <f>AND('Black &amp; White load sheet'!B275,"AAAAAHf7e5U=")</f>
        <v>1</v>
      </c>
      <c r="EU133" t="b">
        <f>AND('Black &amp; White load sheet'!C275,"AAAAAHf7e5Y=")</f>
        <v>1</v>
      </c>
      <c r="EV133" t="b">
        <f>AND('Black &amp; White load sheet'!D275,"AAAAAHf7e5c=")</f>
        <v>0</v>
      </c>
      <c r="EW133" t="b">
        <f>AND('Black &amp; White load sheet'!E275,"AAAAAHf7e5g=")</f>
        <v>0</v>
      </c>
      <c r="EX133" t="b">
        <f>AND('Black &amp; White load sheet'!F275,"AAAAAHf7e5k=")</f>
        <v>1</v>
      </c>
      <c r="EY133" t="b">
        <f>AND('Black &amp; White load sheet'!G275,"AAAAAHf7e5o=")</f>
        <v>0</v>
      </c>
      <c r="EZ133" t="b">
        <f>AND('Black &amp; White load sheet'!H275,"AAAAAHf7e5s=")</f>
        <v>0</v>
      </c>
      <c r="FA133" t="b">
        <f>AND('Black &amp; White load sheet'!I275,"AAAAAHf7e5w=")</f>
        <v>0</v>
      </c>
      <c r="FB133" t="b">
        <f>AND('Black &amp; White load sheet'!J275,"AAAAAHf7e50=")</f>
        <v>0</v>
      </c>
      <c r="FC133" t="b">
        <f>AND('Black &amp; White load sheet'!K275,"AAAAAHf7e54=")</f>
        <v>0</v>
      </c>
      <c r="FD133" t="b">
        <f>AND('Black &amp; White load sheet'!L275,"AAAAAHf7e58=")</f>
        <v>1</v>
      </c>
      <c r="FE133" t="b">
        <f>AND('Black &amp; White load sheet'!M275,"AAAAAHf7e6A=")</f>
        <v>1</v>
      </c>
      <c r="FF133" t="b">
        <f>AND('Black &amp; White load sheet'!N275,"AAAAAHf7e6E=")</f>
        <v>1</v>
      </c>
      <c r="FG133" t="b">
        <f>AND('Black &amp; White load sheet'!O275,"AAAAAHf7e6I=")</f>
        <v>1</v>
      </c>
      <c r="FH133">
        <f>IF('Black &amp; White load sheet'!276:276,"AAAAAHf7e6M=",0)</f>
        <v>0</v>
      </c>
      <c r="FI133" t="b">
        <f>AND('Black &amp; White load sheet'!A276,"AAAAAHf7e6Q=")</f>
        <v>1</v>
      </c>
      <c r="FJ133" t="b">
        <f>AND('Black &amp; White load sheet'!B276,"AAAAAHf7e6U=")</f>
        <v>1</v>
      </c>
      <c r="FK133" t="b">
        <f>AND('Black &amp; White load sheet'!C276,"AAAAAHf7e6Y=")</f>
        <v>1</v>
      </c>
      <c r="FL133" t="b">
        <f>AND('Black &amp; White load sheet'!D276,"AAAAAHf7e6c=")</f>
        <v>0</v>
      </c>
      <c r="FM133" t="b">
        <f>AND('Black &amp; White load sheet'!E276,"AAAAAHf7e6g=")</f>
        <v>0</v>
      </c>
      <c r="FN133" t="b">
        <f>AND('Black &amp; White load sheet'!F276,"AAAAAHf7e6k=")</f>
        <v>1</v>
      </c>
      <c r="FO133" t="b">
        <f>AND('Black &amp; White load sheet'!G276,"AAAAAHf7e6o=")</f>
        <v>0</v>
      </c>
      <c r="FP133" t="b">
        <f>AND('Black &amp; White load sheet'!H276,"AAAAAHf7e6s=")</f>
        <v>0</v>
      </c>
      <c r="FQ133" t="b">
        <f>AND('Black &amp; White load sheet'!I276,"AAAAAHf7e6w=")</f>
        <v>0</v>
      </c>
      <c r="FR133" t="b">
        <f>AND('Black &amp; White load sheet'!J276,"AAAAAHf7e60=")</f>
        <v>0</v>
      </c>
      <c r="FS133" t="b">
        <f>AND('Black &amp; White load sheet'!K276,"AAAAAHf7e64=")</f>
        <v>1</v>
      </c>
      <c r="FT133" t="b">
        <f>AND('Black &amp; White load sheet'!L276,"AAAAAHf7e68=")</f>
        <v>0</v>
      </c>
      <c r="FU133" t="b">
        <f>AND('Black &amp; White load sheet'!M276,"AAAAAHf7e7A=")</f>
        <v>1</v>
      </c>
      <c r="FV133" t="b">
        <f>AND('Black &amp; White load sheet'!N276,"AAAAAHf7e7E=")</f>
        <v>1</v>
      </c>
      <c r="FW133" t="b">
        <f>AND('Black &amp; White load sheet'!O276,"AAAAAHf7e7I=")</f>
        <v>1</v>
      </c>
      <c r="FX133">
        <f>IF('Black &amp; White load sheet'!277:277,"AAAAAHf7e7M=",0)</f>
        <v>0</v>
      </c>
      <c r="FY133" t="b">
        <f>AND('Black &amp; White load sheet'!A277,"AAAAAHf7e7Q=")</f>
        <v>1</v>
      </c>
      <c r="FZ133" t="b">
        <f>AND('Black &amp; White load sheet'!B277,"AAAAAHf7e7U=")</f>
        <v>1</v>
      </c>
      <c r="GA133" t="b">
        <f>AND('Black &amp; White load sheet'!C277,"AAAAAHf7e7Y=")</f>
        <v>1</v>
      </c>
      <c r="GB133" t="b">
        <f>AND('Black &amp; White load sheet'!D277,"AAAAAHf7e7c=")</f>
        <v>0</v>
      </c>
      <c r="GC133" t="b">
        <f>AND('Black &amp; White load sheet'!E277,"AAAAAHf7e7g=")</f>
        <v>0</v>
      </c>
      <c r="GD133" t="b">
        <f>AND('Black &amp; White load sheet'!F277,"AAAAAHf7e7k=")</f>
        <v>1</v>
      </c>
      <c r="GE133" t="b">
        <f>AND('Black &amp; White load sheet'!G277,"AAAAAHf7e7o=")</f>
        <v>0</v>
      </c>
      <c r="GF133" t="b">
        <f>AND('Black &amp; White load sheet'!H277,"AAAAAHf7e7s=")</f>
        <v>0</v>
      </c>
      <c r="GG133" t="b">
        <f>AND('Black &amp; White load sheet'!I277,"AAAAAHf7e7w=")</f>
        <v>0</v>
      </c>
      <c r="GH133" t="b">
        <f>AND('Black &amp; White load sheet'!J277,"AAAAAHf7e70=")</f>
        <v>1</v>
      </c>
      <c r="GI133" t="b">
        <f>AND('Black &amp; White load sheet'!K277,"AAAAAHf7e74=")</f>
        <v>0</v>
      </c>
      <c r="GJ133" t="b">
        <f>AND('Black &amp; White load sheet'!L277,"AAAAAHf7e78=")</f>
        <v>0</v>
      </c>
      <c r="GK133" t="b">
        <f>AND('Black &amp; White load sheet'!M277,"AAAAAHf7e8A=")</f>
        <v>1</v>
      </c>
      <c r="GL133" t="b">
        <f>AND('Black &amp; White load sheet'!N277,"AAAAAHf7e8E=")</f>
        <v>1</v>
      </c>
      <c r="GM133" t="b">
        <f>AND('Black &amp; White load sheet'!O277,"AAAAAHf7e8I=")</f>
        <v>1</v>
      </c>
      <c r="GN133">
        <f>IF('Black &amp; White load sheet'!278:278,"AAAAAHf7e8M=",0)</f>
        <v>0</v>
      </c>
      <c r="GO133" t="b">
        <f>AND('Black &amp; White load sheet'!A278,"AAAAAHf7e8Q=")</f>
        <v>1</v>
      </c>
      <c r="GP133" t="b">
        <f>AND('Black &amp; White load sheet'!B278,"AAAAAHf7e8U=")</f>
        <v>1</v>
      </c>
      <c r="GQ133" t="b">
        <f>AND('Black &amp; White load sheet'!C278,"AAAAAHf7e8Y=")</f>
        <v>1</v>
      </c>
      <c r="GR133" t="b">
        <f>AND('Black &amp; White load sheet'!D278,"AAAAAHf7e8c=")</f>
        <v>0</v>
      </c>
      <c r="GS133" t="b">
        <f>AND('Black &amp; White load sheet'!E278,"AAAAAHf7e8g=")</f>
        <v>0</v>
      </c>
      <c r="GT133" t="b">
        <f>AND('Black &amp; White load sheet'!F278,"AAAAAHf7e8k=")</f>
        <v>1</v>
      </c>
      <c r="GU133" t="b">
        <f>AND('Black &amp; White load sheet'!G278,"AAAAAHf7e8o=")</f>
        <v>0</v>
      </c>
      <c r="GV133" t="b">
        <f>AND('Black &amp; White load sheet'!H278,"AAAAAHf7e8s=")</f>
        <v>0</v>
      </c>
      <c r="GW133" t="b">
        <f>AND('Black &amp; White load sheet'!I278,"AAAAAHf7e8w=")</f>
        <v>1</v>
      </c>
      <c r="GX133" t="b">
        <f>AND('Black &amp; White load sheet'!J278,"AAAAAHf7e80=")</f>
        <v>0</v>
      </c>
      <c r="GY133" t="b">
        <f>AND('Black &amp; White load sheet'!K278,"AAAAAHf7e84=")</f>
        <v>0</v>
      </c>
      <c r="GZ133" t="b">
        <f>AND('Black &amp; White load sheet'!L278,"AAAAAHf7e88=")</f>
        <v>0</v>
      </c>
      <c r="HA133" t="b">
        <f>AND('Black &amp; White load sheet'!M278,"AAAAAHf7e9A=")</f>
        <v>1</v>
      </c>
      <c r="HB133" t="b">
        <f>AND('Black &amp; White load sheet'!N278,"AAAAAHf7e9E=")</f>
        <v>1</v>
      </c>
      <c r="HC133" t="b">
        <f>AND('Black &amp; White load sheet'!O278,"AAAAAHf7e9I=")</f>
        <v>1</v>
      </c>
      <c r="HD133">
        <f>IF('Black &amp; White load sheet'!279:279,"AAAAAHf7e9M=",0)</f>
        <v>0</v>
      </c>
      <c r="HE133" t="b">
        <f>AND('Black &amp; White load sheet'!A279,"AAAAAHf7e9Q=")</f>
        <v>1</v>
      </c>
      <c r="HF133" t="b">
        <f>AND('Black &amp; White load sheet'!B279,"AAAAAHf7e9U=")</f>
        <v>1</v>
      </c>
      <c r="HG133" t="b">
        <f>AND('Black &amp; White load sheet'!C279,"AAAAAHf7e9Y=")</f>
        <v>1</v>
      </c>
      <c r="HH133" t="b">
        <f>AND('Black &amp; White load sheet'!D279,"AAAAAHf7e9c=")</f>
        <v>0</v>
      </c>
      <c r="HI133" t="b">
        <f>AND('Black &amp; White load sheet'!E279,"AAAAAHf7e9g=")</f>
        <v>0</v>
      </c>
      <c r="HJ133" t="b">
        <f>AND('Black &amp; White load sheet'!F279,"AAAAAHf7e9k=")</f>
        <v>1</v>
      </c>
      <c r="HK133" t="b">
        <f>AND('Black &amp; White load sheet'!G279,"AAAAAHf7e9o=")</f>
        <v>0</v>
      </c>
      <c r="HL133" t="b">
        <f>AND('Black &amp; White load sheet'!H279,"AAAAAHf7e9s=")</f>
        <v>1</v>
      </c>
      <c r="HM133" t="b">
        <f>AND('Black &amp; White load sheet'!I279,"AAAAAHf7e9w=")</f>
        <v>0</v>
      </c>
      <c r="HN133" t="b">
        <f>AND('Black &amp; White load sheet'!J279,"AAAAAHf7e90=")</f>
        <v>0</v>
      </c>
      <c r="HO133" t="b">
        <f>AND('Black &amp; White load sheet'!K279,"AAAAAHf7e94=")</f>
        <v>0</v>
      </c>
      <c r="HP133" t="b">
        <f>AND('Black &amp; White load sheet'!L279,"AAAAAHf7e98=")</f>
        <v>0</v>
      </c>
      <c r="HQ133" t="b">
        <f>AND('Black &amp; White load sheet'!M279,"AAAAAHf7e+A=")</f>
        <v>1</v>
      </c>
      <c r="HR133" t="b">
        <f>AND('Black &amp; White load sheet'!N279,"AAAAAHf7e+E=")</f>
        <v>1</v>
      </c>
      <c r="HS133" t="b">
        <f>AND('Black &amp; White load sheet'!O279,"AAAAAHf7e+I=")</f>
        <v>1</v>
      </c>
      <c r="HT133">
        <f>IF('Black &amp; White load sheet'!280:280,"AAAAAHf7e+M=",0)</f>
        <v>0</v>
      </c>
      <c r="HU133" t="b">
        <f>AND('Black &amp; White load sheet'!A280,"AAAAAHf7e+Q=")</f>
        <v>1</v>
      </c>
      <c r="HV133" t="b">
        <f>AND('Black &amp; White load sheet'!B280,"AAAAAHf7e+U=")</f>
        <v>1</v>
      </c>
      <c r="HW133" t="b">
        <f>AND('Black &amp; White load sheet'!C280,"AAAAAHf7e+Y=")</f>
        <v>1</v>
      </c>
      <c r="HX133" t="b">
        <f>AND('Black &amp; White load sheet'!D280,"AAAAAHf7e+c=")</f>
        <v>0</v>
      </c>
      <c r="HY133" t="b">
        <f>AND('Black &amp; White load sheet'!E280,"AAAAAHf7e+g=")</f>
        <v>0</v>
      </c>
      <c r="HZ133" t="b">
        <f>AND('Black &amp; White load sheet'!F280,"AAAAAHf7e+k=")</f>
        <v>1</v>
      </c>
      <c r="IA133" t="b">
        <f>AND('Black &amp; White load sheet'!G280,"AAAAAHf7e+o=")</f>
        <v>0</v>
      </c>
      <c r="IB133" t="b">
        <f>AND('Black &amp; White load sheet'!H280,"AAAAAHf7e+s=")</f>
        <v>1</v>
      </c>
      <c r="IC133" t="b">
        <f>AND('Black &amp; White load sheet'!I280,"AAAAAHf7e+w=")</f>
        <v>0</v>
      </c>
      <c r="ID133" t="b">
        <f>AND('Black &amp; White load sheet'!J280,"AAAAAHf7e+0=")</f>
        <v>0</v>
      </c>
      <c r="IE133" t="b">
        <f>AND('Black &amp; White load sheet'!K280,"AAAAAHf7e+4=")</f>
        <v>0</v>
      </c>
      <c r="IF133" t="b">
        <f>AND('Black &amp; White load sheet'!L280,"AAAAAHf7e+8=")</f>
        <v>1</v>
      </c>
      <c r="IG133" t="b">
        <f>AND('Black &amp; White load sheet'!M280,"AAAAAHf7e/A=")</f>
        <v>1</v>
      </c>
      <c r="IH133" t="b">
        <f>AND('Black &amp; White load sheet'!N280,"AAAAAHf7e/E=")</f>
        <v>1</v>
      </c>
      <c r="II133" t="b">
        <f>AND('Black &amp; White load sheet'!O280,"AAAAAHf7e/I=")</f>
        <v>1</v>
      </c>
      <c r="IJ133">
        <f>IF('Black &amp; White load sheet'!281:281,"AAAAAHf7e/M=",0)</f>
        <v>0</v>
      </c>
      <c r="IK133" t="b">
        <f>AND('Black &amp; White load sheet'!A281,"AAAAAHf7e/Q=")</f>
        <v>1</v>
      </c>
      <c r="IL133" t="b">
        <f>AND('Black &amp; White load sheet'!B281,"AAAAAHf7e/U=")</f>
        <v>1</v>
      </c>
      <c r="IM133" t="b">
        <f>AND('Black &amp; White load sheet'!C281,"AAAAAHf7e/Y=")</f>
        <v>1</v>
      </c>
      <c r="IN133" t="b">
        <f>AND('Black &amp; White load sheet'!D281,"AAAAAHf7e/c=")</f>
        <v>0</v>
      </c>
      <c r="IO133" t="b">
        <f>AND('Black &amp; White load sheet'!E281,"AAAAAHf7e/g=")</f>
        <v>0</v>
      </c>
      <c r="IP133" t="b">
        <f>AND('Black &amp; White load sheet'!F281,"AAAAAHf7e/k=")</f>
        <v>1</v>
      </c>
      <c r="IQ133" t="b">
        <f>AND('Black &amp; White load sheet'!G281,"AAAAAHf7e/o=")</f>
        <v>0</v>
      </c>
      <c r="IR133" t="b">
        <f>AND('Black &amp; White load sheet'!H281,"AAAAAHf7e/s=")</f>
        <v>1</v>
      </c>
      <c r="IS133" t="b">
        <f>AND('Black &amp; White load sheet'!I281,"AAAAAHf7e/w=")</f>
        <v>0</v>
      </c>
      <c r="IT133" t="b">
        <f>AND('Black &amp; White load sheet'!J281,"AAAAAHf7e/0=")</f>
        <v>0</v>
      </c>
      <c r="IU133" t="b">
        <f>AND('Black &amp; White load sheet'!K281,"AAAAAHf7e/4=")</f>
        <v>1</v>
      </c>
      <c r="IV133" t="b">
        <f>AND('Black &amp; White load sheet'!L281,"AAAAAHf7e/8=")</f>
        <v>0</v>
      </c>
    </row>
    <row r="134" spans="1:256">
      <c r="A134" t="b">
        <f>AND('Black &amp; White load sheet'!M281,"AAAAAHo5dwA=")</f>
        <v>1</v>
      </c>
      <c r="B134" t="b">
        <f>AND('Black &amp; White load sheet'!N281,"AAAAAHo5dwE=")</f>
        <v>1</v>
      </c>
      <c r="C134" t="b">
        <f>AND('Black &amp; White load sheet'!O281,"AAAAAHo5dwI=")</f>
        <v>1</v>
      </c>
      <c r="D134">
        <f>IF('Black &amp; White load sheet'!282:282,"AAAAAHo5dwM=",0)</f>
        <v>0</v>
      </c>
      <c r="E134" t="b">
        <f>AND('Black &amp; White load sheet'!A282,"AAAAAHo5dwQ=")</f>
        <v>1</v>
      </c>
      <c r="F134" t="b">
        <f>AND('Black &amp; White load sheet'!B282,"AAAAAHo5dwU=")</f>
        <v>1</v>
      </c>
      <c r="G134" t="b">
        <f>AND('Black &amp; White load sheet'!C282,"AAAAAHo5dwY=")</f>
        <v>1</v>
      </c>
      <c r="H134" t="b">
        <f>AND('Black &amp; White load sheet'!D282,"AAAAAHo5dwc=")</f>
        <v>0</v>
      </c>
      <c r="I134" t="b">
        <f>AND('Black &amp; White load sheet'!E282,"AAAAAHo5dwg=")</f>
        <v>0</v>
      </c>
      <c r="J134" t="b">
        <f>AND('Black &amp; White load sheet'!F282,"AAAAAHo5dwk=")</f>
        <v>1</v>
      </c>
      <c r="K134" t="b">
        <f>AND('Black &amp; White load sheet'!G282,"AAAAAHo5dwo=")</f>
        <v>0</v>
      </c>
      <c r="L134" t="b">
        <f>AND('Black &amp; White load sheet'!H282,"AAAAAHo5dws=")</f>
        <v>1</v>
      </c>
      <c r="M134" t="b">
        <f>AND('Black &amp; White load sheet'!I282,"AAAAAHo5dww=")</f>
        <v>0</v>
      </c>
      <c r="N134" t="b">
        <f>AND('Black &amp; White load sheet'!J282,"AAAAAHo5dw0=")</f>
        <v>1</v>
      </c>
      <c r="O134" t="b">
        <f>AND('Black &amp; White load sheet'!K282,"AAAAAHo5dw4=")</f>
        <v>0</v>
      </c>
      <c r="P134" t="b">
        <f>AND('Black &amp; White load sheet'!L282,"AAAAAHo5dw8=")</f>
        <v>0</v>
      </c>
      <c r="Q134" t="b">
        <f>AND('Black &amp; White load sheet'!M282,"AAAAAHo5dxA=")</f>
        <v>1</v>
      </c>
      <c r="R134" t="b">
        <f>AND('Black &amp; White load sheet'!N282,"AAAAAHo5dxE=")</f>
        <v>1</v>
      </c>
      <c r="S134" t="b">
        <f>AND('Black &amp; White load sheet'!O282,"AAAAAHo5dxI=")</f>
        <v>1</v>
      </c>
      <c r="T134">
        <f>IF('Black &amp; White load sheet'!283:283,"AAAAAHo5dxM=",0)</f>
        <v>0</v>
      </c>
      <c r="U134" t="b">
        <f>AND('Black &amp; White load sheet'!A283,"AAAAAHo5dxQ=")</f>
        <v>1</v>
      </c>
      <c r="V134" t="b">
        <f>AND('Black &amp; White load sheet'!B283,"AAAAAHo5dxU=")</f>
        <v>1</v>
      </c>
      <c r="W134" t="b">
        <f>AND('Black &amp; White load sheet'!C283,"AAAAAHo5dxY=")</f>
        <v>1</v>
      </c>
      <c r="X134" t="b">
        <f>AND('Black &amp; White load sheet'!D283,"AAAAAHo5dxc=")</f>
        <v>0</v>
      </c>
      <c r="Y134" t="b">
        <f>AND('Black &amp; White load sheet'!E283,"AAAAAHo5dxg=")</f>
        <v>0</v>
      </c>
      <c r="Z134" t="b">
        <f>AND('Black &amp; White load sheet'!F283,"AAAAAHo5dxk=")</f>
        <v>1</v>
      </c>
      <c r="AA134" t="b">
        <f>AND('Black &amp; White load sheet'!G283,"AAAAAHo5dxo=")</f>
        <v>0</v>
      </c>
      <c r="AB134" t="b">
        <f>AND('Black &amp; White load sheet'!H283,"AAAAAHo5dxs=")</f>
        <v>1</v>
      </c>
      <c r="AC134" t="b">
        <f>AND('Black &amp; White load sheet'!I283,"AAAAAHo5dxw=")</f>
        <v>1</v>
      </c>
      <c r="AD134" t="b">
        <f>AND('Black &amp; White load sheet'!J283,"AAAAAHo5dx0=")</f>
        <v>0</v>
      </c>
      <c r="AE134" t="b">
        <f>AND('Black &amp; White load sheet'!K283,"AAAAAHo5dx4=")</f>
        <v>0</v>
      </c>
      <c r="AF134" t="b">
        <f>AND('Black &amp; White load sheet'!L283,"AAAAAHo5dx8=")</f>
        <v>0</v>
      </c>
      <c r="AG134" t="b">
        <f>AND('Black &amp; White load sheet'!M283,"AAAAAHo5dyA=")</f>
        <v>1</v>
      </c>
      <c r="AH134" t="b">
        <f>AND('Black &amp; White load sheet'!N283,"AAAAAHo5dyE=")</f>
        <v>1</v>
      </c>
      <c r="AI134" t="b">
        <f>AND('Black &amp; White load sheet'!O283,"AAAAAHo5dyI=")</f>
        <v>1</v>
      </c>
      <c r="AJ134">
        <f>IF('Black &amp; White load sheet'!284:284,"AAAAAHo5dyM=",0)</f>
        <v>0</v>
      </c>
      <c r="AK134" t="b">
        <f>AND('Black &amp; White load sheet'!A284,"AAAAAHo5dyQ=")</f>
        <v>1</v>
      </c>
      <c r="AL134" t="b">
        <f>AND('Black &amp; White load sheet'!B284,"AAAAAHo5dyU=")</f>
        <v>1</v>
      </c>
      <c r="AM134" t="b">
        <f>AND('Black &amp; White load sheet'!C284,"AAAAAHo5dyY=")</f>
        <v>1</v>
      </c>
      <c r="AN134" t="b">
        <f>AND('Black &amp; White load sheet'!D284,"AAAAAHo5dyc=")</f>
        <v>0</v>
      </c>
      <c r="AO134" t="b">
        <f>AND('Black &amp; White load sheet'!E284,"AAAAAHo5dyg=")</f>
        <v>1</v>
      </c>
      <c r="AP134" t="b">
        <f>AND('Black &amp; White load sheet'!F284,"AAAAAHo5dyk=")</f>
        <v>0</v>
      </c>
      <c r="AQ134" t="b">
        <f>AND('Black &amp; White load sheet'!G284,"AAAAAHo5dyo=")</f>
        <v>0</v>
      </c>
      <c r="AR134" t="b">
        <f>AND('Black &amp; White load sheet'!H284,"AAAAAHo5dys=")</f>
        <v>0</v>
      </c>
      <c r="AS134" t="b">
        <f>AND('Black &amp; White load sheet'!I284,"AAAAAHo5dyw=")</f>
        <v>0</v>
      </c>
      <c r="AT134" t="b">
        <f>AND('Black &amp; White load sheet'!J284,"AAAAAHo5dy0=")</f>
        <v>0</v>
      </c>
      <c r="AU134" t="b">
        <f>AND('Black &amp; White load sheet'!K284,"AAAAAHo5dy4=")</f>
        <v>0</v>
      </c>
      <c r="AV134" t="b">
        <f>AND('Black &amp; White load sheet'!L284,"AAAAAHo5dy8=")</f>
        <v>0</v>
      </c>
      <c r="AW134" t="b">
        <f>AND('Black &amp; White load sheet'!M284,"AAAAAHo5dzA=")</f>
        <v>1</v>
      </c>
      <c r="AX134" t="b">
        <f>AND('Black &amp; White load sheet'!N284,"AAAAAHo5dzE=")</f>
        <v>1</v>
      </c>
      <c r="AY134" t="b">
        <f>AND('Black &amp; White load sheet'!O284,"AAAAAHo5dzI=")</f>
        <v>1</v>
      </c>
      <c r="AZ134">
        <f>IF('Black &amp; White load sheet'!285:285,"AAAAAHo5dzM=",0)</f>
        <v>0</v>
      </c>
      <c r="BA134" t="b">
        <f>AND('Black &amp; White load sheet'!A285,"AAAAAHo5dzQ=")</f>
        <v>1</v>
      </c>
      <c r="BB134" t="b">
        <f>AND('Black &amp; White load sheet'!B285,"AAAAAHo5dzU=")</f>
        <v>1</v>
      </c>
      <c r="BC134" t="b">
        <f>AND('Black &amp; White load sheet'!C285,"AAAAAHo5dzY=")</f>
        <v>1</v>
      </c>
      <c r="BD134" t="b">
        <f>AND('Black &amp; White load sheet'!D285,"AAAAAHo5dzc=")</f>
        <v>0</v>
      </c>
      <c r="BE134" t="b">
        <f>AND('Black &amp; White load sheet'!E285,"AAAAAHo5dzg=")</f>
        <v>1</v>
      </c>
      <c r="BF134" t="b">
        <f>AND('Black &amp; White load sheet'!F285,"AAAAAHo5dzk=")</f>
        <v>0</v>
      </c>
      <c r="BG134" t="b">
        <f>AND('Black &amp; White load sheet'!G285,"AAAAAHo5dzo=")</f>
        <v>0</v>
      </c>
      <c r="BH134" t="b">
        <f>AND('Black &amp; White load sheet'!H285,"AAAAAHo5dzs=")</f>
        <v>0</v>
      </c>
      <c r="BI134" t="b">
        <f>AND('Black &amp; White load sheet'!I285,"AAAAAHo5dzw=")</f>
        <v>0</v>
      </c>
      <c r="BJ134" t="b">
        <f>AND('Black &amp; White load sheet'!J285,"AAAAAHo5dz0=")</f>
        <v>0</v>
      </c>
      <c r="BK134" t="b">
        <f>AND('Black &amp; White load sheet'!K285,"AAAAAHo5dz4=")</f>
        <v>0</v>
      </c>
      <c r="BL134" t="b">
        <f>AND('Black &amp; White load sheet'!L285,"AAAAAHo5dz8=")</f>
        <v>1</v>
      </c>
      <c r="BM134" t="b">
        <f>AND('Black &amp; White load sheet'!M285,"AAAAAHo5d0A=")</f>
        <v>1</v>
      </c>
      <c r="BN134" t="b">
        <f>AND('Black &amp; White load sheet'!N285,"AAAAAHo5d0E=")</f>
        <v>1</v>
      </c>
      <c r="BO134" t="b">
        <f>AND('Black &amp; White load sheet'!O285,"AAAAAHo5d0I=")</f>
        <v>1</v>
      </c>
      <c r="BP134">
        <f>IF('Black &amp; White load sheet'!286:286,"AAAAAHo5d0M=",0)</f>
        <v>0</v>
      </c>
      <c r="BQ134" t="b">
        <f>AND('Black &amp; White load sheet'!A286,"AAAAAHo5d0Q=")</f>
        <v>1</v>
      </c>
      <c r="BR134" t="b">
        <f>AND('Black &amp; White load sheet'!B286,"AAAAAHo5d0U=")</f>
        <v>1</v>
      </c>
      <c r="BS134" t="b">
        <f>AND('Black &amp; White load sheet'!C286,"AAAAAHo5d0Y=")</f>
        <v>1</v>
      </c>
      <c r="BT134" t="b">
        <f>AND('Black &amp; White load sheet'!D286,"AAAAAHo5d0c=")</f>
        <v>0</v>
      </c>
      <c r="BU134" t="b">
        <f>AND('Black &amp; White load sheet'!E286,"AAAAAHo5d0g=")</f>
        <v>1</v>
      </c>
      <c r="BV134" t="b">
        <f>AND('Black &amp; White load sheet'!F286,"AAAAAHo5d0k=")</f>
        <v>0</v>
      </c>
      <c r="BW134" t="b">
        <f>AND('Black &amp; White load sheet'!G286,"AAAAAHo5d0o=")</f>
        <v>0</v>
      </c>
      <c r="BX134" t="b">
        <f>AND('Black &amp; White load sheet'!H286,"AAAAAHo5d0s=")</f>
        <v>0</v>
      </c>
      <c r="BY134" t="b">
        <f>AND('Black &amp; White load sheet'!I286,"AAAAAHo5d0w=")</f>
        <v>0</v>
      </c>
      <c r="BZ134" t="b">
        <f>AND('Black &amp; White load sheet'!J286,"AAAAAHo5d00=")</f>
        <v>0</v>
      </c>
      <c r="CA134" t="b">
        <f>AND('Black &amp; White load sheet'!K286,"AAAAAHo5d04=")</f>
        <v>1</v>
      </c>
      <c r="CB134" t="b">
        <f>AND('Black &amp; White load sheet'!L286,"AAAAAHo5d08=")</f>
        <v>0</v>
      </c>
      <c r="CC134" t="b">
        <f>AND('Black &amp; White load sheet'!M286,"AAAAAHo5d1A=")</f>
        <v>1</v>
      </c>
      <c r="CD134" t="b">
        <f>AND('Black &amp; White load sheet'!N286,"AAAAAHo5d1E=")</f>
        <v>1</v>
      </c>
      <c r="CE134" t="b">
        <f>AND('Black &amp; White load sheet'!O286,"AAAAAHo5d1I=")</f>
        <v>1</v>
      </c>
      <c r="CF134">
        <f>IF('Black &amp; White load sheet'!287:287,"AAAAAHo5d1M=",0)</f>
        <v>0</v>
      </c>
      <c r="CG134" t="b">
        <f>AND('Black &amp; White load sheet'!A287,"AAAAAHo5d1Q=")</f>
        <v>1</v>
      </c>
      <c r="CH134" t="b">
        <f>AND('Black &amp; White load sheet'!B287,"AAAAAHo5d1U=")</f>
        <v>1</v>
      </c>
      <c r="CI134" t="b">
        <f>AND('Black &amp; White load sheet'!C287,"AAAAAHo5d1Y=")</f>
        <v>1</v>
      </c>
      <c r="CJ134" t="b">
        <f>AND('Black &amp; White load sheet'!D287,"AAAAAHo5d1c=")</f>
        <v>0</v>
      </c>
      <c r="CK134" t="b">
        <f>AND('Black &amp; White load sheet'!E287,"AAAAAHo5d1g=")</f>
        <v>1</v>
      </c>
      <c r="CL134" t="b">
        <f>AND('Black &amp; White load sheet'!F287,"AAAAAHo5d1k=")</f>
        <v>0</v>
      </c>
      <c r="CM134" t="b">
        <f>AND('Black &amp; White load sheet'!G287,"AAAAAHo5d1o=")</f>
        <v>0</v>
      </c>
      <c r="CN134" t="b">
        <f>AND('Black &amp; White load sheet'!H287,"AAAAAHo5d1s=")</f>
        <v>0</v>
      </c>
      <c r="CO134" t="b">
        <f>AND('Black &amp; White load sheet'!I287,"AAAAAHo5d1w=")</f>
        <v>0</v>
      </c>
      <c r="CP134" t="b">
        <f>AND('Black &amp; White load sheet'!J287,"AAAAAHo5d10=")</f>
        <v>1</v>
      </c>
      <c r="CQ134" t="b">
        <f>AND('Black &amp; White load sheet'!K287,"AAAAAHo5d14=")</f>
        <v>0</v>
      </c>
      <c r="CR134" t="b">
        <f>AND('Black &amp; White load sheet'!L287,"AAAAAHo5d18=")</f>
        <v>0</v>
      </c>
      <c r="CS134" t="b">
        <f>AND('Black &amp; White load sheet'!M287,"AAAAAHo5d2A=")</f>
        <v>1</v>
      </c>
      <c r="CT134" t="b">
        <f>AND('Black &amp; White load sheet'!N287,"AAAAAHo5d2E=")</f>
        <v>1</v>
      </c>
      <c r="CU134" t="b">
        <f>AND('Black &amp; White load sheet'!O287,"AAAAAHo5d2I=")</f>
        <v>1</v>
      </c>
      <c r="CV134">
        <f>IF('Black &amp; White load sheet'!288:288,"AAAAAHo5d2M=",0)</f>
        <v>0</v>
      </c>
      <c r="CW134" t="b">
        <f>AND('Black &amp; White load sheet'!A288,"AAAAAHo5d2Q=")</f>
        <v>1</v>
      </c>
      <c r="CX134" t="b">
        <f>AND('Black &amp; White load sheet'!B288,"AAAAAHo5d2U=")</f>
        <v>1</v>
      </c>
      <c r="CY134" t="b">
        <f>AND('Black &amp; White load sheet'!C288,"AAAAAHo5d2Y=")</f>
        <v>1</v>
      </c>
      <c r="CZ134" t="b">
        <f>AND('Black &amp; White load sheet'!D288,"AAAAAHo5d2c=")</f>
        <v>0</v>
      </c>
      <c r="DA134" t="b">
        <f>AND('Black &amp; White load sheet'!E288,"AAAAAHo5d2g=")</f>
        <v>1</v>
      </c>
      <c r="DB134" t="b">
        <f>AND('Black &amp; White load sheet'!F288,"AAAAAHo5d2k=")</f>
        <v>0</v>
      </c>
      <c r="DC134" t="b">
        <f>AND('Black &amp; White load sheet'!G288,"AAAAAHo5d2o=")</f>
        <v>0</v>
      </c>
      <c r="DD134" t="b">
        <f>AND('Black &amp; White load sheet'!H288,"AAAAAHo5d2s=")</f>
        <v>0</v>
      </c>
      <c r="DE134" t="b">
        <f>AND('Black &amp; White load sheet'!I288,"AAAAAHo5d2w=")</f>
        <v>1</v>
      </c>
      <c r="DF134" t="b">
        <f>AND('Black &amp; White load sheet'!J288,"AAAAAHo5d20=")</f>
        <v>0</v>
      </c>
      <c r="DG134" t="b">
        <f>AND('Black &amp; White load sheet'!K288,"AAAAAHo5d24=")</f>
        <v>0</v>
      </c>
      <c r="DH134" t="b">
        <f>AND('Black &amp; White load sheet'!L288,"AAAAAHo5d28=")</f>
        <v>0</v>
      </c>
      <c r="DI134" t="b">
        <f>AND('Black &amp; White load sheet'!M288,"AAAAAHo5d3A=")</f>
        <v>1</v>
      </c>
      <c r="DJ134" t="b">
        <f>AND('Black &amp; White load sheet'!N288,"AAAAAHo5d3E=")</f>
        <v>1</v>
      </c>
      <c r="DK134" t="b">
        <f>AND('Black &amp; White load sheet'!O288,"AAAAAHo5d3I=")</f>
        <v>1</v>
      </c>
      <c r="DL134">
        <f>IF('Black &amp; White load sheet'!289:289,"AAAAAHo5d3M=",0)</f>
        <v>0</v>
      </c>
      <c r="DM134" t="b">
        <f>AND('Black &amp; White load sheet'!A289,"AAAAAHo5d3Q=")</f>
        <v>1</v>
      </c>
      <c r="DN134" t="b">
        <f>AND('Black &amp; White load sheet'!B289,"AAAAAHo5d3U=")</f>
        <v>1</v>
      </c>
      <c r="DO134" t="b">
        <f>AND('Black &amp; White load sheet'!C289,"AAAAAHo5d3Y=")</f>
        <v>1</v>
      </c>
      <c r="DP134" t="b">
        <f>AND('Black &amp; White load sheet'!D289,"AAAAAHo5d3c=")</f>
        <v>0</v>
      </c>
      <c r="DQ134" t="b">
        <f>AND('Black &amp; White load sheet'!E289,"AAAAAHo5d3g=")</f>
        <v>1</v>
      </c>
      <c r="DR134" t="b">
        <f>AND('Black &amp; White load sheet'!F289,"AAAAAHo5d3k=")</f>
        <v>0</v>
      </c>
      <c r="DS134" t="b">
        <f>AND('Black &amp; White load sheet'!G289,"AAAAAHo5d3o=")</f>
        <v>0</v>
      </c>
      <c r="DT134" t="b">
        <f>AND('Black &amp; White load sheet'!H289,"AAAAAHo5d3s=")</f>
        <v>1</v>
      </c>
      <c r="DU134" t="b">
        <f>AND('Black &amp; White load sheet'!I289,"AAAAAHo5d3w=")</f>
        <v>0</v>
      </c>
      <c r="DV134" t="b">
        <f>AND('Black &amp; White load sheet'!J289,"AAAAAHo5d30=")</f>
        <v>0</v>
      </c>
      <c r="DW134" t="b">
        <f>AND('Black &amp; White load sheet'!K289,"AAAAAHo5d34=")</f>
        <v>0</v>
      </c>
      <c r="DX134" t="b">
        <f>AND('Black &amp; White load sheet'!L289,"AAAAAHo5d38=")</f>
        <v>0</v>
      </c>
      <c r="DY134" t="b">
        <f>AND('Black &amp; White load sheet'!M289,"AAAAAHo5d4A=")</f>
        <v>1</v>
      </c>
      <c r="DZ134" t="b">
        <f>AND('Black &amp; White load sheet'!N289,"AAAAAHo5d4E=")</f>
        <v>1</v>
      </c>
      <c r="EA134" t="b">
        <f>AND('Black &amp; White load sheet'!O289,"AAAAAHo5d4I=")</f>
        <v>1</v>
      </c>
      <c r="EB134">
        <f>IF('Black &amp; White load sheet'!290:290,"AAAAAHo5d4M=",0)</f>
        <v>0</v>
      </c>
      <c r="EC134" t="b">
        <f>AND('Black &amp; White load sheet'!A290,"AAAAAHo5d4Q=")</f>
        <v>1</v>
      </c>
      <c r="ED134" t="b">
        <f>AND('Black &amp; White load sheet'!B290,"AAAAAHo5d4U=")</f>
        <v>1</v>
      </c>
      <c r="EE134" t="b">
        <f>AND('Black &amp; White load sheet'!C290,"AAAAAHo5d4Y=")</f>
        <v>1</v>
      </c>
      <c r="EF134" t="b">
        <f>AND('Black &amp; White load sheet'!D290,"AAAAAHo5d4c=")</f>
        <v>0</v>
      </c>
      <c r="EG134" t="b">
        <f>AND('Black &amp; White load sheet'!E290,"AAAAAHo5d4g=")</f>
        <v>1</v>
      </c>
      <c r="EH134" t="b">
        <f>AND('Black &amp; White load sheet'!F290,"AAAAAHo5d4k=")</f>
        <v>0</v>
      </c>
      <c r="EI134" t="b">
        <f>AND('Black &amp; White load sheet'!G290,"AAAAAHo5d4o=")</f>
        <v>0</v>
      </c>
      <c r="EJ134" t="b">
        <f>AND('Black &amp; White load sheet'!H290,"AAAAAHo5d4s=")</f>
        <v>1</v>
      </c>
      <c r="EK134" t="b">
        <f>AND('Black &amp; White load sheet'!I290,"AAAAAHo5d4w=")</f>
        <v>0</v>
      </c>
      <c r="EL134" t="b">
        <f>AND('Black &amp; White load sheet'!J290,"AAAAAHo5d40=")</f>
        <v>0</v>
      </c>
      <c r="EM134" t="b">
        <f>AND('Black &amp; White load sheet'!K290,"AAAAAHo5d44=")</f>
        <v>0</v>
      </c>
      <c r="EN134" t="b">
        <f>AND('Black &amp; White load sheet'!L290,"AAAAAHo5d48=")</f>
        <v>1</v>
      </c>
      <c r="EO134" t="b">
        <f>AND('Black &amp; White load sheet'!M290,"AAAAAHo5d5A=")</f>
        <v>1</v>
      </c>
      <c r="EP134" t="b">
        <f>AND('Black &amp; White load sheet'!N290,"AAAAAHo5d5E=")</f>
        <v>1</v>
      </c>
      <c r="EQ134" t="b">
        <f>AND('Black &amp; White load sheet'!O290,"AAAAAHo5d5I=")</f>
        <v>1</v>
      </c>
      <c r="ER134">
        <f>IF('Black &amp; White load sheet'!291:291,"AAAAAHo5d5M=",0)</f>
        <v>0</v>
      </c>
      <c r="ES134" t="b">
        <f>AND('Black &amp; White load sheet'!A291,"AAAAAHo5d5Q=")</f>
        <v>1</v>
      </c>
      <c r="ET134" t="b">
        <f>AND('Black &amp; White load sheet'!B291,"AAAAAHo5d5U=")</f>
        <v>1</v>
      </c>
      <c r="EU134" t="b">
        <f>AND('Black &amp; White load sheet'!C291,"AAAAAHo5d5Y=")</f>
        <v>1</v>
      </c>
      <c r="EV134" t="b">
        <f>AND('Black &amp; White load sheet'!D291,"AAAAAHo5d5c=")</f>
        <v>0</v>
      </c>
      <c r="EW134" t="b">
        <f>AND('Black &amp; White load sheet'!E291,"AAAAAHo5d5g=")</f>
        <v>1</v>
      </c>
      <c r="EX134" t="b">
        <f>AND('Black &amp; White load sheet'!F291,"AAAAAHo5d5k=")</f>
        <v>0</v>
      </c>
      <c r="EY134" t="b">
        <f>AND('Black &amp; White load sheet'!G291,"AAAAAHo5d5o=")</f>
        <v>0</v>
      </c>
      <c r="EZ134" t="b">
        <f>AND('Black &amp; White load sheet'!H291,"AAAAAHo5d5s=")</f>
        <v>1</v>
      </c>
      <c r="FA134" t="b">
        <f>AND('Black &amp; White load sheet'!I291,"AAAAAHo5d5w=")</f>
        <v>0</v>
      </c>
      <c r="FB134" t="b">
        <f>AND('Black &amp; White load sheet'!J291,"AAAAAHo5d50=")</f>
        <v>0</v>
      </c>
      <c r="FC134" t="b">
        <f>AND('Black &amp; White load sheet'!K291,"AAAAAHo5d54=")</f>
        <v>1</v>
      </c>
      <c r="FD134" t="b">
        <f>AND('Black &amp; White load sheet'!L291,"AAAAAHo5d58=")</f>
        <v>0</v>
      </c>
      <c r="FE134" t="b">
        <f>AND('Black &amp; White load sheet'!M291,"AAAAAHo5d6A=")</f>
        <v>1</v>
      </c>
      <c r="FF134" t="b">
        <f>AND('Black &amp; White load sheet'!N291,"AAAAAHo5d6E=")</f>
        <v>1</v>
      </c>
      <c r="FG134" t="b">
        <f>AND('Black &amp; White load sheet'!O291,"AAAAAHo5d6I=")</f>
        <v>1</v>
      </c>
      <c r="FH134">
        <f>IF('Black &amp; White load sheet'!292:292,"AAAAAHo5d6M=",0)</f>
        <v>0</v>
      </c>
      <c r="FI134" t="b">
        <f>AND('Black &amp; White load sheet'!A292,"AAAAAHo5d6Q=")</f>
        <v>1</v>
      </c>
      <c r="FJ134" t="b">
        <f>AND('Black &amp; White load sheet'!B292,"AAAAAHo5d6U=")</f>
        <v>1</v>
      </c>
      <c r="FK134" t="b">
        <f>AND('Black &amp; White load sheet'!C292,"AAAAAHo5d6Y=")</f>
        <v>1</v>
      </c>
      <c r="FL134" t="b">
        <f>AND('Black &amp; White load sheet'!D292,"AAAAAHo5d6c=")</f>
        <v>0</v>
      </c>
      <c r="FM134" t="b">
        <f>AND('Black &amp; White load sheet'!E292,"AAAAAHo5d6g=")</f>
        <v>1</v>
      </c>
      <c r="FN134" t="b">
        <f>AND('Black &amp; White load sheet'!F292,"AAAAAHo5d6k=")</f>
        <v>0</v>
      </c>
      <c r="FO134" t="b">
        <f>AND('Black &amp; White load sheet'!G292,"AAAAAHo5d6o=")</f>
        <v>0</v>
      </c>
      <c r="FP134" t="b">
        <f>AND('Black &amp; White load sheet'!H292,"AAAAAHo5d6s=")</f>
        <v>1</v>
      </c>
      <c r="FQ134" t="b">
        <f>AND('Black &amp; White load sheet'!I292,"AAAAAHo5d6w=")</f>
        <v>0</v>
      </c>
      <c r="FR134" t="b">
        <f>AND('Black &amp; White load sheet'!J292,"AAAAAHo5d60=")</f>
        <v>1</v>
      </c>
      <c r="FS134" t="b">
        <f>AND('Black &amp; White load sheet'!K292,"AAAAAHo5d64=")</f>
        <v>0</v>
      </c>
      <c r="FT134" t="b">
        <f>AND('Black &amp; White load sheet'!L292,"AAAAAHo5d68=")</f>
        <v>0</v>
      </c>
      <c r="FU134" t="b">
        <f>AND('Black &amp; White load sheet'!M292,"AAAAAHo5d7A=")</f>
        <v>1</v>
      </c>
      <c r="FV134" t="b">
        <f>AND('Black &amp; White load sheet'!N292,"AAAAAHo5d7E=")</f>
        <v>1</v>
      </c>
      <c r="FW134" t="b">
        <f>AND('Black &amp; White load sheet'!O292,"AAAAAHo5d7I=")</f>
        <v>1</v>
      </c>
      <c r="FX134">
        <f>IF('Black &amp; White load sheet'!293:293,"AAAAAHo5d7M=",0)</f>
        <v>0</v>
      </c>
      <c r="FY134" t="b">
        <f>AND('Black &amp; White load sheet'!A293,"AAAAAHo5d7Q=")</f>
        <v>1</v>
      </c>
      <c r="FZ134" t="b">
        <f>AND('Black &amp; White load sheet'!B293,"AAAAAHo5d7U=")</f>
        <v>1</v>
      </c>
      <c r="GA134" t="b">
        <f>AND('Black &amp; White load sheet'!C293,"AAAAAHo5d7Y=")</f>
        <v>1</v>
      </c>
      <c r="GB134" t="b">
        <f>AND('Black &amp; White load sheet'!D293,"AAAAAHo5d7c=")</f>
        <v>0</v>
      </c>
      <c r="GC134" t="b">
        <f>AND('Black &amp; White load sheet'!E293,"AAAAAHo5d7g=")</f>
        <v>1</v>
      </c>
      <c r="GD134" t="b">
        <f>AND('Black &amp; White load sheet'!F293,"AAAAAHo5d7k=")</f>
        <v>0</v>
      </c>
      <c r="GE134" t="b">
        <f>AND('Black &amp; White load sheet'!G293,"AAAAAHo5d7o=")</f>
        <v>0</v>
      </c>
      <c r="GF134" t="b">
        <f>AND('Black &amp; White load sheet'!H293,"AAAAAHo5d7s=")</f>
        <v>1</v>
      </c>
      <c r="GG134" t="b">
        <f>AND('Black &amp; White load sheet'!I293,"AAAAAHo5d7w=")</f>
        <v>1</v>
      </c>
      <c r="GH134" t="b">
        <f>AND('Black &amp; White load sheet'!J293,"AAAAAHo5d70=")</f>
        <v>0</v>
      </c>
      <c r="GI134" t="b">
        <f>AND('Black &amp; White load sheet'!K293,"AAAAAHo5d74=")</f>
        <v>0</v>
      </c>
      <c r="GJ134" t="b">
        <f>AND('Black &amp; White load sheet'!L293,"AAAAAHo5d78=")</f>
        <v>0</v>
      </c>
      <c r="GK134" t="b">
        <f>AND('Black &amp; White load sheet'!M293,"AAAAAHo5d8A=")</f>
        <v>1</v>
      </c>
      <c r="GL134" t="b">
        <f>AND('Black &amp; White load sheet'!N293,"AAAAAHo5d8E=")</f>
        <v>1</v>
      </c>
      <c r="GM134" t="b">
        <f>AND('Black &amp; White load sheet'!O293,"AAAAAHo5d8I=")</f>
        <v>1</v>
      </c>
      <c r="GN134">
        <f>IF('Black &amp; White load sheet'!294:294,"AAAAAHo5d8M=",0)</f>
        <v>0</v>
      </c>
      <c r="GO134" t="b">
        <f>AND('Black &amp; White load sheet'!A294,"AAAAAHo5d8Q=")</f>
        <v>1</v>
      </c>
      <c r="GP134" t="b">
        <f>AND('Black &amp; White load sheet'!B294,"AAAAAHo5d8U=")</f>
        <v>1</v>
      </c>
      <c r="GQ134" t="b">
        <f>AND('Black &amp; White load sheet'!C294,"AAAAAHo5d8Y=")</f>
        <v>1</v>
      </c>
      <c r="GR134" t="b">
        <f>AND('Black &amp; White load sheet'!D294,"AAAAAHo5d8c=")</f>
        <v>0</v>
      </c>
      <c r="GS134" t="b">
        <f>AND('Black &amp; White load sheet'!E294,"AAAAAHo5d8g=")</f>
        <v>1</v>
      </c>
      <c r="GT134" t="b">
        <f>AND('Black &amp; White load sheet'!F294,"AAAAAHo5d8k=")</f>
        <v>0</v>
      </c>
      <c r="GU134" t="b">
        <f>AND('Black &amp; White load sheet'!G294,"AAAAAHo5d8o=")</f>
        <v>1</v>
      </c>
      <c r="GV134" t="b">
        <f>AND('Black &amp; White load sheet'!H294,"AAAAAHo5d8s=")</f>
        <v>0</v>
      </c>
      <c r="GW134" t="b">
        <f>AND('Black &amp; White load sheet'!I294,"AAAAAHo5d8w=")</f>
        <v>0</v>
      </c>
      <c r="GX134" t="b">
        <f>AND('Black &amp; White load sheet'!J294,"AAAAAHo5d80=")</f>
        <v>0</v>
      </c>
      <c r="GY134" t="b">
        <f>AND('Black &amp; White load sheet'!K294,"AAAAAHo5d84=")</f>
        <v>0</v>
      </c>
      <c r="GZ134" t="b">
        <f>AND('Black &amp; White load sheet'!L294,"AAAAAHo5d88=")</f>
        <v>0</v>
      </c>
      <c r="HA134" t="b">
        <f>AND('Black &amp; White load sheet'!M294,"AAAAAHo5d9A=")</f>
        <v>1</v>
      </c>
      <c r="HB134" t="b">
        <f>AND('Black &amp; White load sheet'!N294,"AAAAAHo5d9E=")</f>
        <v>1</v>
      </c>
      <c r="HC134" t="b">
        <f>AND('Black &amp; White load sheet'!O294,"AAAAAHo5d9I=")</f>
        <v>1</v>
      </c>
      <c r="HD134">
        <f>IF('Black &amp; White load sheet'!295:295,"AAAAAHo5d9M=",0)</f>
        <v>0</v>
      </c>
      <c r="HE134" t="b">
        <f>AND('Black &amp; White load sheet'!A295,"AAAAAHo5d9Q=")</f>
        <v>1</v>
      </c>
      <c r="HF134" t="b">
        <f>AND('Black &amp; White load sheet'!B295,"AAAAAHo5d9U=")</f>
        <v>1</v>
      </c>
      <c r="HG134" t="b">
        <f>AND('Black &amp; White load sheet'!C295,"AAAAAHo5d9Y=")</f>
        <v>1</v>
      </c>
      <c r="HH134" t="b">
        <f>AND('Black &amp; White load sheet'!D295,"AAAAAHo5d9c=")</f>
        <v>0</v>
      </c>
      <c r="HI134" t="b">
        <f>AND('Black &amp; White load sheet'!E295,"AAAAAHo5d9g=")</f>
        <v>1</v>
      </c>
      <c r="HJ134" t="b">
        <f>AND('Black &amp; White load sheet'!F295,"AAAAAHo5d9k=")</f>
        <v>0</v>
      </c>
      <c r="HK134" t="b">
        <f>AND('Black &amp; White load sheet'!G295,"AAAAAHo5d9o=")</f>
        <v>1</v>
      </c>
      <c r="HL134" t="b">
        <f>AND('Black &amp; White load sheet'!H295,"AAAAAHo5d9s=")</f>
        <v>0</v>
      </c>
      <c r="HM134" t="b">
        <f>AND('Black &amp; White load sheet'!I295,"AAAAAHo5d9w=")</f>
        <v>0</v>
      </c>
      <c r="HN134" t="b">
        <f>AND('Black &amp; White load sheet'!J295,"AAAAAHo5d90=")</f>
        <v>0</v>
      </c>
      <c r="HO134" t="b">
        <f>AND('Black &amp; White load sheet'!K295,"AAAAAHo5d94=")</f>
        <v>0</v>
      </c>
      <c r="HP134" t="b">
        <f>AND('Black &amp; White load sheet'!L295,"AAAAAHo5d98=")</f>
        <v>1</v>
      </c>
      <c r="HQ134" t="b">
        <f>AND('Black &amp; White load sheet'!M295,"AAAAAHo5d+A=")</f>
        <v>1</v>
      </c>
      <c r="HR134" t="b">
        <f>AND('Black &amp; White load sheet'!N295,"AAAAAHo5d+E=")</f>
        <v>1</v>
      </c>
      <c r="HS134" t="b">
        <f>AND('Black &amp; White load sheet'!O295,"AAAAAHo5d+I=")</f>
        <v>1</v>
      </c>
      <c r="HT134">
        <f>IF('Black &amp; White load sheet'!296:296,"AAAAAHo5d+M=",0)</f>
        <v>0</v>
      </c>
      <c r="HU134" t="b">
        <f>AND('Black &amp; White load sheet'!A296,"AAAAAHo5d+Q=")</f>
        <v>1</v>
      </c>
      <c r="HV134" t="b">
        <f>AND('Black &amp; White load sheet'!B296,"AAAAAHo5d+U=")</f>
        <v>1</v>
      </c>
      <c r="HW134" t="b">
        <f>AND('Black &amp; White load sheet'!C296,"AAAAAHo5d+Y=")</f>
        <v>1</v>
      </c>
      <c r="HX134" t="b">
        <f>AND('Black &amp; White load sheet'!D296,"AAAAAHo5d+c=")</f>
        <v>0</v>
      </c>
      <c r="HY134" t="b">
        <f>AND('Black &amp; White load sheet'!E296,"AAAAAHo5d+g=")</f>
        <v>1</v>
      </c>
      <c r="HZ134" t="b">
        <f>AND('Black &amp; White load sheet'!F296,"AAAAAHo5d+k=")</f>
        <v>0</v>
      </c>
      <c r="IA134" t="b">
        <f>AND('Black &amp; White load sheet'!G296,"AAAAAHo5d+o=")</f>
        <v>1</v>
      </c>
      <c r="IB134" t="b">
        <f>AND('Black &amp; White load sheet'!H296,"AAAAAHo5d+s=")</f>
        <v>0</v>
      </c>
      <c r="IC134" t="b">
        <f>AND('Black &amp; White load sheet'!I296,"AAAAAHo5d+w=")</f>
        <v>0</v>
      </c>
      <c r="ID134" t="b">
        <f>AND('Black &amp; White load sheet'!J296,"AAAAAHo5d+0=")</f>
        <v>0</v>
      </c>
      <c r="IE134" t="b">
        <f>AND('Black &amp; White load sheet'!K296,"AAAAAHo5d+4=")</f>
        <v>1</v>
      </c>
      <c r="IF134" t="b">
        <f>AND('Black &amp; White load sheet'!L296,"AAAAAHo5d+8=")</f>
        <v>0</v>
      </c>
      <c r="IG134" t="b">
        <f>AND('Black &amp; White load sheet'!M296,"AAAAAHo5d/A=")</f>
        <v>1</v>
      </c>
      <c r="IH134" t="b">
        <f>AND('Black &amp; White load sheet'!N296,"AAAAAHo5d/E=")</f>
        <v>1</v>
      </c>
      <c r="II134" t="b">
        <f>AND('Black &amp; White load sheet'!O296,"AAAAAHo5d/I=")</f>
        <v>1</v>
      </c>
      <c r="IJ134">
        <f>IF('Black &amp; White load sheet'!297:297,"AAAAAHo5d/M=",0)</f>
        <v>0</v>
      </c>
      <c r="IK134" t="b">
        <f>AND('Black &amp; White load sheet'!A297,"AAAAAHo5d/Q=")</f>
        <v>1</v>
      </c>
      <c r="IL134" t="b">
        <f>AND('Black &amp; White load sheet'!B297,"AAAAAHo5d/U=")</f>
        <v>1</v>
      </c>
      <c r="IM134" t="b">
        <f>AND('Black &amp; White load sheet'!C297,"AAAAAHo5d/Y=")</f>
        <v>1</v>
      </c>
      <c r="IN134" t="b">
        <f>AND('Black &amp; White load sheet'!D297,"AAAAAHo5d/c=")</f>
        <v>0</v>
      </c>
      <c r="IO134" t="b">
        <f>AND('Black &amp; White load sheet'!E297,"AAAAAHo5d/g=")</f>
        <v>1</v>
      </c>
      <c r="IP134" t="b">
        <f>AND('Black &amp; White load sheet'!F297,"AAAAAHo5d/k=")</f>
        <v>0</v>
      </c>
      <c r="IQ134" t="b">
        <f>AND('Black &amp; White load sheet'!G297,"AAAAAHo5d/o=")</f>
        <v>1</v>
      </c>
      <c r="IR134" t="b">
        <f>AND('Black &amp; White load sheet'!H297,"AAAAAHo5d/s=")</f>
        <v>0</v>
      </c>
      <c r="IS134" t="b">
        <f>AND('Black &amp; White load sheet'!I297,"AAAAAHo5d/w=")</f>
        <v>0</v>
      </c>
      <c r="IT134" t="b">
        <f>AND('Black &amp; White load sheet'!J297,"AAAAAHo5d/0=")</f>
        <v>1</v>
      </c>
      <c r="IU134" t="b">
        <f>AND('Black &amp; White load sheet'!K297,"AAAAAHo5d/4=")</f>
        <v>0</v>
      </c>
      <c r="IV134" t="b">
        <f>AND('Black &amp; White load sheet'!L297,"AAAAAHo5d/8=")</f>
        <v>0</v>
      </c>
    </row>
    <row r="135" spans="1:256">
      <c r="A135" t="b">
        <f>AND('Black &amp; White load sheet'!M297,"AAAAAH//tgA=")</f>
        <v>1</v>
      </c>
      <c r="B135" t="b">
        <f>AND('Black &amp; White load sheet'!N297,"AAAAAH//tgE=")</f>
        <v>1</v>
      </c>
      <c r="C135" t="b">
        <f>AND('Black &amp; White load sheet'!O297,"AAAAAH//tgI=")</f>
        <v>1</v>
      </c>
      <c r="D135">
        <f>IF('Black &amp; White load sheet'!298:298,"AAAAAH//tgM=",0)</f>
        <v>0</v>
      </c>
      <c r="E135" t="b">
        <f>AND('Black &amp; White load sheet'!A298,"AAAAAH//tgQ=")</f>
        <v>1</v>
      </c>
      <c r="F135" t="b">
        <f>AND('Black &amp; White load sheet'!B298,"AAAAAH//tgU=")</f>
        <v>1</v>
      </c>
      <c r="G135" t="b">
        <f>AND('Black &amp; White load sheet'!C298,"AAAAAH//tgY=")</f>
        <v>1</v>
      </c>
      <c r="H135" t="b">
        <f>AND('Black &amp; White load sheet'!D298,"AAAAAH//tgc=")</f>
        <v>0</v>
      </c>
      <c r="I135" t="b">
        <f>AND('Black &amp; White load sheet'!E298,"AAAAAH//tgg=")</f>
        <v>1</v>
      </c>
      <c r="J135" t="b">
        <f>AND('Black &amp; White load sheet'!F298,"AAAAAH//tgk=")</f>
        <v>0</v>
      </c>
      <c r="K135" t="b">
        <f>AND('Black &amp; White load sheet'!G298,"AAAAAH//tgo=")</f>
        <v>1</v>
      </c>
      <c r="L135" t="b">
        <f>AND('Black &amp; White load sheet'!H298,"AAAAAH//tgs=")</f>
        <v>0</v>
      </c>
      <c r="M135" t="b">
        <f>AND('Black &amp; White load sheet'!I298,"AAAAAH//tgw=")</f>
        <v>1</v>
      </c>
      <c r="N135" t="b">
        <f>AND('Black &amp; White load sheet'!J298,"AAAAAH//tg0=")</f>
        <v>0</v>
      </c>
      <c r="O135" t="b">
        <f>AND('Black &amp; White load sheet'!K298,"AAAAAH//tg4=")</f>
        <v>0</v>
      </c>
      <c r="P135" t="b">
        <f>AND('Black &amp; White load sheet'!L298,"AAAAAH//tg8=")</f>
        <v>0</v>
      </c>
      <c r="Q135" t="b">
        <f>AND('Black &amp; White load sheet'!M298,"AAAAAH//thA=")</f>
        <v>1</v>
      </c>
      <c r="R135" t="b">
        <f>AND('Black &amp; White load sheet'!N298,"AAAAAH//thE=")</f>
        <v>1</v>
      </c>
      <c r="S135" t="b">
        <f>AND('Black &amp; White load sheet'!O298,"AAAAAH//thI=")</f>
        <v>1</v>
      </c>
      <c r="T135">
        <f>IF('Black &amp; White load sheet'!299:299,"AAAAAH//thM=",0)</f>
        <v>0</v>
      </c>
      <c r="U135" t="b">
        <f>AND('Black &amp; White load sheet'!A299,"AAAAAH//thQ=")</f>
        <v>1</v>
      </c>
      <c r="V135" t="b">
        <f>AND('Black &amp; White load sheet'!B299,"AAAAAH//thU=")</f>
        <v>1</v>
      </c>
      <c r="W135" t="b">
        <f>AND('Black &amp; White load sheet'!C299,"AAAAAH//thY=")</f>
        <v>1</v>
      </c>
      <c r="X135" t="b">
        <f>AND('Black &amp; White load sheet'!D299,"AAAAAH//thc=")</f>
        <v>0</v>
      </c>
      <c r="Y135" t="b">
        <f>AND('Black &amp; White load sheet'!E299,"AAAAAH//thg=")</f>
        <v>1</v>
      </c>
      <c r="Z135" t="b">
        <f>AND('Black &amp; White load sheet'!F299,"AAAAAH//thk=")</f>
        <v>0</v>
      </c>
      <c r="AA135" t="b">
        <f>AND('Black &amp; White load sheet'!G299,"AAAAAH//tho=")</f>
        <v>1</v>
      </c>
      <c r="AB135" t="b">
        <f>AND('Black &amp; White load sheet'!H299,"AAAAAH//ths=")</f>
        <v>1</v>
      </c>
      <c r="AC135" t="b">
        <f>AND('Black &amp; White load sheet'!I299,"AAAAAH//thw=")</f>
        <v>0</v>
      </c>
      <c r="AD135" t="b">
        <f>AND('Black &amp; White load sheet'!J299,"AAAAAH//th0=")</f>
        <v>0</v>
      </c>
      <c r="AE135" t="b">
        <f>AND('Black &amp; White load sheet'!K299,"AAAAAH//th4=")</f>
        <v>0</v>
      </c>
      <c r="AF135" t="b">
        <f>AND('Black &amp; White load sheet'!L299,"AAAAAH//th8=")</f>
        <v>0</v>
      </c>
      <c r="AG135" t="b">
        <f>AND('Black &amp; White load sheet'!M299,"AAAAAH//tiA=")</f>
        <v>1</v>
      </c>
      <c r="AH135" t="b">
        <f>AND('Black &amp; White load sheet'!N299,"AAAAAH//tiE=")</f>
        <v>1</v>
      </c>
      <c r="AI135" t="b">
        <f>AND('Black &amp; White load sheet'!O299,"AAAAAH//tiI=")</f>
        <v>1</v>
      </c>
      <c r="AJ135">
        <f>IF('Black &amp; White load sheet'!300:300,"AAAAAH//tiM=",0)</f>
        <v>0</v>
      </c>
      <c r="AK135" t="b">
        <f>AND('Black &amp; White load sheet'!A300,"AAAAAH//tiQ=")</f>
        <v>1</v>
      </c>
      <c r="AL135" t="b">
        <f>AND('Black &amp; White load sheet'!B300,"AAAAAH//tiU=")</f>
        <v>1</v>
      </c>
      <c r="AM135" t="b">
        <f>AND('Black &amp; White load sheet'!C300,"AAAAAH//tiY=")</f>
        <v>1</v>
      </c>
      <c r="AN135" t="b">
        <f>AND('Black &amp; White load sheet'!D300,"AAAAAH//tic=")</f>
        <v>0</v>
      </c>
      <c r="AO135" t="b">
        <f>AND('Black &amp; White load sheet'!E300,"AAAAAH//tig=")</f>
        <v>1</v>
      </c>
      <c r="AP135" t="b">
        <f>AND('Black &amp; White load sheet'!F300,"AAAAAH//tik=")</f>
        <v>0</v>
      </c>
      <c r="AQ135" t="b">
        <f>AND('Black &amp; White load sheet'!G300,"AAAAAH//tio=")</f>
        <v>1</v>
      </c>
      <c r="AR135" t="b">
        <f>AND('Black &amp; White load sheet'!H300,"AAAAAH//tis=")</f>
        <v>1</v>
      </c>
      <c r="AS135" t="b">
        <f>AND('Black &amp; White load sheet'!I300,"AAAAAH//tiw=")</f>
        <v>0</v>
      </c>
      <c r="AT135" t="b">
        <f>AND('Black &amp; White load sheet'!J300,"AAAAAH//ti0=")</f>
        <v>0</v>
      </c>
      <c r="AU135" t="b">
        <f>AND('Black &amp; White load sheet'!K300,"AAAAAH//ti4=")</f>
        <v>0</v>
      </c>
      <c r="AV135" t="b">
        <f>AND('Black &amp; White load sheet'!L300,"AAAAAH//ti8=")</f>
        <v>1</v>
      </c>
      <c r="AW135" t="b">
        <f>AND('Black &amp; White load sheet'!M300,"AAAAAH//tjA=")</f>
        <v>1</v>
      </c>
      <c r="AX135" t="b">
        <f>AND('Black &amp; White load sheet'!N300,"AAAAAH//tjE=")</f>
        <v>1</v>
      </c>
      <c r="AY135" t="b">
        <f>AND('Black &amp; White load sheet'!O300,"AAAAAH//tjI=")</f>
        <v>1</v>
      </c>
      <c r="AZ135">
        <f>IF('Black &amp; White load sheet'!301:301,"AAAAAH//tjM=",0)</f>
        <v>0</v>
      </c>
      <c r="BA135" t="b">
        <f>AND('Black &amp; White load sheet'!A301,"AAAAAH//tjQ=")</f>
        <v>1</v>
      </c>
      <c r="BB135" t="b">
        <f>AND('Black &amp; White load sheet'!B301,"AAAAAH//tjU=")</f>
        <v>1</v>
      </c>
      <c r="BC135" t="b">
        <f>AND('Black &amp; White load sheet'!C301,"AAAAAH//tjY=")</f>
        <v>1</v>
      </c>
      <c r="BD135" t="b">
        <f>AND('Black &amp; White load sheet'!D301,"AAAAAH//tjc=")</f>
        <v>0</v>
      </c>
      <c r="BE135" t="b">
        <f>AND('Black &amp; White load sheet'!E301,"AAAAAH//tjg=")</f>
        <v>1</v>
      </c>
      <c r="BF135" t="b">
        <f>AND('Black &amp; White load sheet'!F301,"AAAAAH//tjk=")</f>
        <v>0</v>
      </c>
      <c r="BG135" t="b">
        <f>AND('Black &amp; White load sheet'!G301,"AAAAAH//tjo=")</f>
        <v>1</v>
      </c>
      <c r="BH135" t="b">
        <f>AND('Black &amp; White load sheet'!H301,"AAAAAH//tjs=")</f>
        <v>1</v>
      </c>
      <c r="BI135" t="b">
        <f>AND('Black &amp; White load sheet'!I301,"AAAAAH//tjw=")</f>
        <v>0</v>
      </c>
      <c r="BJ135" t="b">
        <f>AND('Black &amp; White load sheet'!J301,"AAAAAH//tj0=")</f>
        <v>0</v>
      </c>
      <c r="BK135" t="b">
        <f>AND('Black &amp; White load sheet'!K301,"AAAAAH//tj4=")</f>
        <v>1</v>
      </c>
      <c r="BL135" t="b">
        <f>AND('Black &amp; White load sheet'!L301,"AAAAAH//tj8=")</f>
        <v>0</v>
      </c>
      <c r="BM135" t="b">
        <f>AND('Black &amp; White load sheet'!M301,"AAAAAH//tkA=")</f>
        <v>1</v>
      </c>
      <c r="BN135" t="b">
        <f>AND('Black &amp; White load sheet'!N301,"AAAAAH//tkE=")</f>
        <v>1</v>
      </c>
      <c r="BO135" t="b">
        <f>AND('Black &amp; White load sheet'!O301,"AAAAAH//tkI=")</f>
        <v>1</v>
      </c>
      <c r="BP135">
        <f>IF('Black &amp; White load sheet'!302:302,"AAAAAH//tkM=",0)</f>
        <v>0</v>
      </c>
      <c r="BQ135" t="b">
        <f>AND('Black &amp; White load sheet'!A302,"AAAAAH//tkQ=")</f>
        <v>1</v>
      </c>
      <c r="BR135" t="b">
        <f>AND('Black &amp; White load sheet'!B302,"AAAAAH//tkU=")</f>
        <v>1</v>
      </c>
      <c r="BS135" t="b">
        <f>AND('Black &amp; White load sheet'!C302,"AAAAAH//tkY=")</f>
        <v>1</v>
      </c>
      <c r="BT135" t="b">
        <f>AND('Black &amp; White load sheet'!D302,"AAAAAH//tkc=")</f>
        <v>0</v>
      </c>
      <c r="BU135" t="b">
        <f>AND('Black &amp; White load sheet'!E302,"AAAAAH//tkg=")</f>
        <v>1</v>
      </c>
      <c r="BV135" t="b">
        <f>AND('Black &amp; White load sheet'!F302,"AAAAAH//tkk=")</f>
        <v>0</v>
      </c>
      <c r="BW135" t="b">
        <f>AND('Black &amp; White load sheet'!G302,"AAAAAH//tko=")</f>
        <v>1</v>
      </c>
      <c r="BX135" t="b">
        <f>AND('Black &amp; White load sheet'!H302,"AAAAAH//tks=")</f>
        <v>1</v>
      </c>
      <c r="BY135" t="b">
        <f>AND('Black &amp; White load sheet'!I302,"AAAAAH//tkw=")</f>
        <v>0</v>
      </c>
      <c r="BZ135" t="b">
        <f>AND('Black &amp; White load sheet'!J302,"AAAAAH//tk0=")</f>
        <v>1</v>
      </c>
      <c r="CA135" t="b">
        <f>AND('Black &amp; White load sheet'!K302,"AAAAAH//tk4=")</f>
        <v>0</v>
      </c>
      <c r="CB135" t="b">
        <f>AND('Black &amp; White load sheet'!L302,"AAAAAH//tk8=")</f>
        <v>0</v>
      </c>
      <c r="CC135" t="b">
        <f>AND('Black &amp; White load sheet'!M302,"AAAAAH//tlA=")</f>
        <v>1</v>
      </c>
      <c r="CD135" t="b">
        <f>AND('Black &amp; White load sheet'!N302,"AAAAAH//tlE=")</f>
        <v>1</v>
      </c>
      <c r="CE135" t="b">
        <f>AND('Black &amp; White load sheet'!O302,"AAAAAH//tlI=")</f>
        <v>1</v>
      </c>
      <c r="CF135">
        <f>IF('Black &amp; White load sheet'!303:303,"AAAAAH//tlM=",0)</f>
        <v>0</v>
      </c>
      <c r="CG135" t="b">
        <f>AND('Black &amp; White load sheet'!A303,"AAAAAH//tlQ=")</f>
        <v>1</v>
      </c>
      <c r="CH135" t="b">
        <f>AND('Black &amp; White load sheet'!B303,"AAAAAH//tlU=")</f>
        <v>1</v>
      </c>
      <c r="CI135" t="b">
        <f>AND('Black &amp; White load sheet'!C303,"AAAAAH//tlY=")</f>
        <v>1</v>
      </c>
      <c r="CJ135" t="b">
        <f>AND('Black &amp; White load sheet'!D303,"AAAAAH//tlc=")</f>
        <v>0</v>
      </c>
      <c r="CK135" t="b">
        <f>AND('Black &amp; White load sheet'!E303,"AAAAAH//tlg=")</f>
        <v>1</v>
      </c>
      <c r="CL135" t="b">
        <f>AND('Black &amp; White load sheet'!F303,"AAAAAH//tlk=")</f>
        <v>0</v>
      </c>
      <c r="CM135" t="b">
        <f>AND('Black &amp; White load sheet'!G303,"AAAAAH//tlo=")</f>
        <v>1</v>
      </c>
      <c r="CN135" t="b">
        <f>AND('Black &amp; White load sheet'!H303,"AAAAAH//tls=")</f>
        <v>1</v>
      </c>
      <c r="CO135" t="b">
        <f>AND('Black &amp; White load sheet'!I303,"AAAAAH//tlw=")</f>
        <v>1</v>
      </c>
      <c r="CP135" t="b">
        <f>AND('Black &amp; White load sheet'!J303,"AAAAAH//tl0=")</f>
        <v>0</v>
      </c>
      <c r="CQ135" t="b">
        <f>AND('Black &amp; White load sheet'!K303,"AAAAAH//tl4=")</f>
        <v>0</v>
      </c>
      <c r="CR135" t="b">
        <f>AND('Black &amp; White load sheet'!L303,"AAAAAH//tl8=")</f>
        <v>0</v>
      </c>
      <c r="CS135" t="b">
        <f>AND('Black &amp; White load sheet'!M303,"AAAAAH//tmA=")</f>
        <v>1</v>
      </c>
      <c r="CT135" t="b">
        <f>AND('Black &amp; White load sheet'!N303,"AAAAAH//tmE=")</f>
        <v>1</v>
      </c>
      <c r="CU135" t="b">
        <f>AND('Black &amp; White load sheet'!O303,"AAAAAH//tmI=")</f>
        <v>1</v>
      </c>
      <c r="CV135">
        <f>IF('Black &amp; White load sheet'!304:304,"AAAAAH//tmM=",0)</f>
        <v>0</v>
      </c>
      <c r="CW135" t="b">
        <f>AND('Black &amp; White load sheet'!A304,"AAAAAH//tmQ=")</f>
        <v>1</v>
      </c>
      <c r="CX135" t="b">
        <f>AND('Black &amp; White load sheet'!B304,"AAAAAH//tmU=")</f>
        <v>1</v>
      </c>
      <c r="CY135" t="b">
        <f>AND('Black &amp; White load sheet'!C304,"AAAAAH//tmY=")</f>
        <v>1</v>
      </c>
      <c r="CZ135" t="b">
        <f>AND('Black &amp; White load sheet'!D304,"AAAAAH//tmc=")</f>
        <v>0</v>
      </c>
      <c r="DA135" t="b">
        <f>AND('Black &amp; White load sheet'!E304,"AAAAAH//tmg=")</f>
        <v>0</v>
      </c>
      <c r="DB135" t="b">
        <f>AND('Black &amp; White load sheet'!F304,"AAAAAH//tmk=")</f>
        <v>0</v>
      </c>
      <c r="DC135" t="b">
        <f>AND('Black &amp; White load sheet'!G304,"AAAAAH//tmo=")</f>
        <v>0</v>
      </c>
      <c r="DD135" t="b">
        <f>AND('Black &amp; White load sheet'!H304,"AAAAAH//tms=")</f>
        <v>0</v>
      </c>
      <c r="DE135" t="b">
        <f>AND('Black &amp; White load sheet'!I304,"AAAAAH//tmw=")</f>
        <v>0</v>
      </c>
      <c r="DF135" t="b">
        <f>AND('Black &amp; White load sheet'!J304,"AAAAAH//tm0=")</f>
        <v>0</v>
      </c>
      <c r="DG135" t="b">
        <f>AND('Black &amp; White load sheet'!K304,"AAAAAH//tm4=")</f>
        <v>0</v>
      </c>
      <c r="DH135" t="b">
        <f>AND('Black &amp; White load sheet'!L304,"AAAAAH//tm8=")</f>
        <v>0</v>
      </c>
      <c r="DI135" t="b">
        <f>AND('Black &amp; White load sheet'!M304,"AAAAAH//tnA=")</f>
        <v>1</v>
      </c>
      <c r="DJ135" t="b">
        <f>AND('Black &amp; White load sheet'!N304,"AAAAAH//tnE=")</f>
        <v>1</v>
      </c>
      <c r="DK135" t="b">
        <f>AND('Black &amp; White load sheet'!O304,"AAAAAH//tnI=")</f>
        <v>1</v>
      </c>
      <c r="DL135">
        <f>IF('Black &amp; White load sheet'!305:305,"AAAAAH//tnM=",0)</f>
        <v>0</v>
      </c>
      <c r="DM135" t="b">
        <f>AND('Black &amp; White load sheet'!A305,"AAAAAH//tnQ=")</f>
        <v>1</v>
      </c>
      <c r="DN135" t="b">
        <f>AND('Black &amp; White load sheet'!B305,"AAAAAH//tnU=")</f>
        <v>1</v>
      </c>
      <c r="DO135" t="b">
        <f>AND('Black &amp; White load sheet'!C305,"AAAAAH//tnY=")</f>
        <v>1</v>
      </c>
      <c r="DP135" t="b">
        <f>AND('Black &amp; White load sheet'!D305,"AAAAAH//tnc=")</f>
        <v>0</v>
      </c>
      <c r="DQ135" t="b">
        <f>AND('Black &amp; White load sheet'!E305,"AAAAAH//tng=")</f>
        <v>0</v>
      </c>
      <c r="DR135" t="b">
        <f>AND('Black &amp; White load sheet'!F305,"AAAAAH//tnk=")</f>
        <v>0</v>
      </c>
      <c r="DS135" t="b">
        <f>AND('Black &amp; White load sheet'!G305,"AAAAAH//tno=")</f>
        <v>0</v>
      </c>
      <c r="DT135" t="b">
        <f>AND('Black &amp; White load sheet'!H305,"AAAAAH//tns=")</f>
        <v>0</v>
      </c>
      <c r="DU135" t="b">
        <f>AND('Black &amp; White load sheet'!I305,"AAAAAH//tnw=")</f>
        <v>0</v>
      </c>
      <c r="DV135" t="b">
        <f>AND('Black &amp; White load sheet'!J305,"AAAAAH//tn0=")</f>
        <v>0</v>
      </c>
      <c r="DW135" t="b">
        <f>AND('Black &amp; White load sheet'!K305,"AAAAAH//tn4=")</f>
        <v>0</v>
      </c>
      <c r="DX135" t="b">
        <f>AND('Black &amp; White load sheet'!L305,"AAAAAH//tn8=")</f>
        <v>1</v>
      </c>
      <c r="DY135" t="b">
        <f>AND('Black &amp; White load sheet'!M305,"AAAAAH//toA=")</f>
        <v>1</v>
      </c>
      <c r="DZ135" t="b">
        <f>AND('Black &amp; White load sheet'!N305,"AAAAAH//toE=")</f>
        <v>1</v>
      </c>
      <c r="EA135" t="b">
        <f>AND('Black &amp; White load sheet'!O305,"AAAAAH//toI=")</f>
        <v>1</v>
      </c>
      <c r="EB135">
        <f>IF('Black &amp; White load sheet'!306:306,"AAAAAH//toM=",0)</f>
        <v>0</v>
      </c>
      <c r="EC135" t="b">
        <f>AND('Black &amp; White load sheet'!A306,"AAAAAH//toQ=")</f>
        <v>1</v>
      </c>
      <c r="ED135" t="b">
        <f>AND('Black &amp; White load sheet'!B306,"AAAAAH//toU=")</f>
        <v>1</v>
      </c>
      <c r="EE135" t="b">
        <f>AND('Black &amp; White load sheet'!C306,"AAAAAH//toY=")</f>
        <v>1</v>
      </c>
      <c r="EF135" t="b">
        <f>AND('Black &amp; White load sheet'!D306,"AAAAAH//toc=")</f>
        <v>0</v>
      </c>
      <c r="EG135" t="b">
        <f>AND('Black &amp; White load sheet'!E306,"AAAAAH//tog=")</f>
        <v>0</v>
      </c>
      <c r="EH135" t="b">
        <f>AND('Black &amp; White load sheet'!F306,"AAAAAH//tok=")</f>
        <v>0</v>
      </c>
      <c r="EI135" t="b">
        <f>AND('Black &amp; White load sheet'!G306,"AAAAAH//too=")</f>
        <v>0</v>
      </c>
      <c r="EJ135" t="b">
        <f>AND('Black &amp; White load sheet'!H306,"AAAAAH//tos=")</f>
        <v>0</v>
      </c>
      <c r="EK135" t="b">
        <f>AND('Black &amp; White load sheet'!I306,"AAAAAH//tow=")</f>
        <v>0</v>
      </c>
      <c r="EL135" t="b">
        <f>AND('Black &amp; White load sheet'!J306,"AAAAAH//to0=")</f>
        <v>0</v>
      </c>
      <c r="EM135" t="b">
        <f>AND('Black &amp; White load sheet'!K306,"AAAAAH//to4=")</f>
        <v>1</v>
      </c>
      <c r="EN135" t="b">
        <f>AND('Black &amp; White load sheet'!L306,"AAAAAH//to8=")</f>
        <v>0</v>
      </c>
      <c r="EO135" t="b">
        <f>AND('Black &amp; White load sheet'!M306,"AAAAAH//tpA=")</f>
        <v>1</v>
      </c>
      <c r="EP135" t="b">
        <f>AND('Black &amp; White load sheet'!N306,"AAAAAH//tpE=")</f>
        <v>1</v>
      </c>
      <c r="EQ135" t="b">
        <f>AND('Black &amp; White load sheet'!O306,"AAAAAH//tpI=")</f>
        <v>1</v>
      </c>
      <c r="ER135">
        <f>IF('Black &amp; White load sheet'!307:307,"AAAAAH//tpM=",0)</f>
        <v>0</v>
      </c>
      <c r="ES135" t="b">
        <f>AND('Black &amp; White load sheet'!A307,"AAAAAH//tpQ=")</f>
        <v>1</v>
      </c>
      <c r="ET135" t="b">
        <f>AND('Black &amp; White load sheet'!B307,"AAAAAH//tpU=")</f>
        <v>1</v>
      </c>
      <c r="EU135" t="b">
        <f>AND('Black &amp; White load sheet'!C307,"AAAAAH//tpY=")</f>
        <v>1</v>
      </c>
      <c r="EV135" t="b">
        <f>AND('Black &amp; White load sheet'!D307,"AAAAAH//tpc=")</f>
        <v>0</v>
      </c>
      <c r="EW135" t="b">
        <f>AND('Black &amp; White load sheet'!E307,"AAAAAH//tpg=")</f>
        <v>0</v>
      </c>
      <c r="EX135" t="b">
        <f>AND('Black &amp; White load sheet'!F307,"AAAAAH//tpk=")</f>
        <v>0</v>
      </c>
      <c r="EY135" t="b">
        <f>AND('Black &amp; White load sheet'!G307,"AAAAAH//tpo=")</f>
        <v>0</v>
      </c>
      <c r="EZ135" t="b">
        <f>AND('Black &amp; White load sheet'!H307,"AAAAAH//tps=")</f>
        <v>0</v>
      </c>
      <c r="FA135" t="b">
        <f>AND('Black &amp; White load sheet'!I307,"AAAAAH//tpw=")</f>
        <v>0</v>
      </c>
      <c r="FB135" t="b">
        <f>AND('Black &amp; White load sheet'!J307,"AAAAAH//tp0=")</f>
        <v>1</v>
      </c>
      <c r="FC135" t="b">
        <f>AND('Black &amp; White load sheet'!K307,"AAAAAH//tp4=")</f>
        <v>0</v>
      </c>
      <c r="FD135" t="b">
        <f>AND('Black &amp; White load sheet'!L307,"AAAAAH//tp8=")</f>
        <v>0</v>
      </c>
      <c r="FE135" t="b">
        <f>AND('Black &amp; White load sheet'!M307,"AAAAAH//tqA=")</f>
        <v>1</v>
      </c>
      <c r="FF135" t="b">
        <f>AND('Black &amp; White load sheet'!N307,"AAAAAH//tqE=")</f>
        <v>1</v>
      </c>
      <c r="FG135" t="b">
        <f>AND('Black &amp; White load sheet'!O307,"AAAAAH//tqI=")</f>
        <v>1</v>
      </c>
      <c r="FH135">
        <f>IF('Black &amp; White load sheet'!308:308,"AAAAAH//tqM=",0)</f>
        <v>0</v>
      </c>
      <c r="FI135" t="b">
        <f>AND('Black &amp; White load sheet'!A308,"AAAAAH//tqQ=")</f>
        <v>1</v>
      </c>
      <c r="FJ135" t="b">
        <f>AND('Black &amp; White load sheet'!B308,"AAAAAH//tqU=")</f>
        <v>1</v>
      </c>
      <c r="FK135" t="b">
        <f>AND('Black &amp; White load sheet'!C308,"AAAAAH//tqY=")</f>
        <v>1</v>
      </c>
      <c r="FL135" t="b">
        <f>AND('Black &amp; White load sheet'!D308,"AAAAAH//tqc=")</f>
        <v>0</v>
      </c>
      <c r="FM135" t="b">
        <f>AND('Black &amp; White load sheet'!E308,"AAAAAH//tqg=")</f>
        <v>0</v>
      </c>
      <c r="FN135" t="b">
        <f>AND('Black &amp; White load sheet'!F308,"AAAAAH//tqk=")</f>
        <v>0</v>
      </c>
      <c r="FO135" t="b">
        <f>AND('Black &amp; White load sheet'!G308,"AAAAAH//tqo=")</f>
        <v>0</v>
      </c>
      <c r="FP135" t="b">
        <f>AND('Black &amp; White load sheet'!H308,"AAAAAH//tqs=")</f>
        <v>0</v>
      </c>
      <c r="FQ135" t="b">
        <f>AND('Black &amp; White load sheet'!I308,"AAAAAH//tqw=")</f>
        <v>1</v>
      </c>
      <c r="FR135" t="b">
        <f>AND('Black &amp; White load sheet'!J308,"AAAAAH//tq0=")</f>
        <v>0</v>
      </c>
      <c r="FS135" t="b">
        <f>AND('Black &amp; White load sheet'!K308,"AAAAAH//tq4=")</f>
        <v>0</v>
      </c>
      <c r="FT135" t="b">
        <f>AND('Black &amp; White load sheet'!L308,"AAAAAH//tq8=")</f>
        <v>0</v>
      </c>
      <c r="FU135" t="b">
        <f>AND('Black &amp; White load sheet'!M308,"AAAAAH//trA=")</f>
        <v>1</v>
      </c>
      <c r="FV135" t="b">
        <f>AND('Black &amp; White load sheet'!N308,"AAAAAH//trE=")</f>
        <v>1</v>
      </c>
      <c r="FW135" t="b">
        <f>AND('Black &amp; White load sheet'!O308,"AAAAAH//trI=")</f>
        <v>1</v>
      </c>
      <c r="FX135">
        <f>IF('Black &amp; White load sheet'!309:309,"AAAAAH//trM=",0)</f>
        <v>0</v>
      </c>
      <c r="FY135" t="b">
        <f>AND('Black &amp; White load sheet'!A309,"AAAAAH//trQ=")</f>
        <v>1</v>
      </c>
      <c r="FZ135" t="b">
        <f>AND('Black &amp; White load sheet'!B309,"AAAAAH//trU=")</f>
        <v>1</v>
      </c>
      <c r="GA135" t="b">
        <f>AND('Black &amp; White load sheet'!C309,"AAAAAH//trY=")</f>
        <v>1</v>
      </c>
      <c r="GB135" t="b">
        <f>AND('Black &amp; White load sheet'!D309,"AAAAAH//trc=")</f>
        <v>0</v>
      </c>
      <c r="GC135" t="b">
        <f>AND('Black &amp; White load sheet'!E309,"AAAAAH//trg=")</f>
        <v>0</v>
      </c>
      <c r="GD135" t="b">
        <f>AND('Black &amp; White load sheet'!F309,"AAAAAH//trk=")</f>
        <v>0</v>
      </c>
      <c r="GE135" t="b">
        <f>AND('Black &amp; White load sheet'!G309,"AAAAAH//tro=")</f>
        <v>0</v>
      </c>
      <c r="GF135" t="b">
        <f>AND('Black &amp; White load sheet'!H309,"AAAAAH//trs=")</f>
        <v>1</v>
      </c>
      <c r="GG135" t="b">
        <f>AND('Black &amp; White load sheet'!I309,"AAAAAH//trw=")</f>
        <v>0</v>
      </c>
      <c r="GH135" t="b">
        <f>AND('Black &amp; White load sheet'!J309,"AAAAAH//tr0=")</f>
        <v>0</v>
      </c>
      <c r="GI135" t="b">
        <f>AND('Black &amp; White load sheet'!K309,"AAAAAH//tr4=")</f>
        <v>0</v>
      </c>
      <c r="GJ135" t="b">
        <f>AND('Black &amp; White load sheet'!L309,"AAAAAH//tr8=")</f>
        <v>0</v>
      </c>
      <c r="GK135" t="b">
        <f>AND('Black &amp; White load sheet'!M309,"AAAAAH//tsA=")</f>
        <v>1</v>
      </c>
      <c r="GL135" t="b">
        <f>AND('Black &amp; White load sheet'!N309,"AAAAAH//tsE=")</f>
        <v>1</v>
      </c>
      <c r="GM135" t="b">
        <f>AND('Black &amp; White load sheet'!O309,"AAAAAH//tsI=")</f>
        <v>1</v>
      </c>
      <c r="GN135">
        <f>IF('Black &amp; White load sheet'!310:310,"AAAAAH//tsM=",0)</f>
        <v>0</v>
      </c>
      <c r="GO135" t="b">
        <f>AND('Black &amp; White load sheet'!A310,"AAAAAH//tsQ=")</f>
        <v>1</v>
      </c>
      <c r="GP135" t="b">
        <f>AND('Black &amp; White load sheet'!B310,"AAAAAH//tsU=")</f>
        <v>1</v>
      </c>
      <c r="GQ135" t="b">
        <f>AND('Black &amp; White load sheet'!C310,"AAAAAH//tsY=")</f>
        <v>1</v>
      </c>
      <c r="GR135" t="b">
        <f>AND('Black &amp; White load sheet'!D310,"AAAAAH//tsc=")</f>
        <v>0</v>
      </c>
      <c r="GS135" t="b">
        <f>AND('Black &amp; White load sheet'!E310,"AAAAAH//tsg=")</f>
        <v>0</v>
      </c>
      <c r="GT135" t="b">
        <f>AND('Black &amp; White load sheet'!F310,"AAAAAH//tsk=")</f>
        <v>0</v>
      </c>
      <c r="GU135" t="b">
        <f>AND('Black &amp; White load sheet'!G310,"AAAAAH//tso=")</f>
        <v>0</v>
      </c>
      <c r="GV135" t="b">
        <f>AND('Black &amp; White load sheet'!H310,"AAAAAH//tss=")</f>
        <v>1</v>
      </c>
      <c r="GW135" t="b">
        <f>AND('Black &amp; White load sheet'!I310,"AAAAAH//tsw=")</f>
        <v>0</v>
      </c>
      <c r="GX135" t="b">
        <f>AND('Black &amp; White load sheet'!J310,"AAAAAH//ts0=")</f>
        <v>0</v>
      </c>
      <c r="GY135" t="b">
        <f>AND('Black &amp; White load sheet'!K310,"AAAAAH//ts4=")</f>
        <v>0</v>
      </c>
      <c r="GZ135" t="b">
        <f>AND('Black &amp; White load sheet'!L310,"AAAAAH//ts8=")</f>
        <v>1</v>
      </c>
      <c r="HA135" t="b">
        <f>AND('Black &amp; White load sheet'!M310,"AAAAAH//ttA=")</f>
        <v>1</v>
      </c>
      <c r="HB135" t="b">
        <f>AND('Black &amp; White load sheet'!N310,"AAAAAH//ttE=")</f>
        <v>1</v>
      </c>
      <c r="HC135" t="b">
        <f>AND('Black &amp; White load sheet'!O310,"AAAAAH//ttI=")</f>
        <v>1</v>
      </c>
      <c r="HD135">
        <f>IF('Black &amp; White load sheet'!311:311,"AAAAAH//ttM=",0)</f>
        <v>0</v>
      </c>
      <c r="HE135" t="b">
        <f>AND('Black &amp; White load sheet'!A311,"AAAAAH//ttQ=")</f>
        <v>1</v>
      </c>
      <c r="HF135" t="b">
        <f>AND('Black &amp; White load sheet'!B311,"AAAAAH//ttU=")</f>
        <v>1</v>
      </c>
      <c r="HG135" t="b">
        <f>AND('Black &amp; White load sheet'!C311,"AAAAAH//ttY=")</f>
        <v>1</v>
      </c>
      <c r="HH135" t="b">
        <f>AND('Black &amp; White load sheet'!D311,"AAAAAH//ttc=")</f>
        <v>0</v>
      </c>
      <c r="HI135" t="b">
        <f>AND('Black &amp; White load sheet'!E311,"AAAAAH//ttg=")</f>
        <v>0</v>
      </c>
      <c r="HJ135" t="b">
        <f>AND('Black &amp; White load sheet'!F311,"AAAAAH//ttk=")</f>
        <v>0</v>
      </c>
      <c r="HK135" t="b">
        <f>AND('Black &amp; White load sheet'!G311,"AAAAAH//tto=")</f>
        <v>0</v>
      </c>
      <c r="HL135" t="b">
        <f>AND('Black &amp; White load sheet'!H311,"AAAAAH//tts=")</f>
        <v>1</v>
      </c>
      <c r="HM135" t="b">
        <f>AND('Black &amp; White load sheet'!I311,"AAAAAH//ttw=")</f>
        <v>0</v>
      </c>
      <c r="HN135" t="b">
        <f>AND('Black &amp; White load sheet'!J311,"AAAAAH//tt0=")</f>
        <v>0</v>
      </c>
      <c r="HO135" t="b">
        <f>AND('Black &amp; White load sheet'!K311,"AAAAAH//tt4=")</f>
        <v>1</v>
      </c>
      <c r="HP135" t="b">
        <f>AND('Black &amp; White load sheet'!L311,"AAAAAH//tt8=")</f>
        <v>0</v>
      </c>
      <c r="HQ135" t="b">
        <f>AND('Black &amp; White load sheet'!M311,"AAAAAH//tuA=")</f>
        <v>1</v>
      </c>
      <c r="HR135" t="b">
        <f>AND('Black &amp; White load sheet'!N311,"AAAAAH//tuE=")</f>
        <v>1</v>
      </c>
      <c r="HS135" t="b">
        <f>AND('Black &amp; White load sheet'!O311,"AAAAAH//tuI=")</f>
        <v>1</v>
      </c>
      <c r="HT135">
        <f>IF('Black &amp; White load sheet'!312:312,"AAAAAH//tuM=",0)</f>
        <v>0</v>
      </c>
      <c r="HU135" t="b">
        <f>AND('Black &amp; White load sheet'!A312,"AAAAAH//tuQ=")</f>
        <v>1</v>
      </c>
      <c r="HV135" t="b">
        <f>AND('Black &amp; White load sheet'!B312,"AAAAAH//tuU=")</f>
        <v>1</v>
      </c>
      <c r="HW135" t="b">
        <f>AND('Black &amp; White load sheet'!C312,"AAAAAH//tuY=")</f>
        <v>1</v>
      </c>
      <c r="HX135" t="b">
        <f>AND('Black &amp; White load sheet'!D312,"AAAAAH//tuc=")</f>
        <v>0</v>
      </c>
      <c r="HY135" t="b">
        <f>AND('Black &amp; White load sheet'!E312,"AAAAAH//tug=")</f>
        <v>0</v>
      </c>
      <c r="HZ135" t="b">
        <f>AND('Black &amp; White load sheet'!F312,"AAAAAH//tuk=")</f>
        <v>0</v>
      </c>
      <c r="IA135" t="b">
        <f>AND('Black &amp; White load sheet'!G312,"AAAAAH//tuo=")</f>
        <v>0</v>
      </c>
      <c r="IB135" t="b">
        <f>AND('Black &amp; White load sheet'!H312,"AAAAAH//tus=")</f>
        <v>1</v>
      </c>
      <c r="IC135" t="b">
        <f>AND('Black &amp; White load sheet'!I312,"AAAAAH//tuw=")</f>
        <v>0</v>
      </c>
      <c r="ID135" t="b">
        <f>AND('Black &amp; White load sheet'!J312,"AAAAAH//tu0=")</f>
        <v>1</v>
      </c>
      <c r="IE135" t="b">
        <f>AND('Black &amp; White load sheet'!K312,"AAAAAH//tu4=")</f>
        <v>0</v>
      </c>
      <c r="IF135" t="b">
        <f>AND('Black &amp; White load sheet'!L312,"AAAAAH//tu8=")</f>
        <v>0</v>
      </c>
      <c r="IG135" t="b">
        <f>AND('Black &amp; White load sheet'!M312,"AAAAAH//tvA=")</f>
        <v>1</v>
      </c>
      <c r="IH135" t="b">
        <f>AND('Black &amp; White load sheet'!N312,"AAAAAH//tvE=")</f>
        <v>1</v>
      </c>
      <c r="II135" t="b">
        <f>AND('Black &amp; White load sheet'!O312,"AAAAAH//tvI=")</f>
        <v>1</v>
      </c>
      <c r="IJ135">
        <f>IF('Black &amp; White load sheet'!313:313,"AAAAAH//tvM=",0)</f>
        <v>0</v>
      </c>
      <c r="IK135" t="b">
        <f>AND('Black &amp; White load sheet'!A313,"AAAAAH//tvQ=")</f>
        <v>1</v>
      </c>
      <c r="IL135" t="b">
        <f>AND('Black &amp; White load sheet'!B313,"AAAAAH//tvU=")</f>
        <v>1</v>
      </c>
      <c r="IM135" t="b">
        <f>AND('Black &amp; White load sheet'!C313,"AAAAAH//tvY=")</f>
        <v>1</v>
      </c>
      <c r="IN135" t="b">
        <f>AND('Black &amp; White load sheet'!D313,"AAAAAH//tvc=")</f>
        <v>0</v>
      </c>
      <c r="IO135" t="b">
        <f>AND('Black &amp; White load sheet'!E313,"AAAAAH//tvg=")</f>
        <v>0</v>
      </c>
      <c r="IP135" t="b">
        <f>AND('Black &amp; White load sheet'!F313,"AAAAAH//tvk=")</f>
        <v>0</v>
      </c>
      <c r="IQ135" t="b">
        <f>AND('Black &amp; White load sheet'!G313,"AAAAAH//tvo=")</f>
        <v>0</v>
      </c>
      <c r="IR135" t="b">
        <f>AND('Black &amp; White load sheet'!H313,"AAAAAH//tvs=")</f>
        <v>1</v>
      </c>
      <c r="IS135" t="b">
        <f>AND('Black &amp; White load sheet'!I313,"AAAAAH//tvw=")</f>
        <v>1</v>
      </c>
      <c r="IT135" t="b">
        <f>AND('Black &amp; White load sheet'!J313,"AAAAAH//tv0=")</f>
        <v>0</v>
      </c>
      <c r="IU135" t="b">
        <f>AND('Black &amp; White load sheet'!K313,"AAAAAH//tv4=")</f>
        <v>0</v>
      </c>
      <c r="IV135" t="b">
        <f>AND('Black &amp; White load sheet'!L313,"AAAAAH//tv8=")</f>
        <v>0</v>
      </c>
    </row>
    <row r="136" spans="1:256">
      <c r="A136" t="b">
        <f>AND('Black &amp; White load sheet'!M313,"AAAAAF/1/QA=")</f>
        <v>1</v>
      </c>
      <c r="B136" t="b">
        <f>AND('Black &amp; White load sheet'!N313,"AAAAAF/1/QE=")</f>
        <v>1</v>
      </c>
      <c r="C136" t="b">
        <f>AND('Black &amp; White load sheet'!O313,"AAAAAF/1/QI=")</f>
        <v>1</v>
      </c>
      <c r="D136">
        <f>IF('Black &amp; White load sheet'!314:314,"AAAAAF/1/QM=",0)</f>
        <v>0</v>
      </c>
      <c r="E136" t="b">
        <f>AND('Black &amp; White load sheet'!A314,"AAAAAF/1/QQ=")</f>
        <v>1</v>
      </c>
      <c r="F136" t="b">
        <f>AND('Black &amp; White load sheet'!B314,"AAAAAF/1/QU=")</f>
        <v>1</v>
      </c>
      <c r="G136" t="b">
        <f>AND('Black &amp; White load sheet'!C314,"AAAAAF/1/QY=")</f>
        <v>1</v>
      </c>
      <c r="H136" t="b">
        <f>AND('Black &amp; White load sheet'!D314,"AAAAAF/1/Qc=")</f>
        <v>0</v>
      </c>
      <c r="I136" t="b">
        <f>AND('Black &amp; White load sheet'!E314,"AAAAAF/1/Qg=")</f>
        <v>0</v>
      </c>
      <c r="J136" t="b">
        <f>AND('Black &amp; White load sheet'!F314,"AAAAAF/1/Qk=")</f>
        <v>0</v>
      </c>
      <c r="K136" t="b">
        <f>AND('Black &amp; White load sheet'!G314,"AAAAAF/1/Qo=")</f>
        <v>1</v>
      </c>
      <c r="L136" t="b">
        <f>AND('Black &amp; White load sheet'!H314,"AAAAAF/1/Qs=")</f>
        <v>0</v>
      </c>
      <c r="M136" t="b">
        <f>AND('Black &amp; White load sheet'!I314,"AAAAAF/1/Qw=")</f>
        <v>0</v>
      </c>
      <c r="N136" t="b">
        <f>AND('Black &amp; White load sheet'!J314,"AAAAAF/1/Q0=")</f>
        <v>0</v>
      </c>
      <c r="O136" t="b">
        <f>AND('Black &amp; White load sheet'!K314,"AAAAAF/1/Q4=")</f>
        <v>0</v>
      </c>
      <c r="P136" t="b">
        <f>AND('Black &amp; White load sheet'!L314,"AAAAAF/1/Q8=")</f>
        <v>0</v>
      </c>
      <c r="Q136" t="b">
        <f>AND('Black &amp; White load sheet'!M314,"AAAAAF/1/RA=")</f>
        <v>1</v>
      </c>
      <c r="R136" t="b">
        <f>AND('Black &amp; White load sheet'!N314,"AAAAAF/1/RE=")</f>
        <v>1</v>
      </c>
      <c r="S136" t="b">
        <f>AND('Black &amp; White load sheet'!O314,"AAAAAF/1/RI=")</f>
        <v>1</v>
      </c>
      <c r="T136">
        <f>IF('Black &amp; White load sheet'!315:315,"AAAAAF/1/RM=",0)</f>
        <v>0</v>
      </c>
      <c r="U136" t="b">
        <f>AND('Black &amp; White load sheet'!A315,"AAAAAF/1/RQ=")</f>
        <v>1</v>
      </c>
      <c r="V136" t="b">
        <f>AND('Black &amp; White load sheet'!B315,"AAAAAF/1/RU=")</f>
        <v>1</v>
      </c>
      <c r="W136" t="b">
        <f>AND('Black &amp; White load sheet'!C315,"AAAAAF/1/RY=")</f>
        <v>1</v>
      </c>
      <c r="X136" t="b">
        <f>AND('Black &amp; White load sheet'!D315,"AAAAAF/1/Rc=")</f>
        <v>0</v>
      </c>
      <c r="Y136" t="b">
        <f>AND('Black &amp; White load sheet'!E315,"AAAAAF/1/Rg=")</f>
        <v>0</v>
      </c>
      <c r="Z136" t="b">
        <f>AND('Black &amp; White load sheet'!F315,"AAAAAF/1/Rk=")</f>
        <v>0</v>
      </c>
      <c r="AA136" t="b">
        <f>AND('Black &amp; White load sheet'!G315,"AAAAAF/1/Ro=")</f>
        <v>1</v>
      </c>
      <c r="AB136" t="b">
        <f>AND('Black &amp; White load sheet'!H315,"AAAAAF/1/Rs=")</f>
        <v>0</v>
      </c>
      <c r="AC136" t="b">
        <f>AND('Black &amp; White load sheet'!I315,"AAAAAF/1/Rw=")</f>
        <v>0</v>
      </c>
      <c r="AD136" t="b">
        <f>AND('Black &amp; White load sheet'!J315,"AAAAAF/1/R0=")</f>
        <v>0</v>
      </c>
      <c r="AE136" t="b">
        <f>AND('Black &amp; White load sheet'!K315,"AAAAAF/1/R4=")</f>
        <v>0</v>
      </c>
      <c r="AF136" t="b">
        <f>AND('Black &amp; White load sheet'!L315,"AAAAAF/1/R8=")</f>
        <v>1</v>
      </c>
      <c r="AG136" t="b">
        <f>AND('Black &amp; White load sheet'!M315,"AAAAAF/1/SA=")</f>
        <v>1</v>
      </c>
      <c r="AH136" t="b">
        <f>AND('Black &amp; White load sheet'!N315,"AAAAAF/1/SE=")</f>
        <v>1</v>
      </c>
      <c r="AI136" t="b">
        <f>AND('Black &amp; White load sheet'!O315,"AAAAAF/1/SI=")</f>
        <v>1</v>
      </c>
      <c r="AJ136">
        <f>IF('Black &amp; White load sheet'!316:316,"AAAAAF/1/SM=",0)</f>
        <v>0</v>
      </c>
      <c r="AK136" t="b">
        <f>AND('Black &amp; White load sheet'!A316,"AAAAAF/1/SQ=")</f>
        <v>1</v>
      </c>
      <c r="AL136" t="b">
        <f>AND('Black &amp; White load sheet'!B316,"AAAAAF/1/SU=")</f>
        <v>1</v>
      </c>
      <c r="AM136" t="b">
        <f>AND('Black &amp; White load sheet'!C316,"AAAAAF/1/SY=")</f>
        <v>1</v>
      </c>
      <c r="AN136" t="b">
        <f>AND('Black &amp; White load sheet'!D316,"AAAAAF/1/Sc=")</f>
        <v>0</v>
      </c>
      <c r="AO136" t="b">
        <f>AND('Black &amp; White load sheet'!E316,"AAAAAF/1/Sg=")</f>
        <v>0</v>
      </c>
      <c r="AP136" t="b">
        <f>AND('Black &amp; White load sheet'!F316,"AAAAAF/1/Sk=")</f>
        <v>0</v>
      </c>
      <c r="AQ136" t="b">
        <f>AND('Black &amp; White load sheet'!G316,"AAAAAF/1/So=")</f>
        <v>1</v>
      </c>
      <c r="AR136" t="b">
        <f>AND('Black &amp; White load sheet'!H316,"AAAAAF/1/Ss=")</f>
        <v>0</v>
      </c>
      <c r="AS136" t="b">
        <f>AND('Black &amp; White load sheet'!I316,"AAAAAF/1/Sw=")</f>
        <v>0</v>
      </c>
      <c r="AT136" t="b">
        <f>AND('Black &amp; White load sheet'!J316,"AAAAAF/1/S0=")</f>
        <v>0</v>
      </c>
      <c r="AU136" t="b">
        <f>AND('Black &amp; White load sheet'!K316,"AAAAAF/1/S4=")</f>
        <v>1</v>
      </c>
      <c r="AV136" t="b">
        <f>AND('Black &amp; White load sheet'!L316,"AAAAAF/1/S8=")</f>
        <v>0</v>
      </c>
      <c r="AW136" t="b">
        <f>AND('Black &amp; White load sheet'!M316,"AAAAAF/1/TA=")</f>
        <v>1</v>
      </c>
      <c r="AX136" t="b">
        <f>AND('Black &amp; White load sheet'!N316,"AAAAAF/1/TE=")</f>
        <v>1</v>
      </c>
      <c r="AY136" t="b">
        <f>AND('Black &amp; White load sheet'!O316,"AAAAAF/1/TI=")</f>
        <v>1</v>
      </c>
      <c r="AZ136">
        <f>IF('Black &amp; White load sheet'!317:317,"AAAAAF/1/TM=",0)</f>
        <v>0</v>
      </c>
      <c r="BA136" t="b">
        <f>AND('Black &amp; White load sheet'!A317,"AAAAAF/1/TQ=")</f>
        <v>1</v>
      </c>
      <c r="BB136" t="b">
        <f>AND('Black &amp; White load sheet'!B317,"AAAAAF/1/TU=")</f>
        <v>1</v>
      </c>
      <c r="BC136" t="b">
        <f>AND('Black &amp; White load sheet'!C317,"AAAAAF/1/TY=")</f>
        <v>1</v>
      </c>
      <c r="BD136" t="b">
        <f>AND('Black &amp; White load sheet'!D317,"AAAAAF/1/Tc=")</f>
        <v>0</v>
      </c>
      <c r="BE136" t="b">
        <f>AND('Black &amp; White load sheet'!E317,"AAAAAF/1/Tg=")</f>
        <v>0</v>
      </c>
      <c r="BF136" t="b">
        <f>AND('Black &amp; White load sheet'!F317,"AAAAAF/1/Tk=")</f>
        <v>0</v>
      </c>
      <c r="BG136" t="b">
        <f>AND('Black &amp; White load sheet'!G317,"AAAAAF/1/To=")</f>
        <v>1</v>
      </c>
      <c r="BH136" t="b">
        <f>AND('Black &amp; White load sheet'!H317,"AAAAAF/1/Ts=")</f>
        <v>0</v>
      </c>
      <c r="BI136" t="b">
        <f>AND('Black &amp; White load sheet'!I317,"AAAAAF/1/Tw=")</f>
        <v>0</v>
      </c>
      <c r="BJ136" t="b">
        <f>AND('Black &amp; White load sheet'!J317,"AAAAAF/1/T0=")</f>
        <v>1</v>
      </c>
      <c r="BK136" t="b">
        <f>AND('Black &amp; White load sheet'!K317,"AAAAAF/1/T4=")</f>
        <v>0</v>
      </c>
      <c r="BL136" t="b">
        <f>AND('Black &amp; White load sheet'!L317,"AAAAAF/1/T8=")</f>
        <v>0</v>
      </c>
      <c r="BM136" t="b">
        <f>AND('Black &amp; White load sheet'!M317,"AAAAAF/1/UA=")</f>
        <v>1</v>
      </c>
      <c r="BN136" t="b">
        <f>AND('Black &amp; White load sheet'!N317,"AAAAAF/1/UE=")</f>
        <v>1</v>
      </c>
      <c r="BO136" t="b">
        <f>AND('Black &amp; White load sheet'!O317,"AAAAAF/1/UI=")</f>
        <v>1</v>
      </c>
      <c r="BP136">
        <f>IF('Black &amp; White load sheet'!318:318,"AAAAAF/1/UM=",0)</f>
        <v>0</v>
      </c>
      <c r="BQ136" t="b">
        <f>AND('Black &amp; White load sheet'!A318,"AAAAAF/1/UQ=")</f>
        <v>1</v>
      </c>
      <c r="BR136" t="b">
        <f>AND('Black &amp; White load sheet'!B318,"AAAAAF/1/UU=")</f>
        <v>1</v>
      </c>
      <c r="BS136" t="b">
        <f>AND('Black &amp; White load sheet'!C318,"AAAAAF/1/UY=")</f>
        <v>1</v>
      </c>
      <c r="BT136" t="b">
        <f>AND('Black &amp; White load sheet'!D318,"AAAAAF/1/Uc=")</f>
        <v>0</v>
      </c>
      <c r="BU136" t="b">
        <f>AND('Black &amp; White load sheet'!E318,"AAAAAF/1/Ug=")</f>
        <v>0</v>
      </c>
      <c r="BV136" t="b">
        <f>AND('Black &amp; White load sheet'!F318,"AAAAAF/1/Uk=")</f>
        <v>0</v>
      </c>
      <c r="BW136" t="b">
        <f>AND('Black &amp; White load sheet'!G318,"AAAAAF/1/Uo=")</f>
        <v>1</v>
      </c>
      <c r="BX136" t="b">
        <f>AND('Black &amp; White load sheet'!H318,"AAAAAF/1/Us=")</f>
        <v>0</v>
      </c>
      <c r="BY136" t="b">
        <f>AND('Black &amp; White load sheet'!I318,"AAAAAF/1/Uw=")</f>
        <v>1</v>
      </c>
      <c r="BZ136" t="b">
        <f>AND('Black &amp; White load sheet'!J318,"AAAAAF/1/U0=")</f>
        <v>0</v>
      </c>
      <c r="CA136" t="b">
        <f>AND('Black &amp; White load sheet'!K318,"AAAAAF/1/U4=")</f>
        <v>0</v>
      </c>
      <c r="CB136" t="b">
        <f>AND('Black &amp; White load sheet'!L318,"AAAAAF/1/U8=")</f>
        <v>0</v>
      </c>
      <c r="CC136" t="b">
        <f>AND('Black &amp; White load sheet'!M318,"AAAAAF/1/VA=")</f>
        <v>1</v>
      </c>
      <c r="CD136" t="b">
        <f>AND('Black &amp; White load sheet'!N318,"AAAAAF/1/VE=")</f>
        <v>1</v>
      </c>
      <c r="CE136" t="b">
        <f>AND('Black &amp; White load sheet'!O318,"AAAAAF/1/VI=")</f>
        <v>1</v>
      </c>
      <c r="CF136">
        <f>IF('Black &amp; White load sheet'!319:319,"AAAAAF/1/VM=",0)</f>
        <v>0</v>
      </c>
      <c r="CG136" t="b">
        <f>AND('Black &amp; White load sheet'!A319,"AAAAAF/1/VQ=")</f>
        <v>1</v>
      </c>
      <c r="CH136" t="b">
        <f>AND('Black &amp; White load sheet'!B319,"AAAAAF/1/VU=")</f>
        <v>1</v>
      </c>
      <c r="CI136" t="b">
        <f>AND('Black &amp; White load sheet'!C319,"AAAAAF/1/VY=")</f>
        <v>1</v>
      </c>
      <c r="CJ136" t="b">
        <f>AND('Black &amp; White load sheet'!D319,"AAAAAF/1/Vc=")</f>
        <v>0</v>
      </c>
      <c r="CK136" t="b">
        <f>AND('Black &amp; White load sheet'!E319,"AAAAAF/1/Vg=")</f>
        <v>0</v>
      </c>
      <c r="CL136" t="b">
        <f>AND('Black &amp; White load sheet'!F319,"AAAAAF/1/Vk=")</f>
        <v>0</v>
      </c>
      <c r="CM136" t="b">
        <f>AND('Black &amp; White load sheet'!G319,"AAAAAF/1/Vo=")</f>
        <v>1</v>
      </c>
      <c r="CN136" t="b">
        <f>AND('Black &amp; White load sheet'!H319,"AAAAAF/1/Vs=")</f>
        <v>1</v>
      </c>
      <c r="CO136" t="b">
        <f>AND('Black &amp; White load sheet'!I319,"AAAAAF/1/Vw=")</f>
        <v>0</v>
      </c>
      <c r="CP136" t="b">
        <f>AND('Black &amp; White load sheet'!J319,"AAAAAF/1/V0=")</f>
        <v>0</v>
      </c>
      <c r="CQ136" t="b">
        <f>AND('Black &amp; White load sheet'!K319,"AAAAAF/1/V4=")</f>
        <v>0</v>
      </c>
      <c r="CR136" t="b">
        <f>AND('Black &amp; White load sheet'!L319,"AAAAAF/1/V8=")</f>
        <v>0</v>
      </c>
      <c r="CS136" t="b">
        <f>AND('Black &amp; White load sheet'!M319,"AAAAAF/1/WA=")</f>
        <v>1</v>
      </c>
      <c r="CT136" t="b">
        <f>AND('Black &amp; White load sheet'!N319,"AAAAAF/1/WE=")</f>
        <v>1</v>
      </c>
      <c r="CU136" t="b">
        <f>AND('Black &amp; White load sheet'!O319,"AAAAAF/1/WI=")</f>
        <v>1</v>
      </c>
      <c r="CV136">
        <f>IF('Black &amp; White load sheet'!320:320,"AAAAAF/1/WM=",0)</f>
        <v>0</v>
      </c>
      <c r="CW136" t="b">
        <f>AND('Black &amp; White load sheet'!A320,"AAAAAF/1/WQ=")</f>
        <v>1</v>
      </c>
      <c r="CX136" t="b">
        <f>AND('Black &amp; White load sheet'!B320,"AAAAAF/1/WU=")</f>
        <v>1</v>
      </c>
      <c r="CY136" t="b">
        <f>AND('Black &amp; White load sheet'!C320,"AAAAAF/1/WY=")</f>
        <v>1</v>
      </c>
      <c r="CZ136" t="b">
        <f>AND('Black &amp; White load sheet'!D320,"AAAAAF/1/Wc=")</f>
        <v>0</v>
      </c>
      <c r="DA136" t="b">
        <f>AND('Black &amp; White load sheet'!E320,"AAAAAF/1/Wg=")</f>
        <v>0</v>
      </c>
      <c r="DB136" t="b">
        <f>AND('Black &amp; White load sheet'!F320,"AAAAAF/1/Wk=")</f>
        <v>0</v>
      </c>
      <c r="DC136" t="b">
        <f>AND('Black &amp; White load sheet'!G320,"AAAAAF/1/Wo=")</f>
        <v>1</v>
      </c>
      <c r="DD136" t="b">
        <f>AND('Black &amp; White load sheet'!H320,"AAAAAF/1/Ws=")</f>
        <v>1</v>
      </c>
      <c r="DE136" t="b">
        <f>AND('Black &amp; White load sheet'!I320,"AAAAAF/1/Ww=")</f>
        <v>0</v>
      </c>
      <c r="DF136" t="b">
        <f>AND('Black &amp; White load sheet'!J320,"AAAAAF/1/W0=")</f>
        <v>0</v>
      </c>
      <c r="DG136" t="b">
        <f>AND('Black &amp; White load sheet'!K320,"AAAAAF/1/W4=")</f>
        <v>0</v>
      </c>
      <c r="DH136" t="b">
        <f>AND('Black &amp; White load sheet'!L320,"AAAAAF/1/W8=")</f>
        <v>1</v>
      </c>
      <c r="DI136" t="b">
        <f>AND('Black &amp; White load sheet'!M320,"AAAAAF/1/XA=")</f>
        <v>1</v>
      </c>
      <c r="DJ136" t="b">
        <f>AND('Black &amp; White load sheet'!N320,"AAAAAF/1/XE=")</f>
        <v>1</v>
      </c>
      <c r="DK136" t="b">
        <f>AND('Black &amp; White load sheet'!O320,"AAAAAF/1/XI=")</f>
        <v>1</v>
      </c>
      <c r="DL136">
        <f>IF('Black &amp; White load sheet'!321:321,"AAAAAF/1/XM=",0)</f>
        <v>0</v>
      </c>
      <c r="DM136" t="b">
        <f>AND('Black &amp; White load sheet'!A321,"AAAAAF/1/XQ=")</f>
        <v>1</v>
      </c>
      <c r="DN136" t="b">
        <f>AND('Black &amp; White load sheet'!B321,"AAAAAF/1/XU=")</f>
        <v>1</v>
      </c>
      <c r="DO136" t="b">
        <f>AND('Black &amp; White load sheet'!C321,"AAAAAF/1/XY=")</f>
        <v>1</v>
      </c>
      <c r="DP136" t="b">
        <f>AND('Black &amp; White load sheet'!D321,"AAAAAF/1/Xc=")</f>
        <v>0</v>
      </c>
      <c r="DQ136" t="b">
        <f>AND('Black &amp; White load sheet'!E321,"AAAAAF/1/Xg=")</f>
        <v>0</v>
      </c>
      <c r="DR136" t="b">
        <f>AND('Black &amp; White load sheet'!F321,"AAAAAF/1/Xk=")</f>
        <v>0</v>
      </c>
      <c r="DS136" t="b">
        <f>AND('Black &amp; White load sheet'!G321,"AAAAAF/1/Xo=")</f>
        <v>1</v>
      </c>
      <c r="DT136" t="b">
        <f>AND('Black &amp; White load sheet'!H321,"AAAAAF/1/Xs=")</f>
        <v>1</v>
      </c>
      <c r="DU136" t="b">
        <f>AND('Black &amp; White load sheet'!I321,"AAAAAF/1/Xw=")</f>
        <v>0</v>
      </c>
      <c r="DV136" t="b">
        <f>AND('Black &amp; White load sheet'!J321,"AAAAAF/1/X0=")</f>
        <v>0</v>
      </c>
      <c r="DW136" t="b">
        <f>AND('Black &amp; White load sheet'!K321,"AAAAAF/1/X4=")</f>
        <v>1</v>
      </c>
      <c r="DX136" t="b">
        <f>AND('Black &amp; White load sheet'!L321,"AAAAAF/1/X8=")</f>
        <v>0</v>
      </c>
      <c r="DY136" t="b">
        <f>AND('Black &amp; White load sheet'!M321,"AAAAAF/1/YA=")</f>
        <v>1</v>
      </c>
      <c r="DZ136" t="b">
        <f>AND('Black &amp; White load sheet'!N321,"AAAAAF/1/YE=")</f>
        <v>1</v>
      </c>
      <c r="EA136" t="b">
        <f>AND('Black &amp; White load sheet'!O321,"AAAAAF/1/YI=")</f>
        <v>1</v>
      </c>
      <c r="EB136">
        <f>IF('Black &amp; White load sheet'!322:322,"AAAAAF/1/YM=",0)</f>
        <v>0</v>
      </c>
      <c r="EC136" t="b">
        <f>AND('Black &amp; White load sheet'!A322,"AAAAAF/1/YQ=")</f>
        <v>1</v>
      </c>
      <c r="ED136" t="b">
        <f>AND('Black &amp; White load sheet'!B322,"AAAAAF/1/YU=")</f>
        <v>1</v>
      </c>
      <c r="EE136" t="b">
        <f>AND('Black &amp; White load sheet'!C322,"AAAAAF/1/YY=")</f>
        <v>1</v>
      </c>
      <c r="EF136" t="b">
        <f>AND('Black &amp; White load sheet'!D322,"AAAAAF/1/Yc=")</f>
        <v>0</v>
      </c>
      <c r="EG136" t="b">
        <f>AND('Black &amp; White load sheet'!E322,"AAAAAF/1/Yg=")</f>
        <v>0</v>
      </c>
      <c r="EH136" t="b">
        <f>AND('Black &amp; White load sheet'!F322,"AAAAAF/1/Yk=")</f>
        <v>0</v>
      </c>
      <c r="EI136" t="b">
        <f>AND('Black &amp; White load sheet'!G322,"AAAAAF/1/Yo=")</f>
        <v>1</v>
      </c>
      <c r="EJ136" t="b">
        <f>AND('Black &amp; White load sheet'!H322,"AAAAAF/1/Ys=")</f>
        <v>1</v>
      </c>
      <c r="EK136" t="b">
        <f>AND('Black &amp; White load sheet'!I322,"AAAAAF/1/Yw=")</f>
        <v>0</v>
      </c>
      <c r="EL136" t="b">
        <f>AND('Black &amp; White load sheet'!J322,"AAAAAF/1/Y0=")</f>
        <v>1</v>
      </c>
      <c r="EM136" t="b">
        <f>AND('Black &amp; White load sheet'!K322,"AAAAAF/1/Y4=")</f>
        <v>0</v>
      </c>
      <c r="EN136" t="b">
        <f>AND('Black &amp; White load sheet'!L322,"AAAAAF/1/Y8=")</f>
        <v>0</v>
      </c>
      <c r="EO136" t="b">
        <f>AND('Black &amp; White load sheet'!M322,"AAAAAF/1/ZA=")</f>
        <v>1</v>
      </c>
      <c r="EP136" t="b">
        <f>AND('Black &amp; White load sheet'!N322,"AAAAAF/1/ZE=")</f>
        <v>1</v>
      </c>
      <c r="EQ136" t="b">
        <f>AND('Black &amp; White load sheet'!O322,"AAAAAF/1/ZI=")</f>
        <v>1</v>
      </c>
      <c r="ER136">
        <f>IF('Black &amp; White load sheet'!323:323,"AAAAAF/1/ZM=",0)</f>
        <v>0</v>
      </c>
      <c r="ES136" t="b">
        <f>AND('Black &amp; White load sheet'!A323,"AAAAAF/1/ZQ=")</f>
        <v>1</v>
      </c>
      <c r="ET136" t="b">
        <f>AND('Black &amp; White load sheet'!B323,"AAAAAF/1/ZU=")</f>
        <v>1</v>
      </c>
      <c r="EU136" t="b">
        <f>AND('Black &amp; White load sheet'!C323,"AAAAAF/1/ZY=")</f>
        <v>1</v>
      </c>
      <c r="EV136" t="b">
        <f>AND('Black &amp; White load sheet'!D323,"AAAAAF/1/Zc=")</f>
        <v>0</v>
      </c>
      <c r="EW136" t="b">
        <f>AND('Black &amp; White load sheet'!E323,"AAAAAF/1/Zg=")</f>
        <v>0</v>
      </c>
      <c r="EX136" t="b">
        <f>AND('Black &amp; White load sheet'!F323,"AAAAAF/1/Zk=")</f>
        <v>0</v>
      </c>
      <c r="EY136" t="b">
        <f>AND('Black &amp; White load sheet'!G323,"AAAAAF/1/Zo=")</f>
        <v>1</v>
      </c>
      <c r="EZ136" t="b">
        <f>AND('Black &amp; White load sheet'!H323,"AAAAAF/1/Zs=")</f>
        <v>1</v>
      </c>
      <c r="FA136" t="b">
        <f>AND('Black &amp; White load sheet'!I323,"AAAAAF/1/Zw=")</f>
        <v>1</v>
      </c>
      <c r="FB136" t="b">
        <f>AND('Black &amp; White load sheet'!J323,"AAAAAF/1/Z0=")</f>
        <v>0</v>
      </c>
      <c r="FC136" t="b">
        <f>AND('Black &amp; White load sheet'!K323,"AAAAAF/1/Z4=")</f>
        <v>0</v>
      </c>
      <c r="FD136" t="b">
        <f>AND('Black &amp; White load sheet'!L323,"AAAAAF/1/Z8=")</f>
        <v>0</v>
      </c>
      <c r="FE136" t="b">
        <f>AND('Black &amp; White load sheet'!M323,"AAAAAF/1/aA=")</f>
        <v>1</v>
      </c>
      <c r="FF136" t="b">
        <f>AND('Black &amp; White load sheet'!N323,"AAAAAF/1/aE=")</f>
        <v>1</v>
      </c>
      <c r="FG136" t="b">
        <f>AND('Black &amp; White load sheet'!O323,"AAAAAF/1/aI=")</f>
        <v>1</v>
      </c>
      <c r="FH136">
        <f>IF('Black &amp; White load sheet'!324:324,"AAAAAF/1/aM=",0)</f>
        <v>0</v>
      </c>
      <c r="FI136" t="b">
        <f>AND('Black &amp; White load sheet'!A324,"AAAAAF/1/aQ=")</f>
        <v>1</v>
      </c>
      <c r="FJ136" t="b">
        <f>AND('Black &amp; White load sheet'!B324,"AAAAAF/1/aU=")</f>
        <v>1</v>
      </c>
      <c r="FK136" t="b">
        <f>AND('Black &amp; White load sheet'!C324,"AAAAAF/1/aY=")</f>
        <v>1</v>
      </c>
      <c r="FL136" t="b">
        <f>AND('Black &amp; White load sheet'!D324,"AAAAAF/1/ac=")</f>
        <v>0</v>
      </c>
      <c r="FM136" t="b">
        <f>AND('Black &amp; White load sheet'!E324,"AAAAAF/1/ag=")</f>
        <v>0</v>
      </c>
      <c r="FN136" t="b">
        <f>AND('Black &amp; White load sheet'!F324,"AAAAAF/1/ak=")</f>
        <v>1</v>
      </c>
      <c r="FO136" t="b">
        <f>AND('Black &amp; White load sheet'!G324,"AAAAAF/1/ao=")</f>
        <v>0</v>
      </c>
      <c r="FP136" t="b">
        <f>AND('Black &amp; White load sheet'!H324,"AAAAAF/1/as=")</f>
        <v>0</v>
      </c>
      <c r="FQ136" t="b">
        <f>AND('Black &amp; White load sheet'!I324,"AAAAAF/1/aw=")</f>
        <v>0</v>
      </c>
      <c r="FR136" t="b">
        <f>AND('Black &amp; White load sheet'!J324,"AAAAAF/1/a0=")</f>
        <v>0</v>
      </c>
      <c r="FS136" t="b">
        <f>AND('Black &amp; White load sheet'!K324,"AAAAAF/1/a4=")</f>
        <v>0</v>
      </c>
      <c r="FT136" t="b">
        <f>AND('Black &amp; White load sheet'!L324,"AAAAAF/1/a8=")</f>
        <v>0</v>
      </c>
      <c r="FU136" t="b">
        <f>AND('Black &amp; White load sheet'!M324,"AAAAAF/1/bA=")</f>
        <v>1</v>
      </c>
      <c r="FV136" t="b">
        <f>AND('Black &amp; White load sheet'!N324,"AAAAAF/1/bE=")</f>
        <v>1</v>
      </c>
      <c r="FW136" t="b">
        <f>AND('Black &amp; White load sheet'!O324,"AAAAAF/1/bI=")</f>
        <v>1</v>
      </c>
      <c r="FX136">
        <f>IF('Black &amp; White load sheet'!325:325,"AAAAAF/1/bM=",0)</f>
        <v>0</v>
      </c>
      <c r="FY136" t="b">
        <f>AND('Black &amp; White load sheet'!A325,"AAAAAF/1/bQ=")</f>
        <v>1</v>
      </c>
      <c r="FZ136" t="b">
        <f>AND('Black &amp; White load sheet'!B325,"AAAAAF/1/bU=")</f>
        <v>1</v>
      </c>
      <c r="GA136" t="b">
        <f>AND('Black &amp; White load sheet'!C325,"AAAAAF/1/bY=")</f>
        <v>1</v>
      </c>
      <c r="GB136" t="b">
        <f>AND('Black &amp; White load sheet'!D325,"AAAAAF/1/bc=")</f>
        <v>0</v>
      </c>
      <c r="GC136" t="b">
        <f>AND('Black &amp; White load sheet'!E325,"AAAAAF/1/bg=")</f>
        <v>0</v>
      </c>
      <c r="GD136" t="b">
        <f>AND('Black &amp; White load sheet'!F325,"AAAAAF/1/bk=")</f>
        <v>1</v>
      </c>
      <c r="GE136" t="b">
        <f>AND('Black &amp; White load sheet'!G325,"AAAAAF/1/bo=")</f>
        <v>0</v>
      </c>
      <c r="GF136" t="b">
        <f>AND('Black &amp; White load sheet'!H325,"AAAAAF/1/bs=")</f>
        <v>0</v>
      </c>
      <c r="GG136" t="b">
        <f>AND('Black &amp; White load sheet'!I325,"AAAAAF/1/bw=")</f>
        <v>0</v>
      </c>
      <c r="GH136" t="b">
        <f>AND('Black &amp; White load sheet'!J325,"AAAAAF/1/b0=")</f>
        <v>0</v>
      </c>
      <c r="GI136" t="b">
        <f>AND('Black &amp; White load sheet'!K325,"AAAAAF/1/b4=")</f>
        <v>0</v>
      </c>
      <c r="GJ136" t="b">
        <f>AND('Black &amp; White load sheet'!L325,"AAAAAF/1/b8=")</f>
        <v>1</v>
      </c>
      <c r="GK136" t="b">
        <f>AND('Black &amp; White load sheet'!M325,"AAAAAF/1/cA=")</f>
        <v>1</v>
      </c>
      <c r="GL136" t="b">
        <f>AND('Black &amp; White load sheet'!N325,"AAAAAF/1/cE=")</f>
        <v>1</v>
      </c>
      <c r="GM136" t="b">
        <f>AND('Black &amp; White load sheet'!O325,"AAAAAF/1/cI=")</f>
        <v>1</v>
      </c>
      <c r="GN136">
        <f>IF('Black &amp; White load sheet'!326:326,"AAAAAF/1/cM=",0)</f>
        <v>0</v>
      </c>
      <c r="GO136" t="b">
        <f>AND('Black &amp; White load sheet'!A326,"AAAAAF/1/cQ=")</f>
        <v>1</v>
      </c>
      <c r="GP136" t="b">
        <f>AND('Black &amp; White load sheet'!B326,"AAAAAF/1/cU=")</f>
        <v>1</v>
      </c>
      <c r="GQ136" t="b">
        <f>AND('Black &amp; White load sheet'!C326,"AAAAAF/1/cY=")</f>
        <v>1</v>
      </c>
      <c r="GR136" t="b">
        <f>AND('Black &amp; White load sheet'!D326,"AAAAAF/1/cc=")</f>
        <v>0</v>
      </c>
      <c r="GS136" t="b">
        <f>AND('Black &amp; White load sheet'!E326,"AAAAAF/1/cg=")</f>
        <v>0</v>
      </c>
      <c r="GT136" t="b">
        <f>AND('Black &amp; White load sheet'!F326,"AAAAAF/1/ck=")</f>
        <v>1</v>
      </c>
      <c r="GU136" t="b">
        <f>AND('Black &amp; White load sheet'!G326,"AAAAAF/1/co=")</f>
        <v>0</v>
      </c>
      <c r="GV136" t="b">
        <f>AND('Black &amp; White load sheet'!H326,"AAAAAF/1/cs=")</f>
        <v>0</v>
      </c>
      <c r="GW136" t="b">
        <f>AND('Black &amp; White load sheet'!I326,"AAAAAF/1/cw=")</f>
        <v>0</v>
      </c>
      <c r="GX136" t="b">
        <f>AND('Black &amp; White load sheet'!J326,"AAAAAF/1/c0=")</f>
        <v>0</v>
      </c>
      <c r="GY136" t="b">
        <f>AND('Black &amp; White load sheet'!K326,"AAAAAF/1/c4=")</f>
        <v>1</v>
      </c>
      <c r="GZ136" t="b">
        <f>AND('Black &amp; White load sheet'!L326,"AAAAAF/1/c8=")</f>
        <v>0</v>
      </c>
      <c r="HA136" t="b">
        <f>AND('Black &amp; White load sheet'!M326,"AAAAAF/1/dA=")</f>
        <v>1</v>
      </c>
      <c r="HB136" t="b">
        <f>AND('Black &amp; White load sheet'!N326,"AAAAAF/1/dE=")</f>
        <v>1</v>
      </c>
      <c r="HC136" t="b">
        <f>AND('Black &amp; White load sheet'!O326,"AAAAAF/1/dI=")</f>
        <v>1</v>
      </c>
      <c r="HD136">
        <f>IF('Black &amp; White load sheet'!327:327,"AAAAAF/1/dM=",0)</f>
        <v>0</v>
      </c>
      <c r="HE136" t="b">
        <f>AND('Black &amp; White load sheet'!A327,"AAAAAF/1/dQ=")</f>
        <v>1</v>
      </c>
      <c r="HF136" t="b">
        <f>AND('Black &amp; White load sheet'!B327,"AAAAAF/1/dU=")</f>
        <v>1</v>
      </c>
      <c r="HG136" t="b">
        <f>AND('Black &amp; White load sheet'!C327,"AAAAAF/1/dY=")</f>
        <v>1</v>
      </c>
      <c r="HH136" t="b">
        <f>AND('Black &amp; White load sheet'!D327,"AAAAAF/1/dc=")</f>
        <v>0</v>
      </c>
      <c r="HI136" t="b">
        <f>AND('Black &amp; White load sheet'!E327,"AAAAAF/1/dg=")</f>
        <v>0</v>
      </c>
      <c r="HJ136" t="b">
        <f>AND('Black &amp; White load sheet'!F327,"AAAAAF/1/dk=")</f>
        <v>1</v>
      </c>
      <c r="HK136" t="b">
        <f>AND('Black &amp; White load sheet'!G327,"AAAAAF/1/do=")</f>
        <v>0</v>
      </c>
      <c r="HL136" t="b">
        <f>AND('Black &amp; White load sheet'!H327,"AAAAAF/1/ds=")</f>
        <v>0</v>
      </c>
      <c r="HM136" t="b">
        <f>AND('Black &amp; White load sheet'!I327,"AAAAAF/1/dw=")</f>
        <v>0</v>
      </c>
      <c r="HN136" t="b">
        <f>AND('Black &amp; White load sheet'!J327,"AAAAAF/1/d0=")</f>
        <v>1</v>
      </c>
      <c r="HO136" t="b">
        <f>AND('Black &amp; White load sheet'!K327,"AAAAAF/1/d4=")</f>
        <v>0</v>
      </c>
      <c r="HP136" t="b">
        <f>AND('Black &amp; White load sheet'!L327,"AAAAAF/1/d8=")</f>
        <v>0</v>
      </c>
      <c r="HQ136" t="b">
        <f>AND('Black &amp; White load sheet'!M327,"AAAAAF/1/eA=")</f>
        <v>1</v>
      </c>
      <c r="HR136" t="b">
        <f>AND('Black &amp; White load sheet'!N327,"AAAAAF/1/eE=")</f>
        <v>1</v>
      </c>
      <c r="HS136" t="b">
        <f>AND('Black &amp; White load sheet'!O327,"AAAAAF/1/eI=")</f>
        <v>1</v>
      </c>
      <c r="HT136">
        <f>IF('Black &amp; White load sheet'!328:328,"AAAAAF/1/eM=",0)</f>
        <v>0</v>
      </c>
      <c r="HU136" t="b">
        <f>AND('Black &amp; White load sheet'!A328,"AAAAAF/1/eQ=")</f>
        <v>1</v>
      </c>
      <c r="HV136" t="b">
        <f>AND('Black &amp; White load sheet'!B328,"AAAAAF/1/eU=")</f>
        <v>1</v>
      </c>
      <c r="HW136" t="b">
        <f>AND('Black &amp; White load sheet'!C328,"AAAAAF/1/eY=")</f>
        <v>1</v>
      </c>
      <c r="HX136" t="b">
        <f>AND('Black &amp; White load sheet'!D328,"AAAAAF/1/ec=")</f>
        <v>0</v>
      </c>
      <c r="HY136" t="b">
        <f>AND('Black &amp; White load sheet'!E328,"AAAAAF/1/eg=")</f>
        <v>0</v>
      </c>
      <c r="HZ136" t="b">
        <f>AND('Black &amp; White load sheet'!F328,"AAAAAF/1/ek=")</f>
        <v>1</v>
      </c>
      <c r="IA136" t="b">
        <f>AND('Black &amp; White load sheet'!G328,"AAAAAF/1/eo=")</f>
        <v>0</v>
      </c>
      <c r="IB136" t="b">
        <f>AND('Black &amp; White load sheet'!H328,"AAAAAF/1/es=")</f>
        <v>0</v>
      </c>
      <c r="IC136" t="b">
        <f>AND('Black &amp; White load sheet'!I328,"AAAAAF/1/ew=")</f>
        <v>1</v>
      </c>
      <c r="ID136" t="b">
        <f>AND('Black &amp; White load sheet'!J328,"AAAAAF/1/e0=")</f>
        <v>0</v>
      </c>
      <c r="IE136" t="b">
        <f>AND('Black &amp; White load sheet'!K328,"AAAAAF/1/e4=")</f>
        <v>0</v>
      </c>
      <c r="IF136" t="b">
        <f>AND('Black &amp; White load sheet'!L328,"AAAAAF/1/e8=")</f>
        <v>0</v>
      </c>
      <c r="IG136" t="b">
        <f>AND('Black &amp; White load sheet'!M328,"AAAAAF/1/fA=")</f>
        <v>1</v>
      </c>
      <c r="IH136" t="b">
        <f>AND('Black &amp; White load sheet'!N328,"AAAAAF/1/fE=")</f>
        <v>1</v>
      </c>
      <c r="II136" t="b">
        <f>AND('Black &amp; White load sheet'!O328,"AAAAAF/1/fI=")</f>
        <v>1</v>
      </c>
      <c r="IJ136">
        <f>IF('Black &amp; White load sheet'!329:329,"AAAAAF/1/fM=",0)</f>
        <v>0</v>
      </c>
      <c r="IK136" t="b">
        <f>AND('Black &amp; White load sheet'!A329,"AAAAAF/1/fQ=")</f>
        <v>1</v>
      </c>
      <c r="IL136" t="b">
        <f>AND('Black &amp; White load sheet'!B329,"AAAAAF/1/fU=")</f>
        <v>1</v>
      </c>
      <c r="IM136" t="b">
        <f>AND('Black &amp; White load sheet'!C329,"AAAAAF/1/fY=")</f>
        <v>1</v>
      </c>
      <c r="IN136" t="b">
        <f>AND('Black &amp; White load sheet'!D329,"AAAAAF/1/fc=")</f>
        <v>0</v>
      </c>
      <c r="IO136" t="b">
        <f>AND('Black &amp; White load sheet'!E329,"AAAAAF/1/fg=")</f>
        <v>0</v>
      </c>
      <c r="IP136" t="b">
        <f>AND('Black &amp; White load sheet'!F329,"AAAAAF/1/fk=")</f>
        <v>1</v>
      </c>
      <c r="IQ136" t="b">
        <f>AND('Black &amp; White load sheet'!G329,"AAAAAF/1/fo=")</f>
        <v>0</v>
      </c>
      <c r="IR136" t="b">
        <f>AND('Black &amp; White load sheet'!H329,"AAAAAF/1/fs=")</f>
        <v>1</v>
      </c>
      <c r="IS136" t="b">
        <f>AND('Black &amp; White load sheet'!I329,"AAAAAF/1/fw=")</f>
        <v>0</v>
      </c>
      <c r="IT136" t="b">
        <f>AND('Black &amp; White load sheet'!J329,"AAAAAF/1/f0=")</f>
        <v>0</v>
      </c>
      <c r="IU136" t="b">
        <f>AND('Black &amp; White load sheet'!K329,"AAAAAF/1/f4=")</f>
        <v>0</v>
      </c>
      <c r="IV136" t="b">
        <f>AND('Black &amp; White load sheet'!L329,"AAAAAF/1/f8=")</f>
        <v>0</v>
      </c>
    </row>
    <row r="137" spans="1:256">
      <c r="A137" t="b">
        <f>AND('Black &amp; White load sheet'!M329,"AAAAAHvP/wA=")</f>
        <v>1</v>
      </c>
      <c r="B137" t="b">
        <f>AND('Black &amp; White load sheet'!N329,"AAAAAHvP/wE=")</f>
        <v>1</v>
      </c>
      <c r="C137" t="b">
        <f>AND('Black &amp; White load sheet'!O329,"AAAAAHvP/wI=")</f>
        <v>1</v>
      </c>
      <c r="D137">
        <f>IF('Black &amp; White load sheet'!330:330,"AAAAAHvP/wM=",0)</f>
        <v>0</v>
      </c>
      <c r="E137" t="b">
        <f>AND('Black &amp; White load sheet'!A330,"AAAAAHvP/wQ=")</f>
        <v>1</v>
      </c>
      <c r="F137" t="b">
        <f>AND('Black &amp; White load sheet'!B330,"AAAAAHvP/wU=")</f>
        <v>1</v>
      </c>
      <c r="G137" t="b">
        <f>AND('Black &amp; White load sheet'!C330,"AAAAAHvP/wY=")</f>
        <v>1</v>
      </c>
      <c r="H137" t="b">
        <f>AND('Black &amp; White load sheet'!D330,"AAAAAHvP/wc=")</f>
        <v>0</v>
      </c>
      <c r="I137" t="b">
        <f>AND('Black &amp; White load sheet'!E330,"AAAAAHvP/wg=")</f>
        <v>0</v>
      </c>
      <c r="J137" t="b">
        <f>AND('Black &amp; White load sheet'!F330,"AAAAAHvP/wk=")</f>
        <v>1</v>
      </c>
      <c r="K137" t="b">
        <f>AND('Black &amp; White load sheet'!G330,"AAAAAHvP/wo=")</f>
        <v>0</v>
      </c>
      <c r="L137" t="b">
        <f>AND('Black &amp; White load sheet'!H330,"AAAAAHvP/ws=")</f>
        <v>1</v>
      </c>
      <c r="M137" t="b">
        <f>AND('Black &amp; White load sheet'!I330,"AAAAAHvP/ww=")</f>
        <v>0</v>
      </c>
      <c r="N137" t="b">
        <f>AND('Black &amp; White load sheet'!J330,"AAAAAHvP/w0=")</f>
        <v>0</v>
      </c>
      <c r="O137" t="b">
        <f>AND('Black &amp; White load sheet'!K330,"AAAAAHvP/w4=")</f>
        <v>0</v>
      </c>
      <c r="P137" t="b">
        <f>AND('Black &amp; White load sheet'!L330,"AAAAAHvP/w8=")</f>
        <v>1</v>
      </c>
      <c r="Q137" t="b">
        <f>AND('Black &amp; White load sheet'!M330,"AAAAAHvP/xA=")</f>
        <v>1</v>
      </c>
      <c r="R137" t="b">
        <f>AND('Black &amp; White load sheet'!N330,"AAAAAHvP/xE=")</f>
        <v>1</v>
      </c>
      <c r="S137" t="b">
        <f>AND('Black &amp; White load sheet'!O330,"AAAAAHvP/xI=")</f>
        <v>1</v>
      </c>
      <c r="T137">
        <f>IF('Black &amp; White load sheet'!331:331,"AAAAAHvP/xM=",0)</f>
        <v>0</v>
      </c>
      <c r="U137" t="b">
        <f>AND('Black &amp; White load sheet'!A331,"AAAAAHvP/xQ=")</f>
        <v>1</v>
      </c>
      <c r="V137" t="b">
        <f>AND('Black &amp; White load sheet'!B331,"AAAAAHvP/xU=")</f>
        <v>1</v>
      </c>
      <c r="W137" t="b">
        <f>AND('Black &amp; White load sheet'!C331,"AAAAAHvP/xY=")</f>
        <v>1</v>
      </c>
      <c r="X137" t="b">
        <f>AND('Black &amp; White load sheet'!D331,"AAAAAHvP/xc=")</f>
        <v>0</v>
      </c>
      <c r="Y137" t="b">
        <f>AND('Black &amp; White load sheet'!E331,"AAAAAHvP/xg=")</f>
        <v>0</v>
      </c>
      <c r="Z137" t="b">
        <f>AND('Black &amp; White load sheet'!F331,"AAAAAHvP/xk=")</f>
        <v>1</v>
      </c>
      <c r="AA137" t="b">
        <f>AND('Black &amp; White load sheet'!G331,"AAAAAHvP/xo=")</f>
        <v>0</v>
      </c>
      <c r="AB137" t="b">
        <f>AND('Black &amp; White load sheet'!H331,"AAAAAHvP/xs=")</f>
        <v>1</v>
      </c>
      <c r="AC137" t="b">
        <f>AND('Black &amp; White load sheet'!I331,"AAAAAHvP/xw=")</f>
        <v>0</v>
      </c>
      <c r="AD137" t="b">
        <f>AND('Black &amp; White load sheet'!J331,"AAAAAHvP/x0=")</f>
        <v>0</v>
      </c>
      <c r="AE137" t="b">
        <f>AND('Black &amp; White load sheet'!K331,"AAAAAHvP/x4=")</f>
        <v>1</v>
      </c>
      <c r="AF137" t="b">
        <f>AND('Black &amp; White load sheet'!L331,"AAAAAHvP/x8=")</f>
        <v>0</v>
      </c>
      <c r="AG137" t="b">
        <f>AND('Black &amp; White load sheet'!M331,"AAAAAHvP/yA=")</f>
        <v>1</v>
      </c>
      <c r="AH137" t="b">
        <f>AND('Black &amp; White load sheet'!N331,"AAAAAHvP/yE=")</f>
        <v>1</v>
      </c>
      <c r="AI137" t="b">
        <f>AND('Black &amp; White load sheet'!O331,"AAAAAHvP/yI=")</f>
        <v>1</v>
      </c>
      <c r="AJ137">
        <f>IF('Black &amp; White load sheet'!332:332,"AAAAAHvP/yM=",0)</f>
        <v>0</v>
      </c>
      <c r="AK137" t="b">
        <f>AND('Black &amp; White load sheet'!A332,"AAAAAHvP/yQ=")</f>
        <v>1</v>
      </c>
      <c r="AL137" t="b">
        <f>AND('Black &amp; White load sheet'!B332,"AAAAAHvP/yU=")</f>
        <v>1</v>
      </c>
      <c r="AM137" t="b">
        <f>AND('Black &amp; White load sheet'!C332,"AAAAAHvP/yY=")</f>
        <v>1</v>
      </c>
      <c r="AN137" t="b">
        <f>AND('Black &amp; White load sheet'!D332,"AAAAAHvP/yc=")</f>
        <v>0</v>
      </c>
      <c r="AO137" t="b">
        <f>AND('Black &amp; White load sheet'!E332,"AAAAAHvP/yg=")</f>
        <v>0</v>
      </c>
      <c r="AP137" t="b">
        <f>AND('Black &amp; White load sheet'!F332,"AAAAAHvP/yk=")</f>
        <v>1</v>
      </c>
      <c r="AQ137" t="b">
        <f>AND('Black &amp; White load sheet'!G332,"AAAAAHvP/yo=")</f>
        <v>0</v>
      </c>
      <c r="AR137" t="b">
        <f>AND('Black &amp; White load sheet'!H332,"AAAAAHvP/ys=")</f>
        <v>1</v>
      </c>
      <c r="AS137" t="b">
        <f>AND('Black &amp; White load sheet'!I332,"AAAAAHvP/yw=")</f>
        <v>0</v>
      </c>
      <c r="AT137" t="b">
        <f>AND('Black &amp; White load sheet'!J332,"AAAAAHvP/y0=")</f>
        <v>1</v>
      </c>
      <c r="AU137" t="b">
        <f>AND('Black &amp; White load sheet'!K332,"AAAAAHvP/y4=")</f>
        <v>0</v>
      </c>
      <c r="AV137" t="b">
        <f>AND('Black &amp; White load sheet'!L332,"AAAAAHvP/y8=")</f>
        <v>0</v>
      </c>
      <c r="AW137" t="b">
        <f>AND('Black &amp; White load sheet'!M332,"AAAAAHvP/zA=")</f>
        <v>1</v>
      </c>
      <c r="AX137" t="b">
        <f>AND('Black &amp; White load sheet'!N332,"AAAAAHvP/zE=")</f>
        <v>1</v>
      </c>
      <c r="AY137" t="b">
        <f>AND('Black &amp; White load sheet'!O332,"AAAAAHvP/zI=")</f>
        <v>1</v>
      </c>
      <c r="AZ137">
        <f>IF('Black &amp; White load sheet'!333:333,"AAAAAHvP/zM=",0)</f>
        <v>0</v>
      </c>
      <c r="BA137" t="b">
        <f>AND('Black &amp; White load sheet'!A333,"AAAAAHvP/zQ=")</f>
        <v>1</v>
      </c>
      <c r="BB137" t="b">
        <f>AND('Black &amp; White load sheet'!B333,"AAAAAHvP/zU=")</f>
        <v>1</v>
      </c>
      <c r="BC137" t="b">
        <f>AND('Black &amp; White load sheet'!C333,"AAAAAHvP/zY=")</f>
        <v>1</v>
      </c>
      <c r="BD137" t="b">
        <f>AND('Black &amp; White load sheet'!D333,"AAAAAHvP/zc=")</f>
        <v>0</v>
      </c>
      <c r="BE137" t="b">
        <f>AND('Black &amp; White load sheet'!E333,"AAAAAHvP/zg=")</f>
        <v>0</v>
      </c>
      <c r="BF137" t="b">
        <f>AND('Black &amp; White load sheet'!F333,"AAAAAHvP/zk=")</f>
        <v>1</v>
      </c>
      <c r="BG137" t="b">
        <f>AND('Black &amp; White load sheet'!G333,"AAAAAHvP/zo=")</f>
        <v>0</v>
      </c>
      <c r="BH137" t="b">
        <f>AND('Black &amp; White load sheet'!H333,"AAAAAHvP/zs=")</f>
        <v>1</v>
      </c>
      <c r="BI137" t="b">
        <f>AND('Black &amp; White load sheet'!I333,"AAAAAHvP/zw=")</f>
        <v>1</v>
      </c>
      <c r="BJ137" t="b">
        <f>AND('Black &amp; White load sheet'!J333,"AAAAAHvP/z0=")</f>
        <v>0</v>
      </c>
      <c r="BK137" t="b">
        <f>AND('Black &amp; White load sheet'!K333,"AAAAAHvP/z4=")</f>
        <v>0</v>
      </c>
      <c r="BL137" t="b">
        <f>AND('Black &amp; White load sheet'!L333,"AAAAAHvP/z8=")</f>
        <v>0</v>
      </c>
      <c r="BM137" t="b">
        <f>AND('Black &amp; White load sheet'!M333,"AAAAAHvP/0A=")</f>
        <v>1</v>
      </c>
      <c r="BN137" t="b">
        <f>AND('Black &amp; White load sheet'!N333,"AAAAAHvP/0E=")</f>
        <v>1</v>
      </c>
      <c r="BO137" t="b">
        <f>AND('Black &amp; White load sheet'!O333,"AAAAAHvP/0I=")</f>
        <v>1</v>
      </c>
      <c r="BP137">
        <f>IF('Black &amp; White load sheet'!334:334,"AAAAAHvP/0M=",0)</f>
        <v>0</v>
      </c>
      <c r="BQ137" t="b">
        <f>AND('Black &amp; White load sheet'!A334,"AAAAAHvP/0Q=")</f>
        <v>1</v>
      </c>
      <c r="BR137" t="b">
        <f>AND('Black &amp; White load sheet'!B334,"AAAAAHvP/0U=")</f>
        <v>1</v>
      </c>
      <c r="BS137" t="b">
        <f>AND('Black &amp; White load sheet'!C334,"AAAAAHvP/0Y=")</f>
        <v>1</v>
      </c>
      <c r="BT137" t="b">
        <f>AND('Black &amp; White load sheet'!D334,"AAAAAHvP/0c=")</f>
        <v>0</v>
      </c>
      <c r="BU137" t="b">
        <f>AND('Black &amp; White load sheet'!E334,"AAAAAHvP/0g=")</f>
        <v>1</v>
      </c>
      <c r="BV137" t="b">
        <f>AND('Black &amp; White load sheet'!F334,"AAAAAHvP/0k=")</f>
        <v>0</v>
      </c>
      <c r="BW137" t="b">
        <f>AND('Black &amp; White load sheet'!G334,"AAAAAHvP/0o=")</f>
        <v>0</v>
      </c>
      <c r="BX137" t="b">
        <f>AND('Black &amp; White load sheet'!H334,"AAAAAHvP/0s=")</f>
        <v>0</v>
      </c>
      <c r="BY137" t="b">
        <f>AND('Black &amp; White load sheet'!I334,"AAAAAHvP/0w=")</f>
        <v>0</v>
      </c>
      <c r="BZ137" t="b">
        <f>AND('Black &amp; White load sheet'!J334,"AAAAAHvP/00=")</f>
        <v>0</v>
      </c>
      <c r="CA137" t="b">
        <f>AND('Black &amp; White load sheet'!K334,"AAAAAHvP/04=")</f>
        <v>0</v>
      </c>
      <c r="CB137" t="b">
        <f>AND('Black &amp; White load sheet'!L334,"AAAAAHvP/08=")</f>
        <v>0</v>
      </c>
      <c r="CC137" t="b">
        <f>AND('Black &amp; White load sheet'!M334,"AAAAAHvP/1A=")</f>
        <v>1</v>
      </c>
      <c r="CD137" t="b">
        <f>AND('Black &amp; White load sheet'!N334,"AAAAAHvP/1E=")</f>
        <v>1</v>
      </c>
      <c r="CE137" t="b">
        <f>AND('Black &amp; White load sheet'!O334,"AAAAAHvP/1I=")</f>
        <v>1</v>
      </c>
      <c r="CF137">
        <f>IF('Black &amp; White load sheet'!335:335,"AAAAAHvP/1M=",0)</f>
        <v>0</v>
      </c>
      <c r="CG137" t="b">
        <f>AND('Black &amp; White load sheet'!A335,"AAAAAHvP/1Q=")</f>
        <v>1</v>
      </c>
      <c r="CH137" t="b">
        <f>AND('Black &amp; White load sheet'!B335,"AAAAAHvP/1U=")</f>
        <v>1</v>
      </c>
      <c r="CI137" t="b">
        <f>AND('Black &amp; White load sheet'!C335,"AAAAAHvP/1Y=")</f>
        <v>1</v>
      </c>
      <c r="CJ137" t="b">
        <f>AND('Black &amp; White load sheet'!D335,"AAAAAHvP/1c=")</f>
        <v>0</v>
      </c>
      <c r="CK137" t="b">
        <f>AND('Black &amp; White load sheet'!E335,"AAAAAHvP/1g=")</f>
        <v>1</v>
      </c>
      <c r="CL137" t="b">
        <f>AND('Black &amp; White load sheet'!F335,"AAAAAHvP/1k=")</f>
        <v>0</v>
      </c>
      <c r="CM137" t="b">
        <f>AND('Black &amp; White load sheet'!G335,"AAAAAHvP/1o=")</f>
        <v>0</v>
      </c>
      <c r="CN137" t="b">
        <f>AND('Black &amp; White load sheet'!H335,"AAAAAHvP/1s=")</f>
        <v>0</v>
      </c>
      <c r="CO137" t="b">
        <f>AND('Black &amp; White load sheet'!I335,"AAAAAHvP/1w=")</f>
        <v>0</v>
      </c>
      <c r="CP137" t="b">
        <f>AND('Black &amp; White load sheet'!J335,"AAAAAHvP/10=")</f>
        <v>0</v>
      </c>
      <c r="CQ137" t="b">
        <f>AND('Black &amp; White load sheet'!K335,"AAAAAHvP/14=")</f>
        <v>0</v>
      </c>
      <c r="CR137" t="b">
        <f>AND('Black &amp; White load sheet'!L335,"AAAAAHvP/18=")</f>
        <v>1</v>
      </c>
      <c r="CS137" t="b">
        <f>AND('Black &amp; White load sheet'!M335,"AAAAAHvP/2A=")</f>
        <v>1</v>
      </c>
      <c r="CT137" t="b">
        <f>AND('Black &amp; White load sheet'!N335,"AAAAAHvP/2E=")</f>
        <v>1</v>
      </c>
      <c r="CU137" t="b">
        <f>AND('Black &amp; White load sheet'!O335,"AAAAAHvP/2I=")</f>
        <v>1</v>
      </c>
      <c r="CV137">
        <f>IF('Black &amp; White load sheet'!336:336,"AAAAAHvP/2M=",0)</f>
        <v>0</v>
      </c>
      <c r="CW137" t="b">
        <f>AND('Black &amp; White load sheet'!A336,"AAAAAHvP/2Q=")</f>
        <v>1</v>
      </c>
      <c r="CX137" t="b">
        <f>AND('Black &amp; White load sheet'!B336,"AAAAAHvP/2U=")</f>
        <v>1</v>
      </c>
      <c r="CY137" t="b">
        <f>AND('Black &amp; White load sheet'!C336,"AAAAAHvP/2Y=")</f>
        <v>1</v>
      </c>
      <c r="CZ137" t="b">
        <f>AND('Black &amp; White load sheet'!D336,"AAAAAHvP/2c=")</f>
        <v>0</v>
      </c>
      <c r="DA137" t="b">
        <f>AND('Black &amp; White load sheet'!E336,"AAAAAHvP/2g=")</f>
        <v>1</v>
      </c>
      <c r="DB137" t="b">
        <f>AND('Black &amp; White load sheet'!F336,"AAAAAHvP/2k=")</f>
        <v>0</v>
      </c>
      <c r="DC137" t="b">
        <f>AND('Black &amp; White load sheet'!G336,"AAAAAHvP/2o=")</f>
        <v>0</v>
      </c>
      <c r="DD137" t="b">
        <f>AND('Black &amp; White load sheet'!H336,"AAAAAHvP/2s=")</f>
        <v>0</v>
      </c>
      <c r="DE137" t="b">
        <f>AND('Black &amp; White load sheet'!I336,"AAAAAHvP/2w=")</f>
        <v>0</v>
      </c>
      <c r="DF137" t="b">
        <f>AND('Black &amp; White load sheet'!J336,"AAAAAHvP/20=")</f>
        <v>0</v>
      </c>
      <c r="DG137" t="b">
        <f>AND('Black &amp; White load sheet'!K336,"AAAAAHvP/24=")</f>
        <v>1</v>
      </c>
      <c r="DH137" t="b">
        <f>AND('Black &amp; White load sheet'!L336,"AAAAAHvP/28=")</f>
        <v>0</v>
      </c>
      <c r="DI137" t="b">
        <f>AND('Black &amp; White load sheet'!M336,"AAAAAHvP/3A=")</f>
        <v>1</v>
      </c>
      <c r="DJ137" t="b">
        <f>AND('Black &amp; White load sheet'!N336,"AAAAAHvP/3E=")</f>
        <v>1</v>
      </c>
      <c r="DK137" t="b">
        <f>AND('Black &amp; White load sheet'!O336,"AAAAAHvP/3I=")</f>
        <v>1</v>
      </c>
      <c r="DL137">
        <f>IF('Black &amp; White load sheet'!337:337,"AAAAAHvP/3M=",0)</f>
        <v>0</v>
      </c>
      <c r="DM137" t="b">
        <f>AND('Black &amp; White load sheet'!A337,"AAAAAHvP/3Q=")</f>
        <v>1</v>
      </c>
      <c r="DN137" t="b">
        <f>AND('Black &amp; White load sheet'!B337,"AAAAAHvP/3U=")</f>
        <v>1</v>
      </c>
      <c r="DO137" t="b">
        <f>AND('Black &amp; White load sheet'!C337,"AAAAAHvP/3Y=")</f>
        <v>1</v>
      </c>
      <c r="DP137" t="b">
        <f>AND('Black &amp; White load sheet'!D337,"AAAAAHvP/3c=")</f>
        <v>0</v>
      </c>
      <c r="DQ137" t="b">
        <f>AND('Black &amp; White load sheet'!E337,"AAAAAHvP/3g=")</f>
        <v>1</v>
      </c>
      <c r="DR137" t="b">
        <f>AND('Black &amp; White load sheet'!F337,"AAAAAHvP/3k=")</f>
        <v>0</v>
      </c>
      <c r="DS137" t="b">
        <f>AND('Black &amp; White load sheet'!G337,"AAAAAHvP/3o=")</f>
        <v>0</v>
      </c>
      <c r="DT137" t="b">
        <f>AND('Black &amp; White load sheet'!H337,"AAAAAHvP/3s=")</f>
        <v>0</v>
      </c>
      <c r="DU137" t="b">
        <f>AND('Black &amp; White load sheet'!I337,"AAAAAHvP/3w=")</f>
        <v>0</v>
      </c>
      <c r="DV137" t="b">
        <f>AND('Black &amp; White load sheet'!J337,"AAAAAHvP/30=")</f>
        <v>1</v>
      </c>
      <c r="DW137" t="b">
        <f>AND('Black &amp; White load sheet'!K337,"AAAAAHvP/34=")</f>
        <v>0</v>
      </c>
      <c r="DX137" t="b">
        <f>AND('Black &amp; White load sheet'!L337,"AAAAAHvP/38=")</f>
        <v>0</v>
      </c>
      <c r="DY137" t="b">
        <f>AND('Black &amp; White load sheet'!M337,"AAAAAHvP/4A=")</f>
        <v>1</v>
      </c>
      <c r="DZ137" t="b">
        <f>AND('Black &amp; White load sheet'!N337,"AAAAAHvP/4E=")</f>
        <v>1</v>
      </c>
      <c r="EA137" t="b">
        <f>AND('Black &amp; White load sheet'!O337,"AAAAAHvP/4I=")</f>
        <v>1</v>
      </c>
      <c r="EB137">
        <f>IF('Black &amp; White load sheet'!338:338,"AAAAAHvP/4M=",0)</f>
        <v>0</v>
      </c>
      <c r="EC137" t="b">
        <f>AND('Black &amp; White load sheet'!A338,"AAAAAHvP/4Q=")</f>
        <v>1</v>
      </c>
      <c r="ED137" t="b">
        <f>AND('Black &amp; White load sheet'!B338,"AAAAAHvP/4U=")</f>
        <v>1</v>
      </c>
      <c r="EE137" t="b">
        <f>AND('Black &amp; White load sheet'!C338,"AAAAAHvP/4Y=")</f>
        <v>1</v>
      </c>
      <c r="EF137" t="b">
        <f>AND('Black &amp; White load sheet'!D338,"AAAAAHvP/4c=")</f>
        <v>0</v>
      </c>
      <c r="EG137" t="b">
        <f>AND('Black &amp; White load sheet'!E338,"AAAAAHvP/4g=")</f>
        <v>1</v>
      </c>
      <c r="EH137" t="b">
        <f>AND('Black &amp; White load sheet'!F338,"AAAAAHvP/4k=")</f>
        <v>0</v>
      </c>
      <c r="EI137" t="b">
        <f>AND('Black &amp; White load sheet'!G338,"AAAAAHvP/4o=")</f>
        <v>0</v>
      </c>
      <c r="EJ137" t="b">
        <f>AND('Black &amp; White load sheet'!H338,"AAAAAHvP/4s=")</f>
        <v>0</v>
      </c>
      <c r="EK137" t="b">
        <f>AND('Black &amp; White load sheet'!I338,"AAAAAHvP/4w=")</f>
        <v>1</v>
      </c>
      <c r="EL137" t="b">
        <f>AND('Black &amp; White load sheet'!J338,"AAAAAHvP/40=")</f>
        <v>0</v>
      </c>
      <c r="EM137" t="b">
        <f>AND('Black &amp; White load sheet'!K338,"AAAAAHvP/44=")</f>
        <v>0</v>
      </c>
      <c r="EN137" t="b">
        <f>AND('Black &amp; White load sheet'!L338,"AAAAAHvP/48=")</f>
        <v>0</v>
      </c>
      <c r="EO137" t="b">
        <f>AND('Black &amp; White load sheet'!M338,"AAAAAHvP/5A=")</f>
        <v>1</v>
      </c>
      <c r="EP137" t="b">
        <f>AND('Black &amp; White load sheet'!N338,"AAAAAHvP/5E=")</f>
        <v>1</v>
      </c>
      <c r="EQ137" t="b">
        <f>AND('Black &amp; White load sheet'!O338,"AAAAAHvP/5I=")</f>
        <v>1</v>
      </c>
      <c r="ER137">
        <f>IF('Black &amp; White load sheet'!339:339,"AAAAAHvP/5M=",0)</f>
        <v>0</v>
      </c>
      <c r="ES137" t="b">
        <f>AND('Black &amp; White load sheet'!A339,"AAAAAHvP/5Q=")</f>
        <v>1</v>
      </c>
      <c r="ET137" t="b">
        <f>AND('Black &amp; White load sheet'!B339,"AAAAAHvP/5U=")</f>
        <v>1</v>
      </c>
      <c r="EU137" t="b">
        <f>AND('Black &amp; White load sheet'!C339,"AAAAAHvP/5Y=")</f>
        <v>1</v>
      </c>
      <c r="EV137" t="b">
        <f>AND('Black &amp; White load sheet'!D339,"AAAAAHvP/5c=")</f>
        <v>0</v>
      </c>
      <c r="EW137" t="b">
        <f>AND('Black &amp; White load sheet'!E339,"AAAAAHvP/5g=")</f>
        <v>1</v>
      </c>
      <c r="EX137" t="b">
        <f>AND('Black &amp; White load sheet'!F339,"AAAAAHvP/5k=")</f>
        <v>0</v>
      </c>
      <c r="EY137" t="b">
        <f>AND('Black &amp; White load sheet'!G339,"AAAAAHvP/5o=")</f>
        <v>0</v>
      </c>
      <c r="EZ137" t="b">
        <f>AND('Black &amp; White load sheet'!H339,"AAAAAHvP/5s=")</f>
        <v>1</v>
      </c>
      <c r="FA137" t="b">
        <f>AND('Black &amp; White load sheet'!I339,"AAAAAHvP/5w=")</f>
        <v>0</v>
      </c>
      <c r="FB137" t="b">
        <f>AND('Black &amp; White load sheet'!J339,"AAAAAHvP/50=")</f>
        <v>0</v>
      </c>
      <c r="FC137" t="b">
        <f>AND('Black &amp; White load sheet'!K339,"AAAAAHvP/54=")</f>
        <v>0</v>
      </c>
      <c r="FD137" t="b">
        <f>AND('Black &amp; White load sheet'!L339,"AAAAAHvP/58=")</f>
        <v>0</v>
      </c>
      <c r="FE137" t="b">
        <f>AND('Black &amp; White load sheet'!M339,"AAAAAHvP/6A=")</f>
        <v>1</v>
      </c>
      <c r="FF137" t="b">
        <f>AND('Black &amp; White load sheet'!N339,"AAAAAHvP/6E=")</f>
        <v>1</v>
      </c>
      <c r="FG137" t="b">
        <f>AND('Black &amp; White load sheet'!O339,"AAAAAHvP/6I=")</f>
        <v>1</v>
      </c>
      <c r="FH137">
        <f>IF('Black &amp; White load sheet'!340:340,"AAAAAHvP/6M=",0)</f>
        <v>0</v>
      </c>
      <c r="FI137" t="b">
        <f>AND('Black &amp; White load sheet'!A340,"AAAAAHvP/6Q=")</f>
        <v>1</v>
      </c>
      <c r="FJ137" t="b">
        <f>AND('Black &amp; White load sheet'!B340,"AAAAAHvP/6U=")</f>
        <v>1</v>
      </c>
      <c r="FK137" t="b">
        <f>AND('Black &amp; White load sheet'!C340,"AAAAAHvP/6Y=")</f>
        <v>1</v>
      </c>
      <c r="FL137" t="b">
        <f>AND('Black &amp; White load sheet'!D340,"AAAAAHvP/6c=")</f>
        <v>0</v>
      </c>
      <c r="FM137" t="b">
        <f>AND('Black &amp; White load sheet'!E340,"AAAAAHvP/6g=")</f>
        <v>1</v>
      </c>
      <c r="FN137" t="b">
        <f>AND('Black &amp; White load sheet'!F340,"AAAAAHvP/6k=")</f>
        <v>0</v>
      </c>
      <c r="FO137" t="b">
        <f>AND('Black &amp; White load sheet'!G340,"AAAAAHvP/6o=")</f>
        <v>0</v>
      </c>
      <c r="FP137" t="b">
        <f>AND('Black &amp; White load sheet'!H340,"AAAAAHvP/6s=")</f>
        <v>1</v>
      </c>
      <c r="FQ137" t="b">
        <f>AND('Black &amp; White load sheet'!I340,"AAAAAHvP/6w=")</f>
        <v>0</v>
      </c>
      <c r="FR137" t="b">
        <f>AND('Black &amp; White load sheet'!J340,"AAAAAHvP/60=")</f>
        <v>0</v>
      </c>
      <c r="FS137" t="b">
        <f>AND('Black &amp; White load sheet'!K340,"AAAAAHvP/64=")</f>
        <v>0</v>
      </c>
      <c r="FT137" t="b">
        <f>AND('Black &amp; White load sheet'!L340,"AAAAAHvP/68=")</f>
        <v>1</v>
      </c>
      <c r="FU137" t="b">
        <f>AND('Black &amp; White load sheet'!M340,"AAAAAHvP/7A=")</f>
        <v>1</v>
      </c>
      <c r="FV137" t="b">
        <f>AND('Black &amp; White load sheet'!N340,"AAAAAHvP/7E=")</f>
        <v>1</v>
      </c>
      <c r="FW137" t="b">
        <f>AND('Black &amp; White load sheet'!O340,"AAAAAHvP/7I=")</f>
        <v>1</v>
      </c>
      <c r="FX137">
        <f>IF('Black &amp; White load sheet'!341:341,"AAAAAHvP/7M=",0)</f>
        <v>0</v>
      </c>
      <c r="FY137" t="b">
        <f>AND('Black &amp; White load sheet'!A341,"AAAAAHvP/7Q=")</f>
        <v>1</v>
      </c>
      <c r="FZ137" t="b">
        <f>AND('Black &amp; White load sheet'!B341,"AAAAAHvP/7U=")</f>
        <v>1</v>
      </c>
      <c r="GA137" t="b">
        <f>AND('Black &amp; White load sheet'!C341,"AAAAAHvP/7Y=")</f>
        <v>1</v>
      </c>
      <c r="GB137" t="b">
        <f>AND('Black &amp; White load sheet'!D341,"AAAAAHvP/7c=")</f>
        <v>0</v>
      </c>
      <c r="GC137" t="b">
        <f>AND('Black &amp; White load sheet'!E341,"AAAAAHvP/7g=")</f>
        <v>1</v>
      </c>
      <c r="GD137" t="b">
        <f>AND('Black &amp; White load sheet'!F341,"AAAAAHvP/7k=")</f>
        <v>0</v>
      </c>
      <c r="GE137" t="b">
        <f>AND('Black &amp; White load sheet'!G341,"AAAAAHvP/7o=")</f>
        <v>0</v>
      </c>
      <c r="GF137" t="b">
        <f>AND('Black &amp; White load sheet'!H341,"AAAAAHvP/7s=")</f>
        <v>1</v>
      </c>
      <c r="GG137" t="b">
        <f>AND('Black &amp; White load sheet'!I341,"AAAAAHvP/7w=")</f>
        <v>0</v>
      </c>
      <c r="GH137" t="b">
        <f>AND('Black &amp; White load sheet'!J341,"AAAAAHvP/70=")</f>
        <v>0</v>
      </c>
      <c r="GI137" t="b">
        <f>AND('Black &amp; White load sheet'!K341,"AAAAAHvP/74=")</f>
        <v>1</v>
      </c>
      <c r="GJ137" t="b">
        <f>AND('Black &amp; White load sheet'!L341,"AAAAAHvP/78=")</f>
        <v>0</v>
      </c>
      <c r="GK137" t="b">
        <f>AND('Black &amp; White load sheet'!M341,"AAAAAHvP/8A=")</f>
        <v>1</v>
      </c>
      <c r="GL137" t="b">
        <f>AND('Black &amp; White load sheet'!N341,"AAAAAHvP/8E=")</f>
        <v>1</v>
      </c>
      <c r="GM137" t="b">
        <f>AND('Black &amp; White load sheet'!O341,"AAAAAHvP/8I=")</f>
        <v>1</v>
      </c>
      <c r="GN137">
        <f>IF('Black &amp; White load sheet'!342:342,"AAAAAHvP/8M=",0)</f>
        <v>0</v>
      </c>
      <c r="GO137" t="b">
        <f>AND('Black &amp; White load sheet'!A342,"AAAAAHvP/8Q=")</f>
        <v>1</v>
      </c>
      <c r="GP137" t="b">
        <f>AND('Black &amp; White load sheet'!B342,"AAAAAHvP/8U=")</f>
        <v>1</v>
      </c>
      <c r="GQ137" t="b">
        <f>AND('Black &amp; White load sheet'!C342,"AAAAAHvP/8Y=")</f>
        <v>1</v>
      </c>
      <c r="GR137" t="b">
        <f>AND('Black &amp; White load sheet'!D342,"AAAAAHvP/8c=")</f>
        <v>0</v>
      </c>
      <c r="GS137" t="b">
        <f>AND('Black &amp; White load sheet'!E342,"AAAAAHvP/8g=")</f>
        <v>1</v>
      </c>
      <c r="GT137" t="b">
        <f>AND('Black &amp; White load sheet'!F342,"AAAAAHvP/8k=")</f>
        <v>0</v>
      </c>
      <c r="GU137" t="b">
        <f>AND('Black &amp; White load sheet'!G342,"AAAAAHvP/8o=")</f>
        <v>0</v>
      </c>
      <c r="GV137" t="b">
        <f>AND('Black &amp; White load sheet'!H342,"AAAAAHvP/8s=")</f>
        <v>1</v>
      </c>
      <c r="GW137" t="b">
        <f>AND('Black &amp; White load sheet'!I342,"AAAAAHvP/8w=")</f>
        <v>0</v>
      </c>
      <c r="GX137" t="b">
        <f>AND('Black &amp; White load sheet'!J342,"AAAAAHvP/80=")</f>
        <v>1</v>
      </c>
      <c r="GY137" t="b">
        <f>AND('Black &amp; White load sheet'!K342,"AAAAAHvP/84=")</f>
        <v>0</v>
      </c>
      <c r="GZ137" t="b">
        <f>AND('Black &amp; White load sheet'!L342,"AAAAAHvP/88=")</f>
        <v>0</v>
      </c>
      <c r="HA137" t="b">
        <f>AND('Black &amp; White load sheet'!M342,"AAAAAHvP/9A=")</f>
        <v>1</v>
      </c>
      <c r="HB137" t="b">
        <f>AND('Black &amp; White load sheet'!N342,"AAAAAHvP/9E=")</f>
        <v>1</v>
      </c>
      <c r="HC137" t="b">
        <f>AND('Black &amp; White load sheet'!O342,"AAAAAHvP/9I=")</f>
        <v>1</v>
      </c>
      <c r="HD137">
        <f>IF('Black &amp; White load sheet'!343:343,"AAAAAHvP/9M=",0)</f>
        <v>0</v>
      </c>
      <c r="HE137" t="b">
        <f>AND('Black &amp; White load sheet'!A343,"AAAAAHvP/9Q=")</f>
        <v>1</v>
      </c>
      <c r="HF137" t="b">
        <f>AND('Black &amp; White load sheet'!B343,"AAAAAHvP/9U=")</f>
        <v>1</v>
      </c>
      <c r="HG137" t="b">
        <f>AND('Black &amp; White load sheet'!C343,"AAAAAHvP/9Y=")</f>
        <v>1</v>
      </c>
      <c r="HH137" t="b">
        <f>AND('Black &amp; White load sheet'!D343,"AAAAAHvP/9c=")</f>
        <v>0</v>
      </c>
      <c r="HI137" t="b">
        <f>AND('Black &amp; White load sheet'!E343,"AAAAAHvP/9g=")</f>
        <v>1</v>
      </c>
      <c r="HJ137" t="b">
        <f>AND('Black &amp; White load sheet'!F343,"AAAAAHvP/9k=")</f>
        <v>0</v>
      </c>
      <c r="HK137" t="b">
        <f>AND('Black &amp; White load sheet'!G343,"AAAAAHvP/9o=")</f>
        <v>0</v>
      </c>
      <c r="HL137" t="b">
        <f>AND('Black &amp; White load sheet'!H343,"AAAAAHvP/9s=")</f>
        <v>1</v>
      </c>
      <c r="HM137" t="b">
        <f>AND('Black &amp; White load sheet'!I343,"AAAAAHvP/9w=")</f>
        <v>1</v>
      </c>
      <c r="HN137" t="b">
        <f>AND('Black &amp; White load sheet'!J343,"AAAAAHvP/90=")</f>
        <v>0</v>
      </c>
      <c r="HO137" t="b">
        <f>AND('Black &amp; White load sheet'!K343,"AAAAAHvP/94=")</f>
        <v>0</v>
      </c>
      <c r="HP137" t="b">
        <f>AND('Black &amp; White load sheet'!L343,"AAAAAHvP/98=")</f>
        <v>0</v>
      </c>
      <c r="HQ137" t="b">
        <f>AND('Black &amp; White load sheet'!M343,"AAAAAHvP/+A=")</f>
        <v>1</v>
      </c>
      <c r="HR137" t="b">
        <f>AND('Black &amp; White load sheet'!N343,"AAAAAHvP/+E=")</f>
        <v>1</v>
      </c>
      <c r="HS137" t="b">
        <f>AND('Black &amp; White load sheet'!O343,"AAAAAHvP/+I=")</f>
        <v>1</v>
      </c>
      <c r="HT137">
        <f>IF('Black &amp; White load sheet'!344:344,"AAAAAHvP/+M=",0)</f>
        <v>0</v>
      </c>
      <c r="HU137" t="b">
        <f>AND('Black &amp; White load sheet'!A344,"AAAAAHvP/+Q=")</f>
        <v>1</v>
      </c>
      <c r="HV137" t="b">
        <f>AND('Black &amp; White load sheet'!B344,"AAAAAHvP/+U=")</f>
        <v>1</v>
      </c>
      <c r="HW137" t="b">
        <f>AND('Black &amp; White load sheet'!C344,"AAAAAHvP/+Y=")</f>
        <v>1</v>
      </c>
      <c r="HX137" t="b">
        <f>AND('Black &amp; White load sheet'!D344,"AAAAAHvP/+c=")</f>
        <v>0</v>
      </c>
      <c r="HY137" t="b">
        <f>AND('Black &amp; White load sheet'!E344,"AAAAAHvP/+g=")</f>
        <v>1</v>
      </c>
      <c r="HZ137" t="b">
        <f>AND('Black &amp; White load sheet'!F344,"AAAAAHvP/+k=")</f>
        <v>0</v>
      </c>
      <c r="IA137" t="b">
        <f>AND('Black &amp; White load sheet'!G344,"AAAAAHvP/+o=")</f>
        <v>1</v>
      </c>
      <c r="IB137" t="b">
        <f>AND('Black &amp; White load sheet'!H344,"AAAAAHvP/+s=")</f>
        <v>0</v>
      </c>
      <c r="IC137" t="b">
        <f>AND('Black &amp; White load sheet'!I344,"AAAAAHvP/+w=")</f>
        <v>0</v>
      </c>
      <c r="ID137" t="b">
        <f>AND('Black &amp; White load sheet'!J344,"AAAAAHvP/+0=")</f>
        <v>0</v>
      </c>
      <c r="IE137" t="b">
        <f>AND('Black &amp; White load sheet'!K344,"AAAAAHvP/+4=")</f>
        <v>0</v>
      </c>
      <c r="IF137" t="b">
        <f>AND('Black &amp; White load sheet'!L344,"AAAAAHvP/+8=")</f>
        <v>0</v>
      </c>
      <c r="IG137" t="b">
        <f>AND('Black &amp; White load sheet'!M344,"AAAAAHvP//A=")</f>
        <v>1</v>
      </c>
      <c r="IH137" t="b">
        <f>AND('Black &amp; White load sheet'!N344,"AAAAAHvP//E=")</f>
        <v>1</v>
      </c>
      <c r="II137" t="b">
        <f>AND('Black &amp; White load sheet'!O344,"AAAAAHvP//I=")</f>
        <v>1</v>
      </c>
      <c r="IJ137">
        <f>IF('Black &amp; White load sheet'!345:345,"AAAAAHvP//M=",0)</f>
        <v>0</v>
      </c>
      <c r="IK137" t="b">
        <f>AND('Black &amp; White load sheet'!A345,"AAAAAHvP//Q=")</f>
        <v>1</v>
      </c>
      <c r="IL137" t="b">
        <f>AND('Black &amp; White load sheet'!B345,"AAAAAHvP//U=")</f>
        <v>1</v>
      </c>
      <c r="IM137" t="b">
        <f>AND('Black &amp; White load sheet'!C345,"AAAAAHvP//Y=")</f>
        <v>1</v>
      </c>
      <c r="IN137" t="b">
        <f>AND('Black &amp; White load sheet'!D345,"AAAAAHvP//c=")</f>
        <v>0</v>
      </c>
      <c r="IO137" t="b">
        <f>AND('Black &amp; White load sheet'!E345,"AAAAAHvP//g=")</f>
        <v>1</v>
      </c>
      <c r="IP137" t="b">
        <f>AND('Black &amp; White load sheet'!F345,"AAAAAHvP//k=")</f>
        <v>0</v>
      </c>
      <c r="IQ137" t="b">
        <f>AND('Black &amp; White load sheet'!G345,"AAAAAHvP//o=")</f>
        <v>1</v>
      </c>
      <c r="IR137" t="b">
        <f>AND('Black &amp; White load sheet'!H345,"AAAAAHvP//s=")</f>
        <v>0</v>
      </c>
      <c r="IS137" t="b">
        <f>AND('Black &amp; White load sheet'!I345,"AAAAAHvP//w=")</f>
        <v>0</v>
      </c>
      <c r="IT137" t="b">
        <f>AND('Black &amp; White load sheet'!J345,"AAAAAHvP//0=")</f>
        <v>0</v>
      </c>
      <c r="IU137" t="b">
        <f>AND('Black &amp; White load sheet'!K345,"AAAAAHvP//4=")</f>
        <v>0</v>
      </c>
      <c r="IV137" t="b">
        <f>AND('Black &amp; White load sheet'!L345,"AAAAAHvP//8=")</f>
        <v>1</v>
      </c>
    </row>
    <row r="138" spans="1:256">
      <c r="A138" t="b">
        <f>AND('Black &amp; White load sheet'!M345,"AAAAAF/cNgA=")</f>
        <v>1</v>
      </c>
      <c r="B138" t="b">
        <f>AND('Black &amp; White load sheet'!N345,"AAAAAF/cNgE=")</f>
        <v>1</v>
      </c>
      <c r="C138" t="b">
        <f>AND('Black &amp; White load sheet'!O345,"AAAAAF/cNgI=")</f>
        <v>1</v>
      </c>
      <c r="D138">
        <f>IF('Black &amp; White load sheet'!346:346,"AAAAAF/cNgM=",0)</f>
        <v>0</v>
      </c>
      <c r="E138" t="b">
        <f>AND('Black &amp; White load sheet'!A346,"AAAAAF/cNgQ=")</f>
        <v>1</v>
      </c>
      <c r="F138" t="b">
        <f>AND('Black &amp; White load sheet'!B346,"AAAAAF/cNgU=")</f>
        <v>1</v>
      </c>
      <c r="G138" t="b">
        <f>AND('Black &amp; White load sheet'!C346,"AAAAAF/cNgY=")</f>
        <v>1</v>
      </c>
      <c r="H138" t="b">
        <f>AND('Black &amp; White load sheet'!D346,"AAAAAF/cNgc=")</f>
        <v>0</v>
      </c>
      <c r="I138" t="b">
        <f>AND('Black &amp; White load sheet'!E346,"AAAAAF/cNgg=")</f>
        <v>1</v>
      </c>
      <c r="J138" t="b">
        <f>AND('Black &amp; White load sheet'!F346,"AAAAAF/cNgk=")</f>
        <v>0</v>
      </c>
      <c r="K138" t="b">
        <f>AND('Black &amp; White load sheet'!G346,"AAAAAF/cNgo=")</f>
        <v>1</v>
      </c>
      <c r="L138" t="b">
        <f>AND('Black &amp; White load sheet'!H346,"AAAAAF/cNgs=")</f>
        <v>0</v>
      </c>
      <c r="M138" t="b">
        <f>AND('Black &amp; White load sheet'!I346,"AAAAAF/cNgw=")</f>
        <v>0</v>
      </c>
      <c r="N138" t="b">
        <f>AND('Black &amp; White load sheet'!J346,"AAAAAF/cNg0=")</f>
        <v>0</v>
      </c>
      <c r="O138" t="b">
        <f>AND('Black &amp; White load sheet'!K346,"AAAAAF/cNg4=")</f>
        <v>1</v>
      </c>
      <c r="P138" t="b">
        <f>AND('Black &amp; White load sheet'!L346,"AAAAAF/cNg8=")</f>
        <v>0</v>
      </c>
      <c r="Q138" t="b">
        <f>AND('Black &amp; White load sheet'!M346,"AAAAAF/cNhA=")</f>
        <v>1</v>
      </c>
      <c r="R138" t="b">
        <f>AND('Black &amp; White load sheet'!N346,"AAAAAF/cNhE=")</f>
        <v>1</v>
      </c>
      <c r="S138" t="b">
        <f>AND('Black &amp; White load sheet'!O346,"AAAAAF/cNhI=")</f>
        <v>1</v>
      </c>
      <c r="T138">
        <f>IF('Black &amp; White load sheet'!347:347,"AAAAAF/cNhM=",0)</f>
        <v>0</v>
      </c>
      <c r="U138" t="b">
        <f>AND('Black &amp; White load sheet'!A347,"AAAAAF/cNhQ=")</f>
        <v>1</v>
      </c>
      <c r="V138" t="b">
        <f>AND('Black &amp; White load sheet'!B347,"AAAAAF/cNhU=")</f>
        <v>1</v>
      </c>
      <c r="W138" t="b">
        <f>AND('Black &amp; White load sheet'!C347,"AAAAAF/cNhY=")</f>
        <v>1</v>
      </c>
      <c r="X138" t="b">
        <f>AND('Black &amp; White load sheet'!D347,"AAAAAF/cNhc=")</f>
        <v>0</v>
      </c>
      <c r="Y138" t="b">
        <f>AND('Black &amp; White load sheet'!E347,"AAAAAF/cNhg=")</f>
        <v>1</v>
      </c>
      <c r="Z138" t="b">
        <f>AND('Black &amp; White load sheet'!F347,"AAAAAF/cNhk=")</f>
        <v>0</v>
      </c>
      <c r="AA138" t="b">
        <f>AND('Black &amp; White load sheet'!G347,"AAAAAF/cNho=")</f>
        <v>1</v>
      </c>
      <c r="AB138" t="b">
        <f>AND('Black &amp; White load sheet'!H347,"AAAAAF/cNhs=")</f>
        <v>0</v>
      </c>
      <c r="AC138" t="b">
        <f>AND('Black &amp; White load sheet'!I347,"AAAAAF/cNhw=")</f>
        <v>0</v>
      </c>
      <c r="AD138" t="b">
        <f>AND('Black &amp; White load sheet'!J347,"AAAAAF/cNh0=")</f>
        <v>1</v>
      </c>
      <c r="AE138" t="b">
        <f>AND('Black &amp; White load sheet'!K347,"AAAAAF/cNh4=")</f>
        <v>0</v>
      </c>
      <c r="AF138" t="b">
        <f>AND('Black &amp; White load sheet'!L347,"AAAAAF/cNh8=")</f>
        <v>0</v>
      </c>
      <c r="AG138" t="b">
        <f>AND('Black &amp; White load sheet'!M347,"AAAAAF/cNiA=")</f>
        <v>1</v>
      </c>
      <c r="AH138" t="b">
        <f>AND('Black &amp; White load sheet'!N347,"AAAAAF/cNiE=")</f>
        <v>1</v>
      </c>
      <c r="AI138" t="b">
        <f>AND('Black &amp; White load sheet'!O347,"AAAAAF/cNiI=")</f>
        <v>1</v>
      </c>
      <c r="AJ138">
        <f>IF('Black &amp; White load sheet'!348:348,"AAAAAF/cNiM=",0)</f>
        <v>0</v>
      </c>
      <c r="AK138" t="b">
        <f>AND('Black &amp; White load sheet'!A348,"AAAAAF/cNiQ=")</f>
        <v>1</v>
      </c>
      <c r="AL138" t="b">
        <f>AND('Black &amp; White load sheet'!B348,"AAAAAF/cNiU=")</f>
        <v>1</v>
      </c>
      <c r="AM138" t="b">
        <f>AND('Black &amp; White load sheet'!C348,"AAAAAF/cNiY=")</f>
        <v>1</v>
      </c>
      <c r="AN138" t="b">
        <f>AND('Black &amp; White load sheet'!D348,"AAAAAF/cNic=")</f>
        <v>0</v>
      </c>
      <c r="AO138" t="b">
        <f>AND('Black &amp; White load sheet'!E348,"AAAAAF/cNig=")</f>
        <v>1</v>
      </c>
      <c r="AP138" t="b">
        <f>AND('Black &amp; White load sheet'!F348,"AAAAAF/cNik=")</f>
        <v>0</v>
      </c>
      <c r="AQ138" t="b">
        <f>AND('Black &amp; White load sheet'!G348,"AAAAAF/cNio=")</f>
        <v>1</v>
      </c>
      <c r="AR138" t="b">
        <f>AND('Black &amp; White load sheet'!H348,"AAAAAF/cNis=")</f>
        <v>0</v>
      </c>
      <c r="AS138" t="b">
        <f>AND('Black &amp; White load sheet'!I348,"AAAAAF/cNiw=")</f>
        <v>1</v>
      </c>
      <c r="AT138" t="b">
        <f>AND('Black &amp; White load sheet'!J348,"AAAAAF/cNi0=")</f>
        <v>0</v>
      </c>
      <c r="AU138" t="b">
        <f>AND('Black &amp; White load sheet'!K348,"AAAAAF/cNi4=")</f>
        <v>0</v>
      </c>
      <c r="AV138" t="b">
        <f>AND('Black &amp; White load sheet'!L348,"AAAAAF/cNi8=")</f>
        <v>0</v>
      </c>
      <c r="AW138" t="b">
        <f>AND('Black &amp; White load sheet'!M348,"AAAAAF/cNjA=")</f>
        <v>1</v>
      </c>
      <c r="AX138" t="b">
        <f>AND('Black &amp; White load sheet'!N348,"AAAAAF/cNjE=")</f>
        <v>1</v>
      </c>
      <c r="AY138" t="b">
        <f>AND('Black &amp; White load sheet'!O348,"AAAAAF/cNjI=")</f>
        <v>1</v>
      </c>
      <c r="AZ138">
        <f>IF('Black &amp; White load sheet'!349:349,"AAAAAF/cNjM=",0)</f>
        <v>0</v>
      </c>
      <c r="BA138" t="b">
        <f>AND('Black &amp; White load sheet'!A349,"AAAAAF/cNjQ=")</f>
        <v>1</v>
      </c>
      <c r="BB138" t="b">
        <f>AND('Black &amp; White load sheet'!B349,"AAAAAF/cNjU=")</f>
        <v>1</v>
      </c>
      <c r="BC138" t="b">
        <f>AND('Black &amp; White load sheet'!C349,"AAAAAF/cNjY=")</f>
        <v>1</v>
      </c>
      <c r="BD138" t="b">
        <f>AND('Black &amp; White load sheet'!D349,"AAAAAF/cNjc=")</f>
        <v>0</v>
      </c>
      <c r="BE138" t="b">
        <f>AND('Black &amp; White load sheet'!E349,"AAAAAF/cNjg=")</f>
        <v>1</v>
      </c>
      <c r="BF138" t="b">
        <f>AND('Black &amp; White load sheet'!F349,"AAAAAF/cNjk=")</f>
        <v>0</v>
      </c>
      <c r="BG138" t="b">
        <f>AND('Black &amp; White load sheet'!G349,"AAAAAF/cNjo=")</f>
        <v>1</v>
      </c>
      <c r="BH138" t="b">
        <f>AND('Black &amp; White load sheet'!H349,"AAAAAF/cNjs=")</f>
        <v>1</v>
      </c>
      <c r="BI138" t="b">
        <f>AND('Black &amp; White load sheet'!I349,"AAAAAF/cNjw=")</f>
        <v>0</v>
      </c>
      <c r="BJ138" t="b">
        <f>AND('Black &amp; White load sheet'!J349,"AAAAAF/cNj0=")</f>
        <v>0</v>
      </c>
      <c r="BK138" t="b">
        <f>AND('Black &amp; White load sheet'!K349,"AAAAAF/cNj4=")</f>
        <v>0</v>
      </c>
      <c r="BL138" t="b">
        <f>AND('Black &amp; White load sheet'!L349,"AAAAAF/cNj8=")</f>
        <v>0</v>
      </c>
      <c r="BM138" t="b">
        <f>AND('Black &amp; White load sheet'!M349,"AAAAAF/cNkA=")</f>
        <v>1</v>
      </c>
      <c r="BN138" t="b">
        <f>AND('Black &amp; White load sheet'!N349,"AAAAAF/cNkE=")</f>
        <v>1</v>
      </c>
      <c r="BO138" t="b">
        <f>AND('Black &amp; White load sheet'!O349,"AAAAAF/cNkI=")</f>
        <v>1</v>
      </c>
      <c r="BP138">
        <f>IF('Black &amp; White load sheet'!350:350,"AAAAAF/cNkM=",0)</f>
        <v>0</v>
      </c>
      <c r="BQ138" t="b">
        <f>AND('Black &amp; White load sheet'!A350,"AAAAAF/cNkQ=")</f>
        <v>1</v>
      </c>
      <c r="BR138" t="b">
        <f>AND('Black &amp; White load sheet'!B350,"AAAAAF/cNkU=")</f>
        <v>1</v>
      </c>
      <c r="BS138" t="b">
        <f>AND('Black &amp; White load sheet'!C350,"AAAAAF/cNkY=")</f>
        <v>1</v>
      </c>
      <c r="BT138" t="b">
        <f>AND('Black &amp; White load sheet'!D350,"AAAAAF/cNkc=")</f>
        <v>0</v>
      </c>
      <c r="BU138" t="b">
        <f>AND('Black &amp; White load sheet'!E350,"AAAAAF/cNkg=")</f>
        <v>1</v>
      </c>
      <c r="BV138" t="b">
        <f>AND('Black &amp; White load sheet'!F350,"AAAAAF/cNkk=")</f>
        <v>0</v>
      </c>
      <c r="BW138" t="b">
        <f>AND('Black &amp; White load sheet'!G350,"AAAAAF/cNko=")</f>
        <v>1</v>
      </c>
      <c r="BX138" t="b">
        <f>AND('Black &amp; White load sheet'!H350,"AAAAAF/cNks=")</f>
        <v>1</v>
      </c>
      <c r="BY138" t="b">
        <f>AND('Black &amp; White load sheet'!I350,"AAAAAF/cNkw=")</f>
        <v>0</v>
      </c>
      <c r="BZ138" t="b">
        <f>AND('Black &amp; White load sheet'!J350,"AAAAAF/cNk0=")</f>
        <v>0</v>
      </c>
      <c r="CA138" t="b">
        <f>AND('Black &amp; White load sheet'!K350,"AAAAAF/cNk4=")</f>
        <v>0</v>
      </c>
      <c r="CB138" t="b">
        <f>AND('Black &amp; White load sheet'!L350,"AAAAAF/cNk8=")</f>
        <v>1</v>
      </c>
      <c r="CC138" t="b">
        <f>AND('Black &amp; White load sheet'!M350,"AAAAAF/cNlA=")</f>
        <v>1</v>
      </c>
      <c r="CD138" t="b">
        <f>AND('Black &amp; White load sheet'!N350,"AAAAAF/cNlE=")</f>
        <v>1</v>
      </c>
      <c r="CE138" t="b">
        <f>AND('Black &amp; White load sheet'!O350,"AAAAAF/cNlI=")</f>
        <v>1</v>
      </c>
      <c r="CF138">
        <f>IF('Black &amp; White load sheet'!351:351,"AAAAAF/cNlM=",0)</f>
        <v>0</v>
      </c>
      <c r="CG138" t="b">
        <f>AND('Black &amp; White load sheet'!A351,"AAAAAF/cNlQ=")</f>
        <v>1</v>
      </c>
      <c r="CH138" t="b">
        <f>AND('Black &amp; White load sheet'!B351,"AAAAAF/cNlU=")</f>
        <v>1</v>
      </c>
      <c r="CI138" t="b">
        <f>AND('Black &amp; White load sheet'!C351,"AAAAAF/cNlY=")</f>
        <v>1</v>
      </c>
      <c r="CJ138" t="b">
        <f>AND('Black &amp; White load sheet'!D351,"AAAAAF/cNlc=")</f>
        <v>0</v>
      </c>
      <c r="CK138" t="b">
        <f>AND('Black &amp; White load sheet'!E351,"AAAAAF/cNlg=")</f>
        <v>1</v>
      </c>
      <c r="CL138" t="b">
        <f>AND('Black &amp; White load sheet'!F351,"AAAAAF/cNlk=")</f>
        <v>0</v>
      </c>
      <c r="CM138" t="b">
        <f>AND('Black &amp; White load sheet'!G351,"AAAAAF/cNlo=")</f>
        <v>1</v>
      </c>
      <c r="CN138" t="b">
        <f>AND('Black &amp; White load sheet'!H351,"AAAAAF/cNls=")</f>
        <v>1</v>
      </c>
      <c r="CO138" t="b">
        <f>AND('Black &amp; White load sheet'!I351,"AAAAAF/cNlw=")</f>
        <v>0</v>
      </c>
      <c r="CP138" t="b">
        <f>AND('Black &amp; White load sheet'!J351,"AAAAAF/cNl0=")</f>
        <v>0</v>
      </c>
      <c r="CQ138" t="b">
        <f>AND('Black &amp; White load sheet'!K351,"AAAAAF/cNl4=")</f>
        <v>1</v>
      </c>
      <c r="CR138" t="b">
        <f>AND('Black &amp; White load sheet'!L351,"AAAAAF/cNl8=")</f>
        <v>0</v>
      </c>
      <c r="CS138" t="b">
        <f>AND('Black &amp; White load sheet'!M351,"AAAAAF/cNmA=")</f>
        <v>1</v>
      </c>
      <c r="CT138" t="b">
        <f>AND('Black &amp; White load sheet'!N351,"AAAAAF/cNmE=")</f>
        <v>1</v>
      </c>
      <c r="CU138" t="b">
        <f>AND('Black &amp; White load sheet'!O351,"AAAAAF/cNmI=")</f>
        <v>1</v>
      </c>
      <c r="CV138">
        <f>IF('Black &amp; White load sheet'!352:352,"AAAAAF/cNmM=",0)</f>
        <v>0</v>
      </c>
      <c r="CW138" t="b">
        <f>AND('Black &amp; White load sheet'!A352,"AAAAAF/cNmQ=")</f>
        <v>1</v>
      </c>
      <c r="CX138" t="b">
        <f>AND('Black &amp; White load sheet'!B352,"AAAAAF/cNmU=")</f>
        <v>1</v>
      </c>
      <c r="CY138" t="b">
        <f>AND('Black &amp; White load sheet'!C352,"AAAAAF/cNmY=")</f>
        <v>1</v>
      </c>
      <c r="CZ138" t="b">
        <f>AND('Black &amp; White load sheet'!D352,"AAAAAF/cNmc=")</f>
        <v>0</v>
      </c>
      <c r="DA138" t="b">
        <f>AND('Black &amp; White load sheet'!E352,"AAAAAF/cNmg=")</f>
        <v>1</v>
      </c>
      <c r="DB138" t="b">
        <f>AND('Black &amp; White load sheet'!F352,"AAAAAF/cNmk=")</f>
        <v>0</v>
      </c>
      <c r="DC138" t="b">
        <f>AND('Black &amp; White load sheet'!G352,"AAAAAF/cNmo=")</f>
        <v>1</v>
      </c>
      <c r="DD138" t="b">
        <f>AND('Black &amp; White load sheet'!H352,"AAAAAF/cNms=")</f>
        <v>1</v>
      </c>
      <c r="DE138" t="b">
        <f>AND('Black &amp; White load sheet'!I352,"AAAAAF/cNmw=")</f>
        <v>0</v>
      </c>
      <c r="DF138" t="b">
        <f>AND('Black &amp; White load sheet'!J352,"AAAAAF/cNm0=")</f>
        <v>1</v>
      </c>
      <c r="DG138" t="b">
        <f>AND('Black &amp; White load sheet'!K352,"AAAAAF/cNm4=")</f>
        <v>0</v>
      </c>
      <c r="DH138" t="b">
        <f>AND('Black &amp; White load sheet'!L352,"AAAAAF/cNm8=")</f>
        <v>0</v>
      </c>
      <c r="DI138" t="b">
        <f>AND('Black &amp; White load sheet'!M352,"AAAAAF/cNnA=")</f>
        <v>1</v>
      </c>
      <c r="DJ138" t="b">
        <f>AND('Black &amp; White load sheet'!N352,"AAAAAF/cNnE=")</f>
        <v>1</v>
      </c>
      <c r="DK138" t="b">
        <f>AND('Black &amp; White load sheet'!O352,"AAAAAF/cNnI=")</f>
        <v>1</v>
      </c>
      <c r="DL138">
        <f>IF('Black &amp; White load sheet'!353:353,"AAAAAF/cNnM=",0)</f>
        <v>0</v>
      </c>
      <c r="DM138" t="b">
        <f>AND('Black &amp; White load sheet'!A353,"AAAAAF/cNnQ=")</f>
        <v>1</v>
      </c>
      <c r="DN138" t="b">
        <f>AND('Black &amp; White load sheet'!B353,"AAAAAF/cNnU=")</f>
        <v>1</v>
      </c>
      <c r="DO138" t="b">
        <f>AND('Black &amp; White load sheet'!C353,"AAAAAF/cNnY=")</f>
        <v>1</v>
      </c>
      <c r="DP138" t="b">
        <f>AND('Black &amp; White load sheet'!D353,"AAAAAF/cNnc=")</f>
        <v>0</v>
      </c>
      <c r="DQ138" t="b">
        <f>AND('Black &amp; White load sheet'!E353,"AAAAAF/cNng=")</f>
        <v>1</v>
      </c>
      <c r="DR138" t="b">
        <f>AND('Black &amp; White load sheet'!F353,"AAAAAF/cNnk=")</f>
        <v>0</v>
      </c>
      <c r="DS138" t="b">
        <f>AND('Black &amp; White load sheet'!G353,"AAAAAF/cNno=")</f>
        <v>1</v>
      </c>
      <c r="DT138" t="b">
        <f>AND('Black &amp; White load sheet'!H353,"AAAAAF/cNns=")</f>
        <v>1</v>
      </c>
      <c r="DU138" t="b">
        <f>AND('Black &amp; White load sheet'!I353,"AAAAAF/cNnw=")</f>
        <v>1</v>
      </c>
      <c r="DV138" t="b">
        <f>AND('Black &amp; White load sheet'!J353,"AAAAAF/cNn0=")</f>
        <v>0</v>
      </c>
      <c r="DW138" t="b">
        <f>AND('Black &amp; White load sheet'!K353,"AAAAAF/cNn4=")</f>
        <v>0</v>
      </c>
      <c r="DX138" t="b">
        <f>AND('Black &amp; White load sheet'!L353,"AAAAAF/cNn8=")</f>
        <v>0</v>
      </c>
      <c r="DY138" t="b">
        <f>AND('Black &amp; White load sheet'!M353,"AAAAAF/cNoA=")</f>
        <v>1</v>
      </c>
      <c r="DZ138" t="b">
        <f>AND('Black &amp; White load sheet'!N353,"AAAAAF/cNoE=")</f>
        <v>1</v>
      </c>
      <c r="EA138" t="b">
        <f>AND('Black &amp; White load sheet'!O353,"AAAAAF/cNoI=")</f>
        <v>1</v>
      </c>
      <c r="EB138">
        <f>IF('Black &amp; White load sheet'!354:354,"AAAAAF/cNoM=",0)</f>
        <v>0</v>
      </c>
      <c r="EC138" t="b">
        <f>AND('Black &amp; White load sheet'!A354,"AAAAAF/cNoQ=")</f>
        <v>1</v>
      </c>
      <c r="ED138" t="b">
        <f>AND('Black &amp; White load sheet'!B354,"AAAAAF/cNoU=")</f>
        <v>1</v>
      </c>
      <c r="EE138" t="b">
        <f>AND('Black &amp; White load sheet'!C354,"AAAAAF/cNoY=")</f>
        <v>1</v>
      </c>
      <c r="EF138" t="b">
        <f>AND('Black &amp; White load sheet'!D354,"AAAAAF/cNoc=")</f>
        <v>0</v>
      </c>
      <c r="EG138" t="b">
        <f>AND('Black &amp; White load sheet'!E354,"AAAAAF/cNog=")</f>
        <v>0</v>
      </c>
      <c r="EH138" t="b">
        <f>AND('Black &amp; White load sheet'!F354,"AAAAAF/cNok=")</f>
        <v>0</v>
      </c>
      <c r="EI138" t="b">
        <f>AND('Black &amp; White load sheet'!G354,"AAAAAF/cNoo=")</f>
        <v>0</v>
      </c>
      <c r="EJ138" t="b">
        <f>AND('Black &amp; White load sheet'!H354,"AAAAAF/cNos=")</f>
        <v>0</v>
      </c>
      <c r="EK138" t="b">
        <f>AND('Black &amp; White load sheet'!I354,"AAAAAF/cNow=")</f>
        <v>0</v>
      </c>
      <c r="EL138" t="b">
        <f>AND('Black &amp; White load sheet'!J354,"AAAAAF/cNo0=")</f>
        <v>0</v>
      </c>
      <c r="EM138" t="b">
        <f>AND('Black &amp; White load sheet'!K354,"AAAAAF/cNo4=")</f>
        <v>0</v>
      </c>
      <c r="EN138" t="b">
        <f>AND('Black &amp; White load sheet'!L354,"AAAAAF/cNo8=")</f>
        <v>0</v>
      </c>
      <c r="EO138" t="b">
        <f>AND('Black &amp; White load sheet'!M354,"AAAAAF/cNpA=")</f>
        <v>1</v>
      </c>
      <c r="EP138" t="b">
        <f>AND('Black &amp; White load sheet'!N354,"AAAAAF/cNpE=")</f>
        <v>1</v>
      </c>
      <c r="EQ138" t="b">
        <f>AND('Black &amp; White load sheet'!O354,"AAAAAF/cNpI=")</f>
        <v>1</v>
      </c>
      <c r="ER138">
        <f>IF('Black &amp; White load sheet'!355:355,"AAAAAF/cNpM=",0)</f>
        <v>0</v>
      </c>
      <c r="ES138" t="b">
        <f>AND('Black &amp; White load sheet'!A355,"AAAAAF/cNpQ=")</f>
        <v>1</v>
      </c>
      <c r="ET138" t="b">
        <f>AND('Black &amp; White load sheet'!B355,"AAAAAF/cNpU=")</f>
        <v>1</v>
      </c>
      <c r="EU138" t="b">
        <f>AND('Black &amp; White load sheet'!C355,"AAAAAF/cNpY=")</f>
        <v>1</v>
      </c>
      <c r="EV138" t="b">
        <f>AND('Black &amp; White load sheet'!D355,"AAAAAF/cNpc=")</f>
        <v>0</v>
      </c>
      <c r="EW138" t="b">
        <f>AND('Black &amp; White load sheet'!E355,"AAAAAF/cNpg=")</f>
        <v>0</v>
      </c>
      <c r="EX138" t="b">
        <f>AND('Black &amp; White load sheet'!F355,"AAAAAF/cNpk=")</f>
        <v>0</v>
      </c>
      <c r="EY138" t="b">
        <f>AND('Black &amp; White load sheet'!G355,"AAAAAF/cNpo=")</f>
        <v>0</v>
      </c>
      <c r="EZ138" t="b">
        <f>AND('Black &amp; White load sheet'!H355,"AAAAAF/cNps=")</f>
        <v>0</v>
      </c>
      <c r="FA138" t="b">
        <f>AND('Black &amp; White load sheet'!I355,"AAAAAF/cNpw=")</f>
        <v>0</v>
      </c>
      <c r="FB138" t="b">
        <f>AND('Black &amp; White load sheet'!J355,"AAAAAF/cNp0=")</f>
        <v>0</v>
      </c>
      <c r="FC138" t="b">
        <f>AND('Black &amp; White load sheet'!K355,"AAAAAF/cNp4=")</f>
        <v>0</v>
      </c>
      <c r="FD138" t="b">
        <f>AND('Black &amp; White load sheet'!L355,"AAAAAF/cNp8=")</f>
        <v>1</v>
      </c>
      <c r="FE138" t="b">
        <f>AND('Black &amp; White load sheet'!M355,"AAAAAF/cNqA=")</f>
        <v>1</v>
      </c>
      <c r="FF138" t="b">
        <f>AND('Black &amp; White load sheet'!N355,"AAAAAF/cNqE=")</f>
        <v>1</v>
      </c>
      <c r="FG138" t="b">
        <f>AND('Black &amp; White load sheet'!O355,"AAAAAF/cNqI=")</f>
        <v>1</v>
      </c>
      <c r="FH138">
        <f>IF('Black &amp; White load sheet'!356:356,"AAAAAF/cNqM=",0)</f>
        <v>0</v>
      </c>
      <c r="FI138" t="b">
        <f>AND('Black &amp; White load sheet'!A356,"AAAAAF/cNqQ=")</f>
        <v>1</v>
      </c>
      <c r="FJ138" t="b">
        <f>AND('Black &amp; White load sheet'!B356,"AAAAAF/cNqU=")</f>
        <v>1</v>
      </c>
      <c r="FK138" t="b">
        <f>AND('Black &amp; White load sheet'!C356,"AAAAAF/cNqY=")</f>
        <v>1</v>
      </c>
      <c r="FL138" t="b">
        <f>AND('Black &amp; White load sheet'!D356,"AAAAAF/cNqc=")</f>
        <v>0</v>
      </c>
      <c r="FM138" t="b">
        <f>AND('Black &amp; White load sheet'!E356,"AAAAAF/cNqg=")</f>
        <v>0</v>
      </c>
      <c r="FN138" t="b">
        <f>AND('Black &amp; White load sheet'!F356,"AAAAAF/cNqk=")</f>
        <v>0</v>
      </c>
      <c r="FO138" t="b">
        <f>AND('Black &amp; White load sheet'!G356,"AAAAAF/cNqo=")</f>
        <v>0</v>
      </c>
      <c r="FP138" t="b">
        <f>AND('Black &amp; White load sheet'!H356,"AAAAAF/cNqs=")</f>
        <v>0</v>
      </c>
      <c r="FQ138" t="b">
        <f>AND('Black &amp; White load sheet'!I356,"AAAAAF/cNqw=")</f>
        <v>0</v>
      </c>
      <c r="FR138" t="b">
        <f>AND('Black &amp; White load sheet'!J356,"AAAAAF/cNq0=")</f>
        <v>0</v>
      </c>
      <c r="FS138" t="b">
        <f>AND('Black &amp; White load sheet'!K356,"AAAAAF/cNq4=")</f>
        <v>1</v>
      </c>
      <c r="FT138" t="b">
        <f>AND('Black &amp; White load sheet'!L356,"AAAAAF/cNq8=")</f>
        <v>0</v>
      </c>
      <c r="FU138" t="b">
        <f>AND('Black &amp; White load sheet'!M356,"AAAAAF/cNrA=")</f>
        <v>1</v>
      </c>
      <c r="FV138" t="b">
        <f>AND('Black &amp; White load sheet'!N356,"AAAAAF/cNrE=")</f>
        <v>1</v>
      </c>
      <c r="FW138" t="b">
        <f>AND('Black &amp; White load sheet'!O356,"AAAAAF/cNrI=")</f>
        <v>1</v>
      </c>
      <c r="FX138">
        <f>IF('Black &amp; White load sheet'!357:357,"AAAAAF/cNrM=",0)</f>
        <v>0</v>
      </c>
      <c r="FY138" t="b">
        <f>AND('Black &amp; White load sheet'!A357,"AAAAAF/cNrQ=")</f>
        <v>1</v>
      </c>
      <c r="FZ138" t="b">
        <f>AND('Black &amp; White load sheet'!B357,"AAAAAF/cNrU=")</f>
        <v>1</v>
      </c>
      <c r="GA138" t="b">
        <f>AND('Black &amp; White load sheet'!C357,"AAAAAF/cNrY=")</f>
        <v>1</v>
      </c>
      <c r="GB138" t="b">
        <f>AND('Black &amp; White load sheet'!D357,"AAAAAF/cNrc=")</f>
        <v>0</v>
      </c>
      <c r="GC138" t="b">
        <f>AND('Black &amp; White load sheet'!E357,"AAAAAF/cNrg=")</f>
        <v>0</v>
      </c>
      <c r="GD138" t="b">
        <f>AND('Black &amp; White load sheet'!F357,"AAAAAF/cNrk=")</f>
        <v>0</v>
      </c>
      <c r="GE138" t="b">
        <f>AND('Black &amp; White load sheet'!G357,"AAAAAF/cNro=")</f>
        <v>0</v>
      </c>
      <c r="GF138" t="b">
        <f>AND('Black &amp; White load sheet'!H357,"AAAAAF/cNrs=")</f>
        <v>0</v>
      </c>
      <c r="GG138" t="b">
        <f>AND('Black &amp; White load sheet'!I357,"AAAAAF/cNrw=")</f>
        <v>0</v>
      </c>
      <c r="GH138" t="b">
        <f>AND('Black &amp; White load sheet'!J357,"AAAAAF/cNr0=")</f>
        <v>1</v>
      </c>
      <c r="GI138" t="b">
        <f>AND('Black &amp; White load sheet'!K357,"AAAAAF/cNr4=")</f>
        <v>0</v>
      </c>
      <c r="GJ138" t="b">
        <f>AND('Black &amp; White load sheet'!L357,"AAAAAF/cNr8=")</f>
        <v>0</v>
      </c>
      <c r="GK138" t="b">
        <f>AND('Black &amp; White load sheet'!M357,"AAAAAF/cNsA=")</f>
        <v>1</v>
      </c>
      <c r="GL138" t="b">
        <f>AND('Black &amp; White load sheet'!N357,"AAAAAF/cNsE=")</f>
        <v>1</v>
      </c>
      <c r="GM138" t="b">
        <f>AND('Black &amp; White load sheet'!O357,"AAAAAF/cNsI=")</f>
        <v>1</v>
      </c>
      <c r="GN138">
        <f>IF('Black &amp; White load sheet'!358:358,"AAAAAF/cNsM=",0)</f>
        <v>0</v>
      </c>
      <c r="GO138" t="b">
        <f>AND('Black &amp; White load sheet'!A358,"AAAAAF/cNsQ=")</f>
        <v>1</v>
      </c>
      <c r="GP138" t="b">
        <f>AND('Black &amp; White load sheet'!B358,"AAAAAF/cNsU=")</f>
        <v>1</v>
      </c>
      <c r="GQ138" t="b">
        <f>AND('Black &amp; White load sheet'!C358,"AAAAAF/cNsY=")</f>
        <v>1</v>
      </c>
      <c r="GR138" t="b">
        <f>AND('Black &amp; White load sheet'!D358,"AAAAAF/cNsc=")</f>
        <v>0</v>
      </c>
      <c r="GS138" t="b">
        <f>AND('Black &amp; White load sheet'!E358,"AAAAAF/cNsg=")</f>
        <v>0</v>
      </c>
      <c r="GT138" t="b">
        <f>AND('Black &amp; White load sheet'!F358,"AAAAAF/cNsk=")</f>
        <v>0</v>
      </c>
      <c r="GU138" t="b">
        <f>AND('Black &amp; White load sheet'!G358,"AAAAAF/cNso=")</f>
        <v>0</v>
      </c>
      <c r="GV138" t="b">
        <f>AND('Black &amp; White load sheet'!H358,"AAAAAF/cNss=")</f>
        <v>0</v>
      </c>
      <c r="GW138" t="b">
        <f>AND('Black &amp; White load sheet'!I358,"AAAAAF/cNsw=")</f>
        <v>1</v>
      </c>
      <c r="GX138" t="b">
        <f>AND('Black &amp; White load sheet'!J358,"AAAAAF/cNs0=")</f>
        <v>0</v>
      </c>
      <c r="GY138" t="b">
        <f>AND('Black &amp; White load sheet'!K358,"AAAAAF/cNs4=")</f>
        <v>0</v>
      </c>
      <c r="GZ138" t="b">
        <f>AND('Black &amp; White load sheet'!L358,"AAAAAF/cNs8=")</f>
        <v>0</v>
      </c>
      <c r="HA138" t="b">
        <f>AND('Black &amp; White load sheet'!M358,"AAAAAF/cNtA=")</f>
        <v>1</v>
      </c>
      <c r="HB138" t="b">
        <f>AND('Black &amp; White load sheet'!N358,"AAAAAF/cNtE=")</f>
        <v>1</v>
      </c>
      <c r="HC138" t="b">
        <f>AND('Black &amp; White load sheet'!O358,"AAAAAF/cNtI=")</f>
        <v>1</v>
      </c>
      <c r="HD138">
        <f>IF('Black &amp; White load sheet'!359:359,"AAAAAF/cNtM=",0)</f>
        <v>0</v>
      </c>
      <c r="HE138" t="b">
        <f>AND('Black &amp; White load sheet'!A359,"AAAAAF/cNtQ=")</f>
        <v>1</v>
      </c>
      <c r="HF138" t="b">
        <f>AND('Black &amp; White load sheet'!B359,"AAAAAF/cNtU=")</f>
        <v>1</v>
      </c>
      <c r="HG138" t="b">
        <f>AND('Black &amp; White load sheet'!C359,"AAAAAF/cNtY=")</f>
        <v>1</v>
      </c>
      <c r="HH138" t="b">
        <f>AND('Black &amp; White load sheet'!D359,"AAAAAF/cNtc=")</f>
        <v>0</v>
      </c>
      <c r="HI138" t="b">
        <f>AND('Black &amp; White load sheet'!E359,"AAAAAF/cNtg=")</f>
        <v>0</v>
      </c>
      <c r="HJ138" t="b">
        <f>AND('Black &amp; White load sheet'!F359,"AAAAAF/cNtk=")</f>
        <v>0</v>
      </c>
      <c r="HK138" t="b">
        <f>AND('Black &amp; White load sheet'!G359,"AAAAAF/cNto=")</f>
        <v>0</v>
      </c>
      <c r="HL138" t="b">
        <f>AND('Black &amp; White load sheet'!H359,"AAAAAF/cNts=")</f>
        <v>1</v>
      </c>
      <c r="HM138" t="b">
        <f>AND('Black &amp; White load sheet'!I359,"AAAAAF/cNtw=")</f>
        <v>0</v>
      </c>
      <c r="HN138" t="b">
        <f>AND('Black &amp; White load sheet'!J359,"AAAAAF/cNt0=")</f>
        <v>0</v>
      </c>
      <c r="HO138" t="b">
        <f>AND('Black &amp; White load sheet'!K359,"AAAAAF/cNt4=")</f>
        <v>0</v>
      </c>
      <c r="HP138" t="b">
        <f>AND('Black &amp; White load sheet'!L359,"AAAAAF/cNt8=")</f>
        <v>0</v>
      </c>
      <c r="HQ138" t="b">
        <f>AND('Black &amp; White load sheet'!M359,"AAAAAF/cNuA=")</f>
        <v>1</v>
      </c>
      <c r="HR138" t="b">
        <f>AND('Black &amp; White load sheet'!N359,"AAAAAF/cNuE=")</f>
        <v>1</v>
      </c>
      <c r="HS138" t="b">
        <f>AND('Black &amp; White load sheet'!O359,"AAAAAF/cNuI=")</f>
        <v>1</v>
      </c>
      <c r="HT138">
        <f>IF('Black &amp; White load sheet'!360:360,"AAAAAF/cNuM=",0)</f>
        <v>0</v>
      </c>
      <c r="HU138" t="b">
        <f>AND('Black &amp; White load sheet'!A360,"AAAAAF/cNuQ=")</f>
        <v>1</v>
      </c>
      <c r="HV138" t="b">
        <f>AND('Black &amp; White load sheet'!B360,"AAAAAF/cNuU=")</f>
        <v>1</v>
      </c>
      <c r="HW138" t="b">
        <f>AND('Black &amp; White load sheet'!C360,"AAAAAF/cNuY=")</f>
        <v>1</v>
      </c>
      <c r="HX138" t="b">
        <f>AND('Black &amp; White load sheet'!D360,"AAAAAF/cNuc=")</f>
        <v>0</v>
      </c>
      <c r="HY138" t="b">
        <f>AND('Black &amp; White load sheet'!E360,"AAAAAF/cNug=")</f>
        <v>0</v>
      </c>
      <c r="HZ138" t="b">
        <f>AND('Black &amp; White load sheet'!F360,"AAAAAF/cNuk=")</f>
        <v>0</v>
      </c>
      <c r="IA138" t="b">
        <f>AND('Black &amp; White load sheet'!G360,"AAAAAF/cNuo=")</f>
        <v>0</v>
      </c>
      <c r="IB138" t="b">
        <f>AND('Black &amp; White load sheet'!H360,"AAAAAF/cNus=")</f>
        <v>1</v>
      </c>
      <c r="IC138" t="b">
        <f>AND('Black &amp; White load sheet'!I360,"AAAAAF/cNuw=")</f>
        <v>0</v>
      </c>
      <c r="ID138" t="b">
        <f>AND('Black &amp; White load sheet'!J360,"AAAAAF/cNu0=")</f>
        <v>0</v>
      </c>
      <c r="IE138" t="b">
        <f>AND('Black &amp; White load sheet'!K360,"AAAAAF/cNu4=")</f>
        <v>0</v>
      </c>
      <c r="IF138" t="b">
        <f>AND('Black &amp; White load sheet'!L360,"AAAAAF/cNu8=")</f>
        <v>1</v>
      </c>
      <c r="IG138" t="b">
        <f>AND('Black &amp; White load sheet'!M360,"AAAAAF/cNvA=")</f>
        <v>1</v>
      </c>
      <c r="IH138" t="b">
        <f>AND('Black &amp; White load sheet'!N360,"AAAAAF/cNvE=")</f>
        <v>1</v>
      </c>
      <c r="II138" t="b">
        <f>AND('Black &amp; White load sheet'!O360,"AAAAAF/cNvI=")</f>
        <v>1</v>
      </c>
      <c r="IJ138">
        <f>IF('Black &amp; White load sheet'!361:361,"AAAAAF/cNvM=",0)</f>
        <v>0</v>
      </c>
      <c r="IK138" t="b">
        <f>AND('Black &amp; White load sheet'!A361,"AAAAAF/cNvQ=")</f>
        <v>1</v>
      </c>
      <c r="IL138" t="b">
        <f>AND('Black &amp; White load sheet'!B361,"AAAAAF/cNvU=")</f>
        <v>1</v>
      </c>
      <c r="IM138" t="b">
        <f>AND('Black &amp; White load sheet'!C361,"AAAAAF/cNvY=")</f>
        <v>1</v>
      </c>
      <c r="IN138" t="b">
        <f>AND('Black &amp; White load sheet'!D361,"AAAAAF/cNvc=")</f>
        <v>0</v>
      </c>
      <c r="IO138" t="b">
        <f>AND('Black &amp; White load sheet'!E361,"AAAAAF/cNvg=")</f>
        <v>0</v>
      </c>
      <c r="IP138" t="b">
        <f>AND('Black &amp; White load sheet'!F361,"AAAAAF/cNvk=")</f>
        <v>0</v>
      </c>
      <c r="IQ138" t="b">
        <f>AND('Black &amp; White load sheet'!G361,"AAAAAF/cNvo=")</f>
        <v>0</v>
      </c>
      <c r="IR138" t="b">
        <f>AND('Black &amp; White load sheet'!H361,"AAAAAF/cNvs=")</f>
        <v>1</v>
      </c>
      <c r="IS138" t="b">
        <f>AND('Black &amp; White load sheet'!I361,"AAAAAF/cNvw=")</f>
        <v>0</v>
      </c>
      <c r="IT138" t="b">
        <f>AND('Black &amp; White load sheet'!J361,"AAAAAF/cNv0=")</f>
        <v>0</v>
      </c>
      <c r="IU138" t="b">
        <f>AND('Black &amp; White load sheet'!K361,"AAAAAF/cNv4=")</f>
        <v>1</v>
      </c>
      <c r="IV138" t="b">
        <f>AND('Black &amp; White load sheet'!L361,"AAAAAF/cNv8=")</f>
        <v>0</v>
      </c>
    </row>
    <row r="139" spans="1:256">
      <c r="A139" t="b">
        <f>AND('Black &amp; White load sheet'!M361,"AAAAAHfPfgA=")</f>
        <v>1</v>
      </c>
      <c r="B139" t="b">
        <f>AND('Black &amp; White load sheet'!N361,"AAAAAHfPfgE=")</f>
        <v>1</v>
      </c>
      <c r="C139" t="b">
        <f>AND('Black &amp; White load sheet'!O361,"AAAAAHfPfgI=")</f>
        <v>1</v>
      </c>
      <c r="D139">
        <f>IF('Black &amp; White load sheet'!362:362,"AAAAAHfPfgM=",0)</f>
        <v>0</v>
      </c>
      <c r="E139" t="b">
        <f>AND('Black &amp; White load sheet'!A362,"AAAAAHfPfgQ=")</f>
        <v>1</v>
      </c>
      <c r="F139" t="b">
        <f>AND('Black &amp; White load sheet'!B362,"AAAAAHfPfgU=")</f>
        <v>1</v>
      </c>
      <c r="G139" t="b">
        <f>AND('Black &amp; White load sheet'!C362,"AAAAAHfPfgY=")</f>
        <v>1</v>
      </c>
      <c r="H139" t="b">
        <f>AND('Black &amp; White load sheet'!D362,"AAAAAHfPfgc=")</f>
        <v>0</v>
      </c>
      <c r="I139" t="b">
        <f>AND('Black &amp; White load sheet'!E362,"AAAAAHfPfgg=")</f>
        <v>0</v>
      </c>
      <c r="J139" t="b">
        <f>AND('Black &amp; White load sheet'!F362,"AAAAAHfPfgk=")</f>
        <v>0</v>
      </c>
      <c r="K139" t="b">
        <f>AND('Black &amp; White load sheet'!G362,"AAAAAHfPfgo=")</f>
        <v>0</v>
      </c>
      <c r="L139" t="b">
        <f>AND('Black &amp; White load sheet'!H362,"AAAAAHfPfgs=")</f>
        <v>1</v>
      </c>
      <c r="M139" t="b">
        <f>AND('Black &amp; White load sheet'!I362,"AAAAAHfPfgw=")</f>
        <v>0</v>
      </c>
      <c r="N139" t="b">
        <f>AND('Black &amp; White load sheet'!J362,"AAAAAHfPfg0=")</f>
        <v>1</v>
      </c>
      <c r="O139" t="b">
        <f>AND('Black &amp; White load sheet'!K362,"AAAAAHfPfg4=")</f>
        <v>0</v>
      </c>
      <c r="P139" t="b">
        <f>AND('Black &amp; White load sheet'!L362,"AAAAAHfPfg8=")</f>
        <v>0</v>
      </c>
      <c r="Q139" t="b">
        <f>AND('Black &amp; White load sheet'!M362,"AAAAAHfPfhA=")</f>
        <v>1</v>
      </c>
      <c r="R139" t="b">
        <f>AND('Black &amp; White load sheet'!N362,"AAAAAHfPfhE=")</f>
        <v>1</v>
      </c>
      <c r="S139" t="b">
        <f>AND('Black &amp; White load sheet'!O362,"AAAAAHfPfhI=")</f>
        <v>1</v>
      </c>
      <c r="T139">
        <f>IF('Black &amp; White load sheet'!363:363,"AAAAAHfPfhM=",0)</f>
        <v>0</v>
      </c>
      <c r="U139" t="b">
        <f>AND('Black &amp; White load sheet'!A363,"AAAAAHfPfhQ=")</f>
        <v>1</v>
      </c>
      <c r="V139" t="b">
        <f>AND('Black &amp; White load sheet'!B363,"AAAAAHfPfhU=")</f>
        <v>1</v>
      </c>
      <c r="W139" t="b">
        <f>AND('Black &amp; White load sheet'!C363,"AAAAAHfPfhY=")</f>
        <v>1</v>
      </c>
      <c r="X139" t="b">
        <f>AND('Black &amp; White load sheet'!D363,"AAAAAHfPfhc=")</f>
        <v>0</v>
      </c>
      <c r="Y139" t="b">
        <f>AND('Black &amp; White load sheet'!E363,"AAAAAHfPfhg=")</f>
        <v>0</v>
      </c>
      <c r="Z139" t="b">
        <f>AND('Black &amp; White load sheet'!F363,"AAAAAHfPfhk=")</f>
        <v>0</v>
      </c>
      <c r="AA139" t="b">
        <f>AND('Black &amp; White load sheet'!G363,"AAAAAHfPfho=")</f>
        <v>0</v>
      </c>
      <c r="AB139" t="b">
        <f>AND('Black &amp; White load sheet'!H363,"AAAAAHfPfhs=")</f>
        <v>1</v>
      </c>
      <c r="AC139" t="b">
        <f>AND('Black &amp; White load sheet'!I363,"AAAAAHfPfhw=")</f>
        <v>1</v>
      </c>
      <c r="AD139" t="b">
        <f>AND('Black &amp; White load sheet'!J363,"AAAAAHfPfh0=")</f>
        <v>0</v>
      </c>
      <c r="AE139" t="b">
        <f>AND('Black &amp; White load sheet'!K363,"AAAAAHfPfh4=")</f>
        <v>0</v>
      </c>
      <c r="AF139" t="b">
        <f>AND('Black &amp; White load sheet'!L363,"AAAAAHfPfh8=")</f>
        <v>0</v>
      </c>
      <c r="AG139" t="b">
        <f>AND('Black &amp; White load sheet'!M363,"AAAAAHfPfiA=")</f>
        <v>1</v>
      </c>
      <c r="AH139" t="b">
        <f>AND('Black &amp; White load sheet'!N363,"AAAAAHfPfiE=")</f>
        <v>1</v>
      </c>
      <c r="AI139" t="b">
        <f>AND('Black &amp; White load sheet'!O363,"AAAAAHfPfiI=")</f>
        <v>1</v>
      </c>
      <c r="AJ139">
        <f>IF('Black &amp; White load sheet'!364:364,"AAAAAHfPfiM=",0)</f>
        <v>0</v>
      </c>
      <c r="AK139" t="b">
        <f>AND('Black &amp; White load sheet'!A364,"AAAAAHfPfiQ=")</f>
        <v>1</v>
      </c>
      <c r="AL139" t="b">
        <f>AND('Black &amp; White load sheet'!B364,"AAAAAHfPfiU=")</f>
        <v>1</v>
      </c>
      <c r="AM139" t="b">
        <f>AND('Black &amp; White load sheet'!C364,"AAAAAHfPfiY=")</f>
        <v>1</v>
      </c>
      <c r="AN139" t="b">
        <f>AND('Black &amp; White load sheet'!D364,"AAAAAHfPfic=")</f>
        <v>0</v>
      </c>
      <c r="AO139" t="b">
        <f>AND('Black &amp; White load sheet'!E364,"AAAAAHfPfig=")</f>
        <v>0</v>
      </c>
      <c r="AP139" t="b">
        <f>AND('Black &amp; White load sheet'!F364,"AAAAAHfPfik=")</f>
        <v>0</v>
      </c>
      <c r="AQ139" t="b">
        <f>AND('Black &amp; White load sheet'!G364,"AAAAAHfPfio=")</f>
        <v>1</v>
      </c>
      <c r="AR139" t="b">
        <f>AND('Black &amp; White load sheet'!H364,"AAAAAHfPfis=")</f>
        <v>0</v>
      </c>
      <c r="AS139" t="b">
        <f>AND('Black &amp; White load sheet'!I364,"AAAAAHfPfiw=")</f>
        <v>0</v>
      </c>
      <c r="AT139" t="b">
        <f>AND('Black &amp; White load sheet'!J364,"AAAAAHfPfi0=")</f>
        <v>0</v>
      </c>
      <c r="AU139" t="b">
        <f>AND('Black &amp; White load sheet'!K364,"AAAAAHfPfi4=")</f>
        <v>0</v>
      </c>
      <c r="AV139" t="b">
        <f>AND('Black &amp; White load sheet'!L364,"AAAAAHfPfi8=")</f>
        <v>0</v>
      </c>
      <c r="AW139" t="b">
        <f>AND('Black &amp; White load sheet'!M364,"AAAAAHfPfjA=")</f>
        <v>1</v>
      </c>
      <c r="AX139" t="b">
        <f>AND('Black &amp; White load sheet'!N364,"AAAAAHfPfjE=")</f>
        <v>1</v>
      </c>
      <c r="AY139" t="b">
        <f>AND('Black &amp; White load sheet'!O364,"AAAAAHfPfjI=")</f>
        <v>1</v>
      </c>
      <c r="AZ139">
        <f>IF('Black &amp; White load sheet'!365:365,"AAAAAHfPfjM=",0)</f>
        <v>0</v>
      </c>
      <c r="BA139" t="b">
        <f>AND('Black &amp; White load sheet'!A365,"AAAAAHfPfjQ=")</f>
        <v>1</v>
      </c>
      <c r="BB139" t="b">
        <f>AND('Black &amp; White load sheet'!B365,"AAAAAHfPfjU=")</f>
        <v>1</v>
      </c>
      <c r="BC139" t="b">
        <f>AND('Black &amp; White load sheet'!C365,"AAAAAHfPfjY=")</f>
        <v>1</v>
      </c>
      <c r="BD139" t="b">
        <f>AND('Black &amp; White load sheet'!D365,"AAAAAHfPfjc=")</f>
        <v>0</v>
      </c>
      <c r="BE139" t="b">
        <f>AND('Black &amp; White load sheet'!E365,"AAAAAHfPfjg=")</f>
        <v>0</v>
      </c>
      <c r="BF139" t="b">
        <f>AND('Black &amp; White load sheet'!F365,"AAAAAHfPfjk=")</f>
        <v>0</v>
      </c>
      <c r="BG139" t="b">
        <f>AND('Black &amp; White load sheet'!G365,"AAAAAHfPfjo=")</f>
        <v>1</v>
      </c>
      <c r="BH139" t="b">
        <f>AND('Black &amp; White load sheet'!H365,"AAAAAHfPfjs=")</f>
        <v>0</v>
      </c>
      <c r="BI139" t="b">
        <f>AND('Black &amp; White load sheet'!I365,"AAAAAHfPfjw=")</f>
        <v>0</v>
      </c>
      <c r="BJ139" t="b">
        <f>AND('Black &amp; White load sheet'!J365,"AAAAAHfPfj0=")</f>
        <v>0</v>
      </c>
      <c r="BK139" t="b">
        <f>AND('Black &amp; White load sheet'!K365,"AAAAAHfPfj4=")</f>
        <v>0</v>
      </c>
      <c r="BL139" t="b">
        <f>AND('Black &amp; White load sheet'!L365,"AAAAAHfPfj8=")</f>
        <v>1</v>
      </c>
      <c r="BM139" t="b">
        <f>AND('Black &amp; White load sheet'!M365,"AAAAAHfPfkA=")</f>
        <v>1</v>
      </c>
      <c r="BN139" t="b">
        <f>AND('Black &amp; White load sheet'!N365,"AAAAAHfPfkE=")</f>
        <v>1</v>
      </c>
      <c r="BO139" t="b">
        <f>AND('Black &amp; White load sheet'!O365,"AAAAAHfPfkI=")</f>
        <v>1</v>
      </c>
      <c r="BP139">
        <f>IF('Black &amp; White load sheet'!366:366,"AAAAAHfPfkM=",0)</f>
        <v>0</v>
      </c>
      <c r="BQ139" t="b">
        <f>AND('Black &amp; White load sheet'!A366,"AAAAAHfPfkQ=")</f>
        <v>1</v>
      </c>
      <c r="BR139" t="b">
        <f>AND('Black &amp; White load sheet'!B366,"AAAAAHfPfkU=")</f>
        <v>1</v>
      </c>
      <c r="BS139" t="b">
        <f>AND('Black &amp; White load sheet'!C366,"AAAAAHfPfkY=")</f>
        <v>1</v>
      </c>
      <c r="BT139" t="b">
        <f>AND('Black &amp; White load sheet'!D366,"AAAAAHfPfkc=")</f>
        <v>0</v>
      </c>
      <c r="BU139" t="b">
        <f>AND('Black &amp; White load sheet'!E366,"AAAAAHfPfkg=")</f>
        <v>0</v>
      </c>
      <c r="BV139" t="b">
        <f>AND('Black &amp; White load sheet'!F366,"AAAAAHfPfkk=")</f>
        <v>0</v>
      </c>
      <c r="BW139" t="b">
        <f>AND('Black &amp; White load sheet'!G366,"AAAAAHfPfko=")</f>
        <v>1</v>
      </c>
      <c r="BX139" t="b">
        <f>AND('Black &amp; White load sheet'!H366,"AAAAAHfPfks=")</f>
        <v>0</v>
      </c>
      <c r="BY139" t="b">
        <f>AND('Black &amp; White load sheet'!I366,"AAAAAHfPfkw=")</f>
        <v>0</v>
      </c>
      <c r="BZ139" t="b">
        <f>AND('Black &amp; White load sheet'!J366,"AAAAAHfPfk0=")</f>
        <v>0</v>
      </c>
      <c r="CA139" t="b">
        <f>AND('Black &amp; White load sheet'!K366,"AAAAAHfPfk4=")</f>
        <v>1</v>
      </c>
      <c r="CB139" t="b">
        <f>AND('Black &amp; White load sheet'!L366,"AAAAAHfPfk8=")</f>
        <v>0</v>
      </c>
      <c r="CC139" t="b">
        <f>AND('Black &amp; White load sheet'!M366,"AAAAAHfPflA=")</f>
        <v>1</v>
      </c>
      <c r="CD139" t="b">
        <f>AND('Black &amp; White load sheet'!N366,"AAAAAHfPflE=")</f>
        <v>1</v>
      </c>
      <c r="CE139" t="b">
        <f>AND('Black &amp; White load sheet'!O366,"AAAAAHfPflI=")</f>
        <v>1</v>
      </c>
      <c r="CF139">
        <f>IF('Black &amp; White load sheet'!367:367,"AAAAAHfPflM=",0)</f>
        <v>0</v>
      </c>
      <c r="CG139" t="b">
        <f>AND('Black &amp; White load sheet'!A367,"AAAAAHfPflQ=")</f>
        <v>1</v>
      </c>
      <c r="CH139" t="b">
        <f>AND('Black &amp; White load sheet'!B367,"AAAAAHfPflU=")</f>
        <v>1</v>
      </c>
      <c r="CI139" t="b">
        <f>AND('Black &amp; White load sheet'!C367,"AAAAAHfPflY=")</f>
        <v>1</v>
      </c>
      <c r="CJ139" t="b">
        <f>AND('Black &amp; White load sheet'!D367,"AAAAAHfPflc=")</f>
        <v>0</v>
      </c>
      <c r="CK139" t="b">
        <f>AND('Black &amp; White load sheet'!E367,"AAAAAHfPflg=")</f>
        <v>0</v>
      </c>
      <c r="CL139" t="b">
        <f>AND('Black &amp; White load sheet'!F367,"AAAAAHfPflk=")</f>
        <v>0</v>
      </c>
      <c r="CM139" t="b">
        <f>AND('Black &amp; White load sheet'!G367,"AAAAAHfPflo=")</f>
        <v>1</v>
      </c>
      <c r="CN139" t="b">
        <f>AND('Black &amp; White load sheet'!H367,"AAAAAHfPfls=")</f>
        <v>0</v>
      </c>
      <c r="CO139" t="b">
        <f>AND('Black &amp; White load sheet'!I367,"AAAAAHfPflw=")</f>
        <v>0</v>
      </c>
      <c r="CP139" t="b">
        <f>AND('Black &amp; White load sheet'!J367,"AAAAAHfPfl0=")</f>
        <v>1</v>
      </c>
      <c r="CQ139" t="b">
        <f>AND('Black &amp; White load sheet'!K367,"AAAAAHfPfl4=")</f>
        <v>0</v>
      </c>
      <c r="CR139" t="b">
        <f>AND('Black &amp; White load sheet'!L367,"AAAAAHfPfl8=")</f>
        <v>0</v>
      </c>
      <c r="CS139" t="b">
        <f>AND('Black &amp; White load sheet'!M367,"AAAAAHfPfmA=")</f>
        <v>1</v>
      </c>
      <c r="CT139" t="b">
        <f>AND('Black &amp; White load sheet'!N367,"AAAAAHfPfmE=")</f>
        <v>1</v>
      </c>
      <c r="CU139" t="b">
        <f>AND('Black &amp; White load sheet'!O367,"AAAAAHfPfmI=")</f>
        <v>1</v>
      </c>
      <c r="CV139">
        <f>IF('Black &amp; White load sheet'!368:368,"AAAAAHfPfmM=",0)</f>
        <v>0</v>
      </c>
      <c r="CW139" t="b">
        <f>AND('Black &amp; White load sheet'!A368,"AAAAAHfPfmQ=")</f>
        <v>1</v>
      </c>
      <c r="CX139" t="b">
        <f>AND('Black &amp; White load sheet'!B368,"AAAAAHfPfmU=")</f>
        <v>1</v>
      </c>
      <c r="CY139" t="b">
        <f>AND('Black &amp; White load sheet'!C368,"AAAAAHfPfmY=")</f>
        <v>1</v>
      </c>
      <c r="CZ139" t="b">
        <f>AND('Black &amp; White load sheet'!D368,"AAAAAHfPfmc=")</f>
        <v>0</v>
      </c>
      <c r="DA139" t="b">
        <f>AND('Black &amp; White load sheet'!E368,"AAAAAHfPfmg=")</f>
        <v>0</v>
      </c>
      <c r="DB139" t="b">
        <f>AND('Black &amp; White load sheet'!F368,"AAAAAHfPfmk=")</f>
        <v>0</v>
      </c>
      <c r="DC139" t="b">
        <f>AND('Black &amp; White load sheet'!G368,"AAAAAHfPfmo=")</f>
        <v>1</v>
      </c>
      <c r="DD139" t="b">
        <f>AND('Black &amp; White load sheet'!H368,"AAAAAHfPfms=")</f>
        <v>0</v>
      </c>
      <c r="DE139" t="b">
        <f>AND('Black &amp; White load sheet'!I368,"AAAAAHfPfmw=")</f>
        <v>1</v>
      </c>
      <c r="DF139" t="b">
        <f>AND('Black &amp; White load sheet'!J368,"AAAAAHfPfm0=")</f>
        <v>0</v>
      </c>
      <c r="DG139" t="b">
        <f>AND('Black &amp; White load sheet'!K368,"AAAAAHfPfm4=")</f>
        <v>0</v>
      </c>
      <c r="DH139" t="b">
        <f>AND('Black &amp; White load sheet'!L368,"AAAAAHfPfm8=")</f>
        <v>0</v>
      </c>
      <c r="DI139" t="b">
        <f>AND('Black &amp; White load sheet'!M368,"AAAAAHfPfnA=")</f>
        <v>1</v>
      </c>
      <c r="DJ139" t="b">
        <f>AND('Black &amp; White load sheet'!N368,"AAAAAHfPfnE=")</f>
        <v>1</v>
      </c>
      <c r="DK139" t="b">
        <f>AND('Black &amp; White load sheet'!O368,"AAAAAHfPfnI=")</f>
        <v>1</v>
      </c>
      <c r="DL139">
        <f>IF('Black &amp; White load sheet'!369:369,"AAAAAHfPfnM=",0)</f>
        <v>0</v>
      </c>
      <c r="DM139" t="b">
        <f>AND('Black &amp; White load sheet'!A369,"AAAAAHfPfnQ=")</f>
        <v>1</v>
      </c>
      <c r="DN139" t="b">
        <f>AND('Black &amp; White load sheet'!B369,"AAAAAHfPfnU=")</f>
        <v>1</v>
      </c>
      <c r="DO139" t="b">
        <f>AND('Black &amp; White load sheet'!C369,"AAAAAHfPfnY=")</f>
        <v>1</v>
      </c>
      <c r="DP139" t="b">
        <f>AND('Black &amp; White load sheet'!D369,"AAAAAHfPfnc=")</f>
        <v>0</v>
      </c>
      <c r="DQ139" t="b">
        <f>AND('Black &amp; White load sheet'!E369,"AAAAAHfPfng=")</f>
        <v>0</v>
      </c>
      <c r="DR139" t="b">
        <f>AND('Black &amp; White load sheet'!F369,"AAAAAHfPfnk=")</f>
        <v>0</v>
      </c>
      <c r="DS139" t="b">
        <f>AND('Black &amp; White load sheet'!G369,"AAAAAHfPfno=")</f>
        <v>1</v>
      </c>
      <c r="DT139" t="b">
        <f>AND('Black &amp; White load sheet'!H369,"AAAAAHfPfns=")</f>
        <v>1</v>
      </c>
      <c r="DU139" t="b">
        <f>AND('Black &amp; White load sheet'!I369,"AAAAAHfPfnw=")</f>
        <v>0</v>
      </c>
      <c r="DV139" t="b">
        <f>AND('Black &amp; White load sheet'!J369,"AAAAAHfPfn0=")</f>
        <v>0</v>
      </c>
      <c r="DW139" t="b">
        <f>AND('Black &amp; White load sheet'!K369,"AAAAAHfPfn4=")</f>
        <v>0</v>
      </c>
      <c r="DX139" t="b">
        <f>AND('Black &amp; White load sheet'!L369,"AAAAAHfPfn8=")</f>
        <v>0</v>
      </c>
      <c r="DY139" t="b">
        <f>AND('Black &amp; White load sheet'!M369,"AAAAAHfPfoA=")</f>
        <v>1</v>
      </c>
      <c r="DZ139" t="b">
        <f>AND('Black &amp; White load sheet'!N369,"AAAAAHfPfoE=")</f>
        <v>1</v>
      </c>
      <c r="EA139" t="b">
        <f>AND('Black &amp; White load sheet'!O369,"AAAAAHfPfoI=")</f>
        <v>1</v>
      </c>
      <c r="EB139">
        <f>IF('Black &amp; White load sheet'!370:370,"AAAAAHfPfoM=",0)</f>
        <v>0</v>
      </c>
      <c r="EC139" t="b">
        <f>AND('Black &amp; White load sheet'!A370,"AAAAAHfPfoQ=")</f>
        <v>1</v>
      </c>
      <c r="ED139" t="b">
        <f>AND('Black &amp; White load sheet'!B370,"AAAAAHfPfoU=")</f>
        <v>1</v>
      </c>
      <c r="EE139" t="b">
        <f>AND('Black &amp; White load sheet'!C370,"AAAAAHfPfoY=")</f>
        <v>1</v>
      </c>
      <c r="EF139" t="b">
        <f>AND('Black &amp; White load sheet'!D370,"AAAAAHfPfoc=")</f>
        <v>0</v>
      </c>
      <c r="EG139" t="b">
        <f>AND('Black &amp; White load sheet'!E370,"AAAAAHfPfog=")</f>
        <v>0</v>
      </c>
      <c r="EH139" t="b">
        <f>AND('Black &amp; White load sheet'!F370,"AAAAAHfPfok=")</f>
        <v>0</v>
      </c>
      <c r="EI139" t="b">
        <f>AND('Black &amp; White load sheet'!G370,"AAAAAHfPfoo=")</f>
        <v>1</v>
      </c>
      <c r="EJ139" t="b">
        <f>AND('Black &amp; White load sheet'!H370,"AAAAAHfPfos=")</f>
        <v>1</v>
      </c>
      <c r="EK139" t="b">
        <f>AND('Black &amp; White load sheet'!I370,"AAAAAHfPfow=")</f>
        <v>0</v>
      </c>
      <c r="EL139" t="b">
        <f>AND('Black &amp; White load sheet'!J370,"AAAAAHfPfo0=")</f>
        <v>0</v>
      </c>
      <c r="EM139" t="b">
        <f>AND('Black &amp; White load sheet'!K370,"AAAAAHfPfo4=")</f>
        <v>0</v>
      </c>
      <c r="EN139" t="b">
        <f>AND('Black &amp; White load sheet'!L370,"AAAAAHfPfo8=")</f>
        <v>1</v>
      </c>
      <c r="EO139" t="b">
        <f>AND('Black &amp; White load sheet'!M370,"AAAAAHfPfpA=")</f>
        <v>1</v>
      </c>
      <c r="EP139" t="b">
        <f>AND('Black &amp; White load sheet'!N370,"AAAAAHfPfpE=")</f>
        <v>1</v>
      </c>
      <c r="EQ139" t="b">
        <f>AND('Black &amp; White load sheet'!O370,"AAAAAHfPfpI=")</f>
        <v>1</v>
      </c>
      <c r="ER139">
        <f>IF('Black &amp; White load sheet'!371:371,"AAAAAHfPfpM=",0)</f>
        <v>0</v>
      </c>
      <c r="ES139" t="b">
        <f>AND('Black &amp; White load sheet'!A371,"AAAAAHfPfpQ=")</f>
        <v>1</v>
      </c>
      <c r="ET139" t="b">
        <f>AND('Black &amp; White load sheet'!B371,"AAAAAHfPfpU=")</f>
        <v>1</v>
      </c>
      <c r="EU139" t="b">
        <f>AND('Black &amp; White load sheet'!C371,"AAAAAHfPfpY=")</f>
        <v>1</v>
      </c>
      <c r="EV139" t="b">
        <f>AND('Black &amp; White load sheet'!D371,"AAAAAHfPfpc=")</f>
        <v>0</v>
      </c>
      <c r="EW139" t="b">
        <f>AND('Black &amp; White load sheet'!E371,"AAAAAHfPfpg=")</f>
        <v>0</v>
      </c>
      <c r="EX139" t="b">
        <f>AND('Black &amp; White load sheet'!F371,"AAAAAHfPfpk=")</f>
        <v>0</v>
      </c>
      <c r="EY139" t="b">
        <f>AND('Black &amp; White load sheet'!G371,"AAAAAHfPfpo=")</f>
        <v>1</v>
      </c>
      <c r="EZ139" t="b">
        <f>AND('Black &amp; White load sheet'!H371,"AAAAAHfPfps=")</f>
        <v>1</v>
      </c>
      <c r="FA139" t="b">
        <f>AND('Black &amp; White load sheet'!I371,"AAAAAHfPfpw=")</f>
        <v>0</v>
      </c>
      <c r="FB139" t="b">
        <f>AND('Black &amp; White load sheet'!J371,"AAAAAHfPfp0=")</f>
        <v>0</v>
      </c>
      <c r="FC139" t="b">
        <f>AND('Black &amp; White load sheet'!K371,"AAAAAHfPfp4=")</f>
        <v>1</v>
      </c>
      <c r="FD139" t="b">
        <f>AND('Black &amp; White load sheet'!L371,"AAAAAHfPfp8=")</f>
        <v>0</v>
      </c>
      <c r="FE139" t="b">
        <f>AND('Black &amp; White load sheet'!M371,"AAAAAHfPfqA=")</f>
        <v>1</v>
      </c>
      <c r="FF139" t="b">
        <f>AND('Black &amp; White load sheet'!N371,"AAAAAHfPfqE=")</f>
        <v>1</v>
      </c>
      <c r="FG139" t="b">
        <f>AND('Black &amp; White load sheet'!O371,"AAAAAHfPfqI=")</f>
        <v>1</v>
      </c>
      <c r="FH139">
        <f>IF('Black &amp; White load sheet'!372:372,"AAAAAHfPfqM=",0)</f>
        <v>0</v>
      </c>
      <c r="FI139" t="b">
        <f>AND('Black &amp; White load sheet'!A372,"AAAAAHfPfqQ=")</f>
        <v>1</v>
      </c>
      <c r="FJ139" t="b">
        <f>AND('Black &amp; White load sheet'!B372,"AAAAAHfPfqU=")</f>
        <v>1</v>
      </c>
      <c r="FK139" t="b">
        <f>AND('Black &amp; White load sheet'!C372,"AAAAAHfPfqY=")</f>
        <v>1</v>
      </c>
      <c r="FL139" t="b">
        <f>AND('Black &amp; White load sheet'!D372,"AAAAAHfPfqc=")</f>
        <v>0</v>
      </c>
      <c r="FM139" t="b">
        <f>AND('Black &amp; White load sheet'!E372,"AAAAAHfPfqg=")</f>
        <v>0</v>
      </c>
      <c r="FN139" t="b">
        <f>AND('Black &amp; White load sheet'!F372,"AAAAAHfPfqk=")</f>
        <v>0</v>
      </c>
      <c r="FO139" t="b">
        <f>AND('Black &amp; White load sheet'!G372,"AAAAAHfPfqo=")</f>
        <v>1</v>
      </c>
      <c r="FP139" t="b">
        <f>AND('Black &amp; White load sheet'!H372,"AAAAAHfPfqs=")</f>
        <v>1</v>
      </c>
      <c r="FQ139" t="b">
        <f>AND('Black &amp; White load sheet'!I372,"AAAAAHfPfqw=")</f>
        <v>0</v>
      </c>
      <c r="FR139" t="b">
        <f>AND('Black &amp; White load sheet'!J372,"AAAAAHfPfq0=")</f>
        <v>1</v>
      </c>
      <c r="FS139" t="b">
        <f>AND('Black &amp; White load sheet'!K372,"AAAAAHfPfq4=")</f>
        <v>0</v>
      </c>
      <c r="FT139" t="b">
        <f>AND('Black &amp; White load sheet'!L372,"AAAAAHfPfq8=")</f>
        <v>0</v>
      </c>
      <c r="FU139" t="b">
        <f>AND('Black &amp; White load sheet'!M372,"AAAAAHfPfrA=")</f>
        <v>1</v>
      </c>
      <c r="FV139" t="b">
        <f>AND('Black &amp; White load sheet'!N372,"AAAAAHfPfrE=")</f>
        <v>1</v>
      </c>
      <c r="FW139" t="b">
        <f>AND('Black &amp; White load sheet'!O372,"AAAAAHfPfrI=")</f>
        <v>1</v>
      </c>
      <c r="FX139">
        <f>IF('Black &amp; White load sheet'!373:373,"AAAAAHfPfrM=",0)</f>
        <v>0</v>
      </c>
      <c r="FY139" t="b">
        <f>AND('Black &amp; White load sheet'!A373,"AAAAAHfPfrQ=")</f>
        <v>1</v>
      </c>
      <c r="FZ139" t="b">
        <f>AND('Black &amp; White load sheet'!B373,"AAAAAHfPfrU=")</f>
        <v>1</v>
      </c>
      <c r="GA139" t="b">
        <f>AND('Black &amp; White load sheet'!C373,"AAAAAHfPfrY=")</f>
        <v>1</v>
      </c>
      <c r="GB139" t="b">
        <f>AND('Black &amp; White load sheet'!D373,"AAAAAHfPfrc=")</f>
        <v>0</v>
      </c>
      <c r="GC139" t="b">
        <f>AND('Black &amp; White load sheet'!E373,"AAAAAHfPfrg=")</f>
        <v>0</v>
      </c>
      <c r="GD139" t="b">
        <f>AND('Black &amp; White load sheet'!F373,"AAAAAHfPfrk=")</f>
        <v>0</v>
      </c>
      <c r="GE139" t="b">
        <f>AND('Black &amp; White load sheet'!G373,"AAAAAHfPfro=")</f>
        <v>1</v>
      </c>
      <c r="GF139" t="b">
        <f>AND('Black &amp; White load sheet'!H373,"AAAAAHfPfrs=")</f>
        <v>1</v>
      </c>
      <c r="GG139" t="b">
        <f>AND('Black &amp; White load sheet'!I373,"AAAAAHfPfrw=")</f>
        <v>1</v>
      </c>
      <c r="GH139" t="b">
        <f>AND('Black &amp; White load sheet'!J373,"AAAAAHfPfr0=")</f>
        <v>0</v>
      </c>
      <c r="GI139" t="b">
        <f>AND('Black &amp; White load sheet'!K373,"AAAAAHfPfr4=")</f>
        <v>0</v>
      </c>
      <c r="GJ139" t="b">
        <f>AND('Black &amp; White load sheet'!L373,"AAAAAHfPfr8=")</f>
        <v>0</v>
      </c>
      <c r="GK139" t="b">
        <f>AND('Black &amp; White load sheet'!M373,"AAAAAHfPfsA=")</f>
        <v>1</v>
      </c>
      <c r="GL139" t="b">
        <f>AND('Black &amp; White load sheet'!N373,"AAAAAHfPfsE=")</f>
        <v>1</v>
      </c>
      <c r="GM139" t="b">
        <f>AND('Black &amp; White load sheet'!O373,"AAAAAHfPfsI=")</f>
        <v>1</v>
      </c>
      <c r="GN139">
        <f>IF('Black &amp; White load sheet'!374:374,"AAAAAHfPfsM=",0)</f>
        <v>0</v>
      </c>
      <c r="GO139" t="b">
        <f>AND('Black &amp; White load sheet'!A374,"AAAAAHfPfsQ=")</f>
        <v>1</v>
      </c>
      <c r="GP139" t="b">
        <f>AND('Black &amp; White load sheet'!B374,"AAAAAHfPfsU=")</f>
        <v>1</v>
      </c>
      <c r="GQ139" t="b">
        <f>AND('Black &amp; White load sheet'!C374,"AAAAAHfPfsY=")</f>
        <v>1</v>
      </c>
      <c r="GR139" t="b">
        <f>AND('Black &amp; White load sheet'!D374,"AAAAAHfPfsc=")</f>
        <v>0</v>
      </c>
      <c r="GS139" t="b">
        <f>AND('Black &amp; White load sheet'!E374,"AAAAAHfPfsg=")</f>
        <v>0</v>
      </c>
      <c r="GT139" t="b">
        <f>AND('Black &amp; White load sheet'!F374,"AAAAAHfPfsk=")</f>
        <v>1</v>
      </c>
      <c r="GU139" t="b">
        <f>AND('Black &amp; White load sheet'!G374,"AAAAAHfPfso=")</f>
        <v>0</v>
      </c>
      <c r="GV139" t="b">
        <f>AND('Black &amp; White load sheet'!H374,"AAAAAHfPfss=")</f>
        <v>0</v>
      </c>
      <c r="GW139" t="b">
        <f>AND('Black &amp; White load sheet'!I374,"AAAAAHfPfsw=")</f>
        <v>0</v>
      </c>
      <c r="GX139" t="b">
        <f>AND('Black &amp; White load sheet'!J374,"AAAAAHfPfs0=")</f>
        <v>0</v>
      </c>
      <c r="GY139" t="b">
        <f>AND('Black &amp; White load sheet'!K374,"AAAAAHfPfs4=")</f>
        <v>0</v>
      </c>
      <c r="GZ139" t="b">
        <f>AND('Black &amp; White load sheet'!L374,"AAAAAHfPfs8=")</f>
        <v>0</v>
      </c>
      <c r="HA139" t="b">
        <f>AND('Black &amp; White load sheet'!M374,"AAAAAHfPftA=")</f>
        <v>1</v>
      </c>
      <c r="HB139" t="b">
        <f>AND('Black &amp; White load sheet'!N374,"AAAAAHfPftE=")</f>
        <v>1</v>
      </c>
      <c r="HC139" t="b">
        <f>AND('Black &amp; White load sheet'!O374,"AAAAAHfPftI=")</f>
        <v>1</v>
      </c>
      <c r="HD139">
        <f>IF('Black &amp; White load sheet'!375:375,"AAAAAHfPftM=",0)</f>
        <v>0</v>
      </c>
      <c r="HE139" t="b">
        <f>AND('Black &amp; White load sheet'!A375,"AAAAAHfPftQ=")</f>
        <v>1</v>
      </c>
      <c r="HF139" t="b">
        <f>AND('Black &amp; White load sheet'!B375,"AAAAAHfPftU=")</f>
        <v>1</v>
      </c>
      <c r="HG139" t="b">
        <f>AND('Black &amp; White load sheet'!C375,"AAAAAHfPftY=")</f>
        <v>1</v>
      </c>
      <c r="HH139" t="b">
        <f>AND('Black &amp; White load sheet'!D375,"AAAAAHfPftc=")</f>
        <v>0</v>
      </c>
      <c r="HI139" t="b">
        <f>AND('Black &amp; White load sheet'!E375,"AAAAAHfPftg=")</f>
        <v>0</v>
      </c>
      <c r="HJ139" t="b">
        <f>AND('Black &amp; White load sheet'!F375,"AAAAAHfPftk=")</f>
        <v>1</v>
      </c>
      <c r="HK139" t="b">
        <f>AND('Black &amp; White load sheet'!G375,"AAAAAHfPfto=")</f>
        <v>0</v>
      </c>
      <c r="HL139" t="b">
        <f>AND('Black &amp; White load sheet'!H375,"AAAAAHfPfts=")</f>
        <v>0</v>
      </c>
      <c r="HM139" t="b">
        <f>AND('Black &amp; White load sheet'!I375,"AAAAAHfPftw=")</f>
        <v>0</v>
      </c>
      <c r="HN139" t="b">
        <f>AND('Black &amp; White load sheet'!J375,"AAAAAHfPft0=")</f>
        <v>0</v>
      </c>
      <c r="HO139" t="b">
        <f>AND('Black &amp; White load sheet'!K375,"AAAAAHfPft4=")</f>
        <v>0</v>
      </c>
      <c r="HP139" t="b">
        <f>AND('Black &amp; White load sheet'!L375,"AAAAAHfPft8=")</f>
        <v>1</v>
      </c>
      <c r="HQ139" t="b">
        <f>AND('Black &amp; White load sheet'!M375,"AAAAAHfPfuA=")</f>
        <v>1</v>
      </c>
      <c r="HR139" t="b">
        <f>AND('Black &amp; White load sheet'!N375,"AAAAAHfPfuE=")</f>
        <v>1</v>
      </c>
      <c r="HS139" t="b">
        <f>AND('Black &amp; White load sheet'!O375,"AAAAAHfPfuI=")</f>
        <v>1</v>
      </c>
      <c r="HT139">
        <f>IF('Black &amp; White load sheet'!376:376,"AAAAAHfPfuM=",0)</f>
        <v>0</v>
      </c>
      <c r="HU139" t="b">
        <f>AND('Black &amp; White load sheet'!A376,"AAAAAHfPfuQ=")</f>
        <v>1</v>
      </c>
      <c r="HV139" t="b">
        <f>AND('Black &amp; White load sheet'!B376,"AAAAAHfPfuU=")</f>
        <v>1</v>
      </c>
      <c r="HW139" t="b">
        <f>AND('Black &amp; White load sheet'!C376,"AAAAAHfPfuY=")</f>
        <v>1</v>
      </c>
      <c r="HX139" t="b">
        <f>AND('Black &amp; White load sheet'!D376,"AAAAAHfPfuc=")</f>
        <v>0</v>
      </c>
      <c r="HY139" t="b">
        <f>AND('Black &amp; White load sheet'!E376,"AAAAAHfPfug=")</f>
        <v>0</v>
      </c>
      <c r="HZ139" t="b">
        <f>AND('Black &amp; White load sheet'!F376,"AAAAAHfPfuk=")</f>
        <v>1</v>
      </c>
      <c r="IA139" t="b">
        <f>AND('Black &amp; White load sheet'!G376,"AAAAAHfPfuo=")</f>
        <v>0</v>
      </c>
      <c r="IB139" t="b">
        <f>AND('Black &amp; White load sheet'!H376,"AAAAAHfPfus=")</f>
        <v>0</v>
      </c>
      <c r="IC139" t="b">
        <f>AND('Black &amp; White load sheet'!I376,"AAAAAHfPfuw=")</f>
        <v>0</v>
      </c>
      <c r="ID139" t="b">
        <f>AND('Black &amp; White load sheet'!J376,"AAAAAHfPfu0=")</f>
        <v>0</v>
      </c>
      <c r="IE139" t="b">
        <f>AND('Black &amp; White load sheet'!K376,"AAAAAHfPfu4=")</f>
        <v>1</v>
      </c>
      <c r="IF139" t="b">
        <f>AND('Black &amp; White load sheet'!L376,"AAAAAHfPfu8=")</f>
        <v>0</v>
      </c>
      <c r="IG139" t="b">
        <f>AND('Black &amp; White load sheet'!M376,"AAAAAHfPfvA=")</f>
        <v>1</v>
      </c>
      <c r="IH139" t="b">
        <f>AND('Black &amp; White load sheet'!N376,"AAAAAHfPfvE=")</f>
        <v>1</v>
      </c>
      <c r="II139" t="b">
        <f>AND('Black &amp; White load sheet'!O376,"AAAAAHfPfvI=")</f>
        <v>1</v>
      </c>
      <c r="IJ139">
        <f>IF('Black &amp; White load sheet'!377:377,"AAAAAHfPfvM=",0)</f>
        <v>0</v>
      </c>
      <c r="IK139" t="b">
        <f>AND('Black &amp; White load sheet'!A377,"AAAAAHfPfvQ=")</f>
        <v>1</v>
      </c>
      <c r="IL139" t="b">
        <f>AND('Black &amp; White load sheet'!B377,"AAAAAHfPfvU=")</f>
        <v>1</v>
      </c>
      <c r="IM139" t="b">
        <f>AND('Black &amp; White load sheet'!C377,"AAAAAHfPfvY=")</f>
        <v>1</v>
      </c>
      <c r="IN139" t="b">
        <f>AND('Black &amp; White load sheet'!D377,"AAAAAHfPfvc=")</f>
        <v>0</v>
      </c>
      <c r="IO139" t="b">
        <f>AND('Black &amp; White load sheet'!E377,"AAAAAHfPfvg=")</f>
        <v>0</v>
      </c>
      <c r="IP139" t="b">
        <f>AND('Black &amp; White load sheet'!F377,"AAAAAHfPfvk=")</f>
        <v>1</v>
      </c>
      <c r="IQ139" t="b">
        <f>AND('Black &amp; White load sheet'!G377,"AAAAAHfPfvo=")</f>
        <v>0</v>
      </c>
      <c r="IR139" t="b">
        <f>AND('Black &amp; White load sheet'!H377,"AAAAAHfPfvs=")</f>
        <v>0</v>
      </c>
      <c r="IS139" t="b">
        <f>AND('Black &amp; White load sheet'!I377,"AAAAAHfPfvw=")</f>
        <v>0</v>
      </c>
      <c r="IT139" t="b">
        <f>AND('Black &amp; White load sheet'!J377,"AAAAAHfPfv0=")</f>
        <v>1</v>
      </c>
      <c r="IU139" t="b">
        <f>AND('Black &amp; White load sheet'!K377,"AAAAAHfPfv4=")</f>
        <v>0</v>
      </c>
      <c r="IV139" t="b">
        <f>AND('Black &amp; White load sheet'!L377,"AAAAAHfPfv8=")</f>
        <v>0</v>
      </c>
    </row>
    <row r="140" spans="1:256">
      <c r="A140" t="b">
        <f>AND('Black &amp; White load sheet'!M377,"AAAAAG7r7gA=")</f>
        <v>1</v>
      </c>
      <c r="B140" t="b">
        <f>AND('Black &amp; White load sheet'!N377,"AAAAAG7r7gE=")</f>
        <v>1</v>
      </c>
      <c r="C140" t="b">
        <f>AND('Black &amp; White load sheet'!O377,"AAAAAG7r7gI=")</f>
        <v>1</v>
      </c>
      <c r="D140">
        <f>IF('Black &amp; White load sheet'!378:378,"AAAAAG7r7gM=",0)</f>
        <v>0</v>
      </c>
      <c r="E140" t="b">
        <f>AND('Black &amp; White load sheet'!A378,"AAAAAG7r7gQ=")</f>
        <v>1</v>
      </c>
      <c r="F140" t="b">
        <f>AND('Black &amp; White load sheet'!B378,"AAAAAG7r7gU=")</f>
        <v>1</v>
      </c>
      <c r="G140" t="b">
        <f>AND('Black &amp; White load sheet'!C378,"AAAAAG7r7gY=")</f>
        <v>1</v>
      </c>
      <c r="H140" t="b">
        <f>AND('Black &amp; White load sheet'!D378,"AAAAAG7r7gc=")</f>
        <v>0</v>
      </c>
      <c r="I140" t="b">
        <f>AND('Black &amp; White load sheet'!E378,"AAAAAG7r7gg=")</f>
        <v>0</v>
      </c>
      <c r="J140" t="b">
        <f>AND('Black &amp; White load sheet'!F378,"AAAAAG7r7gk=")</f>
        <v>1</v>
      </c>
      <c r="K140" t="b">
        <f>AND('Black &amp; White load sheet'!G378,"AAAAAG7r7go=")</f>
        <v>0</v>
      </c>
      <c r="L140" t="b">
        <f>AND('Black &amp; White load sheet'!H378,"AAAAAG7r7gs=")</f>
        <v>0</v>
      </c>
      <c r="M140" t="b">
        <f>AND('Black &amp; White load sheet'!I378,"AAAAAG7r7gw=")</f>
        <v>1</v>
      </c>
      <c r="N140" t="b">
        <f>AND('Black &amp; White load sheet'!J378,"AAAAAG7r7g0=")</f>
        <v>0</v>
      </c>
      <c r="O140" t="b">
        <f>AND('Black &amp; White load sheet'!K378,"AAAAAG7r7g4=")</f>
        <v>0</v>
      </c>
      <c r="P140" t="b">
        <f>AND('Black &amp; White load sheet'!L378,"AAAAAG7r7g8=")</f>
        <v>0</v>
      </c>
      <c r="Q140" t="b">
        <f>AND('Black &amp; White load sheet'!M378,"AAAAAG7r7hA=")</f>
        <v>1</v>
      </c>
      <c r="R140" t="b">
        <f>AND('Black &amp; White load sheet'!N378,"AAAAAG7r7hE=")</f>
        <v>1</v>
      </c>
      <c r="S140" t="b">
        <f>AND('Black &amp; White load sheet'!O378,"AAAAAG7r7hI=")</f>
        <v>1</v>
      </c>
      <c r="T140">
        <f>IF('Black &amp; White load sheet'!379:379,"AAAAAG7r7hM=",0)</f>
        <v>0</v>
      </c>
      <c r="U140" t="b">
        <f>AND('Black &amp; White load sheet'!A379,"AAAAAG7r7hQ=")</f>
        <v>1</v>
      </c>
      <c r="V140" t="b">
        <f>AND('Black &amp; White load sheet'!B379,"AAAAAG7r7hU=")</f>
        <v>1</v>
      </c>
      <c r="W140" t="b">
        <f>AND('Black &amp; White load sheet'!C379,"AAAAAG7r7hY=")</f>
        <v>1</v>
      </c>
      <c r="X140" t="b">
        <f>AND('Black &amp; White load sheet'!D379,"AAAAAG7r7hc=")</f>
        <v>0</v>
      </c>
      <c r="Y140" t="b">
        <f>AND('Black &amp; White load sheet'!E379,"AAAAAG7r7hg=")</f>
        <v>0</v>
      </c>
      <c r="Z140" t="b">
        <f>AND('Black &amp; White load sheet'!F379,"AAAAAG7r7hk=")</f>
        <v>1</v>
      </c>
      <c r="AA140" t="b">
        <f>AND('Black &amp; White load sheet'!G379,"AAAAAG7r7ho=")</f>
        <v>0</v>
      </c>
      <c r="AB140" t="b">
        <f>AND('Black &amp; White load sheet'!H379,"AAAAAG7r7hs=")</f>
        <v>1</v>
      </c>
      <c r="AC140" t="b">
        <f>AND('Black &amp; White load sheet'!I379,"AAAAAG7r7hw=")</f>
        <v>0</v>
      </c>
      <c r="AD140" t="b">
        <f>AND('Black &amp; White load sheet'!J379,"AAAAAG7r7h0=")</f>
        <v>0</v>
      </c>
      <c r="AE140" t="b">
        <f>AND('Black &amp; White load sheet'!K379,"AAAAAG7r7h4=")</f>
        <v>0</v>
      </c>
      <c r="AF140" t="b">
        <f>AND('Black &amp; White load sheet'!L379,"AAAAAG7r7h8=")</f>
        <v>0</v>
      </c>
      <c r="AG140" t="b">
        <f>AND('Black &amp; White load sheet'!M379,"AAAAAG7r7iA=")</f>
        <v>1</v>
      </c>
      <c r="AH140" t="b">
        <f>AND('Black &amp; White load sheet'!N379,"AAAAAG7r7iE=")</f>
        <v>1</v>
      </c>
      <c r="AI140" t="b">
        <f>AND('Black &amp; White load sheet'!O379,"AAAAAG7r7iI=")</f>
        <v>1</v>
      </c>
      <c r="AJ140">
        <f>IF('Black &amp; White load sheet'!380:380,"AAAAAG7r7iM=",0)</f>
        <v>0</v>
      </c>
      <c r="AK140" t="b">
        <f>AND('Black &amp; White load sheet'!A380,"AAAAAG7r7iQ=")</f>
        <v>1</v>
      </c>
      <c r="AL140" t="b">
        <f>AND('Black &amp; White load sheet'!B380,"AAAAAG7r7iU=")</f>
        <v>1</v>
      </c>
      <c r="AM140" t="b">
        <f>AND('Black &amp; White load sheet'!C380,"AAAAAG7r7iY=")</f>
        <v>1</v>
      </c>
      <c r="AN140" t="b">
        <f>AND('Black &amp; White load sheet'!D380,"AAAAAG7r7ic=")</f>
        <v>0</v>
      </c>
      <c r="AO140" t="b">
        <f>AND('Black &amp; White load sheet'!E380,"AAAAAG7r7ig=")</f>
        <v>0</v>
      </c>
      <c r="AP140" t="b">
        <f>AND('Black &amp; White load sheet'!F380,"AAAAAG7r7ik=")</f>
        <v>1</v>
      </c>
      <c r="AQ140" t="b">
        <f>AND('Black &amp; White load sheet'!G380,"AAAAAG7r7io=")</f>
        <v>0</v>
      </c>
      <c r="AR140" t="b">
        <f>AND('Black &amp; White load sheet'!H380,"AAAAAG7r7is=")</f>
        <v>1</v>
      </c>
      <c r="AS140" t="b">
        <f>AND('Black &amp; White load sheet'!I380,"AAAAAG7r7iw=")</f>
        <v>0</v>
      </c>
      <c r="AT140" t="b">
        <f>AND('Black &amp; White load sheet'!J380,"AAAAAG7r7i0=")</f>
        <v>0</v>
      </c>
      <c r="AU140" t="b">
        <f>AND('Black &amp; White load sheet'!K380,"AAAAAG7r7i4=")</f>
        <v>0</v>
      </c>
      <c r="AV140" t="b">
        <f>AND('Black &amp; White load sheet'!L380,"AAAAAG7r7i8=")</f>
        <v>1</v>
      </c>
      <c r="AW140" t="b">
        <f>AND('Black &amp; White load sheet'!M380,"AAAAAG7r7jA=")</f>
        <v>1</v>
      </c>
      <c r="AX140" t="b">
        <f>AND('Black &amp; White load sheet'!N380,"AAAAAG7r7jE=")</f>
        <v>1</v>
      </c>
      <c r="AY140" t="b">
        <f>AND('Black &amp; White load sheet'!O380,"AAAAAG7r7jI=")</f>
        <v>1</v>
      </c>
      <c r="AZ140">
        <f>IF('Black &amp; White load sheet'!381:381,"AAAAAG7r7jM=",0)</f>
        <v>0</v>
      </c>
      <c r="BA140" t="b">
        <f>AND('Black &amp; White load sheet'!A381,"AAAAAG7r7jQ=")</f>
        <v>1</v>
      </c>
      <c r="BB140" t="b">
        <f>AND('Black &amp; White load sheet'!B381,"AAAAAG7r7jU=")</f>
        <v>1</v>
      </c>
      <c r="BC140" t="b">
        <f>AND('Black &amp; White load sheet'!C381,"AAAAAG7r7jY=")</f>
        <v>1</v>
      </c>
      <c r="BD140" t="b">
        <f>AND('Black &amp; White load sheet'!D381,"AAAAAG7r7jc=")</f>
        <v>0</v>
      </c>
      <c r="BE140" t="b">
        <f>AND('Black &amp; White load sheet'!E381,"AAAAAG7r7jg=")</f>
        <v>0</v>
      </c>
      <c r="BF140" t="b">
        <f>AND('Black &amp; White load sheet'!F381,"AAAAAG7r7jk=")</f>
        <v>1</v>
      </c>
      <c r="BG140" t="b">
        <f>AND('Black &amp; White load sheet'!G381,"AAAAAG7r7jo=")</f>
        <v>0</v>
      </c>
      <c r="BH140" t="b">
        <f>AND('Black &amp; White load sheet'!H381,"AAAAAG7r7js=")</f>
        <v>1</v>
      </c>
      <c r="BI140" t="b">
        <f>AND('Black &amp; White load sheet'!I381,"AAAAAG7r7jw=")</f>
        <v>0</v>
      </c>
      <c r="BJ140" t="b">
        <f>AND('Black &amp; White load sheet'!J381,"AAAAAG7r7j0=")</f>
        <v>0</v>
      </c>
      <c r="BK140" t="b">
        <f>AND('Black &amp; White load sheet'!K381,"AAAAAG7r7j4=")</f>
        <v>1</v>
      </c>
      <c r="BL140" t="b">
        <f>AND('Black &amp; White load sheet'!L381,"AAAAAG7r7j8=")</f>
        <v>0</v>
      </c>
      <c r="BM140" t="b">
        <f>AND('Black &amp; White load sheet'!M381,"AAAAAG7r7kA=")</f>
        <v>1</v>
      </c>
      <c r="BN140" t="b">
        <f>AND('Black &amp; White load sheet'!N381,"AAAAAG7r7kE=")</f>
        <v>1</v>
      </c>
      <c r="BO140" t="b">
        <f>AND('Black &amp; White load sheet'!O381,"AAAAAG7r7kI=")</f>
        <v>1</v>
      </c>
      <c r="BP140">
        <f>IF('Black &amp; White load sheet'!382:382,"AAAAAG7r7kM=",0)</f>
        <v>0</v>
      </c>
      <c r="BQ140" t="b">
        <f>AND('Black &amp; White load sheet'!A382,"AAAAAG7r7kQ=")</f>
        <v>1</v>
      </c>
      <c r="BR140" t="b">
        <f>AND('Black &amp; White load sheet'!B382,"AAAAAG7r7kU=")</f>
        <v>1</v>
      </c>
      <c r="BS140" t="b">
        <f>AND('Black &amp; White load sheet'!C382,"AAAAAG7r7kY=")</f>
        <v>1</v>
      </c>
      <c r="BT140" t="b">
        <f>AND('Black &amp; White load sheet'!D382,"AAAAAG7r7kc=")</f>
        <v>0</v>
      </c>
      <c r="BU140" t="b">
        <f>AND('Black &amp; White load sheet'!E382,"AAAAAG7r7kg=")</f>
        <v>0</v>
      </c>
      <c r="BV140" t="b">
        <f>AND('Black &amp; White load sheet'!F382,"AAAAAG7r7kk=")</f>
        <v>1</v>
      </c>
      <c r="BW140" t="b">
        <f>AND('Black &amp; White load sheet'!G382,"AAAAAG7r7ko=")</f>
        <v>0</v>
      </c>
      <c r="BX140" t="b">
        <f>AND('Black &amp; White load sheet'!H382,"AAAAAG7r7ks=")</f>
        <v>1</v>
      </c>
      <c r="BY140" t="b">
        <f>AND('Black &amp; White load sheet'!I382,"AAAAAG7r7kw=")</f>
        <v>0</v>
      </c>
      <c r="BZ140" t="b">
        <f>AND('Black &amp; White load sheet'!J382,"AAAAAG7r7k0=")</f>
        <v>1</v>
      </c>
      <c r="CA140" t="b">
        <f>AND('Black &amp; White load sheet'!K382,"AAAAAG7r7k4=")</f>
        <v>0</v>
      </c>
      <c r="CB140" t="b">
        <f>AND('Black &amp; White load sheet'!L382,"AAAAAG7r7k8=")</f>
        <v>0</v>
      </c>
      <c r="CC140" t="b">
        <f>AND('Black &amp; White load sheet'!M382,"AAAAAG7r7lA=")</f>
        <v>1</v>
      </c>
      <c r="CD140" t="b">
        <f>AND('Black &amp; White load sheet'!N382,"AAAAAG7r7lE=")</f>
        <v>1</v>
      </c>
      <c r="CE140" t="b">
        <f>AND('Black &amp; White load sheet'!O382,"AAAAAG7r7lI=")</f>
        <v>1</v>
      </c>
      <c r="CF140">
        <f>IF('Black &amp; White load sheet'!383:383,"AAAAAG7r7lM=",0)</f>
        <v>0</v>
      </c>
      <c r="CG140" t="b">
        <f>AND('Black &amp; White load sheet'!A383,"AAAAAG7r7lQ=")</f>
        <v>1</v>
      </c>
      <c r="CH140" t="b">
        <f>AND('Black &amp; White load sheet'!B383,"AAAAAG7r7lU=")</f>
        <v>1</v>
      </c>
      <c r="CI140" t="b">
        <f>AND('Black &amp; White load sheet'!C383,"AAAAAG7r7lY=")</f>
        <v>1</v>
      </c>
      <c r="CJ140" t="b">
        <f>AND('Black &amp; White load sheet'!D383,"AAAAAG7r7lc=")</f>
        <v>0</v>
      </c>
      <c r="CK140" t="b">
        <f>AND('Black &amp; White load sheet'!E383,"AAAAAG7r7lg=")</f>
        <v>0</v>
      </c>
      <c r="CL140" t="b">
        <f>AND('Black &amp; White load sheet'!F383,"AAAAAG7r7lk=")</f>
        <v>1</v>
      </c>
      <c r="CM140" t="b">
        <f>AND('Black &amp; White load sheet'!G383,"AAAAAG7r7lo=")</f>
        <v>0</v>
      </c>
      <c r="CN140" t="b">
        <f>AND('Black &amp; White load sheet'!H383,"AAAAAG7r7ls=")</f>
        <v>1</v>
      </c>
      <c r="CO140" t="b">
        <f>AND('Black &amp; White load sheet'!I383,"AAAAAG7r7lw=")</f>
        <v>1</v>
      </c>
      <c r="CP140" t="b">
        <f>AND('Black &amp; White load sheet'!J383,"AAAAAG7r7l0=")</f>
        <v>0</v>
      </c>
      <c r="CQ140" t="b">
        <f>AND('Black &amp; White load sheet'!K383,"AAAAAG7r7l4=")</f>
        <v>0</v>
      </c>
      <c r="CR140" t="b">
        <f>AND('Black &amp; White load sheet'!L383,"AAAAAG7r7l8=")</f>
        <v>0</v>
      </c>
      <c r="CS140" t="b">
        <f>AND('Black &amp; White load sheet'!M383,"AAAAAG7r7mA=")</f>
        <v>1</v>
      </c>
      <c r="CT140" t="b">
        <f>AND('Black &amp; White load sheet'!N383,"AAAAAG7r7mE=")</f>
        <v>1</v>
      </c>
      <c r="CU140" t="b">
        <f>AND('Black &amp; White load sheet'!O383,"AAAAAG7r7mI=")</f>
        <v>1</v>
      </c>
      <c r="CV140">
        <f>IF('Black &amp; White load sheet'!384:384,"AAAAAG7r7mM=",0)</f>
        <v>0</v>
      </c>
      <c r="CW140" t="b">
        <f>AND('Black &amp; White load sheet'!A384,"AAAAAG7r7mQ=")</f>
        <v>1</v>
      </c>
      <c r="CX140" t="b">
        <f>AND('Black &amp; White load sheet'!B384,"AAAAAG7r7mU=")</f>
        <v>1</v>
      </c>
      <c r="CY140" t="b">
        <f>AND('Black &amp; White load sheet'!C384,"AAAAAG7r7mY=")</f>
        <v>1</v>
      </c>
      <c r="CZ140" t="b">
        <f>AND('Black &amp; White load sheet'!D384,"AAAAAG7r7mc=")</f>
        <v>0</v>
      </c>
      <c r="DA140" t="b">
        <f>AND('Black &amp; White load sheet'!E384,"AAAAAG7r7mg=")</f>
        <v>1</v>
      </c>
      <c r="DB140" t="b">
        <f>AND('Black &amp; White load sheet'!F384,"AAAAAG7r7mk=")</f>
        <v>0</v>
      </c>
      <c r="DC140" t="b">
        <f>AND('Black &amp; White load sheet'!G384,"AAAAAG7r7mo=")</f>
        <v>0</v>
      </c>
      <c r="DD140" t="b">
        <f>AND('Black &amp; White load sheet'!H384,"AAAAAG7r7ms=")</f>
        <v>0</v>
      </c>
      <c r="DE140" t="b">
        <f>AND('Black &amp; White load sheet'!I384,"AAAAAG7r7mw=")</f>
        <v>0</v>
      </c>
      <c r="DF140" t="b">
        <f>AND('Black &amp; White load sheet'!J384,"AAAAAG7r7m0=")</f>
        <v>0</v>
      </c>
      <c r="DG140" t="b">
        <f>AND('Black &amp; White load sheet'!K384,"AAAAAG7r7m4=")</f>
        <v>0</v>
      </c>
      <c r="DH140" t="b">
        <f>AND('Black &amp; White load sheet'!L384,"AAAAAG7r7m8=")</f>
        <v>0</v>
      </c>
      <c r="DI140" t="b">
        <f>AND('Black &amp; White load sheet'!M384,"AAAAAG7r7nA=")</f>
        <v>1</v>
      </c>
      <c r="DJ140" t="b">
        <f>AND('Black &amp; White load sheet'!N384,"AAAAAG7r7nE=")</f>
        <v>1</v>
      </c>
      <c r="DK140" t="b">
        <f>AND('Black &amp; White load sheet'!O384,"AAAAAG7r7nI=")</f>
        <v>1</v>
      </c>
      <c r="DL140">
        <f>IF('Black &amp; White load sheet'!385:385,"AAAAAG7r7nM=",0)</f>
        <v>0</v>
      </c>
      <c r="DM140" t="b">
        <f>AND('Black &amp; White load sheet'!A385,"AAAAAG7r7nQ=")</f>
        <v>1</v>
      </c>
      <c r="DN140" t="b">
        <f>AND('Black &amp; White load sheet'!B385,"AAAAAG7r7nU=")</f>
        <v>1</v>
      </c>
      <c r="DO140" t="b">
        <f>AND('Black &amp; White load sheet'!C385,"AAAAAG7r7nY=")</f>
        <v>1</v>
      </c>
      <c r="DP140" t="b">
        <f>AND('Black &amp; White load sheet'!D385,"AAAAAG7r7nc=")</f>
        <v>0</v>
      </c>
      <c r="DQ140" t="b">
        <f>AND('Black &amp; White load sheet'!E385,"AAAAAG7r7ng=")</f>
        <v>1</v>
      </c>
      <c r="DR140" t="b">
        <f>AND('Black &amp; White load sheet'!F385,"AAAAAG7r7nk=")</f>
        <v>0</v>
      </c>
      <c r="DS140" t="b">
        <f>AND('Black &amp; White load sheet'!G385,"AAAAAG7r7no=")</f>
        <v>0</v>
      </c>
      <c r="DT140" t="b">
        <f>AND('Black &amp; White load sheet'!H385,"AAAAAG7r7ns=")</f>
        <v>0</v>
      </c>
      <c r="DU140" t="b">
        <f>AND('Black &amp; White load sheet'!I385,"AAAAAG7r7nw=")</f>
        <v>0</v>
      </c>
      <c r="DV140" t="b">
        <f>AND('Black &amp; White load sheet'!J385,"AAAAAG7r7n0=")</f>
        <v>0</v>
      </c>
      <c r="DW140" t="b">
        <f>AND('Black &amp; White load sheet'!K385,"AAAAAG7r7n4=")</f>
        <v>0</v>
      </c>
      <c r="DX140" t="b">
        <f>AND('Black &amp; White load sheet'!L385,"AAAAAG7r7n8=")</f>
        <v>1</v>
      </c>
      <c r="DY140" t="b">
        <f>AND('Black &amp; White load sheet'!M385,"AAAAAG7r7oA=")</f>
        <v>1</v>
      </c>
      <c r="DZ140" t="b">
        <f>AND('Black &amp; White load sheet'!N385,"AAAAAG7r7oE=")</f>
        <v>1</v>
      </c>
      <c r="EA140" t="b">
        <f>AND('Black &amp; White load sheet'!O385,"AAAAAG7r7oI=")</f>
        <v>1</v>
      </c>
      <c r="EB140">
        <f>IF('Black &amp; White load sheet'!386:386,"AAAAAG7r7oM=",0)</f>
        <v>0</v>
      </c>
      <c r="EC140" t="b">
        <f>AND('Black &amp; White load sheet'!A386,"AAAAAG7r7oQ=")</f>
        <v>1</v>
      </c>
      <c r="ED140" t="b">
        <f>AND('Black &amp; White load sheet'!B386,"AAAAAG7r7oU=")</f>
        <v>1</v>
      </c>
      <c r="EE140" t="b">
        <f>AND('Black &amp; White load sheet'!C386,"AAAAAG7r7oY=")</f>
        <v>1</v>
      </c>
      <c r="EF140" t="b">
        <f>AND('Black &amp; White load sheet'!D386,"AAAAAG7r7oc=")</f>
        <v>0</v>
      </c>
      <c r="EG140" t="b">
        <f>AND('Black &amp; White load sheet'!E386,"AAAAAG7r7og=")</f>
        <v>1</v>
      </c>
      <c r="EH140" t="b">
        <f>AND('Black &amp; White load sheet'!F386,"AAAAAG7r7ok=")</f>
        <v>0</v>
      </c>
      <c r="EI140" t="b">
        <f>AND('Black &amp; White load sheet'!G386,"AAAAAG7r7oo=")</f>
        <v>0</v>
      </c>
      <c r="EJ140" t="b">
        <f>AND('Black &amp; White load sheet'!H386,"AAAAAG7r7os=")</f>
        <v>0</v>
      </c>
      <c r="EK140" t="b">
        <f>AND('Black &amp; White load sheet'!I386,"AAAAAG7r7ow=")</f>
        <v>0</v>
      </c>
      <c r="EL140" t="b">
        <f>AND('Black &amp; White load sheet'!J386,"AAAAAG7r7o0=")</f>
        <v>0</v>
      </c>
      <c r="EM140" t="b">
        <f>AND('Black &amp; White load sheet'!K386,"AAAAAG7r7o4=")</f>
        <v>1</v>
      </c>
      <c r="EN140" t="b">
        <f>AND('Black &amp; White load sheet'!L386,"AAAAAG7r7o8=")</f>
        <v>0</v>
      </c>
      <c r="EO140" t="b">
        <f>AND('Black &amp; White load sheet'!M386,"AAAAAG7r7pA=")</f>
        <v>1</v>
      </c>
      <c r="EP140" t="b">
        <f>AND('Black &amp; White load sheet'!N386,"AAAAAG7r7pE=")</f>
        <v>1</v>
      </c>
      <c r="EQ140" t="b">
        <f>AND('Black &amp; White load sheet'!O386,"AAAAAG7r7pI=")</f>
        <v>1</v>
      </c>
      <c r="ER140">
        <f>IF('Black &amp; White load sheet'!387:387,"AAAAAG7r7pM=",0)</f>
        <v>0</v>
      </c>
      <c r="ES140" t="b">
        <f>AND('Black &amp; White load sheet'!A387,"AAAAAG7r7pQ=")</f>
        <v>1</v>
      </c>
      <c r="ET140" t="b">
        <f>AND('Black &amp; White load sheet'!B387,"AAAAAG7r7pU=")</f>
        <v>1</v>
      </c>
      <c r="EU140" t="b">
        <f>AND('Black &amp; White load sheet'!C387,"AAAAAG7r7pY=")</f>
        <v>1</v>
      </c>
      <c r="EV140" t="b">
        <f>AND('Black &amp; White load sheet'!D387,"AAAAAG7r7pc=")</f>
        <v>0</v>
      </c>
      <c r="EW140" t="b">
        <f>AND('Black &amp; White load sheet'!E387,"AAAAAG7r7pg=")</f>
        <v>1</v>
      </c>
      <c r="EX140" t="b">
        <f>AND('Black &amp; White load sheet'!F387,"AAAAAG7r7pk=")</f>
        <v>0</v>
      </c>
      <c r="EY140" t="b">
        <f>AND('Black &amp; White load sheet'!G387,"AAAAAG7r7po=")</f>
        <v>0</v>
      </c>
      <c r="EZ140" t="b">
        <f>AND('Black &amp; White load sheet'!H387,"AAAAAG7r7ps=")</f>
        <v>0</v>
      </c>
      <c r="FA140" t="b">
        <f>AND('Black &amp; White load sheet'!I387,"AAAAAG7r7pw=")</f>
        <v>0</v>
      </c>
      <c r="FB140" t="b">
        <f>AND('Black &amp; White load sheet'!J387,"AAAAAG7r7p0=")</f>
        <v>1</v>
      </c>
      <c r="FC140" t="b">
        <f>AND('Black &amp; White load sheet'!K387,"AAAAAG7r7p4=")</f>
        <v>0</v>
      </c>
      <c r="FD140" t="b">
        <f>AND('Black &amp; White load sheet'!L387,"AAAAAG7r7p8=")</f>
        <v>0</v>
      </c>
      <c r="FE140" t="b">
        <f>AND('Black &amp; White load sheet'!M387,"AAAAAG7r7qA=")</f>
        <v>1</v>
      </c>
      <c r="FF140" t="b">
        <f>AND('Black &amp; White load sheet'!N387,"AAAAAG7r7qE=")</f>
        <v>1</v>
      </c>
      <c r="FG140" t="b">
        <f>AND('Black &amp; White load sheet'!O387,"AAAAAG7r7qI=")</f>
        <v>1</v>
      </c>
      <c r="FH140">
        <f>IF('Black &amp; White load sheet'!388:388,"AAAAAG7r7qM=",0)</f>
        <v>0</v>
      </c>
      <c r="FI140" t="b">
        <f>AND('Black &amp; White load sheet'!A388,"AAAAAG7r7qQ=")</f>
        <v>1</v>
      </c>
      <c r="FJ140" t="b">
        <f>AND('Black &amp; White load sheet'!B388,"AAAAAG7r7qU=")</f>
        <v>1</v>
      </c>
      <c r="FK140" t="b">
        <f>AND('Black &amp; White load sheet'!C388,"AAAAAG7r7qY=")</f>
        <v>1</v>
      </c>
      <c r="FL140" t="b">
        <f>AND('Black &amp; White load sheet'!D388,"AAAAAG7r7qc=")</f>
        <v>0</v>
      </c>
      <c r="FM140" t="b">
        <f>AND('Black &amp; White load sheet'!E388,"AAAAAG7r7qg=")</f>
        <v>1</v>
      </c>
      <c r="FN140" t="b">
        <f>AND('Black &amp; White load sheet'!F388,"AAAAAG7r7qk=")</f>
        <v>0</v>
      </c>
      <c r="FO140" t="b">
        <f>AND('Black &amp; White load sheet'!G388,"AAAAAG7r7qo=")</f>
        <v>0</v>
      </c>
      <c r="FP140" t="b">
        <f>AND('Black &amp; White load sheet'!H388,"AAAAAG7r7qs=")</f>
        <v>0</v>
      </c>
      <c r="FQ140" t="b">
        <f>AND('Black &amp; White load sheet'!I388,"AAAAAG7r7qw=")</f>
        <v>1</v>
      </c>
      <c r="FR140" t="b">
        <f>AND('Black &amp; White load sheet'!J388,"AAAAAG7r7q0=")</f>
        <v>0</v>
      </c>
      <c r="FS140" t="b">
        <f>AND('Black &amp; White load sheet'!K388,"AAAAAG7r7q4=")</f>
        <v>0</v>
      </c>
      <c r="FT140" t="b">
        <f>AND('Black &amp; White load sheet'!L388,"AAAAAG7r7q8=")</f>
        <v>0</v>
      </c>
      <c r="FU140" t="b">
        <f>AND('Black &amp; White load sheet'!M388,"AAAAAG7r7rA=")</f>
        <v>1</v>
      </c>
      <c r="FV140" t="b">
        <f>AND('Black &amp; White load sheet'!N388,"AAAAAG7r7rE=")</f>
        <v>1</v>
      </c>
      <c r="FW140" t="b">
        <f>AND('Black &amp; White load sheet'!O388,"AAAAAG7r7rI=")</f>
        <v>1</v>
      </c>
      <c r="FX140">
        <f>IF('Black &amp; White load sheet'!389:389,"AAAAAG7r7rM=",0)</f>
        <v>0</v>
      </c>
      <c r="FY140" t="b">
        <f>AND('Black &amp; White load sheet'!A389,"AAAAAG7r7rQ=")</f>
        <v>1</v>
      </c>
      <c r="FZ140" t="b">
        <f>AND('Black &amp; White load sheet'!B389,"AAAAAG7r7rU=")</f>
        <v>1</v>
      </c>
      <c r="GA140" t="b">
        <f>AND('Black &amp; White load sheet'!C389,"AAAAAG7r7rY=")</f>
        <v>1</v>
      </c>
      <c r="GB140" t="b">
        <f>AND('Black &amp; White load sheet'!D389,"AAAAAG7r7rc=")</f>
        <v>0</v>
      </c>
      <c r="GC140" t="b">
        <f>AND('Black &amp; White load sheet'!E389,"AAAAAG7r7rg=")</f>
        <v>1</v>
      </c>
      <c r="GD140" t="b">
        <f>AND('Black &amp; White load sheet'!F389,"AAAAAG7r7rk=")</f>
        <v>0</v>
      </c>
      <c r="GE140" t="b">
        <f>AND('Black &amp; White load sheet'!G389,"AAAAAG7r7ro=")</f>
        <v>0</v>
      </c>
      <c r="GF140" t="b">
        <f>AND('Black &amp; White load sheet'!H389,"AAAAAG7r7rs=")</f>
        <v>1</v>
      </c>
      <c r="GG140" t="b">
        <f>AND('Black &amp; White load sheet'!I389,"AAAAAG7r7rw=")</f>
        <v>0</v>
      </c>
      <c r="GH140" t="b">
        <f>AND('Black &amp; White load sheet'!J389,"AAAAAG7r7r0=")</f>
        <v>0</v>
      </c>
      <c r="GI140" t="b">
        <f>AND('Black &amp; White load sheet'!K389,"AAAAAG7r7r4=")</f>
        <v>0</v>
      </c>
      <c r="GJ140" t="b">
        <f>AND('Black &amp; White load sheet'!L389,"AAAAAG7r7r8=")</f>
        <v>0</v>
      </c>
      <c r="GK140" t="b">
        <f>AND('Black &amp; White load sheet'!M389,"AAAAAG7r7sA=")</f>
        <v>1</v>
      </c>
      <c r="GL140" t="b">
        <f>AND('Black &amp; White load sheet'!N389,"AAAAAG7r7sE=")</f>
        <v>1</v>
      </c>
      <c r="GM140" t="b">
        <f>AND('Black &amp; White load sheet'!O389,"AAAAAG7r7sI=")</f>
        <v>1</v>
      </c>
      <c r="GN140">
        <f>IF('Black &amp; White load sheet'!390:390,"AAAAAG7r7sM=",0)</f>
        <v>0</v>
      </c>
      <c r="GO140" t="b">
        <f>AND('Black &amp; White load sheet'!A390,"AAAAAG7r7sQ=")</f>
        <v>1</v>
      </c>
      <c r="GP140" t="b">
        <f>AND('Black &amp; White load sheet'!B390,"AAAAAG7r7sU=")</f>
        <v>1</v>
      </c>
      <c r="GQ140" t="b">
        <f>AND('Black &amp; White load sheet'!C390,"AAAAAG7r7sY=")</f>
        <v>1</v>
      </c>
      <c r="GR140" t="b">
        <f>AND('Black &amp; White load sheet'!D390,"AAAAAG7r7sc=")</f>
        <v>0</v>
      </c>
      <c r="GS140" t="b">
        <f>AND('Black &amp; White load sheet'!E390,"AAAAAG7r7sg=")</f>
        <v>1</v>
      </c>
      <c r="GT140" t="b">
        <f>AND('Black &amp; White load sheet'!F390,"AAAAAG7r7sk=")</f>
        <v>0</v>
      </c>
      <c r="GU140" t="b">
        <f>AND('Black &amp; White load sheet'!G390,"AAAAAG7r7so=")</f>
        <v>0</v>
      </c>
      <c r="GV140" t="b">
        <f>AND('Black &amp; White load sheet'!H390,"AAAAAG7r7ss=")</f>
        <v>1</v>
      </c>
      <c r="GW140" t="b">
        <f>AND('Black &amp; White load sheet'!I390,"AAAAAG7r7sw=")</f>
        <v>0</v>
      </c>
      <c r="GX140" t="b">
        <f>AND('Black &amp; White load sheet'!J390,"AAAAAG7r7s0=")</f>
        <v>0</v>
      </c>
      <c r="GY140" t="b">
        <f>AND('Black &amp; White load sheet'!K390,"AAAAAG7r7s4=")</f>
        <v>0</v>
      </c>
      <c r="GZ140" t="b">
        <f>AND('Black &amp; White load sheet'!L390,"AAAAAG7r7s8=")</f>
        <v>1</v>
      </c>
      <c r="HA140" t="b">
        <f>AND('Black &amp; White load sheet'!M390,"AAAAAG7r7tA=")</f>
        <v>1</v>
      </c>
      <c r="HB140" t="b">
        <f>AND('Black &amp; White load sheet'!N390,"AAAAAG7r7tE=")</f>
        <v>1</v>
      </c>
      <c r="HC140" t="b">
        <f>AND('Black &amp; White load sheet'!O390,"AAAAAG7r7tI=")</f>
        <v>1</v>
      </c>
      <c r="HD140">
        <f>IF('Black &amp; White load sheet'!391:391,"AAAAAG7r7tM=",0)</f>
        <v>0</v>
      </c>
      <c r="HE140" t="b">
        <f>AND('Black &amp; White load sheet'!A391,"AAAAAG7r7tQ=")</f>
        <v>1</v>
      </c>
      <c r="HF140" t="b">
        <f>AND('Black &amp; White load sheet'!B391,"AAAAAG7r7tU=")</f>
        <v>1</v>
      </c>
      <c r="HG140" t="b">
        <f>AND('Black &amp; White load sheet'!C391,"AAAAAG7r7tY=")</f>
        <v>1</v>
      </c>
      <c r="HH140" t="b">
        <f>AND('Black &amp; White load sheet'!D391,"AAAAAG7r7tc=")</f>
        <v>0</v>
      </c>
      <c r="HI140" t="b">
        <f>AND('Black &amp; White load sheet'!E391,"AAAAAG7r7tg=")</f>
        <v>1</v>
      </c>
      <c r="HJ140" t="b">
        <f>AND('Black &amp; White load sheet'!F391,"AAAAAG7r7tk=")</f>
        <v>0</v>
      </c>
      <c r="HK140" t="b">
        <f>AND('Black &amp; White load sheet'!G391,"AAAAAG7r7to=")</f>
        <v>0</v>
      </c>
      <c r="HL140" t="b">
        <f>AND('Black &amp; White load sheet'!H391,"AAAAAG7r7ts=")</f>
        <v>1</v>
      </c>
      <c r="HM140" t="b">
        <f>AND('Black &amp; White load sheet'!I391,"AAAAAG7r7tw=")</f>
        <v>0</v>
      </c>
      <c r="HN140" t="b">
        <f>AND('Black &amp; White load sheet'!J391,"AAAAAG7r7t0=")</f>
        <v>0</v>
      </c>
      <c r="HO140" t="b">
        <f>AND('Black &amp; White load sheet'!K391,"AAAAAG7r7t4=")</f>
        <v>1</v>
      </c>
      <c r="HP140" t="b">
        <f>AND('Black &amp; White load sheet'!L391,"AAAAAG7r7t8=")</f>
        <v>0</v>
      </c>
      <c r="HQ140" t="b">
        <f>AND('Black &amp; White load sheet'!M391,"AAAAAG7r7uA=")</f>
        <v>1</v>
      </c>
      <c r="HR140" t="b">
        <f>AND('Black &amp; White load sheet'!N391,"AAAAAG7r7uE=")</f>
        <v>1</v>
      </c>
      <c r="HS140" t="b">
        <f>AND('Black &amp; White load sheet'!O391,"AAAAAG7r7uI=")</f>
        <v>1</v>
      </c>
      <c r="HT140">
        <f>IF('Black &amp; White load sheet'!392:392,"AAAAAG7r7uM=",0)</f>
        <v>0</v>
      </c>
      <c r="HU140" t="b">
        <f>AND('Black &amp; White load sheet'!A392,"AAAAAG7r7uQ=")</f>
        <v>1</v>
      </c>
      <c r="HV140" t="b">
        <f>AND('Black &amp; White load sheet'!B392,"AAAAAG7r7uU=")</f>
        <v>1</v>
      </c>
      <c r="HW140" t="b">
        <f>AND('Black &amp; White load sheet'!C392,"AAAAAG7r7uY=")</f>
        <v>1</v>
      </c>
      <c r="HX140" t="b">
        <f>AND('Black &amp; White load sheet'!D392,"AAAAAG7r7uc=")</f>
        <v>0</v>
      </c>
      <c r="HY140" t="b">
        <f>AND('Black &amp; White load sheet'!E392,"AAAAAG7r7ug=")</f>
        <v>1</v>
      </c>
      <c r="HZ140" t="b">
        <f>AND('Black &amp; White load sheet'!F392,"AAAAAG7r7uk=")</f>
        <v>0</v>
      </c>
      <c r="IA140" t="b">
        <f>AND('Black &amp; White load sheet'!G392,"AAAAAG7r7uo=")</f>
        <v>0</v>
      </c>
      <c r="IB140" t="b">
        <f>AND('Black &amp; White load sheet'!H392,"AAAAAG7r7us=")</f>
        <v>1</v>
      </c>
      <c r="IC140" t="b">
        <f>AND('Black &amp; White load sheet'!I392,"AAAAAG7r7uw=")</f>
        <v>0</v>
      </c>
      <c r="ID140" t="b">
        <f>AND('Black &amp; White load sheet'!J392,"AAAAAG7r7u0=")</f>
        <v>1</v>
      </c>
      <c r="IE140" t="b">
        <f>AND('Black &amp; White load sheet'!K392,"AAAAAG7r7u4=")</f>
        <v>0</v>
      </c>
      <c r="IF140" t="b">
        <f>AND('Black &amp; White load sheet'!L392,"AAAAAG7r7u8=")</f>
        <v>0</v>
      </c>
      <c r="IG140" t="b">
        <f>AND('Black &amp; White load sheet'!M392,"AAAAAG7r7vA=")</f>
        <v>1</v>
      </c>
      <c r="IH140" t="b">
        <f>AND('Black &amp; White load sheet'!N392,"AAAAAG7r7vE=")</f>
        <v>1</v>
      </c>
      <c r="II140" t="b">
        <f>AND('Black &amp; White load sheet'!O392,"AAAAAG7r7vI=")</f>
        <v>1</v>
      </c>
      <c r="IJ140">
        <f>IF('Black &amp; White load sheet'!393:393,"AAAAAG7r7vM=",0)</f>
        <v>0</v>
      </c>
      <c r="IK140" t="b">
        <f>AND('Black &amp; White load sheet'!A393,"AAAAAG7r7vQ=")</f>
        <v>1</v>
      </c>
      <c r="IL140" t="b">
        <f>AND('Black &amp; White load sheet'!B393,"AAAAAG7r7vU=")</f>
        <v>1</v>
      </c>
      <c r="IM140" t="b">
        <f>AND('Black &amp; White load sheet'!C393,"AAAAAG7r7vY=")</f>
        <v>1</v>
      </c>
      <c r="IN140" t="b">
        <f>AND('Black &amp; White load sheet'!D393,"AAAAAG7r7vc=")</f>
        <v>0</v>
      </c>
      <c r="IO140" t="b">
        <f>AND('Black &amp; White load sheet'!E393,"AAAAAG7r7vg=")</f>
        <v>1</v>
      </c>
      <c r="IP140" t="b">
        <f>AND('Black &amp; White load sheet'!F393,"AAAAAG7r7vk=")</f>
        <v>0</v>
      </c>
      <c r="IQ140" t="b">
        <f>AND('Black &amp; White load sheet'!G393,"AAAAAG7r7vo=")</f>
        <v>0</v>
      </c>
      <c r="IR140" t="b">
        <f>AND('Black &amp; White load sheet'!H393,"AAAAAG7r7vs=")</f>
        <v>1</v>
      </c>
      <c r="IS140" t="b">
        <f>AND('Black &amp; White load sheet'!I393,"AAAAAG7r7vw=")</f>
        <v>1</v>
      </c>
      <c r="IT140" t="b">
        <f>AND('Black &amp; White load sheet'!J393,"AAAAAG7r7v0=")</f>
        <v>0</v>
      </c>
      <c r="IU140" t="b">
        <f>AND('Black &amp; White load sheet'!K393,"AAAAAG7r7v4=")</f>
        <v>0</v>
      </c>
      <c r="IV140" t="b">
        <f>AND('Black &amp; White load sheet'!L393,"AAAAAG7r7v8=")</f>
        <v>0</v>
      </c>
    </row>
    <row r="141" spans="1:256">
      <c r="A141" t="b">
        <f>AND('Black &amp; White load sheet'!M393,"AAAAAB13MwA=")</f>
        <v>1</v>
      </c>
      <c r="B141" t="b">
        <f>AND('Black &amp; White load sheet'!N393,"AAAAAB13MwE=")</f>
        <v>1</v>
      </c>
      <c r="C141" t="b">
        <f>AND('Black &amp; White load sheet'!O393,"AAAAAB13MwI=")</f>
        <v>1</v>
      </c>
      <c r="D141">
        <f>IF('Black &amp; White load sheet'!394:394,"AAAAAB13MwM=",0)</f>
        <v>0</v>
      </c>
      <c r="E141" t="b">
        <f>AND('Black &amp; White load sheet'!A394,"AAAAAB13MwQ=")</f>
        <v>1</v>
      </c>
      <c r="F141" t="b">
        <f>AND('Black &amp; White load sheet'!B394,"AAAAAB13MwU=")</f>
        <v>1</v>
      </c>
      <c r="G141" t="b">
        <f>AND('Black &amp; White load sheet'!C394,"AAAAAB13MwY=")</f>
        <v>1</v>
      </c>
      <c r="H141" t="b">
        <f>AND('Black &amp; White load sheet'!D394,"AAAAAB13Mwc=")</f>
        <v>0</v>
      </c>
      <c r="I141" t="b">
        <f>AND('Black &amp; White load sheet'!E394,"AAAAAB13Mwg=")</f>
        <v>1</v>
      </c>
      <c r="J141" t="b">
        <f>AND('Black &amp; White load sheet'!F394,"AAAAAB13Mwk=")</f>
        <v>0</v>
      </c>
      <c r="K141" t="b">
        <f>AND('Black &amp; White load sheet'!G394,"AAAAAB13Mwo=")</f>
        <v>1</v>
      </c>
      <c r="L141" t="b">
        <f>AND('Black &amp; White load sheet'!H394,"AAAAAB13Mws=")</f>
        <v>0</v>
      </c>
      <c r="M141" t="b">
        <f>AND('Black &amp; White load sheet'!I394,"AAAAAB13Mww=")</f>
        <v>0</v>
      </c>
      <c r="N141" t="b">
        <f>AND('Black &amp; White load sheet'!J394,"AAAAAB13Mw0=")</f>
        <v>0</v>
      </c>
      <c r="O141" t="b">
        <f>AND('Black &amp; White load sheet'!K394,"AAAAAB13Mw4=")</f>
        <v>0</v>
      </c>
      <c r="P141" t="b">
        <f>AND('Black &amp; White load sheet'!L394,"AAAAAB13Mw8=")</f>
        <v>0</v>
      </c>
      <c r="Q141" t="b">
        <f>AND('Black &amp; White load sheet'!M394,"AAAAAB13MxA=")</f>
        <v>1</v>
      </c>
      <c r="R141" t="b">
        <f>AND('Black &amp; White load sheet'!N394,"AAAAAB13MxE=")</f>
        <v>1</v>
      </c>
      <c r="S141" t="b">
        <f>AND('Black &amp; White load sheet'!O394,"AAAAAB13MxI=")</f>
        <v>1</v>
      </c>
      <c r="T141">
        <f>IF('Black &amp; White load sheet'!395:395,"AAAAAB13MxM=",0)</f>
        <v>0</v>
      </c>
      <c r="U141" t="b">
        <f>AND('Black &amp; White load sheet'!A395,"AAAAAB13MxQ=")</f>
        <v>1</v>
      </c>
      <c r="V141" t="b">
        <f>AND('Black &amp; White load sheet'!B395,"AAAAAB13MxU=")</f>
        <v>1</v>
      </c>
      <c r="W141" t="b">
        <f>AND('Black &amp; White load sheet'!C395,"AAAAAB13MxY=")</f>
        <v>1</v>
      </c>
      <c r="X141" t="b">
        <f>AND('Black &amp; White load sheet'!D395,"AAAAAB13Mxc=")</f>
        <v>0</v>
      </c>
      <c r="Y141" t="b">
        <f>AND('Black &amp; White load sheet'!E395,"AAAAAB13Mxg=")</f>
        <v>1</v>
      </c>
      <c r="Z141" t="b">
        <f>AND('Black &amp; White load sheet'!F395,"AAAAAB13Mxk=")</f>
        <v>0</v>
      </c>
      <c r="AA141" t="b">
        <f>AND('Black &amp; White load sheet'!G395,"AAAAAB13Mxo=")</f>
        <v>1</v>
      </c>
      <c r="AB141" t="b">
        <f>AND('Black &amp; White load sheet'!H395,"AAAAAB13Mxs=")</f>
        <v>0</v>
      </c>
      <c r="AC141" t="b">
        <f>AND('Black &amp; White load sheet'!I395,"AAAAAB13Mxw=")</f>
        <v>0</v>
      </c>
      <c r="AD141" t="b">
        <f>AND('Black &amp; White load sheet'!J395,"AAAAAB13Mx0=")</f>
        <v>0</v>
      </c>
      <c r="AE141" t="b">
        <f>AND('Black &amp; White load sheet'!K395,"AAAAAB13Mx4=")</f>
        <v>0</v>
      </c>
      <c r="AF141" t="b">
        <f>AND('Black &amp; White load sheet'!L395,"AAAAAB13Mx8=")</f>
        <v>1</v>
      </c>
      <c r="AG141" t="b">
        <f>AND('Black &amp; White load sheet'!M395,"AAAAAB13MyA=")</f>
        <v>1</v>
      </c>
      <c r="AH141" t="b">
        <f>AND('Black &amp; White load sheet'!N395,"AAAAAB13MyE=")</f>
        <v>1</v>
      </c>
      <c r="AI141" t="b">
        <f>AND('Black &amp; White load sheet'!O395,"AAAAAB13MyI=")</f>
        <v>1</v>
      </c>
      <c r="AJ141">
        <f>IF('Black &amp; White load sheet'!396:396,"AAAAAB13MyM=",0)</f>
        <v>0</v>
      </c>
      <c r="AK141" t="b">
        <f>AND('Black &amp; White load sheet'!A396,"AAAAAB13MyQ=")</f>
        <v>1</v>
      </c>
      <c r="AL141" t="b">
        <f>AND('Black &amp; White load sheet'!B396,"AAAAAB13MyU=")</f>
        <v>1</v>
      </c>
      <c r="AM141" t="b">
        <f>AND('Black &amp; White load sheet'!C396,"AAAAAB13MyY=")</f>
        <v>1</v>
      </c>
      <c r="AN141" t="b">
        <f>AND('Black &amp; White load sheet'!D396,"AAAAAB13Myc=")</f>
        <v>0</v>
      </c>
      <c r="AO141" t="b">
        <f>AND('Black &amp; White load sheet'!E396,"AAAAAB13Myg=")</f>
        <v>1</v>
      </c>
      <c r="AP141" t="b">
        <f>AND('Black &amp; White load sheet'!F396,"AAAAAB13Myk=")</f>
        <v>0</v>
      </c>
      <c r="AQ141" t="b">
        <f>AND('Black &amp; White load sheet'!G396,"AAAAAB13Myo=")</f>
        <v>1</v>
      </c>
      <c r="AR141" t="b">
        <f>AND('Black &amp; White load sheet'!H396,"AAAAAB13Mys=")</f>
        <v>0</v>
      </c>
      <c r="AS141" t="b">
        <f>AND('Black &amp; White load sheet'!I396,"AAAAAB13Myw=")</f>
        <v>0</v>
      </c>
      <c r="AT141" t="b">
        <f>AND('Black &amp; White load sheet'!J396,"AAAAAB13My0=")</f>
        <v>0</v>
      </c>
      <c r="AU141" t="b">
        <f>AND('Black &amp; White load sheet'!K396,"AAAAAB13My4=")</f>
        <v>1</v>
      </c>
      <c r="AV141" t="b">
        <f>AND('Black &amp; White load sheet'!L396,"AAAAAB13My8=")</f>
        <v>0</v>
      </c>
      <c r="AW141" t="b">
        <f>AND('Black &amp; White load sheet'!M396,"AAAAAB13MzA=")</f>
        <v>1</v>
      </c>
      <c r="AX141" t="b">
        <f>AND('Black &amp; White load sheet'!N396,"AAAAAB13MzE=")</f>
        <v>1</v>
      </c>
      <c r="AY141" t="b">
        <f>AND('Black &amp; White load sheet'!O396,"AAAAAB13MzI=")</f>
        <v>1</v>
      </c>
      <c r="AZ141">
        <f>IF('Black &amp; White load sheet'!397:397,"AAAAAB13MzM=",0)</f>
        <v>0</v>
      </c>
      <c r="BA141" t="b">
        <f>AND('Black &amp; White load sheet'!A397,"AAAAAB13MzQ=")</f>
        <v>1</v>
      </c>
      <c r="BB141" t="b">
        <f>AND('Black &amp; White load sheet'!B397,"AAAAAB13MzU=")</f>
        <v>1</v>
      </c>
      <c r="BC141" t="b">
        <f>AND('Black &amp; White load sheet'!C397,"AAAAAB13MzY=")</f>
        <v>1</v>
      </c>
      <c r="BD141" t="b">
        <f>AND('Black &amp; White load sheet'!D397,"AAAAAB13Mzc=")</f>
        <v>0</v>
      </c>
      <c r="BE141" t="b">
        <f>AND('Black &amp; White load sheet'!E397,"AAAAAB13Mzg=")</f>
        <v>1</v>
      </c>
      <c r="BF141" t="b">
        <f>AND('Black &amp; White load sheet'!F397,"AAAAAB13Mzk=")</f>
        <v>0</v>
      </c>
      <c r="BG141" t="b">
        <f>AND('Black &amp; White load sheet'!G397,"AAAAAB13Mzo=")</f>
        <v>1</v>
      </c>
      <c r="BH141" t="b">
        <f>AND('Black &amp; White load sheet'!H397,"AAAAAB13Mzs=")</f>
        <v>0</v>
      </c>
      <c r="BI141" t="b">
        <f>AND('Black &amp; White load sheet'!I397,"AAAAAB13Mzw=")</f>
        <v>0</v>
      </c>
      <c r="BJ141" t="b">
        <f>AND('Black &amp; White load sheet'!J397,"AAAAAB13Mz0=")</f>
        <v>1</v>
      </c>
      <c r="BK141" t="b">
        <f>AND('Black &amp; White load sheet'!K397,"AAAAAB13Mz4=")</f>
        <v>0</v>
      </c>
      <c r="BL141" t="b">
        <f>AND('Black &amp; White load sheet'!L397,"AAAAAB13Mz8=")</f>
        <v>0</v>
      </c>
      <c r="BM141" t="b">
        <f>AND('Black &amp; White load sheet'!M397,"AAAAAB13M0A=")</f>
        <v>1</v>
      </c>
      <c r="BN141" t="b">
        <f>AND('Black &amp; White load sheet'!N397,"AAAAAB13M0E=")</f>
        <v>1</v>
      </c>
      <c r="BO141" t="b">
        <f>AND('Black &amp; White load sheet'!O397,"AAAAAB13M0I=")</f>
        <v>1</v>
      </c>
      <c r="BP141">
        <f>IF('Black &amp; White load sheet'!398:398,"AAAAAB13M0M=",0)</f>
        <v>0</v>
      </c>
      <c r="BQ141" t="b">
        <f>AND('Black &amp; White load sheet'!A398,"AAAAAB13M0Q=")</f>
        <v>1</v>
      </c>
      <c r="BR141" t="b">
        <f>AND('Black &amp; White load sheet'!B398,"AAAAAB13M0U=")</f>
        <v>1</v>
      </c>
      <c r="BS141" t="b">
        <f>AND('Black &amp; White load sheet'!C398,"AAAAAB13M0Y=")</f>
        <v>1</v>
      </c>
      <c r="BT141" t="b">
        <f>AND('Black &amp; White load sheet'!D398,"AAAAAB13M0c=")</f>
        <v>0</v>
      </c>
      <c r="BU141" t="b">
        <f>AND('Black &amp; White load sheet'!E398,"AAAAAB13M0g=")</f>
        <v>1</v>
      </c>
      <c r="BV141" t="b">
        <f>AND('Black &amp; White load sheet'!F398,"AAAAAB13M0k=")</f>
        <v>0</v>
      </c>
      <c r="BW141" t="b">
        <f>AND('Black &amp; White load sheet'!G398,"AAAAAB13M0o=")</f>
        <v>1</v>
      </c>
      <c r="BX141" t="b">
        <f>AND('Black &amp; White load sheet'!H398,"AAAAAB13M0s=")</f>
        <v>0</v>
      </c>
      <c r="BY141" t="b">
        <f>AND('Black &amp; White load sheet'!I398,"AAAAAB13M0w=")</f>
        <v>1</v>
      </c>
      <c r="BZ141" t="b">
        <f>AND('Black &amp; White load sheet'!J398,"AAAAAB13M00=")</f>
        <v>0</v>
      </c>
      <c r="CA141" t="b">
        <f>AND('Black &amp; White load sheet'!K398,"AAAAAB13M04=")</f>
        <v>0</v>
      </c>
      <c r="CB141" t="b">
        <f>AND('Black &amp; White load sheet'!L398,"AAAAAB13M08=")</f>
        <v>0</v>
      </c>
      <c r="CC141" t="b">
        <f>AND('Black &amp; White load sheet'!M398,"AAAAAB13M1A=")</f>
        <v>1</v>
      </c>
      <c r="CD141" t="b">
        <f>AND('Black &amp; White load sheet'!N398,"AAAAAB13M1E=")</f>
        <v>1</v>
      </c>
      <c r="CE141" t="b">
        <f>AND('Black &amp; White load sheet'!O398,"AAAAAB13M1I=")</f>
        <v>1</v>
      </c>
      <c r="CF141">
        <f>IF('Black &amp; White load sheet'!399:399,"AAAAAB13M1M=",0)</f>
        <v>0</v>
      </c>
      <c r="CG141" t="b">
        <f>AND('Black &amp; White load sheet'!A399,"AAAAAB13M1Q=")</f>
        <v>1</v>
      </c>
      <c r="CH141" t="b">
        <f>AND('Black &amp; White load sheet'!B399,"AAAAAB13M1U=")</f>
        <v>1</v>
      </c>
      <c r="CI141" t="b">
        <f>AND('Black &amp; White load sheet'!C399,"AAAAAB13M1Y=")</f>
        <v>1</v>
      </c>
      <c r="CJ141" t="b">
        <f>AND('Black &amp; White load sheet'!D399,"AAAAAB13M1c=")</f>
        <v>0</v>
      </c>
      <c r="CK141" t="b">
        <f>AND('Black &amp; White load sheet'!E399,"AAAAAB13M1g=")</f>
        <v>1</v>
      </c>
      <c r="CL141" t="b">
        <f>AND('Black &amp; White load sheet'!F399,"AAAAAB13M1k=")</f>
        <v>0</v>
      </c>
      <c r="CM141" t="b">
        <f>AND('Black &amp; White load sheet'!G399,"AAAAAB13M1o=")</f>
        <v>1</v>
      </c>
      <c r="CN141" t="b">
        <f>AND('Black &amp; White load sheet'!H399,"AAAAAB13M1s=")</f>
        <v>1</v>
      </c>
      <c r="CO141" t="b">
        <f>AND('Black &amp; White load sheet'!I399,"AAAAAB13M1w=")</f>
        <v>0</v>
      </c>
      <c r="CP141" t="b">
        <f>AND('Black &amp; White load sheet'!J399,"AAAAAB13M10=")</f>
        <v>0</v>
      </c>
      <c r="CQ141" t="b">
        <f>AND('Black &amp; White load sheet'!K399,"AAAAAB13M14=")</f>
        <v>0</v>
      </c>
      <c r="CR141" t="b">
        <f>AND('Black &amp; White load sheet'!L399,"AAAAAB13M18=")</f>
        <v>0</v>
      </c>
      <c r="CS141" t="b">
        <f>AND('Black &amp; White load sheet'!M399,"AAAAAB13M2A=")</f>
        <v>1</v>
      </c>
      <c r="CT141" t="b">
        <f>AND('Black &amp; White load sheet'!N399,"AAAAAB13M2E=")</f>
        <v>1</v>
      </c>
      <c r="CU141" t="b">
        <f>AND('Black &amp; White load sheet'!O399,"AAAAAB13M2I=")</f>
        <v>1</v>
      </c>
      <c r="CV141">
        <f>IF('Black &amp; White load sheet'!400:400,"AAAAAB13M2M=",0)</f>
        <v>0</v>
      </c>
      <c r="CW141" t="b">
        <f>AND('Black &amp; White load sheet'!A400,"AAAAAB13M2Q=")</f>
        <v>1</v>
      </c>
      <c r="CX141" t="b">
        <f>AND('Black &amp; White load sheet'!B400,"AAAAAB13M2U=")</f>
        <v>1</v>
      </c>
      <c r="CY141" t="b">
        <f>AND('Black &amp; White load sheet'!C400,"AAAAAB13M2Y=")</f>
        <v>1</v>
      </c>
      <c r="CZ141" t="b">
        <f>AND('Black &amp; White load sheet'!D400,"AAAAAB13M2c=")</f>
        <v>0</v>
      </c>
      <c r="DA141" t="b">
        <f>AND('Black &amp; White load sheet'!E400,"AAAAAB13M2g=")</f>
        <v>1</v>
      </c>
      <c r="DB141" t="b">
        <f>AND('Black &amp; White load sheet'!F400,"AAAAAB13M2k=")</f>
        <v>0</v>
      </c>
      <c r="DC141" t="b">
        <f>AND('Black &amp; White load sheet'!G400,"AAAAAB13M2o=")</f>
        <v>1</v>
      </c>
      <c r="DD141" t="b">
        <f>AND('Black &amp; White load sheet'!H400,"AAAAAB13M2s=")</f>
        <v>1</v>
      </c>
      <c r="DE141" t="b">
        <f>AND('Black &amp; White load sheet'!I400,"AAAAAB13M2w=")</f>
        <v>0</v>
      </c>
      <c r="DF141" t="b">
        <f>AND('Black &amp; White load sheet'!J400,"AAAAAB13M20=")</f>
        <v>0</v>
      </c>
      <c r="DG141" t="b">
        <f>AND('Black &amp; White load sheet'!K400,"AAAAAB13M24=")</f>
        <v>0</v>
      </c>
      <c r="DH141" t="b">
        <f>AND('Black &amp; White load sheet'!L400,"AAAAAB13M28=")</f>
        <v>1</v>
      </c>
      <c r="DI141" t="b">
        <f>AND('Black &amp; White load sheet'!M400,"AAAAAB13M3A=")</f>
        <v>1</v>
      </c>
      <c r="DJ141" t="b">
        <f>AND('Black &amp; White load sheet'!N400,"AAAAAB13M3E=")</f>
        <v>1</v>
      </c>
      <c r="DK141" t="b">
        <f>AND('Black &amp; White load sheet'!O400,"AAAAAB13M3I=")</f>
        <v>1</v>
      </c>
      <c r="DL141" t="str">
        <f>IF('Black &amp; White load sheet'!A:A,"AAAAAB13M3M=",0)</f>
        <v>AAAAAB13M3M=</v>
      </c>
      <c r="DM141" t="str">
        <f>IF('Black &amp; White load sheet'!B:B,"AAAAAB13M3Q=",0)</f>
        <v>AAAAAB13M3Q=</v>
      </c>
      <c r="DN141">
        <f>IF('Black &amp; White load sheet'!C:C,"AAAAAB13M3U=",0)</f>
        <v>0</v>
      </c>
      <c r="DO141">
        <f>IF('Black &amp; White load sheet'!D:D,"AAAAAB13M3Y=",0)</f>
        <v>0</v>
      </c>
      <c r="DP141" t="str">
        <f>IF('Black &amp; White load sheet'!E:E,"AAAAAB13M3c=",0)</f>
        <v>AAAAAB13M3c=</v>
      </c>
      <c r="DQ141">
        <f>IF('Black &amp; White load sheet'!F:F,"AAAAAB13M3g=",0)</f>
        <v>0</v>
      </c>
      <c r="DR141">
        <f>IF('Black &amp; White load sheet'!G:G,"AAAAAB13M3k=",0)</f>
        <v>0</v>
      </c>
      <c r="DS141" t="str">
        <f>IF('Black &amp; White load sheet'!H:H,"AAAAAB13M3o=",0)</f>
        <v>AAAAAB13M3o=</v>
      </c>
      <c r="DT141">
        <f>IF('Black &amp; White load sheet'!I:I,"AAAAAB13M3s=",0)</f>
        <v>0</v>
      </c>
      <c r="DU141">
        <f>IF('Black &amp; White load sheet'!J:J,"AAAAAB13M3w=",0)</f>
        <v>0</v>
      </c>
      <c r="DV141" t="str">
        <f>IF('Black &amp; White load sheet'!K:K,"AAAAAB13M30=",0)</f>
        <v>AAAAAB13M30=</v>
      </c>
      <c r="DW141">
        <f>IF('Black &amp; White load sheet'!L:L,"AAAAAB13M34=",0)</f>
        <v>0</v>
      </c>
      <c r="DX141" t="str">
        <f>IF('Black &amp; White load sheet'!M:M,"AAAAAB13M38=",0)</f>
        <v>AAAAAB13M38=</v>
      </c>
      <c r="DY141" t="str">
        <f>IF('Black &amp; White load sheet'!N:N,"AAAAAB13M4A=",0)</f>
        <v>AAAAAB13M4A=</v>
      </c>
      <c r="DZ141" t="str">
        <f>IF('Black &amp; White load sheet'!O:O,"AAAAAB13M4E=",0)</f>
        <v>AAAAAB13M4E=</v>
      </c>
      <c r="EA141">
        <f>IF('Black &amp; White load sheet'!P:P,"AAAAAB13M4I=",0)</f>
        <v>0</v>
      </c>
      <c r="EB141">
        <f>IF('Black &amp; White load sheet'!Q:Q,"AAAAAB13M4M=",0)</f>
        <v>0</v>
      </c>
      <c r="EC141">
        <f>IF('Black &amp; White load sheet'!R:R,"AAAAAB13M4Q=",0)</f>
        <v>0</v>
      </c>
      <c r="ED141">
        <f>IF('Black &amp; White load sheet'!S:S,"AAAAAB13M4U=",0)</f>
        <v>0</v>
      </c>
      <c r="EE141" t="e">
        <f>IF(#REF!,"AAAAAB13M4Y=",0)</f>
        <v>#REF!</v>
      </c>
      <c r="EF141" t="e">
        <f>AND(#REF!,"AAAAAB13M4c=")</f>
        <v>#REF!</v>
      </c>
      <c r="EG141" t="e">
        <f>AND(#REF!,"AAAAAB13M4g=")</f>
        <v>#REF!</v>
      </c>
      <c r="EH141" t="e">
        <f>AND(#REF!,"AAAAAB13M4k=")</f>
        <v>#REF!</v>
      </c>
      <c r="EI141" t="e">
        <f>AND(#REF!,"AAAAAB13M4o=")</f>
        <v>#REF!</v>
      </c>
      <c r="EJ141" t="e">
        <f>AND(#REF!,"AAAAAB13M4s=")</f>
        <v>#REF!</v>
      </c>
      <c r="EK141" t="e">
        <f>AND(#REF!,"AAAAAB13M4w=")</f>
        <v>#REF!</v>
      </c>
      <c r="EL141" t="e">
        <f>AND(#REF!,"AAAAAB13M40=")</f>
        <v>#REF!</v>
      </c>
      <c r="EM141" t="e">
        <f>AND(#REF!,"AAAAAB13M44=")</f>
        <v>#REF!</v>
      </c>
      <c r="EN141" t="e">
        <f>AND(#REF!,"AAAAAB13M48=")</f>
        <v>#REF!</v>
      </c>
      <c r="EO141" t="e">
        <f>AND(#REF!,"AAAAAB13M5A=")</f>
        <v>#REF!</v>
      </c>
      <c r="EP141" t="e">
        <f>AND(#REF!,"AAAAAB13M5E=")</f>
        <v>#REF!</v>
      </c>
      <c r="EQ141" t="e">
        <f>AND(#REF!,"AAAAAB13M5I=")</f>
        <v>#REF!</v>
      </c>
      <c r="ER141" t="e">
        <f>AND(#REF!,"AAAAAB13M5M=")</f>
        <v>#REF!</v>
      </c>
      <c r="ES141" t="e">
        <f>AND(#REF!,"AAAAAB13M5Q=")</f>
        <v>#REF!</v>
      </c>
      <c r="ET141" t="e">
        <f>AND(#REF!,"AAAAAB13M5U=")</f>
        <v>#REF!</v>
      </c>
      <c r="EU141" t="e">
        <f>AND(#REF!,"AAAAAB13M5Y=")</f>
        <v>#REF!</v>
      </c>
      <c r="EV141" t="e">
        <f>IF(#REF!,"AAAAAB13M5c=",0)</f>
        <v>#REF!</v>
      </c>
      <c r="EW141" t="e">
        <f>AND(#REF!,"AAAAAB13M5g=")</f>
        <v>#REF!</v>
      </c>
      <c r="EX141" t="e">
        <f>AND(#REF!,"AAAAAB13M5k=")</f>
        <v>#REF!</v>
      </c>
      <c r="EY141" t="e">
        <f>AND(#REF!,"AAAAAB13M5o=")</f>
        <v>#REF!</v>
      </c>
      <c r="EZ141" t="e">
        <f>AND(#REF!,"AAAAAB13M5s=")</f>
        <v>#REF!</v>
      </c>
      <c r="FA141" t="e">
        <f>AND(#REF!,"AAAAAB13M5w=")</f>
        <v>#REF!</v>
      </c>
      <c r="FB141" t="e">
        <f>AND(#REF!,"AAAAAB13M50=")</f>
        <v>#REF!</v>
      </c>
      <c r="FC141" t="e">
        <f>AND(#REF!,"AAAAAB13M54=")</f>
        <v>#REF!</v>
      </c>
      <c r="FD141" t="e">
        <f>AND(#REF!,"AAAAAB13M58=")</f>
        <v>#REF!</v>
      </c>
      <c r="FE141" t="e">
        <f>AND(#REF!,"AAAAAB13M6A=")</f>
        <v>#REF!</v>
      </c>
      <c r="FF141" t="e">
        <f>AND(#REF!,"AAAAAB13M6E=")</f>
        <v>#REF!</v>
      </c>
      <c r="FG141" t="e">
        <f>AND(#REF!,"AAAAAB13M6I=")</f>
        <v>#REF!</v>
      </c>
      <c r="FH141" t="e">
        <f>AND(#REF!,"AAAAAB13M6M=")</f>
        <v>#REF!</v>
      </c>
      <c r="FI141" t="e">
        <f>AND(#REF!,"AAAAAB13M6Q=")</f>
        <v>#REF!</v>
      </c>
      <c r="FJ141" t="e">
        <f>AND(#REF!,"AAAAAB13M6U=")</f>
        <v>#REF!</v>
      </c>
      <c r="FK141" t="e">
        <f>AND(#REF!,"AAAAAB13M6Y=")</f>
        <v>#REF!</v>
      </c>
      <c r="FL141" t="e">
        <f>AND(#REF!,"AAAAAB13M6c=")</f>
        <v>#REF!</v>
      </c>
      <c r="FM141" t="e">
        <f>IF(#REF!,"AAAAAB13M6g=",0)</f>
        <v>#REF!</v>
      </c>
      <c r="FN141" t="e">
        <f>IF(#REF!,"AAAAAB13M6k=",0)</f>
        <v>#REF!</v>
      </c>
      <c r="FO141" t="e">
        <f>IF(#REF!,"AAAAAB13M6o=",0)</f>
        <v>#REF!</v>
      </c>
      <c r="FP141" t="e">
        <f>IF(#REF!,"AAAAAB13M6s=",0)</f>
        <v>#REF!</v>
      </c>
      <c r="FQ141" t="e">
        <f>IF(#REF!,"AAAAAB13M6w=",0)</f>
        <v>#REF!</v>
      </c>
      <c r="FR141" t="e">
        <f>IF(#REF!,"AAAAAB13M60=",0)</f>
        <v>#REF!</v>
      </c>
      <c r="FS141" t="e">
        <f>IF(#REF!,"AAAAAB13M64=",0)</f>
        <v>#REF!</v>
      </c>
      <c r="FT141" t="e">
        <f>IF(#REF!,"AAAAAB13M68=",0)</f>
        <v>#REF!</v>
      </c>
      <c r="FU141" t="e">
        <f>IF(#REF!,"AAAAAB13M7A=",0)</f>
        <v>#REF!</v>
      </c>
      <c r="FV141" t="e">
        <f>IF(#REF!,"AAAAAB13M7E=",0)</f>
        <v>#REF!</v>
      </c>
      <c r="FW141" t="e">
        <f>IF(#REF!,"AAAAAB13M7I=",0)</f>
        <v>#REF!</v>
      </c>
      <c r="FX141" t="e">
        <f>IF(#REF!,"AAAAAB13M7M=",0)</f>
        <v>#REF!</v>
      </c>
      <c r="FY141" t="e">
        <f>IF(#REF!,"AAAAAB13M7Q=",0)</f>
        <v>#REF!</v>
      </c>
      <c r="FZ141" t="e">
        <f>IF(#REF!,"AAAAAB13M7U=",0)</f>
        <v>#REF!</v>
      </c>
      <c r="GA141" t="e">
        <f>IF(#REF!,"AAAAAB13M7Y=",0)</f>
        <v>#REF!</v>
      </c>
      <c r="GB141" t="e">
        <f>IF(#REF!,"AAAAAB13M7c=",0)</f>
        <v>#REF!</v>
      </c>
      <c r="GC141" t="e">
        <f>IF(#REF!,"AAAAAB13M7g=",0)</f>
        <v>#REF!</v>
      </c>
      <c r="GD141" t="e">
        <f>IF(#REF!,"AAAAAB13M7k=",0)</f>
        <v>#REF!</v>
      </c>
      <c r="GE141" t="e">
        <f>IF(#REF!,"AAAAAB13M7o=",0)</f>
        <v>#REF!</v>
      </c>
      <c r="GF141" t="e">
        <f>IF(#REF!,"AAAAAB13M7s=",0)</f>
        <v>#REF!</v>
      </c>
      <c r="GG141" t="e">
        <f>IF(#REF!,"AAAAAB13M7w=",0)</f>
        <v>#REF!</v>
      </c>
      <c r="GH141" t="e">
        <f>IF(#REF!,"AAAAAB13M70=",0)</f>
        <v>#REF!</v>
      </c>
      <c r="GI141" t="e">
        <f>IF(#REF!,"AAAAAB13M74=",0)</f>
        <v>#REF!</v>
      </c>
      <c r="GJ141" t="e">
        <f>IF(#REF!,"AAAAAB13M78=",0)</f>
        <v>#REF!</v>
      </c>
      <c r="GK141" t="e">
        <f>IF(#REF!,"AAAAAB13M8A=",0)</f>
        <v>#REF!</v>
      </c>
      <c r="GL141" t="e">
        <f>IF(#REF!,"AAAAAB13M8E=",0)</f>
        <v>#REF!</v>
      </c>
      <c r="GM141" t="e">
        <f>IF(#REF!,"AAAAAB13M8I=",0)</f>
        <v>#REF!</v>
      </c>
      <c r="GN141" t="e">
        <f>IF(#REF!,"AAAAAB13M8M=",0)</f>
        <v>#REF!</v>
      </c>
      <c r="GO141" t="e">
        <f>IF(#REF!,"AAAAAB13M8Q=",0)</f>
        <v>#REF!</v>
      </c>
      <c r="GP141" t="e">
        <f>IF(#REF!,"AAAAAB13M8U=",0)</f>
        <v>#REF!</v>
      </c>
      <c r="GQ141" t="e">
        <f>IF(#REF!,"AAAAAB13M8Y=",0)</f>
        <v>#REF!</v>
      </c>
      <c r="GR141" t="e">
        <f>IF(#REF!,"AAAAAB13M8c=",0)</f>
        <v>#REF!</v>
      </c>
      <c r="GS141" t="e">
        <f>IF(#REF!,"AAAAAB13M8g=",0)</f>
        <v>#REF!</v>
      </c>
      <c r="GT141" t="e">
        <f>IF(#REF!,"AAAAAB13M8k=",0)</f>
        <v>#REF!</v>
      </c>
      <c r="GU141" t="e">
        <f>IF(#REF!,"AAAAAB13M8o=",0)</f>
        <v>#REF!</v>
      </c>
      <c r="GV141" t="e">
        <f>IF(#REF!,"AAAAAB13M8s=",0)</f>
        <v>#REF!</v>
      </c>
      <c r="GW141" t="e">
        <f>IF(#REF!,"AAAAAB13M8w=",0)</f>
        <v>#REF!</v>
      </c>
      <c r="GX141" t="e">
        <f>IF(#REF!,"AAAAAB13M80=",0)</f>
        <v>#REF!</v>
      </c>
      <c r="GY141" t="e">
        <f>IF(#REF!,"AAAAAB13M84=",0)</f>
        <v>#REF!</v>
      </c>
      <c r="GZ141" t="e">
        <f>IF(#REF!,"AAAAAB13M88=",0)</f>
        <v>#REF!</v>
      </c>
      <c r="HA141" t="e">
        <f>IF(#REF!,"AAAAAB13M9A=",0)</f>
        <v>#REF!</v>
      </c>
      <c r="HB141" t="e">
        <f>IF(#REF!,"AAAAAB13M9E=",0)</f>
        <v>#REF!</v>
      </c>
      <c r="HC141" t="e">
        <f>IF(#REF!,"AAAAAB13M9I=",0)</f>
        <v>#REF!</v>
      </c>
      <c r="HD141" t="e">
        <f>IF(#REF!,"AAAAAB13M9M=",0)</f>
        <v>#REF!</v>
      </c>
      <c r="HE141" t="e">
        <f>IF(#REF!,"AAAAAB13M9Q=",0)</f>
        <v>#REF!</v>
      </c>
      <c r="HF141" t="e">
        <f>IF(#REF!,"AAAAAB13M9U=",0)</f>
        <v>#REF!</v>
      </c>
      <c r="HG141" t="e">
        <f>IF(#REF!,"AAAAAB13M9Y=",0)</f>
        <v>#REF!</v>
      </c>
      <c r="HH141" t="e">
        <f>IF(#REF!,"AAAAAB13M9c=",0)</f>
        <v>#REF!</v>
      </c>
      <c r="HI141" t="e">
        <f>IF(#REF!,"AAAAAB13M9g=",0)</f>
        <v>#REF!</v>
      </c>
      <c r="HJ141" t="e">
        <f>IF(#REF!,"AAAAAB13M9k=",0)</f>
        <v>#REF!</v>
      </c>
      <c r="HK141" t="e">
        <f>IF(#REF!,"AAAAAB13M9o=",0)</f>
        <v>#REF!</v>
      </c>
      <c r="HL141" t="e">
        <f>IF(#REF!,"AAAAAB13M9s=",0)</f>
        <v>#REF!</v>
      </c>
      <c r="HM141" t="e">
        <f>IF(#REF!,"AAAAAB13M9w=",0)</f>
        <v>#REF!</v>
      </c>
      <c r="HN141" t="e">
        <f>IF(#REF!,"AAAAAB13M90=",0)</f>
        <v>#REF!</v>
      </c>
      <c r="HO141" t="e">
        <f>IF(#REF!,"AAAAAB13M94=",0)</f>
        <v>#REF!</v>
      </c>
      <c r="HP141" t="e">
        <f>IF(#REF!,"AAAAAB13M98=",0)</f>
        <v>#REF!</v>
      </c>
      <c r="HQ141" t="e">
        <f>IF(#REF!,"AAAAAB13M+A=",0)</f>
        <v>#REF!</v>
      </c>
      <c r="HR141" t="e">
        <f>IF(#REF!,"AAAAAB13M+E=",0)</f>
        <v>#REF!</v>
      </c>
      <c r="HS141" t="e">
        <f>IF(#REF!,"AAAAAB13M+I=",0)</f>
        <v>#REF!</v>
      </c>
      <c r="HT141" t="e">
        <f>IF(#REF!,"AAAAAB13M+M=",0)</f>
        <v>#REF!</v>
      </c>
      <c r="HU141" t="e">
        <f>IF(#REF!,"AAAAAB13M+Q=",0)</f>
        <v>#REF!</v>
      </c>
      <c r="HV141" t="e">
        <f>IF(#REF!,"AAAAAB13M+U=",0)</f>
        <v>#REF!</v>
      </c>
      <c r="HW141" t="e">
        <f>IF(#REF!,"AAAAAB13M+Y=",0)</f>
        <v>#REF!</v>
      </c>
      <c r="HX141" t="e">
        <f>IF(#REF!,"AAAAAB13M+c=",0)</f>
        <v>#REF!</v>
      </c>
      <c r="HY141" t="e">
        <f>IF(#REF!,"AAAAAB13M+g=",0)</f>
        <v>#REF!</v>
      </c>
      <c r="HZ141" t="e">
        <f>IF(#REF!,"AAAAAB13M+k=",0)</f>
        <v>#REF!</v>
      </c>
      <c r="IA141" t="e">
        <f>IF(#REF!,"AAAAAB13M+o=",0)</f>
        <v>#REF!</v>
      </c>
      <c r="IB141" t="e">
        <f>IF(#REF!,"AAAAAB13M+s=",0)</f>
        <v>#REF!</v>
      </c>
      <c r="IC141" t="e">
        <f>IF(#REF!,"AAAAAB13M+w=",0)</f>
        <v>#REF!</v>
      </c>
      <c r="ID141" t="e">
        <f>IF(#REF!,"AAAAAB13M+0=",0)</f>
        <v>#REF!</v>
      </c>
      <c r="IE141" t="e">
        <f>IF(#REF!,"AAAAAB13M+4=",0)</f>
        <v>#REF!</v>
      </c>
      <c r="IF141" t="e">
        <f>IF(#REF!,"AAAAAB13M+8=",0)</f>
        <v>#REF!</v>
      </c>
      <c r="IG141" t="e">
        <f>IF(#REF!,"AAAAAB13M/A=",0)</f>
        <v>#REF!</v>
      </c>
      <c r="IH141" t="e">
        <f>IF(#REF!,"AAAAAB13M/E=",0)</f>
        <v>#REF!</v>
      </c>
      <c r="II141" t="e">
        <f>IF(#REF!,"AAAAAB13M/I=",0)</f>
        <v>#REF!</v>
      </c>
      <c r="IJ141" t="e">
        <f>IF(#REF!,"AAAAAB13M/M=",0)</f>
        <v>#REF!</v>
      </c>
      <c r="IK141" t="e">
        <f>IF(#REF!,"AAAAAB13M/Q=",0)</f>
        <v>#REF!</v>
      </c>
      <c r="IL141" t="e">
        <f>IF(#REF!,"AAAAAB13M/U=",0)</f>
        <v>#REF!</v>
      </c>
      <c r="IM141" t="e">
        <f>IF(#REF!,"AAAAAB13M/Y=",0)</f>
        <v>#REF!</v>
      </c>
      <c r="IN141" t="e">
        <f>IF(#REF!,"AAAAAB13M/c=",0)</f>
        <v>#REF!</v>
      </c>
      <c r="IO141" t="e">
        <f>IF(#REF!,"AAAAAB13M/g=",0)</f>
        <v>#REF!</v>
      </c>
      <c r="IP141" t="e">
        <f>IF(#REF!,"AAAAAB13M/k=",0)</f>
        <v>#REF!</v>
      </c>
      <c r="IQ141" t="e">
        <f>IF(#REF!,"AAAAAB13M/o=",0)</f>
        <v>#REF!</v>
      </c>
      <c r="IR141" t="e">
        <f>IF(#REF!,"AAAAAB13M/s=",0)</f>
        <v>#REF!</v>
      </c>
      <c r="IS141" t="e">
        <f>IF(#REF!,"AAAAAB13M/w=",0)</f>
        <v>#REF!</v>
      </c>
      <c r="IT141" t="e">
        <f>IF(#REF!,"AAAAAB13M/0=",0)</f>
        <v>#REF!</v>
      </c>
      <c r="IU141" t="e">
        <f>IF(#REF!,"AAAAAB13M/4=",0)</f>
        <v>#REF!</v>
      </c>
      <c r="IV141" t="e">
        <f>IF(#REF!,"AAAAAB13M/8=",0)</f>
        <v>#REF!</v>
      </c>
    </row>
    <row r="142" spans="1:256">
      <c r="A142" t="e">
        <f>IF(#REF!,"AAAAAB/x3wA=",0)</f>
        <v>#REF!</v>
      </c>
      <c r="B142" t="e">
        <f>IF(#REF!,"AAAAAB/x3wE=",0)</f>
        <v>#REF!</v>
      </c>
      <c r="C142" t="e">
        <f>IF(#REF!,"AAAAAB/x3wI=",0)</f>
        <v>#REF!</v>
      </c>
      <c r="D142" t="e">
        <f>IF(#REF!,"AAAAAB/x3wM=",0)</f>
        <v>#REF!</v>
      </c>
      <c r="E142" t="e">
        <f>IF(#REF!,"AAAAAB/x3wQ=",0)</f>
        <v>#REF!</v>
      </c>
      <c r="F142" t="e">
        <f>IF(#REF!,"AAAAAB/x3wU=",0)</f>
        <v>#REF!</v>
      </c>
      <c r="G142" t="e">
        <f>IF(#REF!,"AAAAAB/x3wY=",0)</f>
        <v>#REF!</v>
      </c>
      <c r="H142" t="e">
        <f>IF(#REF!,"AAAAAB/x3wc=",0)</f>
        <v>#REF!</v>
      </c>
      <c r="I142" t="e">
        <f>IF(#REF!,"AAAAAB/x3wg=",0)</f>
        <v>#REF!</v>
      </c>
      <c r="J142" t="e">
        <f>IF(#REF!,"AAAAAB/x3wk=",0)</f>
        <v>#REF!</v>
      </c>
      <c r="K142" t="e">
        <f>IF(#REF!,"AAAAAB/x3wo=",0)</f>
        <v>#REF!</v>
      </c>
      <c r="L142" t="e">
        <f>IF(#REF!,"AAAAAB/x3ws=",0)</f>
        <v>#REF!</v>
      </c>
      <c r="M142" t="e">
        <f>IF(#REF!,"AAAAAB/x3ww=",0)</f>
        <v>#REF!</v>
      </c>
      <c r="N142" t="e">
        <f>IF(#REF!,"AAAAAB/x3w0=",0)</f>
        <v>#REF!</v>
      </c>
      <c r="O142" t="e">
        <f>IF(#REF!,"AAAAAB/x3w4=",0)</f>
        <v>#REF!</v>
      </c>
      <c r="P142" t="e">
        <f>IF(#REF!,"AAAAAB/x3w8=",0)</f>
        <v>#REF!</v>
      </c>
      <c r="Q142" t="e">
        <f>IF(#REF!,"AAAAAB/x3xA=",0)</f>
        <v>#REF!</v>
      </c>
      <c r="R142" t="e">
        <f>IF(#REF!,"AAAAAB/x3xE=",0)</f>
        <v>#REF!</v>
      </c>
      <c r="S142" t="e">
        <f>IF(#REF!,"AAAAAB/x3xI=",0)</f>
        <v>#REF!</v>
      </c>
      <c r="T142" t="e">
        <f>IF(#REF!,"AAAAAB/x3xM=",0)</f>
        <v>#REF!</v>
      </c>
      <c r="U142" t="e">
        <f>IF(#REF!,"AAAAAB/x3xQ=",0)</f>
        <v>#REF!</v>
      </c>
      <c r="V142" t="e">
        <f>IF(#REF!,"AAAAAB/x3xU=",0)</f>
        <v>#REF!</v>
      </c>
      <c r="W142" t="e">
        <f>IF(#REF!,"AAAAAB/x3xY=",0)</f>
        <v>#REF!</v>
      </c>
      <c r="X142" t="e">
        <f>IF(#REF!,"AAAAAB/x3xc=",0)</f>
        <v>#REF!</v>
      </c>
      <c r="Y142" t="e">
        <f>IF(#REF!,"AAAAAB/x3xg=",0)</f>
        <v>#REF!</v>
      </c>
      <c r="Z142" t="e">
        <f>IF(#REF!,"AAAAAB/x3xk=",0)</f>
        <v>#REF!</v>
      </c>
      <c r="AA142" t="e">
        <f>IF(#REF!,"AAAAAB/x3xo=",0)</f>
        <v>#REF!</v>
      </c>
      <c r="AB142" t="e">
        <f>IF(#REF!,"AAAAAB/x3xs=",0)</f>
        <v>#REF!</v>
      </c>
      <c r="AC142" t="e">
        <f>IF(#REF!,"AAAAAB/x3xw=",0)</f>
        <v>#REF!</v>
      </c>
      <c r="AD142" t="e">
        <f>IF(#REF!,"AAAAAB/x3x0=",0)</f>
        <v>#REF!</v>
      </c>
      <c r="AE142" t="e">
        <f>IF(#REF!,"AAAAAB/x3x4=",0)</f>
        <v>#REF!</v>
      </c>
      <c r="AF142" t="e">
        <f>IF(#REF!,"AAAAAB/x3x8=",0)</f>
        <v>#REF!</v>
      </c>
      <c r="AG142" t="e">
        <f>IF(#REF!,"AAAAAB/x3yA=",0)</f>
        <v>#REF!</v>
      </c>
      <c r="AH142" t="e">
        <f>IF(#REF!,"AAAAAB/x3yE=",0)</f>
        <v>#REF!</v>
      </c>
      <c r="AI142" t="e">
        <f>IF(#REF!,"AAAAAB/x3yI=",0)</f>
        <v>#REF!</v>
      </c>
      <c r="AJ142" t="e">
        <f>IF(#REF!,"AAAAAB/x3yM=",0)</f>
        <v>#REF!</v>
      </c>
      <c r="AK142" t="e">
        <f>IF(#REF!,"AAAAAB/x3yQ=",0)</f>
        <v>#REF!</v>
      </c>
      <c r="AL142" t="e">
        <f>IF(#REF!,"AAAAAB/x3yU=",0)</f>
        <v>#REF!</v>
      </c>
      <c r="AM142" t="e">
        <f>IF(#REF!,"AAAAAB/x3yY=",0)</f>
        <v>#REF!</v>
      </c>
      <c r="AN142" t="e">
        <f>IF(#REF!,"AAAAAB/x3yc=",0)</f>
        <v>#REF!</v>
      </c>
      <c r="AO142" t="e">
        <f>IF(#REF!,"AAAAAB/x3yg=",0)</f>
        <v>#REF!</v>
      </c>
      <c r="AP142" t="e">
        <f>IF(#REF!,"AAAAAB/x3yk=",0)</f>
        <v>#REF!</v>
      </c>
      <c r="AQ142" t="e">
        <f>IF(#REF!,"AAAAAB/x3yo=",0)</f>
        <v>#REF!</v>
      </c>
      <c r="AR142" t="e">
        <f>IF(#REF!,"AAAAAB/x3ys=",0)</f>
        <v>#REF!</v>
      </c>
      <c r="AS142" t="e">
        <f>IF(#REF!,"AAAAAB/x3yw=",0)</f>
        <v>#REF!</v>
      </c>
      <c r="AT142" t="e">
        <f>IF(#REF!,"AAAAAB/x3y0=",0)</f>
        <v>#REF!</v>
      </c>
      <c r="AU142" t="e">
        <f>IF(#REF!,"AAAAAB/x3y4=",0)</f>
        <v>#REF!</v>
      </c>
      <c r="AV142" t="e">
        <f>IF(#REF!,"AAAAAB/x3y8=",0)</f>
        <v>#REF!</v>
      </c>
      <c r="AW142" t="e">
        <f>IF(#REF!,"AAAAAB/x3zA=",0)</f>
        <v>#REF!</v>
      </c>
      <c r="AX142" t="e">
        <f>IF(#REF!,"AAAAAB/x3zE=",0)</f>
        <v>#REF!</v>
      </c>
      <c r="AY142" t="e">
        <f>IF(#REF!,"AAAAAB/x3zI=",0)</f>
        <v>#REF!</v>
      </c>
      <c r="AZ142" t="e">
        <f>IF(#REF!,"AAAAAB/x3zM=",0)</f>
        <v>#REF!</v>
      </c>
      <c r="BA142" t="e">
        <f>IF(#REF!,"AAAAAB/x3zQ=",0)</f>
        <v>#REF!</v>
      </c>
      <c r="BB142" t="e">
        <f>IF(#REF!,"AAAAAB/x3zU=",0)</f>
        <v>#REF!</v>
      </c>
      <c r="BC142" t="e">
        <f>IF(#REF!,"AAAAAB/x3zY=",0)</f>
        <v>#REF!</v>
      </c>
      <c r="BD142" t="e">
        <f>IF(#REF!,"AAAAAB/x3zc=",0)</f>
        <v>#REF!</v>
      </c>
      <c r="BE142" t="e">
        <f>IF(#REF!,"AAAAAB/x3zg=",0)</f>
        <v>#REF!</v>
      </c>
      <c r="BF142" t="e">
        <f>IF(#REF!,"AAAAAB/x3zk=",0)</f>
        <v>#REF!</v>
      </c>
      <c r="BG142" t="e">
        <f>IF(#REF!,"AAAAAB/x3zo=",0)</f>
        <v>#REF!</v>
      </c>
      <c r="BH142" t="e">
        <f>IF(#REF!,"AAAAAB/x3zs=",0)</f>
        <v>#REF!</v>
      </c>
      <c r="BI142" t="e">
        <f>IF(#REF!,"AAAAAB/x3zw=",0)</f>
        <v>#REF!</v>
      </c>
      <c r="BJ142" t="e">
        <f>IF(#REF!,"AAAAAB/x3z0=",0)</f>
        <v>#REF!</v>
      </c>
      <c r="BK142" t="e">
        <f>IF(#REF!,"AAAAAB/x3z4=",0)</f>
        <v>#REF!</v>
      </c>
      <c r="BL142" t="e">
        <f>IF(#REF!,"AAAAAB/x3z8=",0)</f>
        <v>#REF!</v>
      </c>
      <c r="BM142" t="e">
        <f>IF(#REF!,"AAAAAB/x30A=",0)</f>
        <v>#REF!</v>
      </c>
      <c r="BN142" t="e">
        <f>IF(#REF!,"AAAAAB/x30E=",0)</f>
        <v>#REF!</v>
      </c>
      <c r="BO142" t="e">
        <f>IF(#REF!,"AAAAAB/x30I=",0)</f>
        <v>#REF!</v>
      </c>
      <c r="BP142" t="e">
        <f>IF(#REF!,"AAAAAB/x30M=",0)</f>
        <v>#REF!</v>
      </c>
      <c r="BQ142" t="e">
        <f>IF(#REF!,"AAAAAB/x30Q=",0)</f>
        <v>#REF!</v>
      </c>
      <c r="BR142" t="e">
        <f>IF(#REF!,"AAAAAB/x30U=",0)</f>
        <v>#REF!</v>
      </c>
      <c r="BS142" t="e">
        <f>IF(#REF!,"AAAAAB/x30Y=",0)</f>
        <v>#REF!</v>
      </c>
      <c r="BT142" t="e">
        <f>IF(#REF!,"AAAAAB/x30c=",0)</f>
        <v>#REF!</v>
      </c>
      <c r="BU142" t="e">
        <f>IF(#REF!,"AAAAAB/x30g=",0)</f>
        <v>#REF!</v>
      </c>
      <c r="BV142" t="e">
        <f>IF(#REF!,"AAAAAB/x30k=",0)</f>
        <v>#REF!</v>
      </c>
      <c r="BW142" t="e">
        <f>IF(#REF!,"AAAAAB/x30o=",0)</f>
        <v>#REF!</v>
      </c>
      <c r="BX142" t="e">
        <f>IF(#REF!,"AAAAAB/x30s=",0)</f>
        <v>#REF!</v>
      </c>
      <c r="BY142" t="e">
        <f>IF(#REF!,"AAAAAB/x30w=",0)</f>
        <v>#REF!</v>
      </c>
      <c r="BZ142" t="e">
        <f>IF(#REF!,"AAAAAB/x300=",0)</f>
        <v>#REF!</v>
      </c>
      <c r="CA142" t="e">
        <f>IF(#REF!,"AAAAAB/x304=",0)</f>
        <v>#REF!</v>
      </c>
      <c r="CB142" t="e">
        <f>IF(#REF!,"AAAAAB/x308=",0)</f>
        <v>#REF!</v>
      </c>
      <c r="CC142" t="e">
        <f>IF(#REF!,"AAAAAB/x31A=",0)</f>
        <v>#REF!</v>
      </c>
      <c r="CD142" t="e">
        <f>IF(#REF!,"AAAAAB/x31E=",0)</f>
        <v>#REF!</v>
      </c>
      <c r="CE142" t="e">
        <f>IF(#REF!,"AAAAAB/x31I=",0)</f>
        <v>#REF!</v>
      </c>
      <c r="CF142" t="e">
        <f>IF(#REF!,"AAAAAB/x31M=",0)</f>
        <v>#REF!</v>
      </c>
      <c r="CG142" t="e">
        <f>IF(#REF!,"AAAAAB/x31Q=",0)</f>
        <v>#REF!</v>
      </c>
      <c r="CH142" t="e">
        <f>IF(#REF!,"AAAAAB/x31U=",0)</f>
        <v>#REF!</v>
      </c>
      <c r="CI142" t="e">
        <f>IF(#REF!,"AAAAAB/x31Y=",0)</f>
        <v>#REF!</v>
      </c>
      <c r="CJ142" t="e">
        <f>IF(#REF!,"AAAAAB/x31c=",0)</f>
        <v>#REF!</v>
      </c>
      <c r="CK142" t="e">
        <f>IF(#REF!,"AAAAAB/x31g=",0)</f>
        <v>#REF!</v>
      </c>
      <c r="CL142" t="e">
        <f>IF(#REF!,"AAAAAB/x31k=",0)</f>
        <v>#REF!</v>
      </c>
      <c r="CM142" t="e">
        <f>IF(#REF!,"AAAAAB/x31o=",0)</f>
        <v>#REF!</v>
      </c>
      <c r="CN142" t="e">
        <f>IF(#REF!,"AAAAAB/x31s=",0)</f>
        <v>#REF!</v>
      </c>
      <c r="CO142" t="e">
        <f>IF(#REF!,"AAAAAB/x31w=",0)</f>
        <v>#REF!</v>
      </c>
      <c r="CP142" t="e">
        <f>IF(#REF!,"AAAAAB/x310=",0)</f>
        <v>#REF!</v>
      </c>
      <c r="CQ142" t="e">
        <f>IF(#REF!,"AAAAAB/x314=",0)</f>
        <v>#REF!</v>
      </c>
      <c r="CR142" t="e">
        <f>IF(#REF!,"AAAAAB/x318=",0)</f>
        <v>#REF!</v>
      </c>
      <c r="CS142" t="e">
        <f>IF(#REF!,"AAAAAB/x32A=",0)</f>
        <v>#REF!</v>
      </c>
      <c r="CT142" t="e">
        <f>IF(#REF!,"AAAAAB/x32E=",0)</f>
        <v>#REF!</v>
      </c>
      <c r="CU142" t="e">
        <f>IF(#REF!,"AAAAAB/x32I=",0)</f>
        <v>#REF!</v>
      </c>
      <c r="CV142" t="e">
        <f>IF(#REF!,"AAAAAB/x32M=",0)</f>
        <v>#REF!</v>
      </c>
      <c r="CW142" t="e">
        <f>IF(#REF!,"AAAAAB/x32Q=",0)</f>
        <v>#REF!</v>
      </c>
      <c r="CX142" t="e">
        <f>IF(#REF!,"AAAAAB/x32U=",0)</f>
        <v>#REF!</v>
      </c>
      <c r="CY142" t="e">
        <f>IF(#REF!,"AAAAAB/x32Y=",0)</f>
        <v>#REF!</v>
      </c>
      <c r="CZ142" t="e">
        <f>IF(#REF!,"AAAAAB/x32c=",0)</f>
        <v>#REF!</v>
      </c>
      <c r="DA142" t="e">
        <f>IF(#REF!,"AAAAAB/x32g=",0)</f>
        <v>#REF!</v>
      </c>
      <c r="DB142" t="e">
        <f>IF(#REF!,"AAAAAB/x32k=",0)</f>
        <v>#REF!</v>
      </c>
      <c r="DC142" t="e">
        <f>IF(#REF!,"AAAAAB/x32o=",0)</f>
        <v>#REF!</v>
      </c>
      <c r="DD142" t="e">
        <f>IF(#REF!,"AAAAAB/x32s=",0)</f>
        <v>#REF!</v>
      </c>
      <c r="DE142" t="e">
        <f>IF(#REF!,"AAAAAB/x32w=",0)</f>
        <v>#REF!</v>
      </c>
      <c r="DF142" t="e">
        <f>IF(#REF!,"AAAAAB/x320=",0)</f>
        <v>#REF!</v>
      </c>
      <c r="DG142" t="e">
        <f>IF(#REF!,"AAAAAB/x324=",0)</f>
        <v>#REF!</v>
      </c>
      <c r="DH142" t="e">
        <f>IF(#REF!,"AAAAAB/x328=",0)</f>
        <v>#REF!</v>
      </c>
      <c r="DI142" t="e">
        <f>IF(#REF!,"AAAAAB/x33A=",0)</f>
        <v>#REF!</v>
      </c>
      <c r="DJ142" t="e">
        <f>IF(#REF!,"AAAAAB/x33E=",0)</f>
        <v>#REF!</v>
      </c>
      <c r="DK142" t="e">
        <f>IF(#REF!,"AAAAAB/x33I=",0)</f>
        <v>#REF!</v>
      </c>
      <c r="DL142" t="e">
        <f>IF(#REF!,"AAAAAB/x33M=",0)</f>
        <v>#REF!</v>
      </c>
      <c r="DM142" t="e">
        <f>IF(#REF!,"AAAAAB/x33Q=",0)</f>
        <v>#REF!</v>
      </c>
      <c r="DN142" t="e">
        <f>IF(#REF!,"AAAAAB/x33U=",0)</f>
        <v>#REF!</v>
      </c>
      <c r="DO142" t="e">
        <f>IF(#REF!,"AAAAAB/x33Y=",0)</f>
        <v>#REF!</v>
      </c>
      <c r="DP142" t="e">
        <f>IF(#REF!,"AAAAAB/x33c=",0)</f>
        <v>#REF!</v>
      </c>
      <c r="DQ142" t="e">
        <f>IF(#REF!,"AAAAAB/x33g=",0)</f>
        <v>#REF!</v>
      </c>
      <c r="DR142" t="e">
        <f>IF(#REF!,"AAAAAB/x33k=",0)</f>
        <v>#REF!</v>
      </c>
      <c r="DS142" t="e">
        <f>IF(#REF!,"AAAAAB/x33o=",0)</f>
        <v>#REF!</v>
      </c>
      <c r="DT142" t="e">
        <f>IF(#REF!,"AAAAAB/x33s=",0)</f>
        <v>#REF!</v>
      </c>
      <c r="DU142" t="e">
        <f>IF(#REF!,"AAAAAB/x33w=",0)</f>
        <v>#REF!</v>
      </c>
      <c r="DV142" t="e">
        <f>IF(#REF!,"AAAAAB/x330=",0)</f>
        <v>#REF!</v>
      </c>
      <c r="DW142" t="e">
        <f>IF(#REF!,"AAAAAB/x334=",0)</f>
        <v>#REF!</v>
      </c>
      <c r="DX142" t="e">
        <f>IF(#REF!,"AAAAAB/x338=",0)</f>
        <v>#REF!</v>
      </c>
      <c r="DY142" t="e">
        <f>IF(#REF!,"AAAAAB/x34A=",0)</f>
        <v>#REF!</v>
      </c>
      <c r="DZ142" t="e">
        <f>IF(#REF!,"AAAAAB/x34E=",0)</f>
        <v>#REF!</v>
      </c>
      <c r="EA142" t="e">
        <f>IF(#REF!,"AAAAAB/x34I=",0)</f>
        <v>#REF!</v>
      </c>
      <c r="EB142" t="e">
        <f>IF(#REF!,"AAAAAB/x34M=",0)</f>
        <v>#REF!</v>
      </c>
      <c r="EC142" t="e">
        <f>IF(#REF!,"AAAAAB/x34Q=",0)</f>
        <v>#REF!</v>
      </c>
      <c r="ED142" t="e">
        <f>IF(#REF!,"AAAAAB/x34U=",0)</f>
        <v>#REF!</v>
      </c>
      <c r="EE142" t="e">
        <f>IF(#REF!,"AAAAAB/x34Y=",0)</f>
        <v>#REF!</v>
      </c>
      <c r="EF142" t="e">
        <f>IF(#REF!,"AAAAAB/x34c=",0)</f>
        <v>#REF!</v>
      </c>
      <c r="EG142" t="e">
        <f>IF(#REF!,"AAAAAB/x34g=",0)</f>
        <v>#REF!</v>
      </c>
      <c r="EH142" t="e">
        <f>IF(#REF!,"AAAAAB/x34k=",0)</f>
        <v>#REF!</v>
      </c>
      <c r="EI142" t="e">
        <f>IF(#REF!,"AAAAAB/x34o=",0)</f>
        <v>#REF!</v>
      </c>
      <c r="EJ142" t="e">
        <f>IF(#REF!,"AAAAAB/x34s=",0)</f>
        <v>#REF!</v>
      </c>
      <c r="EK142" t="e">
        <f>IF(#REF!,"AAAAAB/x34w=",0)</f>
        <v>#REF!</v>
      </c>
      <c r="EL142" t="e">
        <f>IF(#REF!,"AAAAAB/x340=",0)</f>
        <v>#REF!</v>
      </c>
      <c r="EM142" t="e">
        <f>IF(#REF!,"AAAAAB/x344=",0)</f>
        <v>#REF!</v>
      </c>
      <c r="EN142" t="e">
        <f>IF(#REF!,"AAAAAB/x348=",0)</f>
        <v>#REF!</v>
      </c>
      <c r="EO142" t="e">
        <f>IF(#REF!,"AAAAAB/x35A=",0)</f>
        <v>#REF!</v>
      </c>
      <c r="EP142" t="e">
        <f>IF(#REF!,"AAAAAB/x35E=",0)</f>
        <v>#REF!</v>
      </c>
      <c r="EQ142" t="e">
        <f>IF(#REF!,"AAAAAB/x35I=",0)</f>
        <v>#REF!</v>
      </c>
      <c r="ER142" t="e">
        <f>IF(#REF!,"AAAAAB/x35M=",0)</f>
        <v>#REF!</v>
      </c>
      <c r="ES142" t="e">
        <f>IF(#REF!,"AAAAAB/x35Q=",0)</f>
        <v>#REF!</v>
      </c>
      <c r="ET142" t="e">
        <f>IF(#REF!,"AAAAAB/x35U=",0)</f>
        <v>#REF!</v>
      </c>
      <c r="EU142" t="e">
        <f>IF(#REF!,"AAAAAB/x35Y=",0)</f>
        <v>#REF!</v>
      </c>
      <c r="EV142" t="e">
        <f>IF(#REF!,"AAAAAB/x35c=",0)</f>
        <v>#REF!</v>
      </c>
      <c r="EW142" t="e">
        <f>IF(#REF!,"AAAAAB/x35g=",0)</f>
        <v>#REF!</v>
      </c>
      <c r="EX142" t="e">
        <f>IF(#REF!,"AAAAAB/x35k=",0)</f>
        <v>#REF!</v>
      </c>
      <c r="EY142" t="e">
        <f>IF(#REF!,"AAAAAB/x35o=",0)</f>
        <v>#REF!</v>
      </c>
      <c r="EZ142" t="e">
        <f>IF(#REF!,"AAAAAB/x35s=",0)</f>
        <v>#REF!</v>
      </c>
      <c r="FA142" t="e">
        <f>IF(#REF!,"AAAAAB/x35w=",0)</f>
        <v>#REF!</v>
      </c>
      <c r="FB142" t="e">
        <f>IF(#REF!,"AAAAAB/x350=",0)</f>
        <v>#REF!</v>
      </c>
      <c r="FC142" t="e">
        <f>IF(#REF!,"AAAAAB/x354=",0)</f>
        <v>#REF!</v>
      </c>
      <c r="FD142" t="e">
        <f>IF(#REF!,"AAAAAB/x358=",0)</f>
        <v>#REF!</v>
      </c>
      <c r="FE142" t="e">
        <f>IF(#REF!,"AAAAAB/x36A=",0)</f>
        <v>#REF!</v>
      </c>
      <c r="FF142" t="e">
        <f>IF(#REF!,"AAAAAB/x36E=",0)</f>
        <v>#REF!</v>
      </c>
      <c r="FG142" t="e">
        <f>IF(#REF!,"AAAAAB/x36I=",0)</f>
        <v>#REF!</v>
      </c>
      <c r="FH142" t="e">
        <f>IF(#REF!,"AAAAAB/x36M=",0)</f>
        <v>#REF!</v>
      </c>
      <c r="FI142" t="e">
        <f>IF(#REF!,"AAAAAB/x36Q=",0)</f>
        <v>#REF!</v>
      </c>
      <c r="FJ142" t="e">
        <f>IF(#REF!,"AAAAAB/x36U=",0)</f>
        <v>#REF!</v>
      </c>
      <c r="FK142" t="e">
        <f>IF(#REF!,"AAAAAB/x36Y=",0)</f>
        <v>#REF!</v>
      </c>
      <c r="FL142" t="e">
        <f>IF(#REF!,"AAAAAB/x36c=",0)</f>
        <v>#REF!</v>
      </c>
      <c r="FM142" t="e">
        <f>IF(#REF!,"AAAAAB/x36g=",0)</f>
        <v>#REF!</v>
      </c>
      <c r="FN142" t="e">
        <f>IF(#REF!,"AAAAAB/x36k=",0)</f>
        <v>#REF!</v>
      </c>
      <c r="FO142" t="e">
        <f>IF(#REF!,"AAAAAB/x36o=",0)</f>
        <v>#REF!</v>
      </c>
      <c r="FP142" t="e">
        <f>IF(#REF!,"AAAAAB/x36s=",0)</f>
        <v>#REF!</v>
      </c>
      <c r="FQ142" t="e">
        <f>IF(#REF!,"AAAAAB/x36w=",0)</f>
        <v>#REF!</v>
      </c>
      <c r="FR142" t="e">
        <f>IF(#REF!,"AAAAAB/x360=",0)</f>
        <v>#REF!</v>
      </c>
      <c r="FS142" t="e">
        <f>IF(#REF!,"AAAAAB/x364=",0)</f>
        <v>#REF!</v>
      </c>
      <c r="FT142" t="e">
        <f>IF(#REF!,"AAAAAB/x368=",0)</f>
        <v>#REF!</v>
      </c>
      <c r="FU142" t="e">
        <f>IF(#REF!,"AAAAAB/x37A=",0)</f>
        <v>#REF!</v>
      </c>
      <c r="FV142" t="e">
        <f>IF(#REF!,"AAAAAB/x37E=",0)</f>
        <v>#REF!</v>
      </c>
      <c r="FW142" t="e">
        <f>IF(#REF!,"AAAAAB/x37I=",0)</f>
        <v>#REF!</v>
      </c>
      <c r="FX142" t="e">
        <f>IF(#REF!,"AAAAAB/x37M=",0)</f>
        <v>#REF!</v>
      </c>
      <c r="FY142" t="e">
        <f>IF(#REF!,"AAAAAB/x37Q=",0)</f>
        <v>#REF!</v>
      </c>
      <c r="FZ142" t="e">
        <f>IF(#REF!,"AAAAAB/x37U=",0)</f>
        <v>#REF!</v>
      </c>
      <c r="GA142" t="e">
        <f>IF(#REF!,"AAAAAB/x37Y=",0)</f>
        <v>#REF!</v>
      </c>
      <c r="GB142" t="e">
        <f>IF(#REF!,"AAAAAB/x37c=",0)</f>
        <v>#REF!</v>
      </c>
      <c r="GC142" t="e">
        <f>IF(#REF!,"AAAAAB/x37g=",0)</f>
        <v>#REF!</v>
      </c>
      <c r="GD142" t="e">
        <f>IF(#REF!,"AAAAAB/x37k=",0)</f>
        <v>#REF!</v>
      </c>
      <c r="GE142" t="e">
        <f>IF(#REF!,"AAAAAB/x37o=",0)</f>
        <v>#REF!</v>
      </c>
      <c r="GF142" t="e">
        <f>IF(#REF!,"AAAAAB/x37s=",0)</f>
        <v>#REF!</v>
      </c>
      <c r="GG142" t="e">
        <f>IF(#REF!,"AAAAAB/x37w=",0)</f>
        <v>#REF!</v>
      </c>
      <c r="GH142" t="e">
        <f>IF(#REF!,"AAAAAB/x370=",0)</f>
        <v>#REF!</v>
      </c>
      <c r="GI142" t="e">
        <f>IF(#REF!,"AAAAAB/x374=",0)</f>
        <v>#REF!</v>
      </c>
      <c r="GJ142" t="e">
        <f>IF(#REF!,"AAAAAB/x378=",0)</f>
        <v>#REF!</v>
      </c>
      <c r="GK142" t="e">
        <f>IF(#REF!,"AAAAAB/x38A=",0)</f>
        <v>#REF!</v>
      </c>
      <c r="GL142" t="e">
        <f>IF(#REF!,"AAAAAB/x38E=",0)</f>
        <v>#REF!</v>
      </c>
      <c r="GM142" t="e">
        <f>IF(#REF!,"AAAAAB/x38I=",0)</f>
        <v>#REF!</v>
      </c>
      <c r="GN142" t="e">
        <f>IF(#REF!,"AAAAAB/x38M=",0)</f>
        <v>#REF!</v>
      </c>
      <c r="GO142" t="e">
        <f>IF(#REF!,"AAAAAB/x38Q=",0)</f>
        <v>#REF!</v>
      </c>
      <c r="GP142" t="e">
        <f>IF(#REF!,"AAAAAB/x38U=",0)</f>
        <v>#REF!</v>
      </c>
      <c r="GQ142" t="e">
        <f>IF(#REF!,"AAAAAB/x38Y=",0)</f>
        <v>#REF!</v>
      </c>
      <c r="GR142" t="e">
        <f>IF(#REF!,"AAAAAB/x38c=",0)</f>
        <v>#REF!</v>
      </c>
      <c r="GS142" t="e">
        <f>IF(#REF!,"AAAAAB/x38g=",0)</f>
        <v>#REF!</v>
      </c>
      <c r="GT142" t="e">
        <f>IF(#REF!,"AAAAAB/x38k=",0)</f>
        <v>#REF!</v>
      </c>
      <c r="GU142" t="e">
        <f>IF(#REF!,"AAAAAB/x38o=",0)</f>
        <v>#REF!</v>
      </c>
      <c r="GV142" t="e">
        <f>IF(#REF!,"AAAAAB/x38s=",0)</f>
        <v>#REF!</v>
      </c>
      <c r="GW142" t="e">
        <f>IF(#REF!,"AAAAAB/x38w=",0)</f>
        <v>#REF!</v>
      </c>
      <c r="GX142" t="e">
        <f>IF(#REF!,"AAAAAB/x380=",0)</f>
        <v>#REF!</v>
      </c>
      <c r="GY142" t="e">
        <f>IF(#REF!,"AAAAAB/x384=",0)</f>
        <v>#REF!</v>
      </c>
      <c r="GZ142" t="e">
        <f>IF(#REF!,"AAAAAB/x388=",0)</f>
        <v>#REF!</v>
      </c>
      <c r="HA142" t="e">
        <f>IF(#REF!,"AAAAAB/x39A=",0)</f>
        <v>#REF!</v>
      </c>
      <c r="HB142" t="e">
        <f>IF(#REF!,"AAAAAB/x39E=",0)</f>
        <v>#REF!</v>
      </c>
      <c r="HC142" t="e">
        <f>IF(#REF!,"AAAAAB/x39I=",0)</f>
        <v>#REF!</v>
      </c>
      <c r="HD142" t="e">
        <f>IF(#REF!,"AAAAAB/x39M=",0)</f>
        <v>#REF!</v>
      </c>
      <c r="HE142" t="e">
        <f>IF(#REF!,"AAAAAB/x39Q=",0)</f>
        <v>#REF!</v>
      </c>
      <c r="HF142" t="e">
        <f>IF(#REF!,"AAAAAB/x39U=",0)</f>
        <v>#REF!</v>
      </c>
      <c r="HG142" t="e">
        <f>IF(#REF!,"AAAAAB/x39Y=",0)</f>
        <v>#REF!</v>
      </c>
      <c r="HH142" t="e">
        <f>IF(#REF!,"AAAAAB/x39c=",0)</f>
        <v>#REF!</v>
      </c>
      <c r="HI142" t="e">
        <f>IF(#REF!,"AAAAAB/x39g=",0)</f>
        <v>#REF!</v>
      </c>
      <c r="HJ142" t="e">
        <f>IF(#REF!,"AAAAAB/x39k=",0)</f>
        <v>#REF!</v>
      </c>
      <c r="HK142" t="e">
        <f>IF(#REF!,"AAAAAB/x39o=",0)</f>
        <v>#REF!</v>
      </c>
      <c r="HL142" t="e">
        <f>IF(#REF!,"AAAAAB/x39s=",0)</f>
        <v>#REF!</v>
      </c>
      <c r="HM142" t="e">
        <f>IF(#REF!,"AAAAAB/x39w=",0)</f>
        <v>#REF!</v>
      </c>
      <c r="HN142" t="e">
        <f>IF(#REF!,"AAAAAB/x390=",0)</f>
        <v>#REF!</v>
      </c>
      <c r="HO142" t="e">
        <f>IF(#REF!,"AAAAAB/x394=",0)</f>
        <v>#REF!</v>
      </c>
      <c r="HP142" t="e">
        <f>IF(#REF!,"AAAAAB/x398=",0)</f>
        <v>#REF!</v>
      </c>
      <c r="HQ142" t="e">
        <f>IF(#REF!,"AAAAAB/x3+A=",0)</f>
        <v>#REF!</v>
      </c>
      <c r="HR142" t="e">
        <f>IF(#REF!,"AAAAAB/x3+E=",0)</f>
        <v>#REF!</v>
      </c>
      <c r="HS142" t="e">
        <f>IF(#REF!,"AAAAAB/x3+I=",0)</f>
        <v>#REF!</v>
      </c>
      <c r="HT142" t="e">
        <f>IF(#REF!,"AAAAAB/x3+M=",0)</f>
        <v>#REF!</v>
      </c>
      <c r="HU142" t="e">
        <f>IF(#REF!,"AAAAAB/x3+Q=",0)</f>
        <v>#REF!</v>
      </c>
      <c r="HV142" t="e">
        <f>IF(#REF!,"AAAAAB/x3+U=",0)</f>
        <v>#REF!</v>
      </c>
      <c r="HW142" t="e">
        <f>IF(#REF!,"AAAAAB/x3+Y=",0)</f>
        <v>#REF!</v>
      </c>
      <c r="HX142" t="e">
        <f>IF(#REF!,"AAAAAB/x3+c=",0)</f>
        <v>#REF!</v>
      </c>
      <c r="HY142" t="e">
        <f>IF(#REF!,"AAAAAB/x3+g=",0)</f>
        <v>#REF!</v>
      </c>
      <c r="HZ142" t="e">
        <f>IF(#REF!,"AAAAAB/x3+k=",0)</f>
        <v>#REF!</v>
      </c>
      <c r="IA142" t="e">
        <f>IF(#REF!,"AAAAAB/x3+o=",0)</f>
        <v>#REF!</v>
      </c>
      <c r="IB142" t="e">
        <f>IF(#REF!,"AAAAAB/x3+s=",0)</f>
        <v>#REF!</v>
      </c>
      <c r="IC142" t="e">
        <f>IF(#REF!,"AAAAAB/x3+w=",0)</f>
        <v>#REF!</v>
      </c>
      <c r="ID142" t="e">
        <f>IF(#REF!,"AAAAAB/x3+0=",0)</f>
        <v>#REF!</v>
      </c>
      <c r="IE142" t="e">
        <f>IF(#REF!,"AAAAAB/x3+4=",0)</f>
        <v>#REF!</v>
      </c>
      <c r="IF142" t="e">
        <f>IF(#REF!,"AAAAAB/x3+8=",0)</f>
        <v>#REF!</v>
      </c>
      <c r="IG142" t="e">
        <f>IF(#REF!,"AAAAAB/x3/A=",0)</f>
        <v>#REF!</v>
      </c>
      <c r="IH142" t="e">
        <f>IF(#REF!,"AAAAAB/x3/E=",0)</f>
        <v>#REF!</v>
      </c>
      <c r="II142" t="e">
        <f>IF(#REF!,"AAAAAB/x3/I=",0)</f>
        <v>#REF!</v>
      </c>
      <c r="IJ142" t="e">
        <f>IF(#REF!,"AAAAAB/x3/M=",0)</f>
        <v>#REF!</v>
      </c>
      <c r="IK142" t="e">
        <f>IF(#REF!,"AAAAAB/x3/Q=",0)</f>
        <v>#REF!</v>
      </c>
      <c r="IL142" t="e">
        <f>IF(#REF!,"AAAAAB/x3/U=",0)</f>
        <v>#REF!</v>
      </c>
      <c r="IM142" t="e">
        <f>IF(#REF!,"AAAAAB/x3/Y=",0)</f>
        <v>#REF!</v>
      </c>
      <c r="IN142" t="e">
        <f>IF(#REF!,"AAAAAB/x3/c=",0)</f>
        <v>#REF!</v>
      </c>
      <c r="IO142" t="e">
        <f>IF(#REF!,"AAAAAB/x3/g=",0)</f>
        <v>#REF!</v>
      </c>
      <c r="IP142" t="e">
        <f>IF(#REF!,"AAAAAB/x3/k=",0)</f>
        <v>#REF!</v>
      </c>
      <c r="IQ142" t="e">
        <f>IF(#REF!,"AAAAAB/x3/o=",0)</f>
        <v>#REF!</v>
      </c>
      <c r="IR142" t="e">
        <f>IF(#REF!,"AAAAAB/x3/s=",0)</f>
        <v>#REF!</v>
      </c>
      <c r="IS142" t="e">
        <f>IF(#REF!,"AAAAAB/x3/w=",0)</f>
        <v>#REF!</v>
      </c>
      <c r="IT142" t="e">
        <f>IF(#REF!,"AAAAAB/x3/0=",0)</f>
        <v>#REF!</v>
      </c>
      <c r="IU142" t="e">
        <f>IF(#REF!,"AAAAAB/x3/4=",0)</f>
        <v>#REF!</v>
      </c>
      <c r="IV142" t="e">
        <f>IF(#REF!,"AAAAAB/x3/8=",0)</f>
        <v>#REF!</v>
      </c>
    </row>
    <row r="143" spans="1:256">
      <c r="A143" t="e">
        <f>IF(#REF!,"AAAAAHe13AA=",0)</f>
        <v>#REF!</v>
      </c>
      <c r="B143" t="e">
        <f>IF(#REF!,"AAAAAHe13AE=",0)</f>
        <v>#REF!</v>
      </c>
      <c r="C143" t="e">
        <f>IF(#REF!,"AAAAAHe13AI=",0)</f>
        <v>#REF!</v>
      </c>
      <c r="D143" t="e">
        <f>IF(#REF!,"AAAAAHe13AM=",0)</f>
        <v>#REF!</v>
      </c>
      <c r="E143" t="e">
        <f>IF(#REF!,"AAAAAHe13AQ=",0)</f>
        <v>#REF!</v>
      </c>
      <c r="F143" t="e">
        <f>IF(#REF!,"AAAAAHe13AU=",0)</f>
        <v>#REF!</v>
      </c>
      <c r="G143" t="e">
        <f>IF(#REF!,"AAAAAHe13AY=",0)</f>
        <v>#REF!</v>
      </c>
      <c r="H143" t="e">
        <f>IF(#REF!,"AAAAAHe13Ac=",0)</f>
        <v>#REF!</v>
      </c>
      <c r="I143" t="e">
        <f>IF(#REF!,"AAAAAHe13Ag=",0)</f>
        <v>#REF!</v>
      </c>
      <c r="J143" t="e">
        <f>IF(#REF!,"AAAAAHe13Ak=",0)</f>
        <v>#REF!</v>
      </c>
      <c r="K143" t="e">
        <f>IF(#REF!,"AAAAAHe13Ao=",0)</f>
        <v>#REF!</v>
      </c>
      <c r="L143" t="e">
        <f>IF(#REF!,"AAAAAHe13As=",0)</f>
        <v>#REF!</v>
      </c>
      <c r="M143" t="e">
        <f>IF(#REF!,"AAAAAHe13Aw=",0)</f>
        <v>#REF!</v>
      </c>
      <c r="N143" t="e">
        <f>IF(#REF!,"AAAAAHe13A0=",0)</f>
        <v>#REF!</v>
      </c>
      <c r="O143" t="e">
        <f>IF(#REF!,"AAAAAHe13A4=",0)</f>
        <v>#REF!</v>
      </c>
      <c r="P143" t="e">
        <f>IF(#REF!,"AAAAAHe13A8=",0)</f>
        <v>#REF!</v>
      </c>
      <c r="Q143" t="e">
        <f>IF(#REF!,"AAAAAHe13BA=",0)</f>
        <v>#REF!</v>
      </c>
      <c r="R143" t="e">
        <f>IF(#REF!,"AAAAAHe13BE=",0)</f>
        <v>#REF!</v>
      </c>
      <c r="S143" t="e">
        <f>IF(#REF!,"AAAAAHe13BI=",0)</f>
        <v>#REF!</v>
      </c>
      <c r="T143" t="e">
        <f>IF(#REF!,"AAAAAHe13BM=",0)</f>
        <v>#REF!</v>
      </c>
      <c r="U143" t="e">
        <f>IF(#REF!,"AAAAAHe13BQ=",0)</f>
        <v>#REF!</v>
      </c>
      <c r="V143" t="e">
        <f>IF(#REF!,"AAAAAHe13BU=",0)</f>
        <v>#REF!</v>
      </c>
      <c r="W143" t="e">
        <f>IF(#REF!,"AAAAAHe13BY=",0)</f>
        <v>#REF!</v>
      </c>
      <c r="X143" t="e">
        <f>IF(#REF!,"AAAAAHe13Bc=",0)</f>
        <v>#REF!</v>
      </c>
      <c r="Y143" t="e">
        <f>IF(#REF!,"AAAAAHe13Bg=",0)</f>
        <v>#REF!</v>
      </c>
      <c r="Z143" t="e">
        <f>IF(#REF!,"AAAAAHe13Bk=",0)</f>
        <v>#REF!</v>
      </c>
      <c r="AA143" t="e">
        <f>IF(#REF!,"AAAAAHe13Bo=",0)</f>
        <v>#REF!</v>
      </c>
      <c r="AB143" t="e">
        <f>IF(#REF!,"AAAAAHe13Bs=",0)</f>
        <v>#REF!</v>
      </c>
      <c r="AC143" t="e">
        <f>IF(#REF!,"AAAAAHe13Bw=",0)</f>
        <v>#REF!</v>
      </c>
      <c r="AD143" t="e">
        <f>IF(#REF!,"AAAAAHe13B0=",0)</f>
        <v>#REF!</v>
      </c>
      <c r="AE143" t="e">
        <f>IF(#REF!,"AAAAAHe13B4=",0)</f>
        <v>#REF!</v>
      </c>
      <c r="AF143" t="e">
        <f>IF(#REF!,"AAAAAHe13B8=",0)</f>
        <v>#REF!</v>
      </c>
      <c r="AG143" t="e">
        <f>IF(#REF!,"AAAAAHe13CA=",0)</f>
        <v>#REF!</v>
      </c>
      <c r="AH143" t="e">
        <f>IF(#REF!,"AAAAAHe13CE=",0)</f>
        <v>#REF!</v>
      </c>
      <c r="AI143" t="e">
        <f>IF(#REF!,"AAAAAHe13CI=",0)</f>
        <v>#REF!</v>
      </c>
      <c r="AJ143" t="e">
        <f>IF(#REF!,"AAAAAHe13CM=",0)</f>
        <v>#REF!</v>
      </c>
      <c r="AK143" t="e">
        <f>IF(#REF!,"AAAAAHe13CQ=",0)</f>
        <v>#REF!</v>
      </c>
      <c r="AL143" t="e">
        <f>IF(#REF!,"AAAAAHe13CU=",0)</f>
        <v>#REF!</v>
      </c>
      <c r="AM143" t="e">
        <f>IF(#REF!,"AAAAAHe13CY=",0)</f>
        <v>#REF!</v>
      </c>
      <c r="AN143" t="e">
        <f>IF(#REF!,"AAAAAHe13Cc=",0)</f>
        <v>#REF!</v>
      </c>
      <c r="AO143" t="e">
        <f>IF(#REF!,"AAAAAHe13Cg=",0)</f>
        <v>#REF!</v>
      </c>
      <c r="AP143" t="e">
        <f>IF(#REF!,"AAAAAHe13Ck=",0)</f>
        <v>#REF!</v>
      </c>
      <c r="AQ143" t="e">
        <f>IF(#REF!,"AAAAAHe13Co=",0)</f>
        <v>#REF!</v>
      </c>
      <c r="AR143" t="e">
        <f>IF(#REF!,"AAAAAHe13Cs=",0)</f>
        <v>#REF!</v>
      </c>
      <c r="AS143" t="e">
        <f>IF(#REF!,"AAAAAHe13Cw=",0)</f>
        <v>#REF!</v>
      </c>
      <c r="AT143" t="e">
        <f>IF(#REF!,"AAAAAHe13C0=",0)</f>
        <v>#REF!</v>
      </c>
      <c r="AU143" t="e">
        <f>IF(#REF!,"AAAAAHe13C4=",0)</f>
        <v>#REF!</v>
      </c>
      <c r="AV143" t="e">
        <f>IF(#REF!,"AAAAAHe13C8=",0)</f>
        <v>#REF!</v>
      </c>
      <c r="AW143" t="e">
        <f>IF(#REF!,"AAAAAHe13DA=",0)</f>
        <v>#REF!</v>
      </c>
      <c r="AX143" t="e">
        <f>IF(#REF!,"AAAAAHe13DE=",0)</f>
        <v>#REF!</v>
      </c>
      <c r="AY143" t="e">
        <f>IF(#REF!,"AAAAAHe13DI=",0)</f>
        <v>#REF!</v>
      </c>
      <c r="AZ143" t="e">
        <f>IF(#REF!,"AAAAAHe13DM=",0)</f>
        <v>#REF!</v>
      </c>
      <c r="BA143" t="e">
        <f>IF(#REF!,"AAAAAHe13DQ=",0)</f>
        <v>#REF!</v>
      </c>
      <c r="BB143" t="e">
        <f>IF(#REF!,"AAAAAHe13DU=",0)</f>
        <v>#REF!</v>
      </c>
      <c r="BC143" t="e">
        <f>IF(#REF!,"AAAAAHe13DY=",0)</f>
        <v>#REF!</v>
      </c>
      <c r="BD143" t="e">
        <f>IF(#REF!,"AAAAAHe13Dc=",0)</f>
        <v>#REF!</v>
      </c>
      <c r="BE143" t="e">
        <f>IF(#REF!,"AAAAAHe13Dg=",0)</f>
        <v>#REF!</v>
      </c>
      <c r="BF143" t="e">
        <f>IF(#REF!,"AAAAAHe13Dk=",0)</f>
        <v>#REF!</v>
      </c>
      <c r="BG143" t="e">
        <f>IF(#REF!,"AAAAAHe13Do=",0)</f>
        <v>#REF!</v>
      </c>
      <c r="BH143" t="e">
        <f>IF(#REF!,"AAAAAHe13Ds=",0)</f>
        <v>#REF!</v>
      </c>
      <c r="BI143" t="e">
        <f>IF(#REF!,"AAAAAHe13Dw=",0)</f>
        <v>#REF!</v>
      </c>
      <c r="BJ143" t="e">
        <f>IF(#REF!,"AAAAAHe13D0=",0)</f>
        <v>#REF!</v>
      </c>
      <c r="BK143" t="e">
        <f>IF(#REF!,"AAAAAHe13D4=",0)</f>
        <v>#REF!</v>
      </c>
      <c r="BL143" t="e">
        <f>IF(#REF!,"AAAAAHe13D8=",0)</f>
        <v>#REF!</v>
      </c>
      <c r="BM143" t="e">
        <f>IF(#REF!,"AAAAAHe13EA=",0)</f>
        <v>#REF!</v>
      </c>
      <c r="BN143" t="e">
        <f>IF(#REF!,"AAAAAHe13EE=",0)</f>
        <v>#REF!</v>
      </c>
      <c r="BO143" t="e">
        <f>IF(#REF!,"AAAAAHe13EI=",0)</f>
        <v>#REF!</v>
      </c>
      <c r="BP143" t="e">
        <f>IF(#REF!,"AAAAAHe13EM=",0)</f>
        <v>#REF!</v>
      </c>
      <c r="BQ143" t="e">
        <f>IF(#REF!,"AAAAAHe13EQ=",0)</f>
        <v>#REF!</v>
      </c>
      <c r="BR143" t="e">
        <f>IF(#REF!,"AAAAAHe13EU=",0)</f>
        <v>#REF!</v>
      </c>
      <c r="BS143" t="e">
        <f>IF(#REF!,"AAAAAHe13EY=",0)</f>
        <v>#REF!</v>
      </c>
      <c r="BT143" t="e">
        <f>IF(#REF!,"AAAAAHe13Ec=",0)</f>
        <v>#REF!</v>
      </c>
      <c r="BU143" t="e">
        <f>IF(#REF!,"AAAAAHe13Eg=",0)</f>
        <v>#REF!</v>
      </c>
      <c r="BV143" t="e">
        <f>IF(#REF!,"AAAAAHe13Ek=",0)</f>
        <v>#REF!</v>
      </c>
      <c r="BW143" t="e">
        <f>IF(#REF!,"AAAAAHe13Eo=",0)</f>
        <v>#REF!</v>
      </c>
      <c r="BX143" t="e">
        <f>IF(#REF!,"AAAAAHe13Es=",0)</f>
        <v>#REF!</v>
      </c>
      <c r="BY143" t="e">
        <f>IF(#REF!,"AAAAAHe13Ew=",0)</f>
        <v>#REF!</v>
      </c>
      <c r="BZ143" t="e">
        <f>IF(#REF!,"AAAAAHe13E0=",0)</f>
        <v>#REF!</v>
      </c>
      <c r="CA143" t="e">
        <f>IF(#REF!,"AAAAAHe13E4=",0)</f>
        <v>#REF!</v>
      </c>
      <c r="CB143" t="e">
        <f>IF(#REF!,"AAAAAHe13E8=",0)</f>
        <v>#REF!</v>
      </c>
      <c r="CC143" t="e">
        <f>IF(#REF!,"AAAAAHe13FA=",0)</f>
        <v>#REF!</v>
      </c>
      <c r="CD143" t="e">
        <f>IF(#REF!,"AAAAAHe13FE=",0)</f>
        <v>#REF!</v>
      </c>
      <c r="CE143" t="e">
        <f>IF(#REF!,"AAAAAHe13FI=",0)</f>
        <v>#REF!</v>
      </c>
      <c r="CF143" t="e">
        <f>IF(#REF!,"AAAAAHe13FM=",0)</f>
        <v>#REF!</v>
      </c>
      <c r="CG143" t="e">
        <f>IF(#REF!,"AAAAAHe13FQ=",0)</f>
        <v>#REF!</v>
      </c>
      <c r="CH143" t="e">
        <f>IF(#REF!,"AAAAAHe13FU=",0)</f>
        <v>#REF!</v>
      </c>
      <c r="CI143" t="e">
        <f>IF(#REF!,"AAAAAHe13FY=",0)</f>
        <v>#REF!</v>
      </c>
      <c r="CJ143" t="e">
        <f>IF(#REF!,"AAAAAHe13Fc=",0)</f>
        <v>#REF!</v>
      </c>
      <c r="CK143" t="e">
        <f>IF(#REF!,"AAAAAHe13Fg=",0)</f>
        <v>#REF!</v>
      </c>
      <c r="CL143" t="e">
        <f>IF(#REF!,"AAAAAHe13Fk=",0)</f>
        <v>#REF!</v>
      </c>
      <c r="CM143" t="e">
        <f>IF(#REF!,"AAAAAHe13Fo=",0)</f>
        <v>#REF!</v>
      </c>
      <c r="CN143" t="e">
        <f>IF(#REF!,"AAAAAHe13Fs=",0)</f>
        <v>#REF!</v>
      </c>
      <c r="CO143" t="e">
        <f>IF(#REF!,"AAAAAHe13Fw=",0)</f>
        <v>#REF!</v>
      </c>
      <c r="CP143" t="e">
        <f>IF(#REF!,"AAAAAHe13F0=",0)</f>
        <v>#REF!</v>
      </c>
      <c r="CQ143" t="e">
        <f>IF(#REF!,"AAAAAHe13F4=",0)</f>
        <v>#REF!</v>
      </c>
      <c r="CR143" t="e">
        <f>IF(#REF!,"AAAAAHe13F8=",0)</f>
        <v>#REF!</v>
      </c>
      <c r="CS143" t="e">
        <f>IF(#REF!,"AAAAAHe13GA=",0)</f>
        <v>#REF!</v>
      </c>
      <c r="CT143" t="e">
        <f>IF(#REF!,"AAAAAHe13GE=",0)</f>
        <v>#REF!</v>
      </c>
      <c r="CU143" t="e">
        <f>IF(#REF!,"AAAAAHe13GI=",0)</f>
        <v>#REF!</v>
      </c>
      <c r="CV143" t="e">
        <f>IF(#REF!,"AAAAAHe13GM=",0)</f>
        <v>#REF!</v>
      </c>
      <c r="CW143" t="e">
        <f>IF(#REF!,"AAAAAHe13GQ=",0)</f>
        <v>#REF!</v>
      </c>
      <c r="CX143" t="e">
        <f>IF(#REF!,"AAAAAHe13GU=",0)</f>
        <v>#REF!</v>
      </c>
      <c r="CY143" t="e">
        <f>IF(#REF!,"AAAAAHe13GY=",0)</f>
        <v>#REF!</v>
      </c>
      <c r="CZ143" t="e">
        <f>IF(#REF!,"AAAAAHe13Gc=",0)</f>
        <v>#REF!</v>
      </c>
      <c r="DA143" t="e">
        <f>IF(#REF!,"AAAAAHe13Gg=",0)</f>
        <v>#REF!</v>
      </c>
      <c r="DB143" t="e">
        <f>IF(#REF!,"AAAAAHe13Gk=",0)</f>
        <v>#REF!</v>
      </c>
      <c r="DC143" t="e">
        <f>IF(#REF!,"AAAAAHe13Go=",0)</f>
        <v>#REF!</v>
      </c>
      <c r="DD143" t="e">
        <f>IF(#REF!,"AAAAAHe13Gs=",0)</f>
        <v>#REF!</v>
      </c>
      <c r="DE143" t="e">
        <f>IF(#REF!,"AAAAAHe13Gw=",0)</f>
        <v>#REF!</v>
      </c>
      <c r="DF143" t="e">
        <f>IF(#REF!,"AAAAAHe13G0=",0)</f>
        <v>#REF!</v>
      </c>
      <c r="DG143" t="e">
        <f>IF(#REF!,"AAAAAHe13G4=",0)</f>
        <v>#REF!</v>
      </c>
      <c r="DH143" t="e">
        <f>IF(#REF!,"AAAAAHe13G8=",0)</f>
        <v>#REF!</v>
      </c>
      <c r="DI143" t="e">
        <f>IF(#REF!,"AAAAAHe13HA=",0)</f>
        <v>#REF!</v>
      </c>
      <c r="DJ143" t="e">
        <f>IF(#REF!,"AAAAAHe13HE=",0)</f>
        <v>#REF!</v>
      </c>
      <c r="DK143" t="e">
        <f>IF(#REF!,"AAAAAHe13HI=",0)</f>
        <v>#REF!</v>
      </c>
      <c r="DL143" t="e">
        <f>IF(#REF!,"AAAAAHe13HM=",0)</f>
        <v>#REF!</v>
      </c>
      <c r="DM143" t="e">
        <f>IF(#REF!,"AAAAAHe13HQ=",0)</f>
        <v>#REF!</v>
      </c>
      <c r="DN143" t="e">
        <f>IF(#REF!,"AAAAAHe13HU=",0)</f>
        <v>#REF!</v>
      </c>
      <c r="DO143" t="e">
        <f>IF(#REF!,"AAAAAHe13HY=",0)</f>
        <v>#REF!</v>
      </c>
      <c r="DP143" t="e">
        <f>IF(#REF!,"AAAAAHe13Hc=",0)</f>
        <v>#REF!</v>
      </c>
      <c r="DQ143" t="e">
        <f>IF(#REF!,"AAAAAHe13Hg=",0)</f>
        <v>#REF!</v>
      </c>
      <c r="DR143" t="e">
        <f>IF(#REF!,"AAAAAHe13Hk=",0)</f>
        <v>#REF!</v>
      </c>
      <c r="DS143" t="e">
        <f>IF(#REF!,"AAAAAHe13Ho=",0)</f>
        <v>#REF!</v>
      </c>
      <c r="DT143" t="e">
        <f>IF(#REF!,"AAAAAHe13Hs=",0)</f>
        <v>#REF!</v>
      </c>
      <c r="DU143" t="e">
        <f>IF(#REF!,"AAAAAHe13Hw=",0)</f>
        <v>#REF!</v>
      </c>
      <c r="DV143" t="e">
        <f>IF(#REF!,"AAAAAHe13H0=",0)</f>
        <v>#REF!</v>
      </c>
      <c r="DW143" t="e">
        <f>IF(#REF!,"AAAAAHe13H4=",0)</f>
        <v>#REF!</v>
      </c>
      <c r="DX143" t="e">
        <f>IF(#REF!,"AAAAAHe13H8=",0)</f>
        <v>#REF!</v>
      </c>
      <c r="DY143" t="e">
        <f>IF(#REF!,"AAAAAHe13IA=",0)</f>
        <v>#REF!</v>
      </c>
      <c r="DZ143" t="e">
        <f>IF(#REF!,"AAAAAHe13IE=",0)</f>
        <v>#REF!</v>
      </c>
      <c r="EA143" t="e">
        <f>IF(#REF!,"AAAAAHe13II=",0)</f>
        <v>#REF!</v>
      </c>
      <c r="EB143" t="e">
        <f>IF(#REF!,"AAAAAHe13IM=",0)</f>
        <v>#REF!</v>
      </c>
      <c r="EC143" t="e">
        <f>IF(#REF!,"AAAAAHe13IQ=",0)</f>
        <v>#REF!</v>
      </c>
      <c r="ED143" t="e">
        <f>IF(#REF!,"AAAAAHe13IU=",0)</f>
        <v>#REF!</v>
      </c>
      <c r="EE143" t="e">
        <f>IF(#REF!,"AAAAAHe13IY=",0)</f>
        <v>#REF!</v>
      </c>
      <c r="EF143" t="e">
        <f>IF(#REF!,"AAAAAHe13Ic=",0)</f>
        <v>#REF!</v>
      </c>
      <c r="EG143" t="e">
        <f>IF(#REF!,"AAAAAHe13Ig=",0)</f>
        <v>#REF!</v>
      </c>
      <c r="EH143" t="e">
        <f>IF(#REF!,"AAAAAHe13Ik=",0)</f>
        <v>#REF!</v>
      </c>
      <c r="EI143" t="e">
        <f>IF(#REF!,"AAAAAHe13Io=",0)</f>
        <v>#REF!</v>
      </c>
      <c r="EJ143" t="e">
        <f>IF(#REF!,"AAAAAHe13Is=",0)</f>
        <v>#REF!</v>
      </c>
      <c r="EK143" t="e">
        <f>IF(#REF!,"AAAAAHe13Iw=",0)</f>
        <v>#REF!</v>
      </c>
      <c r="EL143" t="e">
        <f>IF(#REF!,"AAAAAHe13I0=",0)</f>
        <v>#REF!</v>
      </c>
      <c r="EM143" t="e">
        <f>IF(#REF!,"AAAAAHe13I4=",0)</f>
        <v>#REF!</v>
      </c>
      <c r="EN143" t="e">
        <f>IF(#REF!,"AAAAAHe13I8=",0)</f>
        <v>#REF!</v>
      </c>
      <c r="EO143" t="e">
        <f>IF(#REF!,"AAAAAHe13JA=",0)</f>
        <v>#REF!</v>
      </c>
      <c r="EP143" t="e">
        <f>IF(#REF!,"AAAAAHe13JE=",0)</f>
        <v>#REF!</v>
      </c>
      <c r="EQ143" t="e">
        <f>IF(#REF!,"AAAAAHe13JI=",0)</f>
        <v>#REF!</v>
      </c>
      <c r="ER143" t="e">
        <f>IF(#REF!,"AAAAAHe13JM=",0)</f>
        <v>#REF!</v>
      </c>
      <c r="ES143" t="e">
        <f>IF(#REF!,"AAAAAHe13JQ=",0)</f>
        <v>#REF!</v>
      </c>
      <c r="ET143" t="e">
        <f>IF(#REF!,"AAAAAHe13JU=",0)</f>
        <v>#REF!</v>
      </c>
      <c r="EU143" t="e">
        <f>IF(#REF!,"AAAAAHe13JY=",0)</f>
        <v>#REF!</v>
      </c>
      <c r="EV143" t="e">
        <f>IF(#REF!,"AAAAAHe13Jc=",0)</f>
        <v>#REF!</v>
      </c>
      <c r="EW143" t="e">
        <f>IF(#REF!,"AAAAAHe13Jg=",0)</f>
        <v>#REF!</v>
      </c>
      <c r="EX143" t="e">
        <f>IF(#REF!,"AAAAAHe13Jk=",0)</f>
        <v>#REF!</v>
      </c>
      <c r="EY143" t="e">
        <f>IF(#REF!,"AAAAAHe13Jo=",0)</f>
        <v>#REF!</v>
      </c>
      <c r="EZ143" t="e">
        <f>IF(#REF!,"AAAAAHe13Js=",0)</f>
        <v>#REF!</v>
      </c>
      <c r="FA143" t="e">
        <f>IF(#REF!,"AAAAAHe13Jw=",0)</f>
        <v>#REF!</v>
      </c>
      <c r="FB143" t="e">
        <f>IF(#REF!,"AAAAAHe13J0=",0)</f>
        <v>#REF!</v>
      </c>
      <c r="FC143" t="e">
        <f>IF(#REF!,"AAAAAHe13J4=",0)</f>
        <v>#REF!</v>
      </c>
      <c r="FD143" t="e">
        <f>IF(#REF!,"AAAAAHe13J8=",0)</f>
        <v>#REF!</v>
      </c>
      <c r="FE143" t="e">
        <f>IF(#REF!,"AAAAAHe13KA=",0)</f>
        <v>#REF!</v>
      </c>
      <c r="FF143" t="e">
        <f>IF(#REF!,"AAAAAHe13KE=",0)</f>
        <v>#REF!</v>
      </c>
      <c r="FG143" t="e">
        <f>IF(#REF!,"AAAAAHe13KI=",0)</f>
        <v>#REF!</v>
      </c>
      <c r="FH143" t="e">
        <f>IF(#REF!,"AAAAAHe13KM=",0)</f>
        <v>#REF!</v>
      </c>
      <c r="FI143" t="e">
        <f>IF(#REF!,"AAAAAHe13KQ=",0)</f>
        <v>#REF!</v>
      </c>
      <c r="FJ143" t="e">
        <f>IF(#REF!,"AAAAAHe13KU=",0)</f>
        <v>#REF!</v>
      </c>
      <c r="FK143" t="e">
        <f>IF(#REF!,"AAAAAHe13KY=",0)</f>
        <v>#REF!</v>
      </c>
      <c r="FL143" t="e">
        <f>IF(#REF!,"AAAAAHe13Kc=",0)</f>
        <v>#REF!</v>
      </c>
      <c r="FM143" t="e">
        <f>IF(#REF!,"AAAAAHe13Kg=",0)</f>
        <v>#REF!</v>
      </c>
      <c r="FN143" t="e">
        <f>IF(#REF!,"AAAAAHe13Kk=",0)</f>
        <v>#REF!</v>
      </c>
      <c r="FO143" t="e">
        <f>IF(#REF!,"AAAAAHe13Ko=",0)</f>
        <v>#REF!</v>
      </c>
      <c r="FP143" t="e">
        <f>IF(#REF!,"AAAAAHe13Ks=",0)</f>
        <v>#REF!</v>
      </c>
      <c r="FQ143" t="e">
        <f>IF(#REF!,"AAAAAHe13Kw=",0)</f>
        <v>#REF!</v>
      </c>
      <c r="FR143" t="e">
        <f>IF(#REF!,"AAAAAHe13K0=",0)</f>
        <v>#REF!</v>
      </c>
      <c r="FS143" t="e">
        <f>IF(#REF!,"AAAAAHe13K4=",0)</f>
        <v>#REF!</v>
      </c>
      <c r="FT143" t="e">
        <f>IF(#REF!,"AAAAAHe13K8=",0)</f>
        <v>#REF!</v>
      </c>
      <c r="FU143" t="e">
        <f>IF(#REF!,"AAAAAHe13LA=",0)</f>
        <v>#REF!</v>
      </c>
      <c r="FV143" t="e">
        <f>IF(#REF!,"AAAAAHe13LE=",0)</f>
        <v>#REF!</v>
      </c>
      <c r="FW143" t="e">
        <f>IF(#REF!,"AAAAAHe13LI=",0)</f>
        <v>#REF!</v>
      </c>
      <c r="FX143" t="e">
        <f>IF(#REF!,"AAAAAHe13LM=",0)</f>
        <v>#REF!</v>
      </c>
      <c r="FY143" t="e">
        <f>IF(#REF!,"AAAAAHe13LQ=",0)</f>
        <v>#REF!</v>
      </c>
      <c r="FZ143" t="e">
        <f>IF(#REF!,"AAAAAHe13LU=",0)</f>
        <v>#REF!</v>
      </c>
      <c r="GA143" t="e">
        <f>IF(#REF!,"AAAAAHe13LY=",0)</f>
        <v>#REF!</v>
      </c>
      <c r="GB143" t="e">
        <f>IF(#REF!,"AAAAAHe13Lc=",0)</f>
        <v>#REF!</v>
      </c>
      <c r="GC143" t="e">
        <f>IF(#REF!,"AAAAAHe13Lg=",0)</f>
        <v>#REF!</v>
      </c>
      <c r="GD143" t="e">
        <f>IF(#REF!,"AAAAAHe13Lk=",0)</f>
        <v>#REF!</v>
      </c>
      <c r="GE143" t="e">
        <f>IF(#REF!,"AAAAAHe13Lo=",0)</f>
        <v>#REF!</v>
      </c>
      <c r="GF143" t="e">
        <f>IF(#REF!,"AAAAAHe13Ls=",0)</f>
        <v>#REF!</v>
      </c>
      <c r="GG143" t="e">
        <f>IF(#REF!,"AAAAAHe13Lw=",0)</f>
        <v>#REF!</v>
      </c>
      <c r="GH143" t="e">
        <f>IF(#REF!,"AAAAAHe13L0=",0)</f>
        <v>#REF!</v>
      </c>
      <c r="GI143" t="e">
        <f>IF(#REF!,"AAAAAHe13L4=",0)</f>
        <v>#REF!</v>
      </c>
      <c r="GJ143" t="e">
        <f>IF(#REF!,"AAAAAHe13L8=",0)</f>
        <v>#REF!</v>
      </c>
      <c r="GK143" t="e">
        <f>IF(#REF!,"AAAAAHe13MA=",0)</f>
        <v>#REF!</v>
      </c>
      <c r="GL143" t="e">
        <f>IF(#REF!,"AAAAAHe13ME=",0)</f>
        <v>#REF!</v>
      </c>
      <c r="GM143" t="e">
        <f>IF(#REF!,"AAAAAHe13MI=",0)</f>
        <v>#REF!</v>
      </c>
      <c r="GN143" t="e">
        <f>IF(#REF!,"AAAAAHe13MM=",0)</f>
        <v>#REF!</v>
      </c>
      <c r="GO143" t="e">
        <f>IF(#REF!,"AAAAAHe13MQ=",0)</f>
        <v>#REF!</v>
      </c>
      <c r="GP143" t="e">
        <f>IF(#REF!,"AAAAAHe13MU=",0)</f>
        <v>#REF!</v>
      </c>
      <c r="GQ143" t="e">
        <f>IF(#REF!,"AAAAAHe13MY=",0)</f>
        <v>#REF!</v>
      </c>
      <c r="GR143" t="e">
        <f>IF(#REF!,"AAAAAHe13Mc=",0)</f>
        <v>#REF!</v>
      </c>
      <c r="GS143" t="e">
        <f>IF(#REF!,"AAAAAHe13Mg=",0)</f>
        <v>#REF!</v>
      </c>
      <c r="GT143" t="e">
        <f>IF(#REF!,"AAAAAHe13Mk=",0)</f>
        <v>#REF!</v>
      </c>
      <c r="GU143" t="e">
        <f>IF(#REF!,"AAAAAHe13Mo=",0)</f>
        <v>#REF!</v>
      </c>
      <c r="GV143" t="e">
        <f>IF(#REF!,"AAAAAHe13Ms=",0)</f>
        <v>#REF!</v>
      </c>
      <c r="GW143" t="e">
        <f>IF(#REF!,"AAAAAHe13Mw=",0)</f>
        <v>#REF!</v>
      </c>
      <c r="GX143" t="e">
        <f>IF(#REF!,"AAAAAHe13M0=",0)</f>
        <v>#REF!</v>
      </c>
      <c r="GY143" t="e">
        <f>IF(#REF!,"AAAAAHe13M4=",0)</f>
        <v>#REF!</v>
      </c>
      <c r="GZ143" t="e">
        <f>IF(#REF!,"AAAAAHe13M8=",0)</f>
        <v>#REF!</v>
      </c>
      <c r="HA143" t="e">
        <f>IF(#REF!,"AAAAAHe13NA=",0)</f>
        <v>#REF!</v>
      </c>
      <c r="HB143" t="e">
        <f>IF(#REF!,"AAAAAHe13NE=",0)</f>
        <v>#REF!</v>
      </c>
      <c r="HC143" t="e">
        <f>IF(#REF!,"AAAAAHe13NI=",0)</f>
        <v>#REF!</v>
      </c>
      <c r="HD143" t="e">
        <f>IF(#REF!,"AAAAAHe13NM=",0)</f>
        <v>#REF!</v>
      </c>
      <c r="HE143" t="e">
        <f>IF(#REF!,"AAAAAHe13NQ=",0)</f>
        <v>#REF!</v>
      </c>
      <c r="HF143" t="e">
        <f>IF(#REF!,"AAAAAHe13NU=",0)</f>
        <v>#REF!</v>
      </c>
      <c r="HG143" t="e">
        <f>IF(#REF!,"AAAAAHe13NY=",0)</f>
        <v>#REF!</v>
      </c>
      <c r="HH143" t="e">
        <f>IF(#REF!,"AAAAAHe13Nc=",0)</f>
        <v>#REF!</v>
      </c>
      <c r="HI143" t="e">
        <f>IF(#REF!,"AAAAAHe13Ng=",0)</f>
        <v>#REF!</v>
      </c>
      <c r="HJ143" t="e">
        <f>IF(#REF!,"AAAAAHe13Nk=",0)</f>
        <v>#REF!</v>
      </c>
      <c r="HK143" t="e">
        <f>IF(#REF!,"AAAAAHe13No=",0)</f>
        <v>#REF!</v>
      </c>
      <c r="HL143" t="e">
        <f>IF(#REF!,"AAAAAHe13Ns=",0)</f>
        <v>#REF!</v>
      </c>
      <c r="HM143" t="e">
        <f>IF(#REF!,"AAAAAHe13Nw=",0)</f>
        <v>#REF!</v>
      </c>
      <c r="HN143" t="e">
        <f>IF(#REF!,"AAAAAHe13N0=",0)</f>
        <v>#REF!</v>
      </c>
      <c r="HO143" t="e">
        <f>IF(#REF!,"AAAAAHe13N4=",0)</f>
        <v>#REF!</v>
      </c>
      <c r="HP143" t="e">
        <f>IF(#REF!,"AAAAAHe13N8=",0)</f>
        <v>#REF!</v>
      </c>
      <c r="HQ143" t="e">
        <f>IF(#REF!,"AAAAAHe13OA=",0)</f>
        <v>#REF!</v>
      </c>
      <c r="HR143" t="e">
        <f>IF(#REF!,"AAAAAHe13OE=",0)</f>
        <v>#REF!</v>
      </c>
      <c r="HS143" t="e">
        <f>IF(#REF!,"AAAAAHe13OI=",0)</f>
        <v>#REF!</v>
      </c>
      <c r="HT143" t="e">
        <f>IF(#REF!,"AAAAAHe13OM=",0)</f>
        <v>#REF!</v>
      </c>
      <c r="HU143" t="e">
        <f>IF(#REF!,"AAAAAHe13OQ=",0)</f>
        <v>#REF!</v>
      </c>
      <c r="HV143" t="e">
        <f>IF(#REF!,"AAAAAHe13OU=",0)</f>
        <v>#REF!</v>
      </c>
      <c r="HW143" t="e">
        <f>IF(#REF!,"AAAAAHe13OY=",0)</f>
        <v>#REF!</v>
      </c>
      <c r="HX143" t="e">
        <f>IF(#REF!,"AAAAAHe13Oc=",0)</f>
        <v>#REF!</v>
      </c>
      <c r="HY143" t="e">
        <f>IF(#REF!,"AAAAAHe13Og=",0)</f>
        <v>#REF!</v>
      </c>
      <c r="HZ143" t="e">
        <f>IF(#REF!,"AAAAAHe13Ok=",0)</f>
        <v>#REF!</v>
      </c>
      <c r="IA143" t="e">
        <f>IF(#REF!,"AAAAAHe13Oo=",0)</f>
        <v>#REF!</v>
      </c>
      <c r="IB143" t="e">
        <f>IF(#REF!,"AAAAAHe13Os=",0)</f>
        <v>#REF!</v>
      </c>
      <c r="IC143" t="e">
        <f>IF(#REF!,"AAAAAHe13Ow=",0)</f>
        <v>#REF!</v>
      </c>
      <c r="ID143" t="e">
        <f>IF(#REF!,"AAAAAHe13O0=",0)</f>
        <v>#REF!</v>
      </c>
      <c r="IE143" t="e">
        <f>IF(#REF!,"AAAAAHe13O4=",0)</f>
        <v>#REF!</v>
      </c>
      <c r="IF143" t="e">
        <f>IF(#REF!,"AAAAAHe13O8=",0)</f>
        <v>#REF!</v>
      </c>
      <c r="IG143" t="e">
        <f>IF(#REF!,"AAAAAHe13PA=",0)</f>
        <v>#REF!</v>
      </c>
      <c r="IH143" t="e">
        <f>IF(#REF!,"AAAAAHe13PE=",0)</f>
        <v>#REF!</v>
      </c>
      <c r="II143" t="e">
        <f>IF(#REF!,"AAAAAHe13PI=",0)</f>
        <v>#REF!</v>
      </c>
      <c r="IJ143" t="e">
        <f>IF(#REF!,"AAAAAHe13PM=",0)</f>
        <v>#REF!</v>
      </c>
      <c r="IK143" t="e">
        <f>IF(#REF!,"AAAAAHe13PQ=",0)</f>
        <v>#REF!</v>
      </c>
      <c r="IL143" t="e">
        <f>IF(#REF!,"AAAAAHe13PU=",0)</f>
        <v>#REF!</v>
      </c>
      <c r="IM143" t="e">
        <f>IF(#REF!,"AAAAAHe13PY=",0)</f>
        <v>#REF!</v>
      </c>
      <c r="IN143" t="e">
        <f>IF(#REF!,"AAAAAHe13Pc=",0)</f>
        <v>#REF!</v>
      </c>
      <c r="IO143" t="e">
        <f>IF(#REF!,"AAAAAHe13Pg=",0)</f>
        <v>#REF!</v>
      </c>
      <c r="IP143" t="e">
        <f>IF(#REF!,"AAAAAHe13Pk=",0)</f>
        <v>#REF!</v>
      </c>
      <c r="IQ143" t="e">
        <f>IF(#REF!,"AAAAAHe13Po=",0)</f>
        <v>#REF!</v>
      </c>
      <c r="IR143" t="e">
        <f>IF(#REF!,"AAAAAHe13Ps=",0)</f>
        <v>#REF!</v>
      </c>
      <c r="IS143" t="e">
        <f>IF(#REF!,"AAAAAHe13Pw=",0)</f>
        <v>#REF!</v>
      </c>
      <c r="IT143" t="e">
        <f>IF(#REF!,"AAAAAHe13P0=",0)</f>
        <v>#REF!</v>
      </c>
      <c r="IU143" t="e">
        <f>IF(#REF!,"AAAAAHe13P4=",0)</f>
        <v>#REF!</v>
      </c>
      <c r="IV143" t="e">
        <f>IF(#REF!,"AAAAAHe13P8=",0)</f>
        <v>#REF!</v>
      </c>
    </row>
    <row r="144" spans="1:256">
      <c r="A144" t="e">
        <f>IF(#REF!,"AAAAAH/f7gA=",0)</f>
        <v>#REF!</v>
      </c>
      <c r="B144" t="e">
        <f>IF(#REF!,"AAAAAH/f7gE=",0)</f>
        <v>#REF!</v>
      </c>
      <c r="C144" t="e">
        <f>IF(#REF!,"AAAAAH/f7gI=",0)</f>
        <v>#REF!</v>
      </c>
      <c r="D144" t="e">
        <f>IF(#REF!,"AAAAAH/f7gM=",0)</f>
        <v>#REF!</v>
      </c>
      <c r="E144" t="e">
        <f>IF(#REF!,"AAAAAH/f7gQ=",0)</f>
        <v>#REF!</v>
      </c>
      <c r="F144" t="e">
        <f>IF(#REF!,"AAAAAH/f7gU=",0)</f>
        <v>#REF!</v>
      </c>
      <c r="G144" t="e">
        <f>IF(#REF!,"AAAAAH/f7gY=",0)</f>
        <v>#REF!</v>
      </c>
      <c r="H144" t="e">
        <f>IF(#REF!,"AAAAAH/f7gc=",0)</f>
        <v>#REF!</v>
      </c>
      <c r="I144" t="e">
        <f>IF(#REF!,"AAAAAH/f7gg=",0)</f>
        <v>#REF!</v>
      </c>
      <c r="J144" t="e">
        <f>IF(#REF!,"AAAAAH/f7gk=",0)</f>
        <v>#REF!</v>
      </c>
      <c r="K144" t="e">
        <f>IF(#REF!,"AAAAAH/f7go=",0)</f>
        <v>#REF!</v>
      </c>
      <c r="L144" t="e">
        <f>IF(#REF!,"AAAAAH/f7gs=",0)</f>
        <v>#REF!</v>
      </c>
      <c r="M144" t="e">
        <f>IF(#REF!,"AAAAAH/f7gw=",0)</f>
        <v>#REF!</v>
      </c>
      <c r="N144" t="e">
        <f>IF(#REF!,"AAAAAH/f7g0=",0)</f>
        <v>#REF!</v>
      </c>
      <c r="O144" t="e">
        <f>IF(#REF!,"AAAAAH/f7g4=",0)</f>
        <v>#REF!</v>
      </c>
      <c r="P144" t="e">
        <f>IF(#REF!,"AAAAAH/f7g8=",0)</f>
        <v>#REF!</v>
      </c>
      <c r="Q144" t="e">
        <f>IF(#REF!,"AAAAAH/f7hA=",0)</f>
        <v>#REF!</v>
      </c>
      <c r="R144" t="e">
        <f>IF(#REF!,"AAAAAH/f7hE=",0)</f>
        <v>#REF!</v>
      </c>
      <c r="S144" t="e">
        <f>IF(#REF!,"AAAAAH/f7hI=",0)</f>
        <v>#REF!</v>
      </c>
      <c r="T144" t="e">
        <f>IF(#REF!,"AAAAAH/f7hM=",0)</f>
        <v>#REF!</v>
      </c>
      <c r="U144" t="e">
        <f>IF(#REF!,"AAAAAH/f7hQ=",0)</f>
        <v>#REF!</v>
      </c>
      <c r="V144" t="e">
        <f>IF(#REF!,"AAAAAH/f7hU=",0)</f>
        <v>#REF!</v>
      </c>
      <c r="W144" t="e">
        <f>IF(#REF!,"AAAAAH/f7hY=",0)</f>
        <v>#REF!</v>
      </c>
      <c r="X144" t="e">
        <f>IF(#REF!,"AAAAAH/f7hc=",0)</f>
        <v>#REF!</v>
      </c>
      <c r="Y144" t="e">
        <f>IF(#REF!,"AAAAAH/f7hg=",0)</f>
        <v>#REF!</v>
      </c>
      <c r="Z144" t="e">
        <f>IF(#REF!,"AAAAAH/f7hk=",0)</f>
        <v>#REF!</v>
      </c>
      <c r="AA144" t="e">
        <f>IF(#REF!,"AAAAAH/f7ho=",0)</f>
        <v>#REF!</v>
      </c>
      <c r="AB144" t="e">
        <f>IF(#REF!,"AAAAAH/f7hs=",0)</f>
        <v>#REF!</v>
      </c>
      <c r="AC144" t="e">
        <f>IF(#REF!,"AAAAAH/f7hw=",0)</f>
        <v>#REF!</v>
      </c>
      <c r="AD144" t="e">
        <f>IF(#REF!,"AAAAAH/f7h0=",0)</f>
        <v>#REF!</v>
      </c>
      <c r="AE144" t="e">
        <f>IF(#REF!,"AAAAAH/f7h4=",0)</f>
        <v>#REF!</v>
      </c>
      <c r="AF144" t="e">
        <f>IF(#REF!,"AAAAAH/f7h8=",0)</f>
        <v>#REF!</v>
      </c>
      <c r="AG144" t="e">
        <f>IF(#REF!,"AAAAAH/f7iA=",0)</f>
        <v>#REF!</v>
      </c>
      <c r="AH144" t="e">
        <f>IF(#REF!,"AAAAAH/f7iE=",0)</f>
        <v>#REF!</v>
      </c>
      <c r="AI144" t="e">
        <f>IF(#REF!,"AAAAAH/f7iI=",0)</f>
        <v>#REF!</v>
      </c>
      <c r="AJ144" t="e">
        <f>IF(#REF!,"AAAAAH/f7iM=",0)</f>
        <v>#REF!</v>
      </c>
      <c r="AK144" t="e">
        <f>IF(#REF!,"AAAAAH/f7iQ=",0)</f>
        <v>#REF!</v>
      </c>
      <c r="AL144" t="e">
        <f>IF(#REF!,"AAAAAH/f7iU=",0)</f>
        <v>#REF!</v>
      </c>
      <c r="AM144" t="e">
        <f>IF(#REF!,"AAAAAH/f7iY=",0)</f>
        <v>#REF!</v>
      </c>
      <c r="AN144" t="e">
        <f>IF(#REF!,"AAAAAH/f7ic=",0)</f>
        <v>#REF!</v>
      </c>
      <c r="AO144" t="e">
        <f>IF(#REF!,"AAAAAH/f7ig=",0)</f>
        <v>#REF!</v>
      </c>
      <c r="AP144" t="e">
        <f>IF(#REF!,"AAAAAH/f7ik=",0)</f>
        <v>#REF!</v>
      </c>
      <c r="AQ144" t="e">
        <f>IF(#REF!,"AAAAAH/f7io=",0)</f>
        <v>#REF!</v>
      </c>
      <c r="AR144" t="e">
        <f>IF(#REF!,"AAAAAH/f7is=",0)</f>
        <v>#REF!</v>
      </c>
      <c r="AS144" t="e">
        <f>IF(#REF!,"AAAAAH/f7iw=",0)</f>
        <v>#REF!</v>
      </c>
      <c r="AT144" t="e">
        <f>IF(#REF!,"AAAAAH/f7i0=",0)</f>
        <v>#REF!</v>
      </c>
      <c r="AU144" t="e">
        <f>IF(#REF!,"AAAAAH/f7i4=",0)</f>
        <v>#REF!</v>
      </c>
      <c r="AV144" t="e">
        <f>IF(#REF!,"AAAAAH/f7i8=",0)</f>
        <v>#REF!</v>
      </c>
      <c r="AW144" t="e">
        <f>IF(#REF!,"AAAAAH/f7jA=",0)</f>
        <v>#REF!</v>
      </c>
      <c r="AX144" t="e">
        <f>IF(#REF!,"AAAAAH/f7jE=",0)</f>
        <v>#REF!</v>
      </c>
      <c r="AY144" t="e">
        <f>IF(#REF!,"AAAAAH/f7jI=",0)</f>
        <v>#REF!</v>
      </c>
      <c r="AZ144" t="e">
        <f>IF(#REF!,"AAAAAH/f7jM=",0)</f>
        <v>#REF!</v>
      </c>
      <c r="BA144" t="e">
        <f>IF(#REF!,"AAAAAH/f7jQ=",0)</f>
        <v>#REF!</v>
      </c>
      <c r="BB144" t="e">
        <f>IF(#REF!,"AAAAAH/f7jU=",0)</f>
        <v>#REF!</v>
      </c>
      <c r="BC144" t="e">
        <f>IF(#REF!,"AAAAAH/f7jY=",0)</f>
        <v>#REF!</v>
      </c>
      <c r="BD144" t="e">
        <f>IF(#REF!,"AAAAAH/f7jc=",0)</f>
        <v>#REF!</v>
      </c>
      <c r="BE144" t="e">
        <f>IF(#REF!,"AAAAAH/f7jg=",0)</f>
        <v>#REF!</v>
      </c>
      <c r="BF144" t="e">
        <f>IF(#REF!,"AAAAAH/f7jk=",0)</f>
        <v>#REF!</v>
      </c>
      <c r="BG144" t="e">
        <f>IF(#REF!,"AAAAAH/f7jo=",0)</f>
        <v>#REF!</v>
      </c>
      <c r="BH144" t="e">
        <f>IF(#REF!,"AAAAAH/f7js=",0)</f>
        <v>#REF!</v>
      </c>
      <c r="BI144" t="e">
        <f>IF(#REF!,"AAAAAH/f7jw=",0)</f>
        <v>#REF!</v>
      </c>
      <c r="BJ144" t="e">
        <f>IF(#REF!,"AAAAAH/f7j0=",0)</f>
        <v>#REF!</v>
      </c>
      <c r="BK144" t="e">
        <f>IF(#REF!,"AAAAAH/f7j4=",0)</f>
        <v>#REF!</v>
      </c>
      <c r="BL144" t="e">
        <f>IF(#REF!,"AAAAAH/f7j8=",0)</f>
        <v>#REF!</v>
      </c>
      <c r="BM144" t="e">
        <f>IF(#REF!,"AAAAAH/f7kA=",0)</f>
        <v>#REF!</v>
      </c>
      <c r="BN144" t="e">
        <f>IF(#REF!,"AAAAAH/f7kE=",0)</f>
        <v>#REF!</v>
      </c>
      <c r="BO144" t="e">
        <f>IF(#REF!,"AAAAAH/f7kI=",0)</f>
        <v>#REF!</v>
      </c>
      <c r="BP144" t="e">
        <f>IF(#REF!,"AAAAAH/f7kM=",0)</f>
        <v>#REF!</v>
      </c>
      <c r="BQ144" t="e">
        <f>IF(#REF!,"AAAAAH/f7kQ=",0)</f>
        <v>#REF!</v>
      </c>
      <c r="BR144" t="e">
        <f>IF(#REF!,"AAAAAH/f7kU=",0)</f>
        <v>#REF!</v>
      </c>
      <c r="BS144" t="e">
        <f>IF(#REF!,"AAAAAH/f7kY=",0)</f>
        <v>#REF!</v>
      </c>
      <c r="BT144" t="e">
        <f>IF(#REF!,"AAAAAH/f7kc=",0)</f>
        <v>#REF!</v>
      </c>
      <c r="BU144" t="e">
        <f>IF(#REF!,"AAAAAH/f7kg=",0)</f>
        <v>#REF!</v>
      </c>
      <c r="BV144" t="e">
        <f>IF(#REF!,"AAAAAH/f7kk=",0)</f>
        <v>#REF!</v>
      </c>
      <c r="BW144" t="e">
        <f>IF(#REF!,"AAAAAH/f7ko=",0)</f>
        <v>#REF!</v>
      </c>
      <c r="BX144" t="e">
        <f>IF(#REF!,"AAAAAH/f7ks=",0)</f>
        <v>#REF!</v>
      </c>
      <c r="BY144" t="e">
        <f>IF(#REF!,"AAAAAH/f7kw=",0)</f>
        <v>#REF!</v>
      </c>
      <c r="BZ144" t="e">
        <f>IF(#REF!,"AAAAAH/f7k0=",0)</f>
        <v>#REF!</v>
      </c>
      <c r="CA144" t="e">
        <f>IF(#REF!,"AAAAAH/f7k4=",0)</f>
        <v>#REF!</v>
      </c>
      <c r="CB144" t="e">
        <f>IF(#REF!,"AAAAAH/f7k8=",0)</f>
        <v>#REF!</v>
      </c>
      <c r="CC144" t="e">
        <f>IF(#REF!,"AAAAAH/f7lA=",0)</f>
        <v>#REF!</v>
      </c>
      <c r="CD144" t="e">
        <f>IF(#REF!,"AAAAAH/f7lE=",0)</f>
        <v>#REF!</v>
      </c>
      <c r="CE144" t="e">
        <f>IF(#REF!,"AAAAAH/f7lI=",0)</f>
        <v>#REF!</v>
      </c>
      <c r="CF144" t="e">
        <f>IF(#REF!,"AAAAAH/f7lM=",0)</f>
        <v>#REF!</v>
      </c>
      <c r="CG144" t="e">
        <f>IF(#REF!,"AAAAAH/f7lQ=",0)</f>
        <v>#REF!</v>
      </c>
      <c r="CH144" t="e">
        <f>IF(#REF!,"AAAAAH/f7lU=",0)</f>
        <v>#REF!</v>
      </c>
      <c r="CI144" t="e">
        <f>IF(#REF!,"AAAAAH/f7lY=",0)</f>
        <v>#REF!</v>
      </c>
      <c r="CJ144" t="e">
        <f>IF(#REF!,"AAAAAH/f7lc=",0)</f>
        <v>#REF!</v>
      </c>
      <c r="CK144" t="e">
        <f>IF(#REF!,"AAAAAH/f7lg=",0)</f>
        <v>#REF!</v>
      </c>
      <c r="CL144" t="e">
        <f>IF(#REF!,"AAAAAH/f7lk=",0)</f>
        <v>#REF!</v>
      </c>
      <c r="CM144" t="e">
        <f>IF(#REF!,"AAAAAH/f7lo=",0)</f>
        <v>#REF!</v>
      </c>
      <c r="CN144" t="e">
        <f>IF(#REF!,"AAAAAH/f7ls=",0)</f>
        <v>#REF!</v>
      </c>
      <c r="CO144" t="e">
        <f>IF(#REF!,"AAAAAH/f7lw=",0)</f>
        <v>#REF!</v>
      </c>
      <c r="CP144" t="e">
        <f>IF(#REF!,"AAAAAH/f7l0=",0)</f>
        <v>#REF!</v>
      </c>
      <c r="CQ144" t="e">
        <f>IF(#REF!,"AAAAAH/f7l4=",0)</f>
        <v>#REF!</v>
      </c>
      <c r="CR144" t="e">
        <f>IF(#REF!,"AAAAAH/f7l8=",0)</f>
        <v>#REF!</v>
      </c>
      <c r="CS144" t="e">
        <f>IF(#REF!,"AAAAAH/f7mA=",0)</f>
        <v>#REF!</v>
      </c>
      <c r="CT144" t="e">
        <f>IF(#REF!,"AAAAAH/f7mE=",0)</f>
        <v>#REF!</v>
      </c>
      <c r="CU144" t="e">
        <f>IF(#REF!,"AAAAAH/f7mI=",0)</f>
        <v>#REF!</v>
      </c>
      <c r="CV144" t="e">
        <f>IF(#REF!,"AAAAAH/f7mM=",0)</f>
        <v>#REF!</v>
      </c>
      <c r="CW144" t="e">
        <f>IF(#REF!,"AAAAAH/f7mQ=",0)</f>
        <v>#REF!</v>
      </c>
      <c r="CX144" t="e">
        <f>IF(#REF!,"AAAAAH/f7mU=",0)</f>
        <v>#REF!</v>
      </c>
      <c r="CY144" t="e">
        <f>IF(#REF!,"AAAAAH/f7mY=",0)</f>
        <v>#REF!</v>
      </c>
      <c r="CZ144" t="e">
        <f>IF(#REF!,"AAAAAH/f7mc=",0)</f>
        <v>#REF!</v>
      </c>
      <c r="DA144" t="e">
        <f>IF(#REF!,"AAAAAH/f7mg=",0)</f>
        <v>#REF!</v>
      </c>
      <c r="DB144" t="e">
        <f>IF(#REF!,"AAAAAH/f7mk=",0)</f>
        <v>#REF!</v>
      </c>
      <c r="DC144" t="e">
        <f>IF(#REF!,"AAAAAH/f7mo=",0)</f>
        <v>#REF!</v>
      </c>
      <c r="DD144" t="e">
        <f>IF(#REF!,"AAAAAH/f7ms=",0)</f>
        <v>#REF!</v>
      </c>
      <c r="DE144" t="e">
        <f>IF(#REF!,"AAAAAH/f7mw=",0)</f>
        <v>#REF!</v>
      </c>
      <c r="DF144" t="e">
        <f>IF(#REF!,"AAAAAH/f7m0=",0)</f>
        <v>#REF!</v>
      </c>
      <c r="DG144" t="e">
        <f>IF(#REF!,"AAAAAH/f7m4=",0)</f>
        <v>#REF!</v>
      </c>
      <c r="DH144" t="e">
        <f>IF(#REF!,"AAAAAH/f7m8=",0)</f>
        <v>#REF!</v>
      </c>
      <c r="DI144" t="e">
        <f>IF(#REF!,"AAAAAH/f7nA=",0)</f>
        <v>#REF!</v>
      </c>
      <c r="DJ144" t="e">
        <f>IF(#REF!,"AAAAAH/f7nE=",0)</f>
        <v>#REF!</v>
      </c>
      <c r="DK144" t="e">
        <f>IF(#REF!,"AAAAAH/f7nI=",0)</f>
        <v>#REF!</v>
      </c>
      <c r="DL144" t="e">
        <f>IF(#REF!,"AAAAAH/f7nM=",0)</f>
        <v>#REF!</v>
      </c>
      <c r="DM144" t="e">
        <f>IF(#REF!,"AAAAAH/f7nQ=",0)</f>
        <v>#REF!</v>
      </c>
      <c r="DN144" t="e">
        <f>IF(#REF!,"AAAAAH/f7nU=",0)</f>
        <v>#REF!</v>
      </c>
      <c r="DO144" t="e">
        <f>IF(#REF!,"AAAAAH/f7nY=",0)</f>
        <v>#REF!</v>
      </c>
      <c r="DP144" t="e">
        <f>IF(#REF!,"AAAAAH/f7nc=",0)</f>
        <v>#REF!</v>
      </c>
      <c r="DQ144" t="e">
        <f>IF(#REF!,"AAAAAH/f7ng=",0)</f>
        <v>#REF!</v>
      </c>
      <c r="DR144" t="e">
        <f>IF(#REF!,"AAAAAH/f7nk=",0)</f>
        <v>#REF!</v>
      </c>
      <c r="DS144" t="e">
        <f>IF(#REF!,"AAAAAH/f7no=",0)</f>
        <v>#REF!</v>
      </c>
      <c r="DT144" t="e">
        <f>IF(#REF!,"AAAAAH/f7ns=",0)</f>
        <v>#REF!</v>
      </c>
      <c r="DU144" t="e">
        <f>IF(#REF!,"AAAAAH/f7nw=",0)</f>
        <v>#REF!</v>
      </c>
      <c r="DV144" t="e">
        <f>IF(#REF!,"AAAAAH/f7n0=",0)</f>
        <v>#REF!</v>
      </c>
      <c r="DW144" t="e">
        <f>IF(#REF!,"AAAAAH/f7n4=",0)</f>
        <v>#REF!</v>
      </c>
      <c r="DX144" t="e">
        <f>IF(#REF!,"AAAAAH/f7n8=",0)</f>
        <v>#REF!</v>
      </c>
      <c r="DY144" t="e">
        <f>IF(#REF!,"AAAAAH/f7oA=",0)</f>
        <v>#REF!</v>
      </c>
      <c r="DZ144" t="e">
        <f>IF(#REF!,"AAAAAH/f7oE=",0)</f>
        <v>#REF!</v>
      </c>
      <c r="EA144" t="e">
        <f>IF(#REF!,"AAAAAH/f7oI=",0)</f>
        <v>#REF!</v>
      </c>
      <c r="EB144" t="e">
        <f>IF(#REF!,"AAAAAH/f7oM=",0)</f>
        <v>#REF!</v>
      </c>
      <c r="EC144" t="e">
        <f>IF(#REF!,"AAAAAH/f7oQ=",0)</f>
        <v>#REF!</v>
      </c>
      <c r="ED144" t="e">
        <f>IF(#REF!,"AAAAAH/f7oU=",0)</f>
        <v>#REF!</v>
      </c>
      <c r="EE144" t="e">
        <f>IF(#REF!,"AAAAAH/f7oY=",0)</f>
        <v>#REF!</v>
      </c>
      <c r="EF144" t="e">
        <f>IF(#REF!,"AAAAAH/f7oc=",0)</f>
        <v>#REF!</v>
      </c>
      <c r="EG144" t="e">
        <f>IF(#REF!,"AAAAAH/f7og=",0)</f>
        <v>#REF!</v>
      </c>
      <c r="EH144" t="e">
        <f>IF(#REF!,"AAAAAH/f7ok=",0)</f>
        <v>#REF!</v>
      </c>
      <c r="EI144" t="e">
        <f>IF(#REF!,"AAAAAH/f7oo=",0)</f>
        <v>#REF!</v>
      </c>
      <c r="EJ144" t="e">
        <f>IF(#REF!,"AAAAAH/f7os=",0)</f>
        <v>#REF!</v>
      </c>
      <c r="EK144" t="e">
        <f>IF(#REF!,"AAAAAH/f7ow=",0)</f>
        <v>#REF!</v>
      </c>
      <c r="EL144" t="e">
        <f>IF(#REF!,"AAAAAH/f7o0=",0)</f>
        <v>#REF!</v>
      </c>
      <c r="EM144" t="e">
        <f>IF(#REF!,"AAAAAH/f7o4=",0)</f>
        <v>#REF!</v>
      </c>
      <c r="EN144" t="e">
        <f>IF(#REF!,"AAAAAH/f7o8=",0)</f>
        <v>#REF!</v>
      </c>
      <c r="EO144" t="e">
        <f>IF(#REF!,"AAAAAH/f7pA=",0)</f>
        <v>#REF!</v>
      </c>
      <c r="EP144" t="e">
        <f>IF(#REF!,"AAAAAH/f7pE=",0)</f>
        <v>#REF!</v>
      </c>
      <c r="EQ144" t="e">
        <f>IF(#REF!,"AAAAAH/f7pI=",0)</f>
        <v>#REF!</v>
      </c>
      <c r="ER144" t="e">
        <f>IF(#REF!,"AAAAAH/f7pM=",0)</f>
        <v>#REF!</v>
      </c>
      <c r="ES144" t="e">
        <f>IF(#REF!,"AAAAAH/f7pQ=",0)</f>
        <v>#REF!</v>
      </c>
      <c r="ET144" t="e">
        <f>IF(#REF!,"AAAAAH/f7pU=",0)</f>
        <v>#REF!</v>
      </c>
      <c r="EU144" t="e">
        <f>IF(#REF!,"AAAAAH/f7pY=",0)</f>
        <v>#REF!</v>
      </c>
      <c r="EV144" t="e">
        <f>IF(#REF!,"AAAAAH/f7pc=",0)</f>
        <v>#REF!</v>
      </c>
      <c r="EW144" t="e">
        <f>IF(#REF!,"AAAAAH/f7pg=",0)</f>
        <v>#REF!</v>
      </c>
      <c r="EX144" t="e">
        <f>IF(#REF!,"AAAAAH/f7pk=",0)</f>
        <v>#REF!</v>
      </c>
      <c r="EY144" t="e">
        <f>IF(#REF!,"AAAAAH/f7po=",0)</f>
        <v>#REF!</v>
      </c>
      <c r="EZ144" t="e">
        <f>IF(#REF!,"AAAAAH/f7ps=",0)</f>
        <v>#REF!</v>
      </c>
      <c r="FA144" t="e">
        <f>IF(#REF!,"AAAAAH/f7pw=",0)</f>
        <v>#REF!</v>
      </c>
      <c r="FB144" t="e">
        <f>IF(#REF!,"AAAAAH/f7p0=",0)</f>
        <v>#REF!</v>
      </c>
      <c r="FC144" t="e">
        <f>IF(#REF!,"AAAAAH/f7p4=",0)</f>
        <v>#REF!</v>
      </c>
      <c r="FD144" t="e">
        <f>IF(#REF!,"AAAAAH/f7p8=",0)</f>
        <v>#REF!</v>
      </c>
      <c r="FE144" t="e">
        <f>IF(#REF!,"AAAAAH/f7qA=",0)</f>
        <v>#REF!</v>
      </c>
      <c r="FF144" t="e">
        <f>IF(#REF!,"AAAAAH/f7qE=",0)</f>
        <v>#REF!</v>
      </c>
      <c r="FG144" t="e">
        <f>IF(#REF!,"AAAAAH/f7qI=",0)</f>
        <v>#REF!</v>
      </c>
      <c r="FH144" t="e">
        <f>IF(#REF!,"AAAAAH/f7qM=",0)</f>
        <v>#REF!</v>
      </c>
      <c r="FI144" t="e">
        <f>IF(#REF!,"AAAAAH/f7qQ=",0)</f>
        <v>#REF!</v>
      </c>
      <c r="FJ144" t="e">
        <f>IF(#REF!,"AAAAAH/f7qU=",0)</f>
        <v>#REF!</v>
      </c>
      <c r="FK144" t="e">
        <f>IF(#REF!,"AAAAAH/f7qY=",0)</f>
        <v>#REF!</v>
      </c>
      <c r="FL144" t="e">
        <f>IF(#REF!,"AAAAAH/f7qc=",0)</f>
        <v>#REF!</v>
      </c>
      <c r="FM144" t="e">
        <f>IF(#REF!,"AAAAAH/f7qg=",0)</f>
        <v>#REF!</v>
      </c>
      <c r="FN144" t="e">
        <f>IF(#REF!,"AAAAAH/f7qk=",0)</f>
        <v>#REF!</v>
      </c>
      <c r="FO144" t="e">
        <f>IF(#REF!,"AAAAAH/f7qo=",0)</f>
        <v>#REF!</v>
      </c>
      <c r="FP144" t="e">
        <f>IF(#REF!,"AAAAAH/f7qs=",0)</f>
        <v>#REF!</v>
      </c>
      <c r="FQ144" t="e">
        <f>IF(#REF!,"AAAAAH/f7qw=",0)</f>
        <v>#REF!</v>
      </c>
      <c r="FR144" t="e">
        <f>IF(#REF!,"AAAAAH/f7q0=",0)</f>
        <v>#REF!</v>
      </c>
      <c r="FS144" t="e">
        <f>IF(#REF!,"AAAAAH/f7q4=",0)</f>
        <v>#REF!</v>
      </c>
      <c r="FT144" t="e">
        <f>IF(#REF!,"AAAAAH/f7q8=",0)</f>
        <v>#REF!</v>
      </c>
      <c r="FU144" t="e">
        <f>IF(#REF!,"AAAAAH/f7rA=",0)</f>
        <v>#REF!</v>
      </c>
      <c r="FV144" t="e">
        <f>IF(#REF!,"AAAAAH/f7rE=",0)</f>
        <v>#REF!</v>
      </c>
      <c r="FW144" t="e">
        <f>IF(#REF!,"AAAAAH/f7rI=",0)</f>
        <v>#REF!</v>
      </c>
      <c r="FX144" t="e">
        <f>IF(#REF!,"AAAAAH/f7rM=",0)</f>
        <v>#REF!</v>
      </c>
      <c r="FY144" t="e">
        <f>IF(#REF!,"AAAAAH/f7rQ=",0)</f>
        <v>#REF!</v>
      </c>
      <c r="FZ144" t="e">
        <f>IF(#REF!,"AAAAAH/f7rU=",0)</f>
        <v>#REF!</v>
      </c>
      <c r="GA144" t="e">
        <f>IF(#REF!,"AAAAAH/f7rY=",0)</f>
        <v>#REF!</v>
      </c>
      <c r="GB144" t="e">
        <f>IF(#REF!,"AAAAAH/f7rc=",0)</f>
        <v>#REF!</v>
      </c>
      <c r="GC144" t="e">
        <f>IF(#REF!,"AAAAAH/f7rg=",0)</f>
        <v>#REF!</v>
      </c>
      <c r="GD144" t="e">
        <f>IF(#REF!,"AAAAAH/f7rk=",0)</f>
        <v>#REF!</v>
      </c>
      <c r="GE144" t="e">
        <f>IF(#REF!,"AAAAAH/f7ro=",0)</f>
        <v>#REF!</v>
      </c>
      <c r="GF144" t="e">
        <f>IF(#REF!,"AAAAAH/f7rs=",0)</f>
        <v>#REF!</v>
      </c>
      <c r="GG144" t="e">
        <f>IF(#REF!,"AAAAAH/f7rw=",0)</f>
        <v>#REF!</v>
      </c>
      <c r="GH144" t="e">
        <f>IF(#REF!,"AAAAAH/f7r0=",0)</f>
        <v>#REF!</v>
      </c>
      <c r="GI144" t="e">
        <f>IF(#REF!,"AAAAAH/f7r4=",0)</f>
        <v>#REF!</v>
      </c>
      <c r="GJ144" t="e">
        <f>IF(#REF!,"AAAAAH/f7r8=",0)</f>
        <v>#REF!</v>
      </c>
      <c r="GK144" t="e">
        <f>IF(#REF!,"AAAAAH/f7sA=",0)</f>
        <v>#REF!</v>
      </c>
      <c r="GL144" t="e">
        <f>IF(#REF!,"AAAAAH/f7sE=",0)</f>
        <v>#REF!</v>
      </c>
      <c r="GM144" t="e">
        <f>IF(#REF!,"AAAAAH/f7sI=",0)</f>
        <v>#REF!</v>
      </c>
      <c r="GN144" t="e">
        <f>IF(#REF!,"AAAAAH/f7sM=",0)</f>
        <v>#REF!</v>
      </c>
      <c r="GO144" t="e">
        <f>IF(#REF!,"AAAAAH/f7sQ=",0)</f>
        <v>#REF!</v>
      </c>
      <c r="GP144" t="e">
        <f>IF(#REF!,"AAAAAH/f7sU=",0)</f>
        <v>#REF!</v>
      </c>
      <c r="GQ144" t="e">
        <f>IF(#REF!,"AAAAAH/f7sY=",0)</f>
        <v>#REF!</v>
      </c>
      <c r="GR144" t="e">
        <f>IF(#REF!,"AAAAAH/f7sc=",0)</f>
        <v>#REF!</v>
      </c>
      <c r="GS144" t="e">
        <f>IF(#REF!,"AAAAAH/f7sg=",0)</f>
        <v>#REF!</v>
      </c>
      <c r="GT144" t="e">
        <f>IF(#REF!,"AAAAAH/f7sk=",0)</f>
        <v>#REF!</v>
      </c>
      <c r="GU144" t="e">
        <f>IF(#REF!,"AAAAAH/f7so=",0)</f>
        <v>#REF!</v>
      </c>
      <c r="GV144" t="e">
        <f>IF(#REF!,"AAAAAH/f7ss=",0)</f>
        <v>#REF!</v>
      </c>
      <c r="GW144" t="e">
        <f>IF(#REF!,"AAAAAH/f7sw=",0)</f>
        <v>#REF!</v>
      </c>
      <c r="GX144" t="e">
        <f>IF(#REF!,"AAAAAH/f7s0=",0)</f>
        <v>#REF!</v>
      </c>
      <c r="GY144" t="e">
        <f>IF(#REF!,"AAAAAH/f7s4=",0)</f>
        <v>#REF!</v>
      </c>
      <c r="GZ144" t="e">
        <f>IF(#REF!,"AAAAAH/f7s8=",0)</f>
        <v>#REF!</v>
      </c>
      <c r="HA144" t="e">
        <f>IF(#REF!,"AAAAAH/f7tA=",0)</f>
        <v>#REF!</v>
      </c>
      <c r="HB144" t="e">
        <f>IF(#REF!,"AAAAAH/f7tE=",0)</f>
        <v>#REF!</v>
      </c>
      <c r="HC144" t="e">
        <f>IF(#REF!,"AAAAAH/f7tI=",0)</f>
        <v>#REF!</v>
      </c>
      <c r="HD144" t="e">
        <f>IF(#REF!,"AAAAAH/f7tM=",0)</f>
        <v>#REF!</v>
      </c>
      <c r="HE144" t="e">
        <f>IF(#REF!,"AAAAAH/f7tQ=",0)</f>
        <v>#REF!</v>
      </c>
      <c r="HF144" t="e">
        <f>IF(#REF!,"AAAAAH/f7tU=",0)</f>
        <v>#REF!</v>
      </c>
      <c r="HG144" t="e">
        <f>IF(#REF!,"AAAAAH/f7tY=",0)</f>
        <v>#REF!</v>
      </c>
      <c r="HH144" t="e">
        <f>IF(#REF!,"AAAAAH/f7tc=",0)</f>
        <v>#REF!</v>
      </c>
      <c r="HI144" t="e">
        <f>IF(#REF!,"AAAAAH/f7tg=",0)</f>
        <v>#REF!</v>
      </c>
      <c r="HJ144" t="e">
        <f>IF(#REF!,"AAAAAH/f7tk=",0)</f>
        <v>#REF!</v>
      </c>
      <c r="HK144" t="e">
        <f>IF(#REF!,"AAAAAH/f7to=",0)</f>
        <v>#REF!</v>
      </c>
      <c r="HL144" t="e">
        <f>IF(#REF!,"AAAAAH/f7ts=",0)</f>
        <v>#REF!</v>
      </c>
      <c r="HM144" t="e">
        <f>IF(#REF!,"AAAAAH/f7tw=",0)</f>
        <v>#REF!</v>
      </c>
      <c r="HN144" t="e">
        <f>IF(#REF!,"AAAAAH/f7t0=",0)</f>
        <v>#REF!</v>
      </c>
      <c r="HO144" t="e">
        <f>IF(#REF!,"AAAAAH/f7t4=",0)</f>
        <v>#REF!</v>
      </c>
      <c r="HP144" t="e">
        <f>IF(#REF!,"AAAAAH/f7t8=",0)</f>
        <v>#REF!</v>
      </c>
      <c r="HQ144" t="e">
        <f>IF(#REF!,"AAAAAH/f7uA=",0)</f>
        <v>#REF!</v>
      </c>
      <c r="HR144" t="e">
        <f>IF(#REF!,"AAAAAH/f7uE=",0)</f>
        <v>#REF!</v>
      </c>
      <c r="HS144" t="e">
        <f>IF(#REF!,"AAAAAH/f7uI=",0)</f>
        <v>#REF!</v>
      </c>
      <c r="HT144" t="e">
        <f>IF(#REF!,"AAAAAH/f7uM=",0)</f>
        <v>#REF!</v>
      </c>
      <c r="HU144" t="e">
        <f>IF(#REF!,"AAAAAH/f7uQ=",0)</f>
        <v>#REF!</v>
      </c>
      <c r="HV144" t="e">
        <f>IF(#REF!,"AAAAAH/f7uU=",0)</f>
        <v>#REF!</v>
      </c>
      <c r="HW144" t="e">
        <f>IF(#REF!,"AAAAAH/f7uY=",0)</f>
        <v>#REF!</v>
      </c>
      <c r="HX144" t="e">
        <f>IF(#REF!,"AAAAAH/f7uc=",0)</f>
        <v>#REF!</v>
      </c>
      <c r="HY144" t="e">
        <f>IF(#REF!,"AAAAAH/f7ug=",0)</f>
        <v>#REF!</v>
      </c>
      <c r="HZ144" t="e">
        <f>IF(#REF!,"AAAAAH/f7uk=",0)</f>
        <v>#REF!</v>
      </c>
      <c r="IA144" t="e">
        <f>IF(#REF!,"AAAAAH/f7uo=",0)</f>
        <v>#REF!</v>
      </c>
      <c r="IB144" t="e">
        <f>IF(#REF!,"AAAAAH/f7us=",0)</f>
        <v>#REF!</v>
      </c>
      <c r="IC144" t="e">
        <f>IF(#REF!,"AAAAAH/f7uw=",0)</f>
        <v>#REF!</v>
      </c>
      <c r="ID144" t="e">
        <f>IF(#REF!,"AAAAAH/f7u0=",0)</f>
        <v>#REF!</v>
      </c>
      <c r="IE144" t="e">
        <f>IF(#REF!,"AAAAAH/f7u4=",0)</f>
        <v>#REF!</v>
      </c>
      <c r="IF144" t="e">
        <f>IF(#REF!,"AAAAAH/f7u8=",0)</f>
        <v>#REF!</v>
      </c>
      <c r="IG144" t="e">
        <f>IF(#REF!,"AAAAAH/f7vA=",0)</f>
        <v>#REF!</v>
      </c>
      <c r="IH144" t="e">
        <f>IF(#REF!,"AAAAAH/f7vE=",0)</f>
        <v>#REF!</v>
      </c>
      <c r="II144" t="e">
        <f>IF(#REF!,"AAAAAH/f7vI=",0)</f>
        <v>#REF!</v>
      </c>
      <c r="IJ144" t="e">
        <f>IF(#REF!,"AAAAAH/f7vM=",0)</f>
        <v>#REF!</v>
      </c>
      <c r="IK144" t="e">
        <f>IF(#REF!,"AAAAAH/f7vQ=",0)</f>
        <v>#REF!</v>
      </c>
      <c r="IL144" t="e">
        <f>IF(#REF!,"AAAAAH/f7vU=",0)</f>
        <v>#REF!</v>
      </c>
      <c r="IM144" t="e">
        <f>IF(#REF!,"AAAAAH/f7vY=",0)</f>
        <v>#REF!</v>
      </c>
      <c r="IN144" t="e">
        <f>IF(#REF!,"AAAAAH/f7vc=",0)</f>
        <v>#REF!</v>
      </c>
      <c r="IO144" t="e">
        <f>IF(#REF!,"AAAAAH/f7vg=",0)</f>
        <v>#REF!</v>
      </c>
      <c r="IP144" t="e">
        <f>IF(#REF!,"AAAAAH/f7vk=",0)</f>
        <v>#REF!</v>
      </c>
      <c r="IQ144" t="e">
        <f>IF(#REF!,"AAAAAH/f7vo=",0)</f>
        <v>#REF!</v>
      </c>
      <c r="IR144" t="e">
        <f>IF(#REF!,"AAAAAH/f7vs=",0)</f>
        <v>#REF!</v>
      </c>
      <c r="IS144" t="e">
        <f>IF(#REF!,"AAAAAH/f7vw=",0)</f>
        <v>#REF!</v>
      </c>
      <c r="IT144" t="e">
        <f>IF(#REF!,"AAAAAH/f7v0=",0)</f>
        <v>#REF!</v>
      </c>
      <c r="IU144" t="e">
        <f>IF(#REF!,"AAAAAH/f7v4=",0)</f>
        <v>#REF!</v>
      </c>
      <c r="IV144" t="e">
        <f>IF(#REF!,"AAAAAH/f7v8=",0)</f>
        <v>#REF!</v>
      </c>
    </row>
    <row r="145" spans="1:256">
      <c r="A145" t="e">
        <f>IF(#REF!,"AAAAAD/3bwA=",0)</f>
        <v>#REF!</v>
      </c>
      <c r="B145" t="e">
        <f>IF(#REF!,"AAAAAD/3bwE=",0)</f>
        <v>#REF!</v>
      </c>
      <c r="C145" t="e">
        <f>IF(#REF!,"AAAAAD/3bwI=",0)</f>
        <v>#REF!</v>
      </c>
      <c r="D145" t="e">
        <f>IF(#REF!,"AAAAAD/3bwM=",0)</f>
        <v>#REF!</v>
      </c>
      <c r="E145" t="e">
        <f>IF(#REF!,"AAAAAD/3bwQ=",0)</f>
        <v>#REF!</v>
      </c>
      <c r="F145" t="e">
        <f>IF(#REF!,"AAAAAD/3bwU=",0)</f>
        <v>#REF!</v>
      </c>
      <c r="G145" t="e">
        <f>IF(#REF!,"AAAAAD/3bwY=",0)</f>
        <v>#REF!</v>
      </c>
      <c r="H145" t="e">
        <f>IF(#REF!,"AAAAAD/3bwc=",0)</f>
        <v>#REF!</v>
      </c>
      <c r="I145" t="e">
        <f>IF(#REF!,"AAAAAD/3bwg=",0)</f>
        <v>#REF!</v>
      </c>
      <c r="J145" t="e">
        <f>IF(#REF!,"AAAAAD/3bwk=",0)</f>
        <v>#REF!</v>
      </c>
      <c r="K145" t="e">
        <f>IF(#REF!,"AAAAAD/3bwo=",0)</f>
        <v>#REF!</v>
      </c>
      <c r="L145" t="e">
        <f>IF(#REF!,"AAAAAD/3bws=",0)</f>
        <v>#REF!</v>
      </c>
      <c r="M145" t="e">
        <f>IF(#REF!,"AAAAAD/3bww=",0)</f>
        <v>#REF!</v>
      </c>
      <c r="N145" t="e">
        <f>IF(#REF!,"AAAAAD/3bw0=",0)</f>
        <v>#REF!</v>
      </c>
      <c r="O145" t="e">
        <f>IF(#REF!,"AAAAAD/3bw4=",0)</f>
        <v>#REF!</v>
      </c>
      <c r="P145" t="e">
        <f>IF(#REF!,"AAAAAD/3bw8=",0)</f>
        <v>#REF!</v>
      </c>
      <c r="Q145" t="e">
        <f>IF(#REF!,"AAAAAD/3bxA=",0)</f>
        <v>#REF!</v>
      </c>
      <c r="R145" t="e">
        <f>IF(#REF!,"AAAAAD/3bxE=",0)</f>
        <v>#REF!</v>
      </c>
      <c r="S145" t="e">
        <f>IF(#REF!,"AAAAAD/3bxI=",0)</f>
        <v>#REF!</v>
      </c>
      <c r="T145" t="e">
        <f>IF(#REF!,"AAAAAD/3bxM=",0)</f>
        <v>#REF!</v>
      </c>
      <c r="U145" t="e">
        <f>IF(#REF!,"AAAAAD/3bxQ=",0)</f>
        <v>#REF!</v>
      </c>
      <c r="V145" t="e">
        <f>IF(#REF!,"AAAAAD/3bxU=",0)</f>
        <v>#REF!</v>
      </c>
      <c r="W145" t="e">
        <f>IF(#REF!,"AAAAAD/3bxY=",0)</f>
        <v>#REF!</v>
      </c>
      <c r="X145" t="e">
        <f>IF(#REF!,"AAAAAD/3bxc=",0)</f>
        <v>#REF!</v>
      </c>
      <c r="Y145" t="e">
        <f>IF(#REF!,"AAAAAD/3bxg=",0)</f>
        <v>#REF!</v>
      </c>
      <c r="Z145" t="e">
        <f>IF(#REF!,"AAAAAD/3bxk=",0)</f>
        <v>#REF!</v>
      </c>
      <c r="AA145" t="e">
        <f>IF(#REF!,"AAAAAD/3bxo=",0)</f>
        <v>#REF!</v>
      </c>
      <c r="AB145" t="e">
        <f>IF(#REF!,"AAAAAD/3bxs=",0)</f>
        <v>#REF!</v>
      </c>
      <c r="AC145" t="e">
        <f>IF(#REF!,"AAAAAD/3bxw=",0)</f>
        <v>#REF!</v>
      </c>
      <c r="AD145" t="e">
        <f>IF(#REF!,"AAAAAD/3bx0=",0)</f>
        <v>#REF!</v>
      </c>
      <c r="AE145" t="e">
        <f>IF(#REF!,"AAAAAD/3bx4=",0)</f>
        <v>#REF!</v>
      </c>
      <c r="AF145" t="e">
        <f>IF(#REF!,"AAAAAD/3bx8=",0)</f>
        <v>#REF!</v>
      </c>
      <c r="AG145" t="e">
        <f>IF(#REF!,"AAAAAD/3byA=",0)</f>
        <v>#REF!</v>
      </c>
      <c r="AH145" t="e">
        <f>IF(#REF!,"AAAAAD/3byE=",0)</f>
        <v>#REF!</v>
      </c>
      <c r="AI145" t="e">
        <f>IF(#REF!,"AAAAAD/3byI=",0)</f>
        <v>#REF!</v>
      </c>
      <c r="AJ145" t="e">
        <f>IF(#REF!,"AAAAAD/3byM=",0)</f>
        <v>#REF!</v>
      </c>
      <c r="AK145" t="e">
        <f>IF(#REF!,"AAAAAD/3byQ=",0)</f>
        <v>#REF!</v>
      </c>
      <c r="AL145" t="e">
        <f>IF(#REF!,"AAAAAD/3byU=",0)</f>
        <v>#REF!</v>
      </c>
      <c r="AM145" t="e">
        <f>IF(#REF!,"AAAAAD/3byY=",0)</f>
        <v>#REF!</v>
      </c>
      <c r="AN145" t="e">
        <f>IF(#REF!,"AAAAAD/3byc=",0)</f>
        <v>#REF!</v>
      </c>
      <c r="AO145" t="e">
        <f>IF(#REF!,"AAAAAD/3byg=",0)</f>
        <v>#REF!</v>
      </c>
      <c r="AP145" t="e">
        <f>IF(#REF!,"AAAAAD/3byk=",0)</f>
        <v>#REF!</v>
      </c>
      <c r="AQ145" t="e">
        <f>IF(#REF!,"AAAAAD/3byo=",0)</f>
        <v>#REF!</v>
      </c>
      <c r="AR145" t="e">
        <f>IF(#REF!,"AAAAAD/3bys=",0)</f>
        <v>#REF!</v>
      </c>
      <c r="AS145" t="e">
        <f>IF(#REF!,"AAAAAD/3byw=",0)</f>
        <v>#REF!</v>
      </c>
      <c r="AT145" t="e">
        <f>IF(#REF!,"AAAAAD/3by0=",0)</f>
        <v>#REF!</v>
      </c>
      <c r="AU145" t="e">
        <f>IF(#REF!,"AAAAAD/3by4=",0)</f>
        <v>#REF!</v>
      </c>
      <c r="AV145" t="e">
        <f>IF(#REF!,"AAAAAD/3by8=",0)</f>
        <v>#REF!</v>
      </c>
      <c r="AW145" t="e">
        <f>IF(#REF!,"AAAAAD/3bzA=",0)</f>
        <v>#REF!</v>
      </c>
      <c r="AX145" t="e">
        <f>IF(#REF!,"AAAAAD/3bzE=",0)</f>
        <v>#REF!</v>
      </c>
      <c r="AY145" t="e">
        <f>IF(#REF!,"AAAAAD/3bzI=",0)</f>
        <v>#REF!</v>
      </c>
      <c r="AZ145" t="e">
        <f>IF(#REF!,"AAAAAD/3bzM=",0)</f>
        <v>#REF!</v>
      </c>
      <c r="BA145" t="e">
        <f>IF(#REF!,"AAAAAD/3bzQ=",0)</f>
        <v>#REF!</v>
      </c>
      <c r="BB145" t="e">
        <f>IF(#REF!,"AAAAAD/3bzU=",0)</f>
        <v>#REF!</v>
      </c>
      <c r="BC145" t="e">
        <f>IF(#REF!,"AAAAAD/3bzY=",0)</f>
        <v>#REF!</v>
      </c>
      <c r="BD145" t="e">
        <f>IF(#REF!,"AAAAAD/3bzc=",0)</f>
        <v>#REF!</v>
      </c>
      <c r="BE145" t="e">
        <f>IF(#REF!,"AAAAAD/3bzg=",0)</f>
        <v>#REF!</v>
      </c>
      <c r="BF145" t="e">
        <f>IF(#REF!,"AAAAAD/3bzk=",0)</f>
        <v>#REF!</v>
      </c>
      <c r="BG145" t="e">
        <f>IF(#REF!,"AAAAAD/3bzo=",0)</f>
        <v>#REF!</v>
      </c>
      <c r="BH145" t="e">
        <f>IF(#REF!,"AAAAAD/3bzs=",0)</f>
        <v>#REF!</v>
      </c>
      <c r="BI145" t="e">
        <f>IF(#REF!,"AAAAAD/3bzw=",0)</f>
        <v>#REF!</v>
      </c>
      <c r="BJ145" t="e">
        <f>IF(#REF!,"AAAAAD/3bz0=",0)</f>
        <v>#REF!</v>
      </c>
      <c r="BK145" t="e">
        <f>IF(#REF!,"AAAAAD/3bz4=",0)</f>
        <v>#REF!</v>
      </c>
      <c r="BL145" t="e">
        <f>IF(#REF!,"AAAAAD/3bz8=",0)</f>
        <v>#REF!</v>
      </c>
      <c r="BM145" t="e">
        <f>IF(#REF!,"AAAAAD/3b0A=",0)</f>
        <v>#REF!</v>
      </c>
      <c r="BN145" t="e">
        <f>IF(#REF!,"AAAAAD/3b0E=",0)</f>
        <v>#REF!</v>
      </c>
      <c r="BO145" t="e">
        <f>IF(#REF!,"AAAAAD/3b0I=",0)</f>
        <v>#REF!</v>
      </c>
      <c r="BP145" t="e">
        <f>IF(#REF!,"AAAAAD/3b0M=",0)</f>
        <v>#REF!</v>
      </c>
      <c r="BQ145" t="e">
        <f>IF(#REF!,"AAAAAD/3b0Q=",0)</f>
        <v>#REF!</v>
      </c>
      <c r="BR145" t="e">
        <f>IF(#REF!,"AAAAAD/3b0U=",0)</f>
        <v>#REF!</v>
      </c>
      <c r="BS145" t="e">
        <f>IF(#REF!,"AAAAAD/3b0Y=",0)</f>
        <v>#REF!</v>
      </c>
      <c r="BT145" t="e">
        <f>IF(#REF!,"AAAAAD/3b0c=",0)</f>
        <v>#REF!</v>
      </c>
      <c r="BU145" t="e">
        <f>IF(#REF!,"AAAAAD/3b0g=",0)</f>
        <v>#REF!</v>
      </c>
      <c r="BV145" t="e">
        <f>IF(#REF!,"AAAAAD/3b0k=",0)</f>
        <v>#REF!</v>
      </c>
      <c r="BW145" t="e">
        <f>IF(#REF!,"AAAAAD/3b0o=",0)</f>
        <v>#REF!</v>
      </c>
      <c r="BX145" t="e">
        <f>IF(#REF!,"AAAAAD/3b0s=",0)</f>
        <v>#REF!</v>
      </c>
      <c r="BY145" t="e">
        <f>IF(#REF!,"AAAAAD/3b0w=",0)</f>
        <v>#REF!</v>
      </c>
      <c r="BZ145" t="e">
        <f>IF(#REF!,"AAAAAD/3b00=",0)</f>
        <v>#REF!</v>
      </c>
      <c r="CA145" t="e">
        <f>IF(#REF!,"AAAAAD/3b04=",0)</f>
        <v>#REF!</v>
      </c>
      <c r="CB145" t="e">
        <f>IF(#REF!,"AAAAAD/3b08=",0)</f>
        <v>#REF!</v>
      </c>
      <c r="CC145" t="e">
        <f>IF(#REF!,"AAAAAD/3b1A=",0)</f>
        <v>#REF!</v>
      </c>
      <c r="CD145" t="e">
        <f>IF(#REF!,"AAAAAD/3b1E=",0)</f>
        <v>#REF!</v>
      </c>
      <c r="CE145" t="e">
        <f>IF(#REF!,"AAAAAD/3b1I=",0)</f>
        <v>#REF!</v>
      </c>
      <c r="CF145" t="e">
        <f>IF(#REF!,"AAAAAD/3b1M=",0)</f>
        <v>#REF!</v>
      </c>
      <c r="CG145" t="e">
        <f>IF(#REF!,"AAAAAD/3b1Q=",0)</f>
        <v>#REF!</v>
      </c>
      <c r="CH145" t="e">
        <f>IF(#REF!,"AAAAAD/3b1U=",0)</f>
        <v>#REF!</v>
      </c>
      <c r="CI145" t="e">
        <f>IF(#REF!,"AAAAAD/3b1Y=",0)</f>
        <v>#REF!</v>
      </c>
      <c r="CJ145" t="e">
        <f>IF(#REF!,"AAAAAD/3b1c=",0)</f>
        <v>#REF!</v>
      </c>
      <c r="CK145" t="e">
        <f>IF(#REF!,"AAAAAD/3b1g=",0)</f>
        <v>#REF!</v>
      </c>
      <c r="CL145" t="e">
        <f>IF(#REF!,"AAAAAD/3b1k=",0)</f>
        <v>#REF!</v>
      </c>
      <c r="CM145" t="e">
        <f>IF(#REF!,"AAAAAD/3b1o=",0)</f>
        <v>#REF!</v>
      </c>
      <c r="CN145" t="e">
        <f>IF(#REF!,"AAAAAD/3b1s=",0)</f>
        <v>#REF!</v>
      </c>
      <c r="CO145" t="e">
        <f>IF(#REF!,"AAAAAD/3b1w=",0)</f>
        <v>#REF!</v>
      </c>
      <c r="CP145" t="e">
        <f>IF(#REF!,"AAAAAD/3b10=",0)</f>
        <v>#REF!</v>
      </c>
      <c r="CQ145" t="e">
        <f>IF(#REF!,"AAAAAD/3b14=",0)</f>
        <v>#REF!</v>
      </c>
      <c r="CR145" t="e">
        <f>IF(#REF!,"AAAAAD/3b18=",0)</f>
        <v>#REF!</v>
      </c>
      <c r="CS145" t="e">
        <f>IF(#REF!,"AAAAAD/3b2A=",0)</f>
        <v>#REF!</v>
      </c>
      <c r="CT145" t="e">
        <f>IF(#REF!,"AAAAAD/3b2E=",0)</f>
        <v>#REF!</v>
      </c>
      <c r="CU145" t="e">
        <f>IF(#REF!,"AAAAAD/3b2I=",0)</f>
        <v>#REF!</v>
      </c>
      <c r="CV145" t="e">
        <f>IF(#REF!,"AAAAAD/3b2M=",0)</f>
        <v>#REF!</v>
      </c>
      <c r="CW145" t="e">
        <f>IF(#REF!,"AAAAAD/3b2Q=",0)</f>
        <v>#REF!</v>
      </c>
      <c r="CX145" t="e">
        <f>IF(#REF!,"AAAAAD/3b2U=",0)</f>
        <v>#REF!</v>
      </c>
      <c r="CY145" t="e">
        <f>IF(#REF!,"AAAAAD/3b2Y=",0)</f>
        <v>#REF!</v>
      </c>
      <c r="CZ145" t="e">
        <f>IF(#REF!,"AAAAAD/3b2c=",0)</f>
        <v>#REF!</v>
      </c>
      <c r="DA145" t="e">
        <f>IF(#REF!,"AAAAAD/3b2g=",0)</f>
        <v>#REF!</v>
      </c>
      <c r="DB145" t="e">
        <f>IF(#REF!,"AAAAAD/3b2k=",0)</f>
        <v>#REF!</v>
      </c>
      <c r="DC145" t="e">
        <f>IF(#REF!,"AAAAAD/3b2o=",0)</f>
        <v>#REF!</v>
      </c>
      <c r="DD145" t="e">
        <f>IF(#REF!,"AAAAAD/3b2s=",0)</f>
        <v>#REF!</v>
      </c>
      <c r="DE145" t="e">
        <f>IF(#REF!,"AAAAAD/3b2w=",0)</f>
        <v>#REF!</v>
      </c>
      <c r="DF145" t="e">
        <f>IF(#REF!,"AAAAAD/3b20=",0)</f>
        <v>#REF!</v>
      </c>
      <c r="DG145" t="e">
        <f>IF(#REF!,"AAAAAD/3b24=",0)</f>
        <v>#REF!</v>
      </c>
      <c r="DH145" t="e">
        <f>IF(#REF!,"AAAAAD/3b28=",0)</f>
        <v>#REF!</v>
      </c>
      <c r="DI145" t="e">
        <f>IF(#REF!,"AAAAAD/3b3A=",0)</f>
        <v>#REF!</v>
      </c>
      <c r="DJ145" t="e">
        <f>IF(#REF!,"AAAAAD/3b3E=",0)</f>
        <v>#REF!</v>
      </c>
      <c r="DK145" t="e">
        <f>IF(#REF!,"AAAAAD/3b3I=",0)</f>
        <v>#REF!</v>
      </c>
      <c r="DL145" t="e">
        <f>IF(#REF!,"AAAAAD/3b3M=",0)</f>
        <v>#REF!</v>
      </c>
      <c r="DM145" t="e">
        <f>IF(#REF!,"AAAAAD/3b3Q=",0)</f>
        <v>#REF!</v>
      </c>
      <c r="DN145" t="e">
        <f>IF(#REF!,"AAAAAD/3b3U=",0)</f>
        <v>#REF!</v>
      </c>
      <c r="DO145" t="e">
        <f>IF(#REF!,"AAAAAD/3b3Y=",0)</f>
        <v>#REF!</v>
      </c>
      <c r="DP145" t="e">
        <f>IF(#REF!,"AAAAAD/3b3c=",0)</f>
        <v>#REF!</v>
      </c>
      <c r="DQ145" t="e">
        <f>IF(#REF!,"AAAAAD/3b3g=",0)</f>
        <v>#REF!</v>
      </c>
      <c r="DR145" t="e">
        <f>IF(#REF!,"AAAAAD/3b3k=",0)</f>
        <v>#REF!</v>
      </c>
      <c r="DS145" t="e">
        <f>IF(#REF!,"AAAAAD/3b3o=",0)</f>
        <v>#REF!</v>
      </c>
      <c r="DT145" t="e">
        <f>IF(#REF!,"AAAAAD/3b3s=",0)</f>
        <v>#REF!</v>
      </c>
      <c r="DU145" t="e">
        <f>IF(#REF!,"AAAAAD/3b3w=",0)</f>
        <v>#REF!</v>
      </c>
      <c r="DV145" t="e">
        <f>IF(#REF!,"AAAAAD/3b30=",0)</f>
        <v>#REF!</v>
      </c>
      <c r="DW145" t="e">
        <f>IF(#REF!,"AAAAAD/3b34=",0)</f>
        <v>#REF!</v>
      </c>
      <c r="DX145" t="e">
        <f>IF(#REF!,"AAAAAD/3b38=",0)</f>
        <v>#REF!</v>
      </c>
      <c r="DY145" t="e">
        <f>IF(#REF!,"AAAAAD/3b4A=",0)</f>
        <v>#REF!</v>
      </c>
      <c r="DZ145" t="e">
        <f>IF(#REF!,"AAAAAD/3b4E=",0)</f>
        <v>#REF!</v>
      </c>
      <c r="EA145" t="e">
        <f>IF(#REF!,"AAAAAD/3b4I=",0)</f>
        <v>#REF!</v>
      </c>
      <c r="EB145" t="e">
        <f>IF(#REF!,"AAAAAD/3b4M=",0)</f>
        <v>#REF!</v>
      </c>
      <c r="EC145" t="e">
        <f>IF(#REF!,"AAAAAD/3b4Q=",0)</f>
        <v>#REF!</v>
      </c>
      <c r="ED145" t="e">
        <f>IF(#REF!,"AAAAAD/3b4U=",0)</f>
        <v>#REF!</v>
      </c>
      <c r="EE145" t="e">
        <f>IF(#REF!,"AAAAAD/3b4Y=",0)</f>
        <v>#REF!</v>
      </c>
      <c r="EF145" t="e">
        <f>IF(#REF!,"AAAAAD/3b4c=",0)</f>
        <v>#REF!</v>
      </c>
      <c r="EG145" t="e">
        <f>IF(#REF!,"AAAAAD/3b4g=",0)</f>
        <v>#REF!</v>
      </c>
      <c r="EH145" t="e">
        <f>IF(#REF!,"AAAAAD/3b4k=",0)</f>
        <v>#REF!</v>
      </c>
      <c r="EI145" t="e">
        <f>IF(#REF!,"AAAAAD/3b4o=",0)</f>
        <v>#REF!</v>
      </c>
      <c r="EJ145" t="e">
        <f>IF(#REF!,"AAAAAD/3b4s=",0)</f>
        <v>#REF!</v>
      </c>
      <c r="EK145" t="e">
        <f>IF(#REF!,"AAAAAD/3b4w=",0)</f>
        <v>#REF!</v>
      </c>
      <c r="EL145" t="e">
        <f>IF(#REF!,"AAAAAD/3b40=",0)</f>
        <v>#REF!</v>
      </c>
      <c r="EM145" t="e">
        <f>IF(#REF!,"AAAAAD/3b44=",0)</f>
        <v>#REF!</v>
      </c>
      <c r="EN145" t="e">
        <f>IF(#REF!,"AAAAAD/3b48=",0)</f>
        <v>#REF!</v>
      </c>
      <c r="EO145" t="e">
        <f>IF(#REF!,"AAAAAD/3b5A=",0)</f>
        <v>#REF!</v>
      </c>
      <c r="EP145" t="e">
        <f>IF(#REF!,"AAAAAD/3b5E=",0)</f>
        <v>#REF!</v>
      </c>
      <c r="EQ145" t="e">
        <f>IF(#REF!,"AAAAAD/3b5I=",0)</f>
        <v>#REF!</v>
      </c>
      <c r="ER145" t="e">
        <f>IF(#REF!,"AAAAAD/3b5M=",0)</f>
        <v>#REF!</v>
      </c>
      <c r="ES145" t="e">
        <f>IF(#REF!,"AAAAAD/3b5Q=",0)</f>
        <v>#REF!</v>
      </c>
      <c r="ET145" t="e">
        <f>IF(#REF!,"AAAAAD/3b5U=",0)</f>
        <v>#REF!</v>
      </c>
      <c r="EU145" t="e">
        <f>IF(#REF!,"AAAAAD/3b5Y=",0)</f>
        <v>#REF!</v>
      </c>
      <c r="EV145" t="e">
        <f>IF(#REF!,"AAAAAD/3b5c=",0)</f>
        <v>#REF!</v>
      </c>
      <c r="EW145" t="e">
        <f>IF(#REF!,"AAAAAD/3b5g=",0)</f>
        <v>#REF!</v>
      </c>
      <c r="EX145" t="e">
        <f>IF(#REF!,"AAAAAD/3b5k=",0)</f>
        <v>#REF!</v>
      </c>
      <c r="EY145" t="e">
        <f>IF(#REF!,"AAAAAD/3b5o=",0)</f>
        <v>#REF!</v>
      </c>
      <c r="EZ145" t="e">
        <f>IF(#REF!,"AAAAAD/3b5s=",0)</f>
        <v>#REF!</v>
      </c>
      <c r="FA145" t="e">
        <f>IF(#REF!,"AAAAAD/3b5w=",0)</f>
        <v>#REF!</v>
      </c>
      <c r="FB145" t="e">
        <f>IF(#REF!,"AAAAAD/3b50=",0)</f>
        <v>#REF!</v>
      </c>
      <c r="FC145" t="e">
        <f>IF(#REF!,"AAAAAD/3b54=",0)</f>
        <v>#REF!</v>
      </c>
      <c r="FD145" t="e">
        <f>IF(#REF!,"AAAAAD/3b58=",0)</f>
        <v>#REF!</v>
      </c>
      <c r="FE145" t="e">
        <f>IF(#REF!,"AAAAAD/3b6A=",0)</f>
        <v>#REF!</v>
      </c>
      <c r="FF145" t="e">
        <f>IF(#REF!,"AAAAAD/3b6E=",0)</f>
        <v>#REF!</v>
      </c>
      <c r="FG145" t="e">
        <f>IF(#REF!,"AAAAAD/3b6I=",0)</f>
        <v>#REF!</v>
      </c>
      <c r="FH145" t="e">
        <f>IF(#REF!,"AAAAAD/3b6M=",0)</f>
        <v>#REF!</v>
      </c>
      <c r="FI145" t="e">
        <f>IF(#REF!,"AAAAAD/3b6Q=",0)</f>
        <v>#REF!</v>
      </c>
      <c r="FJ145" t="e">
        <f>IF(#REF!,"AAAAAD/3b6U=",0)</f>
        <v>#REF!</v>
      </c>
      <c r="FK145" t="e">
        <f>IF(#REF!,"AAAAAD/3b6Y=",0)</f>
        <v>#REF!</v>
      </c>
      <c r="FL145" t="e">
        <f>IF(#REF!,"AAAAAD/3b6c=",0)</f>
        <v>#REF!</v>
      </c>
      <c r="FM145" t="e">
        <f>IF(#REF!,"AAAAAD/3b6g=",0)</f>
        <v>#REF!</v>
      </c>
      <c r="FN145" t="e">
        <f>IF(#REF!,"AAAAAD/3b6k=",0)</f>
        <v>#REF!</v>
      </c>
      <c r="FO145" t="e">
        <f>IF(#REF!,"AAAAAD/3b6o=",0)</f>
        <v>#REF!</v>
      </c>
      <c r="FP145" t="e">
        <f>IF(#REF!,"AAAAAD/3b6s=",0)</f>
        <v>#REF!</v>
      </c>
      <c r="FQ145" t="e">
        <f>IF(#REF!,"AAAAAD/3b6w=",0)</f>
        <v>#REF!</v>
      </c>
      <c r="FR145" t="e">
        <f>IF(#REF!,"AAAAAD/3b60=",0)</f>
        <v>#REF!</v>
      </c>
      <c r="FS145" t="e">
        <f>IF(#REF!,"AAAAAD/3b64=",0)</f>
        <v>#REF!</v>
      </c>
      <c r="FT145" t="e">
        <f>IF(#REF!,"AAAAAD/3b68=",0)</f>
        <v>#REF!</v>
      </c>
      <c r="FU145" t="e">
        <f>IF(#REF!,"AAAAAD/3b7A=",0)</f>
        <v>#REF!</v>
      </c>
      <c r="FV145" t="e">
        <f>IF(#REF!,"AAAAAD/3b7E=",0)</f>
        <v>#REF!</v>
      </c>
      <c r="FW145" t="e">
        <f>IF(#REF!,"AAAAAD/3b7I=",0)</f>
        <v>#REF!</v>
      </c>
      <c r="FX145" t="e">
        <f>IF(#REF!,"AAAAAD/3b7M=",0)</f>
        <v>#REF!</v>
      </c>
      <c r="FY145" t="e">
        <f>IF(#REF!,"AAAAAD/3b7Q=",0)</f>
        <v>#REF!</v>
      </c>
      <c r="FZ145" t="e">
        <f>IF(#REF!,"AAAAAD/3b7U=",0)</f>
        <v>#REF!</v>
      </c>
      <c r="GA145" t="e">
        <f>IF(#REF!,"AAAAAD/3b7Y=",0)</f>
        <v>#REF!</v>
      </c>
      <c r="GB145" t="e">
        <f>IF(#REF!,"AAAAAD/3b7c=",0)</f>
        <v>#REF!</v>
      </c>
      <c r="GC145" t="e">
        <f>IF(#REF!,"AAAAAD/3b7g=",0)</f>
        <v>#REF!</v>
      </c>
      <c r="GD145" t="e">
        <f>IF(#REF!,"AAAAAD/3b7k=",0)</f>
        <v>#REF!</v>
      </c>
      <c r="GE145" t="e">
        <f>IF(#REF!,"AAAAAD/3b7o=",0)</f>
        <v>#REF!</v>
      </c>
      <c r="GF145" t="e">
        <f>IF(#REF!,"AAAAAD/3b7s=",0)</f>
        <v>#REF!</v>
      </c>
      <c r="GG145" t="e">
        <f>IF(#REF!,"AAAAAD/3b7w=",0)</f>
        <v>#REF!</v>
      </c>
      <c r="GH145" t="e">
        <f>IF(#REF!,"AAAAAD/3b70=",0)</f>
        <v>#REF!</v>
      </c>
      <c r="GI145" t="e">
        <f>IF(#REF!,"AAAAAD/3b74=",0)</f>
        <v>#REF!</v>
      </c>
      <c r="GJ145" t="e">
        <f>IF(#REF!,"AAAAAD/3b78=",0)</f>
        <v>#REF!</v>
      </c>
      <c r="GK145" t="e">
        <f>IF(#REF!,"AAAAAD/3b8A=",0)</f>
        <v>#REF!</v>
      </c>
      <c r="GL145" t="e">
        <f>IF(#REF!,"AAAAAD/3b8E=",0)</f>
        <v>#REF!</v>
      </c>
      <c r="GM145" t="e">
        <f>IF(#REF!,"AAAAAD/3b8I=",0)</f>
        <v>#REF!</v>
      </c>
      <c r="GN145" t="e">
        <f>IF(#REF!,"AAAAAD/3b8M=",0)</f>
        <v>#REF!</v>
      </c>
      <c r="GO145" t="e">
        <f>IF(#REF!,"AAAAAD/3b8Q=",0)</f>
        <v>#REF!</v>
      </c>
      <c r="GP145" t="e">
        <f>IF(#REF!,"AAAAAD/3b8U=",0)</f>
        <v>#REF!</v>
      </c>
      <c r="GQ145" t="e">
        <f>IF(#REF!,"AAAAAD/3b8Y=",0)</f>
        <v>#REF!</v>
      </c>
      <c r="GR145" t="e">
        <f>IF(#REF!,"AAAAAD/3b8c=",0)</f>
        <v>#REF!</v>
      </c>
      <c r="GS145" t="e">
        <f>IF(#REF!,"AAAAAD/3b8g=",0)</f>
        <v>#REF!</v>
      </c>
      <c r="GT145" t="e">
        <f>IF(#REF!,"AAAAAD/3b8k=",0)</f>
        <v>#REF!</v>
      </c>
      <c r="GU145" t="e">
        <f>IF(#REF!,"AAAAAD/3b8o=",0)</f>
        <v>#REF!</v>
      </c>
      <c r="GV145" t="e">
        <f>IF(#REF!,"AAAAAD/3b8s=",0)</f>
        <v>#REF!</v>
      </c>
      <c r="GW145" t="e">
        <f>IF(#REF!,"AAAAAD/3b8w=",0)</f>
        <v>#REF!</v>
      </c>
      <c r="GX145" t="e">
        <f>IF(#REF!,"AAAAAD/3b80=",0)</f>
        <v>#REF!</v>
      </c>
      <c r="GY145" t="e">
        <f>IF(#REF!,"AAAAAD/3b84=",0)</f>
        <v>#REF!</v>
      </c>
      <c r="GZ145" t="e">
        <f>IF(#REF!,"AAAAAD/3b88=",0)</f>
        <v>#REF!</v>
      </c>
      <c r="HA145" t="e">
        <f>IF(#REF!,"AAAAAD/3b9A=",0)</f>
        <v>#REF!</v>
      </c>
      <c r="HB145" t="e">
        <f>IF(#REF!,"AAAAAD/3b9E=",0)</f>
        <v>#REF!</v>
      </c>
      <c r="HC145" t="e">
        <f>IF(#REF!,"AAAAAD/3b9I=",0)</f>
        <v>#REF!</v>
      </c>
      <c r="HD145" t="e">
        <f>IF(#REF!,"AAAAAD/3b9M=",0)</f>
        <v>#REF!</v>
      </c>
      <c r="HE145" t="e">
        <f>IF(#REF!,"AAAAAD/3b9Q=",0)</f>
        <v>#REF!</v>
      </c>
      <c r="HF145" t="e">
        <f>IF(#REF!,"AAAAAD/3b9U=",0)</f>
        <v>#REF!</v>
      </c>
      <c r="HG145" t="e">
        <f>IF(#REF!,"AAAAAD/3b9Y=",0)</f>
        <v>#REF!</v>
      </c>
      <c r="HH145" t="e">
        <f>IF(#REF!,"AAAAAD/3b9c=",0)</f>
        <v>#REF!</v>
      </c>
      <c r="HI145" t="e">
        <f>IF(#REF!,"AAAAAD/3b9g=",0)</f>
        <v>#REF!</v>
      </c>
      <c r="HJ145" t="e">
        <f>IF(#REF!,"AAAAAD/3b9k=",0)</f>
        <v>#REF!</v>
      </c>
      <c r="HK145" t="e">
        <f>IF(#REF!,"AAAAAD/3b9o=",0)</f>
        <v>#REF!</v>
      </c>
      <c r="HL145" t="e">
        <f>IF(#REF!,"AAAAAD/3b9s=",0)</f>
        <v>#REF!</v>
      </c>
      <c r="HM145" t="e">
        <f>IF(#REF!,"AAAAAD/3b9w=",0)</f>
        <v>#REF!</v>
      </c>
      <c r="HN145" t="e">
        <f>IF(#REF!,"AAAAAD/3b90=",0)</f>
        <v>#REF!</v>
      </c>
      <c r="HO145" t="e">
        <f>IF(#REF!,"AAAAAD/3b94=",0)</f>
        <v>#REF!</v>
      </c>
      <c r="HP145" t="e">
        <f>IF(#REF!,"AAAAAD/3b98=",0)</f>
        <v>#REF!</v>
      </c>
      <c r="HQ145" t="e">
        <f>IF(#REF!,"AAAAAD/3b+A=",0)</f>
        <v>#REF!</v>
      </c>
      <c r="HR145" t="e">
        <f>IF(#REF!,"AAAAAD/3b+E=",0)</f>
        <v>#REF!</v>
      </c>
      <c r="HS145" t="e">
        <f>IF(#REF!,"AAAAAD/3b+I=",0)</f>
        <v>#REF!</v>
      </c>
      <c r="HT145" t="e">
        <f>IF(#REF!,"AAAAAD/3b+M=",0)</f>
        <v>#REF!</v>
      </c>
      <c r="HU145" t="e">
        <f>IF(#REF!,"AAAAAD/3b+Q=",0)</f>
        <v>#REF!</v>
      </c>
      <c r="HV145" t="e">
        <f>IF(#REF!,"AAAAAD/3b+U=",0)</f>
        <v>#REF!</v>
      </c>
      <c r="HW145" t="e">
        <f>IF(#REF!,"AAAAAD/3b+Y=",0)</f>
        <v>#REF!</v>
      </c>
      <c r="HX145" t="e">
        <f>IF(#REF!,"AAAAAD/3b+c=",0)</f>
        <v>#REF!</v>
      </c>
      <c r="HY145" t="e">
        <f>IF(#REF!,"AAAAAD/3b+g=",0)</f>
        <v>#REF!</v>
      </c>
      <c r="HZ145" t="e">
        <f>IF(#REF!,"AAAAAD/3b+k=",0)</f>
        <v>#REF!</v>
      </c>
      <c r="IA145" t="e">
        <f>IF(#REF!,"AAAAAD/3b+o=",0)</f>
        <v>#REF!</v>
      </c>
      <c r="IB145" t="e">
        <f>IF(#REF!,"AAAAAD/3b+s=",0)</f>
        <v>#REF!</v>
      </c>
      <c r="IC145" t="e">
        <f>IF(#REF!,"AAAAAD/3b+w=",0)</f>
        <v>#REF!</v>
      </c>
      <c r="ID145" t="e">
        <f>IF(#REF!,"AAAAAD/3b+0=",0)</f>
        <v>#REF!</v>
      </c>
      <c r="IE145" t="e">
        <f>IF(#REF!,"AAAAAD/3b+4=",0)</f>
        <v>#REF!</v>
      </c>
      <c r="IF145" t="e">
        <f>IF(#REF!,"AAAAAD/3b+8=",0)</f>
        <v>#REF!</v>
      </c>
      <c r="IG145" t="e">
        <f>IF(#REF!,"AAAAAD/3b/A=",0)</f>
        <v>#REF!</v>
      </c>
      <c r="IH145" t="e">
        <f>IF(#REF!,"AAAAAD/3b/E=",0)</f>
        <v>#REF!</v>
      </c>
      <c r="II145" t="e">
        <f>IF(#REF!,"AAAAAD/3b/I=",0)</f>
        <v>#REF!</v>
      </c>
      <c r="IJ145" t="e">
        <f>IF(#REF!,"AAAAAD/3b/M=",0)</f>
        <v>#REF!</v>
      </c>
      <c r="IK145" t="e">
        <f>IF(#REF!,"AAAAAD/3b/Q=",0)</f>
        <v>#REF!</v>
      </c>
      <c r="IL145" t="e">
        <f>IF(#REF!,"AAAAAD/3b/U=",0)</f>
        <v>#REF!</v>
      </c>
      <c r="IM145" t="e">
        <f>IF(#REF!,"AAAAAD/3b/Y=",0)</f>
        <v>#REF!</v>
      </c>
      <c r="IN145" t="e">
        <f>IF(#REF!,"AAAAAD/3b/c=",0)</f>
        <v>#REF!</v>
      </c>
      <c r="IO145" t="e">
        <f>IF(#REF!,"AAAAAD/3b/g=",0)</f>
        <v>#REF!</v>
      </c>
      <c r="IP145" t="e">
        <f>IF(#REF!,"AAAAAD/3b/k=",0)</f>
        <v>#REF!</v>
      </c>
      <c r="IQ145" t="e">
        <f>IF(#REF!,"AAAAAD/3b/o=",0)</f>
        <v>#REF!</v>
      </c>
      <c r="IR145" t="e">
        <f>IF(#REF!,"AAAAAD/3b/s=",0)</f>
        <v>#REF!</v>
      </c>
      <c r="IS145" t="e">
        <f>IF(#REF!,"AAAAAD/3b/w=",0)</f>
        <v>#REF!</v>
      </c>
      <c r="IT145" t="e">
        <f>IF(#REF!,"AAAAAD/3b/0=",0)</f>
        <v>#REF!</v>
      </c>
      <c r="IU145" t="e">
        <f>IF(#REF!,"AAAAAD/3b/4=",0)</f>
        <v>#REF!</v>
      </c>
      <c r="IV145" t="e">
        <f>IF(#REF!,"AAAAAD/3b/8=",0)</f>
        <v>#REF!</v>
      </c>
    </row>
    <row r="146" spans="1:256">
      <c r="A146" t="e">
        <f>IF(#REF!,"AAAAAH/1rgA=",0)</f>
        <v>#REF!</v>
      </c>
      <c r="B146" t="e">
        <f>IF(#REF!,"AAAAAH/1rgE=",0)</f>
        <v>#REF!</v>
      </c>
      <c r="C146" t="e">
        <f>IF(#REF!,"AAAAAH/1rgI=",0)</f>
        <v>#REF!</v>
      </c>
      <c r="D146" t="e">
        <f>IF(#REF!,"AAAAAH/1rgM=",0)</f>
        <v>#REF!</v>
      </c>
      <c r="E146" t="e">
        <f>IF(#REF!,"AAAAAH/1rgQ=",0)</f>
        <v>#REF!</v>
      </c>
      <c r="F146" t="e">
        <f>IF(#REF!,"AAAAAH/1rgU=",0)</f>
        <v>#REF!</v>
      </c>
      <c r="G146" t="e">
        <f>IF(#REF!,"AAAAAH/1rgY=",0)</f>
        <v>#REF!</v>
      </c>
      <c r="H146" t="e">
        <f>IF(#REF!,"AAAAAH/1rgc=",0)</f>
        <v>#REF!</v>
      </c>
      <c r="I146" t="e">
        <f>IF(#REF!,"AAAAAH/1rgg=",0)</f>
        <v>#REF!</v>
      </c>
      <c r="J146" t="e">
        <f>IF(#REF!,"AAAAAH/1rgk=",0)</f>
        <v>#REF!</v>
      </c>
      <c r="K146" t="e">
        <f>IF(#REF!,"AAAAAH/1rgo=",0)</f>
        <v>#REF!</v>
      </c>
      <c r="L146" t="e">
        <f>IF(#REF!,"AAAAAH/1rgs=",0)</f>
        <v>#REF!</v>
      </c>
      <c r="M146" t="e">
        <f>IF(#REF!,"AAAAAH/1rgw=",0)</f>
        <v>#REF!</v>
      </c>
      <c r="N146" t="e">
        <f>IF(#REF!,"AAAAAH/1rg0=",0)</f>
        <v>#REF!</v>
      </c>
      <c r="O146" t="e">
        <f>IF(#REF!,"AAAAAH/1rg4=",0)</f>
        <v>#REF!</v>
      </c>
      <c r="P146" t="e">
        <f>IF(#REF!,"AAAAAH/1rg8=",0)</f>
        <v>#REF!</v>
      </c>
      <c r="Q146" t="e">
        <f>IF(#REF!,"AAAAAH/1rhA=",0)</f>
        <v>#REF!</v>
      </c>
      <c r="R146" t="e">
        <f>IF(#REF!,"AAAAAH/1rhE=",0)</f>
        <v>#REF!</v>
      </c>
      <c r="S146" t="e">
        <f>IF(#REF!,"AAAAAH/1rhI=",0)</f>
        <v>#REF!</v>
      </c>
      <c r="T146" t="e">
        <f>IF(#REF!,"AAAAAH/1rhM=",0)</f>
        <v>#REF!</v>
      </c>
      <c r="U146" t="e">
        <f>IF(#REF!,"AAAAAH/1rhQ=",0)</f>
        <v>#REF!</v>
      </c>
      <c r="V146" t="e">
        <f>IF(#REF!,"AAAAAH/1rhU=",0)</f>
        <v>#REF!</v>
      </c>
      <c r="W146" t="e">
        <f>IF(#REF!,"AAAAAH/1rhY=",0)</f>
        <v>#REF!</v>
      </c>
      <c r="X146" t="e">
        <f>IF(#REF!,"AAAAAH/1rhc=",0)</f>
        <v>#REF!</v>
      </c>
      <c r="Y146" t="e">
        <f>IF(#REF!,"AAAAAH/1rhg=",0)</f>
        <v>#REF!</v>
      </c>
      <c r="Z146" t="e">
        <f>IF(#REF!,"AAAAAH/1rhk=",0)</f>
        <v>#REF!</v>
      </c>
      <c r="AA146" t="e">
        <f>IF(#REF!,"AAAAAH/1rho=",0)</f>
        <v>#REF!</v>
      </c>
      <c r="AB146" t="e">
        <f>IF(#REF!,"AAAAAH/1rhs=",0)</f>
        <v>#REF!</v>
      </c>
      <c r="AC146" t="e">
        <f>IF(#REF!,"AAAAAH/1rhw=",0)</f>
        <v>#REF!</v>
      </c>
      <c r="AD146" t="e">
        <f>IF(#REF!,"AAAAAH/1rh0=",0)</f>
        <v>#REF!</v>
      </c>
      <c r="AE146" t="e">
        <f>IF(#REF!,"AAAAAH/1rh4=",0)</f>
        <v>#REF!</v>
      </c>
      <c r="AF146" t="e">
        <f>IF(#REF!,"AAAAAH/1rh8=",0)</f>
        <v>#REF!</v>
      </c>
      <c r="AG146" t="e">
        <f>IF(#REF!,"AAAAAH/1riA=",0)</f>
        <v>#REF!</v>
      </c>
      <c r="AH146" t="e">
        <f>IF(#REF!,"AAAAAH/1riE=",0)</f>
        <v>#REF!</v>
      </c>
      <c r="AI146" t="e">
        <f>IF(#REF!,"AAAAAH/1riI=",0)</f>
        <v>#REF!</v>
      </c>
      <c r="AJ146" t="e">
        <f>IF(#REF!,"AAAAAH/1riM=",0)</f>
        <v>#REF!</v>
      </c>
      <c r="AK146" t="e">
        <f>IF(#REF!,"AAAAAH/1riQ=",0)</f>
        <v>#REF!</v>
      </c>
      <c r="AL146" t="e">
        <f>IF(#REF!,"AAAAAH/1riU=",0)</f>
        <v>#REF!</v>
      </c>
      <c r="AM146" t="e">
        <f>IF(#REF!,"AAAAAH/1riY=",0)</f>
        <v>#REF!</v>
      </c>
      <c r="AN146" t="e">
        <f>IF(#REF!,"AAAAAH/1ric=",0)</f>
        <v>#REF!</v>
      </c>
      <c r="AO146" t="e">
        <f>IF(#REF!,"AAAAAH/1rig=",0)</f>
        <v>#REF!</v>
      </c>
      <c r="AP146" t="e">
        <f>IF(#REF!,"AAAAAH/1rik=",0)</f>
        <v>#REF!</v>
      </c>
      <c r="AQ146" t="e">
        <f>IF(#REF!,"AAAAAH/1rio=",0)</f>
        <v>#REF!</v>
      </c>
      <c r="AR146" t="e">
        <f>IF(#REF!,"AAAAAH/1ris=",0)</f>
        <v>#REF!</v>
      </c>
      <c r="AS146" t="e">
        <f>IF(#REF!,"AAAAAH/1riw=",0)</f>
        <v>#REF!</v>
      </c>
      <c r="AT146" t="e">
        <f>IF(#REF!,"AAAAAH/1ri0=",0)</f>
        <v>#REF!</v>
      </c>
      <c r="AU146" t="e">
        <f>IF(#REF!,"AAAAAH/1ri4=",0)</f>
        <v>#REF!</v>
      </c>
      <c r="AV146" t="e">
        <f>IF(#REF!,"AAAAAH/1ri8=",0)</f>
        <v>#REF!</v>
      </c>
      <c r="AW146" t="e">
        <f>IF(#REF!,"AAAAAH/1rjA=",0)</f>
        <v>#REF!</v>
      </c>
      <c r="AX146" t="e">
        <f>IF(#REF!,"AAAAAH/1rjE=",0)</f>
        <v>#REF!</v>
      </c>
      <c r="AY146" t="e">
        <f>IF(#REF!,"AAAAAH/1rjI=",0)</f>
        <v>#REF!</v>
      </c>
      <c r="AZ146" t="e">
        <f>IF(#REF!,"AAAAAH/1rjM=",0)</f>
        <v>#REF!</v>
      </c>
      <c r="BA146" t="e">
        <f>IF(#REF!,"AAAAAH/1rjQ=",0)</f>
        <v>#REF!</v>
      </c>
      <c r="BB146" t="e">
        <f>IF(#REF!,"AAAAAH/1rjU=",0)</f>
        <v>#REF!</v>
      </c>
      <c r="BC146" t="e">
        <f>IF(#REF!,"AAAAAH/1rjY=",0)</f>
        <v>#REF!</v>
      </c>
      <c r="BD146" t="e">
        <f>IF(#REF!,"AAAAAH/1rjc=",0)</f>
        <v>#REF!</v>
      </c>
      <c r="BE146" t="e">
        <f>IF(#REF!,"AAAAAH/1rjg=",0)</f>
        <v>#REF!</v>
      </c>
      <c r="BF146" t="e">
        <f>IF(#REF!,"AAAAAH/1rjk=",0)</f>
        <v>#REF!</v>
      </c>
      <c r="BG146" t="e">
        <f>IF(#REF!,"AAAAAH/1rjo=",0)</f>
        <v>#REF!</v>
      </c>
      <c r="BH146" t="e">
        <f>IF(#REF!,"AAAAAH/1rjs=",0)</f>
        <v>#REF!</v>
      </c>
      <c r="BI146" t="e">
        <f>IF(#REF!,"AAAAAH/1rjw=",0)</f>
        <v>#REF!</v>
      </c>
      <c r="BJ146" t="e">
        <f>IF(#REF!,"AAAAAH/1rj0=",0)</f>
        <v>#REF!</v>
      </c>
      <c r="BK146" t="e">
        <f>IF(#REF!,"AAAAAH/1rj4=",0)</f>
        <v>#REF!</v>
      </c>
      <c r="BL146" t="e">
        <f>IF(#REF!,"AAAAAH/1rj8=",0)</f>
        <v>#REF!</v>
      </c>
      <c r="BM146" t="e">
        <f>IF(#REF!,"AAAAAH/1rkA=",0)</f>
        <v>#REF!</v>
      </c>
      <c r="BN146" t="e">
        <f>IF(#REF!,"AAAAAH/1rkE=",0)</f>
        <v>#REF!</v>
      </c>
      <c r="BO146" t="e">
        <f>IF(#REF!,"AAAAAH/1rkI=",0)</f>
        <v>#REF!</v>
      </c>
      <c r="BP146" t="e">
        <f>IF(#REF!,"AAAAAH/1rkM=",0)</f>
        <v>#REF!</v>
      </c>
      <c r="BQ146" t="e">
        <f>IF(#REF!,"AAAAAH/1rkQ=",0)</f>
        <v>#REF!</v>
      </c>
      <c r="BR146" t="e">
        <f>IF(#REF!,"AAAAAH/1rkU=",0)</f>
        <v>#REF!</v>
      </c>
      <c r="BS146" t="e">
        <f>IF(#REF!,"AAAAAH/1rkY=",0)</f>
        <v>#REF!</v>
      </c>
      <c r="BT146" t="e">
        <f>IF(#REF!,"AAAAAH/1rkc=",0)</f>
        <v>#REF!</v>
      </c>
      <c r="BU146" t="e">
        <f>IF(#REF!,"AAAAAH/1rkg=",0)</f>
        <v>#REF!</v>
      </c>
      <c r="BV146" t="e">
        <f>IF(#REF!,"AAAAAH/1rkk=",0)</f>
        <v>#REF!</v>
      </c>
      <c r="BW146" t="e">
        <f>IF(#REF!,"AAAAAH/1rko=",0)</f>
        <v>#REF!</v>
      </c>
      <c r="BX146" t="e">
        <f>IF(#REF!,"AAAAAH/1rks=",0)</f>
        <v>#REF!</v>
      </c>
      <c r="BY146" t="e">
        <f>IF(#REF!,"AAAAAH/1rkw=",0)</f>
        <v>#REF!</v>
      </c>
      <c r="BZ146" t="e">
        <f>IF(#REF!,"AAAAAH/1rk0=",0)</f>
        <v>#REF!</v>
      </c>
      <c r="CA146" t="e">
        <f>IF(#REF!,"AAAAAH/1rk4=",0)</f>
        <v>#REF!</v>
      </c>
      <c r="CB146" t="e">
        <f>IF(#REF!,"AAAAAH/1rk8=",0)</f>
        <v>#REF!</v>
      </c>
      <c r="CC146" t="e">
        <f>IF(#REF!,"AAAAAH/1rlA=",0)</f>
        <v>#REF!</v>
      </c>
      <c r="CD146" t="e">
        <f>IF(#REF!,"AAAAAH/1rlE=",0)</f>
        <v>#REF!</v>
      </c>
      <c r="CE146" t="e">
        <f>IF(#REF!,"AAAAAH/1rlI=",0)</f>
        <v>#REF!</v>
      </c>
      <c r="CF146" t="e">
        <f>IF(#REF!,"AAAAAH/1rlM=",0)</f>
        <v>#REF!</v>
      </c>
      <c r="CG146" t="e">
        <f>IF(#REF!,"AAAAAH/1rlQ=",0)</f>
        <v>#REF!</v>
      </c>
      <c r="CH146" t="e">
        <f>IF(#REF!,"AAAAAH/1rlU=",0)</f>
        <v>#REF!</v>
      </c>
      <c r="CI146" t="e">
        <f>IF(#REF!,"AAAAAH/1rlY=",0)</f>
        <v>#REF!</v>
      </c>
      <c r="CJ146" t="e">
        <f>IF(#REF!,"AAAAAH/1rlc=",0)</f>
        <v>#REF!</v>
      </c>
      <c r="CK146" t="e">
        <f>IF(#REF!,"AAAAAH/1rlg=",0)</f>
        <v>#REF!</v>
      </c>
      <c r="CL146" t="e">
        <f>IF(#REF!,"AAAAAH/1rlk=",0)</f>
        <v>#REF!</v>
      </c>
      <c r="CM146" t="e">
        <f>IF(#REF!,"AAAAAH/1rlo=",0)</f>
        <v>#REF!</v>
      </c>
      <c r="CN146" t="e">
        <f>IF(#REF!,"AAAAAH/1rls=",0)</f>
        <v>#REF!</v>
      </c>
      <c r="CO146" t="e">
        <f>IF(#REF!,"AAAAAH/1rlw=",0)</f>
        <v>#REF!</v>
      </c>
      <c r="CP146" t="e">
        <f>IF(#REF!,"AAAAAH/1rl0=",0)</f>
        <v>#REF!</v>
      </c>
      <c r="CQ146" t="e">
        <f>IF(#REF!,"AAAAAH/1rl4=",0)</f>
        <v>#REF!</v>
      </c>
      <c r="CR146" t="e">
        <f>IF(#REF!,"AAAAAH/1rl8=",0)</f>
        <v>#REF!</v>
      </c>
      <c r="CS146" t="e">
        <f>IF(#REF!,"AAAAAH/1rmA=",0)</f>
        <v>#REF!</v>
      </c>
      <c r="CT146" t="e">
        <f>IF(#REF!,"AAAAAH/1rmE=",0)</f>
        <v>#REF!</v>
      </c>
      <c r="CU146" t="e">
        <f>IF(#REF!,"AAAAAH/1rmI=",0)</f>
        <v>#REF!</v>
      </c>
      <c r="CV146" t="e">
        <f>IF(#REF!,"AAAAAH/1rmM=",0)</f>
        <v>#REF!</v>
      </c>
      <c r="CW146" t="e">
        <f>IF(#REF!,"AAAAAH/1rmQ=",0)</f>
        <v>#REF!</v>
      </c>
      <c r="CX146" t="e">
        <f>IF(#REF!,"AAAAAH/1rmU=",0)</f>
        <v>#REF!</v>
      </c>
      <c r="CY146" t="e">
        <f>IF(#REF!,"AAAAAH/1rmY=",0)</f>
        <v>#REF!</v>
      </c>
      <c r="CZ146" t="e">
        <f>IF(#REF!,"AAAAAH/1rmc=",0)</f>
        <v>#REF!</v>
      </c>
      <c r="DA146" t="e">
        <f>IF(#REF!,"AAAAAH/1rmg=",0)</f>
        <v>#REF!</v>
      </c>
      <c r="DB146" t="e">
        <f>IF(#REF!,"AAAAAH/1rmk=",0)</f>
        <v>#REF!</v>
      </c>
      <c r="DC146" t="e">
        <f>IF(#REF!,"AAAAAH/1rmo=",0)</f>
        <v>#REF!</v>
      </c>
      <c r="DD146" t="e">
        <f>IF(#REF!,"AAAAAH/1rms=",0)</f>
        <v>#REF!</v>
      </c>
      <c r="DE146" t="e">
        <f>IF(#REF!,"AAAAAH/1rmw=",0)</f>
        <v>#REF!</v>
      </c>
      <c r="DF146" t="e">
        <f>IF(#REF!,"AAAAAH/1rm0=",0)</f>
        <v>#REF!</v>
      </c>
      <c r="DG146" t="e">
        <f>IF(#REF!,"AAAAAH/1rm4=",0)</f>
        <v>#REF!</v>
      </c>
      <c r="DH146" t="e">
        <f>IF(#REF!,"AAAAAH/1rm8=",0)</f>
        <v>#REF!</v>
      </c>
      <c r="DI146" t="e">
        <f>IF(#REF!,"AAAAAH/1rnA=",0)</f>
        <v>#REF!</v>
      </c>
      <c r="DJ146" t="e">
        <f>IF(#REF!,"AAAAAH/1rnE=",0)</f>
        <v>#REF!</v>
      </c>
      <c r="DK146" t="e">
        <f>IF(#REF!,"AAAAAH/1rnI=",0)</f>
        <v>#REF!</v>
      </c>
      <c r="DL146" t="e">
        <f>IF(#REF!,"AAAAAH/1rnM=",0)</f>
        <v>#REF!</v>
      </c>
      <c r="DM146" t="e">
        <f>IF(#REF!,"AAAAAH/1rnQ=",0)</f>
        <v>#REF!</v>
      </c>
      <c r="DN146" t="e">
        <f>IF(#REF!,"AAAAAH/1rnU=",0)</f>
        <v>#REF!</v>
      </c>
      <c r="DO146" t="e">
        <f>IF(#REF!,"AAAAAH/1rnY=",0)</f>
        <v>#REF!</v>
      </c>
      <c r="DP146" t="e">
        <f>IF(#REF!,"AAAAAH/1rnc=",0)</f>
        <v>#REF!</v>
      </c>
      <c r="DQ146" t="e">
        <f>IF(#REF!,"AAAAAH/1rng=",0)</f>
        <v>#REF!</v>
      </c>
      <c r="DR146" t="e">
        <f>IF(#REF!,"AAAAAH/1rnk=",0)</f>
        <v>#REF!</v>
      </c>
      <c r="DS146" t="e">
        <f>IF(#REF!,"AAAAAH/1rno=",0)</f>
        <v>#REF!</v>
      </c>
      <c r="DT146" t="e">
        <f>IF(#REF!,"AAAAAH/1rns=",0)</f>
        <v>#REF!</v>
      </c>
      <c r="DU146" t="e">
        <f>IF(#REF!,"AAAAAH/1rnw=",0)</f>
        <v>#REF!</v>
      </c>
      <c r="DV146" t="e">
        <f>IF(#REF!,"AAAAAH/1rn0=",0)</f>
        <v>#REF!</v>
      </c>
      <c r="DW146" t="e">
        <f>IF(#REF!,"AAAAAH/1rn4=",0)</f>
        <v>#REF!</v>
      </c>
      <c r="DX146" t="e">
        <f>IF(#REF!,"AAAAAH/1rn8=",0)</f>
        <v>#REF!</v>
      </c>
      <c r="DY146" t="e">
        <f>IF(#REF!,"AAAAAH/1roA=",0)</f>
        <v>#REF!</v>
      </c>
      <c r="DZ146" t="e">
        <f>IF(#REF!,"AAAAAH/1roE=",0)</f>
        <v>#REF!</v>
      </c>
      <c r="EA146" t="e">
        <f>IF(#REF!,"AAAAAH/1roI=",0)</f>
        <v>#REF!</v>
      </c>
      <c r="EB146" t="e">
        <f>IF(#REF!,"AAAAAH/1roM=",0)</f>
        <v>#REF!</v>
      </c>
      <c r="EC146" t="e">
        <f>IF(#REF!,"AAAAAH/1roQ=",0)</f>
        <v>#REF!</v>
      </c>
      <c r="ED146" t="e">
        <f>IF(#REF!,"AAAAAH/1roU=",0)</f>
        <v>#REF!</v>
      </c>
      <c r="EE146" t="e">
        <f>IF(#REF!,"AAAAAH/1roY=",0)</f>
        <v>#REF!</v>
      </c>
      <c r="EF146" t="e">
        <f>IF(#REF!,"AAAAAH/1roc=",0)</f>
        <v>#REF!</v>
      </c>
      <c r="EG146" t="e">
        <f>IF(#REF!,"AAAAAH/1rog=",0)</f>
        <v>#REF!</v>
      </c>
      <c r="EH146" t="e">
        <f>IF(#REF!,"AAAAAH/1rok=",0)</f>
        <v>#REF!</v>
      </c>
      <c r="EI146" t="e">
        <f>IF(#REF!,"AAAAAH/1roo=",0)</f>
        <v>#REF!</v>
      </c>
      <c r="EJ146" t="e">
        <f>IF(#REF!,"AAAAAH/1ros=",0)</f>
        <v>#REF!</v>
      </c>
      <c r="EK146" t="e">
        <f>IF(#REF!,"AAAAAH/1row=",0)</f>
        <v>#REF!</v>
      </c>
      <c r="EL146" t="e">
        <f>IF(#REF!,"AAAAAH/1ro0=",0)</f>
        <v>#REF!</v>
      </c>
      <c r="EM146" t="e">
        <f>IF(#REF!,"AAAAAH/1ro4=",0)</f>
        <v>#REF!</v>
      </c>
      <c r="EN146" t="e">
        <f>IF(#REF!,"AAAAAH/1ro8=",0)</f>
        <v>#REF!</v>
      </c>
      <c r="EO146" t="e">
        <f>IF(#REF!,"AAAAAH/1rpA=",0)</f>
        <v>#REF!</v>
      </c>
      <c r="EP146" t="e">
        <f>IF(#REF!,"AAAAAH/1rpE=",0)</f>
        <v>#REF!</v>
      </c>
      <c r="EQ146" t="e">
        <f>IF(#REF!,"AAAAAH/1rpI=",0)</f>
        <v>#REF!</v>
      </c>
      <c r="ER146" t="e">
        <f>IF(#REF!,"AAAAAH/1rpM=",0)</f>
        <v>#REF!</v>
      </c>
      <c r="ES146" t="e">
        <f>IF(#REF!,"AAAAAH/1rpQ=",0)</f>
        <v>#REF!</v>
      </c>
      <c r="ET146" t="e">
        <f>IF(#REF!,"AAAAAH/1rpU=",0)</f>
        <v>#REF!</v>
      </c>
      <c r="EU146" t="e">
        <f>IF(#REF!,"AAAAAH/1rpY=",0)</f>
        <v>#REF!</v>
      </c>
      <c r="EV146" t="e">
        <f>IF(#REF!,"AAAAAH/1rpc=",0)</f>
        <v>#REF!</v>
      </c>
      <c r="EW146" t="e">
        <f>IF(#REF!,"AAAAAH/1rpg=",0)</f>
        <v>#REF!</v>
      </c>
      <c r="EX146" t="e">
        <f>IF(#REF!,"AAAAAH/1rpk=",0)</f>
        <v>#REF!</v>
      </c>
      <c r="EY146" t="e">
        <f>IF(#REF!,"AAAAAH/1rpo=",0)</f>
        <v>#REF!</v>
      </c>
      <c r="EZ146" t="e">
        <f>IF(#REF!,"AAAAAH/1rps=",0)</f>
        <v>#REF!</v>
      </c>
      <c r="FA146" t="e">
        <f>IF(#REF!,"AAAAAH/1rpw=",0)</f>
        <v>#REF!</v>
      </c>
      <c r="FB146" t="e">
        <f>IF(#REF!,"AAAAAH/1rp0=",0)</f>
        <v>#REF!</v>
      </c>
      <c r="FC146" t="e">
        <f>IF(#REF!,"AAAAAH/1rp4=",0)</f>
        <v>#REF!</v>
      </c>
      <c r="FD146" t="e">
        <f>IF(#REF!,"AAAAAH/1rp8=",0)</f>
        <v>#REF!</v>
      </c>
      <c r="FE146" t="e">
        <f>IF(#REF!,"AAAAAH/1rqA=",0)</f>
        <v>#REF!</v>
      </c>
      <c r="FF146" t="e">
        <f>IF(#REF!,"AAAAAH/1rqE=",0)</f>
        <v>#REF!</v>
      </c>
      <c r="FG146" t="e">
        <f>IF(#REF!,"AAAAAH/1rqI=",0)</f>
        <v>#REF!</v>
      </c>
      <c r="FH146" t="e">
        <f>IF(#REF!,"AAAAAH/1rqM=",0)</f>
        <v>#REF!</v>
      </c>
      <c r="FI146" t="e">
        <f>IF(#REF!,"AAAAAH/1rqQ=",0)</f>
        <v>#REF!</v>
      </c>
      <c r="FJ146" t="e">
        <f>IF(#REF!,"AAAAAH/1rqU=",0)</f>
        <v>#REF!</v>
      </c>
      <c r="FK146" t="e">
        <f>IF(#REF!,"AAAAAH/1rqY=",0)</f>
        <v>#REF!</v>
      </c>
      <c r="FL146" t="e">
        <f>IF(#REF!,"AAAAAH/1rqc=",0)</f>
        <v>#REF!</v>
      </c>
      <c r="FM146" t="e">
        <f>IF(#REF!,"AAAAAH/1rqg=",0)</f>
        <v>#REF!</v>
      </c>
      <c r="FN146" t="e">
        <f>IF(#REF!,"AAAAAH/1rqk=",0)</f>
        <v>#REF!</v>
      </c>
      <c r="FO146" t="e">
        <f>IF(#REF!,"AAAAAH/1rqo=",0)</f>
        <v>#REF!</v>
      </c>
      <c r="FP146" t="e">
        <f>IF(#REF!,"AAAAAH/1rqs=",0)</f>
        <v>#REF!</v>
      </c>
      <c r="FQ146" t="e">
        <f>IF(#REF!,"AAAAAH/1rqw=",0)</f>
        <v>#REF!</v>
      </c>
      <c r="FR146" t="e">
        <f>IF(#REF!,"AAAAAH/1rq0=",0)</f>
        <v>#REF!</v>
      </c>
      <c r="FS146" t="e">
        <f>IF(#REF!,"AAAAAH/1rq4=",0)</f>
        <v>#REF!</v>
      </c>
      <c r="FT146" t="e">
        <f>IF(#REF!,"AAAAAH/1rq8=",0)</f>
        <v>#REF!</v>
      </c>
      <c r="FU146" t="e">
        <f>IF(#REF!,"AAAAAH/1rrA=",0)</f>
        <v>#REF!</v>
      </c>
      <c r="FV146" t="e">
        <f>IF(#REF!,"AAAAAH/1rrE=",0)</f>
        <v>#REF!</v>
      </c>
      <c r="FW146" t="e">
        <f>IF(#REF!,"AAAAAH/1rrI=",0)</f>
        <v>#REF!</v>
      </c>
      <c r="FX146" t="e">
        <f>IF(#REF!,"AAAAAH/1rrM=",0)</f>
        <v>#REF!</v>
      </c>
      <c r="FY146" t="e">
        <f>IF(#REF!,"AAAAAH/1rrQ=",0)</f>
        <v>#REF!</v>
      </c>
      <c r="FZ146" t="e">
        <f>IF(#REF!,"AAAAAH/1rrU=",0)</f>
        <v>#REF!</v>
      </c>
      <c r="GA146" t="e">
        <f>IF(#REF!,"AAAAAH/1rrY=",0)</f>
        <v>#REF!</v>
      </c>
      <c r="GB146" t="e">
        <f>IF(#REF!,"AAAAAH/1rrc=",0)</f>
        <v>#REF!</v>
      </c>
      <c r="GC146" t="e">
        <f>IF(#REF!,"AAAAAH/1rrg=",0)</f>
        <v>#REF!</v>
      </c>
      <c r="GD146" t="e">
        <f>IF(#REF!,"AAAAAH/1rrk=",0)</f>
        <v>#REF!</v>
      </c>
      <c r="GE146" t="e">
        <f>IF(#REF!,"AAAAAH/1rro=",0)</f>
        <v>#REF!</v>
      </c>
      <c r="GF146" t="e">
        <f>IF(#REF!,"AAAAAH/1rrs=",0)</f>
        <v>#REF!</v>
      </c>
      <c r="GG146" t="e">
        <f>IF(#REF!,"AAAAAH/1rrw=",0)</f>
        <v>#REF!</v>
      </c>
      <c r="GH146" t="e">
        <f>IF(#REF!,"AAAAAH/1rr0=",0)</f>
        <v>#REF!</v>
      </c>
      <c r="GI146" t="e">
        <f>IF(#REF!,"AAAAAH/1rr4=",0)</f>
        <v>#REF!</v>
      </c>
      <c r="GJ146" t="e">
        <f>IF(#REF!,"AAAAAH/1rr8=",0)</f>
        <v>#REF!</v>
      </c>
      <c r="GK146" t="e">
        <f>IF(#REF!,"AAAAAH/1rsA=",0)</f>
        <v>#REF!</v>
      </c>
      <c r="GL146" t="e">
        <f>IF(#REF!,"AAAAAH/1rsE=",0)</f>
        <v>#REF!</v>
      </c>
      <c r="GM146" t="e">
        <f>IF(#REF!,"AAAAAH/1rsI=",0)</f>
        <v>#REF!</v>
      </c>
      <c r="GN146" t="e">
        <f>IF(#REF!,"AAAAAH/1rsM=",0)</f>
        <v>#REF!</v>
      </c>
      <c r="GO146" t="e">
        <f>IF(#REF!,"AAAAAH/1rsQ=",0)</f>
        <v>#REF!</v>
      </c>
      <c r="GP146" t="e">
        <f>IF(#REF!,"AAAAAH/1rsU=",0)</f>
        <v>#REF!</v>
      </c>
      <c r="GQ146" t="e">
        <f>IF(#REF!,"AAAAAH/1rsY=",0)</f>
        <v>#REF!</v>
      </c>
      <c r="GR146" t="e">
        <f>IF(#REF!,"AAAAAH/1rsc=",0)</f>
        <v>#REF!</v>
      </c>
      <c r="GS146" t="e">
        <f>IF(#REF!,"AAAAAH/1rsg=",0)</f>
        <v>#REF!</v>
      </c>
      <c r="GT146" t="e">
        <f>IF(#REF!,"AAAAAH/1rsk=",0)</f>
        <v>#REF!</v>
      </c>
      <c r="GU146" t="e">
        <f>IF(#REF!,"AAAAAH/1rso=",0)</f>
        <v>#REF!</v>
      </c>
      <c r="GV146" t="e">
        <f>IF(#REF!,"AAAAAH/1rss=",0)</f>
        <v>#REF!</v>
      </c>
      <c r="GW146" t="e">
        <f>IF(#REF!,"AAAAAH/1rsw=",0)</f>
        <v>#REF!</v>
      </c>
      <c r="GX146" t="e">
        <f>IF(#REF!,"AAAAAH/1rs0=",0)</f>
        <v>#REF!</v>
      </c>
      <c r="GY146" t="e">
        <f>IF(#REF!,"AAAAAH/1rs4=",0)</f>
        <v>#REF!</v>
      </c>
      <c r="GZ146" t="e">
        <f>IF(#REF!,"AAAAAH/1rs8=",0)</f>
        <v>#REF!</v>
      </c>
      <c r="HA146" t="e">
        <f>IF(#REF!,"AAAAAH/1rtA=",0)</f>
        <v>#REF!</v>
      </c>
      <c r="HB146" t="e">
        <f>IF(#REF!,"AAAAAH/1rtE=",0)</f>
        <v>#REF!</v>
      </c>
      <c r="HC146" t="e">
        <f>IF(#REF!,"AAAAAH/1rtI=",0)</f>
        <v>#REF!</v>
      </c>
      <c r="HD146" t="e">
        <f>IF(#REF!,"AAAAAH/1rtM=",0)</f>
        <v>#REF!</v>
      </c>
      <c r="HE146" t="e">
        <f>IF(#REF!,"AAAAAH/1rtQ=",0)</f>
        <v>#REF!</v>
      </c>
      <c r="HF146" t="e">
        <f>IF(#REF!,"AAAAAH/1rtU=",0)</f>
        <v>#REF!</v>
      </c>
      <c r="HG146" t="e">
        <f>IF(#REF!,"AAAAAH/1rtY=",0)</f>
        <v>#REF!</v>
      </c>
      <c r="HH146" t="e">
        <f>IF(#REF!,"AAAAAH/1rtc=",0)</f>
        <v>#REF!</v>
      </c>
      <c r="HI146" t="e">
        <f>IF(#REF!,"AAAAAH/1rtg=",0)</f>
        <v>#REF!</v>
      </c>
      <c r="HJ146" t="e">
        <f>IF(#REF!,"AAAAAH/1rtk=",0)</f>
        <v>#REF!</v>
      </c>
      <c r="HK146" t="e">
        <f>IF(#REF!,"AAAAAH/1rto=",0)</f>
        <v>#REF!</v>
      </c>
      <c r="HL146" t="e">
        <f>IF(#REF!,"AAAAAH/1rts=",0)</f>
        <v>#REF!</v>
      </c>
      <c r="HM146" t="e">
        <f>IF(#REF!,"AAAAAH/1rtw=",0)</f>
        <v>#REF!</v>
      </c>
      <c r="HN146" t="e">
        <f>IF(#REF!,"AAAAAH/1rt0=",0)</f>
        <v>#REF!</v>
      </c>
      <c r="HO146" t="e">
        <f>IF(#REF!,"AAAAAH/1rt4=",0)</f>
        <v>#REF!</v>
      </c>
      <c r="HP146" t="e">
        <f>IF(#REF!,"AAAAAH/1rt8=",0)</f>
        <v>#REF!</v>
      </c>
      <c r="HQ146" t="e">
        <f>IF(#REF!,"AAAAAH/1ruA=",0)</f>
        <v>#REF!</v>
      </c>
      <c r="HR146" t="e">
        <f>IF(#REF!,"AAAAAH/1ruE=",0)</f>
        <v>#REF!</v>
      </c>
      <c r="HS146" t="e">
        <f>IF(#REF!,"AAAAAH/1ruI=",0)</f>
        <v>#REF!</v>
      </c>
      <c r="HT146" t="e">
        <f>IF(#REF!,"AAAAAH/1ruM=",0)</f>
        <v>#REF!</v>
      </c>
      <c r="HU146" t="e">
        <f>IF(#REF!,"AAAAAH/1ruQ=",0)</f>
        <v>#REF!</v>
      </c>
      <c r="HV146" t="e">
        <f>IF(#REF!,"AAAAAH/1ruU=",0)</f>
        <v>#REF!</v>
      </c>
      <c r="HW146" t="e">
        <f>IF(#REF!,"AAAAAH/1ruY=",0)</f>
        <v>#REF!</v>
      </c>
      <c r="HX146" t="e">
        <f>IF(#REF!,"AAAAAH/1ruc=",0)</f>
        <v>#REF!</v>
      </c>
      <c r="HY146" t="e">
        <f>IF(#REF!,"AAAAAH/1rug=",0)</f>
        <v>#REF!</v>
      </c>
      <c r="HZ146" t="e">
        <f>IF(#REF!,"AAAAAH/1ruk=",0)</f>
        <v>#REF!</v>
      </c>
      <c r="IA146" t="e">
        <f>IF(#REF!,"AAAAAH/1ruo=",0)</f>
        <v>#REF!</v>
      </c>
      <c r="IB146" t="e">
        <f>IF(#REF!,"AAAAAH/1rus=",0)</f>
        <v>#REF!</v>
      </c>
      <c r="IC146" t="e">
        <f>IF(#REF!,"AAAAAH/1ruw=",0)</f>
        <v>#REF!</v>
      </c>
      <c r="ID146" t="e">
        <f>IF(#REF!,"AAAAAH/1ru0=",0)</f>
        <v>#REF!</v>
      </c>
      <c r="IE146" t="e">
        <f>IF(#REF!,"AAAAAH/1ru4=",0)</f>
        <v>#REF!</v>
      </c>
      <c r="IF146" t="e">
        <f>IF(#REF!,"AAAAAH/1ru8=",0)</f>
        <v>#REF!</v>
      </c>
      <c r="IG146" t="e">
        <f>IF(#REF!,"AAAAAH/1rvA=",0)</f>
        <v>#REF!</v>
      </c>
      <c r="IH146" t="e">
        <f>IF(#REF!,"AAAAAH/1rvE=",0)</f>
        <v>#REF!</v>
      </c>
      <c r="II146" t="e">
        <f>IF(#REF!,"AAAAAH/1rvI=",0)</f>
        <v>#REF!</v>
      </c>
      <c r="IJ146" t="e">
        <f>IF(#REF!,"AAAAAH/1rvM=",0)</f>
        <v>#REF!</v>
      </c>
      <c r="IK146" t="e">
        <f>IF(#REF!,"AAAAAH/1rvQ=",0)</f>
        <v>#REF!</v>
      </c>
      <c r="IL146" t="e">
        <f>IF(#REF!,"AAAAAH/1rvU=",0)</f>
        <v>#REF!</v>
      </c>
      <c r="IM146" t="e">
        <f>IF(#REF!,"AAAAAH/1rvY=",0)</f>
        <v>#REF!</v>
      </c>
      <c r="IN146" t="e">
        <f>IF(#REF!,"AAAAAH/1rvc=",0)</f>
        <v>#REF!</v>
      </c>
      <c r="IO146" t="e">
        <f>IF(#REF!,"AAAAAH/1rvg=",0)</f>
        <v>#REF!</v>
      </c>
      <c r="IP146" t="e">
        <f>IF(#REF!,"AAAAAH/1rvk=",0)</f>
        <v>#REF!</v>
      </c>
      <c r="IQ146" t="e">
        <f>IF(#REF!,"AAAAAH/1rvo=",0)</f>
        <v>#REF!</v>
      </c>
      <c r="IR146" t="e">
        <f>IF(#REF!,"AAAAAH/1rvs=",0)</f>
        <v>#REF!</v>
      </c>
      <c r="IS146" t="e">
        <f>IF(#REF!,"AAAAAH/1rvw=",0)</f>
        <v>#REF!</v>
      </c>
      <c r="IT146" t="e">
        <f>IF(#REF!,"AAAAAH/1rv0=",0)</f>
        <v>#REF!</v>
      </c>
      <c r="IU146" t="e">
        <f>IF(#REF!,"AAAAAH/1rv4=",0)</f>
        <v>#REF!</v>
      </c>
      <c r="IV146" t="e">
        <f>IF(#REF!,"AAAAAH/1rv8=",0)</f>
        <v>#REF!</v>
      </c>
    </row>
    <row r="147" spans="1:256">
      <c r="A147" t="e">
        <f>IF(#REF!,"AAAAAH/fXwA=",0)</f>
        <v>#REF!</v>
      </c>
      <c r="B147" t="e">
        <f>IF(#REF!,"AAAAAH/fXwE=",0)</f>
        <v>#REF!</v>
      </c>
      <c r="C147" t="e">
        <f>IF(#REF!,"AAAAAH/fXwI=",0)</f>
        <v>#REF!</v>
      </c>
      <c r="D147" t="e">
        <f>IF(#REF!,"AAAAAH/fXwM=",0)</f>
        <v>#REF!</v>
      </c>
      <c r="E147" t="e">
        <f>IF(#REF!,"AAAAAH/fXwQ=",0)</f>
        <v>#REF!</v>
      </c>
      <c r="F147" t="e">
        <f>IF(#REF!,"AAAAAH/fXwU=",0)</f>
        <v>#REF!</v>
      </c>
      <c r="G147" t="e">
        <f>IF(#REF!,"AAAAAH/fXwY=",0)</f>
        <v>#REF!</v>
      </c>
      <c r="H147" t="e">
        <f>IF(#REF!,"AAAAAH/fXwc=",0)</f>
        <v>#REF!</v>
      </c>
      <c r="I147" t="e">
        <f>IF(#REF!,"AAAAAH/fXwg=",0)</f>
        <v>#REF!</v>
      </c>
      <c r="J147" t="e">
        <f>IF(#REF!,"AAAAAH/fXwk=",0)</f>
        <v>#REF!</v>
      </c>
      <c r="K147" t="e">
        <f>IF(#REF!,"AAAAAH/fXwo=",0)</f>
        <v>#REF!</v>
      </c>
      <c r="L147" t="e">
        <f>IF(#REF!,"AAAAAH/fXws=",0)</f>
        <v>#REF!</v>
      </c>
      <c r="M147" t="e">
        <f>IF(#REF!,"AAAAAH/fXww=",0)</f>
        <v>#REF!</v>
      </c>
      <c r="N147" t="e">
        <f>IF(#REF!,"AAAAAH/fXw0=",0)</f>
        <v>#REF!</v>
      </c>
      <c r="O147" t="e">
        <f>IF(#REF!,"AAAAAH/fXw4=",0)</f>
        <v>#REF!</v>
      </c>
      <c r="P147" t="e">
        <f>IF(#REF!,"AAAAAH/fXw8=",0)</f>
        <v>#REF!</v>
      </c>
      <c r="Q147" t="e">
        <f>IF(#REF!,"AAAAAH/fXxA=",0)</f>
        <v>#REF!</v>
      </c>
      <c r="R147" t="e">
        <f>IF(#REF!,"AAAAAH/fXxE=",0)</f>
        <v>#REF!</v>
      </c>
      <c r="S147" t="e">
        <f>IF(#REF!,"AAAAAH/fXxI=",0)</f>
        <v>#REF!</v>
      </c>
      <c r="T147" t="e">
        <f>IF(#REF!,"AAAAAH/fXxM=",0)</f>
        <v>#REF!</v>
      </c>
      <c r="U147" t="e">
        <f>IF(#REF!,"AAAAAH/fXxQ=",0)</f>
        <v>#REF!</v>
      </c>
      <c r="V147" t="e">
        <f>IF(#REF!,"AAAAAH/fXxU=",0)</f>
        <v>#REF!</v>
      </c>
      <c r="W147" t="e">
        <f>IF(#REF!,"AAAAAH/fXxY=",0)</f>
        <v>#REF!</v>
      </c>
      <c r="X147" t="e">
        <f>IF(#REF!,"AAAAAH/fXxc=",0)</f>
        <v>#REF!</v>
      </c>
      <c r="Y147" t="e">
        <f>IF(#REF!,"AAAAAH/fXxg=",0)</f>
        <v>#REF!</v>
      </c>
      <c r="Z147" t="e">
        <f>IF(#REF!,"AAAAAH/fXxk=",0)</f>
        <v>#REF!</v>
      </c>
      <c r="AA147" t="e">
        <f>IF(#REF!,"AAAAAH/fXxo=",0)</f>
        <v>#REF!</v>
      </c>
      <c r="AB147" t="e">
        <f>IF(#REF!,"AAAAAH/fXxs=",0)</f>
        <v>#REF!</v>
      </c>
      <c r="AC147" t="e">
        <f>IF(#REF!,"AAAAAH/fXxw=",0)</f>
        <v>#REF!</v>
      </c>
      <c r="AD147" t="e">
        <f>IF(#REF!,"AAAAAH/fXx0=",0)</f>
        <v>#REF!</v>
      </c>
      <c r="AE147" t="e">
        <f>IF(#REF!,"AAAAAH/fXx4=",0)</f>
        <v>#REF!</v>
      </c>
      <c r="AF147" t="e">
        <f>IF(#REF!,"AAAAAH/fXx8=",0)</f>
        <v>#REF!</v>
      </c>
      <c r="AG147" t="e">
        <f>IF(#REF!,"AAAAAH/fXyA=",0)</f>
        <v>#REF!</v>
      </c>
      <c r="AH147" t="e">
        <f>IF(#REF!,"AAAAAH/fXyE=",0)</f>
        <v>#REF!</v>
      </c>
      <c r="AI147" t="e">
        <f>IF(#REF!,"AAAAAH/fXyI=",0)</f>
        <v>#REF!</v>
      </c>
      <c r="AJ147" t="e">
        <f>IF(#REF!,"AAAAAH/fXyM=",0)</f>
        <v>#REF!</v>
      </c>
      <c r="AK147" t="e">
        <f>IF(#REF!,"AAAAAH/fXyQ=",0)</f>
        <v>#REF!</v>
      </c>
      <c r="AL147" t="e">
        <f>IF(#REF!,"AAAAAH/fXyU=",0)</f>
        <v>#REF!</v>
      </c>
      <c r="AM147" t="e">
        <f>IF(#REF!,"AAAAAH/fXyY=",0)</f>
        <v>#REF!</v>
      </c>
      <c r="AN147" t="e">
        <f>IF(#REF!,"AAAAAH/fXyc=",0)</f>
        <v>#REF!</v>
      </c>
      <c r="AO147" t="e">
        <f>IF(#REF!,"AAAAAH/fXyg=",0)</f>
        <v>#REF!</v>
      </c>
      <c r="AP147" t="e">
        <f>IF(#REF!,"AAAAAH/fXyk=",0)</f>
        <v>#REF!</v>
      </c>
      <c r="AQ147" t="e">
        <f>IF(#REF!,"AAAAAH/fXyo=",0)</f>
        <v>#REF!</v>
      </c>
      <c r="AR147" t="e">
        <f>IF(#REF!,"AAAAAH/fXys=",0)</f>
        <v>#REF!</v>
      </c>
      <c r="AS147" t="e">
        <f>IF(#REF!,"AAAAAH/fXyw=",0)</f>
        <v>#REF!</v>
      </c>
      <c r="AT147" t="e">
        <f>IF(#REF!,"AAAAAH/fXy0=",0)</f>
        <v>#REF!</v>
      </c>
      <c r="AU147" t="e">
        <f>IF(#REF!,"AAAAAH/fXy4=",0)</f>
        <v>#REF!</v>
      </c>
      <c r="AV147" t="e">
        <f>IF(#REF!,"AAAAAH/fXy8=",0)</f>
        <v>#REF!</v>
      </c>
      <c r="AW147" t="e">
        <f>IF(#REF!,"AAAAAH/fXzA=",0)</f>
        <v>#REF!</v>
      </c>
      <c r="AX147" t="e">
        <f>IF(#REF!,"AAAAAH/fXzE=",0)</f>
        <v>#REF!</v>
      </c>
      <c r="AY147" t="e">
        <f>IF(#REF!,"AAAAAH/fXzI=",0)</f>
        <v>#REF!</v>
      </c>
      <c r="AZ147" t="e">
        <f>IF(#REF!,"AAAAAH/fXzM=",0)</f>
        <v>#REF!</v>
      </c>
      <c r="BA147" t="e">
        <f>IF(#REF!,"AAAAAH/fXzQ=",0)</f>
        <v>#REF!</v>
      </c>
      <c r="BB147" t="e">
        <f>IF(#REF!,"AAAAAH/fXzU=",0)</f>
        <v>#REF!</v>
      </c>
      <c r="BC147" t="e">
        <f>IF(#REF!,"AAAAAH/fXzY=",0)</f>
        <v>#REF!</v>
      </c>
      <c r="BD147" t="e">
        <f>IF(#REF!,"AAAAAH/fXzc=",0)</f>
        <v>#REF!</v>
      </c>
      <c r="BE147" t="e">
        <f>IF(#REF!,"AAAAAH/fXzg=",0)</f>
        <v>#REF!</v>
      </c>
      <c r="BF147" t="e">
        <f>IF(#REF!,"AAAAAH/fXzk=",0)</f>
        <v>#REF!</v>
      </c>
      <c r="BG147" t="e">
        <f>IF(#REF!,"AAAAAH/fXzo=",0)</f>
        <v>#REF!</v>
      </c>
      <c r="BH147" t="e">
        <f>IF(#REF!,"AAAAAH/fXzs=",0)</f>
        <v>#REF!</v>
      </c>
      <c r="BI147" t="e">
        <f>IF(#REF!,"AAAAAH/fXzw=",0)</f>
        <v>#REF!</v>
      </c>
      <c r="BJ147" t="e">
        <f>IF(#REF!,"AAAAAH/fXz0=",0)</f>
        <v>#REF!</v>
      </c>
      <c r="BK147" t="e">
        <f>IF(#REF!,"AAAAAH/fXz4=",0)</f>
        <v>#REF!</v>
      </c>
      <c r="BL147" t="e">
        <f>IF(#REF!,"AAAAAH/fXz8=",0)</f>
        <v>#REF!</v>
      </c>
      <c r="BM147" t="e">
        <f>IF(#REF!,"AAAAAH/fX0A=",0)</f>
        <v>#REF!</v>
      </c>
      <c r="BN147" t="e">
        <f>IF(#REF!,"AAAAAH/fX0E=",0)</f>
        <v>#REF!</v>
      </c>
      <c r="BO147" t="e">
        <f>IF(#REF!,"AAAAAH/fX0I=",0)</f>
        <v>#REF!</v>
      </c>
      <c r="BP147" t="e">
        <f>IF(#REF!,"AAAAAH/fX0M=",0)</f>
        <v>#REF!</v>
      </c>
      <c r="BQ147" t="e">
        <f>IF(#REF!,"AAAAAH/fX0Q=",0)</f>
        <v>#REF!</v>
      </c>
      <c r="BR147" t="e">
        <f>IF(#REF!,"AAAAAH/fX0U=",0)</f>
        <v>#REF!</v>
      </c>
      <c r="BS147" t="e">
        <f>IF(#REF!,"AAAAAH/fX0Y=",0)</f>
        <v>#REF!</v>
      </c>
      <c r="BT147" t="e">
        <f>IF(#REF!,"AAAAAH/fX0c=",0)</f>
        <v>#REF!</v>
      </c>
      <c r="BU147" t="e">
        <f>IF(#REF!,"AAAAAH/fX0g=",0)</f>
        <v>#REF!</v>
      </c>
      <c r="BV147" t="e">
        <f>IF(#REF!,"AAAAAH/fX0k=",0)</f>
        <v>#REF!</v>
      </c>
      <c r="BW147" t="e">
        <f>IF(#REF!,"AAAAAH/fX0o=",0)</f>
        <v>#REF!</v>
      </c>
      <c r="BX147" t="e">
        <f>IF(#REF!,"AAAAAH/fX0s=",0)</f>
        <v>#REF!</v>
      </c>
      <c r="BY147" t="e">
        <f>IF(#REF!,"AAAAAH/fX0w=",0)</f>
        <v>#REF!</v>
      </c>
      <c r="BZ147" t="e">
        <f>IF(#REF!,"AAAAAH/fX00=",0)</f>
        <v>#REF!</v>
      </c>
      <c r="CA147" t="e">
        <f>IF(#REF!,"AAAAAH/fX04=",0)</f>
        <v>#REF!</v>
      </c>
      <c r="CB147" t="e">
        <f>IF(#REF!,"AAAAAH/fX08=",0)</f>
        <v>#REF!</v>
      </c>
      <c r="CC147" t="e">
        <f>IF(#REF!,"AAAAAH/fX1A=",0)</f>
        <v>#REF!</v>
      </c>
      <c r="CD147" t="e">
        <f>IF(#REF!,"AAAAAH/fX1E=",0)</f>
        <v>#REF!</v>
      </c>
      <c r="CE147" t="e">
        <f>IF(#REF!,"AAAAAH/fX1I=",0)</f>
        <v>#REF!</v>
      </c>
      <c r="CF147" t="e">
        <f>IF(#REF!,"AAAAAH/fX1M=",0)</f>
        <v>#REF!</v>
      </c>
      <c r="CG147" t="e">
        <f>IF(#REF!,"AAAAAH/fX1Q=",0)</f>
        <v>#REF!</v>
      </c>
      <c r="CH147" t="e">
        <f>IF(#REF!,"AAAAAH/fX1U=",0)</f>
        <v>#REF!</v>
      </c>
      <c r="CI147" t="e">
        <f>IF(#REF!,"AAAAAH/fX1Y=",0)</f>
        <v>#REF!</v>
      </c>
      <c r="CJ147" t="e">
        <f>IF(#REF!,"AAAAAH/fX1c=",0)</f>
        <v>#REF!</v>
      </c>
      <c r="CK147" t="e">
        <f>IF(#REF!,"AAAAAH/fX1g=",0)</f>
        <v>#REF!</v>
      </c>
      <c r="CL147" t="e">
        <f>IF(#REF!,"AAAAAH/fX1k=",0)</f>
        <v>#REF!</v>
      </c>
      <c r="CM147" t="e">
        <f>IF(#REF!,"AAAAAH/fX1o=",0)</f>
        <v>#REF!</v>
      </c>
      <c r="CN147" t="e">
        <f>IF(#REF!,"AAAAAH/fX1s=",0)</f>
        <v>#REF!</v>
      </c>
      <c r="CO147" t="e">
        <f>IF(#REF!,"AAAAAH/fX1w=",0)</f>
        <v>#REF!</v>
      </c>
      <c r="CP147" t="e">
        <f>IF(#REF!,"AAAAAH/fX10=",0)</f>
        <v>#REF!</v>
      </c>
      <c r="CQ147" t="e">
        <f>IF(#REF!,"AAAAAH/fX14=",0)</f>
        <v>#REF!</v>
      </c>
      <c r="CR147" t="e">
        <f>IF(#REF!,"AAAAAH/fX18=",0)</f>
        <v>#REF!</v>
      </c>
      <c r="CS147" t="e">
        <f>IF(#REF!,"AAAAAH/fX2A=",0)</f>
        <v>#REF!</v>
      </c>
      <c r="CT147" t="e">
        <f>IF(#REF!,"AAAAAH/fX2E=",0)</f>
        <v>#REF!</v>
      </c>
      <c r="CU147" t="e">
        <f>IF(#REF!,"AAAAAH/fX2I=",0)</f>
        <v>#REF!</v>
      </c>
      <c r="CV147" t="e">
        <f>IF(#REF!,"AAAAAH/fX2M=",0)</f>
        <v>#REF!</v>
      </c>
      <c r="CW147" t="e">
        <f>IF(#REF!,"AAAAAH/fX2Q=",0)</f>
        <v>#REF!</v>
      </c>
      <c r="CX147" t="e">
        <f>IF(#REF!,"AAAAAH/fX2U=",0)</f>
        <v>#REF!</v>
      </c>
      <c r="CY147" t="e">
        <f>IF(#REF!,"AAAAAH/fX2Y=",0)</f>
        <v>#REF!</v>
      </c>
      <c r="CZ147" t="e">
        <f>IF(#REF!,"AAAAAH/fX2c=",0)</f>
        <v>#REF!</v>
      </c>
      <c r="DA147" t="e">
        <f>IF(#REF!,"AAAAAH/fX2g=",0)</f>
        <v>#REF!</v>
      </c>
      <c r="DB147" t="e">
        <f>IF(#REF!,"AAAAAH/fX2k=",0)</f>
        <v>#REF!</v>
      </c>
      <c r="DC147" t="e">
        <f>IF(#REF!,"AAAAAH/fX2o=",0)</f>
        <v>#REF!</v>
      </c>
      <c r="DD147" t="e">
        <f>IF(#REF!,"AAAAAH/fX2s=",0)</f>
        <v>#REF!</v>
      </c>
      <c r="DE147" t="e">
        <f>IF(#REF!,"AAAAAH/fX2w=",0)</f>
        <v>#REF!</v>
      </c>
      <c r="DF147" t="e">
        <f>IF(#REF!,"AAAAAH/fX20=",0)</f>
        <v>#REF!</v>
      </c>
      <c r="DG147" t="e">
        <f>IF(#REF!,"AAAAAH/fX24=",0)</f>
        <v>#REF!</v>
      </c>
      <c r="DH147" t="e">
        <f>IF(#REF!,"AAAAAH/fX28=",0)</f>
        <v>#REF!</v>
      </c>
      <c r="DI147" t="e">
        <f>IF(#REF!,"AAAAAH/fX3A=",0)</f>
        <v>#REF!</v>
      </c>
      <c r="DJ147" t="e">
        <f>IF(#REF!,"AAAAAH/fX3E=",0)</f>
        <v>#REF!</v>
      </c>
      <c r="DK147" t="e">
        <f>IF(#REF!,"AAAAAH/fX3I=",0)</f>
        <v>#REF!</v>
      </c>
      <c r="DL147" t="e">
        <f>IF(#REF!,"AAAAAH/fX3M=",0)</f>
        <v>#REF!</v>
      </c>
      <c r="DM147" t="e">
        <f>IF(#REF!,"AAAAAH/fX3Q=",0)</f>
        <v>#REF!</v>
      </c>
      <c r="DN147" t="e">
        <f>IF(#REF!,"AAAAAH/fX3U=",0)</f>
        <v>#REF!</v>
      </c>
      <c r="DO147" t="e">
        <f>IF(#REF!,"AAAAAH/fX3Y=",0)</f>
        <v>#REF!</v>
      </c>
      <c r="DP147" t="e">
        <f>IF(#REF!,"AAAAAH/fX3c=",0)</f>
        <v>#REF!</v>
      </c>
      <c r="DQ147" t="e">
        <f>IF(#REF!,"AAAAAH/fX3g=",0)</f>
        <v>#REF!</v>
      </c>
      <c r="DR147" t="e">
        <f>IF(#REF!,"AAAAAH/fX3k=",0)</f>
        <v>#REF!</v>
      </c>
      <c r="DS147" t="e">
        <f>IF(#REF!,"AAAAAH/fX3o=",0)</f>
        <v>#REF!</v>
      </c>
      <c r="DT147" t="e">
        <f>IF(#REF!,"AAAAAH/fX3s=",0)</f>
        <v>#REF!</v>
      </c>
      <c r="DU147" t="e">
        <f>IF(#REF!,"AAAAAH/fX3w=",0)</f>
        <v>#REF!</v>
      </c>
      <c r="DV147" t="e">
        <f>IF(#REF!,"AAAAAH/fX30=",0)</f>
        <v>#REF!</v>
      </c>
      <c r="DW147" t="e">
        <f>IF(#REF!,"AAAAAH/fX34=",0)</f>
        <v>#REF!</v>
      </c>
      <c r="DX147" t="e">
        <f>IF(#REF!,"AAAAAH/fX38=",0)</f>
        <v>#REF!</v>
      </c>
      <c r="DY147" t="e">
        <f>IF(#REF!,"AAAAAH/fX4A=",0)</f>
        <v>#REF!</v>
      </c>
      <c r="DZ147" t="e">
        <f>IF(#REF!,"AAAAAH/fX4E=",0)</f>
        <v>#REF!</v>
      </c>
      <c r="EA147" t="e">
        <f>IF(#REF!,"AAAAAH/fX4I=",0)</f>
        <v>#REF!</v>
      </c>
      <c r="EB147" t="e">
        <f>IF(#REF!,"AAAAAH/fX4M=",0)</f>
        <v>#REF!</v>
      </c>
      <c r="EC147" t="e">
        <f>IF(#REF!,"AAAAAH/fX4Q=",0)</f>
        <v>#REF!</v>
      </c>
      <c r="ED147" t="e">
        <f>IF(#REF!,"AAAAAH/fX4U=",0)</f>
        <v>#REF!</v>
      </c>
      <c r="EE147" t="e">
        <f>IF(#REF!,"AAAAAH/fX4Y=",0)</f>
        <v>#REF!</v>
      </c>
      <c r="EF147" t="e">
        <f>IF(#REF!,"AAAAAH/fX4c=",0)</f>
        <v>#REF!</v>
      </c>
      <c r="EG147" t="e">
        <f>IF(#REF!,"AAAAAH/fX4g=",0)</f>
        <v>#REF!</v>
      </c>
      <c r="EH147" t="e">
        <f>IF(#REF!,"AAAAAH/fX4k=",0)</f>
        <v>#REF!</v>
      </c>
      <c r="EI147" t="e">
        <f>IF(#REF!,"AAAAAH/fX4o=",0)</f>
        <v>#REF!</v>
      </c>
      <c r="EJ147" t="e">
        <f>IF(#REF!,"AAAAAH/fX4s=",0)</f>
        <v>#REF!</v>
      </c>
      <c r="EK147" t="e">
        <f>IF(#REF!,"AAAAAH/fX4w=",0)</f>
        <v>#REF!</v>
      </c>
      <c r="EL147" t="e">
        <f>IF(#REF!,"AAAAAH/fX40=",0)</f>
        <v>#REF!</v>
      </c>
      <c r="EM147" t="e">
        <f>IF(#REF!,"AAAAAH/fX44=",0)</f>
        <v>#REF!</v>
      </c>
      <c r="EN147" t="e">
        <f>IF(#REF!,"AAAAAH/fX48=",0)</f>
        <v>#REF!</v>
      </c>
      <c r="EO147" t="e">
        <f>IF(#REF!,"AAAAAH/fX5A=",0)</f>
        <v>#REF!</v>
      </c>
      <c r="EP147" t="e">
        <f>IF(#REF!,"AAAAAH/fX5E=",0)</f>
        <v>#REF!</v>
      </c>
      <c r="EQ147" t="e">
        <f>IF(#REF!,"AAAAAH/fX5I=",0)</f>
        <v>#REF!</v>
      </c>
      <c r="ER147" t="e">
        <f>IF(#REF!,"AAAAAH/fX5M=",0)</f>
        <v>#REF!</v>
      </c>
      <c r="ES147" t="e">
        <f>IF(#REF!,"AAAAAH/fX5Q=",0)</f>
        <v>#REF!</v>
      </c>
      <c r="ET147" t="e">
        <f>IF(#REF!,"AAAAAH/fX5U=",0)</f>
        <v>#REF!</v>
      </c>
      <c r="EU147" t="e">
        <f>IF(#REF!,"AAAAAH/fX5Y=",0)</f>
        <v>#REF!</v>
      </c>
      <c r="EV147" t="e">
        <f>IF(#REF!,"AAAAAH/fX5c=",0)</f>
        <v>#REF!</v>
      </c>
      <c r="EW147" t="e">
        <f>IF(#REF!,"AAAAAH/fX5g=",0)</f>
        <v>#REF!</v>
      </c>
      <c r="EX147" t="e">
        <f>IF(#REF!,"AAAAAH/fX5k=",0)</f>
        <v>#REF!</v>
      </c>
      <c r="EY147" t="e">
        <f>IF(#REF!,"AAAAAH/fX5o=",0)</f>
        <v>#REF!</v>
      </c>
      <c r="EZ147" t="e">
        <f>IF(#REF!,"AAAAAH/fX5s=",0)</f>
        <v>#REF!</v>
      </c>
      <c r="FA147" t="e">
        <f>IF(#REF!,"AAAAAH/fX5w=",0)</f>
        <v>#REF!</v>
      </c>
      <c r="FB147" t="e">
        <f>IF(#REF!,"AAAAAH/fX50=",0)</f>
        <v>#REF!</v>
      </c>
      <c r="FC147" t="e">
        <f>IF(#REF!,"AAAAAH/fX54=",0)</f>
        <v>#REF!</v>
      </c>
      <c r="FD147" t="e">
        <f>IF(#REF!,"AAAAAH/fX58=",0)</f>
        <v>#REF!</v>
      </c>
      <c r="FE147" t="e">
        <f>IF(#REF!,"AAAAAH/fX6A=",0)</f>
        <v>#REF!</v>
      </c>
      <c r="FF147" t="e">
        <f>IF(#REF!,"AAAAAH/fX6E=",0)</f>
        <v>#REF!</v>
      </c>
      <c r="FG147" t="e">
        <f>IF(#REF!,"AAAAAH/fX6I=",0)</f>
        <v>#REF!</v>
      </c>
      <c r="FH147" t="e">
        <f>IF(#REF!,"AAAAAH/fX6M=",0)</f>
        <v>#REF!</v>
      </c>
      <c r="FI147" t="e">
        <f>IF(#REF!,"AAAAAH/fX6Q=",0)</f>
        <v>#REF!</v>
      </c>
      <c r="FJ147" t="e">
        <f>IF(#REF!,"AAAAAH/fX6U=",0)</f>
        <v>#REF!</v>
      </c>
      <c r="FK147" t="e">
        <f>IF(#REF!,"AAAAAH/fX6Y=",0)</f>
        <v>#REF!</v>
      </c>
      <c r="FL147" t="e">
        <f>IF(#REF!,"AAAAAH/fX6c=",0)</f>
        <v>#REF!</v>
      </c>
      <c r="FM147" t="e">
        <f>IF(#REF!,"AAAAAH/fX6g=",0)</f>
        <v>#REF!</v>
      </c>
      <c r="FN147" t="e">
        <f>IF(#REF!,"AAAAAH/fX6k=",0)</f>
        <v>#REF!</v>
      </c>
      <c r="FO147" t="e">
        <f>IF(#REF!,"AAAAAH/fX6o=",0)</f>
        <v>#REF!</v>
      </c>
      <c r="FP147" t="e">
        <f>IF(#REF!,"AAAAAH/fX6s=",0)</f>
        <v>#REF!</v>
      </c>
      <c r="FQ147" t="e">
        <f>IF(#REF!,"AAAAAH/fX6w=",0)</f>
        <v>#REF!</v>
      </c>
      <c r="FR147" t="e">
        <f>IF(#REF!,"AAAAAH/fX60=",0)</f>
        <v>#REF!</v>
      </c>
      <c r="FS147" t="e">
        <f>IF(#REF!,"AAAAAH/fX64=",0)</f>
        <v>#REF!</v>
      </c>
      <c r="FT147" t="e">
        <f>IF(#REF!,"AAAAAH/fX68=",0)</f>
        <v>#REF!</v>
      </c>
      <c r="FU147" t="e">
        <f>IF(#REF!,"AAAAAH/fX7A=",0)</f>
        <v>#REF!</v>
      </c>
      <c r="FV147" t="e">
        <f>IF(#REF!,"AAAAAH/fX7E=",0)</f>
        <v>#REF!</v>
      </c>
      <c r="FW147" t="e">
        <f>IF(#REF!,"AAAAAH/fX7I=",0)</f>
        <v>#REF!</v>
      </c>
      <c r="FX147" t="e">
        <f>IF(#REF!,"AAAAAH/fX7M=",0)</f>
        <v>#REF!</v>
      </c>
      <c r="FY147" t="e">
        <f>IF(#REF!,"AAAAAH/fX7Q=",0)</f>
        <v>#REF!</v>
      </c>
      <c r="FZ147" t="e">
        <f>IF(#REF!,"AAAAAH/fX7U=",0)</f>
        <v>#REF!</v>
      </c>
      <c r="GA147" t="e">
        <f>IF(#REF!,"AAAAAH/fX7Y=",0)</f>
        <v>#REF!</v>
      </c>
      <c r="GB147" t="e">
        <f>IF(#REF!,"AAAAAH/fX7c=",0)</f>
        <v>#REF!</v>
      </c>
      <c r="GC147" t="e">
        <f>IF(#REF!,"AAAAAH/fX7g=",0)</f>
        <v>#REF!</v>
      </c>
      <c r="GD147" t="e">
        <f>IF(#REF!,"AAAAAH/fX7k=",0)</f>
        <v>#REF!</v>
      </c>
      <c r="GE147" t="e">
        <f>IF(#REF!,"AAAAAH/fX7o=",0)</f>
        <v>#REF!</v>
      </c>
      <c r="GF147" t="e">
        <f>IF(#REF!,"AAAAAH/fX7s=",0)</f>
        <v>#REF!</v>
      </c>
      <c r="GG147" t="e">
        <f>IF(#REF!,"AAAAAH/fX7w=",0)</f>
        <v>#REF!</v>
      </c>
      <c r="GH147" t="e">
        <f>IF(#REF!,"AAAAAH/fX70=",0)</f>
        <v>#REF!</v>
      </c>
      <c r="GI147" t="e">
        <f>IF(#REF!,"AAAAAH/fX74=",0)</f>
        <v>#REF!</v>
      </c>
      <c r="GJ147" t="e">
        <f>IF(#REF!,"AAAAAH/fX78=",0)</f>
        <v>#REF!</v>
      </c>
      <c r="GK147" t="e">
        <f>IF(#REF!,"AAAAAH/fX8A=",0)</f>
        <v>#REF!</v>
      </c>
      <c r="GL147" t="e">
        <f>IF(#REF!,"AAAAAH/fX8E=",0)</f>
        <v>#REF!</v>
      </c>
      <c r="GM147" t="e">
        <f>IF(#REF!,"AAAAAH/fX8I=",0)</f>
        <v>#REF!</v>
      </c>
      <c r="GN147" t="e">
        <f>IF(#REF!,"AAAAAH/fX8M=",0)</f>
        <v>#REF!</v>
      </c>
      <c r="GO147" t="e">
        <f>IF(#REF!,"AAAAAH/fX8Q=",0)</f>
        <v>#REF!</v>
      </c>
      <c r="GP147" t="e">
        <f>IF(#REF!,"AAAAAH/fX8U=",0)</f>
        <v>#REF!</v>
      </c>
      <c r="GQ147" t="e">
        <f>IF(#REF!,"AAAAAH/fX8Y=",0)</f>
        <v>#REF!</v>
      </c>
      <c r="GR147" t="e">
        <f>IF(#REF!,"AAAAAH/fX8c=",0)</f>
        <v>#REF!</v>
      </c>
      <c r="GS147" t="e">
        <f>IF(#REF!,"AAAAAH/fX8g=",0)</f>
        <v>#REF!</v>
      </c>
      <c r="GT147" t="e">
        <f>IF(#REF!,"AAAAAH/fX8k=",0)</f>
        <v>#REF!</v>
      </c>
      <c r="GU147" t="e">
        <f>IF(#REF!,"AAAAAH/fX8o=",0)</f>
        <v>#REF!</v>
      </c>
      <c r="GV147" t="e">
        <f>IF(#REF!,"AAAAAH/fX8s=",0)</f>
        <v>#REF!</v>
      </c>
      <c r="GW147" t="e">
        <f>IF(#REF!,"AAAAAH/fX8w=",0)</f>
        <v>#REF!</v>
      </c>
      <c r="GX147" t="e">
        <f>IF(#REF!,"AAAAAH/fX80=",0)</f>
        <v>#REF!</v>
      </c>
      <c r="GY147" t="e">
        <f>IF(#REF!,"AAAAAH/fX84=",0)</f>
        <v>#REF!</v>
      </c>
      <c r="GZ147" t="e">
        <f>IF(#REF!,"AAAAAH/fX88=",0)</f>
        <v>#REF!</v>
      </c>
      <c r="HA147" t="e">
        <f>IF(#REF!,"AAAAAH/fX9A=",0)</f>
        <v>#REF!</v>
      </c>
      <c r="HB147" t="e">
        <f>IF(#REF!,"AAAAAH/fX9E=",0)</f>
        <v>#REF!</v>
      </c>
      <c r="HC147" t="e">
        <f>IF(#REF!,"AAAAAH/fX9I=",0)</f>
        <v>#REF!</v>
      </c>
      <c r="HD147" t="e">
        <f>IF(#REF!,"AAAAAH/fX9M=",0)</f>
        <v>#REF!</v>
      </c>
      <c r="HE147" t="e">
        <f>IF(#REF!,"AAAAAH/fX9Q=",0)</f>
        <v>#REF!</v>
      </c>
      <c r="HF147" t="e">
        <f>IF(#REF!,"AAAAAH/fX9U=",0)</f>
        <v>#REF!</v>
      </c>
      <c r="HG147" t="e">
        <f>IF(#REF!,"AAAAAH/fX9Y=",0)</f>
        <v>#REF!</v>
      </c>
      <c r="HH147" t="e">
        <f>IF(#REF!,"AAAAAH/fX9c=",0)</f>
        <v>#REF!</v>
      </c>
      <c r="HI147" t="e">
        <f>IF(#REF!,"AAAAAH/fX9g=",0)</f>
        <v>#REF!</v>
      </c>
      <c r="HJ147" t="e">
        <f>IF(#REF!,"AAAAAH/fX9k=",0)</f>
        <v>#REF!</v>
      </c>
      <c r="HK147" t="e">
        <f>IF(#REF!,"AAAAAH/fX9o=",0)</f>
        <v>#REF!</v>
      </c>
      <c r="HL147" t="e">
        <f>IF(#REF!,"AAAAAH/fX9s=",0)</f>
        <v>#REF!</v>
      </c>
      <c r="HM147" t="e">
        <f>IF(#REF!,"AAAAAH/fX9w=",0)</f>
        <v>#REF!</v>
      </c>
      <c r="HN147" t="e">
        <f>IF(#REF!,"AAAAAH/fX90=",0)</f>
        <v>#REF!</v>
      </c>
      <c r="HO147" t="e">
        <f>IF(#REF!,"AAAAAH/fX94=",0)</f>
        <v>#REF!</v>
      </c>
      <c r="HP147" t="e">
        <f>IF(#REF!,"AAAAAH/fX98=",0)</f>
        <v>#REF!</v>
      </c>
      <c r="HQ147" t="e">
        <f>IF(#REF!,"AAAAAH/fX+A=",0)</f>
        <v>#REF!</v>
      </c>
      <c r="HR147" t="e">
        <f>IF(#REF!,"AAAAAH/fX+E=",0)</f>
        <v>#REF!</v>
      </c>
      <c r="HS147" t="e">
        <f>IF(#REF!,"AAAAAH/fX+I=",0)</f>
        <v>#REF!</v>
      </c>
      <c r="HT147" t="e">
        <f>IF(#REF!,"AAAAAH/fX+M=",0)</f>
        <v>#REF!</v>
      </c>
      <c r="HU147" t="e">
        <f>IF(#REF!,"AAAAAH/fX+Q=",0)</f>
        <v>#REF!</v>
      </c>
      <c r="HV147" t="e">
        <f>IF(#REF!,"AAAAAH/fX+U=",0)</f>
        <v>#REF!</v>
      </c>
      <c r="HW147" t="e">
        <f>IF(#REF!,"AAAAAH/fX+Y=",0)</f>
        <v>#REF!</v>
      </c>
      <c r="HX147" t="e">
        <f>IF(#REF!,"AAAAAH/fX+c=",0)</f>
        <v>#REF!</v>
      </c>
      <c r="HY147" t="e">
        <f>IF(#REF!,"AAAAAH/fX+g=",0)</f>
        <v>#REF!</v>
      </c>
      <c r="HZ147" t="e">
        <f>IF(#REF!,"AAAAAH/fX+k=",0)</f>
        <v>#REF!</v>
      </c>
      <c r="IA147" t="e">
        <f>IF(#REF!,"AAAAAH/fX+o=",0)</f>
        <v>#REF!</v>
      </c>
      <c r="IB147" t="e">
        <f>IF(#REF!,"AAAAAH/fX+s=",0)</f>
        <v>#REF!</v>
      </c>
      <c r="IC147" t="e">
        <f>IF(#REF!,"AAAAAH/fX+w=",0)</f>
        <v>#REF!</v>
      </c>
      <c r="ID147" t="e">
        <f>IF(#REF!,"AAAAAH/fX+0=",0)</f>
        <v>#REF!</v>
      </c>
      <c r="IE147" t="e">
        <f>IF(#REF!,"AAAAAH/fX+4=",0)</f>
        <v>#REF!</v>
      </c>
      <c r="IF147" t="e">
        <f>IF(#REF!,"AAAAAH/fX+8=",0)</f>
        <v>#REF!</v>
      </c>
      <c r="IG147" t="e">
        <f>IF(#REF!,"AAAAAH/fX/A=",0)</f>
        <v>#REF!</v>
      </c>
      <c r="IH147" t="e">
        <f>IF(#REF!,"AAAAAH/fX/E=",0)</f>
        <v>#REF!</v>
      </c>
      <c r="II147" t="e">
        <f>IF(#REF!,"AAAAAH/fX/I=",0)</f>
        <v>#REF!</v>
      </c>
      <c r="IJ147" t="e">
        <f>IF(#REF!,"AAAAAH/fX/M=",0)</f>
        <v>#REF!</v>
      </c>
      <c r="IK147" t="e">
        <f>IF(#REF!,"AAAAAH/fX/Q=",0)</f>
        <v>#REF!</v>
      </c>
      <c r="IL147" t="e">
        <f>IF(#REF!,"AAAAAH/fX/U=",0)</f>
        <v>#REF!</v>
      </c>
      <c r="IM147" t="e">
        <f>IF(#REF!,"AAAAAH/fX/Y=",0)</f>
        <v>#REF!</v>
      </c>
      <c r="IN147" t="e">
        <f>IF(#REF!,"AAAAAH/fX/c=",0)</f>
        <v>#REF!</v>
      </c>
      <c r="IO147" t="e">
        <f>IF(#REF!,"AAAAAH/fX/g=",0)</f>
        <v>#REF!</v>
      </c>
      <c r="IP147" t="e">
        <f>IF(#REF!,"AAAAAH/fX/k=",0)</f>
        <v>#REF!</v>
      </c>
      <c r="IQ147" t="e">
        <f>IF(#REF!,"AAAAAH/fX/o=",0)</f>
        <v>#REF!</v>
      </c>
      <c r="IR147" t="e">
        <f>IF(#REF!,"AAAAAH/fX/s=",0)</f>
        <v>#REF!</v>
      </c>
      <c r="IS147" t="e">
        <f>IF(#REF!,"AAAAAH/fX/w=",0)</f>
        <v>#REF!</v>
      </c>
      <c r="IT147" t="e">
        <f>IF(#REF!,"AAAAAH/fX/0=",0)</f>
        <v>#REF!</v>
      </c>
      <c r="IU147" t="e">
        <f>IF(#REF!,"AAAAAH/fX/4=",0)</f>
        <v>#REF!</v>
      </c>
      <c r="IV147" t="e">
        <f>IF(#REF!,"AAAAAH/fX/8=",0)</f>
        <v>#REF!</v>
      </c>
    </row>
    <row r="148" spans="1:256">
      <c r="A148" t="e">
        <f>IF(#REF!,"AAAAAH7zuwA=",0)</f>
        <v>#REF!</v>
      </c>
      <c r="B148" t="e">
        <f>IF(#REF!,"AAAAAH7zuwE=",0)</f>
        <v>#REF!</v>
      </c>
      <c r="C148" t="e">
        <f>IF(#REF!,"AAAAAH7zuwI=",0)</f>
        <v>#REF!</v>
      </c>
      <c r="D148" t="e">
        <f>IF(#REF!,"AAAAAH7zuwM=",0)</f>
        <v>#REF!</v>
      </c>
      <c r="E148" t="e">
        <f>IF(#REF!,"AAAAAH7zuwQ=",0)</f>
        <v>#REF!</v>
      </c>
      <c r="F148" t="e">
        <f>IF(#REF!,"AAAAAH7zuwU=",0)</f>
        <v>#REF!</v>
      </c>
      <c r="G148" t="e">
        <f>IF(#REF!,"AAAAAH7zuwY=",0)</f>
        <v>#REF!</v>
      </c>
      <c r="H148" t="e">
        <f>IF(#REF!,"AAAAAH7zuwc=",0)</f>
        <v>#REF!</v>
      </c>
      <c r="I148" t="e">
        <f>IF(#REF!,"AAAAAH7zuwg=",0)</f>
        <v>#REF!</v>
      </c>
      <c r="J148" t="e">
        <f>IF(#REF!,"AAAAAH7zuwk=",0)</f>
        <v>#REF!</v>
      </c>
      <c r="K148" t="e">
        <f>IF(#REF!,"AAAAAH7zuwo=",0)</f>
        <v>#REF!</v>
      </c>
      <c r="L148" t="e">
        <f>IF(#REF!,"AAAAAH7zuws=",0)</f>
        <v>#REF!</v>
      </c>
      <c r="M148" t="e">
        <f>IF(#REF!,"AAAAAH7zuww=",0)</f>
        <v>#REF!</v>
      </c>
      <c r="N148" t="e">
        <f>IF(#REF!,"AAAAAH7zuw0=",0)</f>
        <v>#REF!</v>
      </c>
      <c r="O148" t="e">
        <f>IF(#REF!,"AAAAAH7zuw4=",0)</f>
        <v>#REF!</v>
      </c>
      <c r="P148" t="e">
        <f>IF(#REF!,"AAAAAH7zuw8=",0)</f>
        <v>#REF!</v>
      </c>
      <c r="Q148" t="e">
        <f>IF(#REF!,"AAAAAH7zuxA=",0)</f>
        <v>#REF!</v>
      </c>
      <c r="R148" t="e">
        <f>IF(#REF!,"AAAAAH7zuxE=",0)</f>
        <v>#REF!</v>
      </c>
      <c r="S148" t="e">
        <f>IF(#REF!,"AAAAAH7zuxI=",0)</f>
        <v>#REF!</v>
      </c>
      <c r="T148" t="e">
        <f>IF(#REF!,"AAAAAH7zuxM=",0)</f>
        <v>#REF!</v>
      </c>
      <c r="U148" t="e">
        <f>IF(#REF!,"AAAAAH7zuxQ=",0)</f>
        <v>#REF!</v>
      </c>
      <c r="V148" t="e">
        <f>IF(#REF!,"AAAAAH7zuxU=",0)</f>
        <v>#REF!</v>
      </c>
      <c r="W148" t="e">
        <f>IF(#REF!,"AAAAAH7zuxY=",0)</f>
        <v>#REF!</v>
      </c>
      <c r="X148" t="e">
        <f>IF(#REF!,"AAAAAH7zuxc=",0)</f>
        <v>#REF!</v>
      </c>
      <c r="Y148" t="e">
        <f>IF(#REF!,"AAAAAH7zuxg=",0)</f>
        <v>#REF!</v>
      </c>
      <c r="Z148" t="e">
        <f>IF(#REF!,"AAAAAH7zuxk=",0)</f>
        <v>#REF!</v>
      </c>
      <c r="AA148" t="e">
        <f>IF(#REF!,"AAAAAH7zuxo=",0)</f>
        <v>#REF!</v>
      </c>
      <c r="AB148" t="e">
        <f>IF(#REF!,"AAAAAH7zuxs=",0)</f>
        <v>#REF!</v>
      </c>
      <c r="AC148" t="e">
        <f>IF(#REF!,"AAAAAH7zuxw=",0)</f>
        <v>#REF!</v>
      </c>
      <c r="AD148" t="e">
        <f>IF(#REF!,"AAAAAH7zux0=",0)</f>
        <v>#REF!</v>
      </c>
      <c r="AE148" t="e">
        <f>IF(#REF!,"AAAAAH7zux4=",0)</f>
        <v>#REF!</v>
      </c>
      <c r="AF148" t="e">
        <f>IF(#REF!,"AAAAAH7zux8=",0)</f>
        <v>#REF!</v>
      </c>
      <c r="AG148" t="e">
        <f>IF(#REF!,"AAAAAH7zuyA=",0)</f>
        <v>#REF!</v>
      </c>
      <c r="AH148" t="e">
        <f>IF(#REF!,"AAAAAH7zuyE=",0)</f>
        <v>#REF!</v>
      </c>
      <c r="AI148" t="e">
        <f>IF(#REF!,"AAAAAH7zuyI=",0)</f>
        <v>#REF!</v>
      </c>
      <c r="AJ148" t="e">
        <f>IF(#REF!,"AAAAAH7zuyM=",0)</f>
        <v>#REF!</v>
      </c>
      <c r="AK148" t="e">
        <f>IF(#REF!,"AAAAAH7zuyQ=",0)</f>
        <v>#REF!</v>
      </c>
      <c r="AL148" t="e">
        <f>IF(#REF!,"AAAAAH7zuyU=",0)</f>
        <v>#REF!</v>
      </c>
      <c r="AM148" t="e">
        <f>IF(#REF!,"AAAAAH7zuyY=",0)</f>
        <v>#REF!</v>
      </c>
      <c r="AN148" t="e">
        <f>IF(#REF!,"AAAAAH7zuyc=",0)</f>
        <v>#REF!</v>
      </c>
      <c r="AO148" t="e">
        <f>IF(#REF!,"AAAAAH7zuyg=",0)</f>
        <v>#REF!</v>
      </c>
      <c r="AP148" t="e">
        <f>IF(#REF!,"AAAAAH7zuyk=",0)</f>
        <v>#REF!</v>
      </c>
      <c r="AQ148" t="e">
        <f>IF(#REF!,"AAAAAH7zuyo=",0)</f>
        <v>#REF!</v>
      </c>
      <c r="AR148" t="e">
        <f>IF(#REF!,"AAAAAH7zuys=",0)</f>
        <v>#REF!</v>
      </c>
      <c r="AS148" t="e">
        <f>IF(#REF!,"AAAAAH7zuyw=",0)</f>
        <v>#REF!</v>
      </c>
      <c r="AT148" t="e">
        <f>IF(#REF!,"AAAAAH7zuy0=",0)</f>
        <v>#REF!</v>
      </c>
      <c r="AU148" t="e">
        <f>IF(#REF!,"AAAAAH7zuy4=",0)</f>
        <v>#REF!</v>
      </c>
      <c r="AV148" t="e">
        <f>IF(#REF!,"AAAAAH7zuy8=",0)</f>
        <v>#REF!</v>
      </c>
      <c r="AW148" t="e">
        <f>IF(#REF!,"AAAAAH7zuzA=",0)</f>
        <v>#REF!</v>
      </c>
      <c r="AX148" t="e">
        <f>IF(#REF!,"AAAAAH7zuzE=",0)</f>
        <v>#REF!</v>
      </c>
      <c r="AY148" t="e">
        <f>IF(#REF!,"AAAAAH7zuzI=",0)</f>
        <v>#REF!</v>
      </c>
      <c r="AZ148" t="e">
        <f>IF(#REF!,"AAAAAH7zuzM=",0)</f>
        <v>#REF!</v>
      </c>
      <c r="BA148" t="e">
        <f>IF(#REF!,"AAAAAH7zuzQ=",0)</f>
        <v>#REF!</v>
      </c>
      <c r="BB148" t="e">
        <f>IF(#REF!,"AAAAAH7zuzU=",0)</f>
        <v>#REF!</v>
      </c>
      <c r="BC148" t="e">
        <f>IF(#REF!,"AAAAAH7zuzY=",0)</f>
        <v>#REF!</v>
      </c>
      <c r="BD148" t="e">
        <f>IF(#REF!,"AAAAAH7zuzc=",0)</f>
        <v>#REF!</v>
      </c>
      <c r="BE148" t="e">
        <f>IF(#REF!,"AAAAAH7zuzg=",0)</f>
        <v>#REF!</v>
      </c>
      <c r="BF148" t="e">
        <f>IF(#REF!,"AAAAAH7zuzk=",0)</f>
        <v>#REF!</v>
      </c>
      <c r="BG148" t="e">
        <f>IF(#REF!,"AAAAAH7zuzo=",0)</f>
        <v>#REF!</v>
      </c>
      <c r="BH148" t="e">
        <f>IF(#REF!,"AAAAAH7zuzs=",0)</f>
        <v>#REF!</v>
      </c>
      <c r="BI148" t="e">
        <f>IF(#REF!,"AAAAAH7zuzw=",0)</f>
        <v>#REF!</v>
      </c>
      <c r="BJ148" t="e">
        <f>IF(#REF!,"AAAAAH7zuz0=",0)</f>
        <v>#REF!</v>
      </c>
      <c r="BK148" t="e">
        <f>IF(#REF!,"AAAAAH7zuz4=",0)</f>
        <v>#REF!</v>
      </c>
      <c r="BL148" t="e">
        <f>IF(#REF!,"AAAAAH7zuz8=",0)</f>
        <v>#REF!</v>
      </c>
      <c r="BM148" t="e">
        <f>IF(#REF!,"AAAAAH7zu0A=",0)</f>
        <v>#REF!</v>
      </c>
      <c r="BN148" t="e">
        <f>IF(#REF!,"AAAAAH7zu0E=",0)</f>
        <v>#REF!</v>
      </c>
      <c r="BO148" t="e">
        <f>IF(#REF!,"AAAAAH7zu0I=",0)</f>
        <v>#REF!</v>
      </c>
      <c r="BP148" t="e">
        <f>IF(#REF!,"AAAAAH7zu0M=",0)</f>
        <v>#REF!</v>
      </c>
      <c r="BQ148" t="e">
        <f>IF(#REF!,"AAAAAH7zu0Q=",0)</f>
        <v>#REF!</v>
      </c>
      <c r="BR148" t="e">
        <f>IF(#REF!,"AAAAAH7zu0U=",0)</f>
        <v>#REF!</v>
      </c>
      <c r="BS148" t="e">
        <f>IF(#REF!,"AAAAAH7zu0Y=",0)</f>
        <v>#REF!</v>
      </c>
      <c r="BT148" t="e">
        <f>IF(#REF!,"AAAAAH7zu0c=",0)</f>
        <v>#REF!</v>
      </c>
      <c r="BU148" t="e">
        <f>IF(#REF!,"AAAAAH7zu0g=",0)</f>
        <v>#REF!</v>
      </c>
      <c r="BV148" t="e">
        <f>IF(#REF!,"AAAAAH7zu0k=",0)</f>
        <v>#REF!</v>
      </c>
      <c r="BW148" t="e">
        <f>IF(#REF!,"AAAAAH7zu0o=",0)</f>
        <v>#REF!</v>
      </c>
      <c r="BX148" t="e">
        <f>IF(#REF!,"AAAAAH7zu0s=",0)</f>
        <v>#REF!</v>
      </c>
      <c r="BY148" t="e">
        <f>IF(#REF!,"AAAAAH7zu0w=",0)</f>
        <v>#REF!</v>
      </c>
      <c r="BZ148" t="e">
        <f>IF(#REF!,"AAAAAH7zu00=",0)</f>
        <v>#REF!</v>
      </c>
      <c r="CA148" t="e">
        <f>IF(#REF!,"AAAAAH7zu04=",0)</f>
        <v>#REF!</v>
      </c>
      <c r="CB148" t="e">
        <f>IF(#REF!,"AAAAAH7zu08=",0)</f>
        <v>#REF!</v>
      </c>
      <c r="CC148" t="e">
        <f>IF(#REF!,"AAAAAH7zu1A=",0)</f>
        <v>#REF!</v>
      </c>
      <c r="CD148" t="e">
        <f>IF(#REF!,"AAAAAH7zu1E=",0)</f>
        <v>#REF!</v>
      </c>
      <c r="CE148" t="e">
        <f>IF(#REF!,"AAAAAH7zu1I=",0)</f>
        <v>#REF!</v>
      </c>
      <c r="CF148" t="e">
        <f>IF(#REF!,"AAAAAH7zu1M=",0)</f>
        <v>#REF!</v>
      </c>
      <c r="CG148" t="e">
        <f>IF(#REF!,"AAAAAH7zu1Q=",0)</f>
        <v>#REF!</v>
      </c>
      <c r="CH148" t="e">
        <f>IF(#REF!,"AAAAAH7zu1U=",0)</f>
        <v>#REF!</v>
      </c>
      <c r="CI148" t="e">
        <f>IF(#REF!,"AAAAAH7zu1Y=",0)</f>
        <v>#REF!</v>
      </c>
      <c r="CJ148" t="e">
        <f>IF(#REF!,"AAAAAH7zu1c=",0)</f>
        <v>#REF!</v>
      </c>
      <c r="CK148" t="e">
        <f>IF(#REF!,"AAAAAH7zu1g=",0)</f>
        <v>#REF!</v>
      </c>
      <c r="CL148" t="e">
        <f>IF(#REF!,"AAAAAH7zu1k=",0)</f>
        <v>#REF!</v>
      </c>
      <c r="CM148" t="e">
        <f>IF(#REF!,"AAAAAH7zu1o=",0)</f>
        <v>#REF!</v>
      </c>
      <c r="CN148" t="e">
        <f>IF(#REF!,"AAAAAH7zu1s=",0)</f>
        <v>#REF!</v>
      </c>
      <c r="CO148" t="e">
        <f>IF(#REF!,"AAAAAH7zu1w=",0)</f>
        <v>#REF!</v>
      </c>
      <c r="CP148" t="e">
        <f>IF(#REF!,"AAAAAH7zu10=",0)</f>
        <v>#REF!</v>
      </c>
      <c r="CQ148" t="e">
        <f>IF(#REF!,"AAAAAH7zu14=",0)</f>
        <v>#REF!</v>
      </c>
      <c r="CR148" t="e">
        <f>IF(#REF!,"AAAAAH7zu18=",0)</f>
        <v>#REF!</v>
      </c>
      <c r="CS148" t="e">
        <f>IF(#REF!,"AAAAAH7zu2A=",0)</f>
        <v>#REF!</v>
      </c>
      <c r="CT148" t="e">
        <f>IF(#REF!,"AAAAAH7zu2E=",0)</f>
        <v>#REF!</v>
      </c>
      <c r="CU148" t="e">
        <f>IF(#REF!,"AAAAAH7zu2I=",0)</f>
        <v>#REF!</v>
      </c>
      <c r="CV148" t="e">
        <f>IF(#REF!,"AAAAAH7zu2M=",0)</f>
        <v>#REF!</v>
      </c>
      <c r="CW148" t="e">
        <f>IF(#REF!,"AAAAAH7zu2Q=",0)</f>
        <v>#REF!</v>
      </c>
      <c r="CX148" t="e">
        <f>IF(#REF!,"AAAAAH7zu2U=",0)</f>
        <v>#REF!</v>
      </c>
      <c r="CY148" t="e">
        <f>IF(#REF!,"AAAAAH7zu2Y=",0)</f>
        <v>#REF!</v>
      </c>
      <c r="CZ148" t="e">
        <f>IF(#REF!,"AAAAAH7zu2c=",0)</f>
        <v>#REF!</v>
      </c>
      <c r="DA148" t="e">
        <f>IF(#REF!,"AAAAAH7zu2g=",0)</f>
        <v>#REF!</v>
      </c>
      <c r="DB148" t="e">
        <f>IF(#REF!,"AAAAAH7zu2k=",0)</f>
        <v>#REF!</v>
      </c>
      <c r="DC148" t="e">
        <f>IF(#REF!,"AAAAAH7zu2o=",0)</f>
        <v>#REF!</v>
      </c>
      <c r="DD148" t="e">
        <f>IF(#REF!,"AAAAAH7zu2s=",0)</f>
        <v>#REF!</v>
      </c>
      <c r="DE148" t="e">
        <f>IF(#REF!,"AAAAAH7zu2w=",0)</f>
        <v>#REF!</v>
      </c>
      <c r="DF148" t="e">
        <f>IF(#REF!,"AAAAAH7zu20=",0)</f>
        <v>#REF!</v>
      </c>
      <c r="DG148" t="e">
        <f>IF(#REF!,"AAAAAH7zu24=",0)</f>
        <v>#REF!</v>
      </c>
      <c r="DH148" t="e">
        <f>IF(#REF!,"AAAAAH7zu28=",0)</f>
        <v>#REF!</v>
      </c>
      <c r="DI148" t="e">
        <f>IF(#REF!,"AAAAAH7zu3A=",0)</f>
        <v>#REF!</v>
      </c>
      <c r="DJ148" t="e">
        <f>IF(#REF!,"AAAAAH7zu3E=",0)</f>
        <v>#REF!</v>
      </c>
      <c r="DK148" t="e">
        <f>IF(#REF!,"AAAAAH7zu3I=",0)</f>
        <v>#REF!</v>
      </c>
      <c r="DL148" t="e">
        <f>IF(#REF!,"AAAAAH7zu3M=",0)</f>
        <v>#REF!</v>
      </c>
      <c r="DM148" t="e">
        <f>IF(#REF!,"AAAAAH7zu3Q=",0)</f>
        <v>#REF!</v>
      </c>
      <c r="DN148" t="e">
        <f>IF(#REF!,"AAAAAH7zu3U=",0)</f>
        <v>#REF!</v>
      </c>
      <c r="DO148" t="e">
        <f>IF(#REF!,"AAAAAH7zu3Y=",0)</f>
        <v>#REF!</v>
      </c>
      <c r="DP148" t="e">
        <f>IF(#REF!,"AAAAAH7zu3c=",0)</f>
        <v>#REF!</v>
      </c>
      <c r="DQ148" t="e">
        <f>IF(#REF!,"AAAAAH7zu3g=",0)</f>
        <v>#REF!</v>
      </c>
      <c r="DR148" t="e">
        <f>IF(#REF!,"AAAAAH7zu3k=",0)</f>
        <v>#REF!</v>
      </c>
      <c r="DS148" t="e">
        <f>IF(#REF!,"AAAAAH7zu3o=",0)</f>
        <v>#REF!</v>
      </c>
      <c r="DT148" t="e">
        <f>IF(#REF!,"AAAAAH7zu3s=",0)</f>
        <v>#REF!</v>
      </c>
      <c r="DU148" t="e">
        <f>IF(#REF!,"AAAAAH7zu3w=",0)</f>
        <v>#REF!</v>
      </c>
      <c r="DV148" t="e">
        <f>IF(#REF!,"AAAAAH7zu30=",0)</f>
        <v>#REF!</v>
      </c>
      <c r="DW148" t="e">
        <f>IF(#REF!,"AAAAAH7zu34=",0)</f>
        <v>#REF!</v>
      </c>
      <c r="DX148" t="e">
        <f>IF(#REF!,"AAAAAH7zu38=",0)</f>
        <v>#REF!</v>
      </c>
      <c r="DY148" t="e">
        <f>IF(#REF!,"AAAAAH7zu4A=",0)</f>
        <v>#REF!</v>
      </c>
      <c r="DZ148" t="e">
        <f>IF(#REF!,"AAAAAH7zu4E=",0)</f>
        <v>#REF!</v>
      </c>
      <c r="EA148" t="e">
        <f>IF(#REF!,"AAAAAH7zu4I=",0)</f>
        <v>#REF!</v>
      </c>
      <c r="EB148" t="e">
        <f>IF(#REF!,"AAAAAH7zu4M=",0)</f>
        <v>#REF!</v>
      </c>
      <c r="EC148" t="e">
        <f>IF(#REF!,"AAAAAH7zu4Q=",0)</f>
        <v>#REF!</v>
      </c>
      <c r="ED148" t="e">
        <f>IF(#REF!,"AAAAAH7zu4U=",0)</f>
        <v>#REF!</v>
      </c>
      <c r="EE148" t="e">
        <f>IF(#REF!,"AAAAAH7zu4Y=",0)</f>
        <v>#REF!</v>
      </c>
      <c r="EF148" t="e">
        <f>IF(#REF!,"AAAAAH7zu4c=",0)</f>
        <v>#REF!</v>
      </c>
      <c r="EG148" t="e">
        <f>IF(#REF!,"AAAAAH7zu4g=",0)</f>
        <v>#REF!</v>
      </c>
      <c r="EH148" t="e">
        <f>IF(#REF!,"AAAAAH7zu4k=",0)</f>
        <v>#REF!</v>
      </c>
      <c r="EI148" t="e">
        <f>IF(#REF!,"AAAAAH7zu4o=",0)</f>
        <v>#REF!</v>
      </c>
      <c r="EJ148" t="e">
        <f>IF(#REF!,"AAAAAH7zu4s=",0)</f>
        <v>#REF!</v>
      </c>
      <c r="EK148" t="e">
        <f>IF(#REF!,"AAAAAH7zu4w=",0)</f>
        <v>#REF!</v>
      </c>
      <c r="EL148" t="e">
        <f>IF(#REF!,"AAAAAH7zu40=",0)</f>
        <v>#REF!</v>
      </c>
      <c r="EM148" t="e">
        <f>IF(#REF!,"AAAAAH7zu44=",0)</f>
        <v>#REF!</v>
      </c>
      <c r="EN148" t="e">
        <f>IF(#REF!,"AAAAAH7zu48=",0)</f>
        <v>#REF!</v>
      </c>
      <c r="EO148" t="e">
        <f>IF(#REF!,"AAAAAH7zu5A=",0)</f>
        <v>#REF!</v>
      </c>
      <c r="EP148" t="e">
        <f>IF(#REF!,"AAAAAH7zu5E=",0)</f>
        <v>#REF!</v>
      </c>
      <c r="EQ148" t="e">
        <f>IF(#REF!,"AAAAAH7zu5I=",0)</f>
        <v>#REF!</v>
      </c>
      <c r="ER148" t="e">
        <f>IF(#REF!,"AAAAAH7zu5M=",0)</f>
        <v>#REF!</v>
      </c>
      <c r="ES148" t="e">
        <f>IF(#REF!,"AAAAAH7zu5Q=",0)</f>
        <v>#REF!</v>
      </c>
      <c r="ET148" t="e">
        <f>IF(#REF!,"AAAAAH7zu5U=",0)</f>
        <v>#REF!</v>
      </c>
      <c r="EU148" t="e">
        <f>IF(#REF!,"AAAAAH7zu5Y=",0)</f>
        <v>#REF!</v>
      </c>
      <c r="EV148" t="e">
        <f>IF(#REF!,"AAAAAH7zu5c=",0)</f>
        <v>#REF!</v>
      </c>
      <c r="EW148" t="e">
        <f>IF(#REF!,"AAAAAH7zu5g=",0)</f>
        <v>#REF!</v>
      </c>
      <c r="EX148" t="e">
        <f>IF(#REF!,"AAAAAH7zu5k=",0)</f>
        <v>#REF!</v>
      </c>
      <c r="EY148" t="e">
        <f>IF(#REF!,"AAAAAH7zu5o=",0)</f>
        <v>#REF!</v>
      </c>
      <c r="EZ148" t="e">
        <f>IF(#REF!,"AAAAAH7zu5s=",0)</f>
        <v>#REF!</v>
      </c>
      <c r="FA148" t="e">
        <f>IF(#REF!,"AAAAAH7zu5w=",0)</f>
        <v>#REF!</v>
      </c>
      <c r="FB148" t="e">
        <f>IF(#REF!,"AAAAAH7zu50=",0)</f>
        <v>#REF!</v>
      </c>
      <c r="FC148" t="e">
        <f>IF(#REF!,"AAAAAH7zu54=",0)</f>
        <v>#REF!</v>
      </c>
      <c r="FD148" t="e">
        <f>IF(#REF!,"AAAAAH7zu58=",0)</f>
        <v>#REF!</v>
      </c>
      <c r="FE148" t="e">
        <f>IF(#REF!,"AAAAAH7zu6A=",0)</f>
        <v>#REF!</v>
      </c>
      <c r="FF148" t="e">
        <f>IF(#REF!,"AAAAAH7zu6E=",0)</f>
        <v>#REF!</v>
      </c>
      <c r="FG148" t="e">
        <f>IF(#REF!,"AAAAAH7zu6I=",0)</f>
        <v>#REF!</v>
      </c>
      <c r="FH148" t="e">
        <f>IF(#REF!,"AAAAAH7zu6M=",0)</f>
        <v>#REF!</v>
      </c>
      <c r="FI148" t="e">
        <f>IF(#REF!,"AAAAAH7zu6Q=",0)</f>
        <v>#REF!</v>
      </c>
      <c r="FJ148" t="e">
        <f>IF(#REF!,"AAAAAH7zu6U=",0)</f>
        <v>#REF!</v>
      </c>
      <c r="FK148" t="e">
        <f>IF(#REF!,"AAAAAH7zu6Y=",0)</f>
        <v>#REF!</v>
      </c>
      <c r="FL148" t="e">
        <f>IF(#REF!,"AAAAAH7zu6c=",0)</f>
        <v>#REF!</v>
      </c>
      <c r="FM148" t="e">
        <f>IF(#REF!,"AAAAAH7zu6g=",0)</f>
        <v>#REF!</v>
      </c>
      <c r="FN148" t="e">
        <f>IF(#REF!,"AAAAAH7zu6k=",0)</f>
        <v>#REF!</v>
      </c>
      <c r="FO148" t="e">
        <f>IF(#REF!,"AAAAAH7zu6o=",0)</f>
        <v>#REF!</v>
      </c>
      <c r="FP148" t="e">
        <f>IF(#REF!,"AAAAAH7zu6s=",0)</f>
        <v>#REF!</v>
      </c>
      <c r="FQ148" t="e">
        <f>IF(#REF!,"AAAAAH7zu6w=",0)</f>
        <v>#REF!</v>
      </c>
      <c r="FR148" t="e">
        <f>IF(#REF!,"AAAAAH7zu60=",0)</f>
        <v>#REF!</v>
      </c>
      <c r="FS148" t="e">
        <f>IF(#REF!,"AAAAAH7zu64=",0)</f>
        <v>#REF!</v>
      </c>
      <c r="FT148" t="e">
        <f>IF(#REF!,"AAAAAH7zu68=",0)</f>
        <v>#REF!</v>
      </c>
      <c r="FU148" t="e">
        <f>IF(#REF!,"AAAAAH7zu7A=",0)</f>
        <v>#REF!</v>
      </c>
      <c r="FV148" t="e">
        <f>IF(#REF!,"AAAAAH7zu7E=",0)</f>
        <v>#REF!</v>
      </c>
      <c r="FW148" t="e">
        <f>IF(#REF!,"AAAAAH7zu7I=",0)</f>
        <v>#REF!</v>
      </c>
      <c r="FX148" t="e">
        <f>IF(#REF!,"AAAAAH7zu7M=",0)</f>
        <v>#REF!</v>
      </c>
      <c r="FY148" t="e">
        <f>IF(#REF!,"AAAAAH7zu7Q=",0)</f>
        <v>#REF!</v>
      </c>
      <c r="FZ148" t="e">
        <f>IF(#REF!,"AAAAAH7zu7U=",0)</f>
        <v>#REF!</v>
      </c>
      <c r="GA148" t="e">
        <f>IF(#REF!,"AAAAAH7zu7Y=",0)</f>
        <v>#REF!</v>
      </c>
      <c r="GB148" t="e">
        <f>IF(#REF!,"AAAAAH7zu7c=",0)</f>
        <v>#REF!</v>
      </c>
      <c r="GC148" t="e">
        <f>IF(#REF!,"AAAAAH7zu7g=",0)</f>
        <v>#REF!</v>
      </c>
      <c r="GD148" t="e">
        <f>IF(#REF!,"AAAAAH7zu7k=",0)</f>
        <v>#REF!</v>
      </c>
      <c r="GE148" t="e">
        <f>IF(#REF!,"AAAAAH7zu7o=",0)</f>
        <v>#REF!</v>
      </c>
      <c r="GF148" t="e">
        <f>IF(#REF!,"AAAAAH7zu7s=",0)</f>
        <v>#REF!</v>
      </c>
      <c r="GG148" t="e">
        <f>IF(#REF!,"AAAAAH7zu7w=",0)</f>
        <v>#REF!</v>
      </c>
      <c r="GH148" t="e">
        <f>IF(#REF!,"AAAAAH7zu70=",0)</f>
        <v>#REF!</v>
      </c>
      <c r="GI148" t="e">
        <f>IF(#REF!,"AAAAAH7zu74=",0)</f>
        <v>#REF!</v>
      </c>
      <c r="GJ148" t="e">
        <f>IF(#REF!,"AAAAAH7zu78=",0)</f>
        <v>#REF!</v>
      </c>
      <c r="GK148" t="e">
        <f>IF(#REF!,"AAAAAH7zu8A=",0)</f>
        <v>#REF!</v>
      </c>
      <c r="GL148" t="e">
        <f>IF(#REF!,"AAAAAH7zu8E=",0)</f>
        <v>#REF!</v>
      </c>
      <c r="GM148" t="e">
        <f>IF(#REF!,"AAAAAH7zu8I=",0)</f>
        <v>#REF!</v>
      </c>
      <c r="GN148" t="e">
        <f>IF(#REF!,"AAAAAH7zu8M=",0)</f>
        <v>#REF!</v>
      </c>
      <c r="GO148" t="e">
        <f>IF(#REF!,"AAAAAH7zu8Q=",0)</f>
        <v>#REF!</v>
      </c>
      <c r="GP148" t="e">
        <f>IF(#REF!,"AAAAAH7zu8U=",0)</f>
        <v>#REF!</v>
      </c>
      <c r="GQ148" t="e">
        <f>IF(#REF!,"AAAAAH7zu8Y=",0)</f>
        <v>#REF!</v>
      </c>
      <c r="GR148" t="e">
        <f>IF(#REF!,"AAAAAH7zu8c=",0)</f>
        <v>#REF!</v>
      </c>
      <c r="GS148" t="e">
        <f>IF(#REF!,"AAAAAH7zu8g=",0)</f>
        <v>#REF!</v>
      </c>
      <c r="GT148" t="e">
        <f>IF(#REF!,"AAAAAH7zu8k=",0)</f>
        <v>#REF!</v>
      </c>
      <c r="GU148" t="e">
        <f>IF(#REF!,"AAAAAH7zu8o=",0)</f>
        <v>#REF!</v>
      </c>
      <c r="GV148" t="e">
        <f>IF(#REF!,"AAAAAH7zu8s=",0)</f>
        <v>#REF!</v>
      </c>
      <c r="GW148" t="e">
        <f>IF(#REF!,"AAAAAH7zu8w=",0)</f>
        <v>#REF!</v>
      </c>
      <c r="GX148" t="e">
        <f>IF(#REF!,"AAAAAH7zu80=",0)</f>
        <v>#REF!</v>
      </c>
      <c r="GY148" t="e">
        <f>IF(#REF!,"AAAAAH7zu84=",0)</f>
        <v>#REF!</v>
      </c>
      <c r="GZ148" t="e">
        <f>IF(#REF!,"AAAAAH7zu88=",0)</f>
        <v>#REF!</v>
      </c>
      <c r="HA148" t="e">
        <f>IF(#REF!,"AAAAAH7zu9A=",0)</f>
        <v>#REF!</v>
      </c>
      <c r="HB148" t="e">
        <f>IF(#REF!,"AAAAAH7zu9E=",0)</f>
        <v>#REF!</v>
      </c>
      <c r="HC148" t="e">
        <f>IF(#REF!,"AAAAAH7zu9I=",0)</f>
        <v>#REF!</v>
      </c>
      <c r="HD148" t="e">
        <f>IF(#REF!,"AAAAAH7zu9M=",0)</f>
        <v>#REF!</v>
      </c>
      <c r="HE148" t="e">
        <f>IF(#REF!,"AAAAAH7zu9Q=",0)</f>
        <v>#REF!</v>
      </c>
      <c r="HF148" t="e">
        <f>IF(#REF!,"AAAAAH7zu9U=",0)</f>
        <v>#REF!</v>
      </c>
      <c r="HG148" t="e">
        <f>IF(#REF!,"AAAAAH7zu9Y=",0)</f>
        <v>#REF!</v>
      </c>
      <c r="HH148" t="e">
        <f>IF(#REF!,"AAAAAH7zu9c=",0)</f>
        <v>#REF!</v>
      </c>
      <c r="HI148" t="e">
        <f>IF(#REF!,"AAAAAH7zu9g=",0)</f>
        <v>#REF!</v>
      </c>
      <c r="HJ148" t="e">
        <f>IF(#REF!,"AAAAAH7zu9k=",0)</f>
        <v>#REF!</v>
      </c>
      <c r="HK148" t="e">
        <f>IF(#REF!,"AAAAAH7zu9o=",0)</f>
        <v>#REF!</v>
      </c>
      <c r="HL148" t="e">
        <f>IF(#REF!,"AAAAAH7zu9s=",0)</f>
        <v>#REF!</v>
      </c>
      <c r="HM148" t="e">
        <f>IF(#REF!,"AAAAAH7zu9w=",0)</f>
        <v>#REF!</v>
      </c>
      <c r="HN148" t="e">
        <f>IF(#REF!,"AAAAAH7zu90=",0)</f>
        <v>#REF!</v>
      </c>
      <c r="HO148" t="e">
        <f>IF(#REF!,"AAAAAH7zu94=",0)</f>
        <v>#REF!</v>
      </c>
      <c r="HP148" t="e">
        <f>IF(#REF!,"AAAAAH7zu98=",0)</f>
        <v>#REF!</v>
      </c>
      <c r="HQ148" t="e">
        <f>IF(#REF!,"AAAAAH7zu+A=",0)</f>
        <v>#REF!</v>
      </c>
      <c r="HR148" t="e">
        <f>IF(#REF!,"AAAAAH7zu+E=",0)</f>
        <v>#REF!</v>
      </c>
      <c r="HS148" t="e">
        <f>IF(#REF!,"AAAAAH7zu+I=",0)</f>
        <v>#REF!</v>
      </c>
      <c r="HT148" t="e">
        <f>IF(#REF!,"AAAAAH7zu+M=",0)</f>
        <v>#REF!</v>
      </c>
      <c r="HU148" t="e">
        <f>IF(#REF!,"AAAAAH7zu+Q=",0)</f>
        <v>#REF!</v>
      </c>
      <c r="HV148" t="e">
        <f>IF(#REF!,"AAAAAH7zu+U=",0)</f>
        <v>#REF!</v>
      </c>
      <c r="HW148" t="e">
        <f>IF(#REF!,"AAAAAH7zu+Y=",0)</f>
        <v>#REF!</v>
      </c>
      <c r="HX148" t="e">
        <f>IF(#REF!,"AAAAAH7zu+c=",0)</f>
        <v>#REF!</v>
      </c>
      <c r="HY148" t="e">
        <f>IF(#REF!,"AAAAAH7zu+g=",0)</f>
        <v>#REF!</v>
      </c>
      <c r="HZ148" t="e">
        <f>IF(#REF!,"AAAAAH7zu+k=",0)</f>
        <v>#REF!</v>
      </c>
      <c r="IA148" t="e">
        <f>IF(#REF!,"AAAAAH7zu+o=",0)</f>
        <v>#REF!</v>
      </c>
      <c r="IB148" t="e">
        <f>IF(#REF!,"AAAAAH7zu+s=",0)</f>
        <v>#REF!</v>
      </c>
      <c r="IC148" t="e">
        <f>IF(#REF!,"AAAAAH7zu+w=",0)</f>
        <v>#REF!</v>
      </c>
      <c r="ID148" t="e">
        <f>IF(#REF!,"AAAAAH7zu+0=",0)</f>
        <v>#REF!</v>
      </c>
      <c r="IE148" t="e">
        <f>IF(#REF!,"AAAAAH7zu+4=",0)</f>
        <v>#REF!</v>
      </c>
      <c r="IF148" t="e">
        <f>IF(#REF!,"AAAAAH7zu+8=",0)</f>
        <v>#REF!</v>
      </c>
      <c r="IG148" t="e">
        <f>IF(#REF!,"AAAAAH7zu/A=",0)</f>
        <v>#REF!</v>
      </c>
      <c r="IH148" t="e">
        <f>IF(#REF!,"AAAAAH7zu/E=",0)</f>
        <v>#REF!</v>
      </c>
      <c r="II148" t="e">
        <f>IF(#REF!,"AAAAAH7zu/I=",0)</f>
        <v>#REF!</v>
      </c>
      <c r="IJ148" t="e">
        <f>IF(#REF!,"AAAAAH7zu/M=",0)</f>
        <v>#REF!</v>
      </c>
      <c r="IK148" t="e">
        <f>IF(#REF!,"AAAAAH7zu/Q=",0)</f>
        <v>#REF!</v>
      </c>
      <c r="IL148" t="e">
        <f>IF(#REF!,"AAAAAH7zu/U=",0)</f>
        <v>#REF!</v>
      </c>
      <c r="IM148" t="e">
        <f>IF(#REF!,"AAAAAH7zu/Y=",0)</f>
        <v>#REF!</v>
      </c>
      <c r="IN148" t="e">
        <f>IF(#REF!,"AAAAAH7zu/c=",0)</f>
        <v>#REF!</v>
      </c>
      <c r="IO148" t="e">
        <f>IF(#REF!,"AAAAAH7zu/g=",0)</f>
        <v>#REF!</v>
      </c>
      <c r="IP148" t="e">
        <f>IF(#REF!,"AAAAAH7zu/k=",0)</f>
        <v>#REF!</v>
      </c>
      <c r="IQ148" t="e">
        <f>IF(#REF!,"AAAAAH7zu/o=",0)</f>
        <v>#REF!</v>
      </c>
      <c r="IR148" t="e">
        <f>IF(#REF!,"AAAAAH7zu/s=",0)</f>
        <v>#REF!</v>
      </c>
      <c r="IS148" t="e">
        <f>IF(#REF!,"AAAAAH7zu/w=",0)</f>
        <v>#REF!</v>
      </c>
      <c r="IT148" t="e">
        <f>IF(#REF!,"AAAAAH7zu/0=",0)</f>
        <v>#REF!</v>
      </c>
      <c r="IU148" t="e">
        <f>IF(#REF!,"AAAAAH7zu/4=",0)</f>
        <v>#REF!</v>
      </c>
      <c r="IV148" t="e">
        <f>IF(#REF!,"AAAAAH7zu/8=",0)</f>
        <v>#REF!</v>
      </c>
    </row>
    <row r="149" spans="1:256">
      <c r="A149" t="e">
        <f>IF(#REF!,"AAAAAHNX3QA=",0)</f>
        <v>#REF!</v>
      </c>
      <c r="B149" t="e">
        <f>IF(#REF!,"AAAAAHNX3QE=",0)</f>
        <v>#REF!</v>
      </c>
      <c r="C149" t="e">
        <f>IF(#REF!,"AAAAAHNX3QI=",0)</f>
        <v>#REF!</v>
      </c>
      <c r="D149" t="e">
        <f>IF(#REF!,"AAAAAHNX3QM=",0)</f>
        <v>#REF!</v>
      </c>
      <c r="E149" t="e">
        <f>IF(#REF!,"AAAAAHNX3QQ=",0)</f>
        <v>#REF!</v>
      </c>
      <c r="F149" t="e">
        <f>IF(#REF!,"AAAAAHNX3QU=",0)</f>
        <v>#REF!</v>
      </c>
      <c r="G149" t="e">
        <f>IF(#REF!,"AAAAAHNX3QY=",0)</f>
        <v>#REF!</v>
      </c>
      <c r="H149" t="e">
        <f>IF(#REF!,"AAAAAHNX3Qc=",0)</f>
        <v>#REF!</v>
      </c>
      <c r="I149" t="e">
        <f>IF(#REF!,"AAAAAHNX3Qg=",0)</f>
        <v>#REF!</v>
      </c>
      <c r="J149" t="e">
        <f>IF(#REF!,"AAAAAHNX3Qk=",0)</f>
        <v>#REF!</v>
      </c>
      <c r="K149" t="e">
        <f>IF(#REF!,"AAAAAHNX3Qo=",0)</f>
        <v>#REF!</v>
      </c>
      <c r="L149" t="e">
        <f>IF(#REF!,"AAAAAHNX3Qs=",0)</f>
        <v>#REF!</v>
      </c>
      <c r="M149" t="e">
        <f>IF(#REF!,"AAAAAHNX3Qw=",0)</f>
        <v>#REF!</v>
      </c>
      <c r="N149" t="e">
        <f>IF(#REF!,"AAAAAHNX3Q0=",0)</f>
        <v>#REF!</v>
      </c>
      <c r="O149" t="e">
        <f>IF(#REF!,"AAAAAHNX3Q4=",0)</f>
        <v>#REF!</v>
      </c>
      <c r="P149" t="e">
        <f>IF(#REF!,"AAAAAHNX3Q8=",0)</f>
        <v>#REF!</v>
      </c>
      <c r="Q149" t="e">
        <f>IF(#REF!,"AAAAAHNX3RA=",0)</f>
        <v>#REF!</v>
      </c>
      <c r="R149" t="e">
        <f>IF(#REF!,"AAAAAHNX3RE=",0)</f>
        <v>#REF!</v>
      </c>
      <c r="S149" t="e">
        <f>IF(#REF!,"AAAAAHNX3RI=",0)</f>
        <v>#REF!</v>
      </c>
      <c r="T149" t="e">
        <f>IF(#REF!,"AAAAAHNX3RM=",0)</f>
        <v>#REF!</v>
      </c>
      <c r="U149" t="e">
        <f>IF(#REF!,"AAAAAHNX3RQ=",0)</f>
        <v>#REF!</v>
      </c>
      <c r="V149" t="e">
        <f>IF(#REF!,"AAAAAHNX3RU=",0)</f>
        <v>#REF!</v>
      </c>
      <c r="W149" t="e">
        <f>IF(#REF!,"AAAAAHNX3RY=",0)</f>
        <v>#REF!</v>
      </c>
      <c r="X149" t="e">
        <f>IF(#REF!,"AAAAAHNX3Rc=",0)</f>
        <v>#REF!</v>
      </c>
      <c r="Y149" t="e">
        <f>IF(#REF!,"AAAAAHNX3Rg=",0)</f>
        <v>#REF!</v>
      </c>
      <c r="Z149" t="e">
        <f>IF(#REF!,"AAAAAHNX3Rk=",0)</f>
        <v>#REF!</v>
      </c>
      <c r="AA149" t="e">
        <f>IF(#REF!,"AAAAAHNX3Ro=",0)</f>
        <v>#REF!</v>
      </c>
      <c r="AB149" t="e">
        <f>IF(#REF!,"AAAAAHNX3Rs=",0)</f>
        <v>#REF!</v>
      </c>
      <c r="AC149" t="e">
        <f>IF(#REF!,"AAAAAHNX3Rw=",0)</f>
        <v>#REF!</v>
      </c>
      <c r="AD149" t="e">
        <f>IF(#REF!,"AAAAAHNX3R0=",0)</f>
        <v>#REF!</v>
      </c>
      <c r="AE149" t="e">
        <f>IF(#REF!,"AAAAAHNX3R4=",0)</f>
        <v>#REF!</v>
      </c>
      <c r="AF149" t="e">
        <f>IF(#REF!,"AAAAAHNX3R8=",0)</f>
        <v>#REF!</v>
      </c>
      <c r="AG149" t="e">
        <f>IF(#REF!,"AAAAAHNX3SA=",0)</f>
        <v>#REF!</v>
      </c>
      <c r="AH149" t="e">
        <f>IF(#REF!,"AAAAAHNX3SE=",0)</f>
        <v>#REF!</v>
      </c>
      <c r="AI149" t="e">
        <f>IF(#REF!,"AAAAAHNX3SI=",0)</f>
        <v>#REF!</v>
      </c>
      <c r="AJ149" t="e">
        <f>IF(#REF!,"AAAAAHNX3SM=",0)</f>
        <v>#REF!</v>
      </c>
      <c r="AK149" t="e">
        <f>IF(#REF!,"AAAAAHNX3SQ=",0)</f>
        <v>#REF!</v>
      </c>
      <c r="AL149" t="e">
        <f>IF(#REF!,"AAAAAHNX3SU=",0)</f>
        <v>#REF!</v>
      </c>
      <c r="AM149" t="e">
        <f>IF(#REF!,"AAAAAHNX3SY=",0)</f>
        <v>#REF!</v>
      </c>
      <c r="AN149" t="e">
        <f>IF(#REF!,"AAAAAHNX3Sc=",0)</f>
        <v>#REF!</v>
      </c>
      <c r="AO149" t="e">
        <f>IF(#REF!,"AAAAAHNX3Sg=",0)</f>
        <v>#REF!</v>
      </c>
      <c r="AP149" t="e">
        <f>IF(#REF!,"AAAAAHNX3Sk=",0)</f>
        <v>#REF!</v>
      </c>
      <c r="AQ149" t="e">
        <f>IF(#REF!,"AAAAAHNX3So=",0)</f>
        <v>#REF!</v>
      </c>
      <c r="AR149" t="e">
        <f>IF(#REF!,"AAAAAHNX3Ss=",0)</f>
        <v>#REF!</v>
      </c>
      <c r="AS149" t="e">
        <f>IF(#REF!,"AAAAAHNX3Sw=",0)</f>
        <v>#REF!</v>
      </c>
      <c r="AT149" t="e">
        <f>IF(#REF!,"AAAAAHNX3S0=",0)</f>
        <v>#REF!</v>
      </c>
      <c r="AU149" t="e">
        <f>IF(#REF!,"AAAAAHNX3S4=",0)</f>
        <v>#REF!</v>
      </c>
      <c r="AV149" t="e">
        <f>IF(#REF!,"AAAAAHNX3S8=",0)</f>
        <v>#REF!</v>
      </c>
      <c r="AW149" t="e">
        <f>IF(#REF!,"AAAAAHNX3TA=",0)</f>
        <v>#REF!</v>
      </c>
      <c r="AX149" t="e">
        <f>IF(#REF!,"AAAAAHNX3TE=",0)</f>
        <v>#REF!</v>
      </c>
      <c r="AY149" t="e">
        <f>IF(#REF!,"AAAAAHNX3TI=",0)</f>
        <v>#REF!</v>
      </c>
      <c r="AZ149" t="e">
        <f>IF(#REF!,"AAAAAHNX3TM=",0)</f>
        <v>#REF!</v>
      </c>
      <c r="BA149" t="e">
        <f>IF(#REF!,"AAAAAHNX3TQ=",0)</f>
        <v>#REF!</v>
      </c>
      <c r="BB149" t="e">
        <f>IF(#REF!,"AAAAAHNX3TU=",0)</f>
        <v>#REF!</v>
      </c>
      <c r="BC149" t="e">
        <f>IF(#REF!,"AAAAAHNX3TY=",0)</f>
        <v>#REF!</v>
      </c>
      <c r="BD149" t="e">
        <f>IF(#REF!,"AAAAAHNX3Tc=",0)</f>
        <v>#REF!</v>
      </c>
      <c r="BE149" t="e">
        <f>IF(#REF!,"AAAAAHNX3Tg=",0)</f>
        <v>#REF!</v>
      </c>
      <c r="BF149" t="e">
        <f>IF(#REF!,"AAAAAHNX3Tk=",0)</f>
        <v>#REF!</v>
      </c>
      <c r="BG149" t="e">
        <f>IF(#REF!,"AAAAAHNX3To=",0)</f>
        <v>#REF!</v>
      </c>
      <c r="BH149" t="e">
        <f>IF(#REF!,"AAAAAHNX3Ts=",0)</f>
        <v>#REF!</v>
      </c>
      <c r="BI149" t="e">
        <f>IF(#REF!,"AAAAAHNX3Tw=",0)</f>
        <v>#REF!</v>
      </c>
      <c r="BJ149" t="e">
        <f>IF(#REF!,"AAAAAHNX3T0=",0)</f>
        <v>#REF!</v>
      </c>
      <c r="BK149" t="e">
        <f>IF(#REF!,"AAAAAHNX3T4=",0)</f>
        <v>#REF!</v>
      </c>
      <c r="BL149" t="e">
        <f>IF(#REF!,"AAAAAHNX3T8=",0)</f>
        <v>#REF!</v>
      </c>
      <c r="BM149" t="e">
        <f>IF(#REF!,"AAAAAHNX3UA=",0)</f>
        <v>#REF!</v>
      </c>
      <c r="BN149" t="e">
        <f>IF(#REF!,"AAAAAHNX3UE=",0)</f>
        <v>#REF!</v>
      </c>
      <c r="BO149" t="e">
        <f>IF(#REF!,"AAAAAHNX3UI=",0)</f>
        <v>#REF!</v>
      </c>
      <c r="BP149" t="e">
        <f>IF(#REF!,"AAAAAHNX3UM=",0)</f>
        <v>#REF!</v>
      </c>
      <c r="BQ149" t="e">
        <f>IF(#REF!,"AAAAAHNX3UQ=",0)</f>
        <v>#REF!</v>
      </c>
      <c r="BR149" t="e">
        <f>IF(#REF!,"AAAAAHNX3UU=",0)</f>
        <v>#REF!</v>
      </c>
      <c r="BS149" t="e">
        <f>IF(#REF!,"AAAAAHNX3UY=",0)</f>
        <v>#REF!</v>
      </c>
      <c r="BT149" t="e">
        <f>IF(#REF!,"AAAAAHNX3Uc=",0)</f>
        <v>#REF!</v>
      </c>
      <c r="BU149" t="e">
        <f>IF(#REF!,"AAAAAHNX3Ug=",0)</f>
        <v>#REF!</v>
      </c>
      <c r="BV149" t="e">
        <f>IF(#REF!,"AAAAAHNX3Uk=",0)</f>
        <v>#REF!</v>
      </c>
      <c r="BW149" t="e">
        <f>IF(#REF!,"AAAAAHNX3Uo=",0)</f>
        <v>#REF!</v>
      </c>
      <c r="BX149" t="e">
        <f>IF(#REF!,"AAAAAHNX3Us=",0)</f>
        <v>#REF!</v>
      </c>
      <c r="BY149" t="e">
        <f>IF(#REF!,"AAAAAHNX3Uw=",0)</f>
        <v>#REF!</v>
      </c>
      <c r="BZ149" t="e">
        <f>IF(#REF!,"AAAAAHNX3U0=",0)</f>
        <v>#REF!</v>
      </c>
      <c r="CA149" t="e">
        <f>IF(#REF!,"AAAAAHNX3U4=",0)</f>
        <v>#REF!</v>
      </c>
      <c r="CB149" t="e">
        <f>IF(#REF!,"AAAAAHNX3U8=",0)</f>
        <v>#REF!</v>
      </c>
      <c r="CC149" t="e">
        <f>IF(#REF!,"AAAAAHNX3VA=",0)</f>
        <v>#REF!</v>
      </c>
      <c r="CD149" t="e">
        <f>IF(#REF!,"AAAAAHNX3VE=",0)</f>
        <v>#REF!</v>
      </c>
      <c r="CE149" t="e">
        <f>IF(#REF!,"AAAAAHNX3VI=",0)</f>
        <v>#REF!</v>
      </c>
      <c r="CF149" t="e">
        <f>IF(#REF!,"AAAAAHNX3VM=",0)</f>
        <v>#REF!</v>
      </c>
      <c r="CG149" t="e">
        <f>IF(#REF!,"AAAAAHNX3VQ=",0)</f>
        <v>#REF!</v>
      </c>
      <c r="CH149" t="e">
        <f>IF(#REF!,"AAAAAHNX3VU=",0)</f>
        <v>#REF!</v>
      </c>
      <c r="CI149" t="e">
        <f>IF(#REF!,"AAAAAHNX3VY=",0)</f>
        <v>#REF!</v>
      </c>
      <c r="CJ149" t="e">
        <f>IF(#REF!,"AAAAAHNX3Vc=",0)</f>
        <v>#REF!</v>
      </c>
      <c r="CK149" t="e">
        <f>IF(#REF!,"AAAAAHNX3Vg=",0)</f>
        <v>#REF!</v>
      </c>
      <c r="CL149" t="e">
        <f>IF(#REF!,"AAAAAHNX3Vk=",0)</f>
        <v>#REF!</v>
      </c>
      <c r="CM149" t="e">
        <f>IF(#REF!,"AAAAAHNX3Vo=",0)</f>
        <v>#REF!</v>
      </c>
      <c r="CN149" t="e">
        <f>IF(#REF!,"AAAAAHNX3Vs=",0)</f>
        <v>#REF!</v>
      </c>
      <c r="CO149" t="e">
        <f>IF(#REF!,"AAAAAHNX3Vw=",0)</f>
        <v>#REF!</v>
      </c>
      <c r="CP149" t="e">
        <f>IF(#REF!,"AAAAAHNX3V0=",0)</f>
        <v>#REF!</v>
      </c>
      <c r="CQ149" t="e">
        <f>IF(#REF!,"AAAAAHNX3V4=",0)</f>
        <v>#REF!</v>
      </c>
      <c r="CR149" t="e">
        <f>IF(#REF!,"AAAAAHNX3V8=",0)</f>
        <v>#REF!</v>
      </c>
      <c r="CS149" t="e">
        <f>IF(#REF!,"AAAAAHNX3WA=",0)</f>
        <v>#REF!</v>
      </c>
      <c r="CT149" t="e">
        <f>IF(#REF!,"AAAAAHNX3WE=",0)</f>
        <v>#REF!</v>
      </c>
      <c r="CU149" t="e">
        <f>IF(#REF!,"AAAAAHNX3WI=",0)</f>
        <v>#REF!</v>
      </c>
      <c r="CV149" t="e">
        <f>IF(#REF!,"AAAAAHNX3WM=",0)</f>
        <v>#REF!</v>
      </c>
      <c r="CW149" t="e">
        <f>IF(#REF!,"AAAAAHNX3WQ=",0)</f>
        <v>#REF!</v>
      </c>
      <c r="CX149" t="e">
        <f>IF(#REF!,"AAAAAHNX3WU=",0)</f>
        <v>#REF!</v>
      </c>
      <c r="CY149" t="e">
        <f>IF(#REF!,"AAAAAHNX3WY=",0)</f>
        <v>#REF!</v>
      </c>
      <c r="CZ149" t="e">
        <f>IF(#REF!,"AAAAAHNX3Wc=",0)</f>
        <v>#REF!</v>
      </c>
      <c r="DA149" t="e">
        <f>IF(#REF!,"AAAAAHNX3Wg=",0)</f>
        <v>#REF!</v>
      </c>
      <c r="DB149" t="e">
        <f>IF(#REF!,"AAAAAHNX3Wk=",0)</f>
        <v>#REF!</v>
      </c>
      <c r="DC149" t="e">
        <f>IF(#REF!,"AAAAAHNX3Wo=",0)</f>
        <v>#REF!</v>
      </c>
      <c r="DD149" t="e">
        <f>IF(#REF!,"AAAAAHNX3Ws=",0)</f>
        <v>#REF!</v>
      </c>
      <c r="DE149" t="e">
        <f>IF(#REF!,"AAAAAHNX3Ww=",0)</f>
        <v>#REF!</v>
      </c>
      <c r="DF149" t="e">
        <f>IF(#REF!,"AAAAAHNX3W0=",0)</f>
        <v>#REF!</v>
      </c>
      <c r="DG149" t="e">
        <f>IF(#REF!,"AAAAAHNX3W4=",0)</f>
        <v>#REF!</v>
      </c>
      <c r="DH149" t="e">
        <f>IF(#REF!,"AAAAAHNX3W8=",0)</f>
        <v>#REF!</v>
      </c>
      <c r="DI149" t="e">
        <f>IF(#REF!,"AAAAAHNX3XA=",0)</f>
        <v>#REF!</v>
      </c>
      <c r="DJ149" t="e">
        <f>IF(#REF!,"AAAAAHNX3XE=",0)</f>
        <v>#REF!</v>
      </c>
      <c r="DK149" t="e">
        <f>IF(#REF!,"AAAAAHNX3XI=",0)</f>
        <v>#REF!</v>
      </c>
      <c r="DL149" t="e">
        <f>IF(#REF!,"AAAAAHNX3XM=",0)</f>
        <v>#REF!</v>
      </c>
      <c r="DM149" t="e">
        <f>IF(#REF!,"AAAAAHNX3XQ=",0)</f>
        <v>#REF!</v>
      </c>
      <c r="DN149" t="e">
        <f>IF(#REF!,"AAAAAHNX3XU=",0)</f>
        <v>#REF!</v>
      </c>
      <c r="DO149" t="e">
        <f>IF(#REF!,"AAAAAHNX3XY=",0)</f>
        <v>#REF!</v>
      </c>
      <c r="DP149" t="e">
        <f>IF(#REF!,"AAAAAHNX3Xc=",0)</f>
        <v>#REF!</v>
      </c>
      <c r="DQ149" t="e">
        <f>IF(#REF!,"AAAAAHNX3Xg=",0)</f>
        <v>#REF!</v>
      </c>
      <c r="DR149" t="e">
        <f>IF(#REF!,"AAAAAHNX3Xk=",0)</f>
        <v>#REF!</v>
      </c>
      <c r="DS149" t="e">
        <f>IF(#REF!,"AAAAAHNX3Xo=",0)</f>
        <v>#REF!</v>
      </c>
      <c r="DT149" t="e">
        <f>IF(#REF!,"AAAAAHNX3Xs=",0)</f>
        <v>#REF!</v>
      </c>
      <c r="DU149" t="e">
        <f>IF(#REF!,"AAAAAHNX3Xw=",0)</f>
        <v>#REF!</v>
      </c>
      <c r="DV149" t="e">
        <f>IF(#REF!,"AAAAAHNX3X0=",0)</f>
        <v>#REF!</v>
      </c>
      <c r="DW149" t="e">
        <f>IF(#REF!,"AAAAAHNX3X4=",0)</f>
        <v>#REF!</v>
      </c>
      <c r="DX149" t="e">
        <f>IF(#REF!,"AAAAAHNX3X8=",0)</f>
        <v>#REF!</v>
      </c>
      <c r="DY149" t="e">
        <f>IF(#REF!,"AAAAAHNX3YA=",0)</f>
        <v>#REF!</v>
      </c>
      <c r="DZ149" t="e">
        <f>IF(#REF!,"AAAAAHNX3YE=",0)</f>
        <v>#REF!</v>
      </c>
      <c r="EA149" t="e">
        <f>IF(#REF!,"AAAAAHNX3YI=",0)</f>
        <v>#REF!</v>
      </c>
      <c r="EB149" t="e">
        <f>IF(#REF!,"AAAAAHNX3YM=",0)</f>
        <v>#REF!</v>
      </c>
      <c r="EC149" t="e">
        <f>IF(#REF!,"AAAAAHNX3YQ=",0)</f>
        <v>#REF!</v>
      </c>
      <c r="ED149" t="e">
        <f>IF(#REF!,"AAAAAHNX3YU=",0)</f>
        <v>#REF!</v>
      </c>
      <c r="EE149" t="e">
        <f>IF(#REF!,"AAAAAHNX3YY=",0)</f>
        <v>#REF!</v>
      </c>
      <c r="EF149" t="e">
        <f>IF(#REF!,"AAAAAHNX3Yc=",0)</f>
        <v>#REF!</v>
      </c>
      <c r="EG149" t="e">
        <f>IF(#REF!,"AAAAAHNX3Yg=",0)</f>
        <v>#REF!</v>
      </c>
      <c r="EH149" t="e">
        <f>IF(#REF!,"AAAAAHNX3Yk=",0)</f>
        <v>#REF!</v>
      </c>
      <c r="EI149" t="e">
        <f>IF(#REF!,"AAAAAHNX3Yo=",0)</f>
        <v>#REF!</v>
      </c>
      <c r="EJ149" t="e">
        <f>IF(#REF!,"AAAAAHNX3Ys=",0)</f>
        <v>#REF!</v>
      </c>
      <c r="EK149" t="e">
        <f>IF(#REF!,"AAAAAHNX3Yw=",0)</f>
        <v>#REF!</v>
      </c>
      <c r="EL149" t="e">
        <f>IF(#REF!,"AAAAAHNX3Y0=",0)</f>
        <v>#REF!</v>
      </c>
      <c r="EM149" t="e">
        <f>IF(#REF!,"AAAAAHNX3Y4=",0)</f>
        <v>#REF!</v>
      </c>
      <c r="EN149" t="e">
        <f>IF(#REF!,"AAAAAHNX3Y8=",0)</f>
        <v>#REF!</v>
      </c>
      <c r="EO149" t="e">
        <f>IF(#REF!,"AAAAAHNX3ZA=",0)</f>
        <v>#REF!</v>
      </c>
      <c r="EP149" t="e">
        <f>IF(#REF!,"AAAAAHNX3ZE=",0)</f>
        <v>#REF!</v>
      </c>
      <c r="EQ149" t="e">
        <f>IF(#REF!,"AAAAAHNX3ZI=",0)</f>
        <v>#REF!</v>
      </c>
      <c r="ER149" t="e">
        <f>IF(#REF!,"AAAAAHNX3ZM=",0)</f>
        <v>#REF!</v>
      </c>
      <c r="ES149" t="e">
        <f>IF(#REF!,"AAAAAHNX3ZQ=",0)</f>
        <v>#REF!</v>
      </c>
      <c r="ET149" t="e">
        <f>IF(#REF!,"AAAAAHNX3ZU=",0)</f>
        <v>#REF!</v>
      </c>
      <c r="EU149" t="e">
        <f>IF(#REF!,"AAAAAHNX3ZY=",0)</f>
        <v>#REF!</v>
      </c>
      <c r="EV149" t="e">
        <f>IF(#REF!,"AAAAAHNX3Zc=",0)</f>
        <v>#REF!</v>
      </c>
      <c r="EW149" t="e">
        <f>IF(#REF!,"AAAAAHNX3Zg=",0)</f>
        <v>#REF!</v>
      </c>
      <c r="EX149" t="e">
        <f>IF(#REF!,"AAAAAHNX3Zk=",0)</f>
        <v>#REF!</v>
      </c>
      <c r="EY149" t="e">
        <f>IF(#REF!,"AAAAAHNX3Zo=",0)</f>
        <v>#REF!</v>
      </c>
      <c r="EZ149" t="e">
        <f>IF(#REF!,"AAAAAHNX3Zs=",0)</f>
        <v>#REF!</v>
      </c>
      <c r="FA149" t="e">
        <f>IF(#REF!,"AAAAAHNX3Zw=",0)</f>
        <v>#REF!</v>
      </c>
      <c r="FB149" t="e">
        <f>IF(#REF!,"AAAAAHNX3Z0=",0)</f>
        <v>#REF!</v>
      </c>
      <c r="FC149" t="e">
        <f>IF(#REF!,"AAAAAHNX3Z4=",0)</f>
        <v>#REF!</v>
      </c>
      <c r="FD149" t="e">
        <f>IF(#REF!,"AAAAAHNX3Z8=",0)</f>
        <v>#REF!</v>
      </c>
      <c r="FE149" t="e">
        <f>IF(#REF!,"AAAAAHNX3aA=",0)</f>
        <v>#REF!</v>
      </c>
      <c r="FF149" t="e">
        <f>IF(#REF!,"AAAAAHNX3aE=",0)</f>
        <v>#REF!</v>
      </c>
      <c r="FG149" t="e">
        <f>IF(#REF!,"AAAAAHNX3aI=",0)</f>
        <v>#REF!</v>
      </c>
      <c r="FH149" t="e">
        <f>IF(#REF!,"AAAAAHNX3aM=",0)</f>
        <v>#REF!</v>
      </c>
      <c r="FI149" t="e">
        <f>IF(#REF!,"AAAAAHNX3aQ=",0)</f>
        <v>#REF!</v>
      </c>
      <c r="FJ149" t="e">
        <f>IF(#REF!,"AAAAAHNX3aU=",0)</f>
        <v>#REF!</v>
      </c>
      <c r="FK149" t="e">
        <f>IF(#REF!,"AAAAAHNX3aY=",0)</f>
        <v>#REF!</v>
      </c>
      <c r="FL149" t="e">
        <f>IF(#REF!,"AAAAAHNX3ac=",0)</f>
        <v>#REF!</v>
      </c>
      <c r="FM149" t="e">
        <f>IF(#REF!,"AAAAAHNX3ag=",0)</f>
        <v>#REF!</v>
      </c>
      <c r="FN149" t="e">
        <f>IF(#REF!,"AAAAAHNX3ak=",0)</f>
        <v>#REF!</v>
      </c>
      <c r="FO149" t="e">
        <f>IF(#REF!,"AAAAAHNX3ao=",0)</f>
        <v>#REF!</v>
      </c>
      <c r="FP149" t="e">
        <f>IF(#REF!,"AAAAAHNX3as=",0)</f>
        <v>#REF!</v>
      </c>
      <c r="FQ149" t="e">
        <f>IF(#REF!,"AAAAAHNX3aw=",0)</f>
        <v>#REF!</v>
      </c>
      <c r="FR149" t="e">
        <f>IF(#REF!,"AAAAAHNX3a0=",0)</f>
        <v>#REF!</v>
      </c>
      <c r="FS149" t="e">
        <f>IF(#REF!,"AAAAAHNX3a4=",0)</f>
        <v>#REF!</v>
      </c>
      <c r="FT149" t="e">
        <f>IF(#REF!,"AAAAAHNX3a8=",0)</f>
        <v>#REF!</v>
      </c>
      <c r="FU149" t="e">
        <f>IF(#REF!,"AAAAAHNX3bA=",0)</f>
        <v>#REF!</v>
      </c>
      <c r="FV149" t="e">
        <f>IF(#REF!,"AAAAAHNX3bE=",0)</f>
        <v>#REF!</v>
      </c>
      <c r="FW149" t="e">
        <f>IF(#REF!,"AAAAAHNX3bI=",0)</f>
        <v>#REF!</v>
      </c>
      <c r="FX149" t="e">
        <f>IF(#REF!,"AAAAAHNX3bM=",0)</f>
        <v>#REF!</v>
      </c>
      <c r="FY149" t="e">
        <f>IF(#REF!,"AAAAAHNX3bQ=",0)</f>
        <v>#REF!</v>
      </c>
      <c r="FZ149" t="e">
        <f>IF(#REF!,"AAAAAHNX3bU=",0)</f>
        <v>#REF!</v>
      </c>
      <c r="GA149" t="e">
        <f>IF(#REF!,"AAAAAHNX3bY=",0)</f>
        <v>#REF!</v>
      </c>
      <c r="GB149" t="e">
        <f>IF(#REF!,"AAAAAHNX3bc=",0)</f>
        <v>#REF!</v>
      </c>
      <c r="GC149" t="e">
        <f>IF(#REF!,"AAAAAHNX3bg=",0)</f>
        <v>#REF!</v>
      </c>
      <c r="GD149" t="e">
        <f>IF(#REF!,"AAAAAHNX3bk=",0)</f>
        <v>#REF!</v>
      </c>
      <c r="GE149" t="e">
        <f>IF(#REF!,"AAAAAHNX3bo=",0)</f>
        <v>#REF!</v>
      </c>
      <c r="GF149" t="e">
        <f>IF(#REF!,"AAAAAHNX3bs=",0)</f>
        <v>#REF!</v>
      </c>
      <c r="GG149" t="e">
        <f>IF(#REF!,"AAAAAHNX3bw=",0)</f>
        <v>#REF!</v>
      </c>
      <c r="GH149" t="e">
        <f>IF(#REF!,"AAAAAHNX3b0=",0)</f>
        <v>#REF!</v>
      </c>
      <c r="GI149" t="e">
        <f>IF(#REF!,"AAAAAHNX3b4=",0)</f>
        <v>#REF!</v>
      </c>
      <c r="GJ149" t="e">
        <f>IF(#REF!,"AAAAAHNX3b8=",0)</f>
        <v>#REF!</v>
      </c>
      <c r="GK149" t="e">
        <f>IF(#REF!,"AAAAAHNX3cA=",0)</f>
        <v>#REF!</v>
      </c>
      <c r="GL149" t="e">
        <f>IF(#REF!,"AAAAAHNX3cE=",0)</f>
        <v>#REF!</v>
      </c>
      <c r="GM149" t="e">
        <f>IF(#REF!,"AAAAAHNX3cI=",0)</f>
        <v>#REF!</v>
      </c>
      <c r="GN149" t="e">
        <f>IF(#REF!,"AAAAAHNX3cM=",0)</f>
        <v>#REF!</v>
      </c>
      <c r="GO149" t="e">
        <f>IF(#REF!,"AAAAAHNX3cQ=",0)</f>
        <v>#REF!</v>
      </c>
      <c r="GP149" t="e">
        <f>IF(#REF!,"AAAAAHNX3cU=",0)</f>
        <v>#REF!</v>
      </c>
      <c r="GQ149" t="e">
        <f>IF(#REF!,"AAAAAHNX3cY=",0)</f>
        <v>#REF!</v>
      </c>
      <c r="GR149" t="e">
        <f>IF(#REF!,"AAAAAHNX3cc=",0)</f>
        <v>#REF!</v>
      </c>
      <c r="GS149" t="e">
        <f>IF(#REF!,"AAAAAHNX3cg=",0)</f>
        <v>#REF!</v>
      </c>
      <c r="GT149" t="e">
        <f>IF(#REF!,"AAAAAHNX3ck=",0)</f>
        <v>#REF!</v>
      </c>
      <c r="GU149" t="e">
        <f>IF(#REF!,"AAAAAHNX3co=",0)</f>
        <v>#REF!</v>
      </c>
      <c r="GV149" t="e">
        <f>IF(#REF!,"AAAAAHNX3cs=",0)</f>
        <v>#REF!</v>
      </c>
      <c r="GW149" t="e">
        <f>IF(#REF!,"AAAAAHNX3cw=",0)</f>
        <v>#REF!</v>
      </c>
      <c r="GX149" t="e">
        <f>IF(#REF!,"AAAAAHNX3c0=",0)</f>
        <v>#REF!</v>
      </c>
      <c r="GY149" t="e">
        <f>IF(#REF!,"AAAAAHNX3c4=",0)</f>
        <v>#REF!</v>
      </c>
      <c r="GZ149" t="e">
        <f>IF(#REF!,"AAAAAHNX3c8=",0)</f>
        <v>#REF!</v>
      </c>
      <c r="HA149" t="e">
        <f>IF(#REF!,"AAAAAHNX3dA=",0)</f>
        <v>#REF!</v>
      </c>
      <c r="HB149" t="e">
        <f>IF(#REF!,"AAAAAHNX3dE=",0)</f>
        <v>#REF!</v>
      </c>
      <c r="HC149" t="e">
        <f>IF(#REF!,"AAAAAHNX3dI=",0)</f>
        <v>#REF!</v>
      </c>
      <c r="HD149" t="e">
        <f>IF(#REF!,"AAAAAHNX3dM=",0)</f>
        <v>#REF!</v>
      </c>
      <c r="HE149" t="e">
        <f>IF(#REF!,"AAAAAHNX3dQ=",0)</f>
        <v>#REF!</v>
      </c>
      <c r="HF149" t="e">
        <f>IF(#REF!,"AAAAAHNX3dU=",0)</f>
        <v>#REF!</v>
      </c>
      <c r="HG149" t="e">
        <f>IF(#REF!,"AAAAAHNX3dY=",0)</f>
        <v>#REF!</v>
      </c>
      <c r="HH149" t="e">
        <f>IF(#REF!,"AAAAAHNX3dc=",0)</f>
        <v>#REF!</v>
      </c>
      <c r="HI149" t="e">
        <f>IF(#REF!,"AAAAAHNX3dg=",0)</f>
        <v>#REF!</v>
      </c>
      <c r="HJ149" t="e">
        <f>IF(#REF!,"AAAAAHNX3dk=",0)</f>
        <v>#REF!</v>
      </c>
      <c r="HK149" t="e">
        <f>IF(#REF!,"AAAAAHNX3do=",0)</f>
        <v>#REF!</v>
      </c>
      <c r="HL149" t="e">
        <f>IF(#REF!,"AAAAAHNX3ds=",0)</f>
        <v>#REF!</v>
      </c>
      <c r="HM149" t="e">
        <f>IF(#REF!,"AAAAAHNX3dw=",0)</f>
        <v>#REF!</v>
      </c>
      <c r="HN149" t="e">
        <f>IF(#REF!,"AAAAAHNX3d0=",0)</f>
        <v>#REF!</v>
      </c>
      <c r="HO149" t="e">
        <f>IF(#REF!,"AAAAAHNX3d4=",0)</f>
        <v>#REF!</v>
      </c>
      <c r="HP149" t="e">
        <f>IF(#REF!,"AAAAAHNX3d8=",0)</f>
        <v>#REF!</v>
      </c>
      <c r="HQ149" t="e">
        <f>IF(#REF!,"AAAAAHNX3eA=",0)</f>
        <v>#REF!</v>
      </c>
      <c r="HR149" t="e">
        <f>IF(#REF!,"AAAAAHNX3eE=",0)</f>
        <v>#REF!</v>
      </c>
      <c r="HS149" t="e">
        <f>IF(#REF!,"AAAAAHNX3eI=",0)</f>
        <v>#REF!</v>
      </c>
      <c r="HT149" t="e">
        <f>IF(#REF!,"AAAAAHNX3eM=",0)</f>
        <v>#REF!</v>
      </c>
      <c r="HU149" t="e">
        <f>IF(#REF!,"AAAAAHNX3eQ=",0)</f>
        <v>#REF!</v>
      </c>
      <c r="HV149" t="e">
        <f>IF(#REF!,"AAAAAHNX3eU=",0)</f>
        <v>#REF!</v>
      </c>
      <c r="HW149" t="e">
        <f>IF(#REF!,"AAAAAHNX3eY=",0)</f>
        <v>#REF!</v>
      </c>
      <c r="HX149" t="e">
        <f>IF(#REF!,"AAAAAHNX3ec=",0)</f>
        <v>#REF!</v>
      </c>
      <c r="HY149" t="e">
        <f>IF(#REF!,"AAAAAHNX3eg=",0)</f>
        <v>#REF!</v>
      </c>
      <c r="HZ149" t="e">
        <f>IF(#REF!,"AAAAAHNX3ek=",0)</f>
        <v>#REF!</v>
      </c>
      <c r="IA149" t="e">
        <f>IF(#REF!,"AAAAAHNX3eo=",0)</f>
        <v>#REF!</v>
      </c>
      <c r="IB149" t="e">
        <f>IF(#REF!,"AAAAAHNX3es=",0)</f>
        <v>#REF!</v>
      </c>
      <c r="IC149" t="e">
        <f>IF(#REF!,"AAAAAHNX3ew=",0)</f>
        <v>#REF!</v>
      </c>
      <c r="ID149" t="e">
        <f>IF(#REF!,"AAAAAHNX3e0=",0)</f>
        <v>#REF!</v>
      </c>
      <c r="IE149" t="e">
        <f>IF(#REF!,"AAAAAHNX3e4=",0)</f>
        <v>#REF!</v>
      </c>
      <c r="IF149" t="e">
        <f>IF(#REF!,"AAAAAHNX3e8=",0)</f>
        <v>#REF!</v>
      </c>
      <c r="IG149" t="e">
        <f>IF(#REF!,"AAAAAHNX3fA=",0)</f>
        <v>#REF!</v>
      </c>
      <c r="IH149" t="e">
        <f>IF(#REF!,"AAAAAHNX3fE=",0)</f>
        <v>#REF!</v>
      </c>
      <c r="II149" t="e">
        <f>IF(#REF!,"AAAAAHNX3fI=",0)</f>
        <v>#REF!</v>
      </c>
      <c r="IJ149" t="e">
        <f>IF(#REF!,"AAAAAHNX3fM=",0)</f>
        <v>#REF!</v>
      </c>
      <c r="IK149" t="e">
        <f>IF(#REF!,"AAAAAHNX3fQ=",0)</f>
        <v>#REF!</v>
      </c>
      <c r="IL149" t="e">
        <f>IF(#REF!,"AAAAAHNX3fU=",0)</f>
        <v>#REF!</v>
      </c>
      <c r="IM149" t="e">
        <f>IF(#REF!,"AAAAAHNX3fY=",0)</f>
        <v>#REF!</v>
      </c>
      <c r="IN149" t="e">
        <f>IF(#REF!,"AAAAAHNX3fc=",0)</f>
        <v>#REF!</v>
      </c>
      <c r="IO149" t="e">
        <f>IF(#REF!,"AAAAAHNX3fg=",0)</f>
        <v>#REF!</v>
      </c>
      <c r="IP149" t="e">
        <f>IF(#REF!,"AAAAAHNX3fk=",0)</f>
        <v>#REF!</v>
      </c>
      <c r="IQ149" t="e">
        <f>IF(#REF!,"AAAAAHNX3fo=",0)</f>
        <v>#REF!</v>
      </c>
      <c r="IR149" t="e">
        <f>IF(#REF!,"AAAAAHNX3fs=",0)</f>
        <v>#REF!</v>
      </c>
      <c r="IS149" t="e">
        <f>IF(#REF!,"AAAAAHNX3fw=",0)</f>
        <v>#REF!</v>
      </c>
      <c r="IT149" t="e">
        <f>IF(#REF!,"AAAAAHNX3f0=",0)</f>
        <v>#REF!</v>
      </c>
      <c r="IU149" t="e">
        <f>IF(#REF!,"AAAAAHNX3f4=",0)</f>
        <v>#REF!</v>
      </c>
      <c r="IV149" t="e">
        <f>IF(#REF!,"AAAAAHNX3f8=",0)</f>
        <v>#REF!</v>
      </c>
    </row>
    <row r="150" spans="1:256">
      <c r="A150" t="e">
        <f>IF(#REF!,"AAAAAFljXwA=",0)</f>
        <v>#REF!</v>
      </c>
      <c r="B150" t="e">
        <f>IF(#REF!,"AAAAAFljXwE=",0)</f>
        <v>#REF!</v>
      </c>
      <c r="C150" t="e">
        <f>IF(#REF!,"AAAAAFljXwI=",0)</f>
        <v>#REF!</v>
      </c>
      <c r="D150" t="e">
        <f>IF(#REF!,"AAAAAFljXwM=",0)</f>
        <v>#REF!</v>
      </c>
      <c r="E150" t="e">
        <f>IF(#REF!,"AAAAAFljXwQ=",0)</f>
        <v>#REF!</v>
      </c>
      <c r="F150" t="e">
        <f>IF(#REF!,"AAAAAFljXwU=",0)</f>
        <v>#REF!</v>
      </c>
      <c r="G150" t="e">
        <f>IF(#REF!,"AAAAAFljXwY=",0)</f>
        <v>#REF!</v>
      </c>
      <c r="H150" t="e">
        <f>IF(#REF!,"AAAAAFljXwc=",0)</f>
        <v>#REF!</v>
      </c>
      <c r="I150" t="e">
        <f>IF(#REF!,"AAAAAFljXwg=",0)</f>
        <v>#REF!</v>
      </c>
      <c r="J150" t="e">
        <f>IF(#REF!,"AAAAAFljXwk=",0)</f>
        <v>#REF!</v>
      </c>
      <c r="K150" t="e">
        <f>IF(#REF!,"AAAAAFljXwo=",0)</f>
        <v>#REF!</v>
      </c>
      <c r="L150" t="e">
        <f>IF(#REF!,"AAAAAFljXws=",0)</f>
        <v>#REF!</v>
      </c>
      <c r="M150" t="e">
        <f>IF(#REF!,"AAAAAFljXww=",0)</f>
        <v>#REF!</v>
      </c>
      <c r="N150" t="e">
        <f>IF(#REF!,"AAAAAFljXw0=",0)</f>
        <v>#REF!</v>
      </c>
      <c r="O150" t="e">
        <f>IF(#REF!,"AAAAAFljXw4=",0)</f>
        <v>#REF!</v>
      </c>
      <c r="P150" t="e">
        <f>IF(#REF!,"AAAAAFljXw8=",0)</f>
        <v>#REF!</v>
      </c>
      <c r="Q150" t="e">
        <f>IF(#REF!,"AAAAAFljXxA=",0)</f>
        <v>#REF!</v>
      </c>
      <c r="R150" t="e">
        <f>IF(#REF!,"AAAAAFljXxE=",0)</f>
        <v>#REF!</v>
      </c>
      <c r="S150" t="e">
        <f>IF(#REF!,"AAAAAFljXxI=",0)</f>
        <v>#REF!</v>
      </c>
      <c r="T150" t="e">
        <f>IF(#REF!,"AAAAAFljXxM=",0)</f>
        <v>#REF!</v>
      </c>
      <c r="U150" t="e">
        <f>IF(#REF!,"AAAAAFljXxQ=",0)</f>
        <v>#REF!</v>
      </c>
      <c r="V150" t="e">
        <f>IF(#REF!,"AAAAAFljXxU=",0)</f>
        <v>#REF!</v>
      </c>
      <c r="W150" t="e">
        <f>IF(#REF!,"AAAAAFljXxY=",0)</f>
        <v>#REF!</v>
      </c>
      <c r="X150" t="e">
        <f>IF(#REF!,"AAAAAFljXxc=",0)</f>
        <v>#REF!</v>
      </c>
      <c r="Y150" t="e">
        <f>IF(#REF!,"AAAAAFljXxg=",0)</f>
        <v>#REF!</v>
      </c>
      <c r="Z150" t="e">
        <f>IF(#REF!,"AAAAAFljXxk=",0)</f>
        <v>#REF!</v>
      </c>
      <c r="AA150" t="e">
        <f>IF(#REF!,"AAAAAFljXxo=",0)</f>
        <v>#REF!</v>
      </c>
      <c r="AB150" t="e">
        <f>IF(#REF!,"AAAAAFljXxs=",0)</f>
        <v>#REF!</v>
      </c>
      <c r="AC150" t="e">
        <f>IF(#REF!,"AAAAAFljXxw=",0)</f>
        <v>#REF!</v>
      </c>
      <c r="AD150" t="e">
        <f>IF(#REF!,"AAAAAFljXx0=",0)</f>
        <v>#REF!</v>
      </c>
      <c r="AE150" t="e">
        <f>IF(#REF!,"AAAAAFljXx4=",0)</f>
        <v>#REF!</v>
      </c>
      <c r="AF150" t="e">
        <f>IF(#REF!,"AAAAAFljXx8=",0)</f>
        <v>#REF!</v>
      </c>
      <c r="AG150" t="e">
        <f>IF(#REF!,"AAAAAFljXyA=",0)</f>
        <v>#REF!</v>
      </c>
      <c r="AH150" t="e">
        <f>IF(#REF!,"AAAAAFljXyE=",0)</f>
        <v>#REF!</v>
      </c>
      <c r="AI150" t="e">
        <f>IF(#REF!,"AAAAAFljXyI=",0)</f>
        <v>#REF!</v>
      </c>
      <c r="AJ150" t="e">
        <f>IF(#REF!,"AAAAAFljXyM=",0)</f>
        <v>#REF!</v>
      </c>
      <c r="AK150" t="e">
        <f>IF(#REF!,"AAAAAFljXyQ=",0)</f>
        <v>#REF!</v>
      </c>
      <c r="AL150" t="e">
        <f>IF(#REF!,"AAAAAFljXyU=",0)</f>
        <v>#REF!</v>
      </c>
      <c r="AM150" t="e">
        <f>IF(#REF!,"AAAAAFljXyY=",0)</f>
        <v>#REF!</v>
      </c>
      <c r="AN150" t="e">
        <f>IF(#REF!,"AAAAAFljXyc=",0)</f>
        <v>#REF!</v>
      </c>
      <c r="AO150" t="e">
        <f>IF(#REF!,"AAAAAFljXyg=",0)</f>
        <v>#REF!</v>
      </c>
      <c r="AP150" t="e">
        <f>IF(#REF!,"AAAAAFljXyk=",0)</f>
        <v>#REF!</v>
      </c>
      <c r="AQ150" t="e">
        <f>IF(#REF!,"AAAAAFljXyo=",0)</f>
        <v>#REF!</v>
      </c>
      <c r="AR150" t="e">
        <f>IF(#REF!,"AAAAAFljXys=",0)</f>
        <v>#REF!</v>
      </c>
      <c r="AS150" t="e">
        <f>IF(#REF!,"AAAAAFljXyw=",0)</f>
        <v>#REF!</v>
      </c>
      <c r="AT150" t="e">
        <f>IF(#REF!,"AAAAAFljXy0=",0)</f>
        <v>#REF!</v>
      </c>
      <c r="AU150" t="e">
        <f>IF(#REF!,"AAAAAFljXy4=",0)</f>
        <v>#REF!</v>
      </c>
      <c r="AV150" t="e">
        <f>IF(#REF!,"AAAAAFljXy8=",0)</f>
        <v>#REF!</v>
      </c>
      <c r="AW150" t="e">
        <f>IF(#REF!,"AAAAAFljXzA=",0)</f>
        <v>#REF!</v>
      </c>
      <c r="AX150" t="e">
        <f>IF(#REF!,"AAAAAFljXzE=",0)</f>
        <v>#REF!</v>
      </c>
      <c r="AY150" t="e">
        <f>IF(#REF!,"AAAAAFljXzI=",0)</f>
        <v>#REF!</v>
      </c>
      <c r="AZ150" t="e">
        <f>IF(#REF!,"AAAAAFljXzM=",0)</f>
        <v>#REF!</v>
      </c>
      <c r="BA150" t="e">
        <f>IF(#REF!,"AAAAAFljXzQ=",0)</f>
        <v>#REF!</v>
      </c>
      <c r="BB150" t="e">
        <f>IF(#REF!,"AAAAAFljXzU=",0)</f>
        <v>#REF!</v>
      </c>
      <c r="BC150" t="e">
        <f>IF(#REF!,"AAAAAFljXzY=",0)</f>
        <v>#REF!</v>
      </c>
      <c r="BD150" t="e">
        <f>IF(#REF!,"AAAAAFljXzc=",0)</f>
        <v>#REF!</v>
      </c>
      <c r="BE150" t="e">
        <f>IF(#REF!,"AAAAAFljXzg=",0)</f>
        <v>#REF!</v>
      </c>
      <c r="BF150" t="e">
        <f>IF(#REF!,"AAAAAFljXzk=",0)</f>
        <v>#REF!</v>
      </c>
      <c r="BG150" t="e">
        <f>IF(#REF!,"AAAAAFljXzo=",0)</f>
        <v>#REF!</v>
      </c>
      <c r="BH150" t="e">
        <f>IF(#REF!,"AAAAAFljXzs=",0)</f>
        <v>#REF!</v>
      </c>
      <c r="BI150" t="e">
        <f>IF(#REF!,"AAAAAFljXzw=",0)</f>
        <v>#REF!</v>
      </c>
      <c r="BJ150" t="e">
        <f>IF(#REF!,"AAAAAFljXz0=",0)</f>
        <v>#REF!</v>
      </c>
      <c r="BK150" t="e">
        <f>IF(#REF!,"AAAAAFljXz4=",0)</f>
        <v>#REF!</v>
      </c>
      <c r="BL150" t="e">
        <f>IF(#REF!,"AAAAAFljXz8=",0)</f>
        <v>#REF!</v>
      </c>
      <c r="BM150" t="e">
        <f>IF(#REF!,"AAAAAFljX0A=",0)</f>
        <v>#REF!</v>
      </c>
      <c r="BN150" t="e">
        <f>IF(#REF!,"AAAAAFljX0E=",0)</f>
        <v>#REF!</v>
      </c>
      <c r="BO150" t="e">
        <f>IF(#REF!,"AAAAAFljX0I=",0)</f>
        <v>#REF!</v>
      </c>
      <c r="BP150" t="e">
        <f>IF(#REF!,"AAAAAFljX0M=",0)</f>
        <v>#REF!</v>
      </c>
      <c r="BQ150" t="e">
        <f>IF(#REF!,"AAAAAFljX0Q=",0)</f>
        <v>#REF!</v>
      </c>
      <c r="BR150" t="e">
        <f>IF(#REF!,"AAAAAFljX0U=",0)</f>
        <v>#REF!</v>
      </c>
      <c r="BS150" t="e">
        <f>IF(#REF!,"AAAAAFljX0Y=",0)</f>
        <v>#REF!</v>
      </c>
      <c r="BT150" t="e">
        <f>IF(#REF!,"AAAAAFljX0c=",0)</f>
        <v>#REF!</v>
      </c>
      <c r="BU150" t="e">
        <f>IF(#REF!,"AAAAAFljX0g=",0)</f>
        <v>#REF!</v>
      </c>
      <c r="BV150" t="e">
        <f>IF(#REF!,"AAAAAFljX0k=",0)</f>
        <v>#REF!</v>
      </c>
      <c r="BW150" t="e">
        <f>IF(#REF!,"AAAAAFljX0o=",0)</f>
        <v>#REF!</v>
      </c>
      <c r="BX150" t="e">
        <f>IF(#REF!,"AAAAAFljX0s=",0)</f>
        <v>#REF!</v>
      </c>
      <c r="BY150" t="e">
        <f>IF(#REF!,"AAAAAFljX0w=",0)</f>
        <v>#REF!</v>
      </c>
      <c r="BZ150" t="e">
        <f>IF(#REF!,"AAAAAFljX00=",0)</f>
        <v>#REF!</v>
      </c>
      <c r="CA150" t="e">
        <f>IF(#REF!,"AAAAAFljX04=",0)</f>
        <v>#REF!</v>
      </c>
      <c r="CB150" t="e">
        <f>IF(#REF!,"AAAAAFljX08=",0)</f>
        <v>#REF!</v>
      </c>
      <c r="CC150" t="e">
        <f>IF(#REF!,"AAAAAFljX1A=",0)</f>
        <v>#REF!</v>
      </c>
      <c r="CD150" t="e">
        <f>IF(#REF!,"AAAAAFljX1E=",0)</f>
        <v>#REF!</v>
      </c>
      <c r="CE150" t="e">
        <f>IF(#REF!,"AAAAAFljX1I=",0)</f>
        <v>#REF!</v>
      </c>
      <c r="CF150" t="e">
        <f>IF(#REF!,"AAAAAFljX1M=",0)</f>
        <v>#REF!</v>
      </c>
      <c r="CG150" t="e">
        <f>IF(#REF!,"AAAAAFljX1Q=",0)</f>
        <v>#REF!</v>
      </c>
      <c r="CH150" t="e">
        <f>IF(#REF!,"AAAAAFljX1U=",0)</f>
        <v>#REF!</v>
      </c>
      <c r="CI150" t="e">
        <f>IF(#REF!,"AAAAAFljX1Y=",0)</f>
        <v>#REF!</v>
      </c>
      <c r="CJ150" t="e">
        <f>IF(#REF!,"AAAAAFljX1c=",0)</f>
        <v>#REF!</v>
      </c>
      <c r="CK150" t="e">
        <f>IF(#REF!,"AAAAAFljX1g=",0)</f>
        <v>#REF!</v>
      </c>
      <c r="CL150" t="e">
        <f>IF(#REF!,"AAAAAFljX1k=",0)</f>
        <v>#REF!</v>
      </c>
      <c r="CM150" t="e">
        <f>IF(#REF!,"AAAAAFljX1o=",0)</f>
        <v>#REF!</v>
      </c>
      <c r="CN150" t="e">
        <f>IF(#REF!,"AAAAAFljX1s=",0)</f>
        <v>#REF!</v>
      </c>
      <c r="CO150" t="e">
        <f>IF(#REF!,"AAAAAFljX1w=",0)</f>
        <v>#REF!</v>
      </c>
      <c r="CP150" t="e">
        <f>IF(#REF!,"AAAAAFljX10=",0)</f>
        <v>#REF!</v>
      </c>
      <c r="CQ150" t="e">
        <f>IF(#REF!,"AAAAAFljX14=",0)</f>
        <v>#REF!</v>
      </c>
      <c r="CR150" t="e">
        <f>IF(#REF!,"AAAAAFljX18=",0)</f>
        <v>#REF!</v>
      </c>
      <c r="CS150" t="e">
        <f>IF(#REF!,"AAAAAFljX2A=",0)</f>
        <v>#REF!</v>
      </c>
      <c r="CT150" t="e">
        <f>IF(#REF!,"AAAAAFljX2E=",0)</f>
        <v>#REF!</v>
      </c>
      <c r="CU150" t="e">
        <f>IF(#REF!,"AAAAAFljX2I=",0)</f>
        <v>#REF!</v>
      </c>
      <c r="CV150" t="e">
        <f>IF(#REF!,"AAAAAFljX2M=",0)</f>
        <v>#REF!</v>
      </c>
      <c r="CW150" t="e">
        <f>IF(#REF!,"AAAAAFljX2Q=",0)</f>
        <v>#REF!</v>
      </c>
      <c r="CX150" t="e">
        <f>IF(#REF!,"AAAAAFljX2U=",0)</f>
        <v>#REF!</v>
      </c>
      <c r="CY150" t="e">
        <f>IF(#REF!,"AAAAAFljX2Y=",0)</f>
        <v>#REF!</v>
      </c>
      <c r="CZ150" t="e">
        <f>IF(#REF!,"AAAAAFljX2c=",0)</f>
        <v>#REF!</v>
      </c>
      <c r="DA150" t="e">
        <f>IF(#REF!,"AAAAAFljX2g=",0)</f>
        <v>#REF!</v>
      </c>
      <c r="DB150" t="e">
        <f>IF(#REF!,"AAAAAFljX2k=",0)</f>
        <v>#REF!</v>
      </c>
      <c r="DC150" t="e">
        <f>IF(#REF!,"AAAAAFljX2o=",0)</f>
        <v>#REF!</v>
      </c>
      <c r="DD150" t="e">
        <f>IF(#REF!,"AAAAAFljX2s=",0)</f>
        <v>#REF!</v>
      </c>
      <c r="DE150" t="e">
        <f>IF(#REF!,"AAAAAFljX2w=",0)</f>
        <v>#REF!</v>
      </c>
      <c r="DF150" t="e">
        <f>IF(#REF!,"AAAAAFljX20=",0)</f>
        <v>#REF!</v>
      </c>
      <c r="DG150" t="e">
        <f>IF(#REF!,"AAAAAFljX24=",0)</f>
        <v>#REF!</v>
      </c>
      <c r="DH150" t="e">
        <f>IF(#REF!,"AAAAAFljX28=",0)</f>
        <v>#REF!</v>
      </c>
      <c r="DI150" t="e">
        <f>IF(#REF!,"AAAAAFljX3A=",0)</f>
        <v>#REF!</v>
      </c>
      <c r="DJ150" t="e">
        <f>IF(#REF!,"AAAAAFljX3E=",0)</f>
        <v>#REF!</v>
      </c>
      <c r="DK150" t="e">
        <f>IF(#REF!,"AAAAAFljX3I=",0)</f>
        <v>#REF!</v>
      </c>
      <c r="DL150" t="e">
        <f>IF(#REF!,"AAAAAFljX3M=",0)</f>
        <v>#REF!</v>
      </c>
      <c r="DM150" t="e">
        <f>IF(#REF!,"AAAAAFljX3Q=",0)</f>
        <v>#REF!</v>
      </c>
      <c r="DN150" t="e">
        <f>IF(#REF!,"AAAAAFljX3U=",0)</f>
        <v>#REF!</v>
      </c>
      <c r="DO150" t="e">
        <f>IF(#REF!,"AAAAAFljX3Y=",0)</f>
        <v>#REF!</v>
      </c>
      <c r="DP150" t="e">
        <f>IF(#REF!,"AAAAAFljX3c=",0)</f>
        <v>#REF!</v>
      </c>
      <c r="DQ150" t="e">
        <f>IF(#REF!,"AAAAAFljX3g=",0)</f>
        <v>#REF!</v>
      </c>
      <c r="DR150" t="e">
        <f>IF(#REF!,"AAAAAFljX3k=",0)</f>
        <v>#REF!</v>
      </c>
      <c r="DS150" t="e">
        <f>IF(#REF!,"AAAAAFljX3o=",0)</f>
        <v>#REF!</v>
      </c>
      <c r="DT150" t="e">
        <f>IF(#REF!,"AAAAAFljX3s=",0)</f>
        <v>#REF!</v>
      </c>
      <c r="DU150" t="e">
        <f>IF(#REF!,"AAAAAFljX3w=",0)</f>
        <v>#REF!</v>
      </c>
      <c r="DV150" t="e">
        <f>IF(#REF!,"AAAAAFljX30=",0)</f>
        <v>#REF!</v>
      </c>
      <c r="DW150" t="e">
        <f>IF(#REF!,"AAAAAFljX34=",0)</f>
        <v>#REF!</v>
      </c>
      <c r="DX150" t="e">
        <f>IF(#REF!,"AAAAAFljX38=",0)</f>
        <v>#REF!</v>
      </c>
      <c r="DY150" t="e">
        <f>IF(#REF!,"AAAAAFljX4A=",0)</f>
        <v>#REF!</v>
      </c>
      <c r="DZ150" t="e">
        <f>IF(#REF!,"AAAAAFljX4E=",0)</f>
        <v>#REF!</v>
      </c>
      <c r="EA150" t="e">
        <f>IF(#REF!,"AAAAAFljX4I=",0)</f>
        <v>#REF!</v>
      </c>
      <c r="EB150" t="e">
        <f>IF(#REF!,"AAAAAFljX4M=",0)</f>
        <v>#REF!</v>
      </c>
      <c r="EC150" t="e">
        <f>IF(#REF!,"AAAAAFljX4Q=",0)</f>
        <v>#REF!</v>
      </c>
      <c r="ED150" t="e">
        <f>IF(#REF!,"AAAAAFljX4U=",0)</f>
        <v>#REF!</v>
      </c>
      <c r="EE150" t="e">
        <f>IF(#REF!,"AAAAAFljX4Y=",0)</f>
        <v>#REF!</v>
      </c>
      <c r="EF150" t="e">
        <f>IF(#REF!,"AAAAAFljX4c=",0)</f>
        <v>#REF!</v>
      </c>
      <c r="EG150" t="e">
        <f>IF(#REF!,"AAAAAFljX4g=",0)</f>
        <v>#REF!</v>
      </c>
      <c r="EH150" t="e">
        <f>IF(#REF!,"AAAAAFljX4k=",0)</f>
        <v>#REF!</v>
      </c>
      <c r="EI150" t="e">
        <f>IF(#REF!,"AAAAAFljX4o=",0)</f>
        <v>#REF!</v>
      </c>
      <c r="EJ150" t="e">
        <f>IF(#REF!,"AAAAAFljX4s=",0)</f>
        <v>#REF!</v>
      </c>
      <c r="EK150" t="e">
        <f>IF(#REF!,"AAAAAFljX4w=",0)</f>
        <v>#REF!</v>
      </c>
      <c r="EL150" t="e">
        <f>IF(#REF!,"AAAAAFljX40=",0)</f>
        <v>#REF!</v>
      </c>
      <c r="EM150" t="e">
        <f>IF(#REF!,"AAAAAFljX44=",0)</f>
        <v>#REF!</v>
      </c>
      <c r="EN150" t="e">
        <f>IF(#REF!,"AAAAAFljX48=",0)</f>
        <v>#REF!</v>
      </c>
      <c r="EO150" t="e">
        <f>IF(#REF!,"AAAAAFljX5A=",0)</f>
        <v>#REF!</v>
      </c>
      <c r="EP150" t="e">
        <f>IF(#REF!,"AAAAAFljX5E=",0)</f>
        <v>#REF!</v>
      </c>
      <c r="EQ150" t="e">
        <f>IF(#REF!,"AAAAAFljX5I=",0)</f>
        <v>#REF!</v>
      </c>
      <c r="ER150" t="e">
        <f>IF(#REF!,"AAAAAFljX5M=",0)</f>
        <v>#REF!</v>
      </c>
      <c r="ES150" t="e">
        <f>IF(#REF!,"AAAAAFljX5Q=",0)</f>
        <v>#REF!</v>
      </c>
      <c r="ET150" t="e">
        <f>IF(#REF!,"AAAAAFljX5U=",0)</f>
        <v>#REF!</v>
      </c>
      <c r="EU150" t="e">
        <f>IF(#REF!,"AAAAAFljX5Y=",0)</f>
        <v>#REF!</v>
      </c>
      <c r="EV150" t="e">
        <f>IF(#REF!,"AAAAAFljX5c=",0)</f>
        <v>#REF!</v>
      </c>
      <c r="EW150" t="e">
        <f>IF(#REF!,"AAAAAFljX5g=",0)</f>
        <v>#REF!</v>
      </c>
      <c r="EX150" t="e">
        <f>IF(#REF!,"AAAAAFljX5k=",0)</f>
        <v>#REF!</v>
      </c>
      <c r="EY150" t="e">
        <f>IF(#REF!,"AAAAAFljX5o=",0)</f>
        <v>#REF!</v>
      </c>
      <c r="EZ150" t="e">
        <f>IF(#REF!,"AAAAAFljX5s=",0)</f>
        <v>#REF!</v>
      </c>
      <c r="FA150" t="e">
        <f>IF(#REF!,"AAAAAFljX5w=",0)</f>
        <v>#REF!</v>
      </c>
      <c r="FB150" t="e">
        <f>IF(#REF!,"AAAAAFljX50=",0)</f>
        <v>#REF!</v>
      </c>
      <c r="FC150" t="e">
        <f>IF(#REF!,"AAAAAFljX54=",0)</f>
        <v>#REF!</v>
      </c>
      <c r="FD150" t="e">
        <f>IF(#REF!,"AAAAAFljX58=",0)</f>
        <v>#REF!</v>
      </c>
      <c r="FE150" t="e">
        <f>IF(#REF!,"AAAAAFljX6A=",0)</f>
        <v>#REF!</v>
      </c>
      <c r="FF150" t="e">
        <f>IF(#REF!,"AAAAAFljX6E=",0)</f>
        <v>#REF!</v>
      </c>
      <c r="FG150" t="e">
        <f>IF(#REF!,"AAAAAFljX6I=",0)</f>
        <v>#REF!</v>
      </c>
      <c r="FH150" t="e">
        <f>IF(#REF!,"AAAAAFljX6M=",0)</f>
        <v>#REF!</v>
      </c>
      <c r="FI150" t="e">
        <f>IF(#REF!,"AAAAAFljX6Q=",0)</f>
        <v>#REF!</v>
      </c>
      <c r="FJ150" t="e">
        <f>IF(#REF!,"AAAAAFljX6U=",0)</f>
        <v>#REF!</v>
      </c>
      <c r="FK150" t="e">
        <f>IF(#REF!,"AAAAAFljX6Y=",0)</f>
        <v>#REF!</v>
      </c>
      <c r="FL150" t="e">
        <f>IF(#REF!,"AAAAAFljX6c=",0)</f>
        <v>#REF!</v>
      </c>
      <c r="FM150" t="e">
        <f>IF(#REF!,"AAAAAFljX6g=",0)</f>
        <v>#REF!</v>
      </c>
      <c r="FN150" t="e">
        <f>IF(#REF!,"AAAAAFljX6k=",0)</f>
        <v>#REF!</v>
      </c>
      <c r="FO150" t="e">
        <f>IF(#REF!,"AAAAAFljX6o=",0)</f>
        <v>#REF!</v>
      </c>
      <c r="FP150" t="e">
        <f>IF(#REF!,"AAAAAFljX6s=",0)</f>
        <v>#REF!</v>
      </c>
      <c r="FQ150" t="e">
        <f>IF(#REF!,"AAAAAFljX6w=",0)</f>
        <v>#REF!</v>
      </c>
      <c r="FR150" t="e">
        <f>IF(#REF!,"AAAAAFljX60=",0)</f>
        <v>#REF!</v>
      </c>
      <c r="FS150" t="e">
        <f>IF(#REF!,"AAAAAFljX64=",0)</f>
        <v>#REF!</v>
      </c>
      <c r="FT150" t="e">
        <f>IF(#REF!,"AAAAAFljX68=",0)</f>
        <v>#REF!</v>
      </c>
      <c r="FU150" t="e">
        <f>IF(#REF!,"AAAAAFljX7A=",0)</f>
        <v>#REF!</v>
      </c>
      <c r="FV150" t="e">
        <f>IF(#REF!,"AAAAAFljX7E=",0)</f>
        <v>#REF!</v>
      </c>
      <c r="FW150" t="e">
        <f>IF(#REF!,"AAAAAFljX7I=",0)</f>
        <v>#REF!</v>
      </c>
      <c r="FX150" t="e">
        <f>IF(#REF!,"AAAAAFljX7M=",0)</f>
        <v>#REF!</v>
      </c>
      <c r="FY150" t="e">
        <f>IF(#REF!,"AAAAAFljX7Q=",0)</f>
        <v>#REF!</v>
      </c>
      <c r="FZ150" t="e">
        <f>IF(#REF!,"AAAAAFljX7U=",0)</f>
        <v>#REF!</v>
      </c>
      <c r="GA150" t="e">
        <f>IF(#REF!,"AAAAAFljX7Y=",0)</f>
        <v>#REF!</v>
      </c>
      <c r="GB150" t="e">
        <f>IF(#REF!,"AAAAAFljX7c=",0)</f>
        <v>#REF!</v>
      </c>
      <c r="GC150" t="e">
        <f>IF(#REF!,"AAAAAFljX7g=",0)</f>
        <v>#REF!</v>
      </c>
      <c r="GD150" t="e">
        <f>IF(#REF!,"AAAAAFljX7k=",0)</f>
        <v>#REF!</v>
      </c>
      <c r="GE150" t="e">
        <f>IF(#REF!,"AAAAAFljX7o=",0)</f>
        <v>#REF!</v>
      </c>
      <c r="GF150" t="e">
        <f>IF(#REF!,"AAAAAFljX7s=",0)</f>
        <v>#REF!</v>
      </c>
      <c r="GG150" t="e">
        <f>IF(#REF!,"AAAAAFljX7w=",0)</f>
        <v>#REF!</v>
      </c>
      <c r="GH150" t="e">
        <f>IF(#REF!,"AAAAAFljX70=",0)</f>
        <v>#REF!</v>
      </c>
      <c r="GI150" t="e">
        <f>IF(#REF!,"AAAAAFljX74=",0)</f>
        <v>#REF!</v>
      </c>
      <c r="GJ150" t="e">
        <f>IF(#REF!,"AAAAAFljX78=",0)</f>
        <v>#REF!</v>
      </c>
      <c r="GK150" t="e">
        <f>IF(#REF!,"AAAAAFljX8A=",0)</f>
        <v>#REF!</v>
      </c>
      <c r="GL150" t="e">
        <f>IF(#REF!,"AAAAAFljX8E=",0)</f>
        <v>#REF!</v>
      </c>
      <c r="GM150" t="e">
        <f>IF(#REF!,"AAAAAFljX8I=",0)</f>
        <v>#REF!</v>
      </c>
      <c r="GN150" t="e">
        <f>IF(#REF!,"AAAAAFljX8M=",0)</f>
        <v>#REF!</v>
      </c>
      <c r="GO150" t="e">
        <f>IF(#REF!,"AAAAAFljX8Q=",0)</f>
        <v>#REF!</v>
      </c>
      <c r="GP150" t="e">
        <f>IF(#REF!,"AAAAAFljX8U=",0)</f>
        <v>#REF!</v>
      </c>
      <c r="GQ150" t="e">
        <f>IF(#REF!,"AAAAAFljX8Y=",0)</f>
        <v>#REF!</v>
      </c>
      <c r="GR150" t="e">
        <f>IF(#REF!,"AAAAAFljX8c=",0)</f>
        <v>#REF!</v>
      </c>
      <c r="GS150" t="e">
        <f>IF(#REF!,"AAAAAFljX8g=",0)</f>
        <v>#REF!</v>
      </c>
      <c r="GT150" t="e">
        <f>IF(#REF!,"AAAAAFljX8k=",0)</f>
        <v>#REF!</v>
      </c>
      <c r="GU150" t="e">
        <f>IF(#REF!,"AAAAAFljX8o=",0)</f>
        <v>#REF!</v>
      </c>
      <c r="GV150" t="e">
        <f>IF(#REF!,"AAAAAFljX8s=",0)</f>
        <v>#REF!</v>
      </c>
      <c r="GW150" t="e">
        <f>IF(#REF!,"AAAAAFljX8w=",0)</f>
        <v>#REF!</v>
      </c>
      <c r="GX150" t="e">
        <f>IF(#REF!,"AAAAAFljX80=",0)</f>
        <v>#REF!</v>
      </c>
      <c r="GY150" t="e">
        <f>IF(#REF!,"AAAAAFljX84=",0)</f>
        <v>#REF!</v>
      </c>
      <c r="GZ150" t="e">
        <f>IF(#REF!,"AAAAAFljX88=",0)</f>
        <v>#REF!</v>
      </c>
      <c r="HA150" t="e">
        <f>IF(#REF!,"AAAAAFljX9A=",0)</f>
        <v>#REF!</v>
      </c>
      <c r="HB150" t="e">
        <f>IF(#REF!,"AAAAAFljX9E=",0)</f>
        <v>#REF!</v>
      </c>
      <c r="HC150" t="e">
        <f>IF(#REF!,"AAAAAFljX9I=",0)</f>
        <v>#REF!</v>
      </c>
      <c r="HD150" t="e">
        <f>IF(#REF!,"AAAAAFljX9M=",0)</f>
        <v>#REF!</v>
      </c>
      <c r="HE150" t="e">
        <f>IF(#REF!,"AAAAAFljX9Q=",0)</f>
        <v>#REF!</v>
      </c>
      <c r="HF150" t="e">
        <f>IF(#REF!,"AAAAAFljX9U=",0)</f>
        <v>#REF!</v>
      </c>
      <c r="HG150" t="e">
        <f>IF(#REF!,"AAAAAFljX9Y=",0)</f>
        <v>#REF!</v>
      </c>
      <c r="HH150" t="e">
        <f>IF(#REF!,"AAAAAFljX9c=",0)</f>
        <v>#REF!</v>
      </c>
      <c r="HI150" t="e">
        <f>IF(#REF!,"AAAAAFljX9g=",0)</f>
        <v>#REF!</v>
      </c>
      <c r="HJ150" t="e">
        <f>IF(#REF!,"AAAAAFljX9k=",0)</f>
        <v>#REF!</v>
      </c>
      <c r="HK150" t="e">
        <f>IF(#REF!,"AAAAAFljX9o=",0)</f>
        <v>#REF!</v>
      </c>
      <c r="HL150" t="e">
        <f>IF(#REF!,"AAAAAFljX9s=",0)</f>
        <v>#REF!</v>
      </c>
      <c r="HM150" t="e">
        <f>IF(#REF!,"AAAAAFljX9w=",0)</f>
        <v>#REF!</v>
      </c>
      <c r="HN150" t="e">
        <f>IF(#REF!,"AAAAAFljX90=",0)</f>
        <v>#REF!</v>
      </c>
      <c r="HO150" t="e">
        <f>IF(#REF!,"AAAAAFljX94=",0)</f>
        <v>#REF!</v>
      </c>
      <c r="HP150" t="e">
        <f>IF(#REF!,"AAAAAFljX98=",0)</f>
        <v>#REF!</v>
      </c>
      <c r="HQ150" t="e">
        <f>IF(#REF!,"AAAAAFljX+A=",0)</f>
        <v>#REF!</v>
      </c>
      <c r="HR150" t="e">
        <f>IF(#REF!,"AAAAAFljX+E=",0)</f>
        <v>#REF!</v>
      </c>
      <c r="HS150" t="e">
        <f>IF(#REF!,"AAAAAFljX+I=",0)</f>
        <v>#REF!</v>
      </c>
      <c r="HT150" t="e">
        <f>IF(#REF!,"AAAAAFljX+M=",0)</f>
        <v>#REF!</v>
      </c>
      <c r="HU150" t="e">
        <f>IF(#REF!,"AAAAAFljX+Q=",0)</f>
        <v>#REF!</v>
      </c>
      <c r="HV150" t="e">
        <f>IF(#REF!,"AAAAAFljX+U=",0)</f>
        <v>#REF!</v>
      </c>
      <c r="HW150" t="e">
        <f>IF(#REF!,"AAAAAFljX+Y=",0)</f>
        <v>#REF!</v>
      </c>
      <c r="HX150" t="e">
        <f>IF(#REF!,"AAAAAFljX+c=",0)</f>
        <v>#REF!</v>
      </c>
      <c r="HY150" t="e">
        <f>IF(#REF!,"AAAAAFljX+g=",0)</f>
        <v>#REF!</v>
      </c>
      <c r="HZ150" t="e">
        <f>IF(#REF!,"AAAAAFljX+k=",0)</f>
        <v>#REF!</v>
      </c>
      <c r="IA150" t="e">
        <f>IF(#REF!,"AAAAAFljX+o=",0)</f>
        <v>#REF!</v>
      </c>
      <c r="IB150" t="e">
        <f>IF(#REF!,"AAAAAFljX+s=",0)</f>
        <v>#REF!</v>
      </c>
      <c r="IC150" t="e">
        <f>IF(#REF!,"AAAAAFljX+w=",0)</f>
        <v>#REF!</v>
      </c>
      <c r="ID150" t="e">
        <f>IF(#REF!,"AAAAAFljX+0=",0)</f>
        <v>#REF!</v>
      </c>
      <c r="IE150" t="e">
        <f>IF(#REF!,"AAAAAFljX+4=",0)</f>
        <v>#REF!</v>
      </c>
      <c r="IF150" t="e">
        <f>IF(#REF!,"AAAAAFljX+8=",0)</f>
        <v>#REF!</v>
      </c>
      <c r="IG150" t="e">
        <f>IF(#REF!,"AAAAAFljX/A=",0)</f>
        <v>#REF!</v>
      </c>
      <c r="IH150" t="e">
        <f>IF(#REF!,"AAAAAFljX/E=",0)</f>
        <v>#REF!</v>
      </c>
      <c r="II150" t="e">
        <f>IF(#REF!,"AAAAAFljX/I=",0)</f>
        <v>#REF!</v>
      </c>
      <c r="IJ150" t="e">
        <f>IF(#REF!,"AAAAAFljX/M=",0)</f>
        <v>#REF!</v>
      </c>
      <c r="IK150" t="e">
        <f>IF(#REF!,"AAAAAFljX/Q=",0)</f>
        <v>#REF!</v>
      </c>
      <c r="IL150" t="e">
        <f>IF(#REF!,"AAAAAFljX/U=",0)</f>
        <v>#REF!</v>
      </c>
      <c r="IM150" t="e">
        <f>IF(#REF!,"AAAAAFljX/Y=",0)</f>
        <v>#REF!</v>
      </c>
      <c r="IN150" t="e">
        <f>IF(#REF!,"AAAAAFljX/c=",0)</f>
        <v>#REF!</v>
      </c>
      <c r="IO150" t="e">
        <f>IF(#REF!,"AAAAAFljX/g=",0)</f>
        <v>#REF!</v>
      </c>
      <c r="IP150" t="e">
        <f>IF(#REF!,"AAAAAFljX/k=",0)</f>
        <v>#REF!</v>
      </c>
      <c r="IQ150" t="e">
        <f>IF(#REF!,"AAAAAFljX/o=",0)</f>
        <v>#REF!</v>
      </c>
      <c r="IR150" t="e">
        <f>IF(#REF!,"AAAAAFljX/s=",0)</f>
        <v>#REF!</v>
      </c>
      <c r="IS150" t="e">
        <f>IF(#REF!,"AAAAAFljX/w=",0)</f>
        <v>#REF!</v>
      </c>
      <c r="IT150" t="e">
        <f>IF(#REF!,"AAAAAFljX/0=",0)</f>
        <v>#REF!</v>
      </c>
      <c r="IU150" t="e">
        <f>IF(#REF!,"AAAAAFljX/4=",0)</f>
        <v>#REF!</v>
      </c>
      <c r="IV150" t="e">
        <f>IF(#REF!,"AAAAAFljX/8=",0)</f>
        <v>#REF!</v>
      </c>
    </row>
    <row r="151" spans="1:256">
      <c r="A151" t="e">
        <f>IF(#REF!,"AAAAAD/+3gA=",0)</f>
        <v>#REF!</v>
      </c>
      <c r="B151" t="e">
        <f>IF(#REF!,"AAAAAD/+3gE=",0)</f>
        <v>#REF!</v>
      </c>
      <c r="C151" t="e">
        <f>IF(#REF!,"AAAAAD/+3gI=",0)</f>
        <v>#REF!</v>
      </c>
      <c r="D151" t="e">
        <f>IF(#REF!,"AAAAAD/+3gM=",0)</f>
        <v>#REF!</v>
      </c>
      <c r="E151" t="e">
        <f>IF(#REF!,"AAAAAD/+3gQ=",0)</f>
        <v>#REF!</v>
      </c>
      <c r="F151" t="e">
        <f>IF(#REF!,"AAAAAD/+3gU=",0)</f>
        <v>#REF!</v>
      </c>
      <c r="G151" t="e">
        <f>IF(#REF!,"AAAAAD/+3gY=",0)</f>
        <v>#REF!</v>
      </c>
      <c r="H151" t="e">
        <f>IF(#REF!,"AAAAAD/+3gc=",0)</f>
        <v>#REF!</v>
      </c>
      <c r="I151" t="e">
        <f>IF(#REF!,"AAAAAD/+3gg=",0)</f>
        <v>#REF!</v>
      </c>
      <c r="J151" t="e">
        <f>IF(#REF!,"AAAAAD/+3gk=",0)</f>
        <v>#REF!</v>
      </c>
      <c r="K151" t="e">
        <f>IF(#REF!,"AAAAAD/+3go=",0)</f>
        <v>#REF!</v>
      </c>
      <c r="L151" t="e">
        <f>IF(#REF!,"AAAAAD/+3gs=",0)</f>
        <v>#REF!</v>
      </c>
      <c r="M151" t="e">
        <f>IF(#REF!,"AAAAAD/+3gw=",0)</f>
        <v>#REF!</v>
      </c>
      <c r="N151" t="e">
        <f>IF(#REF!,"AAAAAD/+3g0=",0)</f>
        <v>#REF!</v>
      </c>
      <c r="O151" t="e">
        <f>IF(#REF!,"AAAAAD/+3g4=",0)</f>
        <v>#REF!</v>
      </c>
      <c r="P151" t="e">
        <f>IF(#REF!,"AAAAAD/+3g8=",0)</f>
        <v>#REF!</v>
      </c>
      <c r="Q151" t="e">
        <f>IF(#REF!,"AAAAAD/+3hA=",0)</f>
        <v>#REF!</v>
      </c>
      <c r="R151" t="e">
        <f>IF(#REF!,"AAAAAD/+3hE=",0)</f>
        <v>#REF!</v>
      </c>
      <c r="S151" t="e">
        <f>IF(#REF!,"AAAAAD/+3hI=",0)</f>
        <v>#REF!</v>
      </c>
      <c r="T151" t="e">
        <f>IF(#REF!,"AAAAAD/+3hM=",0)</f>
        <v>#REF!</v>
      </c>
      <c r="U151" t="e">
        <f>IF(#REF!,"AAAAAD/+3hQ=",0)</f>
        <v>#REF!</v>
      </c>
      <c r="V151" t="e">
        <f>IF(#REF!,"AAAAAD/+3hU=",0)</f>
        <v>#REF!</v>
      </c>
      <c r="W151" t="e">
        <f>IF(#REF!,"AAAAAD/+3hY=",0)</f>
        <v>#REF!</v>
      </c>
      <c r="X151" t="e">
        <f>IF(#REF!,"AAAAAD/+3hc=",0)</f>
        <v>#REF!</v>
      </c>
      <c r="Y151" t="e">
        <f>IF(#REF!,"AAAAAD/+3hg=",0)</f>
        <v>#REF!</v>
      </c>
      <c r="Z151" t="e">
        <f>IF(#REF!,"AAAAAD/+3hk=",0)</f>
        <v>#REF!</v>
      </c>
      <c r="AA151" t="e">
        <f>IF(#REF!,"AAAAAD/+3ho=",0)</f>
        <v>#REF!</v>
      </c>
      <c r="AB151" t="e">
        <f>IF(#REF!,"AAAAAD/+3hs=",0)</f>
        <v>#REF!</v>
      </c>
      <c r="AC151" t="e">
        <f>IF(#REF!,"AAAAAD/+3hw=",0)</f>
        <v>#REF!</v>
      </c>
      <c r="AD151" t="e">
        <f>IF(#REF!,"AAAAAD/+3h0=",0)</f>
        <v>#REF!</v>
      </c>
      <c r="AE151" t="e">
        <f>IF(#REF!,"AAAAAD/+3h4=",0)</f>
        <v>#REF!</v>
      </c>
      <c r="AF151" t="e">
        <f>IF(#REF!,"AAAAAD/+3h8=",0)</f>
        <v>#REF!</v>
      </c>
      <c r="AG151" t="e">
        <f>IF(#REF!,"AAAAAD/+3iA=",0)</f>
        <v>#REF!</v>
      </c>
      <c r="AH151" t="e">
        <f>IF(#REF!,"AAAAAD/+3iE=",0)</f>
        <v>#REF!</v>
      </c>
      <c r="AI151" t="e">
        <f>IF(#REF!,"AAAAAD/+3iI=",0)</f>
        <v>#REF!</v>
      </c>
      <c r="AJ151" t="e">
        <f>IF(#REF!,"AAAAAD/+3iM=",0)</f>
        <v>#REF!</v>
      </c>
      <c r="AK151" t="e">
        <f>IF(#REF!,"AAAAAD/+3iQ=",0)</f>
        <v>#REF!</v>
      </c>
      <c r="AL151" t="e">
        <f>IF(#REF!,"AAAAAD/+3iU=",0)</f>
        <v>#REF!</v>
      </c>
      <c r="AM151" t="e">
        <f>IF(#REF!,"AAAAAD/+3iY=",0)</f>
        <v>#REF!</v>
      </c>
      <c r="AN151" t="e">
        <f>IF(#REF!,"AAAAAD/+3ic=",0)</f>
        <v>#REF!</v>
      </c>
      <c r="AO151" t="e">
        <f>IF(#REF!,"AAAAAD/+3ig=",0)</f>
        <v>#REF!</v>
      </c>
      <c r="AP151" t="e">
        <f>IF(#REF!,"AAAAAD/+3ik=",0)</f>
        <v>#REF!</v>
      </c>
      <c r="AQ151" t="e">
        <f>IF(#REF!,"AAAAAD/+3io=",0)</f>
        <v>#REF!</v>
      </c>
      <c r="AR151" t="e">
        <f>IF(#REF!,"AAAAAD/+3is=",0)</f>
        <v>#REF!</v>
      </c>
      <c r="AS151" t="e">
        <f>IF(#REF!,"AAAAAD/+3iw=",0)</f>
        <v>#REF!</v>
      </c>
      <c r="AT151" t="e">
        <f>IF(#REF!,"AAAAAD/+3i0=",0)</f>
        <v>#REF!</v>
      </c>
      <c r="AU151" t="e">
        <f>IF(#REF!,"AAAAAD/+3i4=",0)</f>
        <v>#REF!</v>
      </c>
      <c r="AV151" t="e">
        <f>IF(#REF!,"AAAAAD/+3i8=",0)</f>
        <v>#REF!</v>
      </c>
      <c r="AW151" t="e">
        <f>IF(#REF!,"AAAAAD/+3jA=",0)</f>
        <v>#REF!</v>
      </c>
      <c r="AX151" t="e">
        <f>IF(#REF!,"AAAAAD/+3jE=",0)</f>
        <v>#REF!</v>
      </c>
      <c r="AY151" t="e">
        <f>IF(#REF!,"AAAAAD/+3jI=",0)</f>
        <v>#REF!</v>
      </c>
      <c r="AZ151" t="e">
        <f>IF(#REF!,"AAAAAD/+3jM=",0)</f>
        <v>#REF!</v>
      </c>
      <c r="BA151" t="e">
        <f>IF(#REF!,"AAAAAD/+3jQ=",0)</f>
        <v>#REF!</v>
      </c>
      <c r="BB151" t="e">
        <f>IF(#REF!,"AAAAAD/+3jU=",0)</f>
        <v>#REF!</v>
      </c>
      <c r="BC151" t="e">
        <f>IF(#REF!,"AAAAAD/+3jY=",0)</f>
        <v>#REF!</v>
      </c>
      <c r="BD151" t="e">
        <f>IF(#REF!,"AAAAAD/+3jc=",0)</f>
        <v>#REF!</v>
      </c>
      <c r="BE151" t="e">
        <f>IF(#REF!,"AAAAAD/+3jg=",0)</f>
        <v>#REF!</v>
      </c>
      <c r="BF151" t="e">
        <f>IF(#REF!,"AAAAAD/+3jk=",0)</f>
        <v>#REF!</v>
      </c>
      <c r="BG151" t="e">
        <f>IF(#REF!,"AAAAAD/+3jo=",0)</f>
        <v>#REF!</v>
      </c>
      <c r="BH151" t="e">
        <f>IF(#REF!,"AAAAAD/+3js=",0)</f>
        <v>#REF!</v>
      </c>
      <c r="BI151" t="e">
        <f>IF(#REF!,"AAAAAD/+3jw=",0)</f>
        <v>#REF!</v>
      </c>
      <c r="BJ151" t="e">
        <f>IF(#REF!,"AAAAAD/+3j0=",0)</f>
        <v>#REF!</v>
      </c>
      <c r="BK151" t="e">
        <f>IF(#REF!,"AAAAAD/+3j4=",0)</f>
        <v>#REF!</v>
      </c>
      <c r="BL151" t="e">
        <f>IF(#REF!,"AAAAAD/+3j8=",0)</f>
        <v>#REF!</v>
      </c>
      <c r="BM151" t="e">
        <f>IF(#REF!,"AAAAAD/+3kA=",0)</f>
        <v>#REF!</v>
      </c>
      <c r="BN151" t="e">
        <f>IF(#REF!,"AAAAAD/+3kE=",0)</f>
        <v>#REF!</v>
      </c>
      <c r="BO151" t="e">
        <f>IF(#REF!,"AAAAAD/+3kI=",0)</f>
        <v>#REF!</v>
      </c>
      <c r="BP151" t="e">
        <f>IF(#REF!,"AAAAAD/+3kM=",0)</f>
        <v>#REF!</v>
      </c>
      <c r="BQ151" t="e">
        <f>IF(#REF!,"AAAAAD/+3kQ=",0)</f>
        <v>#REF!</v>
      </c>
      <c r="BR151" t="e">
        <f>IF(#REF!,"AAAAAD/+3kU=",0)</f>
        <v>#REF!</v>
      </c>
      <c r="BS151" t="e">
        <f>IF(#REF!,"AAAAAD/+3kY=",0)</f>
        <v>#REF!</v>
      </c>
      <c r="BT151" t="e">
        <f>IF(#REF!,"AAAAAD/+3kc=",0)</f>
        <v>#REF!</v>
      </c>
      <c r="BU151" t="e">
        <f>IF(#REF!,"AAAAAD/+3kg=",0)</f>
        <v>#REF!</v>
      </c>
      <c r="BV151" t="e">
        <f>IF(#REF!,"AAAAAD/+3kk=",0)</f>
        <v>#REF!</v>
      </c>
      <c r="BW151" t="e">
        <f>IF(#REF!,"AAAAAD/+3ko=",0)</f>
        <v>#REF!</v>
      </c>
      <c r="BX151" t="e">
        <f>IF(#REF!,"AAAAAD/+3ks=",0)</f>
        <v>#REF!</v>
      </c>
      <c r="BY151" t="e">
        <f>IF(#REF!,"AAAAAD/+3kw=",0)</f>
        <v>#REF!</v>
      </c>
      <c r="BZ151" t="e">
        <f>IF(#REF!,"AAAAAD/+3k0=",0)</f>
        <v>#REF!</v>
      </c>
      <c r="CA151" t="e">
        <f>IF(#REF!,"AAAAAD/+3k4=",0)</f>
        <v>#REF!</v>
      </c>
      <c r="CB151" t="e">
        <f>IF(#REF!,"AAAAAD/+3k8=",0)</f>
        <v>#REF!</v>
      </c>
      <c r="CC151" t="e">
        <f>IF(#REF!,"AAAAAD/+3lA=",0)</f>
        <v>#REF!</v>
      </c>
      <c r="CD151" t="e">
        <f>IF(#REF!,"AAAAAD/+3lE=",0)</f>
        <v>#REF!</v>
      </c>
      <c r="CE151" t="e">
        <f>IF(#REF!,"AAAAAD/+3lI=",0)</f>
        <v>#REF!</v>
      </c>
      <c r="CF151" t="e">
        <f>IF(#REF!,"AAAAAD/+3lM=",0)</f>
        <v>#REF!</v>
      </c>
      <c r="CG151" t="e">
        <f>IF(#REF!,"AAAAAD/+3lQ=",0)</f>
        <v>#REF!</v>
      </c>
      <c r="CH151" t="e">
        <f>IF(#REF!,"AAAAAD/+3lU=",0)</f>
        <v>#REF!</v>
      </c>
      <c r="CI151" t="e">
        <f>IF(#REF!,"AAAAAD/+3lY=",0)</f>
        <v>#REF!</v>
      </c>
      <c r="CJ151" t="e">
        <f>IF(#REF!,"AAAAAD/+3lc=",0)</f>
        <v>#REF!</v>
      </c>
      <c r="CK151" t="e">
        <f>IF(#REF!,"AAAAAD/+3lg=",0)</f>
        <v>#REF!</v>
      </c>
      <c r="CL151" t="e">
        <f>IF(#REF!,"AAAAAD/+3lk=",0)</f>
        <v>#REF!</v>
      </c>
      <c r="CM151" t="e">
        <f>IF(#REF!,"AAAAAD/+3lo=",0)</f>
        <v>#REF!</v>
      </c>
      <c r="CN151" t="e">
        <f>IF(#REF!,"AAAAAD/+3ls=",0)</f>
        <v>#REF!</v>
      </c>
      <c r="CO151" t="e">
        <f>IF(#REF!,"AAAAAD/+3lw=",0)</f>
        <v>#REF!</v>
      </c>
      <c r="CP151" t="e">
        <f>IF(#REF!,"AAAAAD/+3l0=",0)</f>
        <v>#REF!</v>
      </c>
      <c r="CQ151" t="e">
        <f>IF(#REF!,"AAAAAD/+3l4=",0)</f>
        <v>#REF!</v>
      </c>
      <c r="CR151" t="e">
        <f>IF(#REF!,"AAAAAD/+3l8=",0)</f>
        <v>#REF!</v>
      </c>
      <c r="CS151" t="e">
        <f>IF(#REF!,"AAAAAD/+3mA=",0)</f>
        <v>#REF!</v>
      </c>
      <c r="CT151" t="e">
        <f>IF(#REF!,"AAAAAD/+3mE=",0)</f>
        <v>#REF!</v>
      </c>
      <c r="CU151" t="e">
        <f>IF(#REF!,"AAAAAD/+3mI=",0)</f>
        <v>#REF!</v>
      </c>
      <c r="CV151" t="e">
        <f>IF(#REF!,"AAAAAD/+3mM=",0)</f>
        <v>#REF!</v>
      </c>
      <c r="CW151" t="e">
        <f>IF(#REF!,"AAAAAD/+3mQ=",0)</f>
        <v>#REF!</v>
      </c>
      <c r="CX151" t="e">
        <f>IF(#REF!,"AAAAAD/+3mU=",0)</f>
        <v>#REF!</v>
      </c>
      <c r="CY151" t="e">
        <f>IF(#REF!,"AAAAAD/+3mY=",0)</f>
        <v>#REF!</v>
      </c>
      <c r="CZ151" t="e">
        <f>IF(#REF!,"AAAAAD/+3mc=",0)</f>
        <v>#REF!</v>
      </c>
      <c r="DA151" t="e">
        <f>IF(#REF!,"AAAAAD/+3mg=",0)</f>
        <v>#REF!</v>
      </c>
      <c r="DB151" t="e">
        <f>IF(#REF!,"AAAAAD/+3mk=",0)</f>
        <v>#REF!</v>
      </c>
      <c r="DC151" t="e">
        <f>IF(#REF!,"AAAAAD/+3mo=",0)</f>
        <v>#REF!</v>
      </c>
      <c r="DD151" t="e">
        <f>IF(#REF!,"AAAAAD/+3ms=",0)</f>
        <v>#REF!</v>
      </c>
      <c r="DE151" t="e">
        <f>IF(#REF!,"AAAAAD/+3mw=",0)</f>
        <v>#REF!</v>
      </c>
      <c r="DF151" t="e">
        <f>IF(#REF!,"AAAAAD/+3m0=",0)</f>
        <v>#REF!</v>
      </c>
      <c r="DG151" t="e">
        <f>IF(#REF!,"AAAAAD/+3m4=",0)</f>
        <v>#REF!</v>
      </c>
      <c r="DH151" t="e">
        <f>IF(#REF!,"AAAAAD/+3m8=",0)</f>
        <v>#REF!</v>
      </c>
      <c r="DI151" t="e">
        <f>IF(#REF!,"AAAAAD/+3nA=",0)</f>
        <v>#REF!</v>
      </c>
      <c r="DJ151" t="e">
        <f>IF(#REF!,"AAAAAD/+3nE=",0)</f>
        <v>#REF!</v>
      </c>
      <c r="DK151" t="e">
        <f>IF(#REF!,"AAAAAD/+3nI=",0)</f>
        <v>#REF!</v>
      </c>
      <c r="DL151" t="e">
        <f>IF(#REF!,"AAAAAD/+3nM=",0)</f>
        <v>#REF!</v>
      </c>
      <c r="DM151" t="e">
        <f>IF(#REF!,"AAAAAD/+3nQ=",0)</f>
        <v>#REF!</v>
      </c>
      <c r="DN151" t="e">
        <f>IF(#REF!,"AAAAAD/+3nU=",0)</f>
        <v>#REF!</v>
      </c>
      <c r="DO151" t="e">
        <f>IF(#REF!,"AAAAAD/+3nY=",0)</f>
        <v>#REF!</v>
      </c>
      <c r="DP151" t="e">
        <f>IF(#REF!,"AAAAAD/+3nc=",0)</f>
        <v>#REF!</v>
      </c>
      <c r="DQ151" t="e">
        <f>IF(#REF!,"AAAAAD/+3ng=",0)</f>
        <v>#REF!</v>
      </c>
      <c r="DR151" t="e">
        <f>IF(#REF!,"AAAAAD/+3nk=",0)</f>
        <v>#REF!</v>
      </c>
      <c r="DS151" t="e">
        <f>IF(#REF!,"AAAAAD/+3no=",0)</f>
        <v>#REF!</v>
      </c>
      <c r="DT151" t="e">
        <f>IF(#REF!,"AAAAAD/+3ns=",0)</f>
        <v>#REF!</v>
      </c>
      <c r="DU151" t="e">
        <f>IF(#REF!,"AAAAAD/+3nw=",0)</f>
        <v>#REF!</v>
      </c>
      <c r="DV151" t="e">
        <f>IF(#REF!,"AAAAAD/+3n0=",0)</f>
        <v>#REF!</v>
      </c>
      <c r="DW151" t="e">
        <f>IF(#REF!,"AAAAAD/+3n4=",0)</f>
        <v>#REF!</v>
      </c>
      <c r="DX151" t="e">
        <f>IF(#REF!,"AAAAAD/+3n8=",0)</f>
        <v>#REF!</v>
      </c>
      <c r="DY151" t="e">
        <f>IF(#REF!,"AAAAAD/+3oA=",0)</f>
        <v>#REF!</v>
      </c>
      <c r="DZ151" t="e">
        <f>IF(#REF!,"AAAAAD/+3oE=",0)</f>
        <v>#REF!</v>
      </c>
      <c r="EA151" t="e">
        <f>IF(#REF!,"AAAAAD/+3oI=",0)</f>
        <v>#REF!</v>
      </c>
      <c r="EB151" t="e">
        <f>IF(#REF!,"AAAAAD/+3oM=",0)</f>
        <v>#REF!</v>
      </c>
      <c r="EC151" t="e">
        <f>IF(#REF!,"AAAAAD/+3oQ=",0)</f>
        <v>#REF!</v>
      </c>
      <c r="ED151" t="e">
        <f>IF(#REF!,"AAAAAD/+3oU=",0)</f>
        <v>#REF!</v>
      </c>
      <c r="EE151" t="e">
        <f>IF(#REF!,"AAAAAD/+3oY=",0)</f>
        <v>#REF!</v>
      </c>
      <c r="EF151" t="e">
        <f>IF(#REF!,"AAAAAD/+3oc=",0)</f>
        <v>#REF!</v>
      </c>
      <c r="EG151" t="e">
        <f>IF(#REF!,"AAAAAD/+3og=",0)</f>
        <v>#REF!</v>
      </c>
      <c r="EH151" t="e">
        <f>IF(#REF!,"AAAAAD/+3ok=",0)</f>
        <v>#REF!</v>
      </c>
      <c r="EI151" t="e">
        <f>IF(#REF!,"AAAAAD/+3oo=",0)</f>
        <v>#REF!</v>
      </c>
      <c r="EJ151" t="e">
        <f>IF(#REF!,"AAAAAD/+3os=",0)</f>
        <v>#REF!</v>
      </c>
      <c r="EK151" t="e">
        <f>IF(#REF!,"AAAAAD/+3ow=",0)</f>
        <v>#REF!</v>
      </c>
      <c r="EL151" t="e">
        <f>IF(#REF!,"AAAAAD/+3o0=",0)</f>
        <v>#REF!</v>
      </c>
      <c r="EM151" t="e">
        <f>IF(#REF!,"AAAAAD/+3o4=",0)</f>
        <v>#REF!</v>
      </c>
      <c r="EN151" t="e">
        <f>IF(#REF!,"AAAAAD/+3o8=",0)</f>
        <v>#REF!</v>
      </c>
      <c r="EO151" t="e">
        <f>IF(#REF!,"AAAAAD/+3pA=",0)</f>
        <v>#REF!</v>
      </c>
      <c r="EP151" t="e">
        <f>IF(#REF!,"AAAAAD/+3pE=",0)</f>
        <v>#REF!</v>
      </c>
      <c r="EQ151" t="e">
        <f>IF(#REF!,"AAAAAD/+3pI=",0)</f>
        <v>#REF!</v>
      </c>
      <c r="ER151" t="e">
        <f>IF(#REF!,"AAAAAD/+3pM=",0)</f>
        <v>#REF!</v>
      </c>
      <c r="ES151" t="e">
        <f>IF(#REF!,"AAAAAD/+3pQ=",0)</f>
        <v>#REF!</v>
      </c>
      <c r="ET151" t="e">
        <f>IF(#REF!,"AAAAAD/+3pU=",0)</f>
        <v>#REF!</v>
      </c>
      <c r="EU151" t="e">
        <f>IF(#REF!,"AAAAAD/+3pY=",0)</f>
        <v>#REF!</v>
      </c>
      <c r="EV151" t="e">
        <f>IF(#REF!,"AAAAAD/+3pc=",0)</f>
        <v>#REF!</v>
      </c>
      <c r="EW151" t="e">
        <f>IF(#REF!,"AAAAAD/+3pg=",0)</f>
        <v>#REF!</v>
      </c>
      <c r="EX151" t="e">
        <f>IF(#REF!,"AAAAAD/+3pk=",0)</f>
        <v>#REF!</v>
      </c>
      <c r="EY151" t="e">
        <f>IF(#REF!,"AAAAAD/+3po=",0)</f>
        <v>#REF!</v>
      </c>
      <c r="EZ151" t="e">
        <f>IF(#REF!,"AAAAAD/+3ps=",0)</f>
        <v>#REF!</v>
      </c>
      <c r="FA151" t="e">
        <f>IF(#REF!,"AAAAAD/+3pw=",0)</f>
        <v>#REF!</v>
      </c>
      <c r="FB151" t="e">
        <f>IF(#REF!,"AAAAAD/+3p0=",0)</f>
        <v>#REF!</v>
      </c>
      <c r="FC151" t="e">
        <f>IF(#REF!,"AAAAAD/+3p4=",0)</f>
        <v>#REF!</v>
      </c>
      <c r="FD151" t="e">
        <f>IF(#REF!,"AAAAAD/+3p8=",0)</f>
        <v>#REF!</v>
      </c>
      <c r="FE151" t="e">
        <f>IF(#REF!,"AAAAAD/+3qA=",0)</f>
        <v>#REF!</v>
      </c>
      <c r="FF151" t="e">
        <f>IF(#REF!,"AAAAAD/+3qE=",0)</f>
        <v>#REF!</v>
      </c>
      <c r="FG151" t="e">
        <f>IF(#REF!,"AAAAAD/+3qI=",0)</f>
        <v>#REF!</v>
      </c>
      <c r="FH151" t="e">
        <f>IF(#REF!,"AAAAAD/+3qM=",0)</f>
        <v>#REF!</v>
      </c>
      <c r="FI151" t="e">
        <f>IF(#REF!,"AAAAAD/+3qQ=",0)</f>
        <v>#REF!</v>
      </c>
      <c r="FJ151" t="e">
        <f>IF(#REF!,"AAAAAD/+3qU=",0)</f>
        <v>#REF!</v>
      </c>
      <c r="FK151" t="e">
        <f>IF(#REF!,"AAAAAD/+3qY=",0)</f>
        <v>#REF!</v>
      </c>
      <c r="FL151" t="e">
        <f>IF(#REF!,"AAAAAD/+3qc=",0)</f>
        <v>#REF!</v>
      </c>
      <c r="FM151" t="e">
        <f>IF(#REF!,"AAAAAD/+3qg=",0)</f>
        <v>#REF!</v>
      </c>
      <c r="FN151" t="e">
        <f>IF(#REF!,"AAAAAD/+3qk=",0)</f>
        <v>#REF!</v>
      </c>
      <c r="FO151" t="e">
        <f>IF(#REF!,"AAAAAD/+3qo=",0)</f>
        <v>#REF!</v>
      </c>
      <c r="FP151" t="e">
        <f>IF(#REF!,"AAAAAD/+3qs=",0)</f>
        <v>#REF!</v>
      </c>
      <c r="FQ151" t="e">
        <f>IF(#REF!,"AAAAAD/+3qw=",0)</f>
        <v>#REF!</v>
      </c>
      <c r="FR151" t="e">
        <f>IF(#REF!,"AAAAAD/+3q0=",0)</f>
        <v>#REF!</v>
      </c>
      <c r="FS151" t="e">
        <f>IF(#REF!,"AAAAAD/+3q4=",0)</f>
        <v>#REF!</v>
      </c>
      <c r="FT151" t="e">
        <f>IF(#REF!,"AAAAAD/+3q8=",0)</f>
        <v>#REF!</v>
      </c>
      <c r="FU151" t="e">
        <f>IF(#REF!,"AAAAAD/+3rA=",0)</f>
        <v>#REF!</v>
      </c>
      <c r="FV151" t="e">
        <f>IF(#REF!,"AAAAAD/+3rE=",0)</f>
        <v>#REF!</v>
      </c>
      <c r="FW151" t="e">
        <f>IF(#REF!,"AAAAAD/+3rI=",0)</f>
        <v>#REF!</v>
      </c>
      <c r="FX151" t="e">
        <f>IF(#REF!,"AAAAAD/+3rM=",0)</f>
        <v>#REF!</v>
      </c>
      <c r="FY151" t="e">
        <f>IF(#REF!,"AAAAAD/+3rQ=",0)</f>
        <v>#REF!</v>
      </c>
      <c r="FZ151" t="e">
        <f>IF(#REF!,"AAAAAD/+3rU=",0)</f>
        <v>#REF!</v>
      </c>
      <c r="GA151" t="e">
        <f>IF(#REF!,"AAAAAD/+3rY=",0)</f>
        <v>#REF!</v>
      </c>
      <c r="GB151" t="e">
        <f>IF(#REF!,"AAAAAD/+3rc=",0)</f>
        <v>#REF!</v>
      </c>
      <c r="GC151" t="e">
        <f>IF(#REF!,"AAAAAD/+3rg=",0)</f>
        <v>#REF!</v>
      </c>
      <c r="GD151" t="e">
        <f>IF(#REF!,"AAAAAD/+3rk=",0)</f>
        <v>#REF!</v>
      </c>
      <c r="GE151" t="e">
        <f>IF(#REF!,"AAAAAD/+3ro=",0)</f>
        <v>#REF!</v>
      </c>
      <c r="GF151" t="e">
        <f>IF(#REF!,"AAAAAD/+3rs=",0)</f>
        <v>#REF!</v>
      </c>
      <c r="GG151" t="e">
        <f>IF(#REF!,"AAAAAD/+3rw=",0)</f>
        <v>#REF!</v>
      </c>
      <c r="GH151" t="e">
        <f>IF(#REF!,"AAAAAD/+3r0=",0)</f>
        <v>#REF!</v>
      </c>
      <c r="GI151" t="e">
        <f>IF(#REF!,"AAAAAD/+3r4=",0)</f>
        <v>#REF!</v>
      </c>
      <c r="GJ151" t="e">
        <f>IF(#REF!,"AAAAAD/+3r8=",0)</f>
        <v>#REF!</v>
      </c>
      <c r="GK151" t="e">
        <f>IF(#REF!,"AAAAAD/+3sA=",0)</f>
        <v>#REF!</v>
      </c>
      <c r="GL151" t="e">
        <f>IF(#REF!,"AAAAAD/+3sE=",0)</f>
        <v>#REF!</v>
      </c>
      <c r="GM151" t="e">
        <f>IF(#REF!,"AAAAAD/+3sI=",0)</f>
        <v>#REF!</v>
      </c>
      <c r="GN151" t="e">
        <f>IF(#REF!,"AAAAAD/+3sM=",0)</f>
        <v>#REF!</v>
      </c>
      <c r="GO151" t="e">
        <f>IF(#REF!,"AAAAAD/+3sQ=",0)</f>
        <v>#REF!</v>
      </c>
      <c r="GP151" t="e">
        <f>IF(#REF!,"AAAAAD/+3sU=",0)</f>
        <v>#REF!</v>
      </c>
      <c r="GQ151" t="e">
        <f>IF(#REF!,"AAAAAD/+3sY=",0)</f>
        <v>#REF!</v>
      </c>
      <c r="GR151" t="e">
        <f>IF(#REF!,"AAAAAD/+3sc=",0)</f>
        <v>#REF!</v>
      </c>
      <c r="GS151" t="e">
        <f>IF(#REF!,"AAAAAD/+3sg=",0)</f>
        <v>#REF!</v>
      </c>
      <c r="GT151" t="e">
        <f>IF(#REF!,"AAAAAD/+3sk=",0)</f>
        <v>#REF!</v>
      </c>
      <c r="GU151" t="e">
        <f>IF(#REF!,"AAAAAD/+3so=",0)</f>
        <v>#REF!</v>
      </c>
      <c r="GV151" t="e">
        <f>IF(#REF!,"AAAAAD/+3ss=",0)</f>
        <v>#REF!</v>
      </c>
      <c r="GW151" t="e">
        <f>IF(#REF!,"AAAAAD/+3sw=",0)</f>
        <v>#REF!</v>
      </c>
      <c r="GX151" t="e">
        <f>IF(#REF!,"AAAAAD/+3s0=",0)</f>
        <v>#REF!</v>
      </c>
      <c r="GY151" t="e">
        <f>IF(#REF!,"AAAAAD/+3s4=",0)</f>
        <v>#REF!</v>
      </c>
      <c r="GZ151" t="e">
        <f>IF(#REF!,"AAAAAD/+3s8=",0)</f>
        <v>#REF!</v>
      </c>
      <c r="HA151" t="e">
        <f>IF(#REF!,"AAAAAD/+3tA=",0)</f>
        <v>#REF!</v>
      </c>
      <c r="HB151" t="e">
        <f>IF(#REF!,"AAAAAD/+3tE=",0)</f>
        <v>#REF!</v>
      </c>
      <c r="HC151" t="e">
        <f>IF(#REF!,"AAAAAD/+3tI=",0)</f>
        <v>#REF!</v>
      </c>
      <c r="HD151" t="e">
        <f>IF(#REF!,"AAAAAD/+3tM=",0)</f>
        <v>#REF!</v>
      </c>
      <c r="HE151" t="e">
        <f>IF(#REF!,"AAAAAD/+3tQ=",0)</f>
        <v>#REF!</v>
      </c>
      <c r="HF151" t="e">
        <f>IF(#REF!,"AAAAAD/+3tU=",0)</f>
        <v>#REF!</v>
      </c>
      <c r="HG151" t="e">
        <f>IF(#REF!,"AAAAAD/+3tY=",0)</f>
        <v>#REF!</v>
      </c>
      <c r="HH151" t="e">
        <f>IF(#REF!,"AAAAAD/+3tc=",0)</f>
        <v>#REF!</v>
      </c>
      <c r="HI151" t="e">
        <f>IF(#REF!,"AAAAAD/+3tg=",0)</f>
        <v>#REF!</v>
      </c>
      <c r="HJ151" t="e">
        <f>IF(#REF!,"AAAAAD/+3tk=",0)</f>
        <v>#REF!</v>
      </c>
      <c r="HK151" t="e">
        <f>IF(#REF!,"AAAAAD/+3to=",0)</f>
        <v>#REF!</v>
      </c>
      <c r="HL151" t="e">
        <f>IF(#REF!,"AAAAAD/+3ts=",0)</f>
        <v>#REF!</v>
      </c>
      <c r="HM151" t="e">
        <f>IF(#REF!,"AAAAAD/+3tw=",0)</f>
        <v>#REF!</v>
      </c>
      <c r="HN151" t="e">
        <f>IF(#REF!,"AAAAAD/+3t0=",0)</f>
        <v>#REF!</v>
      </c>
      <c r="HO151" t="e">
        <f>IF(#REF!,"AAAAAD/+3t4=",0)</f>
        <v>#REF!</v>
      </c>
      <c r="HP151" t="e">
        <f>IF(#REF!,"AAAAAD/+3t8=",0)</f>
        <v>#REF!</v>
      </c>
      <c r="HQ151" t="e">
        <f>IF(#REF!,"AAAAAD/+3uA=",0)</f>
        <v>#REF!</v>
      </c>
      <c r="HR151" t="e">
        <f>IF(#REF!,"AAAAAD/+3uE=",0)</f>
        <v>#REF!</v>
      </c>
      <c r="HS151" t="e">
        <f>IF(#REF!,"AAAAAD/+3uI=",0)</f>
        <v>#REF!</v>
      </c>
      <c r="HT151" t="e">
        <f>IF(#REF!,"AAAAAD/+3uM=",0)</f>
        <v>#REF!</v>
      </c>
      <c r="HU151" t="e">
        <f>IF(#REF!,"AAAAAD/+3uQ=",0)</f>
        <v>#REF!</v>
      </c>
      <c r="HV151" t="e">
        <f>IF(#REF!,"AAAAAD/+3uU=",0)</f>
        <v>#REF!</v>
      </c>
      <c r="HW151" t="e">
        <f>IF(#REF!,"AAAAAD/+3uY=",0)</f>
        <v>#REF!</v>
      </c>
      <c r="HX151" t="e">
        <f>IF(#REF!,"AAAAAD/+3uc=",0)</f>
        <v>#REF!</v>
      </c>
      <c r="HY151" t="e">
        <f>IF(#REF!,"AAAAAD/+3ug=",0)</f>
        <v>#REF!</v>
      </c>
      <c r="HZ151" t="e">
        <f>IF(#REF!,"AAAAAD/+3uk=",0)</f>
        <v>#REF!</v>
      </c>
      <c r="IA151" t="e">
        <f>IF(#REF!,"AAAAAD/+3uo=",0)</f>
        <v>#REF!</v>
      </c>
      <c r="IB151" t="e">
        <f>IF(#REF!,"AAAAAD/+3us=",0)</f>
        <v>#REF!</v>
      </c>
      <c r="IC151" t="e">
        <f>IF(#REF!,"AAAAAD/+3uw=",0)</f>
        <v>#REF!</v>
      </c>
      <c r="ID151" t="e">
        <f>IF(#REF!,"AAAAAD/+3u0=",0)</f>
        <v>#REF!</v>
      </c>
      <c r="IE151" t="e">
        <f>IF(#REF!,"AAAAAD/+3u4=",0)</f>
        <v>#REF!</v>
      </c>
      <c r="IF151" t="e">
        <f>IF(#REF!,"AAAAAD/+3u8=",0)</f>
        <v>#REF!</v>
      </c>
      <c r="IG151" t="e">
        <f>IF(#REF!,"AAAAAD/+3vA=",0)</f>
        <v>#REF!</v>
      </c>
      <c r="IH151" t="e">
        <f>IF(#REF!,"AAAAAD/+3vE=",0)</f>
        <v>#REF!</v>
      </c>
      <c r="II151" t="e">
        <f>IF(#REF!,"AAAAAD/+3vI=",0)</f>
        <v>#REF!</v>
      </c>
      <c r="IJ151" t="e">
        <f>IF(#REF!,"AAAAAD/+3vM=",0)</f>
        <v>#REF!</v>
      </c>
      <c r="IK151" t="e">
        <f>IF(#REF!,"AAAAAD/+3vQ=",0)</f>
        <v>#REF!</v>
      </c>
      <c r="IL151" t="e">
        <f>IF(#REF!,"AAAAAD/+3vU=",0)</f>
        <v>#REF!</v>
      </c>
      <c r="IM151" t="e">
        <f>IF(#REF!,"AAAAAD/+3vY=",0)</f>
        <v>#REF!</v>
      </c>
      <c r="IN151" t="e">
        <f>IF(#REF!,"AAAAAD/+3vc=",0)</f>
        <v>#REF!</v>
      </c>
      <c r="IO151" t="e">
        <f>IF(#REF!,"AAAAAD/+3vg=",0)</f>
        <v>#REF!</v>
      </c>
      <c r="IP151" t="e">
        <f>IF(#REF!,"AAAAAD/+3vk=",0)</f>
        <v>#REF!</v>
      </c>
      <c r="IQ151" t="e">
        <f>IF(#REF!,"AAAAAD/+3vo=",0)</f>
        <v>#REF!</v>
      </c>
      <c r="IR151" t="e">
        <f>IF(#REF!,"AAAAAD/+3vs=",0)</f>
        <v>#REF!</v>
      </c>
      <c r="IS151" t="e">
        <f>IF(#REF!,"AAAAAD/+3vw=",0)</f>
        <v>#REF!</v>
      </c>
      <c r="IT151" t="e">
        <f>IF(#REF!,"AAAAAD/+3v0=",0)</f>
        <v>#REF!</v>
      </c>
      <c r="IU151" t="e">
        <f>IF(#REF!,"AAAAAD/+3v4=",0)</f>
        <v>#REF!</v>
      </c>
      <c r="IV151" t="e">
        <f>IF(#REF!,"AAAAAD/+3v8=",0)</f>
        <v>#REF!</v>
      </c>
    </row>
    <row r="152" spans="1:256">
      <c r="A152" t="e">
        <f>IF(#REF!,"AAAAAH/v8wA=",0)</f>
        <v>#REF!</v>
      </c>
      <c r="B152" t="e">
        <f>IF(#REF!,"AAAAAH/v8wE=",0)</f>
        <v>#REF!</v>
      </c>
      <c r="C152" t="e">
        <f>IF(#REF!,"AAAAAH/v8wI=",0)</f>
        <v>#REF!</v>
      </c>
      <c r="D152" t="e">
        <f>IF(#REF!,"AAAAAH/v8wM=",0)</f>
        <v>#REF!</v>
      </c>
      <c r="E152" t="e">
        <f>IF(#REF!,"AAAAAH/v8wQ=",0)</f>
        <v>#REF!</v>
      </c>
      <c r="F152" t="e">
        <f>IF(#REF!,"AAAAAH/v8wU=",0)</f>
        <v>#REF!</v>
      </c>
      <c r="G152" t="e">
        <f>IF(#REF!,"AAAAAH/v8wY=",0)</f>
        <v>#REF!</v>
      </c>
      <c r="H152" t="e">
        <f>IF(#REF!,"AAAAAH/v8wc=",0)</f>
        <v>#REF!</v>
      </c>
      <c r="I152" t="e">
        <f>IF(#REF!,"AAAAAH/v8wg=",0)</f>
        <v>#REF!</v>
      </c>
      <c r="J152" t="e">
        <f>IF(#REF!,"AAAAAH/v8wk=",0)</f>
        <v>#REF!</v>
      </c>
      <c r="K152" t="e">
        <f>IF(#REF!,"AAAAAH/v8wo=",0)</f>
        <v>#REF!</v>
      </c>
      <c r="L152" t="e">
        <f>IF(#REF!,"AAAAAH/v8ws=",0)</f>
        <v>#REF!</v>
      </c>
      <c r="M152" t="e">
        <f>IF(#REF!,"AAAAAH/v8ww=",0)</f>
        <v>#REF!</v>
      </c>
      <c r="N152" t="e">
        <f>IF(#REF!,"AAAAAH/v8w0=",0)</f>
        <v>#REF!</v>
      </c>
      <c r="O152" t="e">
        <f>IF(#REF!,"AAAAAH/v8w4=",0)</f>
        <v>#REF!</v>
      </c>
      <c r="P152" t="e">
        <f>IF(#REF!,"AAAAAH/v8w8=",0)</f>
        <v>#REF!</v>
      </c>
      <c r="Q152" t="e">
        <f>IF(#REF!,"AAAAAH/v8xA=",0)</f>
        <v>#REF!</v>
      </c>
      <c r="R152" t="e">
        <f>IF(#REF!,"AAAAAH/v8xE=",0)</f>
        <v>#REF!</v>
      </c>
      <c r="S152" t="e">
        <f>IF(#REF!,"AAAAAH/v8xI=",0)</f>
        <v>#REF!</v>
      </c>
      <c r="T152" t="e">
        <f>IF(#REF!,"AAAAAH/v8xM=",0)</f>
        <v>#REF!</v>
      </c>
      <c r="U152" t="e">
        <f>IF(#REF!,"AAAAAH/v8xQ=",0)</f>
        <v>#REF!</v>
      </c>
      <c r="V152" t="e">
        <f>IF(#REF!,"AAAAAH/v8xU=",0)</f>
        <v>#REF!</v>
      </c>
      <c r="W152" t="e">
        <f>IF(#REF!,"AAAAAH/v8xY=",0)</f>
        <v>#REF!</v>
      </c>
      <c r="X152" t="e">
        <f>IF(#REF!,"AAAAAH/v8xc=",0)</f>
        <v>#REF!</v>
      </c>
      <c r="Y152" t="e">
        <f>IF(#REF!,"AAAAAH/v8xg=",0)</f>
        <v>#REF!</v>
      </c>
      <c r="Z152" t="e">
        <f>IF(#REF!,"AAAAAH/v8xk=",0)</f>
        <v>#REF!</v>
      </c>
      <c r="AA152" t="e">
        <f>IF(#REF!,"AAAAAH/v8xo=",0)</f>
        <v>#REF!</v>
      </c>
      <c r="AB152" t="e">
        <f>IF(#REF!,"AAAAAH/v8xs=",0)</f>
        <v>#REF!</v>
      </c>
      <c r="AC152" t="e">
        <f>IF(#REF!,"AAAAAH/v8xw=",0)</f>
        <v>#REF!</v>
      </c>
      <c r="AD152" t="e">
        <f>IF(#REF!,"AAAAAH/v8x0=",0)</f>
        <v>#REF!</v>
      </c>
      <c r="AE152" t="e">
        <f>IF(#REF!,"AAAAAH/v8x4=",0)</f>
        <v>#REF!</v>
      </c>
      <c r="AF152" t="e">
        <f>IF(#REF!,"AAAAAH/v8x8=",0)</f>
        <v>#REF!</v>
      </c>
      <c r="AG152" t="e">
        <f>IF(#REF!,"AAAAAH/v8yA=",0)</f>
        <v>#REF!</v>
      </c>
      <c r="AH152" t="e">
        <f>IF(#REF!,"AAAAAH/v8yE=",0)</f>
        <v>#REF!</v>
      </c>
      <c r="AI152" t="e">
        <f>IF(#REF!,"AAAAAH/v8yI=",0)</f>
        <v>#REF!</v>
      </c>
      <c r="AJ152" t="e">
        <f>IF(#REF!,"AAAAAH/v8yM=",0)</f>
        <v>#REF!</v>
      </c>
      <c r="AK152" t="e">
        <f>IF(#REF!,"AAAAAH/v8yQ=",0)</f>
        <v>#REF!</v>
      </c>
      <c r="AL152" t="e">
        <f>IF(#REF!,"AAAAAH/v8yU=",0)</f>
        <v>#REF!</v>
      </c>
      <c r="AM152" t="e">
        <f>IF(#REF!,"AAAAAH/v8yY=",0)</f>
        <v>#REF!</v>
      </c>
      <c r="AN152" t="e">
        <f>IF(#REF!,"AAAAAH/v8yc=",0)</f>
        <v>#REF!</v>
      </c>
      <c r="AO152" t="e">
        <f>IF(#REF!,"AAAAAH/v8yg=",0)</f>
        <v>#REF!</v>
      </c>
      <c r="AP152" t="e">
        <f>IF(#REF!,"AAAAAH/v8yk=",0)</f>
        <v>#REF!</v>
      </c>
      <c r="AQ152" t="e">
        <f>IF(#REF!,"AAAAAH/v8yo=",0)</f>
        <v>#REF!</v>
      </c>
      <c r="AR152" t="e">
        <f>IF(#REF!,"AAAAAH/v8ys=",0)</f>
        <v>#REF!</v>
      </c>
      <c r="AS152" t="e">
        <f>IF(#REF!,"AAAAAH/v8yw=",0)</f>
        <v>#REF!</v>
      </c>
      <c r="AT152" t="e">
        <f>IF(#REF!,"AAAAAH/v8y0=",0)</f>
        <v>#REF!</v>
      </c>
      <c r="AU152" t="e">
        <f>IF(#REF!,"AAAAAH/v8y4=",0)</f>
        <v>#REF!</v>
      </c>
      <c r="AV152" t="e">
        <f>IF(#REF!,"AAAAAH/v8y8=",0)</f>
        <v>#REF!</v>
      </c>
      <c r="AW152" t="e">
        <f>IF(#REF!,"AAAAAH/v8zA=",0)</f>
        <v>#REF!</v>
      </c>
      <c r="AX152" t="e">
        <f>IF(#REF!,"AAAAAH/v8zE=",0)</f>
        <v>#REF!</v>
      </c>
      <c r="AY152" t="e">
        <f>IF(#REF!,"AAAAAH/v8zI=",0)</f>
        <v>#REF!</v>
      </c>
      <c r="AZ152" t="e">
        <f>IF(#REF!,"AAAAAH/v8zM=",0)</f>
        <v>#REF!</v>
      </c>
      <c r="BA152" t="e">
        <f>IF(#REF!,"AAAAAH/v8zQ=",0)</f>
        <v>#REF!</v>
      </c>
      <c r="BB152" t="e">
        <f>IF(#REF!,"AAAAAH/v8zU=",0)</f>
        <v>#REF!</v>
      </c>
      <c r="BC152" t="e">
        <f>IF(#REF!,"AAAAAH/v8zY=",0)</f>
        <v>#REF!</v>
      </c>
      <c r="BD152" t="e">
        <f>IF(#REF!,"AAAAAH/v8zc=",0)</f>
        <v>#REF!</v>
      </c>
      <c r="BE152" t="e">
        <f>IF(#REF!,"AAAAAH/v8zg=",0)</f>
        <v>#REF!</v>
      </c>
      <c r="BF152" t="e">
        <f>IF(#REF!,"AAAAAH/v8zk=",0)</f>
        <v>#REF!</v>
      </c>
      <c r="BG152" t="e">
        <f>IF(#REF!,"AAAAAH/v8zo=",0)</f>
        <v>#REF!</v>
      </c>
      <c r="BH152" t="e">
        <f>IF(#REF!,"AAAAAH/v8zs=",0)</f>
        <v>#REF!</v>
      </c>
      <c r="BI152" t="e">
        <f>IF(#REF!,"AAAAAH/v8zw=",0)</f>
        <v>#REF!</v>
      </c>
      <c r="BJ152" t="e">
        <f>IF(#REF!,"AAAAAH/v8z0=",0)</f>
        <v>#REF!</v>
      </c>
      <c r="BK152" t="e">
        <f>IF(#REF!,"AAAAAH/v8z4=",0)</f>
        <v>#REF!</v>
      </c>
      <c r="BL152" t="e">
        <f>IF(#REF!,"AAAAAH/v8z8=",0)</f>
        <v>#REF!</v>
      </c>
      <c r="BM152" t="e">
        <f>IF(#REF!,"AAAAAH/v80A=",0)</f>
        <v>#REF!</v>
      </c>
      <c r="BN152" t="e">
        <f>IF(#REF!,"AAAAAH/v80E=",0)</f>
        <v>#REF!</v>
      </c>
      <c r="BO152" t="e">
        <f>IF(#REF!,"AAAAAH/v80I=",0)</f>
        <v>#REF!</v>
      </c>
      <c r="BP152" t="e">
        <f>IF(#REF!,"AAAAAH/v80M=",0)</f>
        <v>#REF!</v>
      </c>
      <c r="BQ152" t="e">
        <f>IF(#REF!,"AAAAAH/v80Q=",0)</f>
        <v>#REF!</v>
      </c>
      <c r="BR152" t="e">
        <f>IF(#REF!,"AAAAAH/v80U=",0)</f>
        <v>#REF!</v>
      </c>
      <c r="BS152" t="e">
        <f>IF(#REF!,"AAAAAH/v80Y=",0)</f>
        <v>#REF!</v>
      </c>
      <c r="BT152" t="e">
        <f>IF(#REF!,"AAAAAH/v80c=",0)</f>
        <v>#REF!</v>
      </c>
      <c r="BU152" t="e">
        <f>IF(#REF!,"AAAAAH/v80g=",0)</f>
        <v>#REF!</v>
      </c>
      <c r="BV152" t="e">
        <f>IF(#REF!,"AAAAAH/v80k=",0)</f>
        <v>#REF!</v>
      </c>
      <c r="BW152" t="e">
        <f>IF(#REF!,"AAAAAH/v80o=",0)</f>
        <v>#REF!</v>
      </c>
      <c r="BX152" t="e">
        <f>IF(#REF!,"AAAAAH/v80s=",0)</f>
        <v>#REF!</v>
      </c>
      <c r="BY152" t="e">
        <f>IF(#REF!,"AAAAAH/v80w=",0)</f>
        <v>#REF!</v>
      </c>
      <c r="BZ152" t="e">
        <f>IF(#REF!,"AAAAAH/v800=",0)</f>
        <v>#REF!</v>
      </c>
      <c r="CA152" t="e">
        <f>IF(#REF!,"AAAAAH/v804=",0)</f>
        <v>#REF!</v>
      </c>
      <c r="CB152" t="e">
        <f>IF(#REF!,"AAAAAH/v808=",0)</f>
        <v>#REF!</v>
      </c>
      <c r="CC152" t="e">
        <f>IF(#REF!,"AAAAAH/v81A=",0)</f>
        <v>#REF!</v>
      </c>
      <c r="CD152" t="e">
        <f>IF(#REF!,"AAAAAH/v81E=",0)</f>
        <v>#REF!</v>
      </c>
      <c r="CE152" t="e">
        <f>IF(#REF!,"AAAAAH/v81I=",0)</f>
        <v>#REF!</v>
      </c>
      <c r="CF152" t="e">
        <f>IF(#REF!,"AAAAAH/v81M=",0)</f>
        <v>#REF!</v>
      </c>
      <c r="CG152" t="e">
        <f>IF(#REF!,"AAAAAH/v81Q=",0)</f>
        <v>#REF!</v>
      </c>
      <c r="CH152" t="e">
        <f>IF(#REF!,"AAAAAH/v81U=",0)</f>
        <v>#REF!</v>
      </c>
      <c r="CI152" t="e">
        <f>IF(#REF!,"AAAAAH/v81Y=",0)</f>
        <v>#REF!</v>
      </c>
      <c r="CJ152" t="e">
        <f>IF(#REF!,"AAAAAH/v81c=",0)</f>
        <v>#REF!</v>
      </c>
      <c r="CK152" t="e">
        <f>IF(#REF!,"AAAAAH/v81g=",0)</f>
        <v>#REF!</v>
      </c>
      <c r="CL152" t="e">
        <f>IF(#REF!,"AAAAAH/v81k=",0)</f>
        <v>#REF!</v>
      </c>
      <c r="CM152" t="e">
        <f>IF(#REF!,"AAAAAH/v81o=",0)</f>
        <v>#REF!</v>
      </c>
      <c r="CN152" t="e">
        <f>IF(#REF!,"AAAAAH/v81s=",0)</f>
        <v>#REF!</v>
      </c>
      <c r="CO152" t="e">
        <f>IF(#REF!,"AAAAAH/v81w=",0)</f>
        <v>#REF!</v>
      </c>
      <c r="CP152" t="e">
        <f>IF(#REF!,"AAAAAH/v810=",0)</f>
        <v>#REF!</v>
      </c>
      <c r="CQ152" t="e">
        <f>IF(#REF!,"AAAAAH/v814=",0)</f>
        <v>#REF!</v>
      </c>
      <c r="CR152" t="e">
        <f>IF(#REF!,"AAAAAH/v818=",0)</f>
        <v>#REF!</v>
      </c>
      <c r="CS152" t="e">
        <f>IF(#REF!,"AAAAAH/v82A=",0)</f>
        <v>#REF!</v>
      </c>
      <c r="CT152" t="e">
        <f>IF(#REF!,"AAAAAH/v82E=",0)</f>
        <v>#REF!</v>
      </c>
      <c r="CU152" t="e">
        <f>IF(#REF!,"AAAAAH/v82I=",0)</f>
        <v>#REF!</v>
      </c>
      <c r="CV152" t="e">
        <f>IF(#REF!,"AAAAAH/v82M=",0)</f>
        <v>#REF!</v>
      </c>
      <c r="CW152" t="e">
        <f>IF(#REF!,"AAAAAH/v82Q=",0)</f>
        <v>#REF!</v>
      </c>
      <c r="CX152" t="e">
        <f>IF(#REF!,"AAAAAH/v82U=",0)</f>
        <v>#REF!</v>
      </c>
      <c r="CY152" t="e">
        <f>IF(#REF!,"AAAAAH/v82Y=",0)</f>
        <v>#REF!</v>
      </c>
      <c r="CZ152" t="e">
        <f>IF(#REF!,"AAAAAH/v82c=",0)</f>
        <v>#REF!</v>
      </c>
      <c r="DA152" t="e">
        <f>IF(#REF!,"AAAAAH/v82g=",0)</f>
        <v>#REF!</v>
      </c>
      <c r="DB152" t="e">
        <f>IF(#REF!,"AAAAAH/v82k=",0)</f>
        <v>#REF!</v>
      </c>
      <c r="DC152" t="e">
        <f>IF(#REF!,"AAAAAH/v82o=",0)</f>
        <v>#REF!</v>
      </c>
      <c r="DD152" t="e">
        <f>IF(#REF!,"AAAAAH/v82s=",0)</f>
        <v>#REF!</v>
      </c>
      <c r="DE152" t="e">
        <f>IF(#REF!,"AAAAAH/v82w=",0)</f>
        <v>#REF!</v>
      </c>
      <c r="DF152" t="e">
        <f>IF(#REF!,"AAAAAH/v820=",0)</f>
        <v>#REF!</v>
      </c>
      <c r="DG152" t="e">
        <f>IF(#REF!,"AAAAAH/v824=",0)</f>
        <v>#REF!</v>
      </c>
      <c r="DH152" t="e">
        <f>IF(#REF!,"AAAAAH/v828=",0)</f>
        <v>#REF!</v>
      </c>
      <c r="DI152" t="e">
        <f>IF(#REF!,"AAAAAH/v83A=",0)</f>
        <v>#REF!</v>
      </c>
      <c r="DJ152" t="e">
        <f>IF(#REF!,"AAAAAH/v83E=",0)</f>
        <v>#REF!</v>
      </c>
      <c r="DK152" t="e">
        <f>IF(#REF!,"AAAAAH/v83I=",0)</f>
        <v>#REF!</v>
      </c>
      <c r="DL152" t="e">
        <f>IF(#REF!,"AAAAAH/v83M=",0)</f>
        <v>#REF!</v>
      </c>
      <c r="DM152" t="e">
        <f>IF(#REF!,"AAAAAH/v83Q=",0)</f>
        <v>#REF!</v>
      </c>
      <c r="DN152" t="e">
        <f>IF(#REF!,"AAAAAH/v83U=",0)</f>
        <v>#REF!</v>
      </c>
      <c r="DO152" t="e">
        <f>IF(#REF!,"AAAAAH/v83Y=",0)</f>
        <v>#REF!</v>
      </c>
      <c r="DP152" t="e">
        <f>IF(#REF!,"AAAAAH/v83c=",0)</f>
        <v>#REF!</v>
      </c>
      <c r="DQ152" t="e">
        <f>IF(#REF!,"AAAAAH/v83g=",0)</f>
        <v>#REF!</v>
      </c>
      <c r="DR152" t="e">
        <f>IF(#REF!,"AAAAAH/v83k=",0)</f>
        <v>#REF!</v>
      </c>
      <c r="DS152" t="e">
        <f>IF(#REF!,"AAAAAH/v83o=",0)</f>
        <v>#REF!</v>
      </c>
      <c r="DT152" t="e">
        <f>IF(#REF!,"AAAAAH/v83s=",0)</f>
        <v>#REF!</v>
      </c>
      <c r="DU152" t="e">
        <f>IF(#REF!,"AAAAAH/v83w=",0)</f>
        <v>#REF!</v>
      </c>
      <c r="DV152" t="e">
        <f>IF(#REF!,"AAAAAH/v830=",0)</f>
        <v>#REF!</v>
      </c>
      <c r="DW152" t="e">
        <f>IF(#REF!,"AAAAAH/v834=",0)</f>
        <v>#REF!</v>
      </c>
      <c r="DX152" t="e">
        <f>IF(#REF!,"AAAAAH/v838=",0)</f>
        <v>#REF!</v>
      </c>
      <c r="DY152" t="e">
        <f>IF(#REF!,"AAAAAH/v84A=",0)</f>
        <v>#REF!</v>
      </c>
      <c r="DZ152" t="e">
        <f>IF(#REF!,"AAAAAH/v84E=",0)</f>
        <v>#REF!</v>
      </c>
      <c r="EA152" t="e">
        <f>IF(#REF!,"AAAAAH/v84I=",0)</f>
        <v>#REF!</v>
      </c>
      <c r="EB152" t="e">
        <f>IF(#REF!,"AAAAAH/v84M=",0)</f>
        <v>#REF!</v>
      </c>
      <c r="EC152" t="e">
        <f>IF(#REF!,"AAAAAH/v84Q=",0)</f>
        <v>#REF!</v>
      </c>
      <c r="ED152" t="e">
        <f>IF(#REF!,"AAAAAH/v84U=",0)</f>
        <v>#REF!</v>
      </c>
      <c r="EE152" t="e">
        <f>IF(#REF!,"AAAAAH/v84Y=",0)</f>
        <v>#REF!</v>
      </c>
      <c r="EF152" t="e">
        <f>IF(#REF!,"AAAAAH/v84c=",0)</f>
        <v>#REF!</v>
      </c>
      <c r="EG152" t="e">
        <f>IF(#REF!,"AAAAAH/v84g=",0)</f>
        <v>#REF!</v>
      </c>
      <c r="EH152" t="e">
        <f>IF(#REF!,"AAAAAH/v84k=",0)</f>
        <v>#REF!</v>
      </c>
      <c r="EI152" t="e">
        <f>IF(#REF!,"AAAAAH/v84o=",0)</f>
        <v>#REF!</v>
      </c>
      <c r="EJ152" t="e">
        <f>IF(#REF!,"AAAAAH/v84s=",0)</f>
        <v>#REF!</v>
      </c>
      <c r="EK152" t="e">
        <f>IF(#REF!,"AAAAAH/v84w=",0)</f>
        <v>#REF!</v>
      </c>
      <c r="EL152" t="e">
        <f>IF(#REF!,"AAAAAH/v840=",0)</f>
        <v>#REF!</v>
      </c>
      <c r="EM152" t="e">
        <f>IF(#REF!,"AAAAAH/v844=",0)</f>
        <v>#REF!</v>
      </c>
      <c r="EN152" t="e">
        <f>IF(#REF!,"AAAAAH/v848=",0)</f>
        <v>#REF!</v>
      </c>
      <c r="EO152" t="e">
        <f>IF(#REF!,"AAAAAH/v85A=",0)</f>
        <v>#REF!</v>
      </c>
      <c r="EP152" t="e">
        <f>IF(#REF!,"AAAAAH/v85E=",0)</f>
        <v>#REF!</v>
      </c>
      <c r="EQ152" t="e">
        <f>IF(#REF!,"AAAAAH/v85I=",0)</f>
        <v>#REF!</v>
      </c>
      <c r="ER152" t="e">
        <f>IF(#REF!,"AAAAAH/v85M=",0)</f>
        <v>#REF!</v>
      </c>
      <c r="ES152" t="e">
        <f>IF(#REF!,"AAAAAH/v85Q=",0)</f>
        <v>#REF!</v>
      </c>
      <c r="ET152" t="e">
        <f>IF(#REF!,"AAAAAH/v85U=",0)</f>
        <v>#REF!</v>
      </c>
      <c r="EU152" t="e">
        <f>IF(#REF!,"AAAAAH/v85Y=",0)</f>
        <v>#REF!</v>
      </c>
      <c r="EV152" t="e">
        <f>IF(#REF!,"AAAAAH/v85c=",0)</f>
        <v>#REF!</v>
      </c>
      <c r="EW152" t="e">
        <f>IF(#REF!,"AAAAAH/v85g=",0)</f>
        <v>#REF!</v>
      </c>
      <c r="EX152" t="e">
        <f>IF(#REF!,"AAAAAH/v85k=",0)</f>
        <v>#REF!</v>
      </c>
      <c r="EY152" t="e">
        <f>IF(#REF!,"AAAAAH/v85o=",0)</f>
        <v>#REF!</v>
      </c>
      <c r="EZ152" t="e">
        <f>IF(#REF!,"AAAAAH/v85s=",0)</f>
        <v>#REF!</v>
      </c>
      <c r="FA152" t="e">
        <f>IF(#REF!,"AAAAAH/v85w=",0)</f>
        <v>#REF!</v>
      </c>
      <c r="FB152" t="e">
        <f>IF(#REF!,"AAAAAH/v850=",0)</f>
        <v>#REF!</v>
      </c>
      <c r="FC152" t="e">
        <f>IF(#REF!,"AAAAAH/v854=",0)</f>
        <v>#REF!</v>
      </c>
      <c r="FD152" t="e">
        <f>IF(#REF!,"AAAAAH/v858=",0)</f>
        <v>#REF!</v>
      </c>
      <c r="FE152" t="e">
        <f>IF(#REF!,"AAAAAH/v86A=",0)</f>
        <v>#REF!</v>
      </c>
      <c r="FF152" t="e">
        <f>IF(#REF!,"AAAAAH/v86E=",0)</f>
        <v>#REF!</v>
      </c>
      <c r="FG152" t="e">
        <f>IF(#REF!,"AAAAAH/v86I=",0)</f>
        <v>#REF!</v>
      </c>
      <c r="FH152" t="e">
        <f>IF(#REF!,"AAAAAH/v86M=",0)</f>
        <v>#REF!</v>
      </c>
      <c r="FI152" t="e">
        <f>IF(#REF!,"AAAAAH/v86Q=",0)</f>
        <v>#REF!</v>
      </c>
      <c r="FJ152" t="e">
        <f>IF(#REF!,"AAAAAH/v86U=",0)</f>
        <v>#REF!</v>
      </c>
      <c r="FK152" t="e">
        <f>IF(#REF!,"AAAAAH/v86Y=",0)</f>
        <v>#REF!</v>
      </c>
      <c r="FL152" t="e">
        <f>IF(#REF!,"AAAAAH/v86c=",0)</f>
        <v>#REF!</v>
      </c>
      <c r="FM152" t="e">
        <f>IF(#REF!,"AAAAAH/v86g=",0)</f>
        <v>#REF!</v>
      </c>
      <c r="FN152" t="e">
        <f>IF(#REF!,"AAAAAH/v86k=",0)</f>
        <v>#REF!</v>
      </c>
      <c r="FO152" t="e">
        <f>IF(#REF!,"AAAAAH/v86o=",0)</f>
        <v>#REF!</v>
      </c>
      <c r="FP152" t="e">
        <f>IF(#REF!,"AAAAAH/v86s=",0)</f>
        <v>#REF!</v>
      </c>
      <c r="FQ152" t="e">
        <f>IF(#REF!,"AAAAAH/v86w=",0)</f>
        <v>#REF!</v>
      </c>
      <c r="FR152" t="e">
        <f>IF(#REF!,"AAAAAH/v860=",0)</f>
        <v>#REF!</v>
      </c>
      <c r="FS152" t="e">
        <f>IF(#REF!,"AAAAAH/v864=",0)</f>
        <v>#REF!</v>
      </c>
      <c r="FT152" t="e">
        <f>IF(#REF!,"AAAAAH/v868=",0)</f>
        <v>#REF!</v>
      </c>
      <c r="FU152" t="e">
        <f>IF(#REF!,"AAAAAH/v87A=",0)</f>
        <v>#REF!</v>
      </c>
      <c r="FV152" t="e">
        <f>IF(#REF!,"AAAAAH/v87E=",0)</f>
        <v>#REF!</v>
      </c>
      <c r="FW152" t="e">
        <f>IF(#REF!,"AAAAAH/v87I=",0)</f>
        <v>#REF!</v>
      </c>
      <c r="FX152" t="e">
        <f>IF(#REF!,"AAAAAH/v87M=",0)</f>
        <v>#REF!</v>
      </c>
      <c r="FY152" t="e">
        <f>IF(#REF!,"AAAAAH/v87Q=",0)</f>
        <v>#REF!</v>
      </c>
      <c r="FZ152" t="e">
        <f>IF(#REF!,"AAAAAH/v87U=",0)</f>
        <v>#REF!</v>
      </c>
      <c r="GA152" t="e">
        <f>IF(#REF!,"AAAAAH/v87Y=",0)</f>
        <v>#REF!</v>
      </c>
      <c r="GB152" t="e">
        <f>IF(#REF!,"AAAAAH/v87c=",0)</f>
        <v>#REF!</v>
      </c>
      <c r="GC152" t="e">
        <f>IF(#REF!,"AAAAAH/v87g=",0)</f>
        <v>#REF!</v>
      </c>
      <c r="GD152" t="e">
        <f>IF(#REF!,"AAAAAH/v87k=",0)</f>
        <v>#REF!</v>
      </c>
      <c r="GE152" t="e">
        <f>IF(#REF!,"AAAAAH/v87o=",0)</f>
        <v>#REF!</v>
      </c>
      <c r="GF152" t="e">
        <f>IF(#REF!,"AAAAAH/v87s=",0)</f>
        <v>#REF!</v>
      </c>
      <c r="GG152" t="e">
        <f>IF(#REF!,"AAAAAH/v87w=",0)</f>
        <v>#REF!</v>
      </c>
      <c r="GH152" t="e">
        <f>IF(#REF!,"AAAAAH/v870=",0)</f>
        <v>#REF!</v>
      </c>
      <c r="GI152" t="e">
        <f>IF(#REF!,"AAAAAH/v874=",0)</f>
        <v>#REF!</v>
      </c>
      <c r="GJ152" t="e">
        <f>IF(#REF!,"AAAAAH/v878=",0)</f>
        <v>#REF!</v>
      </c>
      <c r="GK152" t="e">
        <f>IF(#REF!,"AAAAAH/v88A=",0)</f>
        <v>#REF!</v>
      </c>
      <c r="GL152" t="e">
        <f>IF(#REF!,"AAAAAH/v88E=",0)</f>
        <v>#REF!</v>
      </c>
      <c r="GM152" t="e">
        <f>IF(#REF!,"AAAAAH/v88I=",0)</f>
        <v>#REF!</v>
      </c>
      <c r="GN152" t="e">
        <f>IF(#REF!,"AAAAAH/v88M=",0)</f>
        <v>#REF!</v>
      </c>
      <c r="GO152" t="e">
        <f>IF(#REF!,"AAAAAH/v88Q=",0)</f>
        <v>#REF!</v>
      </c>
      <c r="GP152" t="e">
        <f>IF(#REF!,"AAAAAH/v88U=",0)</f>
        <v>#REF!</v>
      </c>
      <c r="GQ152" t="e">
        <f>IF(#REF!,"AAAAAH/v88Y=",0)</f>
        <v>#REF!</v>
      </c>
      <c r="GR152" t="e">
        <f>IF(#REF!,"AAAAAH/v88c=",0)</f>
        <v>#REF!</v>
      </c>
      <c r="GS152" t="e">
        <f>IF(#REF!,"AAAAAH/v88g=",0)</f>
        <v>#REF!</v>
      </c>
      <c r="GT152" t="e">
        <f>IF(#REF!,"AAAAAH/v88k=",0)</f>
        <v>#REF!</v>
      </c>
      <c r="GU152" t="e">
        <f>IF(#REF!,"AAAAAH/v88o=",0)</f>
        <v>#REF!</v>
      </c>
      <c r="GV152" t="e">
        <f>IF(#REF!,"AAAAAH/v88s=",0)</f>
        <v>#REF!</v>
      </c>
      <c r="GW152" t="e">
        <f>IF(#REF!,"AAAAAH/v88w=",0)</f>
        <v>#REF!</v>
      </c>
      <c r="GX152" t="e">
        <f>IF(#REF!,"AAAAAH/v880=",0)</f>
        <v>#REF!</v>
      </c>
      <c r="GY152" t="e">
        <f>IF(#REF!,"AAAAAH/v884=",0)</f>
        <v>#REF!</v>
      </c>
      <c r="GZ152" t="e">
        <f>IF(#REF!,"AAAAAH/v888=",0)</f>
        <v>#REF!</v>
      </c>
      <c r="HA152" t="e">
        <f>IF(#REF!,"AAAAAH/v89A=",0)</f>
        <v>#REF!</v>
      </c>
      <c r="HB152" t="e">
        <f>IF(#REF!,"AAAAAH/v89E=",0)</f>
        <v>#REF!</v>
      </c>
      <c r="HC152" t="e">
        <f>IF(#REF!,"AAAAAH/v89I=",0)</f>
        <v>#REF!</v>
      </c>
      <c r="HD152" t="e">
        <f>IF(#REF!,"AAAAAH/v89M=",0)</f>
        <v>#REF!</v>
      </c>
      <c r="HE152" t="e">
        <f>IF(#REF!,"AAAAAH/v89Q=",0)</f>
        <v>#REF!</v>
      </c>
      <c r="HF152" t="e">
        <f>IF(#REF!,"AAAAAH/v89U=",0)</f>
        <v>#REF!</v>
      </c>
      <c r="HG152" t="e">
        <f>IF(#REF!,"AAAAAH/v89Y=",0)</f>
        <v>#REF!</v>
      </c>
      <c r="HH152" t="e">
        <f>IF(#REF!,"AAAAAH/v89c=",0)</f>
        <v>#REF!</v>
      </c>
      <c r="HI152" t="e">
        <f>IF(#REF!,"AAAAAH/v89g=",0)</f>
        <v>#REF!</v>
      </c>
      <c r="HJ152" t="e">
        <f>IF(#REF!,"AAAAAH/v89k=",0)</f>
        <v>#REF!</v>
      </c>
      <c r="HK152" t="e">
        <f>IF(#REF!,"AAAAAH/v89o=",0)</f>
        <v>#REF!</v>
      </c>
      <c r="HL152" t="e">
        <f>IF(#REF!,"AAAAAH/v89s=",0)</f>
        <v>#REF!</v>
      </c>
      <c r="HM152" t="e">
        <f>IF(#REF!,"AAAAAH/v89w=",0)</f>
        <v>#REF!</v>
      </c>
      <c r="HN152" t="e">
        <f>IF(#REF!,"AAAAAH/v890=",0)</f>
        <v>#REF!</v>
      </c>
      <c r="HO152" t="e">
        <f>IF(#REF!,"AAAAAH/v894=",0)</f>
        <v>#REF!</v>
      </c>
      <c r="HP152" t="e">
        <f>IF(#REF!,"AAAAAH/v898=",0)</f>
        <v>#REF!</v>
      </c>
      <c r="HQ152" t="e">
        <f>IF(#REF!,"AAAAAH/v8+A=",0)</f>
        <v>#REF!</v>
      </c>
      <c r="HR152" t="e">
        <f>IF(#REF!,"AAAAAH/v8+E=",0)</f>
        <v>#REF!</v>
      </c>
      <c r="HS152" t="e">
        <f>IF(#REF!,"AAAAAH/v8+I=",0)</f>
        <v>#REF!</v>
      </c>
      <c r="HT152" t="e">
        <f>IF(#REF!,"AAAAAH/v8+M=",0)</f>
        <v>#REF!</v>
      </c>
      <c r="HU152" t="e">
        <f>IF(#REF!,"AAAAAH/v8+Q=",0)</f>
        <v>#REF!</v>
      </c>
      <c r="HV152" t="e">
        <f>IF(#REF!,"AAAAAH/v8+U=",0)</f>
        <v>#REF!</v>
      </c>
      <c r="HW152" t="e">
        <f>IF(#REF!,"AAAAAH/v8+Y=",0)</f>
        <v>#REF!</v>
      </c>
      <c r="HX152" t="e">
        <f>IF(#REF!,"AAAAAH/v8+c=",0)</f>
        <v>#REF!</v>
      </c>
      <c r="HY152" t="e">
        <f>IF(#REF!,"AAAAAH/v8+g=",0)</f>
        <v>#REF!</v>
      </c>
      <c r="HZ152" t="e">
        <f>IF(#REF!,"AAAAAH/v8+k=",0)</f>
        <v>#REF!</v>
      </c>
      <c r="IA152" t="e">
        <f>IF(#REF!,"AAAAAH/v8+o=",0)</f>
        <v>#REF!</v>
      </c>
      <c r="IB152" t="e">
        <f>IF(#REF!,"AAAAAH/v8+s=",0)</f>
        <v>#REF!</v>
      </c>
      <c r="IC152" t="e">
        <f>IF(#REF!,"AAAAAH/v8+w=",0)</f>
        <v>#REF!</v>
      </c>
      <c r="ID152" t="e">
        <f>IF(#REF!,"AAAAAH/v8+0=",0)</f>
        <v>#REF!</v>
      </c>
      <c r="IE152" t="e">
        <f>IF(#REF!,"AAAAAH/v8+4=",0)</f>
        <v>#REF!</v>
      </c>
      <c r="IF152" t="e">
        <f>IF(#REF!,"AAAAAH/v8+8=",0)</f>
        <v>#REF!</v>
      </c>
      <c r="IG152" t="e">
        <f>IF(#REF!,"AAAAAH/v8/A=",0)</f>
        <v>#REF!</v>
      </c>
      <c r="IH152" t="e">
        <f>IF(#REF!,"AAAAAH/v8/E=",0)</f>
        <v>#REF!</v>
      </c>
      <c r="II152" t="e">
        <f>IF(#REF!,"AAAAAH/v8/I=",0)</f>
        <v>#REF!</v>
      </c>
      <c r="IJ152" t="e">
        <f>IF(#REF!,"AAAAAH/v8/M=",0)</f>
        <v>#REF!</v>
      </c>
      <c r="IK152" t="e">
        <f>IF(#REF!,"AAAAAH/v8/Q=",0)</f>
        <v>#REF!</v>
      </c>
      <c r="IL152" t="e">
        <f>IF(#REF!,"AAAAAH/v8/U=",0)</f>
        <v>#REF!</v>
      </c>
      <c r="IM152" t="e">
        <f>IF(#REF!,"AAAAAH/v8/Y=",0)</f>
        <v>#REF!</v>
      </c>
      <c r="IN152" t="e">
        <f>IF(#REF!,"AAAAAH/v8/c=",0)</f>
        <v>#REF!</v>
      </c>
      <c r="IO152" t="e">
        <f>IF(#REF!,"AAAAAH/v8/g=",0)</f>
        <v>#REF!</v>
      </c>
      <c r="IP152" t="e">
        <f>IF(#REF!,"AAAAAH/v8/k=",0)</f>
        <v>#REF!</v>
      </c>
      <c r="IQ152" t="e">
        <f>IF(#REF!,"AAAAAH/v8/o=",0)</f>
        <v>#REF!</v>
      </c>
      <c r="IR152" t="e">
        <f>IF(#REF!,"AAAAAH/v8/s=",0)</f>
        <v>#REF!</v>
      </c>
      <c r="IS152" t="e">
        <f>IF(#REF!,"AAAAAH/v8/w=",0)</f>
        <v>#REF!</v>
      </c>
      <c r="IT152" t="e">
        <f>IF(#REF!,"AAAAAH/v8/0=",0)</f>
        <v>#REF!</v>
      </c>
      <c r="IU152" t="e">
        <f>IF(#REF!,"AAAAAH/v8/4=",0)</f>
        <v>#REF!</v>
      </c>
      <c r="IV152" t="e">
        <f>IF(#REF!,"AAAAAH/v8/8=",0)</f>
        <v>#REF!</v>
      </c>
    </row>
    <row r="153" spans="1:256">
      <c r="A153" t="e">
        <f>IF(#REF!,"AAAAADfv9gA=",0)</f>
        <v>#REF!</v>
      </c>
      <c r="B153" t="e">
        <f>IF(#REF!,"AAAAADfv9gE=",0)</f>
        <v>#REF!</v>
      </c>
      <c r="C153" t="e">
        <f>IF(#REF!,"AAAAADfv9gI=",0)</f>
        <v>#REF!</v>
      </c>
      <c r="D153" t="e">
        <f>IF(#REF!,"AAAAADfv9gM=",0)</f>
        <v>#REF!</v>
      </c>
      <c r="E153" t="e">
        <f>IF(#REF!,"AAAAADfv9gQ=",0)</f>
        <v>#REF!</v>
      </c>
      <c r="F153" t="e">
        <f>IF(#REF!,"AAAAADfv9gU=",0)</f>
        <v>#REF!</v>
      </c>
      <c r="G153" t="e">
        <f>IF(#REF!,"AAAAADfv9gY=",0)</f>
        <v>#REF!</v>
      </c>
      <c r="H153" t="e">
        <f>IF(#REF!,"AAAAADfv9gc=",0)</f>
        <v>#REF!</v>
      </c>
      <c r="I153" t="e">
        <f>IF(#REF!,"AAAAADfv9gg=",0)</f>
        <v>#REF!</v>
      </c>
      <c r="J153" t="e">
        <f>IF(#REF!,"AAAAADfv9gk=",0)</f>
        <v>#REF!</v>
      </c>
      <c r="K153" t="e">
        <f>IF(#REF!,"AAAAADfv9go=",0)</f>
        <v>#REF!</v>
      </c>
      <c r="L153" t="e">
        <f>IF(#REF!,"AAAAADfv9gs=",0)</f>
        <v>#REF!</v>
      </c>
      <c r="M153" t="e">
        <f>IF(#REF!,"AAAAADfv9gw=",0)</f>
        <v>#REF!</v>
      </c>
      <c r="N153" t="e">
        <f>IF(#REF!,"AAAAADfv9g0=",0)</f>
        <v>#REF!</v>
      </c>
      <c r="O153" t="e">
        <f>IF(#REF!,"AAAAADfv9g4=",0)</f>
        <v>#REF!</v>
      </c>
      <c r="P153" t="e">
        <f>IF(#REF!,"AAAAADfv9g8=",0)</f>
        <v>#REF!</v>
      </c>
      <c r="Q153" t="e">
        <f>IF(#REF!,"AAAAADfv9hA=",0)</f>
        <v>#REF!</v>
      </c>
      <c r="R153" t="e">
        <f>IF(#REF!,"AAAAADfv9hE=",0)</f>
        <v>#REF!</v>
      </c>
      <c r="S153" t="e">
        <f>IF(#REF!,"AAAAADfv9hI=",0)</f>
        <v>#REF!</v>
      </c>
      <c r="T153" t="e">
        <f>IF(#REF!,"AAAAADfv9hM=",0)</f>
        <v>#REF!</v>
      </c>
      <c r="U153" t="e">
        <f>IF(#REF!,"AAAAADfv9hQ=",0)</f>
        <v>#REF!</v>
      </c>
      <c r="V153" t="e">
        <f>IF(#REF!,"AAAAADfv9hU=",0)</f>
        <v>#REF!</v>
      </c>
      <c r="W153" t="e">
        <f>IF(#REF!,"AAAAADfv9hY=",0)</f>
        <v>#REF!</v>
      </c>
      <c r="X153" t="e">
        <f>IF(#REF!,"AAAAADfv9hc=",0)</f>
        <v>#REF!</v>
      </c>
      <c r="Y153" t="e">
        <f>IF(#REF!,"AAAAADfv9hg=",0)</f>
        <v>#REF!</v>
      </c>
      <c r="Z153" t="e">
        <f>IF(#REF!,"AAAAADfv9hk=",0)</f>
        <v>#REF!</v>
      </c>
      <c r="AA153" t="e">
        <f>IF(#REF!,"AAAAADfv9ho=",0)</f>
        <v>#REF!</v>
      </c>
      <c r="AB153" t="e">
        <f>IF(#REF!,"AAAAADfv9hs=",0)</f>
        <v>#REF!</v>
      </c>
      <c r="AC153" t="e">
        <f>IF(#REF!,"AAAAADfv9hw=",0)</f>
        <v>#REF!</v>
      </c>
      <c r="AD153" t="e">
        <f>IF(#REF!,"AAAAADfv9h0=",0)</f>
        <v>#REF!</v>
      </c>
      <c r="AE153" t="e">
        <f>IF(#REF!,"AAAAADfv9h4=",0)</f>
        <v>#REF!</v>
      </c>
      <c r="AF153" t="e">
        <f>IF(#REF!,"AAAAADfv9h8=",0)</f>
        <v>#REF!</v>
      </c>
      <c r="AG153" t="e">
        <f>IF(#REF!,"AAAAADfv9iA=",0)</f>
        <v>#REF!</v>
      </c>
      <c r="AH153" t="e">
        <f>IF(#REF!,"AAAAADfv9iE=",0)</f>
        <v>#REF!</v>
      </c>
      <c r="AI153" t="e">
        <f>IF(#REF!,"AAAAADfv9iI=",0)</f>
        <v>#REF!</v>
      </c>
      <c r="AJ153" t="e">
        <f>IF(#REF!,"AAAAADfv9iM=",0)</f>
        <v>#REF!</v>
      </c>
      <c r="AK153" t="e">
        <f>IF(#REF!,"AAAAADfv9iQ=",0)</f>
        <v>#REF!</v>
      </c>
      <c r="AL153" t="e">
        <f>IF(#REF!,"AAAAADfv9iU=",0)</f>
        <v>#REF!</v>
      </c>
      <c r="AM153" t="e">
        <f>IF(#REF!,"AAAAADfv9iY=",0)</f>
        <v>#REF!</v>
      </c>
      <c r="AN153" t="e">
        <f>IF(#REF!,"AAAAADfv9ic=",0)</f>
        <v>#REF!</v>
      </c>
      <c r="AO153" t="e">
        <f>IF(#REF!,"AAAAADfv9ig=",0)</f>
        <v>#REF!</v>
      </c>
      <c r="AP153" t="e">
        <f>IF(#REF!,"AAAAADfv9ik=",0)</f>
        <v>#REF!</v>
      </c>
      <c r="AQ153" t="e">
        <f>IF(#REF!,"AAAAADfv9io=",0)</f>
        <v>#REF!</v>
      </c>
      <c r="AR153" t="e">
        <f>IF(#REF!,"AAAAADfv9is=",0)</f>
        <v>#REF!</v>
      </c>
      <c r="AS153" t="e">
        <f>IF(#REF!,"AAAAADfv9iw=",0)</f>
        <v>#REF!</v>
      </c>
      <c r="AT153" t="e">
        <f>IF(#REF!,"AAAAADfv9i0=",0)</f>
        <v>#REF!</v>
      </c>
      <c r="AU153" t="e">
        <f>IF(#REF!,"AAAAADfv9i4=",0)</f>
        <v>#REF!</v>
      </c>
      <c r="AV153" t="e">
        <f>IF(#REF!,"AAAAADfv9i8=",0)</f>
        <v>#REF!</v>
      </c>
      <c r="AW153" t="e">
        <f>IF(#REF!,"AAAAADfv9jA=",0)</f>
        <v>#REF!</v>
      </c>
      <c r="AX153" t="e">
        <f>IF(#REF!,"AAAAADfv9jE=",0)</f>
        <v>#REF!</v>
      </c>
      <c r="AY153" t="e">
        <f>IF(#REF!,"AAAAADfv9jI=",0)</f>
        <v>#REF!</v>
      </c>
      <c r="AZ153" t="e">
        <f>IF(#REF!,"AAAAADfv9jM=",0)</f>
        <v>#REF!</v>
      </c>
      <c r="BA153" t="e">
        <f>IF(#REF!,"AAAAADfv9jQ=",0)</f>
        <v>#REF!</v>
      </c>
      <c r="BB153" t="e">
        <f>IF(#REF!,"AAAAADfv9jU=",0)</f>
        <v>#REF!</v>
      </c>
      <c r="BC153" t="e">
        <f>IF(#REF!,"AAAAADfv9jY=",0)</f>
        <v>#REF!</v>
      </c>
      <c r="BD153" t="e">
        <f>IF(#REF!,"AAAAADfv9jc=",0)</f>
        <v>#REF!</v>
      </c>
      <c r="BE153" t="e">
        <f>IF(#REF!,"AAAAADfv9jg=",0)</f>
        <v>#REF!</v>
      </c>
      <c r="BF153" t="e">
        <f>IF(#REF!,"AAAAADfv9jk=",0)</f>
        <v>#REF!</v>
      </c>
      <c r="BG153" t="e">
        <f>IF(#REF!,"AAAAADfv9jo=",0)</f>
        <v>#REF!</v>
      </c>
      <c r="BH153" t="e">
        <f>IF(#REF!,"AAAAADfv9js=",0)</f>
        <v>#REF!</v>
      </c>
      <c r="BI153" t="e">
        <f>IF(#REF!,"AAAAADfv9jw=",0)</f>
        <v>#REF!</v>
      </c>
      <c r="BJ153" t="e">
        <f>IF(#REF!,"AAAAADfv9j0=",0)</f>
        <v>#REF!</v>
      </c>
      <c r="BK153" t="e">
        <f>IF(#REF!,"AAAAADfv9j4=",0)</f>
        <v>#REF!</v>
      </c>
      <c r="BL153" t="e">
        <f>IF(#REF!,"AAAAADfv9j8=",0)</f>
        <v>#REF!</v>
      </c>
      <c r="BM153" t="e">
        <f>IF(#REF!,"AAAAADfv9kA=",0)</f>
        <v>#REF!</v>
      </c>
      <c r="BN153" t="e">
        <f>IF(#REF!,"AAAAADfv9kE=",0)</f>
        <v>#REF!</v>
      </c>
      <c r="BO153" t="e">
        <f>IF(#REF!,"AAAAADfv9kI=",0)</f>
        <v>#REF!</v>
      </c>
      <c r="BP153" t="e">
        <f>IF(#REF!,"AAAAADfv9kM=",0)</f>
        <v>#REF!</v>
      </c>
      <c r="BQ153" t="e">
        <f>IF(#REF!,"AAAAADfv9kQ=",0)</f>
        <v>#REF!</v>
      </c>
      <c r="BR153" t="e">
        <f>IF(#REF!,"AAAAADfv9kU=",0)</f>
        <v>#REF!</v>
      </c>
      <c r="BS153" t="e">
        <f>IF(#REF!,"AAAAADfv9kY=",0)</f>
        <v>#REF!</v>
      </c>
      <c r="BT153" t="e">
        <f>IF(#REF!,"AAAAADfv9kc=",0)</f>
        <v>#REF!</v>
      </c>
      <c r="BU153" t="e">
        <f>IF(#REF!,"AAAAADfv9kg=",0)</f>
        <v>#REF!</v>
      </c>
      <c r="BV153" t="e">
        <f>IF(#REF!,"AAAAADfv9kk=",0)</f>
        <v>#REF!</v>
      </c>
      <c r="BW153" t="e">
        <f>IF(#REF!,"AAAAADfv9ko=",0)</f>
        <v>#REF!</v>
      </c>
      <c r="BX153" t="e">
        <f>IF(#REF!,"AAAAADfv9ks=",0)</f>
        <v>#REF!</v>
      </c>
      <c r="BY153" t="e">
        <f>IF(#REF!,"AAAAADfv9kw=",0)</f>
        <v>#REF!</v>
      </c>
      <c r="BZ153" t="e">
        <f>IF(#REF!,"AAAAADfv9k0=",0)</f>
        <v>#REF!</v>
      </c>
      <c r="CA153" t="e">
        <f>IF(#REF!,"AAAAADfv9k4=",0)</f>
        <v>#REF!</v>
      </c>
      <c r="CB153" t="e">
        <f>IF(#REF!,"AAAAADfv9k8=",0)</f>
        <v>#REF!</v>
      </c>
      <c r="CC153" t="e">
        <f>IF(#REF!,"AAAAADfv9lA=",0)</f>
        <v>#REF!</v>
      </c>
      <c r="CD153" t="e">
        <f>IF(#REF!,"AAAAADfv9lE=",0)</f>
        <v>#REF!</v>
      </c>
      <c r="CE153" t="e">
        <f>IF(#REF!,"AAAAADfv9lI=",0)</f>
        <v>#REF!</v>
      </c>
      <c r="CF153" t="e">
        <f>IF(#REF!,"AAAAADfv9lM=",0)</f>
        <v>#REF!</v>
      </c>
      <c r="CG153" t="e">
        <f>IF(#REF!,"AAAAADfv9lQ=",0)</f>
        <v>#REF!</v>
      </c>
      <c r="CH153" t="e">
        <f>IF(#REF!,"AAAAADfv9lU=",0)</f>
        <v>#REF!</v>
      </c>
      <c r="CI153" t="e">
        <f>IF(#REF!,"AAAAADfv9lY=",0)</f>
        <v>#REF!</v>
      </c>
      <c r="CJ153" t="e">
        <f>IF(#REF!,"AAAAADfv9lc=",0)</f>
        <v>#REF!</v>
      </c>
      <c r="CK153" t="e">
        <f>IF(#REF!,"AAAAADfv9lg=",0)</f>
        <v>#REF!</v>
      </c>
      <c r="CL153" t="e">
        <f>IF(#REF!,"AAAAADfv9lk=",0)</f>
        <v>#REF!</v>
      </c>
      <c r="CM153" t="e">
        <f>IF(#REF!,"AAAAADfv9lo=",0)</f>
        <v>#REF!</v>
      </c>
      <c r="CN153" t="e">
        <f>IF(#REF!,"AAAAADfv9ls=",0)</f>
        <v>#REF!</v>
      </c>
      <c r="CO153" t="e">
        <f>IF(#REF!,"AAAAADfv9lw=",0)</f>
        <v>#REF!</v>
      </c>
      <c r="CP153" t="e">
        <f>IF(#REF!,"AAAAADfv9l0=",0)</f>
        <v>#REF!</v>
      </c>
      <c r="CQ153" t="e">
        <f>IF(#REF!,"AAAAADfv9l4=",0)</f>
        <v>#REF!</v>
      </c>
      <c r="CR153" t="e">
        <f>IF(#REF!,"AAAAADfv9l8=",0)</f>
        <v>#REF!</v>
      </c>
      <c r="CS153" t="e">
        <f>IF(#REF!,"AAAAADfv9mA=",0)</f>
        <v>#REF!</v>
      </c>
      <c r="CT153" t="e">
        <f>IF(#REF!,"AAAAADfv9mE=",0)</f>
        <v>#REF!</v>
      </c>
      <c r="CU153" t="e">
        <f>IF(#REF!,"AAAAADfv9mI=",0)</f>
        <v>#REF!</v>
      </c>
      <c r="CV153" t="e">
        <f>IF(#REF!,"AAAAADfv9mM=",0)</f>
        <v>#REF!</v>
      </c>
      <c r="CW153" t="e">
        <f>IF(#REF!,"AAAAADfv9mQ=",0)</f>
        <v>#REF!</v>
      </c>
      <c r="CX153" t="e">
        <f>IF(#REF!,"AAAAADfv9mU=",0)</f>
        <v>#REF!</v>
      </c>
      <c r="CY153" t="e">
        <f>IF(#REF!,"AAAAADfv9mY=",0)</f>
        <v>#REF!</v>
      </c>
      <c r="CZ153" t="e">
        <f>IF(#REF!,"AAAAADfv9mc=",0)</f>
        <v>#REF!</v>
      </c>
      <c r="DA153" t="e">
        <f>IF(#REF!,"AAAAADfv9mg=",0)</f>
        <v>#REF!</v>
      </c>
      <c r="DB153" t="e">
        <f>IF(#REF!,"AAAAADfv9mk=",0)</f>
        <v>#REF!</v>
      </c>
      <c r="DC153" t="e">
        <f>IF(#REF!,"AAAAADfv9mo=",0)</f>
        <v>#REF!</v>
      </c>
      <c r="DD153" t="e">
        <f>IF(#REF!,"AAAAADfv9ms=",0)</f>
        <v>#REF!</v>
      </c>
      <c r="DE153" t="e">
        <f>IF(#REF!,"AAAAADfv9mw=",0)</f>
        <v>#REF!</v>
      </c>
      <c r="DF153" t="e">
        <f>IF(#REF!,"AAAAADfv9m0=",0)</f>
        <v>#REF!</v>
      </c>
      <c r="DG153" t="e">
        <f>IF(#REF!,"AAAAADfv9m4=",0)</f>
        <v>#REF!</v>
      </c>
      <c r="DH153" t="e">
        <f>IF(#REF!,"AAAAADfv9m8=",0)</f>
        <v>#REF!</v>
      </c>
      <c r="DI153" t="e">
        <f>IF(#REF!,"AAAAADfv9nA=",0)</f>
        <v>#REF!</v>
      </c>
      <c r="DJ153" t="e">
        <f>IF(#REF!,"AAAAADfv9nE=",0)</f>
        <v>#REF!</v>
      </c>
      <c r="DK153" t="e">
        <f>IF(#REF!,"AAAAADfv9nI=",0)</f>
        <v>#REF!</v>
      </c>
      <c r="DL153" t="e">
        <f>IF(#REF!,"AAAAADfv9nM=",0)</f>
        <v>#REF!</v>
      </c>
      <c r="DM153" t="e">
        <f>IF(#REF!,"AAAAADfv9nQ=",0)</f>
        <v>#REF!</v>
      </c>
      <c r="DN153" t="e">
        <f>IF(#REF!,"AAAAADfv9nU=",0)</f>
        <v>#REF!</v>
      </c>
      <c r="DO153" t="e">
        <f>IF(#REF!,"AAAAADfv9nY=",0)</f>
        <v>#REF!</v>
      </c>
      <c r="DP153" t="e">
        <f>IF(#REF!,"AAAAADfv9nc=",0)</f>
        <v>#REF!</v>
      </c>
      <c r="DQ153" t="e">
        <f>IF(#REF!,"AAAAADfv9ng=",0)</f>
        <v>#REF!</v>
      </c>
      <c r="DR153" t="e">
        <f>IF(#REF!,"AAAAADfv9nk=",0)</f>
        <v>#REF!</v>
      </c>
      <c r="DS153" t="e">
        <f>IF(#REF!,"AAAAADfv9no=",0)</f>
        <v>#REF!</v>
      </c>
      <c r="DT153" t="e">
        <f>IF(#REF!,"AAAAADfv9ns=",0)</f>
        <v>#REF!</v>
      </c>
      <c r="DU153" t="e">
        <f>IF(#REF!,"AAAAADfv9nw=",0)</f>
        <v>#REF!</v>
      </c>
      <c r="DV153" t="e">
        <f>IF(#REF!,"AAAAADfv9n0=",0)</f>
        <v>#REF!</v>
      </c>
      <c r="DW153" t="e">
        <f>IF(#REF!,"AAAAADfv9n4=",0)</f>
        <v>#REF!</v>
      </c>
      <c r="DX153" t="e">
        <f>IF(#REF!,"AAAAADfv9n8=",0)</f>
        <v>#REF!</v>
      </c>
      <c r="DY153" t="e">
        <f>IF(#REF!,"AAAAADfv9oA=",0)</f>
        <v>#REF!</v>
      </c>
      <c r="DZ153" t="e">
        <f>IF(#REF!,"AAAAADfv9oE=",0)</f>
        <v>#REF!</v>
      </c>
      <c r="EA153" t="e">
        <f>IF(#REF!,"AAAAADfv9oI=",0)</f>
        <v>#REF!</v>
      </c>
      <c r="EB153" t="e">
        <f>IF(#REF!,"AAAAADfv9oM=",0)</f>
        <v>#REF!</v>
      </c>
      <c r="EC153" t="e">
        <f>IF(#REF!,"AAAAADfv9oQ=",0)</f>
        <v>#REF!</v>
      </c>
      <c r="ED153" t="e">
        <f>IF(#REF!,"AAAAADfv9oU=",0)</f>
        <v>#REF!</v>
      </c>
      <c r="EE153" t="e">
        <f>IF(#REF!,"AAAAADfv9oY=",0)</f>
        <v>#REF!</v>
      </c>
      <c r="EF153" t="e">
        <f>IF(#REF!,"AAAAADfv9oc=",0)</f>
        <v>#REF!</v>
      </c>
      <c r="EG153" t="e">
        <f>IF(#REF!,"AAAAADfv9og=",0)</f>
        <v>#REF!</v>
      </c>
      <c r="EH153" t="e">
        <f>IF(#REF!,"AAAAADfv9ok=",0)</f>
        <v>#REF!</v>
      </c>
      <c r="EI153" t="e">
        <f>IF(#REF!,"AAAAADfv9oo=",0)</f>
        <v>#REF!</v>
      </c>
      <c r="EJ153" t="e">
        <f>IF(#REF!,"AAAAADfv9os=",0)</f>
        <v>#REF!</v>
      </c>
      <c r="EK153" t="e">
        <f>IF(#REF!,"AAAAADfv9ow=",0)</f>
        <v>#REF!</v>
      </c>
      <c r="EL153" t="e">
        <f>IF(#REF!,"AAAAADfv9o0=",0)</f>
        <v>#REF!</v>
      </c>
      <c r="EM153" t="e">
        <f>IF(#REF!,"AAAAADfv9o4=",0)</f>
        <v>#REF!</v>
      </c>
      <c r="EN153" t="e">
        <f>IF(#REF!,"AAAAADfv9o8=",0)</f>
        <v>#REF!</v>
      </c>
      <c r="EO153" t="e">
        <f>IF(#REF!,"AAAAADfv9pA=",0)</f>
        <v>#REF!</v>
      </c>
      <c r="EP153" t="e">
        <f>IF(#REF!,"AAAAADfv9pE=",0)</f>
        <v>#REF!</v>
      </c>
      <c r="EQ153" t="e">
        <f>IF(#REF!,"AAAAADfv9pI=",0)</f>
        <v>#REF!</v>
      </c>
      <c r="ER153" t="e">
        <f>IF(#REF!,"AAAAADfv9pM=",0)</f>
        <v>#REF!</v>
      </c>
      <c r="ES153" t="e">
        <f>IF(#REF!,"AAAAADfv9pQ=",0)</f>
        <v>#REF!</v>
      </c>
      <c r="ET153" t="e">
        <f>IF(#REF!,"AAAAADfv9pU=",0)</f>
        <v>#REF!</v>
      </c>
      <c r="EU153" t="e">
        <f>IF(#REF!,"AAAAADfv9pY=",0)</f>
        <v>#REF!</v>
      </c>
      <c r="EV153" t="e">
        <f>IF(#REF!,"AAAAADfv9pc=",0)</f>
        <v>#REF!</v>
      </c>
      <c r="EW153" t="e">
        <f>IF(#REF!,"AAAAADfv9pg=",0)</f>
        <v>#REF!</v>
      </c>
      <c r="EX153" t="e">
        <f>IF(#REF!,"AAAAADfv9pk=",0)</f>
        <v>#REF!</v>
      </c>
      <c r="EY153" t="e">
        <f>IF(#REF!,"AAAAADfv9po=",0)</f>
        <v>#REF!</v>
      </c>
      <c r="EZ153" t="e">
        <f>IF(#REF!,"AAAAADfv9ps=",0)</f>
        <v>#REF!</v>
      </c>
      <c r="FA153" t="e">
        <f>IF(#REF!,"AAAAADfv9pw=",0)</f>
        <v>#REF!</v>
      </c>
      <c r="FB153" t="e">
        <f>IF(#REF!,"AAAAADfv9p0=",0)</f>
        <v>#REF!</v>
      </c>
      <c r="FC153" t="e">
        <f>IF(#REF!,"AAAAADfv9p4=",0)</f>
        <v>#REF!</v>
      </c>
      <c r="FD153" t="e">
        <f>IF(#REF!,"AAAAADfv9p8=",0)</f>
        <v>#REF!</v>
      </c>
      <c r="FE153" t="e">
        <f>IF(#REF!,"AAAAADfv9qA=",0)</f>
        <v>#REF!</v>
      </c>
      <c r="FF153" t="e">
        <f>IF(#REF!,"AAAAADfv9qE=",0)</f>
        <v>#REF!</v>
      </c>
      <c r="FG153" t="e">
        <f>IF(#REF!,"AAAAADfv9qI=",0)</f>
        <v>#REF!</v>
      </c>
      <c r="FH153" t="e">
        <f>IF(#REF!,"AAAAADfv9qM=",0)</f>
        <v>#REF!</v>
      </c>
      <c r="FI153" t="e">
        <f>IF(#REF!,"AAAAADfv9qQ=",0)</f>
        <v>#REF!</v>
      </c>
      <c r="FJ153" t="e">
        <f>IF(#REF!,"AAAAADfv9qU=",0)</f>
        <v>#REF!</v>
      </c>
      <c r="FK153" t="e">
        <f>IF(#REF!,"AAAAADfv9qY=",0)</f>
        <v>#REF!</v>
      </c>
      <c r="FL153" t="e">
        <f>IF(#REF!,"AAAAADfv9qc=",0)</f>
        <v>#REF!</v>
      </c>
      <c r="FM153" t="e">
        <f>IF(#REF!,"AAAAADfv9qg=",0)</f>
        <v>#REF!</v>
      </c>
      <c r="FN153" t="e">
        <f>IF(#REF!,"AAAAADfv9qk=",0)</f>
        <v>#REF!</v>
      </c>
      <c r="FO153" t="e">
        <f>IF(#REF!,"AAAAADfv9qo=",0)</f>
        <v>#REF!</v>
      </c>
      <c r="FP153" t="e">
        <f>IF(#REF!,"AAAAADfv9qs=",0)</f>
        <v>#REF!</v>
      </c>
      <c r="FQ153" t="e">
        <f>IF(#REF!,"AAAAADfv9qw=",0)</f>
        <v>#REF!</v>
      </c>
      <c r="FR153" t="e">
        <f>IF(#REF!,"AAAAADfv9q0=",0)</f>
        <v>#REF!</v>
      </c>
      <c r="FS153" t="e">
        <f>IF(#REF!,"AAAAADfv9q4=",0)</f>
        <v>#REF!</v>
      </c>
      <c r="FT153" t="e">
        <f>IF(#REF!,"AAAAADfv9q8=",0)</f>
        <v>#REF!</v>
      </c>
      <c r="FU153" t="e">
        <f>IF(#REF!,"AAAAADfv9rA=",0)</f>
        <v>#REF!</v>
      </c>
      <c r="FV153" t="e">
        <f>IF(#REF!,"AAAAADfv9rE=",0)</f>
        <v>#REF!</v>
      </c>
      <c r="FW153" t="e">
        <f>IF(#REF!,"AAAAADfv9rI=",0)</f>
        <v>#REF!</v>
      </c>
      <c r="FX153" t="e">
        <f>IF(#REF!,"AAAAADfv9rM=",0)</f>
        <v>#REF!</v>
      </c>
      <c r="FY153" t="e">
        <f>IF(#REF!,"AAAAADfv9rQ=",0)</f>
        <v>#REF!</v>
      </c>
      <c r="FZ153" t="e">
        <f>IF(#REF!,"AAAAADfv9rU=",0)</f>
        <v>#REF!</v>
      </c>
      <c r="GA153" t="e">
        <f>IF(#REF!,"AAAAADfv9rY=",0)</f>
        <v>#REF!</v>
      </c>
      <c r="GB153" t="e">
        <f>IF(#REF!,"AAAAADfv9rc=",0)</f>
        <v>#REF!</v>
      </c>
      <c r="GC153" t="e">
        <f>IF(#REF!,"AAAAADfv9rg=",0)</f>
        <v>#REF!</v>
      </c>
      <c r="GD153" t="e">
        <f>IF(#REF!,"AAAAADfv9rk=",0)</f>
        <v>#REF!</v>
      </c>
      <c r="GE153" t="e">
        <f>IF(#REF!,"AAAAADfv9ro=",0)</f>
        <v>#REF!</v>
      </c>
      <c r="GF153" t="e">
        <f>IF(#REF!,"AAAAADfv9rs=",0)</f>
        <v>#REF!</v>
      </c>
      <c r="GG153" t="e">
        <f>IF(#REF!,"AAAAADfv9rw=",0)</f>
        <v>#REF!</v>
      </c>
      <c r="GH153" t="e">
        <f>IF(#REF!,"AAAAADfv9r0=",0)</f>
        <v>#REF!</v>
      </c>
      <c r="GI153" t="e">
        <f>IF(#REF!,"AAAAADfv9r4=",0)</f>
        <v>#REF!</v>
      </c>
      <c r="GJ153" t="e">
        <f>IF(#REF!,"AAAAADfv9r8=",0)</f>
        <v>#REF!</v>
      </c>
      <c r="GK153" t="e">
        <f>IF(#REF!,"AAAAADfv9sA=",0)</f>
        <v>#REF!</v>
      </c>
      <c r="GL153" t="e">
        <f>IF(#REF!,"AAAAADfv9sE=",0)</f>
        <v>#REF!</v>
      </c>
      <c r="GM153" t="e">
        <f>IF(#REF!,"AAAAADfv9sI=",0)</f>
        <v>#REF!</v>
      </c>
      <c r="GN153" t="e">
        <f>IF(#REF!,"AAAAADfv9sM=",0)</f>
        <v>#REF!</v>
      </c>
      <c r="GO153" t="e">
        <f>IF(#REF!,"AAAAADfv9sQ=",0)</f>
        <v>#REF!</v>
      </c>
      <c r="GP153" t="e">
        <f>IF(#REF!,"AAAAADfv9sU=",0)</f>
        <v>#REF!</v>
      </c>
      <c r="GQ153" t="e">
        <f>IF(#REF!,"AAAAADfv9sY=",0)</f>
        <v>#REF!</v>
      </c>
      <c r="GR153" t="e">
        <f>IF(#REF!,"AAAAADfv9sc=",0)</f>
        <v>#REF!</v>
      </c>
      <c r="GS153" t="e">
        <f>IF(#REF!,"AAAAADfv9sg=",0)</f>
        <v>#REF!</v>
      </c>
      <c r="GT153" t="e">
        <f>IF(#REF!,"AAAAADfv9sk=",0)</f>
        <v>#REF!</v>
      </c>
      <c r="GU153" t="e">
        <f>IF(#REF!,"AAAAADfv9so=",0)</f>
        <v>#REF!</v>
      </c>
      <c r="GV153" t="e">
        <f>IF(#REF!,"AAAAADfv9ss=",0)</f>
        <v>#REF!</v>
      </c>
      <c r="GW153" t="e">
        <f>IF(#REF!,"AAAAADfv9sw=",0)</f>
        <v>#REF!</v>
      </c>
      <c r="GX153" t="e">
        <f>IF(#REF!,"AAAAADfv9s0=",0)</f>
        <v>#REF!</v>
      </c>
      <c r="GY153" t="e">
        <f>IF(#REF!,"AAAAADfv9s4=",0)</f>
        <v>#REF!</v>
      </c>
      <c r="GZ153" t="e">
        <f>IF(#REF!,"AAAAADfv9s8=",0)</f>
        <v>#REF!</v>
      </c>
      <c r="HA153" t="e">
        <f>IF(#REF!,"AAAAADfv9tA=",0)</f>
        <v>#REF!</v>
      </c>
      <c r="HB153" t="e">
        <f>IF(#REF!,"AAAAADfv9tE=",0)</f>
        <v>#REF!</v>
      </c>
      <c r="HC153" t="e">
        <f>IF(#REF!,"AAAAADfv9tI=",0)</f>
        <v>#REF!</v>
      </c>
      <c r="HD153" t="e">
        <f>IF(#REF!,"AAAAADfv9tM=",0)</f>
        <v>#REF!</v>
      </c>
      <c r="HE153" t="e">
        <f>IF(#REF!,"AAAAADfv9tQ=",0)</f>
        <v>#REF!</v>
      </c>
      <c r="HF153" t="e">
        <f>IF(#REF!,"AAAAADfv9tU=",0)</f>
        <v>#REF!</v>
      </c>
      <c r="HG153" t="e">
        <f>IF(#REF!,"AAAAADfv9tY=",0)</f>
        <v>#REF!</v>
      </c>
      <c r="HH153" t="e">
        <f>IF(#REF!,"AAAAADfv9tc=",0)</f>
        <v>#REF!</v>
      </c>
      <c r="HI153" t="e">
        <f>IF(#REF!,"AAAAADfv9tg=",0)</f>
        <v>#REF!</v>
      </c>
      <c r="HJ153" t="e">
        <f>IF(#REF!,"AAAAADfv9tk=",0)</f>
        <v>#REF!</v>
      </c>
      <c r="HK153" t="e">
        <f>IF(#REF!,"AAAAADfv9to=",0)</f>
        <v>#REF!</v>
      </c>
      <c r="HL153" t="e">
        <f>IF(#REF!,"AAAAADfv9ts=",0)</f>
        <v>#REF!</v>
      </c>
      <c r="HM153" t="e">
        <f>IF(#REF!,"AAAAADfv9tw=",0)</f>
        <v>#REF!</v>
      </c>
      <c r="HN153" t="e">
        <f>IF(#REF!,"AAAAADfv9t0=",0)</f>
        <v>#REF!</v>
      </c>
      <c r="HO153" t="e">
        <f>IF(#REF!,"AAAAADfv9t4=",0)</f>
        <v>#REF!</v>
      </c>
      <c r="HP153" t="e">
        <f>IF(#REF!,"AAAAADfv9t8=",0)</f>
        <v>#REF!</v>
      </c>
      <c r="HQ153" t="e">
        <f>IF(#REF!,"AAAAADfv9uA=",0)</f>
        <v>#REF!</v>
      </c>
      <c r="HR153" t="e">
        <f>IF(#REF!,"AAAAADfv9uE=",0)</f>
        <v>#REF!</v>
      </c>
      <c r="HS153" t="e">
        <f>IF(#REF!,"AAAAADfv9uI=",0)</f>
        <v>#REF!</v>
      </c>
      <c r="HT153" t="e">
        <f>IF(#REF!,"AAAAADfv9uM=",0)</f>
        <v>#REF!</v>
      </c>
      <c r="HU153" t="e">
        <f>IF(#REF!,"AAAAADfv9uQ=",0)</f>
        <v>#REF!</v>
      </c>
      <c r="HV153" t="e">
        <f>IF(#REF!,"AAAAADfv9uU=",0)</f>
        <v>#REF!</v>
      </c>
      <c r="HW153" t="e">
        <f>IF(#REF!,"AAAAADfv9uY=",0)</f>
        <v>#REF!</v>
      </c>
      <c r="HX153" t="e">
        <f>IF(#REF!,"AAAAADfv9uc=",0)</f>
        <v>#REF!</v>
      </c>
      <c r="HY153" t="e">
        <f>IF(#REF!,"AAAAADfv9ug=",0)</f>
        <v>#REF!</v>
      </c>
      <c r="HZ153" t="e">
        <f>IF(#REF!,"AAAAADfv9uk=",0)</f>
        <v>#REF!</v>
      </c>
      <c r="IA153" t="e">
        <f>IF(#REF!,"AAAAADfv9uo=",0)</f>
        <v>#REF!</v>
      </c>
      <c r="IB153" t="e">
        <f>IF(#REF!,"AAAAADfv9us=",0)</f>
        <v>#REF!</v>
      </c>
      <c r="IC153" t="e">
        <f>IF(#REF!,"AAAAADfv9uw=",0)</f>
        <v>#REF!</v>
      </c>
      <c r="ID153" t="e">
        <f>IF(#REF!,"AAAAADfv9u0=",0)</f>
        <v>#REF!</v>
      </c>
      <c r="IE153" t="e">
        <f>IF(#REF!,"AAAAADfv9u4=",0)</f>
        <v>#REF!</v>
      </c>
      <c r="IF153" t="e">
        <f>IF(#REF!,"AAAAADfv9u8=",0)</f>
        <v>#REF!</v>
      </c>
      <c r="IG153" t="e">
        <f>IF(#REF!,"AAAAADfv9vA=",0)</f>
        <v>#REF!</v>
      </c>
      <c r="IH153" t="e">
        <f>IF(#REF!,"AAAAADfv9vE=",0)</f>
        <v>#REF!</v>
      </c>
      <c r="II153" t="e">
        <f>IF(#REF!,"AAAAADfv9vI=",0)</f>
        <v>#REF!</v>
      </c>
      <c r="IJ153" t="e">
        <f>IF(#REF!,"AAAAADfv9vM=",0)</f>
        <v>#REF!</v>
      </c>
      <c r="IK153" t="e">
        <f>IF(#REF!,"AAAAADfv9vQ=",0)</f>
        <v>#REF!</v>
      </c>
      <c r="IL153" t="e">
        <f>IF(#REF!,"AAAAADfv9vU=",0)</f>
        <v>#REF!</v>
      </c>
      <c r="IM153" t="e">
        <f>IF(#REF!,"AAAAADfv9vY=",0)</f>
        <v>#REF!</v>
      </c>
      <c r="IN153" t="e">
        <f>IF(#REF!,"AAAAADfv9vc=",0)</f>
        <v>#REF!</v>
      </c>
      <c r="IO153" t="e">
        <f>IF(#REF!,"AAAAADfv9vg=",0)</f>
        <v>#REF!</v>
      </c>
      <c r="IP153" t="e">
        <f>IF(#REF!,"AAAAADfv9vk=",0)</f>
        <v>#REF!</v>
      </c>
      <c r="IQ153" t="e">
        <f>IF(#REF!,"AAAAADfv9vo=",0)</f>
        <v>#REF!</v>
      </c>
      <c r="IR153" t="e">
        <f>IF(#REF!,"AAAAADfv9vs=",0)</f>
        <v>#REF!</v>
      </c>
      <c r="IS153" t="e">
        <f>IF(#REF!,"AAAAADfv9vw=",0)</f>
        <v>#REF!</v>
      </c>
      <c r="IT153" t="e">
        <f>IF(#REF!,"AAAAADfv9v0=",0)</f>
        <v>#REF!</v>
      </c>
      <c r="IU153" t="e">
        <f>IF(#REF!,"AAAAADfv9v4=",0)</f>
        <v>#REF!</v>
      </c>
      <c r="IV153" t="e">
        <f>IF(#REF!,"AAAAADfv9v8=",0)</f>
        <v>#REF!</v>
      </c>
    </row>
    <row r="154" spans="1:256">
      <c r="A154" t="e">
        <f>IF(#REF!,"AAAAAH+EPgA=",0)</f>
        <v>#REF!</v>
      </c>
      <c r="B154" t="e">
        <f>IF(#REF!,"AAAAAH+EPgE=",0)</f>
        <v>#REF!</v>
      </c>
      <c r="C154" t="e">
        <f>IF(#REF!,"AAAAAH+EPgI=",0)</f>
        <v>#REF!</v>
      </c>
      <c r="D154" t="e">
        <f>IF(#REF!,"AAAAAH+EPgM=",0)</f>
        <v>#REF!</v>
      </c>
      <c r="E154" t="e">
        <f>IF(#REF!,"AAAAAH+EPgQ=",0)</f>
        <v>#REF!</v>
      </c>
      <c r="F154" t="e">
        <f>IF(#REF!,"AAAAAH+EPgU=",0)</f>
        <v>#REF!</v>
      </c>
      <c r="G154" t="e">
        <f>IF(#REF!,"AAAAAH+EPgY=",0)</f>
        <v>#REF!</v>
      </c>
      <c r="H154" t="e">
        <f>IF(#REF!,"AAAAAH+EPgc=",0)</f>
        <v>#REF!</v>
      </c>
      <c r="I154" t="e">
        <f>IF(#REF!,"AAAAAH+EPgg=",0)</f>
        <v>#REF!</v>
      </c>
      <c r="J154" t="e">
        <f>IF(#REF!,"AAAAAH+EPgk=",0)</f>
        <v>#REF!</v>
      </c>
      <c r="K154" t="e">
        <f>IF(#REF!,"AAAAAH+EPgo=",0)</f>
        <v>#REF!</v>
      </c>
      <c r="L154" t="e">
        <f>IF(#REF!,"AAAAAH+EPgs=",0)</f>
        <v>#REF!</v>
      </c>
      <c r="M154" t="e">
        <f>IF(#REF!,"AAAAAH+EPgw=",0)</f>
        <v>#REF!</v>
      </c>
      <c r="N154" t="e">
        <f>IF(#REF!,"AAAAAH+EPg0=",0)</f>
        <v>#REF!</v>
      </c>
      <c r="O154" t="e">
        <f>IF(#REF!,"AAAAAH+EPg4=",0)</f>
        <v>#REF!</v>
      </c>
      <c r="P154" t="e">
        <f>IF(#REF!,"AAAAAH+EPg8=",0)</f>
        <v>#REF!</v>
      </c>
      <c r="Q154" t="e">
        <f>IF(#REF!,"AAAAAH+EPhA=",0)</f>
        <v>#REF!</v>
      </c>
      <c r="R154" t="e">
        <f>IF(#REF!,"AAAAAH+EPhE=",0)</f>
        <v>#REF!</v>
      </c>
      <c r="S154" t="e">
        <f>IF(#REF!,"AAAAAH+EPhI=",0)</f>
        <v>#REF!</v>
      </c>
      <c r="T154" t="e">
        <f>IF(#REF!,"AAAAAH+EPhM=",0)</f>
        <v>#REF!</v>
      </c>
      <c r="U154" t="e">
        <f>IF(#REF!,"AAAAAH+EPhQ=",0)</f>
        <v>#REF!</v>
      </c>
      <c r="V154" t="e">
        <f>IF(#REF!,"AAAAAH+EPhU=",0)</f>
        <v>#REF!</v>
      </c>
      <c r="W154" t="e">
        <f>IF(#REF!,"AAAAAH+EPhY=",0)</f>
        <v>#REF!</v>
      </c>
      <c r="X154" t="e">
        <f>IF(#REF!,"AAAAAH+EPhc=",0)</f>
        <v>#REF!</v>
      </c>
      <c r="Y154" t="e">
        <f>IF(#REF!,"AAAAAH+EPhg=",0)</f>
        <v>#REF!</v>
      </c>
      <c r="Z154" t="e">
        <f>IF(#REF!,"AAAAAH+EPhk=",0)</f>
        <v>#REF!</v>
      </c>
      <c r="AA154" t="e">
        <f>IF(#REF!,"AAAAAH+EPho=",0)</f>
        <v>#REF!</v>
      </c>
      <c r="AB154" t="e">
        <f>IF(#REF!,"AAAAAH+EPhs=",0)</f>
        <v>#REF!</v>
      </c>
      <c r="AC154" t="e">
        <f>IF(#REF!,"AAAAAH+EPhw=",0)</f>
        <v>#REF!</v>
      </c>
      <c r="AD154" t="e">
        <f>IF(#REF!,"AAAAAH+EPh0=",0)</f>
        <v>#REF!</v>
      </c>
      <c r="AE154" t="e">
        <f>IF(#REF!,"AAAAAH+EPh4=",0)</f>
        <v>#REF!</v>
      </c>
      <c r="AF154" t="e">
        <f>IF(#REF!,"AAAAAH+EPh8=",0)</f>
        <v>#REF!</v>
      </c>
      <c r="AG154" t="e">
        <f>IF(#REF!,"AAAAAH+EPiA=",0)</f>
        <v>#REF!</v>
      </c>
      <c r="AH154" t="e">
        <f>IF(#REF!,"AAAAAH+EPiE=",0)</f>
        <v>#REF!</v>
      </c>
      <c r="AI154" t="e">
        <f>IF(#REF!,"AAAAAH+EPiI=",0)</f>
        <v>#REF!</v>
      </c>
      <c r="AJ154" t="e">
        <f>IF(#REF!,"AAAAAH+EPiM=",0)</f>
        <v>#REF!</v>
      </c>
      <c r="AK154" t="e">
        <f>IF(#REF!,"AAAAAH+EPiQ=",0)</f>
        <v>#REF!</v>
      </c>
      <c r="AL154" t="e">
        <f>IF(#REF!,"AAAAAH+EPiU=",0)</f>
        <v>#REF!</v>
      </c>
      <c r="AM154" t="e">
        <f>IF(#REF!,"AAAAAH+EPiY=",0)</f>
        <v>#REF!</v>
      </c>
      <c r="AN154" t="e">
        <f>IF(#REF!,"AAAAAH+EPic=",0)</f>
        <v>#REF!</v>
      </c>
      <c r="AO154" t="e">
        <f>IF(#REF!,"AAAAAH+EPig=",0)</f>
        <v>#REF!</v>
      </c>
      <c r="AP154" t="e">
        <f>IF(#REF!,"AAAAAH+EPik=",0)</f>
        <v>#REF!</v>
      </c>
      <c r="AQ154" t="e">
        <f>IF(#REF!,"AAAAAH+EPio=",0)</f>
        <v>#REF!</v>
      </c>
      <c r="AR154" t="e">
        <f>IF(#REF!,"AAAAAH+EPis=",0)</f>
        <v>#REF!</v>
      </c>
      <c r="AS154" t="e">
        <f>IF(#REF!,"AAAAAH+EPiw=",0)</f>
        <v>#REF!</v>
      </c>
      <c r="AT154" t="e">
        <f>IF(#REF!,"AAAAAH+EPi0=",0)</f>
        <v>#REF!</v>
      </c>
      <c r="AU154" t="e">
        <f>IF(#REF!,"AAAAAH+EPi4=",0)</f>
        <v>#REF!</v>
      </c>
      <c r="AV154" t="e">
        <f>IF(#REF!,"AAAAAH+EPi8=",0)</f>
        <v>#REF!</v>
      </c>
      <c r="AW154" t="e">
        <f>IF(#REF!,"AAAAAH+EPjA=",0)</f>
        <v>#REF!</v>
      </c>
      <c r="AX154" t="e">
        <f>IF(#REF!,"AAAAAH+EPjE=",0)</f>
        <v>#REF!</v>
      </c>
      <c r="AY154" t="e">
        <f>IF(#REF!,"AAAAAH+EPjI=",0)</f>
        <v>#REF!</v>
      </c>
      <c r="AZ154" t="e">
        <f>IF(#REF!,"AAAAAH+EPjM=",0)</f>
        <v>#REF!</v>
      </c>
      <c r="BA154" t="e">
        <f>IF(#REF!,"AAAAAH+EPjQ=",0)</f>
        <v>#REF!</v>
      </c>
      <c r="BB154" t="e">
        <f>IF(#REF!,"AAAAAH+EPjU=",0)</f>
        <v>#REF!</v>
      </c>
      <c r="BC154" t="e">
        <f>IF(#REF!,"AAAAAH+EPjY=",0)</f>
        <v>#REF!</v>
      </c>
      <c r="BD154" t="e">
        <f>IF(#REF!,"AAAAAH+EPjc=",0)</f>
        <v>#REF!</v>
      </c>
      <c r="BE154" t="e">
        <f>IF(#REF!,"AAAAAH+EPjg=",0)</f>
        <v>#REF!</v>
      </c>
      <c r="BF154" t="e">
        <f>IF(#REF!,"AAAAAH+EPjk=",0)</f>
        <v>#REF!</v>
      </c>
      <c r="BG154" t="e">
        <f>IF(#REF!,"AAAAAH+EPjo=",0)</f>
        <v>#REF!</v>
      </c>
      <c r="BH154" t="e">
        <f>IF(#REF!,"AAAAAH+EPjs=",0)</f>
        <v>#REF!</v>
      </c>
      <c r="BI154" t="e">
        <f>IF(#REF!,"AAAAAH+EPjw=",0)</f>
        <v>#REF!</v>
      </c>
      <c r="BJ154" t="e">
        <f>IF(#REF!,"AAAAAH+EPj0=",0)</f>
        <v>#REF!</v>
      </c>
      <c r="BK154" t="e">
        <f>IF(#REF!,"AAAAAH+EPj4=",0)</f>
        <v>#REF!</v>
      </c>
      <c r="BL154" t="e">
        <f>IF(#REF!,"AAAAAH+EPj8=",0)</f>
        <v>#REF!</v>
      </c>
      <c r="BM154" t="e">
        <f>IF(#REF!,"AAAAAH+EPkA=",0)</f>
        <v>#REF!</v>
      </c>
      <c r="BN154" t="e">
        <f>IF(#REF!,"AAAAAH+EPkE=",0)</f>
        <v>#REF!</v>
      </c>
      <c r="BO154" t="e">
        <f>IF(#REF!,"AAAAAH+EPkI=",0)</f>
        <v>#REF!</v>
      </c>
      <c r="BP154" t="e">
        <f>IF(#REF!,"AAAAAH+EPkM=",0)</f>
        <v>#REF!</v>
      </c>
      <c r="BQ154" t="e">
        <f>IF(#REF!,"AAAAAH+EPkQ=",0)</f>
        <v>#REF!</v>
      </c>
      <c r="BR154" t="e">
        <f>IF(#REF!,"AAAAAH+EPkU=",0)</f>
        <v>#REF!</v>
      </c>
      <c r="BS154" t="e">
        <f>IF(#REF!,"AAAAAH+EPkY=",0)</f>
        <v>#REF!</v>
      </c>
      <c r="BT154" t="e">
        <f>IF(#REF!,"AAAAAH+EPkc=",0)</f>
        <v>#REF!</v>
      </c>
      <c r="BU154" t="e">
        <f>IF(#REF!,"AAAAAH+EPkg=",0)</f>
        <v>#REF!</v>
      </c>
      <c r="BV154" t="e">
        <f>IF(#REF!,"AAAAAH+EPkk=",0)</f>
        <v>#REF!</v>
      </c>
      <c r="BW154" t="e">
        <f>IF(#REF!,"AAAAAH+EPko=",0)</f>
        <v>#REF!</v>
      </c>
      <c r="BX154" t="e">
        <f>IF(#REF!,"AAAAAH+EPks=",0)</f>
        <v>#REF!</v>
      </c>
      <c r="BY154" t="e">
        <f>IF(#REF!,"AAAAAH+EPkw=",0)</f>
        <v>#REF!</v>
      </c>
      <c r="BZ154" t="e">
        <f>IF(#REF!,"AAAAAH+EPk0=",0)</f>
        <v>#REF!</v>
      </c>
      <c r="CA154" t="e">
        <f>IF(#REF!,"AAAAAH+EPk4=",0)</f>
        <v>#REF!</v>
      </c>
      <c r="CB154" t="e">
        <f>IF(#REF!,"AAAAAH+EPk8=",0)</f>
        <v>#REF!</v>
      </c>
      <c r="CC154" t="e">
        <f>IF(#REF!,"AAAAAH+EPlA=",0)</f>
        <v>#REF!</v>
      </c>
      <c r="CD154" t="e">
        <f>IF(#REF!,"AAAAAH+EPlE=",0)</f>
        <v>#REF!</v>
      </c>
      <c r="CE154" t="e">
        <f>IF(#REF!,"AAAAAH+EPlI=",0)</f>
        <v>#REF!</v>
      </c>
      <c r="CF154" t="e">
        <f>IF(#REF!,"AAAAAH+EPlM=",0)</f>
        <v>#REF!</v>
      </c>
      <c r="CG154" t="e">
        <f>IF(#REF!,"AAAAAH+EPlQ=",0)</f>
        <v>#REF!</v>
      </c>
      <c r="CH154" t="e">
        <f>IF(#REF!,"AAAAAH+EPlU=",0)</f>
        <v>#REF!</v>
      </c>
      <c r="CI154" t="e">
        <f>IF(#REF!,"AAAAAH+EPlY=",0)</f>
        <v>#REF!</v>
      </c>
      <c r="CJ154" t="e">
        <f>IF(#REF!,"AAAAAH+EPlc=",0)</f>
        <v>#REF!</v>
      </c>
      <c r="CK154" t="e">
        <f>IF(#REF!,"AAAAAH+EPlg=",0)</f>
        <v>#REF!</v>
      </c>
      <c r="CL154" t="e">
        <f>IF(#REF!,"AAAAAH+EPlk=",0)</f>
        <v>#REF!</v>
      </c>
      <c r="CM154" t="e">
        <f>IF(#REF!,"AAAAAH+EPlo=",0)</f>
        <v>#REF!</v>
      </c>
      <c r="CN154" t="e">
        <f>IF(#REF!,"AAAAAH+EPls=",0)</f>
        <v>#REF!</v>
      </c>
      <c r="CO154" t="e">
        <f>IF(#REF!,"AAAAAH+EPlw=",0)</f>
        <v>#REF!</v>
      </c>
      <c r="CP154" t="e">
        <f>IF(#REF!,"AAAAAH+EPl0=",0)</f>
        <v>#REF!</v>
      </c>
      <c r="CQ154" t="e">
        <f>IF(#REF!,"AAAAAH+EPl4=",0)</f>
        <v>#REF!</v>
      </c>
      <c r="CR154" t="e">
        <f>IF(#REF!,"AAAAAH+EPl8=",0)</f>
        <v>#REF!</v>
      </c>
      <c r="CS154" t="e">
        <f>IF(#REF!,"AAAAAH+EPmA=",0)</f>
        <v>#REF!</v>
      </c>
      <c r="CT154" t="e">
        <f>IF(#REF!,"AAAAAH+EPmE=",0)</f>
        <v>#REF!</v>
      </c>
      <c r="CU154" t="e">
        <f>IF(#REF!,"AAAAAH+EPmI=",0)</f>
        <v>#REF!</v>
      </c>
      <c r="CV154" t="e">
        <f>IF(#REF!,"AAAAAH+EPmM=",0)</f>
        <v>#REF!</v>
      </c>
      <c r="CW154" t="e">
        <f>IF(#REF!,"AAAAAH+EPmQ=",0)</f>
        <v>#REF!</v>
      </c>
      <c r="CX154" t="e">
        <f>IF(#REF!,"AAAAAH+EPmU=",0)</f>
        <v>#REF!</v>
      </c>
      <c r="CY154" t="e">
        <f>IF(#REF!,"AAAAAH+EPmY=",0)</f>
        <v>#REF!</v>
      </c>
      <c r="CZ154" t="e">
        <f>IF(#REF!,"AAAAAH+EPmc=",0)</f>
        <v>#REF!</v>
      </c>
      <c r="DA154" t="e">
        <f>IF(#REF!,"AAAAAH+EPmg=",0)</f>
        <v>#REF!</v>
      </c>
      <c r="DB154" t="e">
        <f>IF(#REF!,"AAAAAH+EPmk=",0)</f>
        <v>#REF!</v>
      </c>
      <c r="DC154" t="e">
        <f>IF(#REF!,"AAAAAH+EPmo=",0)</f>
        <v>#REF!</v>
      </c>
      <c r="DD154" t="e">
        <f>IF(#REF!,"AAAAAH+EPms=",0)</f>
        <v>#REF!</v>
      </c>
      <c r="DE154" t="e">
        <f>IF(#REF!,"AAAAAH+EPmw=",0)</f>
        <v>#REF!</v>
      </c>
      <c r="DF154" t="e">
        <f>IF(#REF!,"AAAAAH+EPm0=",0)</f>
        <v>#REF!</v>
      </c>
      <c r="DG154" t="e">
        <f>IF(#REF!,"AAAAAH+EPm4=",0)</f>
        <v>#REF!</v>
      </c>
      <c r="DH154" t="e">
        <f>IF(#REF!,"AAAAAH+EPm8=",0)</f>
        <v>#REF!</v>
      </c>
      <c r="DI154" t="e">
        <f>IF(#REF!,"AAAAAH+EPnA=",0)</f>
        <v>#REF!</v>
      </c>
      <c r="DJ154" t="e">
        <f>IF(#REF!,"AAAAAH+EPnE=",0)</f>
        <v>#REF!</v>
      </c>
      <c r="DK154" t="e">
        <f>IF(#REF!,"AAAAAH+EPnI=",0)</f>
        <v>#REF!</v>
      </c>
      <c r="DL154" t="e">
        <f>IF(#REF!,"AAAAAH+EPnM=",0)</f>
        <v>#REF!</v>
      </c>
      <c r="DM154" t="e">
        <f>IF(#REF!,"AAAAAH+EPnQ=",0)</f>
        <v>#REF!</v>
      </c>
      <c r="DN154" t="e">
        <f>IF(#REF!,"AAAAAH+EPnU=",0)</f>
        <v>#REF!</v>
      </c>
      <c r="DO154" t="e">
        <f>IF(#REF!,"AAAAAH+EPnY=",0)</f>
        <v>#REF!</v>
      </c>
      <c r="DP154" t="e">
        <f>IF(#REF!,"AAAAAH+EPnc=",0)</f>
        <v>#REF!</v>
      </c>
      <c r="DQ154" t="e">
        <f>IF(#REF!,"AAAAAH+EPng=",0)</f>
        <v>#REF!</v>
      </c>
      <c r="DR154" t="e">
        <f>IF(#REF!,"AAAAAH+EPnk=",0)</f>
        <v>#REF!</v>
      </c>
      <c r="DS154" t="e">
        <f>IF(#REF!,"AAAAAH+EPno=",0)</f>
        <v>#REF!</v>
      </c>
      <c r="DT154" t="e">
        <f>IF(#REF!,"AAAAAH+EPns=",0)</f>
        <v>#REF!</v>
      </c>
      <c r="DU154" t="e">
        <f>IF(#REF!,"AAAAAH+EPnw=",0)</f>
        <v>#REF!</v>
      </c>
      <c r="DV154" t="e">
        <f>IF(#REF!,"AAAAAH+EPn0=",0)</f>
        <v>#REF!</v>
      </c>
      <c r="DW154" t="e">
        <f>IF(#REF!,"AAAAAH+EPn4=",0)</f>
        <v>#REF!</v>
      </c>
      <c r="DX154" t="e">
        <f>IF(#REF!,"AAAAAH+EPn8=",0)</f>
        <v>#REF!</v>
      </c>
      <c r="DY154" t="e">
        <f>IF(#REF!,"AAAAAH+EPoA=",0)</f>
        <v>#REF!</v>
      </c>
      <c r="DZ154" t="e">
        <f>IF(#REF!,"AAAAAH+EPoE=",0)</f>
        <v>#REF!</v>
      </c>
      <c r="EA154" t="e">
        <f>IF(#REF!,"AAAAAH+EPoI=",0)</f>
        <v>#REF!</v>
      </c>
      <c r="EB154" t="e">
        <f>IF(#REF!,"AAAAAH+EPoM=",0)</f>
        <v>#REF!</v>
      </c>
      <c r="EC154" t="e">
        <f>IF(#REF!,"AAAAAH+EPoQ=",0)</f>
        <v>#REF!</v>
      </c>
      <c r="ED154" t="e">
        <f>IF(#REF!,"AAAAAH+EPoU=",0)</f>
        <v>#REF!</v>
      </c>
      <c r="EE154" t="e">
        <f>IF(#REF!,"AAAAAH+EPoY=",0)</f>
        <v>#REF!</v>
      </c>
      <c r="EF154" t="e">
        <f>IF(#REF!,"AAAAAH+EPoc=",0)</f>
        <v>#REF!</v>
      </c>
      <c r="EG154" t="e">
        <f>IF(#REF!,"AAAAAH+EPog=",0)</f>
        <v>#REF!</v>
      </c>
      <c r="EH154" t="e">
        <f>IF(#REF!,"AAAAAH+EPok=",0)</f>
        <v>#REF!</v>
      </c>
      <c r="EI154" t="e">
        <f>IF(#REF!,"AAAAAH+EPoo=",0)</f>
        <v>#REF!</v>
      </c>
      <c r="EJ154" t="e">
        <f>IF(#REF!,"AAAAAH+EPos=",0)</f>
        <v>#REF!</v>
      </c>
      <c r="EK154" t="e">
        <f>IF(#REF!,"AAAAAH+EPow=",0)</f>
        <v>#REF!</v>
      </c>
      <c r="EL154" t="e">
        <f>IF(#REF!,"AAAAAH+EPo0=",0)</f>
        <v>#REF!</v>
      </c>
      <c r="EM154" t="e">
        <f>IF(#REF!,"AAAAAH+EPo4=",0)</f>
        <v>#REF!</v>
      </c>
      <c r="EN154" t="e">
        <f>IF(#REF!,"AAAAAH+EPo8=",0)</f>
        <v>#REF!</v>
      </c>
      <c r="EO154" t="e">
        <f>IF(#REF!,"AAAAAH+EPpA=",0)</f>
        <v>#REF!</v>
      </c>
      <c r="EP154" t="e">
        <f>IF(#REF!,"AAAAAH+EPpE=",0)</f>
        <v>#REF!</v>
      </c>
      <c r="EQ154" t="e">
        <f>IF(#REF!,"AAAAAH+EPpI=",0)</f>
        <v>#REF!</v>
      </c>
      <c r="ER154" t="e">
        <f>IF(#REF!,"AAAAAH+EPpM=",0)</f>
        <v>#REF!</v>
      </c>
      <c r="ES154" t="e">
        <f>IF(#REF!,"AAAAAH+EPpQ=",0)</f>
        <v>#REF!</v>
      </c>
      <c r="ET154" t="e">
        <f>IF(#REF!,"AAAAAH+EPpU=",0)</f>
        <v>#REF!</v>
      </c>
      <c r="EU154" t="e">
        <f>IF(#REF!,"AAAAAH+EPpY=",0)</f>
        <v>#REF!</v>
      </c>
      <c r="EV154" t="e">
        <f>IF(#REF!,"AAAAAH+EPpc=",0)</f>
        <v>#REF!</v>
      </c>
      <c r="EW154" t="e">
        <f>IF(#REF!,"AAAAAH+EPpg=",0)</f>
        <v>#REF!</v>
      </c>
      <c r="EX154" t="e">
        <f>IF(#REF!,"AAAAAH+EPpk=",0)</f>
        <v>#REF!</v>
      </c>
      <c r="EY154" t="e">
        <f>IF(#REF!,"AAAAAH+EPpo=",0)</f>
        <v>#REF!</v>
      </c>
      <c r="EZ154" t="e">
        <f>IF(#REF!,"AAAAAH+EPps=",0)</f>
        <v>#REF!</v>
      </c>
      <c r="FA154" t="e">
        <f>IF(#REF!,"AAAAAH+EPpw=",0)</f>
        <v>#REF!</v>
      </c>
      <c r="FB154" t="e">
        <f>IF(#REF!,"AAAAAH+EPp0=",0)</f>
        <v>#REF!</v>
      </c>
      <c r="FC154" t="e">
        <f>IF(#REF!,"AAAAAH+EPp4=",0)</f>
        <v>#REF!</v>
      </c>
      <c r="FD154" t="e">
        <f>IF(#REF!,"AAAAAH+EPp8=",0)</f>
        <v>#REF!</v>
      </c>
      <c r="FE154" t="e">
        <f>IF(#REF!,"AAAAAH+EPqA=",0)</f>
        <v>#REF!</v>
      </c>
      <c r="FF154" t="e">
        <f>IF(#REF!,"AAAAAH+EPqE=",0)</f>
        <v>#REF!</v>
      </c>
      <c r="FG154" t="e">
        <f>IF(#REF!,"AAAAAH+EPqI=",0)</f>
        <v>#REF!</v>
      </c>
      <c r="FH154" t="e">
        <f>IF(#REF!,"AAAAAH+EPqM=",0)</f>
        <v>#REF!</v>
      </c>
      <c r="FI154" t="e">
        <f>IF(#REF!,"AAAAAH+EPqQ=",0)</f>
        <v>#REF!</v>
      </c>
      <c r="FJ154" t="e">
        <f>IF(#REF!,"AAAAAH+EPqU=",0)</f>
        <v>#REF!</v>
      </c>
      <c r="FK154" t="e">
        <f>IF(#REF!,"AAAAAH+EPqY=",0)</f>
        <v>#REF!</v>
      </c>
      <c r="FL154" t="e">
        <f>IF(#REF!,"AAAAAH+EPqc=",0)</f>
        <v>#REF!</v>
      </c>
      <c r="FM154" t="e">
        <f>IF(#REF!,"AAAAAH+EPqg=",0)</f>
        <v>#REF!</v>
      </c>
      <c r="FN154" t="e">
        <f>IF(#REF!,"AAAAAH+EPqk=",0)</f>
        <v>#REF!</v>
      </c>
      <c r="FO154" t="e">
        <f>IF(#REF!,"AAAAAH+EPqo=",0)</f>
        <v>#REF!</v>
      </c>
      <c r="FP154" t="e">
        <f>IF(#REF!,"AAAAAH+EPqs=",0)</f>
        <v>#REF!</v>
      </c>
      <c r="FQ154" t="e">
        <f>IF(#REF!,"AAAAAH+EPqw=",0)</f>
        <v>#REF!</v>
      </c>
      <c r="FR154" t="e">
        <f>IF(#REF!,"AAAAAH+EPq0=",0)</f>
        <v>#REF!</v>
      </c>
      <c r="FS154" t="e">
        <f>IF(#REF!,"AAAAAH+EPq4=",0)</f>
        <v>#REF!</v>
      </c>
      <c r="FT154" t="e">
        <f>IF(#REF!,"AAAAAH+EPq8=",0)</f>
        <v>#REF!</v>
      </c>
      <c r="FU154" t="e">
        <f>IF(#REF!,"AAAAAH+EPrA=",0)</f>
        <v>#REF!</v>
      </c>
      <c r="FV154" t="e">
        <f>IF(#REF!,"AAAAAH+EPrE=",0)</f>
        <v>#REF!</v>
      </c>
      <c r="FW154" t="e">
        <f>IF(#REF!,"AAAAAH+EPrI=",0)</f>
        <v>#REF!</v>
      </c>
      <c r="FX154" t="e">
        <f>IF(#REF!,"AAAAAH+EPrM=",0)</f>
        <v>#REF!</v>
      </c>
      <c r="FY154" t="e">
        <f>IF(#REF!,"AAAAAH+EPrQ=",0)</f>
        <v>#REF!</v>
      </c>
      <c r="FZ154" t="e">
        <f>IF(#REF!,"AAAAAH+EPrU=",0)</f>
        <v>#REF!</v>
      </c>
      <c r="GA154" t="e">
        <f>IF(#REF!,"AAAAAH+EPrY=",0)</f>
        <v>#REF!</v>
      </c>
      <c r="GB154" t="e">
        <f>IF(#REF!,"AAAAAH+EPrc=",0)</f>
        <v>#REF!</v>
      </c>
      <c r="GC154" t="e">
        <f>IF(#REF!,"AAAAAH+EPrg=",0)</f>
        <v>#REF!</v>
      </c>
      <c r="GD154" t="e">
        <f>IF(#REF!,"AAAAAH+EPrk=",0)</f>
        <v>#REF!</v>
      </c>
      <c r="GE154" t="e">
        <f>IF(#REF!,"AAAAAH+EPro=",0)</f>
        <v>#REF!</v>
      </c>
      <c r="GF154" t="e">
        <f>IF(#REF!,"AAAAAH+EPrs=",0)</f>
        <v>#REF!</v>
      </c>
      <c r="GG154" t="e">
        <f>IF(#REF!,"AAAAAH+EPrw=",0)</f>
        <v>#REF!</v>
      </c>
      <c r="GH154" t="e">
        <f>IF(#REF!,"AAAAAH+EPr0=",0)</f>
        <v>#REF!</v>
      </c>
      <c r="GI154" t="e">
        <f>IF(#REF!,"AAAAAH+EPr4=",0)</f>
        <v>#REF!</v>
      </c>
      <c r="GJ154" t="e">
        <f>IF(#REF!,"AAAAAH+EPr8=",0)</f>
        <v>#REF!</v>
      </c>
      <c r="GK154" t="e">
        <f>IF(#REF!,"AAAAAH+EPsA=",0)</f>
        <v>#REF!</v>
      </c>
      <c r="GL154" t="e">
        <f>IF(#REF!,"AAAAAH+EPsE=",0)</f>
        <v>#REF!</v>
      </c>
      <c r="GM154" t="e">
        <f>IF(#REF!,"AAAAAH+EPsI=",0)</f>
        <v>#REF!</v>
      </c>
      <c r="GN154" t="e">
        <f>IF(#REF!,"AAAAAH+EPsM=",0)</f>
        <v>#REF!</v>
      </c>
      <c r="GO154" t="e">
        <f>IF(#REF!,"AAAAAH+EPsQ=",0)</f>
        <v>#REF!</v>
      </c>
      <c r="GP154" t="e">
        <f>IF(#REF!,"AAAAAH+EPsU=",0)</f>
        <v>#REF!</v>
      </c>
      <c r="GQ154" t="e">
        <f>IF(#REF!,"AAAAAH+EPsY=",0)</f>
        <v>#REF!</v>
      </c>
      <c r="GR154" t="e">
        <f>IF(#REF!,"AAAAAH+EPsc=",0)</f>
        <v>#REF!</v>
      </c>
      <c r="GS154" t="e">
        <f>IF(#REF!,"AAAAAH+EPsg=",0)</f>
        <v>#REF!</v>
      </c>
      <c r="GT154" t="e">
        <f>IF(#REF!,"AAAAAH+EPsk=",0)</f>
        <v>#REF!</v>
      </c>
      <c r="GU154" t="e">
        <f>IF(#REF!,"AAAAAH+EPso=",0)</f>
        <v>#REF!</v>
      </c>
      <c r="GV154" t="e">
        <f>IF(#REF!,"AAAAAH+EPss=",0)</f>
        <v>#REF!</v>
      </c>
      <c r="GW154" t="e">
        <f>IF(#REF!,"AAAAAH+EPsw=",0)</f>
        <v>#REF!</v>
      </c>
      <c r="GX154" t="e">
        <f>IF(#REF!,"AAAAAH+EPs0=",0)</f>
        <v>#REF!</v>
      </c>
      <c r="GY154" t="e">
        <f>IF(#REF!,"AAAAAH+EPs4=",0)</f>
        <v>#REF!</v>
      </c>
      <c r="GZ154" t="e">
        <f>IF(#REF!,"AAAAAH+EPs8=",0)</f>
        <v>#REF!</v>
      </c>
      <c r="HA154" t="e">
        <f>IF(#REF!,"AAAAAH+EPtA=",0)</f>
        <v>#REF!</v>
      </c>
      <c r="HB154" t="e">
        <f>IF(#REF!,"AAAAAH+EPtE=",0)</f>
        <v>#REF!</v>
      </c>
      <c r="HC154" t="e">
        <f>IF(#REF!,"AAAAAH+EPtI=",0)</f>
        <v>#REF!</v>
      </c>
      <c r="HD154" t="e">
        <f>IF(#REF!,"AAAAAH+EPtM=",0)</f>
        <v>#REF!</v>
      </c>
      <c r="HE154" t="e">
        <f>IF(#REF!,"AAAAAH+EPtQ=",0)</f>
        <v>#REF!</v>
      </c>
      <c r="HF154" t="e">
        <f>IF(#REF!,"AAAAAH+EPtU=",0)</f>
        <v>#REF!</v>
      </c>
      <c r="HG154" t="e">
        <f>IF(#REF!,"AAAAAH+EPtY=",0)</f>
        <v>#REF!</v>
      </c>
      <c r="HH154" t="e">
        <f>IF(#REF!,"AAAAAH+EPtc=",0)</f>
        <v>#REF!</v>
      </c>
      <c r="HI154" t="e">
        <f>IF(#REF!,"AAAAAH+EPtg=",0)</f>
        <v>#REF!</v>
      </c>
      <c r="HJ154" t="e">
        <f>IF(#REF!,"AAAAAH+EPtk=",0)</f>
        <v>#REF!</v>
      </c>
      <c r="HK154" t="e">
        <f>IF(#REF!,"AAAAAH+EPto=",0)</f>
        <v>#REF!</v>
      </c>
      <c r="HL154" t="e">
        <f>IF(#REF!,"AAAAAH+EPts=",0)</f>
        <v>#REF!</v>
      </c>
      <c r="HM154" t="e">
        <f>IF(#REF!,"AAAAAH+EPtw=",0)</f>
        <v>#REF!</v>
      </c>
      <c r="HN154" t="e">
        <f>IF(#REF!,"AAAAAH+EPt0=",0)</f>
        <v>#REF!</v>
      </c>
      <c r="HO154" t="e">
        <f>IF(#REF!,"AAAAAH+EPt4=",0)</f>
        <v>#REF!</v>
      </c>
      <c r="HP154" t="e">
        <f>IF(#REF!,"AAAAAH+EPt8=",0)</f>
        <v>#REF!</v>
      </c>
      <c r="HQ154" t="e">
        <f>IF(#REF!,"AAAAAH+EPuA=",0)</f>
        <v>#REF!</v>
      </c>
      <c r="HR154" t="e">
        <f>IF(#REF!,"AAAAAH+EPuE=",0)</f>
        <v>#REF!</v>
      </c>
      <c r="HS154" t="e">
        <f>IF(#REF!,"AAAAAH+EPuI=",0)</f>
        <v>#REF!</v>
      </c>
      <c r="HT154" t="e">
        <f>IF(#REF!,"AAAAAH+EPuM=",0)</f>
        <v>#REF!</v>
      </c>
      <c r="HU154" t="e">
        <f>IF(#REF!,"AAAAAH+EPuQ=",0)</f>
        <v>#REF!</v>
      </c>
      <c r="HV154" t="e">
        <f>IF(#REF!,"AAAAAH+EPuU=",0)</f>
        <v>#REF!</v>
      </c>
      <c r="HW154" t="e">
        <f>IF(#REF!,"AAAAAH+EPuY=",0)</f>
        <v>#REF!</v>
      </c>
      <c r="HX154" t="e">
        <f>IF(#REF!,"AAAAAH+EPuc=",0)</f>
        <v>#REF!</v>
      </c>
      <c r="HY154" t="e">
        <f>IF(#REF!,"AAAAAH+EPug=",0)</f>
        <v>#REF!</v>
      </c>
      <c r="HZ154" t="e">
        <f>IF(#REF!,"AAAAAH+EPuk=",0)</f>
        <v>#REF!</v>
      </c>
      <c r="IA154" t="e">
        <f>IF(#REF!,"AAAAAH+EPuo=",0)</f>
        <v>#REF!</v>
      </c>
      <c r="IB154" t="e">
        <f>IF(#REF!,"AAAAAH+EPus=",0)</f>
        <v>#REF!</v>
      </c>
      <c r="IC154" t="e">
        <f>IF(#REF!,"AAAAAH+EPuw=",0)</f>
        <v>#REF!</v>
      </c>
      <c r="ID154" t="e">
        <f>IF(#REF!,"AAAAAH+EPu0=",0)</f>
        <v>#REF!</v>
      </c>
      <c r="IE154" t="e">
        <f>IF(#REF!,"AAAAAH+EPu4=",0)</f>
        <v>#REF!</v>
      </c>
      <c r="IF154" t="e">
        <f>IF(#REF!,"AAAAAH+EPu8=",0)</f>
        <v>#REF!</v>
      </c>
      <c r="IG154" t="e">
        <f>IF(#REF!,"AAAAAH+EPvA=",0)</f>
        <v>#REF!</v>
      </c>
      <c r="IH154" t="e">
        <f>IF(#REF!,"AAAAAH+EPvE=",0)</f>
        <v>#REF!</v>
      </c>
      <c r="II154" t="e">
        <f>IF(#REF!,"AAAAAH+EPvI=",0)</f>
        <v>#REF!</v>
      </c>
      <c r="IJ154" t="e">
        <f>IF(#REF!,"AAAAAH+EPvM=",0)</f>
        <v>#REF!</v>
      </c>
      <c r="IK154" t="e">
        <f>IF(#REF!,"AAAAAH+EPvQ=",0)</f>
        <v>#REF!</v>
      </c>
      <c r="IL154" t="e">
        <f>IF(#REF!,"AAAAAH+EPvU=",0)</f>
        <v>#REF!</v>
      </c>
      <c r="IM154" t="e">
        <f>IF(#REF!,"AAAAAH+EPvY=",0)</f>
        <v>#REF!</v>
      </c>
      <c r="IN154" t="e">
        <f>IF(#REF!,"AAAAAH+EPvc=",0)</f>
        <v>#REF!</v>
      </c>
      <c r="IO154" t="e">
        <f>IF(#REF!,"AAAAAH+EPvg=",0)</f>
        <v>#REF!</v>
      </c>
      <c r="IP154" t="e">
        <f>IF(#REF!,"AAAAAH+EPvk=",0)</f>
        <v>#REF!</v>
      </c>
      <c r="IQ154" t="e">
        <f>IF(#REF!,"AAAAAH+EPvo=",0)</f>
        <v>#REF!</v>
      </c>
      <c r="IR154" t="e">
        <f>IF(#REF!,"AAAAAH+EPvs=",0)</f>
        <v>#REF!</v>
      </c>
      <c r="IS154" t="e">
        <f>IF(#REF!,"AAAAAH+EPvw=",0)</f>
        <v>#REF!</v>
      </c>
      <c r="IT154" t="e">
        <f>IF(#REF!,"AAAAAH+EPv0=",0)</f>
        <v>#REF!</v>
      </c>
      <c r="IU154" t="e">
        <f>IF(#REF!,"AAAAAH+EPv4=",0)</f>
        <v>#REF!</v>
      </c>
      <c r="IV154" t="e">
        <f>IF(#REF!,"AAAAAH+EPv8=",0)</f>
        <v>#REF!</v>
      </c>
    </row>
    <row r="155" spans="1:256">
      <c r="A155" t="e">
        <f>IF(#REF!,"AAAAAH3fGwA=",0)</f>
        <v>#REF!</v>
      </c>
      <c r="B155" t="e">
        <f>IF(#REF!,"AAAAAH3fGwE=",0)</f>
        <v>#REF!</v>
      </c>
      <c r="C155" t="e">
        <f>IF(#REF!,"AAAAAH3fGwI=",0)</f>
        <v>#REF!</v>
      </c>
      <c r="D155" t="e">
        <f>IF(#REF!,"AAAAAH3fGwM=",0)</f>
        <v>#REF!</v>
      </c>
      <c r="E155" t="e">
        <f>IF(#REF!,"AAAAAH3fGwQ=",0)</f>
        <v>#REF!</v>
      </c>
      <c r="F155" t="e">
        <f>IF(#REF!,"AAAAAH3fGwU=",0)</f>
        <v>#REF!</v>
      </c>
      <c r="G155" t="e">
        <f>IF(#REF!,"AAAAAH3fGwY=",0)</f>
        <v>#REF!</v>
      </c>
      <c r="H155" t="e">
        <f>IF(#REF!,"AAAAAH3fGwc=",0)</f>
        <v>#REF!</v>
      </c>
      <c r="I155" t="e">
        <f>IF(#REF!,"AAAAAH3fGwg=",0)</f>
        <v>#REF!</v>
      </c>
      <c r="J155" t="e">
        <f>IF(#REF!,"AAAAAH3fGwk=",0)</f>
        <v>#REF!</v>
      </c>
      <c r="K155" t="e">
        <f>IF(#REF!,"AAAAAH3fGwo=",0)</f>
        <v>#REF!</v>
      </c>
      <c r="L155" t="e">
        <f>IF(#REF!,"AAAAAH3fGws=",0)</f>
        <v>#REF!</v>
      </c>
      <c r="M155" t="e">
        <f>IF(#REF!,"AAAAAH3fGww=",0)</f>
        <v>#REF!</v>
      </c>
      <c r="N155" t="e">
        <f>IF(#REF!,"AAAAAH3fGw0=",0)</f>
        <v>#REF!</v>
      </c>
      <c r="O155" t="e">
        <f>IF(#REF!,"AAAAAH3fGw4=",0)</f>
        <v>#REF!</v>
      </c>
      <c r="P155" t="e">
        <f>IF(#REF!,"AAAAAH3fGw8=",0)</f>
        <v>#REF!</v>
      </c>
      <c r="Q155" t="e">
        <f>IF(#REF!,"AAAAAH3fGxA=",0)</f>
        <v>#REF!</v>
      </c>
      <c r="R155" t="e">
        <f>IF(#REF!,"AAAAAH3fGxE=",0)</f>
        <v>#REF!</v>
      </c>
      <c r="S155" t="e">
        <f>IF(#REF!,"AAAAAH3fGxI=",0)</f>
        <v>#REF!</v>
      </c>
      <c r="T155" t="e">
        <f>IF(#REF!,"AAAAAH3fGxM=",0)</f>
        <v>#REF!</v>
      </c>
      <c r="U155" t="e">
        <f>IF(#REF!,"AAAAAH3fGxQ=",0)</f>
        <v>#REF!</v>
      </c>
      <c r="V155" t="e">
        <f>IF(#REF!,"AAAAAH3fGxU=",0)</f>
        <v>#REF!</v>
      </c>
      <c r="W155" t="e">
        <f>IF(#REF!,"AAAAAH3fGxY=",0)</f>
        <v>#REF!</v>
      </c>
      <c r="X155" t="e">
        <f>IF(#REF!,"AAAAAH3fGxc=",0)</f>
        <v>#REF!</v>
      </c>
      <c r="Y155" t="e">
        <f>IF(#REF!,"AAAAAH3fGxg=",0)</f>
        <v>#REF!</v>
      </c>
      <c r="Z155" t="e">
        <f>IF(#REF!,"AAAAAH3fGxk=",0)</f>
        <v>#REF!</v>
      </c>
      <c r="AA155" t="e">
        <f>IF(#REF!,"AAAAAH3fGxo=",0)</f>
        <v>#REF!</v>
      </c>
      <c r="AB155" t="e">
        <f>IF(#REF!,"AAAAAH3fGxs=",0)</f>
        <v>#REF!</v>
      </c>
      <c r="AC155" t="e">
        <f>IF(#REF!,"AAAAAH3fGxw=",0)</f>
        <v>#REF!</v>
      </c>
      <c r="AD155" t="e">
        <f>IF(#REF!,"AAAAAH3fGx0=",0)</f>
        <v>#REF!</v>
      </c>
      <c r="AE155" t="e">
        <f>IF(#REF!,"AAAAAH3fGx4=",0)</f>
        <v>#REF!</v>
      </c>
      <c r="AF155" t="e">
        <f>IF(#REF!,"AAAAAH3fGx8=",0)</f>
        <v>#REF!</v>
      </c>
      <c r="AG155" t="e">
        <f>IF(#REF!,"AAAAAH3fGyA=",0)</f>
        <v>#REF!</v>
      </c>
      <c r="AH155" t="e">
        <f>IF(#REF!,"AAAAAH3fGyE=",0)</f>
        <v>#REF!</v>
      </c>
      <c r="AI155" t="e">
        <f>IF(#REF!,"AAAAAH3fGyI=",0)</f>
        <v>#REF!</v>
      </c>
      <c r="AJ155" t="e">
        <f>IF(#REF!,"AAAAAH3fGyM=",0)</f>
        <v>#REF!</v>
      </c>
      <c r="AK155" t="e">
        <f>IF(#REF!,"AAAAAH3fGyQ=",0)</f>
        <v>#REF!</v>
      </c>
      <c r="AL155" t="e">
        <f>IF(#REF!,"AAAAAH3fGyU=",0)</f>
        <v>#REF!</v>
      </c>
      <c r="AM155" t="e">
        <f>IF(#REF!,"AAAAAH3fGyY=",0)</f>
        <v>#REF!</v>
      </c>
      <c r="AN155" t="e">
        <f>IF(#REF!,"AAAAAH3fGyc=",0)</f>
        <v>#REF!</v>
      </c>
      <c r="AO155" t="e">
        <f>IF(#REF!,"AAAAAH3fGyg=",0)</f>
        <v>#REF!</v>
      </c>
      <c r="AP155" t="e">
        <f>IF(#REF!,"AAAAAH3fGyk=",0)</f>
        <v>#REF!</v>
      </c>
      <c r="AQ155" t="e">
        <f>IF(#REF!,"AAAAAH3fGyo=",0)</f>
        <v>#REF!</v>
      </c>
      <c r="AR155" t="e">
        <f>IF(#REF!,"AAAAAH3fGys=",0)</f>
        <v>#REF!</v>
      </c>
      <c r="AS155" t="e">
        <f>IF(#REF!,"AAAAAH3fGyw=",0)</f>
        <v>#REF!</v>
      </c>
      <c r="AT155" t="e">
        <f>IF(#REF!,"AAAAAH3fGy0=",0)</f>
        <v>#REF!</v>
      </c>
      <c r="AU155" t="e">
        <f>IF(#REF!,"AAAAAH3fGy4=",0)</f>
        <v>#REF!</v>
      </c>
      <c r="AV155" t="e">
        <f>IF(#REF!,"AAAAAH3fGy8=",0)</f>
        <v>#REF!</v>
      </c>
      <c r="AW155" t="e">
        <f>IF(#REF!,"AAAAAH3fGzA=",0)</f>
        <v>#REF!</v>
      </c>
      <c r="AX155" t="e">
        <f>IF(#REF!,"AAAAAH3fGzE=",0)</f>
        <v>#REF!</v>
      </c>
      <c r="AY155" t="e">
        <f>IF(#REF!,"AAAAAH3fGzI=",0)</f>
        <v>#REF!</v>
      </c>
      <c r="AZ155" t="e">
        <f>IF(#REF!,"AAAAAH3fGzM=",0)</f>
        <v>#REF!</v>
      </c>
      <c r="BA155" t="e">
        <f>IF(#REF!,"AAAAAH3fGzQ=",0)</f>
        <v>#REF!</v>
      </c>
      <c r="BB155" t="e">
        <f>IF(#REF!,"AAAAAH3fGzU=",0)</f>
        <v>#REF!</v>
      </c>
      <c r="BC155" t="e">
        <f>IF(#REF!,"AAAAAH3fGzY=",0)</f>
        <v>#REF!</v>
      </c>
      <c r="BD155" t="e">
        <f>IF(#REF!,"AAAAAH3fGzc=",0)</f>
        <v>#REF!</v>
      </c>
      <c r="BE155" t="e">
        <f>IF(#REF!,"AAAAAH3fGzg=",0)</f>
        <v>#REF!</v>
      </c>
      <c r="BF155" t="e">
        <f>IF(#REF!,"AAAAAH3fGzk=",0)</f>
        <v>#REF!</v>
      </c>
      <c r="BG155" t="e">
        <f>IF(#REF!,"AAAAAH3fGzo=",0)</f>
        <v>#REF!</v>
      </c>
      <c r="BH155" t="e">
        <f>IF(#REF!,"AAAAAH3fGzs=",0)</f>
        <v>#REF!</v>
      </c>
      <c r="BI155" t="e">
        <f>IF(#REF!,"AAAAAH3fGzw=",0)</f>
        <v>#REF!</v>
      </c>
      <c r="BJ155" t="e">
        <f>IF(#REF!,"AAAAAH3fGz0=",0)</f>
        <v>#REF!</v>
      </c>
      <c r="BK155" t="e">
        <f>IF(#REF!,"AAAAAH3fGz4=",0)</f>
        <v>#REF!</v>
      </c>
      <c r="BL155" t="e">
        <f>IF(#REF!,"AAAAAH3fGz8=",0)</f>
        <v>#REF!</v>
      </c>
      <c r="BM155" t="e">
        <f>IF(#REF!,"AAAAAH3fG0A=",0)</f>
        <v>#REF!</v>
      </c>
      <c r="BN155" t="e">
        <f>IF(#REF!,"AAAAAH3fG0E=",0)</f>
        <v>#REF!</v>
      </c>
      <c r="BO155" t="e">
        <f>IF(#REF!,"AAAAAH3fG0I=",0)</f>
        <v>#REF!</v>
      </c>
      <c r="BP155" t="e">
        <f>IF(#REF!,"AAAAAH3fG0M=",0)</f>
        <v>#REF!</v>
      </c>
      <c r="BQ155" t="e">
        <f>IF(#REF!,"AAAAAH3fG0Q=",0)</f>
        <v>#REF!</v>
      </c>
      <c r="BR155" t="e">
        <f>IF(#REF!,"AAAAAH3fG0U=",0)</f>
        <v>#REF!</v>
      </c>
      <c r="BS155" t="e">
        <f>IF(#REF!,"AAAAAH3fG0Y=",0)</f>
        <v>#REF!</v>
      </c>
      <c r="BT155" t="e">
        <f>IF(#REF!,"AAAAAH3fG0c=",0)</f>
        <v>#REF!</v>
      </c>
      <c r="BU155" t="e">
        <f>IF(#REF!,"AAAAAH3fG0g=",0)</f>
        <v>#REF!</v>
      </c>
      <c r="BV155" t="e">
        <f>IF(#REF!,"AAAAAH3fG0k=",0)</f>
        <v>#REF!</v>
      </c>
      <c r="BW155" t="e">
        <f>IF(#REF!,"AAAAAH3fG0o=",0)</f>
        <v>#REF!</v>
      </c>
      <c r="BX155" t="e">
        <f>IF(#REF!,"AAAAAH3fG0s=",0)</f>
        <v>#REF!</v>
      </c>
      <c r="BY155" t="e">
        <f>IF(#REF!,"AAAAAH3fG0w=",0)</f>
        <v>#REF!</v>
      </c>
      <c r="BZ155" t="e">
        <f>IF(#REF!,"AAAAAH3fG00=",0)</f>
        <v>#REF!</v>
      </c>
      <c r="CA155" t="e">
        <f>IF(#REF!,"AAAAAH3fG04=",0)</f>
        <v>#REF!</v>
      </c>
      <c r="CB155" t="e">
        <f>IF(#REF!,"AAAAAH3fG08=",0)</f>
        <v>#REF!</v>
      </c>
      <c r="CC155" t="e">
        <f>IF(#REF!,"AAAAAH3fG1A=",0)</f>
        <v>#REF!</v>
      </c>
      <c r="CD155" t="e">
        <f>IF(#REF!,"AAAAAH3fG1E=",0)</f>
        <v>#REF!</v>
      </c>
      <c r="CE155" t="e">
        <f>IF(#REF!,"AAAAAH3fG1I=",0)</f>
        <v>#REF!</v>
      </c>
      <c r="CF155" t="e">
        <f>IF(#REF!,"AAAAAH3fG1M=",0)</f>
        <v>#REF!</v>
      </c>
      <c r="CG155" t="e">
        <f>IF(#REF!,"AAAAAH3fG1Q=",0)</f>
        <v>#REF!</v>
      </c>
      <c r="CH155" t="e">
        <f>IF(#REF!,"AAAAAH3fG1U=",0)</f>
        <v>#REF!</v>
      </c>
      <c r="CI155" t="e">
        <f>IF(#REF!,"AAAAAH3fG1Y=",0)</f>
        <v>#REF!</v>
      </c>
      <c r="CJ155" t="e">
        <f>IF(#REF!,"AAAAAH3fG1c=",0)</f>
        <v>#REF!</v>
      </c>
      <c r="CK155" t="e">
        <f>IF(#REF!,"AAAAAH3fG1g=",0)</f>
        <v>#REF!</v>
      </c>
      <c r="CL155" t="e">
        <f>IF(#REF!,"AAAAAH3fG1k=",0)</f>
        <v>#REF!</v>
      </c>
      <c r="CM155" t="e">
        <f>IF(#REF!,"AAAAAH3fG1o=",0)</f>
        <v>#REF!</v>
      </c>
      <c r="CN155" t="e">
        <f>IF(#REF!,"AAAAAH3fG1s=",0)</f>
        <v>#REF!</v>
      </c>
      <c r="CO155" t="e">
        <f>IF(#REF!,"AAAAAH3fG1w=",0)</f>
        <v>#REF!</v>
      </c>
      <c r="CP155" t="e">
        <f>IF(#REF!,"AAAAAH3fG10=",0)</f>
        <v>#REF!</v>
      </c>
      <c r="CQ155" t="e">
        <f>IF(#REF!,"AAAAAH3fG14=",0)</f>
        <v>#REF!</v>
      </c>
      <c r="CR155" t="e">
        <f>IF(#REF!,"AAAAAH3fG18=",0)</f>
        <v>#REF!</v>
      </c>
      <c r="CS155" t="e">
        <f>IF(#REF!,"AAAAAH3fG2A=",0)</f>
        <v>#REF!</v>
      </c>
      <c r="CT155" t="e">
        <f>IF(#REF!,"AAAAAH3fG2E=",0)</f>
        <v>#REF!</v>
      </c>
      <c r="CU155" t="e">
        <f>IF(#REF!,"AAAAAH3fG2I=",0)</f>
        <v>#REF!</v>
      </c>
      <c r="CV155" t="e">
        <f>IF(#REF!,"AAAAAH3fG2M=",0)</f>
        <v>#REF!</v>
      </c>
      <c r="CW155" t="e">
        <f>IF(#REF!,"AAAAAH3fG2Q=",0)</f>
        <v>#REF!</v>
      </c>
      <c r="CX155" t="e">
        <f>IF(#REF!,"AAAAAH3fG2U=",0)</f>
        <v>#REF!</v>
      </c>
      <c r="CY155" t="e">
        <f>IF(#REF!,"AAAAAH3fG2Y=",0)</f>
        <v>#REF!</v>
      </c>
      <c r="CZ155" t="e">
        <f>IF(#REF!,"AAAAAH3fG2c=",0)</f>
        <v>#REF!</v>
      </c>
      <c r="DA155" t="e">
        <f>IF(#REF!,"AAAAAH3fG2g=",0)</f>
        <v>#REF!</v>
      </c>
      <c r="DB155" t="e">
        <f>IF(#REF!,"AAAAAH3fG2k=",0)</f>
        <v>#REF!</v>
      </c>
      <c r="DC155" t="e">
        <f>IF(#REF!,"AAAAAH3fG2o=",0)</f>
        <v>#REF!</v>
      </c>
      <c r="DD155" t="e">
        <f>IF(#REF!,"AAAAAH3fG2s=",0)</f>
        <v>#REF!</v>
      </c>
      <c r="DE155" t="e">
        <f>IF(#REF!,"AAAAAH3fG2w=",0)</f>
        <v>#REF!</v>
      </c>
      <c r="DF155" t="e">
        <f>IF(#REF!,"AAAAAH3fG20=",0)</f>
        <v>#REF!</v>
      </c>
      <c r="DG155" t="e">
        <f>IF(#REF!,"AAAAAH3fG24=",0)</f>
        <v>#REF!</v>
      </c>
      <c r="DH155" t="e">
        <f>IF(#REF!,"AAAAAH3fG28=",0)</f>
        <v>#REF!</v>
      </c>
      <c r="DI155" t="e">
        <f>IF(#REF!,"AAAAAH3fG3A=",0)</f>
        <v>#REF!</v>
      </c>
      <c r="DJ155" t="e">
        <f>IF(#REF!,"AAAAAH3fG3E=",0)</f>
        <v>#REF!</v>
      </c>
      <c r="DK155" t="e">
        <f>IF(#REF!,"AAAAAH3fG3I=",0)</f>
        <v>#REF!</v>
      </c>
      <c r="DL155" t="e">
        <f>IF(#REF!,"AAAAAH3fG3M=",0)</f>
        <v>#REF!</v>
      </c>
      <c r="DM155" t="e">
        <f>IF(#REF!,"AAAAAH3fG3Q=",0)</f>
        <v>#REF!</v>
      </c>
      <c r="DN155" t="e">
        <f>IF(#REF!,"AAAAAH3fG3U=",0)</f>
        <v>#REF!</v>
      </c>
      <c r="DO155" t="e">
        <f>IF(#REF!,"AAAAAH3fG3Y=",0)</f>
        <v>#REF!</v>
      </c>
      <c r="DP155" t="e">
        <f>IF(#REF!,"AAAAAH3fG3c=",0)</f>
        <v>#REF!</v>
      </c>
      <c r="DQ155" t="e">
        <f>IF(#REF!,"AAAAAH3fG3g=",0)</f>
        <v>#REF!</v>
      </c>
      <c r="DR155" t="e">
        <f>IF(#REF!,"AAAAAH3fG3k=",0)</f>
        <v>#REF!</v>
      </c>
      <c r="DS155" t="e">
        <f>IF(#REF!,"AAAAAH3fG3o=",0)</f>
        <v>#REF!</v>
      </c>
      <c r="DT155" t="e">
        <f>IF(#REF!,"AAAAAH3fG3s=",0)</f>
        <v>#REF!</v>
      </c>
      <c r="DU155" t="e">
        <f>IF(#REF!,"AAAAAH3fG3w=",0)</f>
        <v>#REF!</v>
      </c>
      <c r="DV155" t="e">
        <f>IF(#REF!,"AAAAAH3fG30=",0)</f>
        <v>#REF!</v>
      </c>
      <c r="DW155" t="e">
        <f>IF(#REF!,"AAAAAH3fG34=",0)</f>
        <v>#REF!</v>
      </c>
      <c r="DX155" t="e">
        <f>IF(#REF!,"AAAAAH3fG38=",0)</f>
        <v>#REF!</v>
      </c>
      <c r="DY155" t="e">
        <f>IF(#REF!,"AAAAAH3fG4A=",0)</f>
        <v>#REF!</v>
      </c>
      <c r="DZ155" t="e">
        <f>IF(#REF!,"AAAAAH3fG4E=",0)</f>
        <v>#REF!</v>
      </c>
      <c r="EA155" t="e">
        <f>IF(#REF!,"AAAAAH3fG4I=",0)</f>
        <v>#REF!</v>
      </c>
      <c r="EB155" t="e">
        <f>IF(#REF!,"AAAAAH3fG4M=",0)</f>
        <v>#REF!</v>
      </c>
      <c r="EC155" t="e">
        <f>IF(#REF!,"AAAAAH3fG4Q=",0)</f>
        <v>#REF!</v>
      </c>
      <c r="ED155" t="e">
        <f>IF(#REF!,"AAAAAH3fG4U=",0)</f>
        <v>#REF!</v>
      </c>
      <c r="EE155" t="e">
        <f>IF(#REF!,"AAAAAH3fG4Y=",0)</f>
        <v>#REF!</v>
      </c>
      <c r="EF155" t="e">
        <f>IF(#REF!,"AAAAAH3fG4c=",0)</f>
        <v>#REF!</v>
      </c>
      <c r="EG155" t="e">
        <f>IF(#REF!,"AAAAAH3fG4g=",0)</f>
        <v>#REF!</v>
      </c>
      <c r="EH155" t="e">
        <f>IF(#REF!,"AAAAAH3fG4k=",0)</f>
        <v>#REF!</v>
      </c>
      <c r="EI155" t="e">
        <f>IF(#REF!,"AAAAAH3fG4o=",0)</f>
        <v>#REF!</v>
      </c>
      <c r="EJ155" t="e">
        <f>IF(#REF!,"AAAAAH3fG4s=",0)</f>
        <v>#REF!</v>
      </c>
      <c r="EK155" t="e">
        <f>IF(#REF!,"AAAAAH3fG4w=",0)</f>
        <v>#REF!</v>
      </c>
      <c r="EL155" t="e">
        <f>IF(#REF!,"AAAAAH3fG40=",0)</f>
        <v>#REF!</v>
      </c>
      <c r="EM155" t="e">
        <f>IF(#REF!,"AAAAAH3fG44=",0)</f>
        <v>#REF!</v>
      </c>
      <c r="EN155" t="e">
        <f>IF(#REF!,"AAAAAH3fG48=",0)</f>
        <v>#REF!</v>
      </c>
      <c r="EO155" t="e">
        <f>IF(#REF!,"AAAAAH3fG5A=",0)</f>
        <v>#REF!</v>
      </c>
      <c r="EP155" t="e">
        <f>IF(#REF!,"AAAAAH3fG5E=",0)</f>
        <v>#REF!</v>
      </c>
      <c r="EQ155" t="e">
        <f>IF(#REF!,"AAAAAH3fG5I=",0)</f>
        <v>#REF!</v>
      </c>
      <c r="ER155" t="e">
        <f>IF(#REF!,"AAAAAH3fG5M=",0)</f>
        <v>#REF!</v>
      </c>
      <c r="ES155" t="e">
        <f>IF(#REF!,"AAAAAH3fG5Q=",0)</f>
        <v>#REF!</v>
      </c>
      <c r="ET155" t="e">
        <f>IF(#REF!,"AAAAAH3fG5U=",0)</f>
        <v>#REF!</v>
      </c>
      <c r="EU155" t="e">
        <f>IF(#REF!,"AAAAAH3fG5Y=",0)</f>
        <v>#REF!</v>
      </c>
      <c r="EV155" t="e">
        <f>IF(#REF!,"AAAAAH3fG5c=",0)</f>
        <v>#REF!</v>
      </c>
      <c r="EW155" t="e">
        <f>IF(#REF!,"AAAAAH3fG5g=",0)</f>
        <v>#REF!</v>
      </c>
      <c r="EX155" t="e">
        <f>IF(#REF!,"AAAAAH3fG5k=",0)</f>
        <v>#REF!</v>
      </c>
      <c r="EY155" t="e">
        <f>IF(#REF!,"AAAAAH3fG5o=",0)</f>
        <v>#REF!</v>
      </c>
      <c r="EZ155" t="e">
        <f>IF(#REF!,"AAAAAH3fG5s=",0)</f>
        <v>#REF!</v>
      </c>
      <c r="FA155" t="e">
        <f>IF(#REF!,"AAAAAH3fG5w=",0)</f>
        <v>#REF!</v>
      </c>
      <c r="FB155" t="e">
        <f>IF(#REF!,"AAAAAH3fG50=",0)</f>
        <v>#REF!</v>
      </c>
      <c r="FC155" t="e">
        <f>IF(#REF!,"AAAAAH3fG54=",0)</f>
        <v>#REF!</v>
      </c>
      <c r="FD155" t="e">
        <f>IF(#REF!,"AAAAAH3fG58=",0)</f>
        <v>#REF!</v>
      </c>
      <c r="FE155" t="e">
        <f>IF(#REF!,"AAAAAH3fG6A=",0)</f>
        <v>#REF!</v>
      </c>
      <c r="FF155" t="e">
        <f>IF(#REF!,"AAAAAH3fG6E=",0)</f>
        <v>#REF!</v>
      </c>
      <c r="FG155" t="e">
        <f>IF(#REF!,"AAAAAH3fG6I=",0)</f>
        <v>#REF!</v>
      </c>
      <c r="FH155" t="e">
        <f>IF(#REF!,"AAAAAH3fG6M=",0)</f>
        <v>#REF!</v>
      </c>
      <c r="FI155" t="e">
        <f>IF(#REF!,"AAAAAH3fG6Q=",0)</f>
        <v>#REF!</v>
      </c>
      <c r="FJ155" t="e">
        <f>IF(#REF!,"AAAAAH3fG6U=",0)</f>
        <v>#REF!</v>
      </c>
      <c r="FK155" t="e">
        <f>IF(#REF!,"AAAAAH3fG6Y=",0)</f>
        <v>#REF!</v>
      </c>
      <c r="FL155" t="e">
        <f>IF(#REF!,"AAAAAH3fG6c=",0)</f>
        <v>#REF!</v>
      </c>
      <c r="FM155" t="e">
        <f>IF(#REF!,"AAAAAH3fG6g=",0)</f>
        <v>#REF!</v>
      </c>
      <c r="FN155" t="e">
        <f>IF(#REF!,"AAAAAH3fG6k=",0)</f>
        <v>#REF!</v>
      </c>
      <c r="FO155" t="e">
        <f>IF(#REF!,"AAAAAH3fG6o=",0)</f>
        <v>#REF!</v>
      </c>
      <c r="FP155" t="e">
        <f>IF(#REF!,"AAAAAH3fG6s=",0)</f>
        <v>#REF!</v>
      </c>
      <c r="FQ155" t="e">
        <f>IF(#REF!,"AAAAAH3fG6w=",0)</f>
        <v>#REF!</v>
      </c>
      <c r="FR155" t="e">
        <f>IF(#REF!,"AAAAAH3fG60=",0)</f>
        <v>#REF!</v>
      </c>
      <c r="FS155" t="e">
        <f>IF(#REF!,"AAAAAH3fG64=",0)</f>
        <v>#REF!</v>
      </c>
      <c r="FT155" t="e">
        <f>IF(#REF!,"AAAAAH3fG68=",0)</f>
        <v>#REF!</v>
      </c>
      <c r="FU155" t="e">
        <f>IF(#REF!,"AAAAAH3fG7A=",0)</f>
        <v>#REF!</v>
      </c>
      <c r="FV155" t="e">
        <f>IF(#REF!,"AAAAAH3fG7E=",0)</f>
        <v>#REF!</v>
      </c>
      <c r="FW155" t="e">
        <f>IF(#REF!,"AAAAAH3fG7I=",0)</f>
        <v>#REF!</v>
      </c>
      <c r="FX155" t="e">
        <f>IF(#REF!,"AAAAAH3fG7M=",0)</f>
        <v>#REF!</v>
      </c>
      <c r="FY155" t="e">
        <f>IF(#REF!,"AAAAAH3fG7Q=",0)</f>
        <v>#REF!</v>
      </c>
      <c r="FZ155" t="e">
        <f>IF(#REF!,"AAAAAH3fG7U=",0)</f>
        <v>#REF!</v>
      </c>
      <c r="GA155" t="e">
        <f>IF(#REF!,"AAAAAH3fG7Y=",0)</f>
        <v>#REF!</v>
      </c>
      <c r="GB155" t="e">
        <f>IF(#REF!,"AAAAAH3fG7c=",0)</f>
        <v>#REF!</v>
      </c>
      <c r="GC155" t="e">
        <f>IF(#REF!,"AAAAAH3fG7g=",0)</f>
        <v>#REF!</v>
      </c>
      <c r="GD155" t="e">
        <f>IF(#REF!,"AAAAAH3fG7k=",0)</f>
        <v>#REF!</v>
      </c>
      <c r="GE155" t="e">
        <f>IF(#REF!,"AAAAAH3fG7o=",0)</f>
        <v>#REF!</v>
      </c>
      <c r="GF155" t="e">
        <f>IF(#REF!,"AAAAAH3fG7s=",0)</f>
        <v>#REF!</v>
      </c>
      <c r="GG155" t="e">
        <f>IF(#REF!,"AAAAAH3fG7w=",0)</f>
        <v>#REF!</v>
      </c>
      <c r="GH155" t="e">
        <f>IF(#REF!,"AAAAAH3fG70=",0)</f>
        <v>#REF!</v>
      </c>
      <c r="GI155" t="e">
        <f>IF(#REF!,"AAAAAH3fG74=",0)</f>
        <v>#REF!</v>
      </c>
      <c r="GJ155" t="e">
        <f>IF(#REF!,"AAAAAH3fG78=",0)</f>
        <v>#REF!</v>
      </c>
      <c r="GK155" t="e">
        <f>IF(#REF!,"AAAAAH3fG8A=",0)</f>
        <v>#REF!</v>
      </c>
      <c r="GL155" t="e">
        <f>IF(#REF!,"AAAAAH3fG8E=",0)</f>
        <v>#REF!</v>
      </c>
      <c r="GM155" t="e">
        <f>IF(#REF!,"AAAAAH3fG8I=",0)</f>
        <v>#REF!</v>
      </c>
      <c r="GN155" t="e">
        <f>IF(#REF!,"AAAAAH3fG8M=",0)</f>
        <v>#REF!</v>
      </c>
      <c r="GO155" t="e">
        <f>IF(#REF!,"AAAAAH3fG8Q=",0)</f>
        <v>#REF!</v>
      </c>
      <c r="GP155" t="e">
        <f>IF(#REF!,"AAAAAH3fG8U=",0)</f>
        <v>#REF!</v>
      </c>
      <c r="GQ155" t="e">
        <f>IF(#REF!,"AAAAAH3fG8Y=",0)</f>
        <v>#REF!</v>
      </c>
      <c r="GR155" t="e">
        <f>IF(#REF!,"AAAAAH3fG8c=",0)</f>
        <v>#REF!</v>
      </c>
      <c r="GS155" t="e">
        <f>IF(#REF!,"AAAAAH3fG8g=",0)</f>
        <v>#REF!</v>
      </c>
      <c r="GT155" t="e">
        <f>IF(#REF!,"AAAAAH3fG8k=",0)</f>
        <v>#REF!</v>
      </c>
      <c r="GU155" t="e">
        <f>IF(#REF!,"AAAAAH3fG8o=",0)</f>
        <v>#REF!</v>
      </c>
      <c r="GV155" t="e">
        <f>IF(#REF!,"AAAAAH3fG8s=",0)</f>
        <v>#REF!</v>
      </c>
      <c r="GW155" t="e">
        <f>IF(#REF!,"AAAAAH3fG8w=",0)</f>
        <v>#REF!</v>
      </c>
      <c r="GX155" t="e">
        <f>IF(#REF!,"AAAAAH3fG80=",0)</f>
        <v>#REF!</v>
      </c>
      <c r="GY155" t="e">
        <f>IF(#REF!,"AAAAAH3fG84=",0)</f>
        <v>#REF!</v>
      </c>
      <c r="GZ155" t="e">
        <f>IF(#REF!,"AAAAAH3fG88=",0)</f>
        <v>#REF!</v>
      </c>
      <c r="HA155" t="e">
        <f>IF(#REF!,"AAAAAH3fG9A=",0)</f>
        <v>#REF!</v>
      </c>
      <c r="HB155" t="e">
        <f>IF(#REF!,"AAAAAH3fG9E=",0)</f>
        <v>#REF!</v>
      </c>
      <c r="HC155" t="e">
        <f>IF(#REF!,"AAAAAH3fG9I=",0)</f>
        <v>#REF!</v>
      </c>
      <c r="HD155" t="e">
        <f>IF(#REF!,"AAAAAH3fG9M=",0)</f>
        <v>#REF!</v>
      </c>
      <c r="HE155" t="e">
        <f>IF(#REF!,"AAAAAH3fG9Q=",0)</f>
        <v>#REF!</v>
      </c>
      <c r="HF155" t="e">
        <f>IF(#REF!,"AAAAAH3fG9U=",0)</f>
        <v>#REF!</v>
      </c>
      <c r="HG155" t="e">
        <f>IF(#REF!,"AAAAAH3fG9Y=",0)</f>
        <v>#REF!</v>
      </c>
      <c r="HH155" t="e">
        <f>IF(#REF!,"AAAAAH3fG9c=",0)</f>
        <v>#REF!</v>
      </c>
      <c r="HI155" t="e">
        <f>IF(#REF!,"AAAAAH3fG9g=",0)</f>
        <v>#REF!</v>
      </c>
      <c r="HJ155" t="e">
        <f>IF(#REF!,"AAAAAH3fG9k=",0)</f>
        <v>#REF!</v>
      </c>
      <c r="HK155" t="e">
        <f>IF(#REF!,"AAAAAH3fG9o=",0)</f>
        <v>#REF!</v>
      </c>
      <c r="HL155" t="e">
        <f>IF(#REF!,"AAAAAH3fG9s=",0)</f>
        <v>#REF!</v>
      </c>
      <c r="HM155" t="e">
        <f>IF(#REF!,"AAAAAH3fG9w=",0)</f>
        <v>#REF!</v>
      </c>
      <c r="HN155" t="e">
        <f>IF(#REF!,"AAAAAH3fG90=",0)</f>
        <v>#REF!</v>
      </c>
      <c r="HO155" t="e">
        <f>IF(#REF!,"AAAAAH3fG94=",0)</f>
        <v>#REF!</v>
      </c>
      <c r="HP155" t="e">
        <f>IF(#REF!,"AAAAAH3fG98=",0)</f>
        <v>#REF!</v>
      </c>
      <c r="HQ155" t="e">
        <f>IF(#REF!,"AAAAAH3fG+A=",0)</f>
        <v>#REF!</v>
      </c>
      <c r="HR155" t="e">
        <f>IF(#REF!,"AAAAAH3fG+E=",0)</f>
        <v>#REF!</v>
      </c>
      <c r="HS155" t="e">
        <f>IF(#REF!,"AAAAAH3fG+I=",0)</f>
        <v>#REF!</v>
      </c>
      <c r="HT155" t="e">
        <f>IF(#REF!,"AAAAAH3fG+M=",0)</f>
        <v>#REF!</v>
      </c>
      <c r="HU155" t="e">
        <f>IF(#REF!,"AAAAAH3fG+Q=",0)</f>
        <v>#REF!</v>
      </c>
      <c r="HV155" t="e">
        <f>IF(#REF!,"AAAAAH3fG+U=",0)</f>
        <v>#REF!</v>
      </c>
      <c r="HW155" t="e">
        <f>IF(#REF!,"AAAAAH3fG+Y=",0)</f>
        <v>#REF!</v>
      </c>
      <c r="HX155" t="e">
        <f>IF(#REF!,"AAAAAH3fG+c=",0)</f>
        <v>#REF!</v>
      </c>
      <c r="HY155" t="e">
        <f>IF(#REF!,"AAAAAH3fG+g=",0)</f>
        <v>#REF!</v>
      </c>
      <c r="HZ155" t="e">
        <f>IF(#REF!,"AAAAAH3fG+k=",0)</f>
        <v>#REF!</v>
      </c>
      <c r="IA155" t="e">
        <f>IF(#REF!,"AAAAAH3fG+o=",0)</f>
        <v>#REF!</v>
      </c>
      <c r="IB155" t="e">
        <f>IF(#REF!,"AAAAAH3fG+s=",0)</f>
        <v>#REF!</v>
      </c>
      <c r="IC155" t="e">
        <f>IF(#REF!,"AAAAAH3fG+w=",0)</f>
        <v>#REF!</v>
      </c>
      <c r="ID155" t="e">
        <f>IF(#REF!,"AAAAAH3fG+0=",0)</f>
        <v>#REF!</v>
      </c>
      <c r="IE155" t="e">
        <f>IF(#REF!,"AAAAAH3fG+4=",0)</f>
        <v>#REF!</v>
      </c>
      <c r="IF155" t="e">
        <f>IF(#REF!,"AAAAAH3fG+8=",0)</f>
        <v>#REF!</v>
      </c>
      <c r="IG155" t="e">
        <f>IF(#REF!,"AAAAAH3fG/A=",0)</f>
        <v>#REF!</v>
      </c>
      <c r="IH155" t="e">
        <f>IF(#REF!,"AAAAAH3fG/E=",0)</f>
        <v>#REF!</v>
      </c>
      <c r="II155" t="e">
        <f>IF(#REF!,"AAAAAH3fG/I=",0)</f>
        <v>#REF!</v>
      </c>
      <c r="IJ155" t="e">
        <f>IF(#REF!,"AAAAAH3fG/M=",0)</f>
        <v>#REF!</v>
      </c>
      <c r="IK155" t="e">
        <f>IF(#REF!,"AAAAAH3fG/Q=",0)</f>
        <v>#REF!</v>
      </c>
      <c r="IL155" t="e">
        <f>IF(#REF!,"AAAAAH3fG/U=",0)</f>
        <v>#REF!</v>
      </c>
      <c r="IM155" t="e">
        <f>IF(#REF!,"AAAAAH3fG/Y=",0)</f>
        <v>#REF!</v>
      </c>
      <c r="IN155" t="e">
        <f>IF(#REF!,"AAAAAH3fG/c=",0)</f>
        <v>#REF!</v>
      </c>
      <c r="IO155" t="e">
        <f>IF(#REF!,"AAAAAH3fG/g=",0)</f>
        <v>#REF!</v>
      </c>
      <c r="IP155" t="e">
        <f>IF(#REF!,"AAAAAH3fG/k=",0)</f>
        <v>#REF!</v>
      </c>
      <c r="IQ155" t="e">
        <f>IF(#REF!,"AAAAAH3fG/o=",0)</f>
        <v>#REF!</v>
      </c>
      <c r="IR155" t="e">
        <f>IF(#REF!,"AAAAAH3fG/s=",0)</f>
        <v>#REF!</v>
      </c>
      <c r="IS155" t="e">
        <f>IF(#REF!,"AAAAAH3fG/w=",0)</f>
        <v>#REF!</v>
      </c>
      <c r="IT155" t="e">
        <f>IF(#REF!,"AAAAAH3fG/0=",0)</f>
        <v>#REF!</v>
      </c>
      <c r="IU155" t="e">
        <f>IF(#REF!,"AAAAAH3fG/4=",0)</f>
        <v>#REF!</v>
      </c>
      <c r="IV155" t="e">
        <f>IF(#REF!,"AAAAAH3fG/8=",0)</f>
        <v>#REF!</v>
      </c>
    </row>
    <row r="156" spans="1:256">
      <c r="A156" t="e">
        <f>IF(#REF!,"AAAAAC/9pwA=",0)</f>
        <v>#REF!</v>
      </c>
      <c r="B156" t="e">
        <f>IF(#REF!,"AAAAAC/9pwE=",0)</f>
        <v>#REF!</v>
      </c>
      <c r="C156" t="e">
        <f>IF(#REF!,"AAAAAC/9pwI=",0)</f>
        <v>#REF!</v>
      </c>
      <c r="D156" t="e">
        <f>IF(#REF!,"AAAAAC/9pwM=",0)</f>
        <v>#REF!</v>
      </c>
      <c r="E156" t="e">
        <f>IF(#REF!,"AAAAAC/9pwQ=",0)</f>
        <v>#REF!</v>
      </c>
      <c r="F156" t="e">
        <f>IF(#REF!,"AAAAAC/9pwU=",0)</f>
        <v>#REF!</v>
      </c>
      <c r="G156" t="e">
        <f>IF(#REF!,"AAAAAC/9pwY=",0)</f>
        <v>#REF!</v>
      </c>
      <c r="H156" t="e">
        <f>IF(#REF!,"AAAAAC/9pwc=",0)</f>
        <v>#REF!</v>
      </c>
      <c r="I156" t="e">
        <f>IF(#REF!,"AAAAAC/9pwg=",0)</f>
        <v>#REF!</v>
      </c>
      <c r="J156" t="e">
        <f>IF(#REF!,"AAAAAC/9pwk=",0)</f>
        <v>#REF!</v>
      </c>
      <c r="K156" t="e">
        <f>IF(#REF!,"AAAAAC/9pwo=",0)</f>
        <v>#REF!</v>
      </c>
      <c r="L156" t="e">
        <f>IF(#REF!,"AAAAAC/9pws=",0)</f>
        <v>#REF!</v>
      </c>
      <c r="M156" t="e">
        <f>IF(#REF!,"AAAAAC/9pww=",0)</f>
        <v>#REF!</v>
      </c>
      <c r="N156" t="e">
        <f>IF(#REF!,"AAAAAC/9pw0=",0)</f>
        <v>#REF!</v>
      </c>
      <c r="O156" t="e">
        <f>IF(#REF!,"AAAAAC/9pw4=",0)</f>
        <v>#REF!</v>
      </c>
      <c r="P156" t="e">
        <f>IF(#REF!,"AAAAAC/9pw8=",0)</f>
        <v>#REF!</v>
      </c>
      <c r="Q156" t="e">
        <f>IF(#REF!,"AAAAAC/9pxA=",0)</f>
        <v>#REF!</v>
      </c>
      <c r="R156" t="e">
        <f>IF(#REF!,"AAAAAC/9pxE=",0)</f>
        <v>#REF!</v>
      </c>
      <c r="S156" t="e">
        <f>IF(#REF!,"AAAAAC/9pxI=",0)</f>
        <v>#REF!</v>
      </c>
      <c r="T156" t="e">
        <f>IF(#REF!,"AAAAAC/9pxM=",0)</f>
        <v>#REF!</v>
      </c>
      <c r="U156" t="e">
        <f>IF(#REF!,"AAAAAC/9pxQ=",0)</f>
        <v>#REF!</v>
      </c>
      <c r="V156" t="e">
        <f>IF(#REF!,"AAAAAC/9pxU=",0)</f>
        <v>#REF!</v>
      </c>
      <c r="W156" t="e">
        <f>IF(#REF!,"AAAAAC/9pxY=",0)</f>
        <v>#REF!</v>
      </c>
      <c r="X156" t="e">
        <f>IF(#REF!,"AAAAAC/9pxc=",0)</f>
        <v>#REF!</v>
      </c>
      <c r="Y156" t="e">
        <f>IF(#REF!,"AAAAAC/9pxg=",0)</f>
        <v>#REF!</v>
      </c>
      <c r="Z156" t="e">
        <f>IF(#REF!,"AAAAAC/9pxk=",0)</f>
        <v>#REF!</v>
      </c>
      <c r="AA156" t="e">
        <f>IF(#REF!,"AAAAAC/9pxo=",0)</f>
        <v>#REF!</v>
      </c>
      <c r="AB156" t="e">
        <f>IF(#REF!,"AAAAAC/9pxs=",0)</f>
        <v>#REF!</v>
      </c>
      <c r="AC156" t="e">
        <f>IF(#REF!,"AAAAAC/9pxw=",0)</f>
        <v>#REF!</v>
      </c>
      <c r="AD156" t="e">
        <f>IF(#REF!,"AAAAAC/9px0=",0)</f>
        <v>#REF!</v>
      </c>
      <c r="AE156" t="e">
        <f>IF(#REF!,"AAAAAC/9px4=",0)</f>
        <v>#REF!</v>
      </c>
      <c r="AF156" t="e">
        <f>IF(#REF!,"AAAAAC/9px8=",0)</f>
        <v>#REF!</v>
      </c>
      <c r="AG156" t="e">
        <f>IF(#REF!,"AAAAAC/9pyA=",0)</f>
        <v>#REF!</v>
      </c>
      <c r="AH156" t="e">
        <f>IF(#REF!,"AAAAAC/9pyE=",0)</f>
        <v>#REF!</v>
      </c>
      <c r="AI156" t="e">
        <f>IF(#REF!,"AAAAAC/9pyI=",0)</f>
        <v>#REF!</v>
      </c>
      <c r="AJ156" t="e">
        <f>IF(#REF!,"AAAAAC/9pyM=",0)</f>
        <v>#REF!</v>
      </c>
      <c r="AK156" t="e">
        <f>IF(#REF!,"AAAAAC/9pyQ=",0)</f>
        <v>#REF!</v>
      </c>
      <c r="AL156" t="e">
        <f>IF(#REF!,"AAAAAC/9pyU=",0)</f>
        <v>#REF!</v>
      </c>
      <c r="AM156" t="e">
        <f>IF(#REF!,"AAAAAC/9pyY=",0)</f>
        <v>#REF!</v>
      </c>
      <c r="AN156" t="e">
        <f>IF(#REF!,"AAAAAC/9pyc=",0)</f>
        <v>#REF!</v>
      </c>
      <c r="AO156" t="e">
        <f>IF(#REF!,"AAAAAC/9pyg=",0)</f>
        <v>#REF!</v>
      </c>
      <c r="AP156" t="e">
        <f>IF(#REF!,"AAAAAC/9pyk=",0)</f>
        <v>#REF!</v>
      </c>
      <c r="AQ156" t="e">
        <f>IF(#REF!,"AAAAAC/9pyo=",0)</f>
        <v>#REF!</v>
      </c>
      <c r="AR156" t="e">
        <f>IF(#REF!,"AAAAAC/9pys=",0)</f>
        <v>#REF!</v>
      </c>
      <c r="AS156" t="e">
        <f>IF(#REF!,"AAAAAC/9pyw=",0)</f>
        <v>#REF!</v>
      </c>
      <c r="AT156" t="e">
        <f>IF(#REF!,"AAAAAC/9py0=",0)</f>
        <v>#REF!</v>
      </c>
      <c r="AU156" t="e">
        <f>IF(#REF!,"AAAAAC/9py4=",0)</f>
        <v>#REF!</v>
      </c>
      <c r="AV156" t="e">
        <f>IF(#REF!,"AAAAAC/9py8=",0)</f>
        <v>#REF!</v>
      </c>
      <c r="AW156" t="e">
        <f>IF(#REF!,"AAAAAC/9pzA=",0)</f>
        <v>#REF!</v>
      </c>
      <c r="AX156" t="e">
        <f>IF(#REF!,"AAAAAC/9pzE=",0)</f>
        <v>#REF!</v>
      </c>
      <c r="AY156" t="e">
        <f>IF(#REF!,"AAAAAC/9pzI=",0)</f>
        <v>#REF!</v>
      </c>
      <c r="AZ156" t="e">
        <f>IF(#REF!,"AAAAAC/9pzM=",0)</f>
        <v>#REF!</v>
      </c>
      <c r="BA156" t="e">
        <f>IF(#REF!,"AAAAAC/9pzQ=",0)</f>
        <v>#REF!</v>
      </c>
      <c r="BB156" t="e">
        <f>IF(#REF!,"AAAAAC/9pzU=",0)</f>
        <v>#REF!</v>
      </c>
      <c r="BC156" t="e">
        <f>IF(#REF!,"AAAAAC/9pzY=",0)</f>
        <v>#REF!</v>
      </c>
      <c r="BD156" t="e">
        <f>IF(#REF!,"AAAAAC/9pzc=",0)</f>
        <v>#REF!</v>
      </c>
      <c r="BE156" t="e">
        <f>IF(#REF!,"AAAAAC/9pzg=",0)</f>
        <v>#REF!</v>
      </c>
      <c r="BF156" t="e">
        <f>IF(#REF!,"AAAAAC/9pzk=",0)</f>
        <v>#REF!</v>
      </c>
      <c r="BG156" t="e">
        <f>IF(#REF!,"AAAAAC/9pzo=",0)</f>
        <v>#REF!</v>
      </c>
      <c r="BH156" t="e">
        <f>IF(#REF!,"AAAAAC/9pzs=",0)</f>
        <v>#REF!</v>
      </c>
      <c r="BI156" t="e">
        <f>IF(#REF!,"AAAAAC/9pzw=",0)</f>
        <v>#REF!</v>
      </c>
      <c r="BJ156" t="e">
        <f>IF(#REF!,"AAAAAC/9pz0=",0)</f>
        <v>#REF!</v>
      </c>
      <c r="BK156" t="e">
        <f>IF(#REF!,"AAAAAC/9pz4=",0)</f>
        <v>#REF!</v>
      </c>
      <c r="BL156" t="e">
        <f>IF(#REF!,"AAAAAC/9pz8=",0)</f>
        <v>#REF!</v>
      </c>
      <c r="BM156" t="e">
        <f>IF(#REF!,"AAAAAC/9p0A=",0)</f>
        <v>#REF!</v>
      </c>
      <c r="BN156" t="e">
        <f>IF(#REF!,"AAAAAC/9p0E=",0)</f>
        <v>#REF!</v>
      </c>
      <c r="BO156" t="e">
        <f>IF(#REF!,"AAAAAC/9p0I=",0)</f>
        <v>#REF!</v>
      </c>
      <c r="BP156" t="e">
        <f>IF(#REF!,"AAAAAC/9p0M=",0)</f>
        <v>#REF!</v>
      </c>
      <c r="BQ156" t="e">
        <f>IF(#REF!,"AAAAAC/9p0Q=",0)</f>
        <v>#REF!</v>
      </c>
      <c r="BR156" t="e">
        <f>IF(#REF!,"AAAAAC/9p0U=",0)</f>
        <v>#REF!</v>
      </c>
      <c r="BS156" t="e">
        <f>IF(#REF!,"AAAAAC/9p0Y=",0)</f>
        <v>#REF!</v>
      </c>
      <c r="BT156" t="e">
        <f>IF(#REF!,"AAAAAC/9p0c=",0)</f>
        <v>#REF!</v>
      </c>
      <c r="BU156" t="e">
        <f>IF(#REF!,"AAAAAC/9p0g=",0)</f>
        <v>#REF!</v>
      </c>
      <c r="BV156" t="e">
        <f>IF(#REF!,"AAAAAC/9p0k=",0)</f>
        <v>#REF!</v>
      </c>
      <c r="BW156" t="e">
        <f>IF(#REF!,"AAAAAC/9p0o=",0)</f>
        <v>#REF!</v>
      </c>
      <c r="BX156" t="e">
        <f>IF(#REF!,"AAAAAC/9p0s=",0)</f>
        <v>#REF!</v>
      </c>
      <c r="BY156" t="e">
        <f>IF(#REF!,"AAAAAC/9p0w=",0)</f>
        <v>#REF!</v>
      </c>
      <c r="BZ156" t="e">
        <f>IF(#REF!,"AAAAAC/9p00=",0)</f>
        <v>#REF!</v>
      </c>
      <c r="CA156" t="e">
        <f>IF(#REF!,"AAAAAC/9p04=",0)</f>
        <v>#REF!</v>
      </c>
      <c r="CB156" t="e">
        <f>IF(#REF!,"AAAAAC/9p08=",0)</f>
        <v>#REF!</v>
      </c>
      <c r="CC156" t="e">
        <f>IF(#REF!,"AAAAAC/9p1A=",0)</f>
        <v>#REF!</v>
      </c>
      <c r="CD156" t="e">
        <f>IF(#REF!,"AAAAAC/9p1E=",0)</f>
        <v>#REF!</v>
      </c>
      <c r="CE156" t="e">
        <f>IF(#REF!,"AAAAAC/9p1I=",0)</f>
        <v>#REF!</v>
      </c>
      <c r="CF156" t="e">
        <f>IF(#REF!,"AAAAAC/9p1M=",0)</f>
        <v>#REF!</v>
      </c>
      <c r="CG156" t="e">
        <f>IF(#REF!,"AAAAAC/9p1Q=",0)</f>
        <v>#REF!</v>
      </c>
      <c r="CH156" t="e">
        <f>IF(#REF!,"AAAAAC/9p1U=",0)</f>
        <v>#REF!</v>
      </c>
      <c r="CI156" t="e">
        <f>IF(#REF!,"AAAAAC/9p1Y=",0)</f>
        <v>#REF!</v>
      </c>
      <c r="CJ156" t="e">
        <f>IF(#REF!,"AAAAAC/9p1c=",0)</f>
        <v>#REF!</v>
      </c>
      <c r="CK156" t="e">
        <f>IF(#REF!,"AAAAAC/9p1g=",0)</f>
        <v>#REF!</v>
      </c>
      <c r="CL156" t="e">
        <f>IF(#REF!,"AAAAAC/9p1k=",0)</f>
        <v>#REF!</v>
      </c>
      <c r="CM156" t="e">
        <f>IF(#REF!,"AAAAAC/9p1o=",0)</f>
        <v>#REF!</v>
      </c>
      <c r="CN156" t="e">
        <f>IF(#REF!,"AAAAAC/9p1s=",0)</f>
        <v>#REF!</v>
      </c>
      <c r="CO156" t="e">
        <f>IF(#REF!,"AAAAAC/9p1w=",0)</f>
        <v>#REF!</v>
      </c>
      <c r="CP156" t="e">
        <f>IF(#REF!,"AAAAAC/9p10=",0)</f>
        <v>#REF!</v>
      </c>
      <c r="CQ156" t="e">
        <f>IF(#REF!,"AAAAAC/9p14=",0)</f>
        <v>#REF!</v>
      </c>
      <c r="CR156" t="e">
        <f>IF(#REF!,"AAAAAC/9p18=",0)</f>
        <v>#REF!</v>
      </c>
      <c r="CS156" t="e">
        <f>IF(#REF!,"AAAAAC/9p2A=",0)</f>
        <v>#REF!</v>
      </c>
      <c r="CT156" t="e">
        <f>IF(#REF!,"AAAAAC/9p2E=",0)</f>
        <v>#REF!</v>
      </c>
      <c r="CU156" t="e">
        <f>IF(#REF!,"AAAAAC/9p2I=",0)</f>
        <v>#REF!</v>
      </c>
      <c r="CV156" t="e">
        <f>IF(#REF!,"AAAAAC/9p2M=",0)</f>
        <v>#REF!</v>
      </c>
      <c r="CW156" t="e">
        <f>IF(#REF!,"AAAAAC/9p2Q=",0)</f>
        <v>#REF!</v>
      </c>
      <c r="CX156" t="e">
        <f>IF(#REF!,"AAAAAC/9p2U=",0)</f>
        <v>#REF!</v>
      </c>
      <c r="CY156" t="e">
        <f>IF(#REF!,"AAAAAC/9p2Y=",0)</f>
        <v>#REF!</v>
      </c>
      <c r="CZ156" t="e">
        <f>IF(#REF!,"AAAAAC/9p2c=",0)</f>
        <v>#REF!</v>
      </c>
      <c r="DA156" t="e">
        <f>IF(#REF!,"AAAAAC/9p2g=",0)</f>
        <v>#REF!</v>
      </c>
      <c r="DB156" t="e">
        <f>IF(#REF!,"AAAAAC/9p2k=",0)</f>
        <v>#REF!</v>
      </c>
      <c r="DC156" t="e">
        <f>IF(#REF!,"AAAAAC/9p2o=",0)</f>
        <v>#REF!</v>
      </c>
      <c r="DD156" t="e">
        <f>IF(#REF!,"AAAAAC/9p2s=",0)</f>
        <v>#REF!</v>
      </c>
      <c r="DE156" t="e">
        <f>IF(#REF!,"AAAAAC/9p2w=",0)</f>
        <v>#REF!</v>
      </c>
      <c r="DF156" t="e">
        <f>IF(#REF!,"AAAAAC/9p20=",0)</f>
        <v>#REF!</v>
      </c>
      <c r="DG156" t="e">
        <f>IF(#REF!,"AAAAAC/9p24=",0)</f>
        <v>#REF!</v>
      </c>
      <c r="DH156" t="e">
        <f>IF(#REF!,"AAAAAC/9p28=",0)</f>
        <v>#REF!</v>
      </c>
      <c r="DI156" t="e">
        <f>IF(#REF!,"AAAAAC/9p3A=",0)</f>
        <v>#REF!</v>
      </c>
      <c r="DJ156" t="e">
        <f>IF(#REF!,"AAAAAC/9p3E=",0)</f>
        <v>#REF!</v>
      </c>
      <c r="DK156" t="e">
        <f>IF(#REF!,"AAAAAC/9p3I=",0)</f>
        <v>#REF!</v>
      </c>
      <c r="DL156" t="e">
        <f>IF(#REF!,"AAAAAC/9p3M=",0)</f>
        <v>#REF!</v>
      </c>
      <c r="DM156" t="e">
        <f>IF(#REF!,"AAAAAC/9p3Q=",0)</f>
        <v>#REF!</v>
      </c>
      <c r="DN156" t="e">
        <f>IF(#REF!,"AAAAAC/9p3U=",0)</f>
        <v>#REF!</v>
      </c>
      <c r="DO156" t="e">
        <f>IF(#REF!,"AAAAAC/9p3Y=",0)</f>
        <v>#REF!</v>
      </c>
      <c r="DP156" t="e">
        <f>IF(#REF!,"AAAAAC/9p3c=",0)</f>
        <v>#REF!</v>
      </c>
      <c r="DQ156" t="e">
        <f>IF(#REF!,"AAAAAC/9p3g=",0)</f>
        <v>#REF!</v>
      </c>
      <c r="DR156" t="e">
        <f>IF(#REF!,"AAAAAC/9p3k=",0)</f>
        <v>#REF!</v>
      </c>
      <c r="DS156" t="e">
        <f>IF(#REF!,"AAAAAC/9p3o=",0)</f>
        <v>#REF!</v>
      </c>
      <c r="DT156" t="e">
        <f>IF(#REF!,"AAAAAC/9p3s=",0)</f>
        <v>#REF!</v>
      </c>
      <c r="DU156" t="e">
        <f>IF(#REF!,"AAAAAC/9p3w=",0)</f>
        <v>#REF!</v>
      </c>
      <c r="DV156" t="e">
        <f>IF(#REF!,"AAAAAC/9p30=",0)</f>
        <v>#REF!</v>
      </c>
      <c r="DW156" t="e">
        <f>IF(#REF!,"AAAAAC/9p34=",0)</f>
        <v>#REF!</v>
      </c>
      <c r="DX156" t="e">
        <f>IF(#REF!,"AAAAAC/9p38=",0)</f>
        <v>#REF!</v>
      </c>
      <c r="DY156" t="e">
        <f>IF(#REF!,"AAAAAC/9p4A=",0)</f>
        <v>#REF!</v>
      </c>
      <c r="DZ156" t="e">
        <f>IF(#REF!,"AAAAAC/9p4E=",0)</f>
        <v>#REF!</v>
      </c>
      <c r="EA156" t="e">
        <f>IF(#REF!,"AAAAAC/9p4I=",0)</f>
        <v>#REF!</v>
      </c>
      <c r="EB156" t="e">
        <f>IF(#REF!,"AAAAAC/9p4M=",0)</f>
        <v>#REF!</v>
      </c>
      <c r="EC156" t="e">
        <f>IF(#REF!,"AAAAAC/9p4Q=",0)</f>
        <v>#REF!</v>
      </c>
      <c r="ED156" t="e">
        <f>IF(#REF!,"AAAAAC/9p4U=",0)</f>
        <v>#REF!</v>
      </c>
      <c r="EE156" t="e">
        <f>IF(#REF!,"AAAAAC/9p4Y=",0)</f>
        <v>#REF!</v>
      </c>
      <c r="EF156" t="e">
        <f>IF(#REF!,"AAAAAC/9p4c=",0)</f>
        <v>#REF!</v>
      </c>
      <c r="EG156" t="e">
        <f>IF(#REF!,"AAAAAC/9p4g=",0)</f>
        <v>#REF!</v>
      </c>
      <c r="EH156" t="e">
        <f>IF(#REF!,"AAAAAC/9p4k=",0)</f>
        <v>#REF!</v>
      </c>
      <c r="EI156" t="e">
        <f>IF(#REF!,"AAAAAC/9p4o=",0)</f>
        <v>#REF!</v>
      </c>
      <c r="EJ156" t="e">
        <f>IF(#REF!,"AAAAAC/9p4s=",0)</f>
        <v>#REF!</v>
      </c>
      <c r="EK156" t="e">
        <f>IF(#REF!,"AAAAAC/9p4w=",0)</f>
        <v>#REF!</v>
      </c>
      <c r="EL156" t="e">
        <f>IF(#REF!,"AAAAAC/9p40=",0)</f>
        <v>#REF!</v>
      </c>
      <c r="EM156" t="e">
        <f>IF(#REF!,"AAAAAC/9p44=",0)</f>
        <v>#REF!</v>
      </c>
      <c r="EN156" t="e">
        <f>IF(#REF!,"AAAAAC/9p48=",0)</f>
        <v>#REF!</v>
      </c>
      <c r="EO156" t="e">
        <f>IF(#REF!,"AAAAAC/9p5A=",0)</f>
        <v>#REF!</v>
      </c>
      <c r="EP156" t="e">
        <f>IF(#REF!,"AAAAAC/9p5E=",0)</f>
        <v>#REF!</v>
      </c>
      <c r="EQ156" t="e">
        <f>IF(#REF!,"AAAAAC/9p5I=",0)</f>
        <v>#REF!</v>
      </c>
      <c r="ER156" t="e">
        <f>IF(#REF!,"AAAAAC/9p5M=",0)</f>
        <v>#REF!</v>
      </c>
      <c r="ES156" t="e">
        <f>IF(#REF!,"AAAAAC/9p5Q=",0)</f>
        <v>#REF!</v>
      </c>
      <c r="ET156" t="e">
        <f>IF(#REF!,"AAAAAC/9p5U=",0)</f>
        <v>#REF!</v>
      </c>
      <c r="EU156" t="e">
        <f>IF(#REF!,"AAAAAC/9p5Y=",0)</f>
        <v>#REF!</v>
      </c>
      <c r="EV156" t="e">
        <f>IF(#REF!,"AAAAAC/9p5c=",0)</f>
        <v>#REF!</v>
      </c>
      <c r="EW156" t="e">
        <f>IF(#REF!,"AAAAAC/9p5g=",0)</f>
        <v>#REF!</v>
      </c>
      <c r="EX156" t="e">
        <f>IF(#REF!,"AAAAAC/9p5k=",0)</f>
        <v>#REF!</v>
      </c>
      <c r="EY156" t="e">
        <f>IF(#REF!,"AAAAAC/9p5o=",0)</f>
        <v>#REF!</v>
      </c>
      <c r="EZ156" t="e">
        <f>IF(#REF!,"AAAAAC/9p5s=",0)</f>
        <v>#REF!</v>
      </c>
      <c r="FA156" t="e">
        <f>IF(#REF!,"AAAAAC/9p5w=",0)</f>
        <v>#REF!</v>
      </c>
      <c r="FB156" t="e">
        <f>IF(#REF!,"AAAAAC/9p50=",0)</f>
        <v>#REF!</v>
      </c>
      <c r="FC156" t="e">
        <f>IF(#REF!,"AAAAAC/9p54=",0)</f>
        <v>#REF!</v>
      </c>
      <c r="FD156" t="e">
        <f>IF(#REF!,"AAAAAC/9p58=",0)</f>
        <v>#REF!</v>
      </c>
      <c r="FE156" t="e">
        <f>IF(#REF!,"AAAAAC/9p6A=",0)</f>
        <v>#REF!</v>
      </c>
      <c r="FF156" t="e">
        <f>IF(#REF!,"AAAAAC/9p6E=",0)</f>
        <v>#REF!</v>
      </c>
      <c r="FG156" t="e">
        <f>IF(#REF!,"AAAAAC/9p6I=",0)</f>
        <v>#REF!</v>
      </c>
      <c r="FH156" t="e">
        <f>IF(#REF!,"AAAAAC/9p6M=",0)</f>
        <v>#REF!</v>
      </c>
      <c r="FI156" t="e">
        <f>IF(#REF!,"AAAAAC/9p6Q=",0)</f>
        <v>#REF!</v>
      </c>
      <c r="FJ156" t="e">
        <f>IF(#REF!,"AAAAAC/9p6U=",0)</f>
        <v>#REF!</v>
      </c>
      <c r="FK156" t="e">
        <f>IF(#REF!,"AAAAAC/9p6Y=",0)</f>
        <v>#REF!</v>
      </c>
      <c r="FL156" t="e">
        <f>IF(#REF!,"AAAAAC/9p6c=",0)</f>
        <v>#REF!</v>
      </c>
      <c r="FM156" t="e">
        <f>IF(#REF!,"AAAAAC/9p6g=",0)</f>
        <v>#REF!</v>
      </c>
      <c r="FN156" t="e">
        <f>IF(#REF!,"AAAAAC/9p6k=",0)</f>
        <v>#REF!</v>
      </c>
      <c r="FO156" t="e">
        <f>IF(#REF!,"AAAAAC/9p6o=",0)</f>
        <v>#REF!</v>
      </c>
      <c r="FP156" t="e">
        <f>IF(#REF!,"AAAAAC/9p6s=",0)</f>
        <v>#REF!</v>
      </c>
      <c r="FQ156" t="e">
        <f>IF(#REF!,"AAAAAC/9p6w=",0)</f>
        <v>#REF!</v>
      </c>
      <c r="FR156" t="e">
        <f>IF(#REF!,"AAAAAC/9p60=",0)</f>
        <v>#REF!</v>
      </c>
      <c r="FS156" t="e">
        <f>IF(#REF!,"AAAAAC/9p64=",0)</f>
        <v>#REF!</v>
      </c>
      <c r="FT156" t="e">
        <f>IF(#REF!,"AAAAAC/9p68=",0)</f>
        <v>#REF!</v>
      </c>
      <c r="FU156" t="e">
        <f>IF(#REF!,"AAAAAC/9p7A=",0)</f>
        <v>#REF!</v>
      </c>
      <c r="FV156" t="e">
        <f>IF(#REF!,"AAAAAC/9p7E=",0)</f>
        <v>#REF!</v>
      </c>
      <c r="FW156" t="e">
        <f>IF(#REF!,"AAAAAC/9p7I=",0)</f>
        <v>#REF!</v>
      </c>
      <c r="FX156" t="e">
        <f>IF(#REF!,"AAAAAC/9p7M=",0)</f>
        <v>#REF!</v>
      </c>
      <c r="FY156" t="e">
        <f>IF(#REF!,"AAAAAC/9p7Q=",0)</f>
        <v>#REF!</v>
      </c>
      <c r="FZ156" t="e">
        <f>IF(#REF!,"AAAAAC/9p7U=",0)</f>
        <v>#REF!</v>
      </c>
      <c r="GA156" t="e">
        <f>IF(#REF!,"AAAAAC/9p7Y=",0)</f>
        <v>#REF!</v>
      </c>
      <c r="GB156" t="e">
        <f>IF(#REF!,"AAAAAC/9p7c=",0)</f>
        <v>#REF!</v>
      </c>
      <c r="GC156" t="e">
        <f>IF(#REF!,"AAAAAC/9p7g=",0)</f>
        <v>#REF!</v>
      </c>
      <c r="GD156" t="e">
        <f>IF(#REF!,"AAAAAC/9p7k=",0)</f>
        <v>#REF!</v>
      </c>
      <c r="GE156" t="e">
        <f>IF(#REF!,"AAAAAC/9p7o=",0)</f>
        <v>#REF!</v>
      </c>
      <c r="GF156" t="e">
        <f>IF(#REF!,"AAAAAC/9p7s=",0)</f>
        <v>#REF!</v>
      </c>
      <c r="GG156" t="e">
        <f>IF(#REF!,"AAAAAC/9p7w=",0)</f>
        <v>#REF!</v>
      </c>
      <c r="GH156" t="e">
        <f>IF(#REF!,"AAAAAC/9p70=",0)</f>
        <v>#REF!</v>
      </c>
      <c r="GI156" t="e">
        <f>IF(#REF!,"AAAAAC/9p74=",0)</f>
        <v>#REF!</v>
      </c>
      <c r="GJ156" t="e">
        <f>IF(#REF!,"AAAAAC/9p78=",0)</f>
        <v>#REF!</v>
      </c>
      <c r="GK156" t="e">
        <f>IF(#REF!,"AAAAAC/9p8A=",0)</f>
        <v>#REF!</v>
      </c>
      <c r="GL156" t="e">
        <f>IF(#REF!,"AAAAAC/9p8E=",0)</f>
        <v>#REF!</v>
      </c>
      <c r="GM156" t="e">
        <f>IF(#REF!,"AAAAAC/9p8I=",0)</f>
        <v>#REF!</v>
      </c>
      <c r="GN156" t="e">
        <f>IF(#REF!,"AAAAAC/9p8M=",0)</f>
        <v>#REF!</v>
      </c>
      <c r="GO156" t="e">
        <f>IF(#REF!,"AAAAAC/9p8Q=",0)</f>
        <v>#REF!</v>
      </c>
      <c r="GP156" t="e">
        <f>IF(#REF!,"AAAAAC/9p8U=",0)</f>
        <v>#REF!</v>
      </c>
      <c r="GQ156" t="e">
        <f>IF(#REF!,"AAAAAC/9p8Y=",0)</f>
        <v>#REF!</v>
      </c>
      <c r="GR156" t="e">
        <f>IF(#REF!,"AAAAAC/9p8c=",0)</f>
        <v>#REF!</v>
      </c>
      <c r="GS156" t="e">
        <f>IF(#REF!,"AAAAAC/9p8g=",0)</f>
        <v>#REF!</v>
      </c>
      <c r="GT156" t="e">
        <f>IF(#REF!,"AAAAAC/9p8k=",0)</f>
        <v>#REF!</v>
      </c>
      <c r="GU156" t="e">
        <f>IF(#REF!,"AAAAAC/9p8o=",0)</f>
        <v>#REF!</v>
      </c>
      <c r="GV156" t="e">
        <f>IF(#REF!,"AAAAAC/9p8s=",0)</f>
        <v>#REF!</v>
      </c>
      <c r="GW156" t="e">
        <f>IF(#REF!,"AAAAAC/9p8w=",0)</f>
        <v>#REF!</v>
      </c>
      <c r="GX156" t="e">
        <f>IF(#REF!,"AAAAAC/9p80=",0)</f>
        <v>#REF!</v>
      </c>
      <c r="GY156" t="e">
        <f>IF(#REF!,"AAAAAC/9p84=",0)</f>
        <v>#REF!</v>
      </c>
      <c r="GZ156" t="e">
        <f>IF(#REF!,"AAAAAC/9p88=",0)</f>
        <v>#REF!</v>
      </c>
      <c r="HA156" t="e">
        <f>IF(#REF!,"AAAAAC/9p9A=",0)</f>
        <v>#REF!</v>
      </c>
      <c r="HB156" t="e">
        <f>IF(#REF!,"AAAAAC/9p9E=",0)</f>
        <v>#REF!</v>
      </c>
      <c r="HC156" t="e">
        <f>IF(#REF!,"AAAAAC/9p9I=",0)</f>
        <v>#REF!</v>
      </c>
      <c r="HD156" t="e">
        <f>IF(#REF!,"AAAAAC/9p9M=",0)</f>
        <v>#REF!</v>
      </c>
      <c r="HE156" t="e">
        <f>IF(#REF!,"AAAAAC/9p9Q=",0)</f>
        <v>#REF!</v>
      </c>
      <c r="HF156" t="e">
        <f>IF(#REF!,"AAAAAC/9p9U=",0)</f>
        <v>#REF!</v>
      </c>
      <c r="HG156" t="e">
        <f>IF(#REF!,"AAAAAC/9p9Y=",0)</f>
        <v>#REF!</v>
      </c>
      <c r="HH156" t="e">
        <f>IF(#REF!,"AAAAAC/9p9c=",0)</f>
        <v>#REF!</v>
      </c>
      <c r="HI156" t="e">
        <f>IF(#REF!,"AAAAAC/9p9g=",0)</f>
        <v>#REF!</v>
      </c>
      <c r="HJ156" t="e">
        <f>IF(#REF!,"AAAAAC/9p9k=",0)</f>
        <v>#REF!</v>
      </c>
      <c r="HK156" t="e">
        <f>IF(#REF!,"AAAAAC/9p9o=",0)</f>
        <v>#REF!</v>
      </c>
      <c r="HL156" t="e">
        <f>IF(#REF!,"AAAAAC/9p9s=",0)</f>
        <v>#REF!</v>
      </c>
      <c r="HM156" t="e">
        <f>IF(#REF!,"AAAAAC/9p9w=",0)</f>
        <v>#REF!</v>
      </c>
      <c r="HN156" t="e">
        <f>IF(#REF!,"AAAAAC/9p90=",0)</f>
        <v>#REF!</v>
      </c>
      <c r="HO156" t="e">
        <f>IF(#REF!,"AAAAAC/9p94=",0)</f>
        <v>#REF!</v>
      </c>
      <c r="HP156" t="e">
        <f>IF(#REF!,"AAAAAC/9p98=",0)</f>
        <v>#REF!</v>
      </c>
      <c r="HQ156" t="e">
        <f>IF(#REF!,"AAAAAC/9p+A=",0)</f>
        <v>#REF!</v>
      </c>
      <c r="HR156" t="e">
        <f>IF(#REF!,"AAAAAC/9p+E=",0)</f>
        <v>#REF!</v>
      </c>
      <c r="HS156" t="e">
        <f>IF(#REF!,"AAAAAC/9p+I=",0)</f>
        <v>#REF!</v>
      </c>
      <c r="HT156" t="e">
        <f>IF(#REF!,"AAAAAC/9p+M=",0)</f>
        <v>#REF!</v>
      </c>
      <c r="HU156" t="e">
        <f>IF(#REF!,"AAAAAC/9p+Q=",0)</f>
        <v>#REF!</v>
      </c>
      <c r="HV156" t="e">
        <f>IF(#REF!,"AAAAAC/9p+U=",0)</f>
        <v>#REF!</v>
      </c>
      <c r="HW156" t="e">
        <f>IF(#REF!,"AAAAAC/9p+Y=",0)</f>
        <v>#REF!</v>
      </c>
      <c r="HX156" t="e">
        <f>IF(#REF!,"AAAAAC/9p+c=",0)</f>
        <v>#REF!</v>
      </c>
      <c r="HY156" t="e">
        <f>IF(#REF!,"AAAAAC/9p+g=",0)</f>
        <v>#REF!</v>
      </c>
      <c r="HZ156" t="e">
        <f>IF(#REF!,"AAAAAC/9p+k=",0)</f>
        <v>#REF!</v>
      </c>
      <c r="IA156" t="e">
        <f>IF(#REF!,"AAAAAC/9p+o=",0)</f>
        <v>#REF!</v>
      </c>
      <c r="IB156" t="e">
        <f>IF(#REF!,"AAAAAC/9p+s=",0)</f>
        <v>#REF!</v>
      </c>
      <c r="IC156" t="e">
        <f>IF(#REF!,"AAAAAC/9p+w=",0)</f>
        <v>#REF!</v>
      </c>
      <c r="ID156" t="e">
        <f>IF(#REF!,"AAAAAC/9p+0=",0)</f>
        <v>#REF!</v>
      </c>
      <c r="IE156" t="e">
        <f>IF(#REF!,"AAAAAC/9p+4=",0)</f>
        <v>#REF!</v>
      </c>
      <c r="IF156" t="e">
        <f>IF(#REF!,"AAAAAC/9p+8=",0)</f>
        <v>#REF!</v>
      </c>
      <c r="IG156" t="e">
        <f>IF(#REF!,"AAAAAC/9p/A=",0)</f>
        <v>#REF!</v>
      </c>
      <c r="IH156" t="e">
        <f>IF(#REF!,"AAAAAC/9p/E=",0)</f>
        <v>#REF!</v>
      </c>
      <c r="II156" t="e">
        <f>IF(#REF!,"AAAAAC/9p/I=",0)</f>
        <v>#REF!</v>
      </c>
      <c r="IJ156" t="e">
        <f>IF(#REF!,"AAAAAC/9p/M=",0)</f>
        <v>#REF!</v>
      </c>
      <c r="IK156" t="e">
        <f>IF(#REF!,"AAAAAC/9p/Q=",0)</f>
        <v>#REF!</v>
      </c>
      <c r="IL156" t="e">
        <f>IF(#REF!,"AAAAAC/9p/U=",0)</f>
        <v>#REF!</v>
      </c>
      <c r="IM156" t="e">
        <f>IF(#REF!,"AAAAAC/9p/Y=",0)</f>
        <v>#REF!</v>
      </c>
      <c r="IN156" t="e">
        <f>IF(#REF!,"AAAAAC/9p/c=",0)</f>
        <v>#REF!</v>
      </c>
      <c r="IO156" t="e">
        <f>IF(#REF!,"AAAAAC/9p/g=",0)</f>
        <v>#REF!</v>
      </c>
      <c r="IP156" t="e">
        <f>IF(#REF!,"AAAAAC/9p/k=",0)</f>
        <v>#REF!</v>
      </c>
      <c r="IQ156" t="e">
        <f>IF(#REF!,"AAAAAC/9p/o=",0)</f>
        <v>#REF!</v>
      </c>
      <c r="IR156" t="e">
        <f>IF(#REF!,"AAAAAC/9p/s=",0)</f>
        <v>#REF!</v>
      </c>
      <c r="IS156" t="e">
        <f>IF(#REF!,"AAAAAC/9p/w=",0)</f>
        <v>#REF!</v>
      </c>
      <c r="IT156" t="e">
        <f>IF(#REF!,"AAAAAC/9p/0=",0)</f>
        <v>#REF!</v>
      </c>
      <c r="IU156" t="e">
        <f>IF(#REF!,"AAAAAC/9p/4=",0)</f>
        <v>#REF!</v>
      </c>
      <c r="IV156" t="e">
        <f>IF(#REF!,"AAAAAC/9p/8=",0)</f>
        <v>#REF!</v>
      </c>
    </row>
    <row r="157" spans="1:256">
      <c r="A157" t="e">
        <f>IF(#REF!,"AAAAAHd7/wA=",0)</f>
        <v>#REF!</v>
      </c>
      <c r="B157" t="e">
        <f>IF(#REF!,"AAAAAHd7/wE=",0)</f>
        <v>#REF!</v>
      </c>
      <c r="C157" t="e">
        <f>IF(#REF!,"AAAAAHd7/wI=",0)</f>
        <v>#REF!</v>
      </c>
      <c r="D157" t="e">
        <f>IF(#REF!,"AAAAAHd7/wM=",0)</f>
        <v>#REF!</v>
      </c>
      <c r="E157" t="e">
        <f>IF(#REF!,"AAAAAHd7/wQ=",0)</f>
        <v>#REF!</v>
      </c>
      <c r="F157" t="e">
        <f>IF(#REF!,"AAAAAHd7/wU=",0)</f>
        <v>#REF!</v>
      </c>
      <c r="G157" t="e">
        <f>IF(#REF!,"AAAAAHd7/wY=",0)</f>
        <v>#REF!</v>
      </c>
      <c r="H157" t="e">
        <f>IF(#REF!,"AAAAAHd7/wc=",0)</f>
        <v>#REF!</v>
      </c>
      <c r="I157" t="e">
        <f>IF(#REF!,"AAAAAHd7/wg=",0)</f>
        <v>#REF!</v>
      </c>
      <c r="J157" t="e">
        <f>IF(#REF!,"AAAAAHd7/wk=",0)</f>
        <v>#REF!</v>
      </c>
      <c r="K157" t="e">
        <f>IF(#REF!,"AAAAAHd7/wo=",0)</f>
        <v>#REF!</v>
      </c>
      <c r="L157" t="e">
        <f>IF(#REF!,"AAAAAHd7/ws=",0)</f>
        <v>#REF!</v>
      </c>
      <c r="M157" t="e">
        <f>IF(#REF!,"AAAAAHd7/ww=",0)</f>
        <v>#REF!</v>
      </c>
      <c r="N157" t="e">
        <f>IF(#REF!,"AAAAAHd7/w0=",0)</f>
        <v>#REF!</v>
      </c>
      <c r="O157" t="e">
        <f>IF(#REF!,"AAAAAHd7/w4=",0)</f>
        <v>#REF!</v>
      </c>
      <c r="P157" t="e">
        <f>IF(#REF!,"AAAAAHd7/w8=",0)</f>
        <v>#REF!</v>
      </c>
      <c r="Q157" t="e">
        <f>IF(#REF!,"AAAAAHd7/xA=",0)</f>
        <v>#REF!</v>
      </c>
      <c r="R157" t="e">
        <f>IF(#REF!,"AAAAAHd7/xE=",0)</f>
        <v>#REF!</v>
      </c>
      <c r="S157" t="e">
        <f>IF(#REF!,"AAAAAHd7/xI=",0)</f>
        <v>#REF!</v>
      </c>
      <c r="T157" t="e">
        <f>IF(#REF!,"AAAAAHd7/xM=",0)</f>
        <v>#REF!</v>
      </c>
      <c r="U157" t="e">
        <f>IF(#REF!,"AAAAAHd7/xQ=",0)</f>
        <v>#REF!</v>
      </c>
      <c r="V157" t="e">
        <f>IF(#REF!,"AAAAAHd7/xU=",0)</f>
        <v>#REF!</v>
      </c>
      <c r="W157" t="e">
        <f>IF(#REF!,"AAAAAHd7/xY=",0)</f>
        <v>#REF!</v>
      </c>
      <c r="X157" t="e">
        <f>IF(#REF!,"AAAAAHd7/xc=",0)</f>
        <v>#REF!</v>
      </c>
      <c r="Y157" t="e">
        <f>IF(#REF!,"AAAAAHd7/xg=",0)</f>
        <v>#REF!</v>
      </c>
      <c r="Z157" t="e">
        <f>IF(#REF!,"AAAAAHd7/xk=",0)</f>
        <v>#REF!</v>
      </c>
      <c r="AA157" t="e">
        <f>IF(#REF!,"AAAAAHd7/xo=",0)</f>
        <v>#REF!</v>
      </c>
      <c r="AB157" t="e">
        <f>IF(#REF!,"AAAAAHd7/xs=",0)</f>
        <v>#REF!</v>
      </c>
      <c r="AC157" t="e">
        <f>IF(#REF!,"AAAAAHd7/xw=",0)</f>
        <v>#REF!</v>
      </c>
      <c r="AD157" t="e">
        <f>IF(#REF!,"AAAAAHd7/x0=",0)</f>
        <v>#REF!</v>
      </c>
      <c r="AE157" t="e">
        <f>IF(#REF!,"AAAAAHd7/x4=",0)</f>
        <v>#REF!</v>
      </c>
      <c r="AF157" t="e">
        <f>IF(#REF!,"AAAAAHd7/x8=",0)</f>
        <v>#REF!</v>
      </c>
      <c r="AG157" t="e">
        <f>IF(#REF!,"AAAAAHd7/yA=",0)</f>
        <v>#REF!</v>
      </c>
      <c r="AH157" t="e">
        <f>IF(#REF!,"AAAAAHd7/yE=",0)</f>
        <v>#REF!</v>
      </c>
      <c r="AI157" t="e">
        <f>IF(#REF!,"AAAAAHd7/yI=",0)</f>
        <v>#REF!</v>
      </c>
      <c r="AJ157" t="e">
        <f>IF(#REF!,"AAAAAHd7/yM=",0)</f>
        <v>#REF!</v>
      </c>
      <c r="AK157" t="e">
        <f>IF(#REF!,"AAAAAHd7/yQ=",0)</f>
        <v>#REF!</v>
      </c>
      <c r="AL157" t="e">
        <f>IF(#REF!,"AAAAAHd7/yU=",0)</f>
        <v>#REF!</v>
      </c>
      <c r="AM157" t="e">
        <f>IF(#REF!,"AAAAAHd7/yY=",0)</f>
        <v>#REF!</v>
      </c>
      <c r="AN157" t="e">
        <f>IF(#REF!,"AAAAAHd7/yc=",0)</f>
        <v>#REF!</v>
      </c>
      <c r="AO157" t="e">
        <f>IF(#REF!,"AAAAAHd7/yg=",0)</f>
        <v>#REF!</v>
      </c>
      <c r="AP157" t="e">
        <f>IF(#REF!,"AAAAAHd7/yk=",0)</f>
        <v>#REF!</v>
      </c>
      <c r="AQ157" t="e">
        <f>IF(#REF!,"AAAAAHd7/yo=",0)</f>
        <v>#REF!</v>
      </c>
      <c r="AR157" t="e">
        <f>IF(#REF!,"AAAAAHd7/ys=",0)</f>
        <v>#REF!</v>
      </c>
      <c r="AS157" t="e">
        <f>IF(#REF!,"AAAAAHd7/yw=",0)</f>
        <v>#REF!</v>
      </c>
      <c r="AT157" t="e">
        <f>IF(#REF!,"AAAAAHd7/y0=",0)</f>
        <v>#REF!</v>
      </c>
      <c r="AU157" t="e">
        <f>IF(#REF!,"AAAAAHd7/y4=",0)</f>
        <v>#REF!</v>
      </c>
      <c r="AV157" t="e">
        <f>IF(#REF!,"AAAAAHd7/y8=",0)</f>
        <v>#REF!</v>
      </c>
      <c r="AW157" t="e">
        <f>IF(#REF!,"AAAAAHd7/zA=",0)</f>
        <v>#REF!</v>
      </c>
      <c r="AX157" t="e">
        <f>IF(#REF!,"AAAAAHd7/zE=",0)</f>
        <v>#REF!</v>
      </c>
      <c r="AY157" t="e">
        <f>IF(#REF!,"AAAAAHd7/zI=",0)</f>
        <v>#REF!</v>
      </c>
      <c r="AZ157" t="e">
        <f>IF(#REF!,"AAAAAHd7/zM=",0)</f>
        <v>#REF!</v>
      </c>
      <c r="BA157" t="e">
        <f>IF(#REF!,"AAAAAHd7/zQ=",0)</f>
        <v>#REF!</v>
      </c>
      <c r="BB157" t="e">
        <f>IF(#REF!,"AAAAAHd7/zU=",0)</f>
        <v>#REF!</v>
      </c>
      <c r="BC157" t="e">
        <f>IF(#REF!,"AAAAAHd7/zY=",0)</f>
        <v>#REF!</v>
      </c>
      <c r="BD157" t="e">
        <f>IF(#REF!,"AAAAAHd7/zc=",0)</f>
        <v>#REF!</v>
      </c>
      <c r="BE157" t="e">
        <f>IF(#REF!,"AAAAAHd7/zg=",0)</f>
        <v>#REF!</v>
      </c>
      <c r="BF157" t="e">
        <f>IF(#REF!,"AAAAAHd7/zk=",0)</f>
        <v>#REF!</v>
      </c>
      <c r="BG157" t="e">
        <f>IF(#REF!,"AAAAAHd7/zo=",0)</f>
        <v>#REF!</v>
      </c>
      <c r="BH157" t="e">
        <f>IF(#REF!,"AAAAAHd7/zs=",0)</f>
        <v>#REF!</v>
      </c>
      <c r="BI157" t="e">
        <f>IF(#REF!,"AAAAAHd7/zw=",0)</f>
        <v>#REF!</v>
      </c>
      <c r="BJ157" t="e">
        <f>IF(#REF!,"AAAAAHd7/z0=",0)</f>
        <v>#REF!</v>
      </c>
      <c r="BK157" t="e">
        <f>IF(#REF!,"AAAAAHd7/z4=",0)</f>
        <v>#REF!</v>
      </c>
      <c r="BL157" t="e">
        <f>IF(#REF!,"AAAAAHd7/z8=",0)</f>
        <v>#REF!</v>
      </c>
      <c r="BM157" t="e">
        <f>IF(#REF!,"AAAAAHd7/0A=",0)</f>
        <v>#REF!</v>
      </c>
      <c r="BN157" t="e">
        <f>IF(#REF!,"AAAAAHd7/0E=",0)</f>
        <v>#REF!</v>
      </c>
      <c r="BO157" t="e">
        <f>IF(#REF!,"AAAAAHd7/0I=",0)</f>
        <v>#REF!</v>
      </c>
      <c r="BP157" t="e">
        <f>IF(#REF!,"AAAAAHd7/0M=",0)</f>
        <v>#REF!</v>
      </c>
      <c r="BQ157" t="e">
        <f>IF(#REF!,"AAAAAHd7/0Q=",0)</f>
        <v>#REF!</v>
      </c>
      <c r="BR157" t="e">
        <f>IF(#REF!,"AAAAAHd7/0U=",0)</f>
        <v>#REF!</v>
      </c>
      <c r="BS157" t="e">
        <f>IF(#REF!,"AAAAAHd7/0Y=",0)</f>
        <v>#REF!</v>
      </c>
      <c r="BT157" t="e">
        <f>IF(#REF!,"AAAAAHd7/0c=",0)</f>
        <v>#REF!</v>
      </c>
      <c r="BU157" t="e">
        <f>IF(#REF!,"AAAAAHd7/0g=",0)</f>
        <v>#REF!</v>
      </c>
      <c r="BV157" t="e">
        <f>IF(#REF!,"AAAAAHd7/0k=",0)</f>
        <v>#REF!</v>
      </c>
      <c r="BW157" t="e">
        <f>IF(#REF!,"AAAAAHd7/0o=",0)</f>
        <v>#REF!</v>
      </c>
      <c r="BX157" t="e">
        <f>IF(#REF!,"AAAAAHd7/0s=",0)</f>
        <v>#REF!</v>
      </c>
      <c r="BY157" t="e">
        <f>IF(#REF!,"AAAAAHd7/0w=",0)</f>
        <v>#REF!</v>
      </c>
      <c r="BZ157" t="e">
        <f>IF(#REF!,"AAAAAHd7/00=",0)</f>
        <v>#REF!</v>
      </c>
      <c r="CA157" t="e">
        <f>IF(#REF!,"AAAAAHd7/04=",0)</f>
        <v>#REF!</v>
      </c>
      <c r="CB157" t="e">
        <f>IF(#REF!,"AAAAAHd7/08=",0)</f>
        <v>#REF!</v>
      </c>
      <c r="CC157" t="e">
        <f>IF(#REF!,"AAAAAHd7/1A=",0)</f>
        <v>#REF!</v>
      </c>
      <c r="CD157" t="e">
        <f>IF(#REF!,"AAAAAHd7/1E=",0)</f>
        <v>#REF!</v>
      </c>
      <c r="CE157" t="e">
        <f>IF(#REF!,"AAAAAHd7/1I=",0)</f>
        <v>#REF!</v>
      </c>
      <c r="CF157" t="e">
        <f>IF(#REF!,"AAAAAHd7/1M=",0)</f>
        <v>#REF!</v>
      </c>
      <c r="CG157" t="e">
        <f>IF(#REF!,"AAAAAHd7/1Q=",0)</f>
        <v>#REF!</v>
      </c>
      <c r="CH157" t="e">
        <f>IF(#REF!,"AAAAAHd7/1U=",0)</f>
        <v>#REF!</v>
      </c>
      <c r="CI157" t="e">
        <f>IF(#REF!,"AAAAAHd7/1Y=",0)</f>
        <v>#REF!</v>
      </c>
      <c r="CJ157" t="e">
        <f>IF(#REF!,"AAAAAHd7/1c=",0)</f>
        <v>#REF!</v>
      </c>
      <c r="CK157" t="e">
        <f>IF(#REF!,"AAAAAHd7/1g=",0)</f>
        <v>#REF!</v>
      </c>
      <c r="CL157" t="e">
        <f>IF(#REF!,"AAAAAHd7/1k=",0)</f>
        <v>#REF!</v>
      </c>
      <c r="CM157" t="e">
        <f>IF(#REF!,"AAAAAHd7/1o=",0)</f>
        <v>#REF!</v>
      </c>
      <c r="CN157" t="e">
        <f>IF(#REF!,"AAAAAHd7/1s=",0)</f>
        <v>#REF!</v>
      </c>
      <c r="CO157" t="e">
        <f>IF(#REF!,"AAAAAHd7/1w=",0)</f>
        <v>#REF!</v>
      </c>
      <c r="CP157" t="e">
        <f>IF(#REF!,"AAAAAHd7/10=",0)</f>
        <v>#REF!</v>
      </c>
      <c r="CQ157" t="e">
        <f>IF(#REF!,"AAAAAHd7/14=",0)</f>
        <v>#REF!</v>
      </c>
      <c r="CR157" t="e">
        <f>IF(#REF!,"AAAAAHd7/18=",0)</f>
        <v>#REF!</v>
      </c>
      <c r="CS157" t="e">
        <f>IF(#REF!,"AAAAAHd7/2A=",0)</f>
        <v>#REF!</v>
      </c>
      <c r="CT157" t="e">
        <f>IF(#REF!,"AAAAAHd7/2E=",0)</f>
        <v>#REF!</v>
      </c>
      <c r="CU157" t="e">
        <f>IF(#REF!,"AAAAAHd7/2I=",0)</f>
        <v>#REF!</v>
      </c>
      <c r="CV157" t="e">
        <f>IF(#REF!,"AAAAAHd7/2M=",0)</f>
        <v>#REF!</v>
      </c>
      <c r="CW157" t="e">
        <f>IF(#REF!,"AAAAAHd7/2Q=",0)</f>
        <v>#REF!</v>
      </c>
      <c r="CX157" t="e">
        <f>IF(#REF!,"AAAAAHd7/2U=",0)</f>
        <v>#REF!</v>
      </c>
      <c r="CY157" t="e">
        <f>IF(#REF!,"AAAAAHd7/2Y=",0)</f>
        <v>#REF!</v>
      </c>
      <c r="CZ157" t="e">
        <f>IF(#REF!,"AAAAAHd7/2c=",0)</f>
        <v>#REF!</v>
      </c>
      <c r="DA157" t="e">
        <f>IF(#REF!,"AAAAAHd7/2g=",0)</f>
        <v>#REF!</v>
      </c>
      <c r="DB157" t="e">
        <f>IF(#REF!,"AAAAAHd7/2k=",0)</f>
        <v>#REF!</v>
      </c>
      <c r="DC157" t="e">
        <f>IF(#REF!,"AAAAAHd7/2o=",0)</f>
        <v>#REF!</v>
      </c>
      <c r="DD157" t="e">
        <f>IF(#REF!,"AAAAAHd7/2s=",0)</f>
        <v>#REF!</v>
      </c>
      <c r="DE157" t="e">
        <f>IF(#REF!,"AAAAAHd7/2w=",0)</f>
        <v>#REF!</v>
      </c>
      <c r="DF157" t="e">
        <f>IF(#REF!,"AAAAAHd7/20=",0)</f>
        <v>#REF!</v>
      </c>
      <c r="DG157" t="e">
        <f>IF(#REF!,"AAAAAHd7/24=",0)</f>
        <v>#REF!</v>
      </c>
      <c r="DH157" t="e">
        <f>IF(#REF!,"AAAAAHd7/28=",0)</f>
        <v>#REF!</v>
      </c>
      <c r="DI157" t="e">
        <f>IF(#REF!,"AAAAAHd7/3A=",0)</f>
        <v>#REF!</v>
      </c>
      <c r="DJ157" t="e">
        <f>IF(#REF!,"AAAAAHd7/3E=",0)</f>
        <v>#REF!</v>
      </c>
      <c r="DK157" t="e">
        <f>IF(#REF!,"AAAAAHd7/3I=",0)</f>
        <v>#REF!</v>
      </c>
      <c r="DL157" t="e">
        <f>IF(#REF!,"AAAAAHd7/3M=",0)</f>
        <v>#REF!</v>
      </c>
      <c r="DM157" t="e">
        <f>IF(#REF!,"AAAAAHd7/3Q=",0)</f>
        <v>#REF!</v>
      </c>
      <c r="DN157" t="e">
        <f>IF(#REF!,"AAAAAHd7/3U=",0)</f>
        <v>#REF!</v>
      </c>
      <c r="DO157" t="e">
        <f>IF(#REF!,"AAAAAHd7/3Y=",0)</f>
        <v>#REF!</v>
      </c>
      <c r="DP157" t="e">
        <f>IF(#REF!,"AAAAAHd7/3c=",0)</f>
        <v>#REF!</v>
      </c>
      <c r="DQ157" t="e">
        <f>IF(#REF!,"AAAAAHd7/3g=",0)</f>
        <v>#REF!</v>
      </c>
      <c r="DR157" t="e">
        <f>IF(#REF!,"AAAAAHd7/3k=",0)</f>
        <v>#REF!</v>
      </c>
      <c r="DS157" t="e">
        <f>IF(#REF!,"AAAAAHd7/3o=",0)</f>
        <v>#REF!</v>
      </c>
      <c r="DT157" t="e">
        <f>IF(#REF!,"AAAAAHd7/3s=",0)</f>
        <v>#REF!</v>
      </c>
      <c r="DU157" t="e">
        <f>IF(#REF!,"AAAAAHd7/3w=",0)</f>
        <v>#REF!</v>
      </c>
      <c r="DV157" t="e">
        <f>IF(#REF!,"AAAAAHd7/30=",0)</f>
        <v>#REF!</v>
      </c>
      <c r="DW157" t="e">
        <f>IF(#REF!,"AAAAAHd7/34=",0)</f>
        <v>#REF!</v>
      </c>
      <c r="DX157" t="e">
        <f>IF(#REF!,"AAAAAHd7/38=",0)</f>
        <v>#REF!</v>
      </c>
      <c r="DY157" t="e">
        <f>IF(#REF!,"AAAAAHd7/4A=",0)</f>
        <v>#REF!</v>
      </c>
      <c r="DZ157" t="e">
        <f>IF(#REF!,"AAAAAHd7/4E=",0)</f>
        <v>#REF!</v>
      </c>
      <c r="EA157" t="e">
        <f>IF(#REF!,"AAAAAHd7/4I=",0)</f>
        <v>#REF!</v>
      </c>
      <c r="EB157" t="e">
        <f>IF(#REF!,"AAAAAHd7/4M=",0)</f>
        <v>#REF!</v>
      </c>
      <c r="EC157" t="e">
        <f>IF(#REF!,"AAAAAHd7/4Q=",0)</f>
        <v>#REF!</v>
      </c>
      <c r="ED157" t="e">
        <f>IF(#REF!,"AAAAAHd7/4U=",0)</f>
        <v>#REF!</v>
      </c>
      <c r="EE157" t="e">
        <f>IF(#REF!,"AAAAAHd7/4Y=",0)</f>
        <v>#REF!</v>
      </c>
      <c r="EF157" t="e">
        <f>IF(#REF!,"AAAAAHd7/4c=",0)</f>
        <v>#REF!</v>
      </c>
      <c r="EG157" t="e">
        <f>IF(#REF!,"AAAAAHd7/4g=",0)</f>
        <v>#REF!</v>
      </c>
      <c r="EH157" t="e">
        <f>IF(#REF!,"AAAAAHd7/4k=",0)</f>
        <v>#REF!</v>
      </c>
      <c r="EI157" t="e">
        <f>IF(#REF!,"AAAAAHd7/4o=",0)</f>
        <v>#REF!</v>
      </c>
      <c r="EJ157" t="e">
        <f>IF(#REF!,"AAAAAHd7/4s=",0)</f>
        <v>#REF!</v>
      </c>
      <c r="EK157" t="e">
        <f>IF(#REF!,"AAAAAHd7/4w=",0)</f>
        <v>#REF!</v>
      </c>
      <c r="EL157" t="e">
        <f>IF(#REF!,"AAAAAHd7/40=",0)</f>
        <v>#REF!</v>
      </c>
      <c r="EM157" t="e">
        <f>IF(#REF!,"AAAAAHd7/44=",0)</f>
        <v>#REF!</v>
      </c>
      <c r="EN157" t="e">
        <f>IF(#REF!,"AAAAAHd7/48=",0)</f>
        <v>#REF!</v>
      </c>
      <c r="EO157" t="e">
        <f>IF(#REF!,"AAAAAHd7/5A=",0)</f>
        <v>#REF!</v>
      </c>
      <c r="EP157" t="e">
        <f>IF(#REF!,"AAAAAHd7/5E=",0)</f>
        <v>#REF!</v>
      </c>
      <c r="EQ157" t="e">
        <f>IF(#REF!,"AAAAAHd7/5I=",0)</f>
        <v>#REF!</v>
      </c>
      <c r="ER157" t="e">
        <f>IF(#REF!,"AAAAAHd7/5M=",0)</f>
        <v>#REF!</v>
      </c>
      <c r="ES157" t="e">
        <f>IF(#REF!,"AAAAAHd7/5Q=",0)</f>
        <v>#REF!</v>
      </c>
      <c r="ET157" t="e">
        <f>IF(#REF!,"AAAAAHd7/5U=",0)</f>
        <v>#REF!</v>
      </c>
      <c r="EU157" t="e">
        <f>IF(#REF!,"AAAAAHd7/5Y=",0)</f>
        <v>#REF!</v>
      </c>
      <c r="EV157" t="e">
        <f>IF(#REF!,"AAAAAHd7/5c=",0)</f>
        <v>#REF!</v>
      </c>
      <c r="EW157" t="e">
        <f>IF(#REF!,"AAAAAHd7/5g=",0)</f>
        <v>#REF!</v>
      </c>
      <c r="EX157" t="e">
        <f>IF(#REF!,"AAAAAHd7/5k=",0)</f>
        <v>#REF!</v>
      </c>
      <c r="EY157" t="e">
        <f>IF(#REF!,"AAAAAHd7/5o=",0)</f>
        <v>#REF!</v>
      </c>
      <c r="EZ157" t="e">
        <f>IF(#REF!,"AAAAAHd7/5s=",0)</f>
        <v>#REF!</v>
      </c>
      <c r="FA157" t="e">
        <f>IF(#REF!,"AAAAAHd7/5w=",0)</f>
        <v>#REF!</v>
      </c>
      <c r="FB157" t="e">
        <f>IF(#REF!,"AAAAAHd7/50=",0)</f>
        <v>#REF!</v>
      </c>
      <c r="FC157" t="e">
        <f>IF(#REF!,"AAAAAHd7/54=",0)</f>
        <v>#REF!</v>
      </c>
      <c r="FD157" t="e">
        <f>IF(#REF!,"AAAAAHd7/58=",0)</f>
        <v>#REF!</v>
      </c>
      <c r="FE157" t="e">
        <f>IF(#REF!,"AAAAAHd7/6A=",0)</f>
        <v>#REF!</v>
      </c>
      <c r="FF157" t="e">
        <f>IF(#REF!,"AAAAAHd7/6E=",0)</f>
        <v>#REF!</v>
      </c>
      <c r="FG157" t="e">
        <f>IF(#REF!,"AAAAAHd7/6I=",0)</f>
        <v>#REF!</v>
      </c>
      <c r="FH157" t="e">
        <f>IF(#REF!,"AAAAAHd7/6M=",0)</f>
        <v>#REF!</v>
      </c>
      <c r="FI157" t="e">
        <f>IF(#REF!,"AAAAAHd7/6Q=",0)</f>
        <v>#REF!</v>
      </c>
      <c r="FJ157" t="e">
        <f>IF(#REF!,"AAAAAHd7/6U=",0)</f>
        <v>#REF!</v>
      </c>
      <c r="FK157" t="e">
        <f>IF(#REF!,"AAAAAHd7/6Y=",0)</f>
        <v>#REF!</v>
      </c>
      <c r="FL157" t="e">
        <f>IF(#REF!,"AAAAAHd7/6c=",0)</f>
        <v>#REF!</v>
      </c>
      <c r="FM157" t="e">
        <f>IF(#REF!,"AAAAAHd7/6g=",0)</f>
        <v>#REF!</v>
      </c>
      <c r="FN157" t="e">
        <f>IF(#REF!,"AAAAAHd7/6k=",0)</f>
        <v>#REF!</v>
      </c>
      <c r="FO157" t="e">
        <f>IF(#REF!,"AAAAAHd7/6o=",0)</f>
        <v>#REF!</v>
      </c>
      <c r="FP157" t="e">
        <f>IF(#REF!,"AAAAAHd7/6s=",0)</f>
        <v>#REF!</v>
      </c>
      <c r="FQ157" t="e">
        <f>IF(#REF!,"AAAAAHd7/6w=",0)</f>
        <v>#REF!</v>
      </c>
      <c r="FR157" t="e">
        <f>IF(#REF!,"AAAAAHd7/60=",0)</f>
        <v>#REF!</v>
      </c>
      <c r="FS157" t="e">
        <f>IF(#REF!,"AAAAAHd7/64=",0)</f>
        <v>#REF!</v>
      </c>
      <c r="FT157" t="e">
        <f>IF(#REF!,"AAAAAHd7/68=",0)</f>
        <v>#REF!</v>
      </c>
      <c r="FU157" t="e">
        <f>IF(#REF!,"AAAAAHd7/7A=",0)</f>
        <v>#REF!</v>
      </c>
      <c r="FV157" t="e">
        <f>IF(#REF!,"AAAAAHd7/7E=",0)</f>
        <v>#REF!</v>
      </c>
      <c r="FW157" t="e">
        <f>IF(#REF!,"AAAAAHd7/7I=",0)</f>
        <v>#REF!</v>
      </c>
      <c r="FX157" t="e">
        <f>IF(#REF!,"AAAAAHd7/7M=",0)</f>
        <v>#REF!</v>
      </c>
      <c r="FY157" t="e">
        <f>IF(#REF!,"AAAAAHd7/7Q=",0)</f>
        <v>#REF!</v>
      </c>
      <c r="FZ157" t="e">
        <f>IF(#REF!,"AAAAAHd7/7U=",0)</f>
        <v>#REF!</v>
      </c>
      <c r="GA157" t="e">
        <f>IF(#REF!,"AAAAAHd7/7Y=",0)</f>
        <v>#REF!</v>
      </c>
      <c r="GB157" t="e">
        <f>IF(#REF!,"AAAAAHd7/7c=",0)</f>
        <v>#REF!</v>
      </c>
      <c r="GC157" t="e">
        <f>IF(#REF!,"AAAAAHd7/7g=",0)</f>
        <v>#REF!</v>
      </c>
      <c r="GD157" t="e">
        <f>IF(#REF!,"AAAAAHd7/7k=",0)</f>
        <v>#REF!</v>
      </c>
      <c r="GE157" t="e">
        <f>IF(#REF!,"AAAAAHd7/7o=",0)</f>
        <v>#REF!</v>
      </c>
      <c r="GF157" t="e">
        <f>IF(#REF!,"AAAAAHd7/7s=",0)</f>
        <v>#REF!</v>
      </c>
      <c r="GG157" t="e">
        <f>IF(#REF!,"AAAAAHd7/7w=",0)</f>
        <v>#REF!</v>
      </c>
      <c r="GH157" t="e">
        <f>IF(#REF!,"AAAAAHd7/70=",0)</f>
        <v>#REF!</v>
      </c>
      <c r="GI157" t="e">
        <f>IF(#REF!,"AAAAAHd7/74=",0)</f>
        <v>#REF!</v>
      </c>
      <c r="GJ157" t="e">
        <f>IF(#REF!,"AAAAAHd7/78=",0)</f>
        <v>#REF!</v>
      </c>
      <c r="GK157" t="e">
        <f>IF(#REF!,"AAAAAHd7/8A=",0)</f>
        <v>#REF!</v>
      </c>
      <c r="GL157" t="e">
        <f>IF(#REF!,"AAAAAHd7/8E=",0)</f>
        <v>#REF!</v>
      </c>
      <c r="GM157" t="e">
        <f>IF(#REF!,"AAAAAHd7/8I=",0)</f>
        <v>#REF!</v>
      </c>
      <c r="GN157" t="e">
        <f>IF(#REF!,"AAAAAHd7/8M=",0)</f>
        <v>#REF!</v>
      </c>
      <c r="GO157" t="e">
        <f>IF(#REF!,"AAAAAHd7/8Q=",0)</f>
        <v>#REF!</v>
      </c>
      <c r="GP157" t="e">
        <f>IF(#REF!,"AAAAAHd7/8U=",0)</f>
        <v>#REF!</v>
      </c>
      <c r="GQ157" t="e">
        <f>IF(#REF!,"AAAAAHd7/8Y=",0)</f>
        <v>#REF!</v>
      </c>
      <c r="GR157" t="e">
        <f>IF(#REF!,"AAAAAHd7/8c=",0)</f>
        <v>#REF!</v>
      </c>
      <c r="GS157" t="e">
        <f>IF(#REF!,"AAAAAHd7/8g=",0)</f>
        <v>#REF!</v>
      </c>
      <c r="GT157" t="e">
        <f>IF(#REF!,"AAAAAHd7/8k=",0)</f>
        <v>#REF!</v>
      </c>
      <c r="GU157" t="e">
        <f>IF(#REF!,"AAAAAHd7/8o=",0)</f>
        <v>#REF!</v>
      </c>
      <c r="GV157" t="e">
        <f>IF(#REF!,"AAAAAHd7/8s=",0)</f>
        <v>#REF!</v>
      </c>
      <c r="GW157" t="e">
        <f>IF(#REF!,"AAAAAHd7/8w=",0)</f>
        <v>#REF!</v>
      </c>
      <c r="GX157" t="e">
        <f>IF(#REF!,"AAAAAHd7/80=",0)</f>
        <v>#REF!</v>
      </c>
      <c r="GY157" t="e">
        <f>IF(#REF!,"AAAAAHd7/84=",0)</f>
        <v>#REF!</v>
      </c>
      <c r="GZ157" t="e">
        <f>IF(#REF!,"AAAAAHd7/88=",0)</f>
        <v>#REF!</v>
      </c>
      <c r="HA157" t="e">
        <f>IF(#REF!,"AAAAAHd7/9A=",0)</f>
        <v>#REF!</v>
      </c>
      <c r="HB157" t="e">
        <f>IF(#REF!,"AAAAAHd7/9E=",0)</f>
        <v>#REF!</v>
      </c>
      <c r="HC157" t="e">
        <f>IF(#REF!,"AAAAAHd7/9I=",0)</f>
        <v>#REF!</v>
      </c>
      <c r="HD157" t="e">
        <f>IF(#REF!,"AAAAAHd7/9M=",0)</f>
        <v>#REF!</v>
      </c>
      <c r="HE157" t="e">
        <f>IF(#REF!,"AAAAAHd7/9Q=",0)</f>
        <v>#REF!</v>
      </c>
      <c r="HF157" t="e">
        <f>IF(#REF!,"AAAAAHd7/9U=",0)</f>
        <v>#REF!</v>
      </c>
      <c r="HG157" t="e">
        <f>IF(#REF!,"AAAAAHd7/9Y=",0)</f>
        <v>#REF!</v>
      </c>
      <c r="HH157" t="e">
        <f>IF(#REF!,"AAAAAHd7/9c=",0)</f>
        <v>#REF!</v>
      </c>
      <c r="HI157" t="e">
        <f>IF(#REF!,"AAAAAHd7/9g=",0)</f>
        <v>#REF!</v>
      </c>
      <c r="HJ157" t="e">
        <f>IF(#REF!,"AAAAAHd7/9k=",0)</f>
        <v>#REF!</v>
      </c>
      <c r="HK157" t="e">
        <f>IF(#REF!,"AAAAAHd7/9o=",0)</f>
        <v>#REF!</v>
      </c>
      <c r="HL157" t="e">
        <f>IF(#REF!,"AAAAAHd7/9s=",0)</f>
        <v>#REF!</v>
      </c>
      <c r="HM157" t="e">
        <f>IF(#REF!,"AAAAAHd7/9w=",0)</f>
        <v>#REF!</v>
      </c>
      <c r="HN157" t="e">
        <f>IF(#REF!,"AAAAAHd7/90=",0)</f>
        <v>#REF!</v>
      </c>
      <c r="HO157" t="e">
        <f>IF(#REF!,"AAAAAHd7/94=",0)</f>
        <v>#REF!</v>
      </c>
      <c r="HP157" t="e">
        <f>IF(#REF!,"AAAAAHd7/98=",0)</f>
        <v>#REF!</v>
      </c>
      <c r="HQ157" t="e">
        <f>IF(#REF!,"AAAAAHd7/+A=",0)</f>
        <v>#REF!</v>
      </c>
      <c r="HR157" t="e">
        <f>IF(#REF!,"AAAAAHd7/+E=",0)</f>
        <v>#REF!</v>
      </c>
      <c r="HS157" t="e">
        <f>IF(#REF!,"AAAAAHd7/+I=",0)</f>
        <v>#REF!</v>
      </c>
      <c r="HT157" t="e">
        <f>IF(#REF!,"AAAAAHd7/+M=",0)</f>
        <v>#REF!</v>
      </c>
      <c r="HU157" t="e">
        <f>IF(#REF!,"AAAAAHd7/+Q=",0)</f>
        <v>#REF!</v>
      </c>
      <c r="HV157" t="e">
        <f>IF(#REF!,"AAAAAHd7/+U=",0)</f>
        <v>#REF!</v>
      </c>
      <c r="HW157" t="e">
        <f>IF(#REF!,"AAAAAHd7/+Y=",0)</f>
        <v>#REF!</v>
      </c>
      <c r="HX157" t="e">
        <f>IF(#REF!,"AAAAAHd7/+c=",0)</f>
        <v>#REF!</v>
      </c>
      <c r="HY157" t="e">
        <f>IF(#REF!,"AAAAAHd7/+g=",0)</f>
        <v>#REF!</v>
      </c>
      <c r="HZ157" t="e">
        <f>IF(#REF!,"AAAAAHd7/+k=",0)</f>
        <v>#REF!</v>
      </c>
      <c r="IA157" t="e">
        <f>IF(#REF!,"AAAAAHd7/+o=",0)</f>
        <v>#REF!</v>
      </c>
      <c r="IB157" t="e">
        <f>IF(#REF!,"AAAAAHd7/+s=",0)</f>
        <v>#REF!</v>
      </c>
      <c r="IC157" t="e">
        <f>IF(#REF!,"AAAAAHd7/+w=",0)</f>
        <v>#REF!</v>
      </c>
      <c r="ID157" t="e">
        <f>IF(#REF!,"AAAAAHd7/+0=",0)</f>
        <v>#REF!</v>
      </c>
      <c r="IE157" t="e">
        <f>IF(#REF!,"AAAAAHd7/+4=",0)</f>
        <v>#REF!</v>
      </c>
      <c r="IF157" t="e">
        <f>IF(#REF!,"AAAAAHd7/+8=",0)</f>
        <v>#REF!</v>
      </c>
      <c r="IG157" t="e">
        <f>IF(#REF!,"AAAAAHd7//A=",0)</f>
        <v>#REF!</v>
      </c>
      <c r="IH157" t="e">
        <f>IF(#REF!,"AAAAAHd7//E=",0)</f>
        <v>#REF!</v>
      </c>
      <c r="II157" t="e">
        <f>IF(#REF!,"AAAAAHd7//I=",0)</f>
        <v>#REF!</v>
      </c>
      <c r="IJ157" t="e">
        <f>IF(#REF!,"AAAAAHd7//M=",0)</f>
        <v>#REF!</v>
      </c>
      <c r="IK157" t="e">
        <f>IF(#REF!,"AAAAAHd7//Q=",0)</f>
        <v>#REF!</v>
      </c>
      <c r="IL157" t="e">
        <f>IF(#REF!,"AAAAAHd7//U=",0)</f>
        <v>#REF!</v>
      </c>
      <c r="IM157" t="e">
        <f>IF(#REF!,"AAAAAHd7//Y=",0)</f>
        <v>#REF!</v>
      </c>
      <c r="IN157" t="e">
        <f>IF(#REF!,"AAAAAHd7//c=",0)</f>
        <v>#REF!</v>
      </c>
      <c r="IO157" t="e">
        <f>IF(#REF!,"AAAAAHd7//g=",0)</f>
        <v>#REF!</v>
      </c>
      <c r="IP157" t="e">
        <f>IF(#REF!,"AAAAAHd7//k=",0)</f>
        <v>#REF!</v>
      </c>
      <c r="IQ157" t="e">
        <f>IF(#REF!,"AAAAAHd7//o=",0)</f>
        <v>#REF!</v>
      </c>
      <c r="IR157" t="e">
        <f>IF(#REF!,"AAAAAHd7//s=",0)</f>
        <v>#REF!</v>
      </c>
      <c r="IS157" t="e">
        <f>IF(#REF!,"AAAAAHd7//w=",0)</f>
        <v>#REF!</v>
      </c>
      <c r="IT157" t="e">
        <f>IF(#REF!,"AAAAAHd7//0=",0)</f>
        <v>#REF!</v>
      </c>
      <c r="IU157" t="e">
        <f>IF(#REF!,"AAAAAHd7//4=",0)</f>
        <v>#REF!</v>
      </c>
      <c r="IV157" t="e">
        <f>IF(#REF!,"AAAAAHd7//8=",0)</f>
        <v>#REF!</v>
      </c>
    </row>
    <row r="158" spans="1:256">
      <c r="A158" t="e">
        <f>IF(#REF!,"AAAAAF3/7wA=",0)</f>
        <v>#REF!</v>
      </c>
      <c r="B158" t="e">
        <f>IF(#REF!,"AAAAAF3/7wE=",0)</f>
        <v>#REF!</v>
      </c>
      <c r="C158" t="e">
        <f>IF(#REF!,"AAAAAF3/7wI=",0)</f>
        <v>#REF!</v>
      </c>
      <c r="D158" t="e">
        <f>IF(#REF!,"AAAAAF3/7wM=",0)</f>
        <v>#REF!</v>
      </c>
      <c r="E158" t="e">
        <f>IF(#REF!,"AAAAAF3/7wQ=",0)</f>
        <v>#REF!</v>
      </c>
      <c r="F158" t="e">
        <f>IF(#REF!,"AAAAAF3/7wU=",0)</f>
        <v>#REF!</v>
      </c>
      <c r="G158" t="e">
        <f>IF(#REF!,"AAAAAF3/7wY=",0)</f>
        <v>#REF!</v>
      </c>
      <c r="H158" t="e">
        <f>IF(#REF!,"AAAAAF3/7wc=",0)</f>
        <v>#REF!</v>
      </c>
      <c r="I158" t="e">
        <f>IF(#REF!,"AAAAAF3/7wg=",0)</f>
        <v>#REF!</v>
      </c>
      <c r="J158" t="e">
        <f>IF(#REF!,"AAAAAF3/7wk=",0)</f>
        <v>#REF!</v>
      </c>
      <c r="K158" t="e">
        <f>IF(#REF!,"AAAAAF3/7wo=",0)</f>
        <v>#REF!</v>
      </c>
      <c r="L158" t="e">
        <f>IF(#REF!,"AAAAAF3/7ws=",0)</f>
        <v>#REF!</v>
      </c>
      <c r="M158" t="e">
        <f>IF(#REF!,"AAAAAF3/7ww=",0)</f>
        <v>#REF!</v>
      </c>
      <c r="N158" t="e">
        <f>IF(#REF!,"AAAAAF3/7w0=",0)</f>
        <v>#REF!</v>
      </c>
      <c r="O158" t="e">
        <f>IF(#REF!,"AAAAAF3/7w4=",0)</f>
        <v>#REF!</v>
      </c>
      <c r="P158" t="e">
        <f>IF(#REF!,"AAAAAF3/7w8=",0)</f>
        <v>#REF!</v>
      </c>
      <c r="Q158" t="e">
        <f>IF(#REF!,"AAAAAF3/7xA=",0)</f>
        <v>#REF!</v>
      </c>
      <c r="R158" t="e">
        <f>IF(#REF!,"AAAAAF3/7xE=",0)</f>
        <v>#REF!</v>
      </c>
      <c r="S158" t="e">
        <f>IF(#REF!,"AAAAAF3/7xI=",0)</f>
        <v>#REF!</v>
      </c>
      <c r="T158" t="e">
        <f>IF(#REF!,"AAAAAF3/7xM=",0)</f>
        <v>#REF!</v>
      </c>
      <c r="U158" t="e">
        <f>IF(#REF!,"AAAAAF3/7xQ=",0)</f>
        <v>#REF!</v>
      </c>
      <c r="V158" t="e">
        <f>IF(#REF!,"AAAAAF3/7xU=",0)</f>
        <v>#REF!</v>
      </c>
      <c r="W158" t="e">
        <f>IF(#REF!,"AAAAAF3/7xY=",0)</f>
        <v>#REF!</v>
      </c>
      <c r="X158" t="e">
        <f>IF(#REF!,"AAAAAF3/7xc=",0)</f>
        <v>#REF!</v>
      </c>
      <c r="Y158" t="e">
        <f>IF(#REF!,"AAAAAF3/7xg=",0)</f>
        <v>#REF!</v>
      </c>
      <c r="Z158" t="e">
        <f>IF(#REF!,"AAAAAF3/7xk=",0)</f>
        <v>#REF!</v>
      </c>
      <c r="AA158" t="e">
        <f>IF(#REF!,"AAAAAF3/7xo=",0)</f>
        <v>#REF!</v>
      </c>
      <c r="AB158" t="e">
        <f>IF(#REF!,"AAAAAF3/7xs=",0)</f>
        <v>#REF!</v>
      </c>
      <c r="AC158" t="e">
        <f>IF(#REF!,"AAAAAF3/7xw=",0)</f>
        <v>#REF!</v>
      </c>
      <c r="AD158" t="e">
        <f>IF(#REF!,"AAAAAF3/7x0=",0)</f>
        <v>#REF!</v>
      </c>
      <c r="AE158" t="e">
        <f>IF(#REF!,"AAAAAF3/7x4=",0)</f>
        <v>#REF!</v>
      </c>
      <c r="AF158" t="e">
        <f>IF(#REF!,"AAAAAF3/7x8=",0)</f>
        <v>#REF!</v>
      </c>
      <c r="AG158" t="e">
        <f>IF(#REF!,"AAAAAF3/7yA=",0)</f>
        <v>#REF!</v>
      </c>
      <c r="AH158" t="e">
        <f>IF(#REF!,"AAAAAF3/7yE=",0)</f>
        <v>#REF!</v>
      </c>
      <c r="AI158" t="e">
        <f>IF(#REF!,"AAAAAF3/7yI=",0)</f>
        <v>#REF!</v>
      </c>
      <c r="AJ158" t="e">
        <f>IF(#REF!,"AAAAAF3/7yM=",0)</f>
        <v>#REF!</v>
      </c>
      <c r="AK158" t="e">
        <f>IF(#REF!,"AAAAAF3/7yQ=",0)</f>
        <v>#REF!</v>
      </c>
      <c r="AL158" t="e">
        <f>IF(#REF!,"AAAAAF3/7yU=",0)</f>
        <v>#REF!</v>
      </c>
      <c r="AM158" t="e">
        <f>IF(#REF!,"AAAAAF3/7yY=",0)</f>
        <v>#REF!</v>
      </c>
      <c r="AN158" t="e">
        <f>IF(#REF!,"AAAAAF3/7yc=",0)</f>
        <v>#REF!</v>
      </c>
      <c r="AO158" t="e">
        <f>IF(#REF!,"AAAAAF3/7yg=",0)</f>
        <v>#REF!</v>
      </c>
      <c r="AP158" t="e">
        <f>IF(#REF!,"AAAAAF3/7yk=",0)</f>
        <v>#REF!</v>
      </c>
      <c r="AQ158" t="e">
        <f>IF(#REF!,"AAAAAF3/7yo=",0)</f>
        <v>#REF!</v>
      </c>
      <c r="AR158" t="e">
        <f>IF(#REF!,"AAAAAF3/7ys=",0)</f>
        <v>#REF!</v>
      </c>
      <c r="AS158" t="e">
        <f>IF(#REF!,"AAAAAF3/7yw=",0)</f>
        <v>#REF!</v>
      </c>
      <c r="AT158" t="e">
        <f>IF(#REF!,"AAAAAF3/7y0=",0)</f>
        <v>#REF!</v>
      </c>
      <c r="AU158" t="e">
        <f>IF(#REF!,"AAAAAF3/7y4=",0)</f>
        <v>#REF!</v>
      </c>
      <c r="AV158" t="e">
        <f>IF(#REF!,"AAAAAF3/7y8=",0)</f>
        <v>#REF!</v>
      </c>
      <c r="AW158" t="e">
        <f>IF(#REF!,"AAAAAF3/7zA=",0)</f>
        <v>#REF!</v>
      </c>
      <c r="AX158" t="e">
        <f>IF(#REF!,"AAAAAF3/7zE=",0)</f>
        <v>#REF!</v>
      </c>
      <c r="AY158" t="e">
        <f>IF(#REF!,"AAAAAF3/7zI=",0)</f>
        <v>#REF!</v>
      </c>
      <c r="AZ158" t="e">
        <f>IF(#REF!,"AAAAAF3/7zM=",0)</f>
        <v>#REF!</v>
      </c>
      <c r="BA158" t="e">
        <f>IF(#REF!,"AAAAAF3/7zQ=",0)</f>
        <v>#REF!</v>
      </c>
      <c r="BB158" t="e">
        <f>IF(#REF!,"AAAAAF3/7zU=",0)</f>
        <v>#REF!</v>
      </c>
      <c r="BC158" t="e">
        <f>IF(#REF!,"AAAAAF3/7zY=",0)</f>
        <v>#REF!</v>
      </c>
      <c r="BD158" t="e">
        <f>IF(#REF!,"AAAAAF3/7zc=",0)</f>
        <v>#REF!</v>
      </c>
      <c r="BE158" t="e">
        <f>IF(#REF!,"AAAAAF3/7zg=",0)</f>
        <v>#REF!</v>
      </c>
      <c r="BF158" t="e">
        <f>IF(#REF!,"AAAAAF3/7zk=",0)</f>
        <v>#REF!</v>
      </c>
      <c r="BG158" t="e">
        <f>IF(#REF!,"AAAAAF3/7zo=",0)</f>
        <v>#REF!</v>
      </c>
      <c r="BH158" t="e">
        <f>IF(#REF!,"AAAAAF3/7zs=",0)</f>
        <v>#REF!</v>
      </c>
      <c r="BI158" t="e">
        <f>IF(#REF!,"AAAAAF3/7zw=",0)</f>
        <v>#REF!</v>
      </c>
      <c r="BJ158" t="e">
        <f>IF(#REF!,"AAAAAF3/7z0=",0)</f>
        <v>#REF!</v>
      </c>
      <c r="BK158" t="e">
        <f>IF(#REF!,"AAAAAF3/7z4=",0)</f>
        <v>#REF!</v>
      </c>
      <c r="BL158" t="e">
        <f>IF(#REF!,"AAAAAF3/7z8=",0)</f>
        <v>#REF!</v>
      </c>
      <c r="BM158" t="e">
        <f>IF(#REF!,"AAAAAF3/70A=",0)</f>
        <v>#REF!</v>
      </c>
      <c r="BN158" t="e">
        <f>IF(#REF!,"AAAAAF3/70E=",0)</f>
        <v>#REF!</v>
      </c>
      <c r="BO158" t="e">
        <f>IF(#REF!,"AAAAAF3/70I=",0)</f>
        <v>#REF!</v>
      </c>
      <c r="BP158" t="e">
        <f>IF(#REF!,"AAAAAF3/70M=",0)</f>
        <v>#REF!</v>
      </c>
      <c r="BQ158" t="e">
        <f>IF(#REF!,"AAAAAF3/70Q=",0)</f>
        <v>#REF!</v>
      </c>
      <c r="BR158" t="e">
        <f>IF(#REF!,"AAAAAF3/70U=",0)</f>
        <v>#REF!</v>
      </c>
      <c r="BS158" t="e">
        <f>IF(#REF!,"AAAAAF3/70Y=",0)</f>
        <v>#REF!</v>
      </c>
      <c r="BT158" t="e">
        <f>IF(#REF!,"AAAAAF3/70c=",0)</f>
        <v>#REF!</v>
      </c>
      <c r="BU158" t="e">
        <f>IF(#REF!,"AAAAAF3/70g=",0)</f>
        <v>#REF!</v>
      </c>
      <c r="BV158" t="e">
        <f>IF(#REF!,"AAAAAF3/70k=",0)</f>
        <v>#REF!</v>
      </c>
      <c r="BW158" t="e">
        <f>IF(#REF!,"AAAAAF3/70o=",0)</f>
        <v>#REF!</v>
      </c>
      <c r="BX158" t="e">
        <f>IF(#REF!,"AAAAAF3/70s=",0)</f>
        <v>#REF!</v>
      </c>
      <c r="BY158" t="e">
        <f>IF(#REF!,"AAAAAF3/70w=",0)</f>
        <v>#REF!</v>
      </c>
      <c r="BZ158" t="e">
        <f>IF(#REF!,"AAAAAF3/700=",0)</f>
        <v>#REF!</v>
      </c>
      <c r="CA158" t="e">
        <f>IF(#REF!,"AAAAAF3/704=",0)</f>
        <v>#REF!</v>
      </c>
      <c r="CB158" t="e">
        <f>IF(#REF!,"AAAAAF3/708=",0)</f>
        <v>#REF!</v>
      </c>
      <c r="CC158" t="e">
        <f>IF(#REF!,"AAAAAF3/71A=",0)</f>
        <v>#REF!</v>
      </c>
      <c r="CD158" t="e">
        <f>IF(#REF!,"AAAAAF3/71E=",0)</f>
        <v>#REF!</v>
      </c>
      <c r="CE158" t="e">
        <f>IF(#REF!,"AAAAAF3/71I=",0)</f>
        <v>#REF!</v>
      </c>
      <c r="CF158" t="e">
        <f>IF(#REF!,"AAAAAF3/71M=",0)</f>
        <v>#REF!</v>
      </c>
      <c r="CG158" t="e">
        <f>IF(#REF!,"AAAAAF3/71Q=",0)</f>
        <v>#REF!</v>
      </c>
      <c r="CH158" t="e">
        <f>IF(#REF!,"AAAAAF3/71U=",0)</f>
        <v>#REF!</v>
      </c>
      <c r="CI158" t="e">
        <f>IF(#REF!,"AAAAAF3/71Y=",0)</f>
        <v>#REF!</v>
      </c>
      <c r="CJ158" t="e">
        <f>IF(#REF!,"AAAAAF3/71c=",0)</f>
        <v>#REF!</v>
      </c>
      <c r="CK158" t="e">
        <f>IF(#REF!,"AAAAAF3/71g=",0)</f>
        <v>#REF!</v>
      </c>
      <c r="CL158" t="e">
        <f>IF(#REF!,"AAAAAF3/71k=",0)</f>
        <v>#REF!</v>
      </c>
      <c r="CM158" t="e">
        <f>IF(#REF!,"AAAAAF3/71o=",0)</f>
        <v>#REF!</v>
      </c>
      <c r="CN158" t="e">
        <f>IF(#REF!,"AAAAAF3/71s=",0)</f>
        <v>#REF!</v>
      </c>
      <c r="CO158" t="e">
        <f>IF(#REF!,"AAAAAF3/71w=",0)</f>
        <v>#REF!</v>
      </c>
      <c r="CP158" t="e">
        <f>IF(#REF!,"AAAAAF3/710=",0)</f>
        <v>#REF!</v>
      </c>
      <c r="CQ158" t="e">
        <f>IF(#REF!,"AAAAAF3/714=",0)</f>
        <v>#REF!</v>
      </c>
      <c r="CR158" t="e">
        <f>IF(#REF!,"AAAAAF3/718=",0)</f>
        <v>#REF!</v>
      </c>
      <c r="CS158" t="e">
        <f>IF(#REF!,"AAAAAF3/72A=",0)</f>
        <v>#REF!</v>
      </c>
      <c r="CT158" t="e">
        <f>IF(#REF!,"AAAAAF3/72E=",0)</f>
        <v>#REF!</v>
      </c>
      <c r="CU158" t="e">
        <f>IF(#REF!,"AAAAAF3/72I=",0)</f>
        <v>#REF!</v>
      </c>
      <c r="CV158" t="e">
        <f>IF(#REF!,"AAAAAF3/72M=",0)</f>
        <v>#REF!</v>
      </c>
      <c r="CW158" t="e">
        <f>IF(#REF!,"AAAAAF3/72Q=",0)</f>
        <v>#REF!</v>
      </c>
      <c r="CX158" t="e">
        <f>IF(#REF!,"AAAAAF3/72U=",0)</f>
        <v>#REF!</v>
      </c>
      <c r="CY158" t="e">
        <f>IF(#REF!,"AAAAAF3/72Y=",0)</f>
        <v>#REF!</v>
      </c>
      <c r="CZ158" t="e">
        <f>IF(#REF!,"AAAAAF3/72c=",0)</f>
        <v>#REF!</v>
      </c>
      <c r="DA158" t="e">
        <f>IF(#REF!,"AAAAAF3/72g=",0)</f>
        <v>#REF!</v>
      </c>
      <c r="DB158" t="e">
        <f>IF(#REF!,"AAAAAF3/72k=",0)</f>
        <v>#REF!</v>
      </c>
      <c r="DC158" t="e">
        <f>IF(#REF!,"AAAAAF3/72o=",0)</f>
        <v>#REF!</v>
      </c>
      <c r="DD158" t="e">
        <f>IF(#REF!,"AAAAAF3/72s=",0)</f>
        <v>#REF!</v>
      </c>
      <c r="DE158" t="e">
        <f>IF(#REF!,"AAAAAF3/72w=",0)</f>
        <v>#REF!</v>
      </c>
      <c r="DF158" t="e">
        <f>IF(#REF!,"AAAAAF3/720=",0)</f>
        <v>#REF!</v>
      </c>
      <c r="DG158" t="e">
        <f>IF(#REF!,"AAAAAF3/724=",0)</f>
        <v>#REF!</v>
      </c>
      <c r="DH158" t="e">
        <f>IF(#REF!,"AAAAAF3/728=",0)</f>
        <v>#REF!</v>
      </c>
      <c r="DI158" t="e">
        <f>IF(#REF!,"AAAAAF3/73A=",0)</f>
        <v>#REF!</v>
      </c>
      <c r="DJ158" t="e">
        <f>IF(#REF!,"AAAAAF3/73E=",0)</f>
        <v>#REF!</v>
      </c>
      <c r="DK158" t="e">
        <f>IF(#REF!,"AAAAAF3/73I=",0)</f>
        <v>#REF!</v>
      </c>
      <c r="DL158" t="e">
        <f>IF(#REF!,"AAAAAF3/73M=",0)</f>
        <v>#REF!</v>
      </c>
      <c r="DM158" t="e">
        <f>IF(#REF!,"AAAAAF3/73Q=",0)</f>
        <v>#REF!</v>
      </c>
      <c r="DN158" t="e">
        <f>IF(#REF!,"AAAAAF3/73U=",0)</f>
        <v>#REF!</v>
      </c>
      <c r="DO158" t="e">
        <f>IF(#REF!,"AAAAAF3/73Y=",0)</f>
        <v>#REF!</v>
      </c>
      <c r="DP158" t="e">
        <f>IF(#REF!,"AAAAAF3/73c=",0)</f>
        <v>#REF!</v>
      </c>
      <c r="DQ158" t="e">
        <f>IF(#REF!,"AAAAAF3/73g=",0)</f>
        <v>#REF!</v>
      </c>
      <c r="DR158" t="e">
        <f>IF(#REF!,"AAAAAF3/73k=",0)</f>
        <v>#REF!</v>
      </c>
      <c r="DS158" t="e">
        <f>IF(#REF!,"AAAAAF3/73o=",0)</f>
        <v>#REF!</v>
      </c>
      <c r="DT158" t="e">
        <f>IF(#REF!,"AAAAAF3/73s=",0)</f>
        <v>#REF!</v>
      </c>
      <c r="DU158" t="e">
        <f>IF(#REF!,"AAAAAF3/73w=",0)</f>
        <v>#REF!</v>
      </c>
      <c r="DV158" t="e">
        <f>IF(#REF!,"AAAAAF3/730=",0)</f>
        <v>#REF!</v>
      </c>
      <c r="DW158" t="e">
        <f>IF(#REF!,"AAAAAF3/734=",0)</f>
        <v>#REF!</v>
      </c>
      <c r="DX158" t="e">
        <f>IF(#REF!,"AAAAAF3/738=",0)</f>
        <v>#REF!</v>
      </c>
      <c r="DY158" t="e">
        <f>IF(#REF!,"AAAAAF3/74A=",0)</f>
        <v>#REF!</v>
      </c>
      <c r="DZ158" t="e">
        <f>IF(#REF!,"AAAAAF3/74E=",0)</f>
        <v>#REF!</v>
      </c>
      <c r="EA158" t="e">
        <f>IF(#REF!,"AAAAAF3/74I=",0)</f>
        <v>#REF!</v>
      </c>
      <c r="EB158" t="e">
        <f>IF(#REF!,"AAAAAF3/74M=",0)</f>
        <v>#REF!</v>
      </c>
      <c r="EC158" t="e">
        <f>IF(#REF!,"AAAAAF3/74Q=",0)</f>
        <v>#REF!</v>
      </c>
      <c r="ED158" t="e">
        <f>IF(#REF!,"AAAAAF3/74U=",0)</f>
        <v>#REF!</v>
      </c>
      <c r="EE158" t="e">
        <f>IF(#REF!,"AAAAAF3/74Y=",0)</f>
        <v>#REF!</v>
      </c>
      <c r="EF158" t="e">
        <f>IF(#REF!,"AAAAAF3/74c=",0)</f>
        <v>#REF!</v>
      </c>
      <c r="EG158" t="e">
        <f>IF(#REF!,"AAAAAF3/74g=",0)</f>
        <v>#REF!</v>
      </c>
      <c r="EH158" t="e">
        <f>IF(#REF!,"AAAAAF3/74k=",0)</f>
        <v>#REF!</v>
      </c>
      <c r="EI158" t="e">
        <f>IF(#REF!,"AAAAAF3/74o=",0)</f>
        <v>#REF!</v>
      </c>
      <c r="EJ158" t="e">
        <f>IF(#REF!,"AAAAAF3/74s=",0)</f>
        <v>#REF!</v>
      </c>
      <c r="EK158" t="e">
        <f>IF(#REF!,"AAAAAF3/74w=",0)</f>
        <v>#REF!</v>
      </c>
      <c r="EL158" t="e">
        <f>IF(#REF!,"AAAAAF3/740=",0)</f>
        <v>#REF!</v>
      </c>
      <c r="EM158" t="e">
        <f>IF(#REF!,"AAAAAF3/744=",0)</f>
        <v>#REF!</v>
      </c>
      <c r="EN158" t="e">
        <f>IF(#REF!,"AAAAAF3/748=",0)</f>
        <v>#REF!</v>
      </c>
      <c r="EO158" t="e">
        <f>IF(#REF!,"AAAAAF3/75A=",0)</f>
        <v>#REF!</v>
      </c>
      <c r="EP158" t="e">
        <f>IF(#REF!,"AAAAAF3/75E=",0)</f>
        <v>#REF!</v>
      </c>
      <c r="EQ158" t="e">
        <f>IF(#REF!,"AAAAAF3/75I=",0)</f>
        <v>#REF!</v>
      </c>
      <c r="ER158" t="e">
        <f>IF(#REF!,"AAAAAF3/75M=",0)</f>
        <v>#REF!</v>
      </c>
      <c r="ES158" t="e">
        <f>IF(#REF!,"AAAAAF3/75Q=",0)</f>
        <v>#REF!</v>
      </c>
      <c r="ET158" t="e">
        <f>IF(#REF!,"AAAAAF3/75U=",0)</f>
        <v>#REF!</v>
      </c>
      <c r="EU158" t="e">
        <f>IF(#REF!,"AAAAAF3/75Y=",0)</f>
        <v>#REF!</v>
      </c>
      <c r="EV158" t="e">
        <f>IF(#REF!,"AAAAAF3/75c=",0)</f>
        <v>#REF!</v>
      </c>
      <c r="EW158" t="e">
        <f>IF(#REF!,"AAAAAF3/75g=",0)</f>
        <v>#REF!</v>
      </c>
      <c r="EX158" t="e">
        <f>IF(#REF!,"AAAAAF3/75k=",0)</f>
        <v>#REF!</v>
      </c>
      <c r="EY158" t="e">
        <f>IF(#REF!,"AAAAAF3/75o=",0)</f>
        <v>#REF!</v>
      </c>
      <c r="EZ158" t="e">
        <f>IF(#REF!,"AAAAAF3/75s=",0)</f>
        <v>#REF!</v>
      </c>
      <c r="FA158" t="e">
        <f>IF(#REF!,"AAAAAF3/75w=",0)</f>
        <v>#REF!</v>
      </c>
      <c r="FB158" t="e">
        <f>IF(#REF!,"AAAAAF3/750=",0)</f>
        <v>#REF!</v>
      </c>
      <c r="FC158" t="e">
        <f>IF(#REF!,"AAAAAF3/754=",0)</f>
        <v>#REF!</v>
      </c>
      <c r="FD158" t="e">
        <f>IF(#REF!,"AAAAAF3/758=",0)</f>
        <v>#REF!</v>
      </c>
      <c r="FE158" t="e">
        <f>IF(#REF!,"AAAAAF3/76A=",0)</f>
        <v>#REF!</v>
      </c>
      <c r="FF158" t="e">
        <f>IF(#REF!,"AAAAAF3/76E=",0)</f>
        <v>#REF!</v>
      </c>
      <c r="FG158" t="e">
        <f>IF(#REF!,"AAAAAF3/76I=",0)</f>
        <v>#REF!</v>
      </c>
      <c r="FH158" t="e">
        <f>IF(#REF!,"AAAAAF3/76M=",0)</f>
        <v>#REF!</v>
      </c>
      <c r="FI158" t="e">
        <f>IF(#REF!,"AAAAAF3/76Q=",0)</f>
        <v>#REF!</v>
      </c>
      <c r="FJ158" t="e">
        <f>IF(#REF!,"AAAAAF3/76U=",0)</f>
        <v>#REF!</v>
      </c>
      <c r="FK158" t="e">
        <f>IF(#REF!,"AAAAAF3/76Y=",0)</f>
        <v>#REF!</v>
      </c>
      <c r="FL158" t="e">
        <f>IF(#REF!,"AAAAAF3/76c=",0)</f>
        <v>#REF!</v>
      </c>
      <c r="FM158" t="e">
        <f>IF(#REF!,"AAAAAF3/76g=",0)</f>
        <v>#REF!</v>
      </c>
      <c r="FN158" t="e">
        <f>IF(#REF!,"AAAAAF3/76k=",0)</f>
        <v>#REF!</v>
      </c>
      <c r="FO158" t="e">
        <f>IF(#REF!,"AAAAAF3/76o=",0)</f>
        <v>#REF!</v>
      </c>
      <c r="FP158" t="e">
        <f>IF(#REF!,"AAAAAF3/76s=",0)</f>
        <v>#REF!</v>
      </c>
      <c r="FQ158" t="e">
        <f>IF(#REF!,"AAAAAF3/76w=",0)</f>
        <v>#REF!</v>
      </c>
      <c r="FR158" t="e">
        <f>IF(#REF!,"AAAAAF3/760=",0)</f>
        <v>#REF!</v>
      </c>
      <c r="FS158" t="e">
        <f>IF(#REF!,"AAAAAF3/764=",0)</f>
        <v>#REF!</v>
      </c>
      <c r="FT158" t="e">
        <f>IF(#REF!,"AAAAAF3/768=",0)</f>
        <v>#REF!</v>
      </c>
      <c r="FU158" t="e">
        <f>IF(#REF!,"AAAAAF3/77A=",0)</f>
        <v>#REF!</v>
      </c>
      <c r="FV158" t="e">
        <f>IF(#REF!,"AAAAAF3/77E=",0)</f>
        <v>#REF!</v>
      </c>
      <c r="FW158" t="e">
        <f>IF(#REF!,"AAAAAF3/77I=",0)</f>
        <v>#REF!</v>
      </c>
      <c r="FX158" t="e">
        <f>IF(#REF!,"AAAAAF3/77M=",0)</f>
        <v>#REF!</v>
      </c>
      <c r="FY158" t="e">
        <f>IF(#REF!,"AAAAAF3/77Q=",0)</f>
        <v>#REF!</v>
      </c>
      <c r="FZ158" t="e">
        <f>IF(#REF!,"AAAAAF3/77U=",0)</f>
        <v>#REF!</v>
      </c>
      <c r="GA158" t="e">
        <f>IF(#REF!,"AAAAAF3/77Y=",0)</f>
        <v>#REF!</v>
      </c>
      <c r="GB158" t="e">
        <f>IF(#REF!,"AAAAAF3/77c=",0)</f>
        <v>#REF!</v>
      </c>
      <c r="GC158" t="e">
        <f>IF(#REF!,"AAAAAF3/77g=",0)</f>
        <v>#REF!</v>
      </c>
      <c r="GD158" t="e">
        <f>IF(#REF!,"AAAAAF3/77k=",0)</f>
        <v>#REF!</v>
      </c>
      <c r="GE158" t="e">
        <f>IF(#REF!,"AAAAAF3/77o=",0)</f>
        <v>#REF!</v>
      </c>
      <c r="GF158" t="e">
        <f>IF(#REF!,"AAAAAF3/77s=",0)</f>
        <v>#REF!</v>
      </c>
      <c r="GG158" t="e">
        <f>IF(#REF!,"AAAAAF3/77w=",0)</f>
        <v>#REF!</v>
      </c>
      <c r="GH158" t="e">
        <f>IF(#REF!,"AAAAAF3/770=",0)</f>
        <v>#REF!</v>
      </c>
      <c r="GI158" t="e">
        <f>IF(#REF!,"AAAAAF3/774=",0)</f>
        <v>#REF!</v>
      </c>
      <c r="GJ158" t="e">
        <f>IF(#REF!,"AAAAAF3/778=",0)</f>
        <v>#REF!</v>
      </c>
      <c r="GK158" t="e">
        <f>IF(#REF!,"AAAAAF3/78A=",0)</f>
        <v>#REF!</v>
      </c>
      <c r="GL158" t="e">
        <f>IF(#REF!,"AAAAAF3/78E=",0)</f>
        <v>#REF!</v>
      </c>
      <c r="GM158" t="e">
        <f>IF(#REF!,"AAAAAF3/78I=",0)</f>
        <v>#REF!</v>
      </c>
      <c r="GN158" t="e">
        <f>IF(#REF!,"AAAAAF3/78M=",0)</f>
        <v>#REF!</v>
      </c>
      <c r="GO158" t="e">
        <f>IF(#REF!,"AAAAAF3/78Q=",0)</f>
        <v>#REF!</v>
      </c>
      <c r="GP158" t="e">
        <f>IF(#REF!,"AAAAAF3/78U=",0)</f>
        <v>#REF!</v>
      </c>
      <c r="GQ158" t="e">
        <f>IF(#REF!,"AAAAAF3/78Y=",0)</f>
        <v>#REF!</v>
      </c>
      <c r="GR158" t="e">
        <f>IF(#REF!,"AAAAAF3/78c=",0)</f>
        <v>#REF!</v>
      </c>
      <c r="GS158" t="e">
        <f>IF(#REF!,"AAAAAF3/78g=",0)</f>
        <v>#REF!</v>
      </c>
      <c r="GT158" t="e">
        <f>IF(#REF!,"AAAAAF3/78k=",0)</f>
        <v>#REF!</v>
      </c>
      <c r="GU158" t="e">
        <f>IF(#REF!,"AAAAAF3/78o=",0)</f>
        <v>#REF!</v>
      </c>
      <c r="GV158" t="e">
        <f>IF(#REF!,"AAAAAF3/78s=",0)</f>
        <v>#REF!</v>
      </c>
      <c r="GW158" t="e">
        <f>IF(#REF!,"AAAAAF3/78w=",0)</f>
        <v>#REF!</v>
      </c>
      <c r="GX158" t="e">
        <f>IF(#REF!,"AAAAAF3/780=",0)</f>
        <v>#REF!</v>
      </c>
      <c r="GY158" t="e">
        <f>IF(#REF!,"AAAAAF3/784=",0)</f>
        <v>#REF!</v>
      </c>
      <c r="GZ158" t="e">
        <f>IF(#REF!,"AAAAAF3/788=",0)</f>
        <v>#REF!</v>
      </c>
      <c r="HA158" t="e">
        <f>IF(#REF!,"AAAAAF3/79A=",0)</f>
        <v>#REF!</v>
      </c>
      <c r="HB158" t="e">
        <f>IF(#REF!,"AAAAAF3/79E=",0)</f>
        <v>#REF!</v>
      </c>
      <c r="HC158" t="e">
        <f>IF(#REF!,"AAAAAF3/79I=",0)</f>
        <v>#REF!</v>
      </c>
      <c r="HD158" t="e">
        <f>IF(#REF!,"AAAAAF3/79M=",0)</f>
        <v>#REF!</v>
      </c>
      <c r="HE158" t="e">
        <f>IF(#REF!,"AAAAAF3/79Q=",0)</f>
        <v>#REF!</v>
      </c>
      <c r="HF158" t="e">
        <f>IF(#REF!,"AAAAAF3/79U=",0)</f>
        <v>#REF!</v>
      </c>
      <c r="HG158" t="e">
        <f>IF(#REF!,"AAAAAF3/79Y=",0)</f>
        <v>#REF!</v>
      </c>
      <c r="HH158" t="e">
        <f>IF(#REF!,"AAAAAF3/79c=",0)</f>
        <v>#REF!</v>
      </c>
      <c r="HI158" t="e">
        <f>IF(#REF!,"AAAAAF3/79g=",0)</f>
        <v>#REF!</v>
      </c>
      <c r="HJ158" t="e">
        <f>IF(#REF!,"AAAAAF3/79k=",0)</f>
        <v>#REF!</v>
      </c>
      <c r="HK158" t="e">
        <f>IF(#REF!,"AAAAAF3/79o=",0)</f>
        <v>#REF!</v>
      </c>
      <c r="HL158" t="e">
        <f>IF(#REF!,"AAAAAF3/79s=",0)</f>
        <v>#REF!</v>
      </c>
      <c r="HM158" t="e">
        <f>IF(#REF!,"AAAAAF3/79w=",0)</f>
        <v>#REF!</v>
      </c>
      <c r="HN158" t="e">
        <f>IF(#REF!,"AAAAAF3/790=",0)</f>
        <v>#REF!</v>
      </c>
      <c r="HO158" t="e">
        <f>IF(#REF!,"AAAAAF3/794=",0)</f>
        <v>#REF!</v>
      </c>
      <c r="HP158" t="e">
        <f>IF(#REF!,"AAAAAF3/798=",0)</f>
        <v>#REF!</v>
      </c>
      <c r="HQ158" t="e">
        <f>IF(#REF!,"AAAAAF3/7+A=",0)</f>
        <v>#REF!</v>
      </c>
      <c r="HR158" t="e">
        <f>IF(#REF!,"AAAAAF3/7+E=",0)</f>
        <v>#REF!</v>
      </c>
      <c r="HS158" t="e">
        <f>IF(#REF!,"AAAAAF3/7+I=",0)</f>
        <v>#REF!</v>
      </c>
      <c r="HT158" t="e">
        <f>IF(#REF!,"AAAAAF3/7+M=",0)</f>
        <v>#REF!</v>
      </c>
      <c r="HU158" t="e">
        <f>IF(#REF!,"AAAAAF3/7+Q=",0)</f>
        <v>#REF!</v>
      </c>
      <c r="HV158" t="e">
        <f>IF(#REF!,"AAAAAF3/7+U=",0)</f>
        <v>#REF!</v>
      </c>
      <c r="HW158" t="e">
        <f>IF(#REF!,"AAAAAF3/7+Y=",0)</f>
        <v>#REF!</v>
      </c>
      <c r="HX158" t="e">
        <f>IF(#REF!,"AAAAAF3/7+c=",0)</f>
        <v>#REF!</v>
      </c>
      <c r="HY158" t="e">
        <f>IF(#REF!,"AAAAAF3/7+g=",0)</f>
        <v>#REF!</v>
      </c>
      <c r="HZ158" t="e">
        <f>IF(#REF!,"AAAAAF3/7+k=",0)</f>
        <v>#REF!</v>
      </c>
      <c r="IA158" t="e">
        <f>IF(#REF!,"AAAAAF3/7+o=",0)</f>
        <v>#REF!</v>
      </c>
      <c r="IB158" t="e">
        <f>IF(#REF!,"AAAAAF3/7+s=",0)</f>
        <v>#REF!</v>
      </c>
      <c r="IC158" t="e">
        <f>IF(#REF!,"AAAAAF3/7+w=",0)</f>
        <v>#REF!</v>
      </c>
      <c r="ID158" t="e">
        <f>IF(#REF!,"AAAAAF3/7+0=",0)</f>
        <v>#REF!</v>
      </c>
      <c r="IE158" t="e">
        <f>IF(#REF!,"AAAAAF3/7+4=",0)</f>
        <v>#REF!</v>
      </c>
      <c r="IF158" t="e">
        <f>IF(#REF!,"AAAAAF3/7+8=",0)</f>
        <v>#REF!</v>
      </c>
      <c r="IG158" t="e">
        <f>IF(#REF!,"AAAAAF3/7/A=",0)</f>
        <v>#REF!</v>
      </c>
      <c r="IH158" t="e">
        <f>IF(#REF!,"AAAAAF3/7/E=",0)</f>
        <v>#REF!</v>
      </c>
      <c r="II158" t="e">
        <f>IF(#REF!,"AAAAAF3/7/I=",0)</f>
        <v>#REF!</v>
      </c>
      <c r="IJ158" t="e">
        <f>IF(#REF!,"AAAAAF3/7/M=",0)</f>
        <v>#REF!</v>
      </c>
      <c r="IK158" t="e">
        <f>IF(#REF!,"AAAAAF3/7/Q=",0)</f>
        <v>#REF!</v>
      </c>
      <c r="IL158" t="e">
        <f>IF(#REF!,"AAAAAF3/7/U=",0)</f>
        <v>#REF!</v>
      </c>
      <c r="IM158" t="e">
        <f>IF(#REF!,"AAAAAF3/7/Y=",0)</f>
        <v>#REF!</v>
      </c>
      <c r="IN158" t="e">
        <f>IF(#REF!,"AAAAAF3/7/c=",0)</f>
        <v>#REF!</v>
      </c>
      <c r="IO158" t="e">
        <f>IF(#REF!,"AAAAAF3/7/g=",0)</f>
        <v>#REF!</v>
      </c>
      <c r="IP158" t="e">
        <f>IF(#REF!,"AAAAAF3/7/k=",0)</f>
        <v>#REF!</v>
      </c>
      <c r="IQ158" t="e">
        <f>IF(#REF!,"AAAAAF3/7/o=",0)</f>
        <v>#REF!</v>
      </c>
      <c r="IR158" t="e">
        <f>IF(#REF!,"AAAAAF3/7/s=",0)</f>
        <v>#REF!</v>
      </c>
      <c r="IS158" t="e">
        <f>IF(#REF!,"AAAAAF3/7/w=",0)</f>
        <v>#REF!</v>
      </c>
      <c r="IT158" t="e">
        <f>IF(#REF!,"AAAAAF3/7/0=",0)</f>
        <v>#REF!</v>
      </c>
      <c r="IU158" t="e">
        <f>IF(#REF!,"AAAAAF3/7/4=",0)</f>
        <v>#REF!</v>
      </c>
      <c r="IV158" t="e">
        <f>IF(#REF!,"AAAAAF3/7/8=",0)</f>
        <v>#REF!</v>
      </c>
    </row>
    <row r="159" spans="1:256">
      <c r="A159" t="e">
        <f>IF(#REF!,"AAAAAFr+3wA=",0)</f>
        <v>#REF!</v>
      </c>
      <c r="B159" t="e">
        <f>IF(#REF!,"AAAAAFr+3wE=",0)</f>
        <v>#REF!</v>
      </c>
      <c r="C159" t="e">
        <f>IF(#REF!,"AAAAAFr+3wI=",0)</f>
        <v>#REF!</v>
      </c>
      <c r="D159" t="e">
        <f>IF(#REF!,"AAAAAFr+3wM=",0)</f>
        <v>#REF!</v>
      </c>
      <c r="E159" t="e">
        <f>IF(#REF!,"AAAAAFr+3wQ=",0)</f>
        <v>#REF!</v>
      </c>
      <c r="F159" t="e">
        <f>IF(#REF!,"AAAAAFr+3wU=",0)</f>
        <v>#REF!</v>
      </c>
      <c r="G159" t="e">
        <f>IF(#REF!,"AAAAAFr+3wY=",0)</f>
        <v>#REF!</v>
      </c>
      <c r="H159" t="e">
        <f>IF(#REF!,"AAAAAFr+3wc=",0)</f>
        <v>#REF!</v>
      </c>
      <c r="I159" t="e">
        <f>IF(#REF!,"AAAAAFr+3wg=",0)</f>
        <v>#REF!</v>
      </c>
      <c r="J159" t="e">
        <f>IF(#REF!,"AAAAAFr+3wk=",0)</f>
        <v>#REF!</v>
      </c>
      <c r="K159" t="e">
        <f>IF(#REF!,"AAAAAFr+3wo=",0)</f>
        <v>#REF!</v>
      </c>
      <c r="L159" t="e">
        <f>IF(#REF!,"AAAAAFr+3ws=",0)</f>
        <v>#REF!</v>
      </c>
      <c r="M159" t="e">
        <f>IF(#REF!,"AAAAAFr+3ww=",0)</f>
        <v>#REF!</v>
      </c>
      <c r="N159" t="e">
        <f>IF(#REF!,"AAAAAFr+3w0=",0)</f>
        <v>#REF!</v>
      </c>
      <c r="O159" t="e">
        <f>IF(#REF!,"AAAAAFr+3w4=",0)</f>
        <v>#REF!</v>
      </c>
      <c r="P159" t="e">
        <f>IF(#REF!,"AAAAAFr+3w8=",0)</f>
        <v>#REF!</v>
      </c>
      <c r="Q159" t="e">
        <f>IF(#REF!,"AAAAAFr+3xA=",0)</f>
        <v>#REF!</v>
      </c>
      <c r="R159" t="e">
        <f>IF(#REF!,"AAAAAFr+3xE=",0)</f>
        <v>#REF!</v>
      </c>
      <c r="S159" t="e">
        <f>IF(#REF!,"AAAAAFr+3xI=",0)</f>
        <v>#REF!</v>
      </c>
      <c r="T159" t="e">
        <f>IF(#REF!,"AAAAAFr+3xM=",0)</f>
        <v>#REF!</v>
      </c>
      <c r="U159" t="e">
        <f>IF(#REF!,"AAAAAFr+3xQ=",0)</f>
        <v>#REF!</v>
      </c>
      <c r="V159" t="e">
        <f>IF(#REF!,"AAAAAFr+3xU=",0)</f>
        <v>#REF!</v>
      </c>
      <c r="W159" t="e">
        <f>IF(#REF!,"AAAAAFr+3xY=",0)</f>
        <v>#REF!</v>
      </c>
      <c r="X159" t="e">
        <f>IF(#REF!,"AAAAAFr+3xc=",0)</f>
        <v>#REF!</v>
      </c>
      <c r="Y159" t="e">
        <f>IF(#REF!,"AAAAAFr+3xg=",0)</f>
        <v>#REF!</v>
      </c>
      <c r="Z159" t="e">
        <f>IF(#REF!,"AAAAAFr+3xk=",0)</f>
        <v>#REF!</v>
      </c>
      <c r="AA159" t="e">
        <f>IF(#REF!,"AAAAAFr+3xo=",0)</f>
        <v>#REF!</v>
      </c>
      <c r="AB159" t="e">
        <f>IF(#REF!,"AAAAAFr+3xs=",0)</f>
        <v>#REF!</v>
      </c>
      <c r="AC159" t="e">
        <f>IF(#REF!,"AAAAAFr+3xw=",0)</f>
        <v>#REF!</v>
      </c>
      <c r="AD159" t="e">
        <f>IF(#REF!,"AAAAAFr+3x0=",0)</f>
        <v>#REF!</v>
      </c>
      <c r="AE159" t="e">
        <f>IF(#REF!,"AAAAAFr+3x4=",0)</f>
        <v>#REF!</v>
      </c>
      <c r="AF159" t="e">
        <f>IF(#REF!,"AAAAAFr+3x8=",0)</f>
        <v>#REF!</v>
      </c>
      <c r="AG159" t="e">
        <f>IF(#REF!,"AAAAAFr+3yA=",0)</f>
        <v>#REF!</v>
      </c>
      <c r="AH159" t="e">
        <f>IF(#REF!,"AAAAAFr+3yE=",0)</f>
        <v>#REF!</v>
      </c>
      <c r="AI159" t="e">
        <f>IF(#REF!,"AAAAAFr+3yI=",0)</f>
        <v>#REF!</v>
      </c>
      <c r="AJ159" t="e">
        <f>IF(#REF!,"AAAAAFr+3yM=",0)</f>
        <v>#REF!</v>
      </c>
      <c r="AK159" t="e">
        <f>IF(#REF!,"AAAAAFr+3yQ=",0)</f>
        <v>#REF!</v>
      </c>
      <c r="AL159" t="e">
        <f>IF(#REF!,"AAAAAFr+3yU=",0)</f>
        <v>#REF!</v>
      </c>
      <c r="AM159" t="e">
        <f>IF(#REF!,"AAAAAFr+3yY=",0)</f>
        <v>#REF!</v>
      </c>
      <c r="AN159" t="e">
        <f>IF(#REF!,"AAAAAFr+3yc=",0)</f>
        <v>#REF!</v>
      </c>
      <c r="AO159" t="e">
        <f>IF(#REF!,"AAAAAFr+3yg=",0)</f>
        <v>#REF!</v>
      </c>
      <c r="AP159" t="e">
        <f>IF(#REF!,"AAAAAFr+3yk=",0)</f>
        <v>#REF!</v>
      </c>
      <c r="AQ159" t="e">
        <f>IF(#REF!,"AAAAAFr+3yo=",0)</f>
        <v>#REF!</v>
      </c>
      <c r="AR159" t="e">
        <f>IF(#REF!,"AAAAAFr+3ys=",0)</f>
        <v>#REF!</v>
      </c>
      <c r="AS159" t="e">
        <f>IF(#REF!,"AAAAAFr+3yw=",0)</f>
        <v>#REF!</v>
      </c>
      <c r="AT159" t="e">
        <f>IF(#REF!,"AAAAAFr+3y0=",0)</f>
        <v>#REF!</v>
      </c>
      <c r="AU159" t="e">
        <f>IF(#REF!,"AAAAAFr+3y4=",0)</f>
        <v>#REF!</v>
      </c>
      <c r="AV159" t="e">
        <f>IF(#REF!,"AAAAAFr+3y8=",0)</f>
        <v>#REF!</v>
      </c>
      <c r="AW159" t="e">
        <f>IF(#REF!,"AAAAAFr+3zA=",0)</f>
        <v>#REF!</v>
      </c>
      <c r="AX159" t="e">
        <f>IF(#REF!,"AAAAAFr+3zE=",0)</f>
        <v>#REF!</v>
      </c>
      <c r="AY159" t="e">
        <f>IF(#REF!,"AAAAAFr+3zI=",0)</f>
        <v>#REF!</v>
      </c>
      <c r="AZ159" t="e">
        <f>IF(#REF!,"AAAAAFr+3zM=",0)</f>
        <v>#REF!</v>
      </c>
      <c r="BA159" t="e">
        <f>IF(#REF!,"AAAAAFr+3zQ=",0)</f>
        <v>#REF!</v>
      </c>
      <c r="BB159" t="e">
        <f>IF(#REF!,"AAAAAFr+3zU=",0)</f>
        <v>#REF!</v>
      </c>
      <c r="BC159" t="e">
        <f>IF(#REF!,"AAAAAFr+3zY=",0)</f>
        <v>#REF!</v>
      </c>
      <c r="BD159" t="e">
        <f>IF(#REF!,"AAAAAFr+3zc=",0)</f>
        <v>#REF!</v>
      </c>
      <c r="BE159" t="e">
        <f>IF(#REF!,"AAAAAFr+3zg=",0)</f>
        <v>#REF!</v>
      </c>
      <c r="BF159" t="e">
        <f>IF(#REF!,"AAAAAFr+3zk=",0)</f>
        <v>#REF!</v>
      </c>
      <c r="BG159" t="e">
        <f>IF(#REF!,"AAAAAFr+3zo=",0)</f>
        <v>#REF!</v>
      </c>
      <c r="BH159" t="e">
        <f>IF(#REF!,"AAAAAFr+3zs=",0)</f>
        <v>#REF!</v>
      </c>
      <c r="BI159" t="e">
        <f>IF(#REF!,"AAAAAFr+3zw=",0)</f>
        <v>#REF!</v>
      </c>
      <c r="BJ159" t="e">
        <f>IF(#REF!,"AAAAAFr+3z0=",0)</f>
        <v>#REF!</v>
      </c>
      <c r="BK159" t="e">
        <f>IF(#REF!,"AAAAAFr+3z4=",0)</f>
        <v>#REF!</v>
      </c>
      <c r="BL159" t="e">
        <f>IF(#REF!,"AAAAAFr+3z8=",0)</f>
        <v>#REF!</v>
      </c>
      <c r="BM159" t="e">
        <f>IF(#REF!,"AAAAAFr+30A=",0)</f>
        <v>#REF!</v>
      </c>
      <c r="BN159" t="e">
        <f>IF(#REF!,"AAAAAFr+30E=",0)</f>
        <v>#REF!</v>
      </c>
      <c r="BO159" t="e">
        <f>IF(#REF!,"AAAAAFr+30I=",0)</f>
        <v>#REF!</v>
      </c>
      <c r="BP159" t="e">
        <f>IF(#REF!,"AAAAAFr+30M=",0)</f>
        <v>#REF!</v>
      </c>
      <c r="BQ159" t="e">
        <f>IF(#REF!,"AAAAAFr+30Q=",0)</f>
        <v>#REF!</v>
      </c>
      <c r="BR159" t="e">
        <f>IF(#REF!,"AAAAAFr+30U=",0)</f>
        <v>#REF!</v>
      </c>
      <c r="BS159" t="e">
        <f>IF(#REF!,"AAAAAFr+30Y=",0)</f>
        <v>#REF!</v>
      </c>
      <c r="BT159" t="e">
        <f>IF(#REF!,"AAAAAFr+30c=",0)</f>
        <v>#REF!</v>
      </c>
      <c r="BU159" t="e">
        <f>IF(#REF!,"AAAAAFr+30g=",0)</f>
        <v>#REF!</v>
      </c>
      <c r="BV159" t="e">
        <f>IF(#REF!,"AAAAAFr+30k=",0)</f>
        <v>#REF!</v>
      </c>
      <c r="BW159" t="e">
        <f>IF(#REF!,"AAAAAFr+30o=",0)</f>
        <v>#REF!</v>
      </c>
      <c r="BX159" t="e">
        <f>IF(#REF!,"AAAAAFr+30s=",0)</f>
        <v>#REF!</v>
      </c>
      <c r="BY159" t="e">
        <f>IF(#REF!,"AAAAAFr+30w=",0)</f>
        <v>#REF!</v>
      </c>
      <c r="BZ159" t="e">
        <f>IF(#REF!,"AAAAAFr+300=",0)</f>
        <v>#REF!</v>
      </c>
      <c r="CA159" t="e">
        <f>IF(#REF!,"AAAAAFr+304=",0)</f>
        <v>#REF!</v>
      </c>
      <c r="CB159" t="e">
        <f>IF(#REF!,"AAAAAFr+308=",0)</f>
        <v>#REF!</v>
      </c>
      <c r="CC159" t="e">
        <f>IF(#REF!,"AAAAAFr+31A=",0)</f>
        <v>#REF!</v>
      </c>
      <c r="CD159" t="e">
        <f>IF(#REF!,"AAAAAFr+31E=",0)</f>
        <v>#REF!</v>
      </c>
      <c r="CE159" t="e">
        <f>IF(#REF!,"AAAAAFr+31I=",0)</f>
        <v>#REF!</v>
      </c>
      <c r="CF159" t="e">
        <f>IF(#REF!,"AAAAAFr+31M=",0)</f>
        <v>#REF!</v>
      </c>
      <c r="CG159" t="e">
        <f>IF(#REF!,"AAAAAFr+31Q=",0)</f>
        <v>#REF!</v>
      </c>
      <c r="CH159" t="e">
        <f>IF(#REF!,"AAAAAFr+31U=",0)</f>
        <v>#REF!</v>
      </c>
      <c r="CI159" t="e">
        <f>IF(#REF!,"AAAAAFr+31Y=",0)</f>
        <v>#REF!</v>
      </c>
      <c r="CJ159" t="e">
        <f>IF(#REF!,"AAAAAFr+31c=",0)</f>
        <v>#REF!</v>
      </c>
      <c r="CK159" t="e">
        <f>IF(#REF!,"AAAAAFr+31g=",0)</f>
        <v>#REF!</v>
      </c>
      <c r="CL159" t="e">
        <f>IF(#REF!,"AAAAAFr+31k=",0)</f>
        <v>#REF!</v>
      </c>
      <c r="CM159" t="e">
        <f>IF(#REF!,"AAAAAFr+31o=",0)</f>
        <v>#REF!</v>
      </c>
      <c r="CN159" t="e">
        <f>IF(#REF!,"AAAAAFr+31s=",0)</f>
        <v>#REF!</v>
      </c>
      <c r="CO159" t="e">
        <f>IF(#REF!,"AAAAAFr+31w=",0)</f>
        <v>#REF!</v>
      </c>
      <c r="CP159" t="e">
        <f>IF(#REF!,"AAAAAFr+310=",0)</f>
        <v>#REF!</v>
      </c>
      <c r="CQ159" t="e">
        <f>IF(#REF!,"AAAAAFr+314=",0)</f>
        <v>#REF!</v>
      </c>
      <c r="CR159" t="e">
        <f>IF(#REF!,"AAAAAFr+318=",0)</f>
        <v>#REF!</v>
      </c>
      <c r="CS159" t="e">
        <f>IF(#REF!,"AAAAAFr+32A=",0)</f>
        <v>#REF!</v>
      </c>
      <c r="CT159" t="e">
        <f>IF(#REF!,"AAAAAFr+32E=",0)</f>
        <v>#REF!</v>
      </c>
      <c r="CU159" t="e">
        <f>IF(#REF!,"AAAAAFr+32I=",0)</f>
        <v>#REF!</v>
      </c>
      <c r="CV159" t="e">
        <f>IF(#REF!,"AAAAAFr+32M=",0)</f>
        <v>#REF!</v>
      </c>
      <c r="CW159" t="e">
        <f>IF(#REF!,"AAAAAFr+32Q=",0)</f>
        <v>#REF!</v>
      </c>
      <c r="CX159" t="e">
        <f>IF(#REF!,"AAAAAFr+32U=",0)</f>
        <v>#REF!</v>
      </c>
      <c r="CY159" t="e">
        <f>IF(#REF!,"AAAAAFr+32Y=",0)</f>
        <v>#REF!</v>
      </c>
      <c r="CZ159" t="e">
        <f>IF(#REF!,"AAAAAFr+32c=",0)</f>
        <v>#REF!</v>
      </c>
      <c r="DA159" t="e">
        <f>IF(#REF!,"AAAAAFr+32g=",0)</f>
        <v>#REF!</v>
      </c>
      <c r="DB159" t="e">
        <f>IF(#REF!,"AAAAAFr+32k=",0)</f>
        <v>#REF!</v>
      </c>
      <c r="DC159" t="e">
        <f>IF(#REF!,"AAAAAFr+32o=",0)</f>
        <v>#REF!</v>
      </c>
      <c r="DD159" t="e">
        <f>IF(#REF!,"AAAAAFr+32s=",0)</f>
        <v>#REF!</v>
      </c>
      <c r="DE159" t="e">
        <f>IF(#REF!,"AAAAAFr+32w=",0)</f>
        <v>#REF!</v>
      </c>
      <c r="DF159" t="e">
        <f>IF(#REF!,"AAAAAFr+320=",0)</f>
        <v>#REF!</v>
      </c>
      <c r="DG159" t="e">
        <f>IF(#REF!,"AAAAAFr+324=",0)</f>
        <v>#REF!</v>
      </c>
      <c r="DH159" t="e">
        <f>IF(#REF!,"AAAAAFr+328=",0)</f>
        <v>#REF!</v>
      </c>
      <c r="DI159" t="e">
        <f>IF(#REF!,"AAAAAFr+33A=",0)</f>
        <v>#REF!</v>
      </c>
      <c r="DJ159" t="e">
        <f>IF(#REF!,"AAAAAFr+33E=",0)</f>
        <v>#REF!</v>
      </c>
      <c r="DK159" t="e">
        <f>IF(#REF!,"AAAAAFr+33I=",0)</f>
        <v>#REF!</v>
      </c>
      <c r="DL159" t="e">
        <f>IF(#REF!,"AAAAAFr+33M=",0)</f>
        <v>#REF!</v>
      </c>
      <c r="DM159" t="e">
        <f>IF(#REF!,"AAAAAFr+33Q=",0)</f>
        <v>#REF!</v>
      </c>
      <c r="DN159" t="e">
        <f>IF(#REF!,"AAAAAFr+33U=",0)</f>
        <v>#REF!</v>
      </c>
      <c r="DO159" t="e">
        <f>IF(#REF!,"AAAAAFr+33Y=",0)</f>
        <v>#REF!</v>
      </c>
      <c r="DP159" t="e">
        <f>IF(#REF!,"AAAAAFr+33c=",0)</f>
        <v>#REF!</v>
      </c>
      <c r="DQ159" t="e">
        <f>IF(#REF!,"AAAAAFr+33g=",0)</f>
        <v>#REF!</v>
      </c>
      <c r="DR159" t="e">
        <f>IF(#REF!,"AAAAAFr+33k=",0)</f>
        <v>#REF!</v>
      </c>
      <c r="DS159" t="e">
        <f>IF(#REF!,"AAAAAFr+33o=",0)</f>
        <v>#REF!</v>
      </c>
      <c r="DT159" t="e">
        <f>IF(#REF!,"AAAAAFr+33s=",0)</f>
        <v>#REF!</v>
      </c>
      <c r="DU159" t="e">
        <f>IF(#REF!,"AAAAAFr+33w=",0)</f>
        <v>#REF!</v>
      </c>
      <c r="DV159" t="e">
        <f>IF(#REF!,"AAAAAFr+330=",0)</f>
        <v>#REF!</v>
      </c>
      <c r="DW159" t="e">
        <f>IF(#REF!,"AAAAAFr+334=",0)</f>
        <v>#REF!</v>
      </c>
      <c r="DX159" t="e">
        <f>IF(#REF!,"AAAAAFr+338=",0)</f>
        <v>#REF!</v>
      </c>
      <c r="DY159" t="e">
        <f>IF(#REF!,"AAAAAFr+34A=",0)</f>
        <v>#REF!</v>
      </c>
      <c r="DZ159" t="e">
        <f>IF(#REF!,"AAAAAFr+34E=",0)</f>
        <v>#REF!</v>
      </c>
      <c r="EA159" t="e">
        <f>IF(#REF!,"AAAAAFr+34I=",0)</f>
        <v>#REF!</v>
      </c>
      <c r="EB159" t="e">
        <f>IF(#REF!,"AAAAAFr+34M=",0)</f>
        <v>#REF!</v>
      </c>
      <c r="EC159" t="e">
        <f>IF(#REF!,"AAAAAFr+34Q=",0)</f>
        <v>#REF!</v>
      </c>
      <c r="ED159" t="e">
        <f>IF(#REF!,"AAAAAFr+34U=",0)</f>
        <v>#REF!</v>
      </c>
      <c r="EE159" t="e">
        <f>IF(#REF!,"AAAAAFr+34Y=",0)</f>
        <v>#REF!</v>
      </c>
      <c r="EF159" t="e">
        <f>IF(#REF!,"AAAAAFr+34c=",0)</f>
        <v>#REF!</v>
      </c>
      <c r="EG159" t="e">
        <f>IF(#REF!,"AAAAAFr+34g=",0)</f>
        <v>#REF!</v>
      </c>
      <c r="EH159" t="e">
        <f>IF(#REF!,"AAAAAFr+34k=",0)</f>
        <v>#REF!</v>
      </c>
      <c r="EI159" t="e">
        <f>IF(#REF!,"AAAAAFr+34o=",0)</f>
        <v>#REF!</v>
      </c>
      <c r="EJ159" t="e">
        <f>IF(#REF!,"AAAAAFr+34s=",0)</f>
        <v>#REF!</v>
      </c>
      <c r="EK159" t="e">
        <f>IF(#REF!,"AAAAAFr+34w=",0)</f>
        <v>#REF!</v>
      </c>
      <c r="EL159" t="e">
        <f>IF(#REF!,"AAAAAFr+340=",0)</f>
        <v>#REF!</v>
      </c>
      <c r="EM159" t="e">
        <f>IF(#REF!,"AAAAAFr+344=",0)</f>
        <v>#REF!</v>
      </c>
      <c r="EN159" t="e">
        <f>IF(#REF!,"AAAAAFr+348=",0)</f>
        <v>#REF!</v>
      </c>
      <c r="EO159" t="e">
        <f>IF(#REF!,"AAAAAFr+35A=",0)</f>
        <v>#REF!</v>
      </c>
      <c r="EP159" t="e">
        <f>IF(#REF!,"AAAAAFr+35E=",0)</f>
        <v>#REF!</v>
      </c>
      <c r="EQ159" t="e">
        <f>IF(#REF!,"AAAAAFr+35I=",0)</f>
        <v>#REF!</v>
      </c>
      <c r="ER159" t="e">
        <f>IF(#REF!,"AAAAAFr+35M=",0)</f>
        <v>#REF!</v>
      </c>
      <c r="ES159" t="e">
        <f>IF(#REF!,"AAAAAFr+35Q=",0)</f>
        <v>#REF!</v>
      </c>
      <c r="ET159" t="e">
        <f>IF(#REF!,"AAAAAFr+35U=",0)</f>
        <v>#REF!</v>
      </c>
      <c r="EU159" t="e">
        <f>IF(#REF!,"AAAAAFr+35Y=",0)</f>
        <v>#REF!</v>
      </c>
      <c r="EV159" t="e">
        <f>IF(#REF!,"AAAAAFr+35c=",0)</f>
        <v>#REF!</v>
      </c>
      <c r="EW159" t="e">
        <f>IF(#REF!,"AAAAAFr+35g=",0)</f>
        <v>#REF!</v>
      </c>
      <c r="EX159" t="e">
        <f>IF(#REF!,"AAAAAFr+35k=",0)</f>
        <v>#REF!</v>
      </c>
      <c r="EY159" t="e">
        <f>IF(#REF!,"AAAAAFr+35o=",0)</f>
        <v>#REF!</v>
      </c>
      <c r="EZ159" t="e">
        <f>IF(#REF!,"AAAAAFr+35s=",0)</f>
        <v>#REF!</v>
      </c>
      <c r="FA159" t="e">
        <f>IF(#REF!,"AAAAAFr+35w=",0)</f>
        <v>#REF!</v>
      </c>
      <c r="FB159" t="e">
        <f>IF(#REF!,"AAAAAFr+350=",0)</f>
        <v>#REF!</v>
      </c>
      <c r="FC159" t="e">
        <f>IF(#REF!,"AAAAAFr+354=",0)</f>
        <v>#REF!</v>
      </c>
      <c r="FD159" t="e">
        <f>IF(#REF!,"AAAAAFr+358=",0)</f>
        <v>#REF!</v>
      </c>
      <c r="FE159" t="e">
        <f>IF(#REF!,"AAAAAFr+36A=",0)</f>
        <v>#REF!</v>
      </c>
      <c r="FF159" t="e">
        <f>IF(#REF!,"AAAAAFr+36E=",0)</f>
        <v>#REF!</v>
      </c>
      <c r="FG159" t="e">
        <f>IF(#REF!,"AAAAAFr+36I=",0)</f>
        <v>#REF!</v>
      </c>
      <c r="FH159" t="e">
        <f>IF(#REF!,"AAAAAFr+36M=",0)</f>
        <v>#REF!</v>
      </c>
      <c r="FI159" t="e">
        <f>IF(#REF!,"AAAAAFr+36Q=",0)</f>
        <v>#REF!</v>
      </c>
      <c r="FJ159" t="e">
        <f>IF(#REF!,"AAAAAFr+36U=",0)</f>
        <v>#REF!</v>
      </c>
      <c r="FK159" t="e">
        <f>IF(#REF!,"AAAAAFr+36Y=",0)</f>
        <v>#REF!</v>
      </c>
      <c r="FL159" t="e">
        <f>IF(#REF!,"AAAAAFr+36c=",0)</f>
        <v>#REF!</v>
      </c>
      <c r="FM159" t="e">
        <f>IF(#REF!,"AAAAAFr+36g=",0)</f>
        <v>#REF!</v>
      </c>
      <c r="FN159" t="e">
        <f>IF(#REF!,"AAAAAFr+36k=",0)</f>
        <v>#REF!</v>
      </c>
      <c r="FO159" t="e">
        <f>IF(#REF!,"AAAAAFr+36o=",0)</f>
        <v>#REF!</v>
      </c>
      <c r="FP159" t="e">
        <f>IF(#REF!,"AAAAAFr+36s=",0)</f>
        <v>#REF!</v>
      </c>
      <c r="FQ159" t="e">
        <f>IF(#REF!,"AAAAAFr+36w=",0)</f>
        <v>#REF!</v>
      </c>
      <c r="FR159" t="e">
        <f>IF(#REF!,"AAAAAFr+360=",0)</f>
        <v>#REF!</v>
      </c>
      <c r="FS159" t="e">
        <f>IF(#REF!,"AAAAAFr+364=",0)</f>
        <v>#REF!</v>
      </c>
      <c r="FT159" t="e">
        <f>IF(#REF!,"AAAAAFr+368=",0)</f>
        <v>#REF!</v>
      </c>
      <c r="FU159" t="e">
        <f>IF(#REF!,"AAAAAFr+37A=",0)</f>
        <v>#REF!</v>
      </c>
      <c r="FV159" t="e">
        <f>IF(#REF!,"AAAAAFr+37E=",0)</f>
        <v>#REF!</v>
      </c>
      <c r="FW159" t="e">
        <f>IF(#REF!,"AAAAAFr+37I=",0)</f>
        <v>#REF!</v>
      </c>
      <c r="FX159" t="e">
        <f>IF(#REF!,"AAAAAFr+37M=",0)</f>
        <v>#REF!</v>
      </c>
      <c r="FY159" t="e">
        <f>IF(#REF!,"AAAAAFr+37Q=",0)</f>
        <v>#REF!</v>
      </c>
      <c r="FZ159" t="e">
        <f>IF(#REF!,"AAAAAFr+37U=",0)</f>
        <v>#REF!</v>
      </c>
      <c r="GA159" t="e">
        <f>IF(#REF!,"AAAAAFr+37Y=",0)</f>
        <v>#REF!</v>
      </c>
      <c r="GB159" t="e">
        <f>IF(#REF!,"AAAAAFr+37c=",0)</f>
        <v>#REF!</v>
      </c>
      <c r="GC159" t="e">
        <f>IF(#REF!,"AAAAAFr+37g=",0)</f>
        <v>#REF!</v>
      </c>
      <c r="GD159" t="e">
        <f>IF(#REF!,"AAAAAFr+37k=",0)</f>
        <v>#REF!</v>
      </c>
      <c r="GE159" t="e">
        <f>IF(#REF!,"AAAAAFr+37o=",0)</f>
        <v>#REF!</v>
      </c>
      <c r="GF159" t="e">
        <f>IF(#REF!,"AAAAAFr+37s=",0)</f>
        <v>#REF!</v>
      </c>
      <c r="GG159" t="e">
        <f>IF(#REF!,"AAAAAFr+37w=",0)</f>
        <v>#REF!</v>
      </c>
      <c r="GH159" t="e">
        <f>IF(#REF!,"AAAAAFr+370=",0)</f>
        <v>#REF!</v>
      </c>
      <c r="GI159" t="e">
        <f>IF(#REF!,"AAAAAFr+374=",0)</f>
        <v>#REF!</v>
      </c>
      <c r="GJ159" t="e">
        <f>IF(#REF!,"AAAAAFr+378=",0)</f>
        <v>#REF!</v>
      </c>
      <c r="GK159" t="e">
        <f>IF(#REF!,"AAAAAFr+38A=",0)</f>
        <v>#REF!</v>
      </c>
      <c r="GL159" t="e">
        <f>IF(#REF!,"AAAAAFr+38E=",0)</f>
        <v>#REF!</v>
      </c>
      <c r="GM159" t="e">
        <f>IF(#REF!,"AAAAAFr+38I=",0)</f>
        <v>#REF!</v>
      </c>
      <c r="GN159" t="e">
        <f>IF(#REF!,"AAAAAFr+38M=",0)</f>
        <v>#REF!</v>
      </c>
      <c r="GO159" t="e">
        <f>IF(#REF!,"AAAAAFr+38Q=",0)</f>
        <v>#REF!</v>
      </c>
      <c r="GP159" t="e">
        <f>IF(#REF!,"AAAAAFr+38U=",0)</f>
        <v>#REF!</v>
      </c>
      <c r="GQ159" t="e">
        <f>IF(#REF!,"AAAAAFr+38Y=",0)</f>
        <v>#REF!</v>
      </c>
      <c r="GR159" t="e">
        <f>IF(#REF!,"AAAAAFr+38c=",0)</f>
        <v>#REF!</v>
      </c>
      <c r="GS159" t="e">
        <f>IF(#REF!,"AAAAAFr+38g=",0)</f>
        <v>#REF!</v>
      </c>
      <c r="GT159" t="e">
        <f>IF(#REF!,"AAAAAFr+38k=",0)</f>
        <v>#REF!</v>
      </c>
      <c r="GU159" t="e">
        <f>IF(#REF!,"AAAAAFr+38o=",0)</f>
        <v>#REF!</v>
      </c>
      <c r="GV159" t="e">
        <f>IF(#REF!,"AAAAAFr+38s=",0)</f>
        <v>#REF!</v>
      </c>
      <c r="GW159" t="e">
        <f>IF(#REF!,"AAAAAFr+38w=",0)</f>
        <v>#REF!</v>
      </c>
      <c r="GX159" t="e">
        <f>IF(#REF!,"AAAAAFr+380=",0)</f>
        <v>#REF!</v>
      </c>
      <c r="GY159" t="e">
        <f>IF(#REF!,"AAAAAFr+384=",0)</f>
        <v>#REF!</v>
      </c>
      <c r="GZ159" t="e">
        <f>IF(#REF!,"AAAAAFr+388=",0)</f>
        <v>#REF!</v>
      </c>
      <c r="HA159" t="e">
        <f>IF(#REF!,"AAAAAFr+39A=",0)</f>
        <v>#REF!</v>
      </c>
      <c r="HB159" t="e">
        <f>IF(#REF!,"AAAAAFr+39E=",0)</f>
        <v>#REF!</v>
      </c>
      <c r="HC159" t="e">
        <f>IF(#REF!,"AAAAAFr+39I=",0)</f>
        <v>#REF!</v>
      </c>
      <c r="HD159" t="e">
        <f>IF(#REF!,"AAAAAFr+39M=",0)</f>
        <v>#REF!</v>
      </c>
      <c r="HE159" t="e">
        <f>IF(#REF!,"AAAAAFr+39Q=",0)</f>
        <v>#REF!</v>
      </c>
      <c r="HF159" t="e">
        <f>IF(#REF!,"AAAAAFr+39U=",0)</f>
        <v>#REF!</v>
      </c>
      <c r="HG159" t="e">
        <f>IF(#REF!,"AAAAAFr+39Y=",0)</f>
        <v>#REF!</v>
      </c>
      <c r="HH159" t="e">
        <f>IF(#REF!,"AAAAAFr+39c=",0)</f>
        <v>#REF!</v>
      </c>
      <c r="HI159" t="e">
        <f>IF(#REF!,"AAAAAFr+39g=",0)</f>
        <v>#REF!</v>
      </c>
      <c r="HJ159" t="e">
        <f>IF(#REF!,"AAAAAFr+39k=",0)</f>
        <v>#REF!</v>
      </c>
      <c r="HK159" t="e">
        <f>IF(#REF!,"AAAAAFr+39o=",0)</f>
        <v>#REF!</v>
      </c>
      <c r="HL159" t="e">
        <f>IF(#REF!,"AAAAAFr+39s=",0)</f>
        <v>#REF!</v>
      </c>
      <c r="HM159" t="e">
        <f>IF(#REF!,"AAAAAFr+39w=",0)</f>
        <v>#REF!</v>
      </c>
      <c r="HN159" t="e">
        <f>IF(#REF!,"AAAAAFr+390=",0)</f>
        <v>#REF!</v>
      </c>
      <c r="HO159" t="e">
        <f>IF(#REF!,"AAAAAFr+394=",0)</f>
        <v>#REF!</v>
      </c>
      <c r="HP159" t="e">
        <f>IF(#REF!,"AAAAAFr+398=",0)</f>
        <v>#REF!</v>
      </c>
      <c r="HQ159" t="e">
        <f>IF(#REF!,"AAAAAFr+3+A=",0)</f>
        <v>#REF!</v>
      </c>
      <c r="HR159" t="e">
        <f>IF(#REF!,"AAAAAFr+3+E=",0)</f>
        <v>#REF!</v>
      </c>
      <c r="HS159" t="e">
        <f>IF(#REF!,"AAAAAFr+3+I=",0)</f>
        <v>#REF!</v>
      </c>
      <c r="HT159" t="e">
        <f>IF(#REF!,"AAAAAFr+3+M=",0)</f>
        <v>#REF!</v>
      </c>
      <c r="HU159" t="e">
        <f>IF(#REF!,"AAAAAFr+3+Q=",0)</f>
        <v>#REF!</v>
      </c>
      <c r="HV159" t="e">
        <f>IF(#REF!,"AAAAAFr+3+U=",0)</f>
        <v>#REF!</v>
      </c>
      <c r="HW159" t="e">
        <f>IF(#REF!,"AAAAAFr+3+Y=",0)</f>
        <v>#REF!</v>
      </c>
      <c r="HX159" t="e">
        <f>IF(#REF!,"AAAAAFr+3+c=",0)</f>
        <v>#REF!</v>
      </c>
      <c r="HY159" t="e">
        <f>IF(#REF!,"AAAAAFr+3+g=",0)</f>
        <v>#REF!</v>
      </c>
      <c r="HZ159" t="e">
        <f>IF(#REF!,"AAAAAFr+3+k=",0)</f>
        <v>#REF!</v>
      </c>
      <c r="IA159" t="e">
        <f>IF(#REF!,"AAAAAFr+3+o=",0)</f>
        <v>#REF!</v>
      </c>
      <c r="IB159" t="e">
        <f>IF(#REF!,"AAAAAFr+3+s=",0)</f>
        <v>#REF!</v>
      </c>
      <c r="IC159" t="e">
        <f>IF(#REF!,"AAAAAFr+3+w=",0)</f>
        <v>#REF!</v>
      </c>
      <c r="ID159" t="e">
        <f>IF(#REF!,"AAAAAFr+3+0=",0)</f>
        <v>#REF!</v>
      </c>
      <c r="IE159" t="e">
        <f>IF(#REF!,"AAAAAFr+3+4=",0)</f>
        <v>#REF!</v>
      </c>
      <c r="IF159" t="e">
        <f>IF(#REF!,"AAAAAFr+3+8=",0)</f>
        <v>#REF!</v>
      </c>
      <c r="IG159" t="e">
        <f>IF(#REF!,"AAAAAFr+3/A=",0)</f>
        <v>#REF!</v>
      </c>
      <c r="IH159" t="e">
        <f>IF(#REF!,"AAAAAFr+3/E=",0)</f>
        <v>#REF!</v>
      </c>
      <c r="II159" t="e">
        <f>IF(#REF!,"AAAAAFr+3/I=",0)</f>
        <v>#REF!</v>
      </c>
      <c r="IJ159" t="e">
        <f>IF(#REF!,"AAAAAFr+3/M=",0)</f>
        <v>#REF!</v>
      </c>
      <c r="IK159" t="e">
        <f>IF(#REF!,"AAAAAFr+3/Q=",0)</f>
        <v>#REF!</v>
      </c>
      <c r="IL159" t="e">
        <f>IF(#REF!,"AAAAAFr+3/U=",0)</f>
        <v>#REF!</v>
      </c>
      <c r="IM159" t="e">
        <f>IF(#REF!,"AAAAAFr+3/Y=",0)</f>
        <v>#REF!</v>
      </c>
      <c r="IN159" t="e">
        <f>IF(#REF!,"AAAAAFr+3/c=",0)</f>
        <v>#REF!</v>
      </c>
      <c r="IO159" t="e">
        <f>IF(#REF!,"AAAAAFr+3/g=",0)</f>
        <v>#REF!</v>
      </c>
      <c r="IP159" t="e">
        <f>IF(#REF!,"AAAAAFr+3/k=",0)</f>
        <v>#REF!</v>
      </c>
      <c r="IQ159" t="e">
        <f>IF(#REF!,"AAAAAFr+3/o=",0)</f>
        <v>#REF!</v>
      </c>
      <c r="IR159" t="e">
        <f>IF(#REF!,"AAAAAFr+3/s=",0)</f>
        <v>#REF!</v>
      </c>
      <c r="IS159" t="e">
        <f>IF(#REF!,"AAAAAFr+3/w=",0)</f>
        <v>#REF!</v>
      </c>
      <c r="IT159" t="e">
        <f>IF(#REF!,"AAAAAFr+3/0=",0)</f>
        <v>#REF!</v>
      </c>
      <c r="IU159" t="e">
        <f>IF(#REF!,"AAAAAFr+3/4=",0)</f>
        <v>#REF!</v>
      </c>
      <c r="IV159" t="e">
        <f>IF(#REF!,"AAAAAFr+3/8=",0)</f>
        <v>#REF!</v>
      </c>
    </row>
    <row r="160" spans="1:256">
      <c r="A160" t="e">
        <f>IF(#REF!,"AAAAAA+/9wA=",0)</f>
        <v>#REF!</v>
      </c>
      <c r="B160" t="e">
        <f>IF(#REF!,"AAAAAA+/9wE=",0)</f>
        <v>#REF!</v>
      </c>
      <c r="C160" t="e">
        <f>IF(#REF!,"AAAAAA+/9wI=",0)</f>
        <v>#REF!</v>
      </c>
      <c r="D160" t="e">
        <f>IF(#REF!,"AAAAAA+/9wM=",0)</f>
        <v>#REF!</v>
      </c>
      <c r="E160" t="e">
        <f>IF(#REF!,"AAAAAA+/9wQ=",0)</f>
        <v>#REF!</v>
      </c>
      <c r="F160" t="e">
        <f>IF(#REF!,"AAAAAA+/9wU=",0)</f>
        <v>#REF!</v>
      </c>
      <c r="G160" t="e">
        <f>IF(#REF!,"AAAAAA+/9wY=",0)</f>
        <v>#REF!</v>
      </c>
      <c r="H160" t="e">
        <f>IF(#REF!,"AAAAAA+/9wc=",0)</f>
        <v>#REF!</v>
      </c>
      <c r="I160" t="e">
        <f>IF(#REF!,"AAAAAA+/9wg=",0)</f>
        <v>#REF!</v>
      </c>
      <c r="J160" t="e">
        <f>IF(#REF!,"AAAAAA+/9wk=",0)</f>
        <v>#REF!</v>
      </c>
      <c r="K160" t="e">
        <f>IF(#REF!,"AAAAAA+/9wo=",0)</f>
        <v>#REF!</v>
      </c>
      <c r="L160" t="e">
        <f>IF(#REF!,"AAAAAA+/9ws=",0)</f>
        <v>#REF!</v>
      </c>
      <c r="M160" t="e">
        <f>IF(#REF!,"AAAAAA+/9ww=",0)</f>
        <v>#REF!</v>
      </c>
      <c r="N160" t="e">
        <f>IF(#REF!,"AAAAAA+/9w0=",0)</f>
        <v>#REF!</v>
      </c>
      <c r="O160" t="e">
        <f>IF(#REF!,"AAAAAA+/9w4=",0)</f>
        <v>#REF!</v>
      </c>
      <c r="P160" t="e">
        <f>IF(#REF!,"AAAAAA+/9w8=",0)</f>
        <v>#REF!</v>
      </c>
      <c r="Q160" t="e">
        <f>IF(#REF!,"AAAAAA+/9xA=",0)</f>
        <v>#REF!</v>
      </c>
      <c r="R160" t="e">
        <f>IF(#REF!,"AAAAAA+/9xE=",0)</f>
        <v>#REF!</v>
      </c>
      <c r="S160" t="e">
        <f>IF(#REF!,"AAAAAA+/9xI=",0)</f>
        <v>#REF!</v>
      </c>
      <c r="T160" t="e">
        <f>IF(#REF!,"AAAAAA+/9xM=",0)</f>
        <v>#REF!</v>
      </c>
      <c r="U160" t="e">
        <f>IF(#REF!,"AAAAAA+/9xQ=",0)</f>
        <v>#REF!</v>
      </c>
      <c r="V160" t="e">
        <f>IF(#REF!,"AAAAAA+/9xU=",0)</f>
        <v>#REF!</v>
      </c>
      <c r="W160" t="e">
        <f>IF(#REF!,"AAAAAA+/9xY=",0)</f>
        <v>#REF!</v>
      </c>
      <c r="X160" t="e">
        <f>IF(#REF!,"AAAAAA+/9xc=",0)</f>
        <v>#REF!</v>
      </c>
      <c r="Y160" t="e">
        <f>IF(#REF!,"AAAAAA+/9xg=",0)</f>
        <v>#REF!</v>
      </c>
      <c r="Z160" t="e">
        <f>IF(#REF!,"AAAAAA+/9xk=",0)</f>
        <v>#REF!</v>
      </c>
      <c r="AA160" t="e">
        <f>IF(#REF!,"AAAAAA+/9xo=",0)</f>
        <v>#REF!</v>
      </c>
      <c r="AB160" t="e">
        <f>IF(#REF!,"AAAAAA+/9xs=",0)</f>
        <v>#REF!</v>
      </c>
      <c r="AC160" t="e">
        <f>IF(#REF!,"AAAAAA+/9xw=",0)</f>
        <v>#REF!</v>
      </c>
      <c r="AD160" t="e">
        <f>IF(#REF!,"AAAAAA+/9x0=",0)</f>
        <v>#REF!</v>
      </c>
      <c r="AE160" t="e">
        <f>IF(#REF!,"AAAAAA+/9x4=",0)</f>
        <v>#REF!</v>
      </c>
      <c r="AF160" t="e">
        <f>IF(#REF!,"AAAAAA+/9x8=",0)</f>
        <v>#REF!</v>
      </c>
      <c r="AG160" t="e">
        <f>IF(#REF!,"AAAAAA+/9yA=",0)</f>
        <v>#REF!</v>
      </c>
      <c r="AH160" t="e">
        <f>IF(#REF!,"AAAAAA+/9yE=",0)</f>
        <v>#REF!</v>
      </c>
      <c r="AI160" t="e">
        <f>IF(#REF!,"AAAAAA+/9yI=",0)</f>
        <v>#REF!</v>
      </c>
      <c r="AJ160" t="e">
        <f>IF(#REF!,"AAAAAA+/9yM=",0)</f>
        <v>#REF!</v>
      </c>
      <c r="AK160" t="e">
        <f>IF(#REF!,"AAAAAA+/9yQ=",0)</f>
        <v>#REF!</v>
      </c>
      <c r="AL160" t="e">
        <f>IF(#REF!,"AAAAAA+/9yU=",0)</f>
        <v>#REF!</v>
      </c>
      <c r="AM160" t="e">
        <f>IF(#REF!,"AAAAAA+/9yY=",0)</f>
        <v>#REF!</v>
      </c>
      <c r="AN160" t="e">
        <f>IF(#REF!,"AAAAAA+/9yc=",0)</f>
        <v>#REF!</v>
      </c>
      <c r="AO160" t="e">
        <f>IF(#REF!,"AAAAAA+/9yg=",0)</f>
        <v>#REF!</v>
      </c>
      <c r="AP160" t="e">
        <f>IF(#REF!,"AAAAAA+/9yk=",0)</f>
        <v>#REF!</v>
      </c>
      <c r="AQ160" t="e">
        <f>IF(#REF!,"AAAAAA+/9yo=",0)</f>
        <v>#REF!</v>
      </c>
      <c r="AR160" t="e">
        <f>IF(#REF!,"AAAAAA+/9ys=",0)</f>
        <v>#REF!</v>
      </c>
      <c r="AS160" t="e">
        <f>IF(#REF!,"AAAAAA+/9yw=",0)</f>
        <v>#REF!</v>
      </c>
      <c r="AT160" t="e">
        <f>IF(#REF!,"AAAAAA+/9y0=",0)</f>
        <v>#REF!</v>
      </c>
      <c r="AU160" t="e">
        <f>IF(#REF!,"AAAAAA+/9y4=",0)</f>
        <v>#REF!</v>
      </c>
      <c r="AV160" t="e">
        <f>IF(#REF!,"AAAAAA+/9y8=",0)</f>
        <v>#REF!</v>
      </c>
      <c r="AW160" t="e">
        <f>IF(#REF!,"AAAAAA+/9zA=",0)</f>
        <v>#REF!</v>
      </c>
      <c r="AX160" t="e">
        <f>IF(#REF!,"AAAAAA+/9zE=",0)</f>
        <v>#REF!</v>
      </c>
      <c r="AY160" t="e">
        <f>IF(#REF!,"AAAAAA+/9zI=",0)</f>
        <v>#REF!</v>
      </c>
      <c r="AZ160" t="e">
        <f>IF(#REF!,"AAAAAA+/9zM=",0)</f>
        <v>#REF!</v>
      </c>
      <c r="BA160" t="e">
        <f>IF(#REF!,"AAAAAA+/9zQ=",0)</f>
        <v>#REF!</v>
      </c>
      <c r="BB160" t="e">
        <f>IF(#REF!,"AAAAAA+/9zU=",0)</f>
        <v>#REF!</v>
      </c>
      <c r="BC160" t="e">
        <f>IF(#REF!,"AAAAAA+/9zY=",0)</f>
        <v>#REF!</v>
      </c>
      <c r="BD160" t="e">
        <f>IF(#REF!,"AAAAAA+/9zc=",0)</f>
        <v>#REF!</v>
      </c>
      <c r="BE160" t="e">
        <f>IF(#REF!,"AAAAAA+/9zg=",0)</f>
        <v>#REF!</v>
      </c>
      <c r="BF160" t="e">
        <f>IF(#REF!,"AAAAAA+/9zk=",0)</f>
        <v>#REF!</v>
      </c>
      <c r="BG160" t="e">
        <f>IF(#REF!,"AAAAAA+/9zo=",0)</f>
        <v>#REF!</v>
      </c>
      <c r="BH160" t="e">
        <f>IF(#REF!,"AAAAAA+/9zs=",0)</f>
        <v>#REF!</v>
      </c>
      <c r="BI160" t="e">
        <f>IF(#REF!,"AAAAAA+/9zw=",0)</f>
        <v>#REF!</v>
      </c>
      <c r="BJ160" t="e">
        <f>IF(#REF!,"AAAAAA+/9z0=",0)</f>
        <v>#REF!</v>
      </c>
      <c r="BK160" t="e">
        <f>IF(#REF!,"AAAAAA+/9z4=",0)</f>
        <v>#REF!</v>
      </c>
      <c r="BL160" t="e">
        <f>IF(#REF!,"AAAAAA+/9z8=",0)</f>
        <v>#REF!</v>
      </c>
      <c r="BM160" t="e">
        <f>IF(#REF!,"AAAAAA+/90A=",0)</f>
        <v>#REF!</v>
      </c>
      <c r="BN160" t="e">
        <f>IF(#REF!,"AAAAAA+/90E=",0)</f>
        <v>#REF!</v>
      </c>
      <c r="BO160" t="e">
        <f>IF(#REF!,"AAAAAA+/90I=",0)</f>
        <v>#REF!</v>
      </c>
      <c r="BP160" t="e">
        <f>IF(#REF!,"AAAAAA+/90M=",0)</f>
        <v>#REF!</v>
      </c>
      <c r="BQ160" t="e">
        <f>IF(#REF!,"AAAAAA+/90Q=",0)</f>
        <v>#REF!</v>
      </c>
      <c r="BR160" t="e">
        <f>IF(#REF!,"AAAAAA+/90U=",0)</f>
        <v>#REF!</v>
      </c>
      <c r="BS160" t="e">
        <f>IF(#REF!,"AAAAAA+/90Y=",0)</f>
        <v>#REF!</v>
      </c>
      <c r="BT160" t="e">
        <f>IF(#REF!,"AAAAAA+/90c=",0)</f>
        <v>#REF!</v>
      </c>
      <c r="BU160" t="e">
        <f>IF(#REF!,"AAAAAA+/90g=",0)</f>
        <v>#REF!</v>
      </c>
      <c r="BV160" t="e">
        <f>IF(#REF!,"AAAAAA+/90k=",0)</f>
        <v>#REF!</v>
      </c>
      <c r="BW160" t="e">
        <f>IF(#REF!,"AAAAAA+/90o=",0)</f>
        <v>#REF!</v>
      </c>
      <c r="BX160" t="e">
        <f>IF(#REF!,"AAAAAA+/90s=",0)</f>
        <v>#REF!</v>
      </c>
      <c r="BY160" t="e">
        <f>IF(#REF!,"AAAAAA+/90w=",0)</f>
        <v>#REF!</v>
      </c>
      <c r="BZ160" t="e">
        <f>IF(#REF!,"AAAAAA+/900=",0)</f>
        <v>#REF!</v>
      </c>
      <c r="CA160" t="e">
        <f>IF(#REF!,"AAAAAA+/904=",0)</f>
        <v>#REF!</v>
      </c>
      <c r="CB160" t="e">
        <f>IF(#REF!,"AAAAAA+/908=",0)</f>
        <v>#REF!</v>
      </c>
      <c r="CC160" t="e">
        <f>IF(#REF!,"AAAAAA+/91A=",0)</f>
        <v>#REF!</v>
      </c>
      <c r="CD160" t="e">
        <f>IF(#REF!,"AAAAAA+/91E=",0)</f>
        <v>#REF!</v>
      </c>
      <c r="CE160" t="e">
        <f>IF(#REF!,"AAAAAA+/91I=",0)</f>
        <v>#REF!</v>
      </c>
      <c r="CF160" t="e">
        <f>IF(#REF!,"AAAAAA+/91M=",0)</f>
        <v>#REF!</v>
      </c>
      <c r="CG160" t="e">
        <f>IF(#REF!,"AAAAAA+/91Q=",0)</f>
        <v>#REF!</v>
      </c>
      <c r="CH160" t="e">
        <f>IF(#REF!,"AAAAAA+/91U=",0)</f>
        <v>#REF!</v>
      </c>
      <c r="CI160" t="e">
        <f>IF(#REF!,"AAAAAA+/91Y=",0)</f>
        <v>#REF!</v>
      </c>
      <c r="CJ160" t="e">
        <f>IF(#REF!,"AAAAAA+/91c=",0)</f>
        <v>#REF!</v>
      </c>
      <c r="CK160" t="e">
        <f>IF(#REF!,"AAAAAA+/91g=",0)</f>
        <v>#REF!</v>
      </c>
      <c r="CL160" t="e">
        <f>IF(#REF!,"AAAAAA+/91k=",0)</f>
        <v>#REF!</v>
      </c>
      <c r="CM160" t="e">
        <f>IF(#REF!,"AAAAAA+/91o=",0)</f>
        <v>#REF!</v>
      </c>
      <c r="CN160" t="e">
        <f>IF(#REF!,"AAAAAA+/91s=",0)</f>
        <v>#REF!</v>
      </c>
      <c r="CO160" t="e">
        <f>IF(#REF!,"AAAAAA+/91w=",0)</f>
        <v>#REF!</v>
      </c>
      <c r="CP160" t="e">
        <f>IF(#REF!,"AAAAAA+/910=",0)</f>
        <v>#REF!</v>
      </c>
      <c r="CQ160" t="e">
        <f>IF(#REF!,"AAAAAA+/914=",0)</f>
        <v>#REF!</v>
      </c>
      <c r="CR160" t="e">
        <f>IF(#REF!,"AAAAAA+/918=",0)</f>
        <v>#REF!</v>
      </c>
      <c r="CS160" t="e">
        <f>IF(#REF!,"AAAAAA+/92A=",0)</f>
        <v>#REF!</v>
      </c>
      <c r="CT160" t="e">
        <f>IF(#REF!,"AAAAAA+/92E=",0)</f>
        <v>#REF!</v>
      </c>
      <c r="CU160" t="e">
        <f>IF(#REF!,"AAAAAA+/92I=",0)</f>
        <v>#REF!</v>
      </c>
      <c r="CV160" t="e">
        <f>IF(#REF!,"AAAAAA+/92M=",0)</f>
        <v>#REF!</v>
      </c>
      <c r="CW160" t="e">
        <f>IF(#REF!,"AAAAAA+/92Q=",0)</f>
        <v>#REF!</v>
      </c>
      <c r="CX160" t="e">
        <f>IF(#REF!,"AAAAAA+/92U=",0)</f>
        <v>#REF!</v>
      </c>
      <c r="CY160" t="e">
        <f>IF(#REF!,"AAAAAA+/92Y=",0)</f>
        <v>#REF!</v>
      </c>
      <c r="CZ160" t="e">
        <f>IF(#REF!,"AAAAAA+/92c=",0)</f>
        <v>#REF!</v>
      </c>
      <c r="DA160" t="e">
        <f>IF(#REF!,"AAAAAA+/92g=",0)</f>
        <v>#REF!</v>
      </c>
      <c r="DB160" t="e">
        <f>IF(#REF!,"AAAAAA+/92k=",0)</f>
        <v>#REF!</v>
      </c>
      <c r="DC160" t="e">
        <f>IF(#REF!,"AAAAAA+/92o=",0)</f>
        <v>#REF!</v>
      </c>
      <c r="DD160" t="e">
        <f>IF(#REF!,"AAAAAA+/92s=",0)</f>
        <v>#REF!</v>
      </c>
      <c r="DE160" t="e">
        <f>IF(#REF!,"AAAAAA+/92w=",0)</f>
        <v>#REF!</v>
      </c>
      <c r="DF160" t="e">
        <f>IF(#REF!,"AAAAAA+/920=",0)</f>
        <v>#REF!</v>
      </c>
      <c r="DG160" t="e">
        <f>IF(#REF!,"AAAAAA+/924=",0)</f>
        <v>#REF!</v>
      </c>
      <c r="DH160" t="e">
        <f>IF(#REF!,"AAAAAA+/928=",0)</f>
        <v>#REF!</v>
      </c>
      <c r="DI160" t="e">
        <f>IF(#REF!,"AAAAAA+/93A=",0)</f>
        <v>#REF!</v>
      </c>
      <c r="DJ160" t="e">
        <f>IF(#REF!,"AAAAAA+/93E=",0)</f>
        <v>#REF!</v>
      </c>
      <c r="DK160" t="e">
        <f>IF(#REF!,"AAAAAA+/93I=",0)</f>
        <v>#REF!</v>
      </c>
      <c r="DL160" t="e">
        <f>IF(#REF!,"AAAAAA+/93M=",0)</f>
        <v>#REF!</v>
      </c>
      <c r="DM160" t="e">
        <f>IF(#REF!,"AAAAAA+/93Q=",0)</f>
        <v>#REF!</v>
      </c>
      <c r="DN160" t="e">
        <f>IF(#REF!,"AAAAAA+/93U=",0)</f>
        <v>#REF!</v>
      </c>
      <c r="DO160" t="e">
        <f>IF(#REF!,"AAAAAA+/93Y=",0)</f>
        <v>#REF!</v>
      </c>
      <c r="DP160" t="e">
        <f>IF(#REF!,"AAAAAA+/93c=",0)</f>
        <v>#REF!</v>
      </c>
      <c r="DQ160" t="e">
        <f>IF(#REF!,"AAAAAA+/93g=",0)</f>
        <v>#REF!</v>
      </c>
      <c r="DR160" t="e">
        <f>IF(#REF!,"AAAAAA+/93k=",0)</f>
        <v>#REF!</v>
      </c>
      <c r="DS160" t="e">
        <f>IF(#REF!,"AAAAAA+/93o=",0)</f>
        <v>#REF!</v>
      </c>
      <c r="DT160" t="e">
        <f>IF(#REF!,"AAAAAA+/93s=",0)</f>
        <v>#REF!</v>
      </c>
      <c r="DU160" t="e">
        <f>IF(#REF!,"AAAAAA+/93w=",0)</f>
        <v>#REF!</v>
      </c>
      <c r="DV160" t="e">
        <f>IF(#REF!,"AAAAAA+/930=",0)</f>
        <v>#REF!</v>
      </c>
      <c r="DW160" t="e">
        <f>IF(#REF!,"AAAAAA+/934=",0)</f>
        <v>#REF!</v>
      </c>
      <c r="DX160" t="e">
        <f>IF(#REF!,"AAAAAA+/938=",0)</f>
        <v>#REF!</v>
      </c>
      <c r="DY160" t="e">
        <f>IF(#REF!,"AAAAAA+/94A=",0)</f>
        <v>#REF!</v>
      </c>
      <c r="DZ160" t="e">
        <f>IF(#REF!,"AAAAAA+/94E=",0)</f>
        <v>#REF!</v>
      </c>
      <c r="EA160" t="e">
        <f>IF(#REF!,"AAAAAA+/94I=",0)</f>
        <v>#REF!</v>
      </c>
      <c r="EB160" t="e">
        <f>IF(#REF!,"AAAAAA+/94M=",0)</f>
        <v>#REF!</v>
      </c>
      <c r="EC160" t="e">
        <f>IF(#REF!,"AAAAAA+/94Q=",0)</f>
        <v>#REF!</v>
      </c>
      <c r="ED160" t="e">
        <f>IF(#REF!,"AAAAAA+/94U=",0)</f>
        <v>#REF!</v>
      </c>
      <c r="EE160" t="e">
        <f>IF(#REF!,"AAAAAA+/94Y=",0)</f>
        <v>#REF!</v>
      </c>
      <c r="EF160" t="e">
        <f>IF(#REF!,"AAAAAA+/94c=",0)</f>
        <v>#REF!</v>
      </c>
      <c r="EG160" t="e">
        <f>IF(#REF!,"AAAAAA+/94g=",0)</f>
        <v>#REF!</v>
      </c>
      <c r="EH160" t="e">
        <f>IF(#REF!,"AAAAAA+/94k=",0)</f>
        <v>#REF!</v>
      </c>
      <c r="EI160" t="e">
        <f>IF(#REF!,"AAAAAA+/94o=",0)</f>
        <v>#REF!</v>
      </c>
      <c r="EJ160" t="e">
        <f>IF(#REF!,"AAAAAA+/94s=",0)</f>
        <v>#REF!</v>
      </c>
      <c r="EK160" t="e">
        <f>IF(#REF!,"AAAAAA+/94w=",0)</f>
        <v>#REF!</v>
      </c>
      <c r="EL160" t="e">
        <f>IF(#REF!,"AAAAAA+/940=",0)</f>
        <v>#REF!</v>
      </c>
      <c r="EM160" t="e">
        <f>IF(#REF!,"AAAAAA+/944=",0)</f>
        <v>#REF!</v>
      </c>
      <c r="EN160" t="e">
        <f>IF(#REF!,"AAAAAA+/948=",0)</f>
        <v>#REF!</v>
      </c>
      <c r="EO160" t="e">
        <f>IF(#REF!,"AAAAAA+/95A=",0)</f>
        <v>#REF!</v>
      </c>
      <c r="EP160" t="e">
        <f>IF(#REF!,"AAAAAA+/95E=",0)</f>
        <v>#REF!</v>
      </c>
      <c r="EQ160" t="e">
        <f>IF(#REF!,"AAAAAA+/95I=",0)</f>
        <v>#REF!</v>
      </c>
      <c r="ER160" t="e">
        <f>IF(#REF!,"AAAAAA+/95M=",0)</f>
        <v>#REF!</v>
      </c>
      <c r="ES160" t="e">
        <f>IF(#REF!,"AAAAAA+/95Q=",0)</f>
        <v>#REF!</v>
      </c>
      <c r="ET160" t="e">
        <f>IF(#REF!,"AAAAAA+/95U=",0)</f>
        <v>#REF!</v>
      </c>
      <c r="EU160" t="e">
        <f>IF(#REF!,"AAAAAA+/95Y=",0)</f>
        <v>#REF!</v>
      </c>
      <c r="EV160" t="e">
        <f>IF(#REF!,"AAAAAA+/95c=",0)</f>
        <v>#REF!</v>
      </c>
      <c r="EW160" t="e">
        <f>IF(#REF!,"AAAAAA+/95g=",0)</f>
        <v>#REF!</v>
      </c>
      <c r="EX160" t="e">
        <f>IF(#REF!,"AAAAAA+/95k=",0)</f>
        <v>#REF!</v>
      </c>
      <c r="EY160" t="e">
        <f>IF(#REF!,"AAAAAA+/95o=",0)</f>
        <v>#REF!</v>
      </c>
      <c r="EZ160" t="e">
        <f>IF(#REF!,"AAAAAA+/95s=",0)</f>
        <v>#REF!</v>
      </c>
      <c r="FA160" t="e">
        <f>IF(#REF!,"AAAAAA+/95w=",0)</f>
        <v>#REF!</v>
      </c>
      <c r="FB160" t="e">
        <f>IF(#REF!,"AAAAAA+/950=",0)</f>
        <v>#REF!</v>
      </c>
      <c r="FC160" t="e">
        <f>IF(#REF!,"AAAAAA+/954=",0)</f>
        <v>#REF!</v>
      </c>
      <c r="FD160" t="e">
        <f>IF(#REF!,"AAAAAA+/958=",0)</f>
        <v>#REF!</v>
      </c>
      <c r="FE160" t="e">
        <f>IF(#REF!,"AAAAAA+/96A=",0)</f>
        <v>#REF!</v>
      </c>
      <c r="FF160" t="e">
        <f>IF(#REF!,"AAAAAA+/96E=",0)</f>
        <v>#REF!</v>
      </c>
      <c r="FG160" t="e">
        <f>IF(#REF!,"AAAAAA+/96I=",0)</f>
        <v>#REF!</v>
      </c>
      <c r="FH160" t="e">
        <f>IF(#REF!,"AAAAAA+/96M=",0)</f>
        <v>#REF!</v>
      </c>
      <c r="FI160" t="e">
        <f>IF(#REF!,"AAAAAA+/96Q=",0)</f>
        <v>#REF!</v>
      </c>
      <c r="FJ160" t="e">
        <f>IF(#REF!,"AAAAAA+/96U=",0)</f>
        <v>#REF!</v>
      </c>
      <c r="FK160" t="e">
        <f>IF(#REF!,"AAAAAA+/96Y=",0)</f>
        <v>#REF!</v>
      </c>
      <c r="FL160" t="e">
        <f>IF(#REF!,"AAAAAA+/96c=",0)</f>
        <v>#REF!</v>
      </c>
      <c r="FM160" t="e">
        <f>IF(#REF!,"AAAAAA+/96g=",0)</f>
        <v>#REF!</v>
      </c>
      <c r="FN160" t="e">
        <f>IF(#REF!,"AAAAAA+/96k=",0)</f>
        <v>#REF!</v>
      </c>
      <c r="FO160" t="e">
        <f>IF(#REF!,"AAAAAA+/96o=",0)</f>
        <v>#REF!</v>
      </c>
      <c r="FP160" t="e">
        <f>IF(#REF!,"AAAAAA+/96s=",0)</f>
        <v>#REF!</v>
      </c>
      <c r="FQ160" t="e">
        <f>IF(#REF!,"AAAAAA+/96w=",0)</f>
        <v>#REF!</v>
      </c>
      <c r="FR160" t="e">
        <f>IF(#REF!,"AAAAAA+/960=",0)</f>
        <v>#REF!</v>
      </c>
      <c r="FS160" t="e">
        <f>IF(#REF!,"AAAAAA+/964=",0)</f>
        <v>#REF!</v>
      </c>
      <c r="FT160" t="e">
        <f>IF(#REF!,"AAAAAA+/968=",0)</f>
        <v>#REF!</v>
      </c>
      <c r="FU160" t="e">
        <f>IF(#REF!,"AAAAAA+/97A=",0)</f>
        <v>#REF!</v>
      </c>
      <c r="FV160" t="e">
        <f>IF(#REF!,"AAAAAA+/97E=",0)</f>
        <v>#REF!</v>
      </c>
      <c r="FW160" t="e">
        <f>IF(#REF!,"AAAAAA+/97I=",0)</f>
        <v>#REF!</v>
      </c>
      <c r="FX160" t="e">
        <f>IF(#REF!,"AAAAAA+/97M=",0)</f>
        <v>#REF!</v>
      </c>
      <c r="FY160" t="e">
        <f>IF(#REF!,"AAAAAA+/97Q=",0)</f>
        <v>#REF!</v>
      </c>
      <c r="FZ160" t="e">
        <f>IF(#REF!,"AAAAAA+/97U=",0)</f>
        <v>#REF!</v>
      </c>
      <c r="GA160" t="e">
        <f>IF(#REF!,"AAAAAA+/97Y=",0)</f>
        <v>#REF!</v>
      </c>
      <c r="GB160" t="e">
        <f>IF(#REF!,"AAAAAA+/97c=",0)</f>
        <v>#REF!</v>
      </c>
      <c r="GC160" t="e">
        <f>IF(#REF!,"AAAAAA+/97g=",0)</f>
        <v>#REF!</v>
      </c>
      <c r="GD160" t="e">
        <f>IF(#REF!,"AAAAAA+/97k=",0)</f>
        <v>#REF!</v>
      </c>
      <c r="GE160" t="e">
        <f>IF(#REF!,"AAAAAA+/97o=",0)</f>
        <v>#REF!</v>
      </c>
      <c r="GF160" t="e">
        <f>IF(#REF!,"AAAAAA+/97s=",0)</f>
        <v>#REF!</v>
      </c>
      <c r="GG160" t="e">
        <f>IF(#REF!,"AAAAAA+/97w=",0)</f>
        <v>#REF!</v>
      </c>
      <c r="GH160" t="e">
        <f>IF(#REF!,"AAAAAA+/970=",0)</f>
        <v>#REF!</v>
      </c>
      <c r="GI160" t="e">
        <f>IF(#REF!,"AAAAAA+/974=",0)</f>
        <v>#REF!</v>
      </c>
      <c r="GJ160" t="e">
        <f>IF(#REF!,"AAAAAA+/978=",0)</f>
        <v>#REF!</v>
      </c>
      <c r="GK160" t="e">
        <f>IF(#REF!,"AAAAAA+/98A=",0)</f>
        <v>#REF!</v>
      </c>
      <c r="GL160" t="e">
        <f>IF(#REF!,"AAAAAA+/98E=",0)</f>
        <v>#REF!</v>
      </c>
      <c r="GM160" t="e">
        <f>IF(#REF!,"AAAAAA+/98I=",0)</f>
        <v>#REF!</v>
      </c>
      <c r="GN160" t="e">
        <f>IF(#REF!,"AAAAAA+/98M=",0)</f>
        <v>#REF!</v>
      </c>
      <c r="GO160" t="e">
        <f>IF(#REF!,"AAAAAA+/98Q=",0)</f>
        <v>#REF!</v>
      </c>
      <c r="GP160" t="e">
        <f>IF(#REF!,"AAAAAA+/98U=",0)</f>
        <v>#REF!</v>
      </c>
      <c r="GQ160" t="e">
        <f>IF(#REF!,"AAAAAA+/98Y=",0)</f>
        <v>#REF!</v>
      </c>
      <c r="GR160" t="e">
        <f>IF(#REF!,"AAAAAA+/98c=",0)</f>
        <v>#REF!</v>
      </c>
      <c r="GS160" t="e">
        <f>IF(#REF!,"AAAAAA+/98g=",0)</f>
        <v>#REF!</v>
      </c>
      <c r="GT160" t="e">
        <f>IF(#REF!,"AAAAAA+/98k=",0)</f>
        <v>#REF!</v>
      </c>
      <c r="GU160" t="e">
        <f>IF(#REF!,"AAAAAA+/98o=",0)</f>
        <v>#REF!</v>
      </c>
      <c r="GV160" t="e">
        <f>IF(#REF!,"AAAAAA+/98s=",0)</f>
        <v>#REF!</v>
      </c>
      <c r="GW160" t="e">
        <f>IF(#REF!,"AAAAAA+/98w=",0)</f>
        <v>#REF!</v>
      </c>
      <c r="GX160" t="e">
        <f>IF(#REF!,"AAAAAA+/980=",0)</f>
        <v>#REF!</v>
      </c>
      <c r="GY160" t="e">
        <f>IF(#REF!,"AAAAAA+/984=",0)</f>
        <v>#REF!</v>
      </c>
      <c r="GZ160" t="e">
        <f>IF(#REF!,"AAAAAA+/988=",0)</f>
        <v>#REF!</v>
      </c>
      <c r="HA160" t="e">
        <f>IF(#REF!,"AAAAAA+/99A=",0)</f>
        <v>#REF!</v>
      </c>
      <c r="HB160" t="e">
        <f>IF(#REF!,"AAAAAA+/99E=",0)</f>
        <v>#REF!</v>
      </c>
      <c r="HC160" t="e">
        <f>IF(#REF!,"AAAAAA+/99I=",0)</f>
        <v>#REF!</v>
      </c>
      <c r="HD160" t="e">
        <f>IF(#REF!,"AAAAAA+/99M=",0)</f>
        <v>#REF!</v>
      </c>
      <c r="HE160" t="e">
        <f>IF(#REF!,"AAAAAA+/99Q=",0)</f>
        <v>#REF!</v>
      </c>
      <c r="HF160" t="e">
        <f>IF(#REF!,"AAAAAA+/99U=",0)</f>
        <v>#REF!</v>
      </c>
      <c r="HG160" t="e">
        <f>IF(#REF!,"AAAAAA+/99Y=",0)</f>
        <v>#REF!</v>
      </c>
      <c r="HH160" t="e">
        <f>IF(#REF!,"AAAAAA+/99c=",0)</f>
        <v>#REF!</v>
      </c>
      <c r="HI160" t="e">
        <f>IF(#REF!,"AAAAAA+/99g=",0)</f>
        <v>#REF!</v>
      </c>
      <c r="HJ160" t="e">
        <f>IF(#REF!,"AAAAAA+/99k=",0)</f>
        <v>#REF!</v>
      </c>
      <c r="HK160" t="e">
        <f>IF(#REF!,"AAAAAA+/99o=",0)</f>
        <v>#REF!</v>
      </c>
      <c r="HL160" t="e">
        <f>IF(#REF!,"AAAAAA+/99s=",0)</f>
        <v>#REF!</v>
      </c>
      <c r="HM160" t="e">
        <f>IF(#REF!,"AAAAAA+/99w=",0)</f>
        <v>#REF!</v>
      </c>
      <c r="HN160" t="e">
        <f>IF(#REF!,"AAAAAA+/990=",0)</f>
        <v>#REF!</v>
      </c>
      <c r="HO160" t="e">
        <f>IF(#REF!,"AAAAAA+/994=",0)</f>
        <v>#REF!</v>
      </c>
      <c r="HP160" t="e">
        <f>IF(#REF!,"AAAAAA+/998=",0)</f>
        <v>#REF!</v>
      </c>
      <c r="HQ160" t="e">
        <f>IF(#REF!,"AAAAAA+/9+A=",0)</f>
        <v>#REF!</v>
      </c>
      <c r="HR160" t="e">
        <f>IF(#REF!,"AAAAAA+/9+E=",0)</f>
        <v>#REF!</v>
      </c>
      <c r="HS160" t="e">
        <f>IF(#REF!,"AAAAAA+/9+I=",0)</f>
        <v>#REF!</v>
      </c>
      <c r="HT160" t="e">
        <f>IF(#REF!,"AAAAAA+/9+M=",0)</f>
        <v>#REF!</v>
      </c>
      <c r="HU160" t="e">
        <f>IF(#REF!,"AAAAAA+/9+Q=",0)</f>
        <v>#REF!</v>
      </c>
      <c r="HV160" t="e">
        <f>IF(#REF!,"AAAAAA+/9+U=",0)</f>
        <v>#REF!</v>
      </c>
      <c r="HW160" t="e">
        <f>IF(#REF!,"AAAAAA+/9+Y=",0)</f>
        <v>#REF!</v>
      </c>
      <c r="HX160" t="e">
        <f>IF(#REF!,"AAAAAA+/9+c=",0)</f>
        <v>#REF!</v>
      </c>
      <c r="HY160" t="e">
        <f>IF(#REF!,"AAAAAA+/9+g=",0)</f>
        <v>#REF!</v>
      </c>
      <c r="HZ160" t="e">
        <f>IF(#REF!,"AAAAAA+/9+k=",0)</f>
        <v>#REF!</v>
      </c>
      <c r="IA160" t="e">
        <f>IF(#REF!,"AAAAAA+/9+o=",0)</f>
        <v>#REF!</v>
      </c>
      <c r="IB160" t="e">
        <f>IF(#REF!,"AAAAAA+/9+s=",0)</f>
        <v>#REF!</v>
      </c>
      <c r="IC160" t="e">
        <f>IF(#REF!,"AAAAAA+/9+w=",0)</f>
        <v>#REF!</v>
      </c>
      <c r="ID160" t="e">
        <f>IF(#REF!,"AAAAAA+/9+0=",0)</f>
        <v>#REF!</v>
      </c>
      <c r="IE160" t="e">
        <f>IF(#REF!,"AAAAAA+/9+4=",0)</f>
        <v>#REF!</v>
      </c>
      <c r="IF160" t="e">
        <f>IF(#REF!,"AAAAAA+/9+8=",0)</f>
        <v>#REF!</v>
      </c>
      <c r="IG160" t="e">
        <f>IF(#REF!,"AAAAAA+/9/A=",0)</f>
        <v>#REF!</v>
      </c>
      <c r="IH160" t="e">
        <f>IF(#REF!,"AAAAAA+/9/E=",0)</f>
        <v>#REF!</v>
      </c>
      <c r="II160" t="e">
        <f>IF(#REF!,"AAAAAA+/9/I=",0)</f>
        <v>#REF!</v>
      </c>
      <c r="IJ160" t="e">
        <f>IF(#REF!,"AAAAAA+/9/M=",0)</f>
        <v>#REF!</v>
      </c>
      <c r="IK160" t="e">
        <f>IF(#REF!,"AAAAAA+/9/Q=",0)</f>
        <v>#REF!</v>
      </c>
      <c r="IL160" t="e">
        <f>IF(#REF!,"AAAAAA+/9/U=",0)</f>
        <v>#REF!</v>
      </c>
      <c r="IM160" t="e">
        <f>IF(#REF!,"AAAAAA+/9/Y=",0)</f>
        <v>#REF!</v>
      </c>
      <c r="IN160" t="e">
        <f>IF(#REF!,"AAAAAA+/9/c=",0)</f>
        <v>#REF!</v>
      </c>
      <c r="IO160" t="e">
        <f>IF(#REF!,"AAAAAA+/9/g=",0)</f>
        <v>#REF!</v>
      </c>
      <c r="IP160" t="e">
        <f>IF(#REF!,"AAAAAA+/9/k=",0)</f>
        <v>#REF!</v>
      </c>
      <c r="IQ160" t="e">
        <f>IF(#REF!,"AAAAAA+/9/o=",0)</f>
        <v>#REF!</v>
      </c>
      <c r="IR160" t="e">
        <f>IF(#REF!,"AAAAAA+/9/s=",0)</f>
        <v>#REF!</v>
      </c>
      <c r="IS160" t="e">
        <f>IF(#REF!,"AAAAAA+/9/w=",0)</f>
        <v>#REF!</v>
      </c>
      <c r="IT160" t="e">
        <f>IF(#REF!,"AAAAAA+/9/0=",0)</f>
        <v>#REF!</v>
      </c>
      <c r="IU160" t="e">
        <f>IF(#REF!,"AAAAAA+/9/4=",0)</f>
        <v>#REF!</v>
      </c>
      <c r="IV160" t="e">
        <f>IF(#REF!,"AAAAAA+/9/8=",0)</f>
        <v>#REF!</v>
      </c>
    </row>
    <row r="161" spans="1:256">
      <c r="A161" t="e">
        <f>IF(#REF!,"AAAAAH1h/QA=",0)</f>
        <v>#REF!</v>
      </c>
      <c r="B161" t="e">
        <f>IF(#REF!,"AAAAAH1h/QE=",0)</f>
        <v>#REF!</v>
      </c>
      <c r="C161" t="e">
        <f>IF(#REF!,"AAAAAH1h/QI=",0)</f>
        <v>#REF!</v>
      </c>
      <c r="D161" t="e">
        <f>IF(#REF!,"AAAAAH1h/QM=",0)</f>
        <v>#REF!</v>
      </c>
      <c r="E161" t="e">
        <f>IF(#REF!,"AAAAAH1h/QQ=",0)</f>
        <v>#REF!</v>
      </c>
      <c r="F161" t="e">
        <f>IF(#REF!,"AAAAAH1h/QU=",0)</f>
        <v>#REF!</v>
      </c>
      <c r="G161" t="e">
        <f>IF(#REF!,"AAAAAH1h/QY=",0)</f>
        <v>#REF!</v>
      </c>
      <c r="H161" t="e">
        <f>IF(#REF!,"AAAAAH1h/Qc=",0)</f>
        <v>#REF!</v>
      </c>
      <c r="I161" t="e">
        <f>IF(#REF!,"AAAAAH1h/Qg=",0)</f>
        <v>#REF!</v>
      </c>
      <c r="J161" t="e">
        <f>IF(#REF!,"AAAAAH1h/Qk=",0)</f>
        <v>#REF!</v>
      </c>
      <c r="K161" t="e">
        <f>IF(#REF!,"AAAAAH1h/Qo=",0)</f>
        <v>#REF!</v>
      </c>
      <c r="L161" t="e">
        <f>IF(#REF!,"AAAAAH1h/Qs=",0)</f>
        <v>#REF!</v>
      </c>
      <c r="M161" t="e">
        <f>IF(#REF!,"AAAAAH1h/Qw=",0)</f>
        <v>#REF!</v>
      </c>
      <c r="N161" t="e">
        <f>IF(#REF!,"AAAAAH1h/Q0=",0)</f>
        <v>#REF!</v>
      </c>
      <c r="O161" t="e">
        <f>IF(#REF!,"AAAAAH1h/Q4=",0)</f>
        <v>#REF!</v>
      </c>
      <c r="P161" t="e">
        <f>IF(#REF!,"AAAAAH1h/Q8=",0)</f>
        <v>#REF!</v>
      </c>
      <c r="Q161" t="e">
        <f>IF(#REF!,"AAAAAH1h/RA=",0)</f>
        <v>#REF!</v>
      </c>
      <c r="R161" t="e">
        <f>IF(#REF!,"AAAAAH1h/RE=",0)</f>
        <v>#REF!</v>
      </c>
      <c r="S161" t="e">
        <f>IF(#REF!,"AAAAAH1h/RI=",0)</f>
        <v>#REF!</v>
      </c>
      <c r="T161" t="e">
        <f>IF(#REF!,"AAAAAH1h/RM=",0)</f>
        <v>#REF!</v>
      </c>
      <c r="U161" t="e">
        <f>IF(#REF!,"AAAAAH1h/RQ=",0)</f>
        <v>#REF!</v>
      </c>
      <c r="V161" t="e">
        <f>IF(#REF!,"AAAAAH1h/RU=",0)</f>
        <v>#REF!</v>
      </c>
      <c r="W161" t="e">
        <f>IF(#REF!,"AAAAAH1h/RY=",0)</f>
        <v>#REF!</v>
      </c>
      <c r="X161" t="e">
        <f>IF(#REF!,"AAAAAH1h/Rc=",0)</f>
        <v>#REF!</v>
      </c>
      <c r="Y161" t="e">
        <f>IF(#REF!,"AAAAAH1h/Rg=",0)</f>
        <v>#REF!</v>
      </c>
      <c r="Z161" t="e">
        <f>IF(#REF!,"AAAAAH1h/Rk=",0)</f>
        <v>#REF!</v>
      </c>
      <c r="AA161" t="e">
        <f>IF(#REF!,"AAAAAH1h/Ro=",0)</f>
        <v>#REF!</v>
      </c>
      <c r="AB161" t="e">
        <f>IF(#REF!,"AAAAAH1h/Rs=",0)</f>
        <v>#REF!</v>
      </c>
      <c r="AC161" t="e">
        <f>IF(#REF!,"AAAAAH1h/Rw=",0)</f>
        <v>#REF!</v>
      </c>
      <c r="AD161" t="e">
        <f>IF(#REF!,"AAAAAH1h/R0=",0)</f>
        <v>#REF!</v>
      </c>
      <c r="AE161" t="e">
        <f>IF(#REF!,"AAAAAH1h/R4=",0)</f>
        <v>#REF!</v>
      </c>
      <c r="AF161" t="e">
        <f>IF(#REF!,"AAAAAH1h/R8=",0)</f>
        <v>#REF!</v>
      </c>
      <c r="AG161" t="e">
        <f>IF(#REF!,"AAAAAH1h/SA=",0)</f>
        <v>#REF!</v>
      </c>
      <c r="AH161" t="e">
        <f>IF(#REF!,"AAAAAH1h/SE=",0)</f>
        <v>#REF!</v>
      </c>
      <c r="AI161" t="e">
        <f>IF(#REF!,"AAAAAH1h/SI=",0)</f>
        <v>#REF!</v>
      </c>
      <c r="AJ161" t="e">
        <f>IF(#REF!,"AAAAAH1h/SM=",0)</f>
        <v>#REF!</v>
      </c>
      <c r="AK161" t="e">
        <f>IF(#REF!,"AAAAAH1h/SQ=",0)</f>
        <v>#REF!</v>
      </c>
      <c r="AL161" t="e">
        <f>IF(#REF!,"AAAAAH1h/SU=",0)</f>
        <v>#REF!</v>
      </c>
      <c r="AM161" t="e">
        <f>IF(#REF!,"AAAAAH1h/SY=",0)</f>
        <v>#REF!</v>
      </c>
      <c r="AN161" t="e">
        <f>IF(#REF!,"AAAAAH1h/Sc=",0)</f>
        <v>#REF!</v>
      </c>
      <c r="AO161" t="e">
        <f>IF(#REF!,"AAAAAH1h/Sg=",0)</f>
        <v>#REF!</v>
      </c>
      <c r="AP161" t="e">
        <f>IF(#REF!,"AAAAAH1h/Sk=",0)</f>
        <v>#REF!</v>
      </c>
      <c r="AQ161" t="e">
        <f>IF(#REF!,"AAAAAH1h/So=",0)</f>
        <v>#REF!</v>
      </c>
      <c r="AR161" t="e">
        <f>IF(#REF!,"AAAAAH1h/Ss=",0)</f>
        <v>#REF!</v>
      </c>
      <c r="AS161" t="e">
        <f>IF(#REF!,"AAAAAH1h/Sw=",0)</f>
        <v>#REF!</v>
      </c>
      <c r="AT161" t="e">
        <f>IF(#REF!,"AAAAAH1h/S0=",0)</f>
        <v>#REF!</v>
      </c>
      <c r="AU161" t="e">
        <f>IF(#REF!,"AAAAAH1h/S4=",0)</f>
        <v>#REF!</v>
      </c>
      <c r="AV161" t="e">
        <f>IF(#REF!,"AAAAAH1h/S8=",0)</f>
        <v>#REF!</v>
      </c>
      <c r="AW161" t="e">
        <f>IF(#REF!,"AAAAAH1h/TA=",0)</f>
        <v>#REF!</v>
      </c>
      <c r="AX161" t="e">
        <f>IF(#REF!,"AAAAAH1h/TE=",0)</f>
        <v>#REF!</v>
      </c>
      <c r="AY161" t="e">
        <f>IF(#REF!,"AAAAAH1h/TI=",0)</f>
        <v>#REF!</v>
      </c>
      <c r="AZ161" t="e">
        <f>IF(#REF!,"AAAAAH1h/TM=",0)</f>
        <v>#REF!</v>
      </c>
      <c r="BA161" t="e">
        <f>IF(#REF!,"AAAAAH1h/TQ=",0)</f>
        <v>#REF!</v>
      </c>
      <c r="BB161" t="e">
        <f>IF(#REF!,"AAAAAH1h/TU=",0)</f>
        <v>#REF!</v>
      </c>
      <c r="BC161" t="e">
        <f>IF(#REF!,"AAAAAH1h/TY=",0)</f>
        <v>#REF!</v>
      </c>
      <c r="BD161" t="e">
        <f>IF(#REF!,"AAAAAH1h/Tc=",0)</f>
        <v>#REF!</v>
      </c>
      <c r="BE161" t="e">
        <f>IF(#REF!,"AAAAAH1h/Tg=",0)</f>
        <v>#REF!</v>
      </c>
      <c r="BF161" t="e">
        <f>IF(#REF!,"AAAAAH1h/Tk=",0)</f>
        <v>#REF!</v>
      </c>
      <c r="BG161" t="e">
        <f>IF(#REF!,"AAAAAH1h/To=",0)</f>
        <v>#REF!</v>
      </c>
      <c r="BH161" t="e">
        <f>IF(#REF!,"AAAAAH1h/Ts=",0)</f>
        <v>#REF!</v>
      </c>
      <c r="BI161" t="e">
        <f>IF(#REF!,"AAAAAH1h/Tw=",0)</f>
        <v>#REF!</v>
      </c>
      <c r="BJ161" t="e">
        <f>IF(#REF!,"AAAAAH1h/T0=",0)</f>
        <v>#REF!</v>
      </c>
      <c r="BK161" t="e">
        <f>IF(#REF!,"AAAAAH1h/T4=",0)</f>
        <v>#REF!</v>
      </c>
      <c r="BL161" t="e">
        <f>IF(#REF!,"AAAAAH1h/T8=",0)</f>
        <v>#REF!</v>
      </c>
      <c r="BM161" t="e">
        <f>IF(#REF!,"AAAAAH1h/UA=",0)</f>
        <v>#REF!</v>
      </c>
      <c r="BN161" t="e">
        <f>IF(#REF!,"AAAAAH1h/UE=",0)</f>
        <v>#REF!</v>
      </c>
      <c r="BO161" t="e">
        <f>IF(#REF!,"AAAAAH1h/UI=",0)</f>
        <v>#REF!</v>
      </c>
      <c r="BP161" t="e">
        <f>IF(#REF!,"AAAAAH1h/UM=",0)</f>
        <v>#REF!</v>
      </c>
      <c r="BQ161" t="e">
        <f>IF(#REF!,"AAAAAH1h/UQ=",0)</f>
        <v>#REF!</v>
      </c>
      <c r="BR161" t="e">
        <f>IF(#REF!,"AAAAAH1h/UU=",0)</f>
        <v>#REF!</v>
      </c>
      <c r="BS161" t="e">
        <f>IF(#REF!,"AAAAAH1h/UY=",0)</f>
        <v>#REF!</v>
      </c>
      <c r="BT161" t="e">
        <f>IF(#REF!,"AAAAAH1h/Uc=",0)</f>
        <v>#REF!</v>
      </c>
      <c r="BU161" t="e">
        <f>IF(#REF!,"AAAAAH1h/Ug=",0)</f>
        <v>#REF!</v>
      </c>
      <c r="BV161" t="e">
        <f>IF(#REF!,"AAAAAH1h/Uk=",0)</f>
        <v>#REF!</v>
      </c>
      <c r="BW161" t="e">
        <f>IF(#REF!,"AAAAAH1h/Uo=",0)</f>
        <v>#REF!</v>
      </c>
      <c r="BX161" t="e">
        <f>IF(#REF!,"AAAAAH1h/Us=",0)</f>
        <v>#REF!</v>
      </c>
      <c r="BY161" t="e">
        <f>IF(#REF!,"AAAAAH1h/Uw=",0)</f>
        <v>#REF!</v>
      </c>
      <c r="BZ161" t="e">
        <f>IF(#REF!,"AAAAAH1h/U0=",0)</f>
        <v>#REF!</v>
      </c>
      <c r="CA161" t="e">
        <f>IF(#REF!,"AAAAAH1h/U4=",0)</f>
        <v>#REF!</v>
      </c>
      <c r="CB161" t="e">
        <f>IF(#REF!,"AAAAAH1h/U8=",0)</f>
        <v>#REF!</v>
      </c>
      <c r="CC161" t="e">
        <f>IF(#REF!,"AAAAAH1h/VA=",0)</f>
        <v>#REF!</v>
      </c>
      <c r="CD161" t="e">
        <f>IF(#REF!,"AAAAAH1h/VE=",0)</f>
        <v>#REF!</v>
      </c>
      <c r="CE161" t="e">
        <f>IF(#REF!,"AAAAAH1h/VI=",0)</f>
        <v>#REF!</v>
      </c>
      <c r="CF161" t="e">
        <f>IF(#REF!,"AAAAAH1h/VM=",0)</f>
        <v>#REF!</v>
      </c>
      <c r="CG161" t="e">
        <f>IF(#REF!,"AAAAAH1h/VQ=",0)</f>
        <v>#REF!</v>
      </c>
      <c r="CH161" t="e">
        <f>IF(#REF!,"AAAAAH1h/VU=",0)</f>
        <v>#REF!</v>
      </c>
      <c r="CI161" t="e">
        <f>IF(#REF!,"AAAAAH1h/VY=",0)</f>
        <v>#REF!</v>
      </c>
      <c r="CJ161" t="e">
        <f>IF(#REF!,"AAAAAH1h/Vc=",0)</f>
        <v>#REF!</v>
      </c>
      <c r="CK161" t="e">
        <f>IF(#REF!,"AAAAAH1h/Vg=",0)</f>
        <v>#REF!</v>
      </c>
      <c r="CL161" t="e">
        <f>IF(#REF!,"AAAAAH1h/Vk=",0)</f>
        <v>#REF!</v>
      </c>
      <c r="CM161" t="e">
        <f>IF(#REF!,"AAAAAH1h/Vo=",0)</f>
        <v>#REF!</v>
      </c>
      <c r="CN161" t="e">
        <f>IF(#REF!,"AAAAAH1h/Vs=",0)</f>
        <v>#REF!</v>
      </c>
      <c r="CO161" t="e">
        <f>IF(#REF!,"AAAAAH1h/Vw=",0)</f>
        <v>#REF!</v>
      </c>
      <c r="CP161" t="e">
        <f>IF(#REF!,"AAAAAH1h/V0=",0)</f>
        <v>#REF!</v>
      </c>
      <c r="CQ161" t="e">
        <f>IF(#REF!,"AAAAAH1h/V4=",0)</f>
        <v>#REF!</v>
      </c>
      <c r="CR161" t="e">
        <f>IF(#REF!,"AAAAAH1h/V8=",0)</f>
        <v>#REF!</v>
      </c>
      <c r="CS161" t="e">
        <f>IF(#REF!,"AAAAAH1h/WA=",0)</f>
        <v>#REF!</v>
      </c>
      <c r="CT161" t="e">
        <f>IF(#REF!,"AAAAAH1h/WE=",0)</f>
        <v>#REF!</v>
      </c>
      <c r="CU161" t="e">
        <f>IF(#REF!,"AAAAAH1h/WI=",0)</f>
        <v>#REF!</v>
      </c>
      <c r="CV161" t="e">
        <f>IF(#REF!,"AAAAAH1h/WM=",0)</f>
        <v>#REF!</v>
      </c>
      <c r="CW161" t="e">
        <f>IF(#REF!,"AAAAAH1h/WQ=",0)</f>
        <v>#REF!</v>
      </c>
      <c r="CX161" t="e">
        <f>IF(#REF!,"AAAAAH1h/WU=",0)</f>
        <v>#REF!</v>
      </c>
      <c r="CY161" t="e">
        <f>IF(#REF!,"AAAAAH1h/WY=",0)</f>
        <v>#REF!</v>
      </c>
      <c r="CZ161" t="e">
        <f>IF(#REF!,"AAAAAH1h/Wc=",0)</f>
        <v>#REF!</v>
      </c>
      <c r="DA161" t="e">
        <f>IF(#REF!,"AAAAAH1h/Wg=",0)</f>
        <v>#REF!</v>
      </c>
      <c r="DB161" t="e">
        <f>IF(#REF!,"AAAAAH1h/Wk=",0)</f>
        <v>#REF!</v>
      </c>
      <c r="DC161" t="e">
        <f>IF(#REF!,"AAAAAH1h/Wo=",0)</f>
        <v>#REF!</v>
      </c>
      <c r="DD161" t="e">
        <f>IF(#REF!,"AAAAAH1h/Ws=",0)</f>
        <v>#REF!</v>
      </c>
      <c r="DE161" t="e">
        <f>IF(#REF!,"AAAAAH1h/Ww=",0)</f>
        <v>#REF!</v>
      </c>
      <c r="DF161" t="e">
        <f>IF(#REF!,"AAAAAH1h/W0=",0)</f>
        <v>#REF!</v>
      </c>
      <c r="DG161" t="e">
        <f>IF(#REF!,"AAAAAH1h/W4=",0)</f>
        <v>#REF!</v>
      </c>
      <c r="DH161" t="e">
        <f>IF(#REF!,"AAAAAH1h/W8=",0)</f>
        <v>#REF!</v>
      </c>
      <c r="DI161" t="e">
        <f>IF(#REF!,"AAAAAH1h/XA=",0)</f>
        <v>#REF!</v>
      </c>
      <c r="DJ161" t="e">
        <f>IF(#REF!,"AAAAAH1h/XE=",0)</f>
        <v>#REF!</v>
      </c>
      <c r="DK161" t="e">
        <f>IF(#REF!,"AAAAAH1h/XI=",0)</f>
        <v>#REF!</v>
      </c>
      <c r="DL161" t="e">
        <f>IF(#REF!,"AAAAAH1h/XM=",0)</f>
        <v>#REF!</v>
      </c>
      <c r="DM161" t="e">
        <f>IF(#REF!,"AAAAAH1h/XQ=",0)</f>
        <v>#REF!</v>
      </c>
      <c r="DN161" t="e">
        <f>IF(#REF!,"AAAAAH1h/XU=",0)</f>
        <v>#REF!</v>
      </c>
      <c r="DO161" t="e">
        <f>IF(#REF!,"AAAAAH1h/XY=",0)</f>
        <v>#REF!</v>
      </c>
      <c r="DP161" t="e">
        <f>IF(#REF!,"AAAAAH1h/Xc=",0)</f>
        <v>#REF!</v>
      </c>
      <c r="DQ161" t="e">
        <f>IF(#REF!,"AAAAAH1h/Xg=",0)</f>
        <v>#REF!</v>
      </c>
      <c r="DR161" t="e">
        <f>IF(#REF!,"AAAAAH1h/Xk=",0)</f>
        <v>#REF!</v>
      </c>
      <c r="DS161" t="e">
        <f>IF(#REF!,"AAAAAH1h/Xo=",0)</f>
        <v>#REF!</v>
      </c>
      <c r="DT161" t="e">
        <f>IF(#REF!,"AAAAAH1h/Xs=",0)</f>
        <v>#REF!</v>
      </c>
      <c r="DU161" t="e">
        <f>IF(#REF!,"AAAAAH1h/Xw=",0)</f>
        <v>#REF!</v>
      </c>
      <c r="DV161" t="e">
        <f>IF(#REF!,"AAAAAH1h/X0=",0)</f>
        <v>#REF!</v>
      </c>
      <c r="DW161" t="e">
        <f>IF(#REF!,"AAAAAH1h/X4=",0)</f>
        <v>#REF!</v>
      </c>
      <c r="DX161" t="e">
        <f>IF(#REF!,"AAAAAH1h/X8=",0)</f>
        <v>#REF!</v>
      </c>
      <c r="DY161" t="e">
        <f>IF(#REF!,"AAAAAH1h/YA=",0)</f>
        <v>#REF!</v>
      </c>
      <c r="DZ161" t="e">
        <f>IF(#REF!,"AAAAAH1h/YE=",0)</f>
        <v>#REF!</v>
      </c>
      <c r="EA161" t="e">
        <f>IF(#REF!,"AAAAAH1h/YI=",0)</f>
        <v>#REF!</v>
      </c>
      <c r="EB161" t="e">
        <f>IF(#REF!,"AAAAAH1h/YM=",0)</f>
        <v>#REF!</v>
      </c>
      <c r="EC161" t="e">
        <f>IF(#REF!,"AAAAAH1h/YQ=",0)</f>
        <v>#REF!</v>
      </c>
      <c r="ED161" t="e">
        <f>IF(#REF!,"AAAAAH1h/YU=",0)</f>
        <v>#REF!</v>
      </c>
      <c r="EE161" t="e">
        <f>IF(#REF!,"AAAAAH1h/YY=",0)</f>
        <v>#REF!</v>
      </c>
      <c r="EF161" t="e">
        <f>IF(#REF!,"AAAAAH1h/Yc=",0)</f>
        <v>#REF!</v>
      </c>
      <c r="EG161" t="e">
        <f>IF(#REF!,"AAAAAH1h/Yg=",0)</f>
        <v>#REF!</v>
      </c>
      <c r="EH161" t="e">
        <f>IF(#REF!,"AAAAAH1h/Yk=",0)</f>
        <v>#REF!</v>
      </c>
      <c r="EI161" t="e">
        <f>IF(#REF!,"AAAAAH1h/Yo=",0)</f>
        <v>#REF!</v>
      </c>
      <c r="EJ161" t="e">
        <f>IF(#REF!,"AAAAAH1h/Ys=",0)</f>
        <v>#REF!</v>
      </c>
      <c r="EK161" t="e">
        <f>IF(#REF!,"AAAAAH1h/Yw=",0)</f>
        <v>#REF!</v>
      </c>
      <c r="EL161" t="e">
        <f>IF(#REF!,"AAAAAH1h/Y0=",0)</f>
        <v>#REF!</v>
      </c>
      <c r="EM161" t="e">
        <f>IF(#REF!,"AAAAAH1h/Y4=",0)</f>
        <v>#REF!</v>
      </c>
      <c r="EN161" t="e">
        <f>IF(#REF!,"AAAAAH1h/Y8=",0)</f>
        <v>#REF!</v>
      </c>
      <c r="EO161" t="e">
        <f>IF(#REF!,"AAAAAH1h/ZA=",0)</f>
        <v>#REF!</v>
      </c>
      <c r="EP161" t="e">
        <f>IF(#REF!,"AAAAAH1h/ZE=",0)</f>
        <v>#REF!</v>
      </c>
      <c r="EQ161" t="e">
        <f>IF(#REF!,"AAAAAH1h/ZI=",0)</f>
        <v>#REF!</v>
      </c>
      <c r="ER161" t="e">
        <f>IF(#REF!,"AAAAAH1h/ZM=",0)</f>
        <v>#REF!</v>
      </c>
      <c r="ES161" t="e">
        <f>IF(#REF!,"AAAAAH1h/ZQ=",0)</f>
        <v>#REF!</v>
      </c>
      <c r="ET161" t="e">
        <f>IF(#REF!,"AAAAAH1h/ZU=",0)</f>
        <v>#REF!</v>
      </c>
      <c r="EU161" t="e">
        <f>IF(#REF!,"AAAAAH1h/ZY=",0)</f>
        <v>#REF!</v>
      </c>
      <c r="EV161" t="e">
        <f>IF(#REF!,"AAAAAH1h/Zc=",0)</f>
        <v>#REF!</v>
      </c>
      <c r="EW161" t="e">
        <f>IF(#REF!,"AAAAAH1h/Zg=",0)</f>
        <v>#REF!</v>
      </c>
      <c r="EX161" t="e">
        <f>IF(#REF!,"AAAAAH1h/Zk=",0)</f>
        <v>#REF!</v>
      </c>
      <c r="EY161" t="e">
        <f>IF(#REF!,"AAAAAH1h/Zo=",0)</f>
        <v>#REF!</v>
      </c>
      <c r="EZ161" t="e">
        <f>IF(#REF!,"AAAAAH1h/Zs=",0)</f>
        <v>#REF!</v>
      </c>
      <c r="FA161" t="e">
        <f>IF(#REF!,"AAAAAH1h/Zw=",0)</f>
        <v>#REF!</v>
      </c>
      <c r="FB161" t="e">
        <f>IF(#REF!,"AAAAAH1h/Z0=",0)</f>
        <v>#REF!</v>
      </c>
      <c r="FC161" t="e">
        <f>IF(#REF!,"AAAAAH1h/Z4=",0)</f>
        <v>#REF!</v>
      </c>
      <c r="FD161" t="e">
        <f>IF(#REF!,"AAAAAH1h/Z8=",0)</f>
        <v>#REF!</v>
      </c>
      <c r="FE161" t="e">
        <f>IF(#REF!,"AAAAAH1h/aA=",0)</f>
        <v>#REF!</v>
      </c>
      <c r="FF161" t="e">
        <f>IF(#REF!,"AAAAAH1h/aE=",0)</f>
        <v>#REF!</v>
      </c>
      <c r="FG161" t="e">
        <f>IF(#REF!,"AAAAAH1h/aI=",0)</f>
        <v>#REF!</v>
      </c>
      <c r="FH161" t="e">
        <f>IF(#REF!,"AAAAAH1h/aM=",0)</f>
        <v>#REF!</v>
      </c>
      <c r="FI161" t="e">
        <f>IF(#REF!,"AAAAAH1h/aQ=",0)</f>
        <v>#REF!</v>
      </c>
      <c r="FJ161" t="e">
        <f>IF(#REF!,"AAAAAH1h/aU=",0)</f>
        <v>#REF!</v>
      </c>
      <c r="FK161" t="e">
        <f>IF(#REF!,"AAAAAH1h/aY=",0)</f>
        <v>#REF!</v>
      </c>
      <c r="FL161" t="e">
        <f>IF(#REF!,"AAAAAH1h/ac=",0)</f>
        <v>#REF!</v>
      </c>
      <c r="FM161" t="e">
        <f>IF(#REF!,"AAAAAH1h/ag=",0)</f>
        <v>#REF!</v>
      </c>
      <c r="FN161" t="e">
        <f>IF(#REF!,"AAAAAH1h/ak=",0)</f>
        <v>#REF!</v>
      </c>
      <c r="FO161" t="e">
        <f>IF(#REF!,"AAAAAH1h/ao=",0)</f>
        <v>#REF!</v>
      </c>
      <c r="FP161" t="e">
        <f>IF(#REF!,"AAAAAH1h/as=",0)</f>
        <v>#REF!</v>
      </c>
      <c r="FQ161" t="e">
        <f>IF(#REF!,"AAAAAH1h/aw=",0)</f>
        <v>#REF!</v>
      </c>
      <c r="FR161" t="e">
        <f>IF(#REF!,"AAAAAH1h/a0=",0)</f>
        <v>#REF!</v>
      </c>
      <c r="FS161" t="e">
        <f>IF(#REF!,"AAAAAH1h/a4=",0)</f>
        <v>#REF!</v>
      </c>
      <c r="FT161" t="e">
        <f>IF(#REF!,"AAAAAH1h/a8=",0)</f>
        <v>#REF!</v>
      </c>
      <c r="FU161" t="e">
        <f>IF(#REF!,"AAAAAH1h/bA=",0)</f>
        <v>#REF!</v>
      </c>
      <c r="FV161" t="e">
        <f>IF(#REF!,"AAAAAH1h/bE=",0)</f>
        <v>#REF!</v>
      </c>
      <c r="FW161" t="e">
        <f>IF(#REF!,"AAAAAH1h/bI=",0)</f>
        <v>#REF!</v>
      </c>
      <c r="FX161" t="e">
        <f>IF(#REF!,"AAAAAH1h/bM=",0)</f>
        <v>#REF!</v>
      </c>
      <c r="FY161" t="e">
        <f>IF(#REF!,"AAAAAH1h/bQ=",0)</f>
        <v>#REF!</v>
      </c>
      <c r="FZ161" t="e">
        <f>IF(#REF!,"AAAAAH1h/bU=",0)</f>
        <v>#REF!</v>
      </c>
      <c r="GA161" t="e">
        <f>IF(#REF!,"AAAAAH1h/bY=",0)</f>
        <v>#REF!</v>
      </c>
      <c r="GB161" t="e">
        <f>IF(#REF!,"AAAAAH1h/bc=",0)</f>
        <v>#REF!</v>
      </c>
      <c r="GC161" t="e">
        <f>IF(#REF!,"AAAAAH1h/bg=",0)</f>
        <v>#REF!</v>
      </c>
      <c r="GD161" t="e">
        <f>IF(#REF!,"AAAAAH1h/bk=",0)</f>
        <v>#REF!</v>
      </c>
      <c r="GE161" t="e">
        <f>IF(#REF!,"AAAAAH1h/bo=",0)</f>
        <v>#REF!</v>
      </c>
      <c r="GF161" t="e">
        <f>IF(#REF!,"AAAAAH1h/bs=",0)</f>
        <v>#REF!</v>
      </c>
      <c r="GG161" t="e">
        <f>IF(#REF!,"AAAAAH1h/bw=",0)</f>
        <v>#REF!</v>
      </c>
      <c r="GH161" t="e">
        <f>IF(#REF!,"AAAAAH1h/b0=",0)</f>
        <v>#REF!</v>
      </c>
      <c r="GI161" t="e">
        <f>IF(#REF!,"AAAAAH1h/b4=",0)</f>
        <v>#REF!</v>
      </c>
      <c r="GJ161" t="e">
        <f>IF(#REF!,"AAAAAH1h/b8=",0)</f>
        <v>#REF!</v>
      </c>
      <c r="GK161" t="e">
        <f>IF(#REF!,"AAAAAH1h/cA=",0)</f>
        <v>#REF!</v>
      </c>
      <c r="GL161" t="e">
        <f>IF(#REF!,"AAAAAH1h/cE=",0)</f>
        <v>#REF!</v>
      </c>
      <c r="GM161" t="e">
        <f>IF(#REF!,"AAAAAH1h/cI=",0)</f>
        <v>#REF!</v>
      </c>
      <c r="GN161" t="e">
        <f>IF(#REF!,"AAAAAH1h/cM=",0)</f>
        <v>#REF!</v>
      </c>
      <c r="GO161" t="e">
        <f>IF(#REF!,"AAAAAH1h/cQ=",0)</f>
        <v>#REF!</v>
      </c>
      <c r="GP161" t="e">
        <f>IF(#REF!,"AAAAAH1h/cU=",0)</f>
        <v>#REF!</v>
      </c>
      <c r="GQ161" t="e">
        <f>IF(#REF!,"AAAAAH1h/cY=",0)</f>
        <v>#REF!</v>
      </c>
      <c r="GR161" t="e">
        <f>IF(#REF!,"AAAAAH1h/cc=",0)</f>
        <v>#REF!</v>
      </c>
      <c r="GS161" t="e">
        <f>IF(#REF!,"AAAAAH1h/cg=",0)</f>
        <v>#REF!</v>
      </c>
      <c r="GT161" t="e">
        <f>IF(#REF!,"AAAAAH1h/ck=",0)</f>
        <v>#REF!</v>
      </c>
      <c r="GU161" t="e">
        <f>IF(#REF!,"AAAAAH1h/co=",0)</f>
        <v>#REF!</v>
      </c>
      <c r="GV161" t="e">
        <f>IF(#REF!,"AAAAAH1h/cs=",0)</f>
        <v>#REF!</v>
      </c>
      <c r="GW161" t="e">
        <f>IF(#REF!,"AAAAAH1h/cw=",0)</f>
        <v>#REF!</v>
      </c>
      <c r="GX161" t="e">
        <f>IF(#REF!,"AAAAAH1h/c0=",0)</f>
        <v>#REF!</v>
      </c>
      <c r="GY161" t="e">
        <f>IF(#REF!,"AAAAAH1h/c4=",0)</f>
        <v>#REF!</v>
      </c>
      <c r="GZ161" t="e">
        <f>IF(#REF!,"AAAAAH1h/c8=",0)</f>
        <v>#REF!</v>
      </c>
      <c r="HA161" t="e">
        <f>IF(#REF!,"AAAAAH1h/dA=",0)</f>
        <v>#REF!</v>
      </c>
      <c r="HB161" t="e">
        <f>IF(#REF!,"AAAAAH1h/dE=",0)</f>
        <v>#REF!</v>
      </c>
      <c r="HC161" t="e">
        <f>IF(#REF!,"AAAAAH1h/dI=",0)</f>
        <v>#REF!</v>
      </c>
      <c r="HD161" t="e">
        <f>IF(#REF!,"AAAAAH1h/dM=",0)</f>
        <v>#REF!</v>
      </c>
      <c r="HE161" t="e">
        <f>IF(#REF!,"AAAAAH1h/dQ=",0)</f>
        <v>#REF!</v>
      </c>
      <c r="HF161" t="e">
        <f>IF(#REF!,"AAAAAH1h/dU=",0)</f>
        <v>#REF!</v>
      </c>
      <c r="HG161" t="e">
        <f>IF(#REF!,"AAAAAH1h/dY=",0)</f>
        <v>#REF!</v>
      </c>
      <c r="HH161" t="e">
        <f>IF(#REF!,"AAAAAH1h/dc=",0)</f>
        <v>#REF!</v>
      </c>
      <c r="HI161" t="e">
        <f>IF(#REF!,"AAAAAH1h/dg=",0)</f>
        <v>#REF!</v>
      </c>
      <c r="HJ161" t="e">
        <f>IF(#REF!,"AAAAAH1h/dk=",0)</f>
        <v>#REF!</v>
      </c>
      <c r="HK161" t="e">
        <f>IF(#REF!,"AAAAAH1h/do=",0)</f>
        <v>#REF!</v>
      </c>
      <c r="HL161" t="e">
        <f>IF(#REF!,"AAAAAH1h/ds=",0)</f>
        <v>#REF!</v>
      </c>
      <c r="HM161" t="e">
        <f>IF(#REF!,"AAAAAH1h/dw=",0)</f>
        <v>#REF!</v>
      </c>
      <c r="HN161" t="e">
        <f>IF(#REF!,"AAAAAH1h/d0=",0)</f>
        <v>#REF!</v>
      </c>
      <c r="HO161" t="e">
        <f>IF(#REF!,"AAAAAH1h/d4=",0)</f>
        <v>#REF!</v>
      </c>
      <c r="HP161" t="e">
        <f>IF(#REF!,"AAAAAH1h/d8=",0)</f>
        <v>#REF!</v>
      </c>
      <c r="HQ161" t="e">
        <f>IF(#REF!,"AAAAAH1h/eA=",0)</f>
        <v>#REF!</v>
      </c>
      <c r="HR161" t="e">
        <f>IF(#REF!,"AAAAAH1h/eE=",0)</f>
        <v>#REF!</v>
      </c>
      <c r="HS161" t="e">
        <f>IF(#REF!,"AAAAAH1h/eI=",0)</f>
        <v>#REF!</v>
      </c>
      <c r="HT161" t="e">
        <f>IF(#REF!,"AAAAAH1h/eM=",0)</f>
        <v>#REF!</v>
      </c>
      <c r="HU161" t="e">
        <f>IF(#REF!,"AAAAAH1h/eQ=",0)</f>
        <v>#REF!</v>
      </c>
      <c r="HV161" t="e">
        <f>IF(#REF!,"AAAAAH1h/eU=",0)</f>
        <v>#REF!</v>
      </c>
      <c r="HW161" t="e">
        <f>IF(#REF!,"AAAAAH1h/eY=",0)</f>
        <v>#REF!</v>
      </c>
      <c r="HX161" t="e">
        <f>IF(#REF!,"AAAAAH1h/ec=",0)</f>
        <v>#REF!</v>
      </c>
      <c r="HY161" t="e">
        <f>IF(#REF!,"AAAAAH1h/eg=",0)</f>
        <v>#REF!</v>
      </c>
      <c r="HZ161" t="e">
        <f>IF(#REF!,"AAAAAH1h/ek=",0)</f>
        <v>#REF!</v>
      </c>
      <c r="IA161" t="e">
        <f>IF(#REF!,"AAAAAH1h/eo=",0)</f>
        <v>#REF!</v>
      </c>
      <c r="IB161" t="e">
        <f>IF(#REF!,"AAAAAH1h/es=",0)</f>
        <v>#REF!</v>
      </c>
      <c r="IC161" t="e">
        <f>IF(#REF!,"AAAAAH1h/ew=",0)</f>
        <v>#REF!</v>
      </c>
      <c r="ID161" t="e">
        <f>IF(#REF!,"AAAAAH1h/e0=",0)</f>
        <v>#REF!</v>
      </c>
      <c r="IE161" t="e">
        <f>IF(#REF!,"AAAAAH1h/e4=",0)</f>
        <v>#REF!</v>
      </c>
      <c r="IF161" t="e">
        <f>IF(#REF!,"AAAAAH1h/e8=",0)</f>
        <v>#REF!</v>
      </c>
      <c r="IG161" t="e">
        <f>IF(#REF!,"AAAAAH1h/fA=",0)</f>
        <v>#REF!</v>
      </c>
      <c r="IH161" t="e">
        <f>IF(#REF!,"AAAAAH1h/fE=",0)</f>
        <v>#REF!</v>
      </c>
      <c r="II161" t="e">
        <f>IF(#REF!,"AAAAAH1h/fI=",0)</f>
        <v>#REF!</v>
      </c>
      <c r="IJ161" t="e">
        <f>IF(#REF!,"AAAAAH1h/fM=",0)</f>
        <v>#REF!</v>
      </c>
      <c r="IK161" t="e">
        <f>IF(#REF!,"AAAAAH1h/fQ=",0)</f>
        <v>#REF!</v>
      </c>
      <c r="IL161" t="e">
        <f>IF(#REF!,"AAAAAH1h/fU=",0)</f>
        <v>#REF!</v>
      </c>
      <c r="IM161" t="e">
        <f>IF(#REF!,"AAAAAH1h/fY=",0)</f>
        <v>#REF!</v>
      </c>
      <c r="IN161" t="e">
        <f>IF(#REF!,"AAAAAH1h/fc=",0)</f>
        <v>#REF!</v>
      </c>
      <c r="IO161" t="e">
        <f>IF(#REF!,"AAAAAH1h/fg=",0)</f>
        <v>#REF!</v>
      </c>
      <c r="IP161" t="e">
        <f>IF(#REF!,"AAAAAH1h/fk=",0)</f>
        <v>#REF!</v>
      </c>
      <c r="IQ161" t="e">
        <f>IF(#REF!,"AAAAAH1h/fo=",0)</f>
        <v>#REF!</v>
      </c>
      <c r="IR161" t="e">
        <f>IF(#REF!,"AAAAAH1h/fs=",0)</f>
        <v>#REF!</v>
      </c>
      <c r="IS161" t="e">
        <f>IF(#REF!,"AAAAAH1h/fw=",0)</f>
        <v>#REF!</v>
      </c>
      <c r="IT161" t="e">
        <f>IF(#REF!,"AAAAAH1h/f0=",0)</f>
        <v>#REF!</v>
      </c>
      <c r="IU161" t="e">
        <f>IF(#REF!,"AAAAAH1h/f4=",0)</f>
        <v>#REF!</v>
      </c>
      <c r="IV161" t="e">
        <f>IF(#REF!,"AAAAAH1h/f8=",0)</f>
        <v>#REF!</v>
      </c>
    </row>
    <row r="162" spans="1:256">
      <c r="A162" t="e">
        <f>IF(#REF!,"AAAAAH/b7wA=",0)</f>
        <v>#REF!</v>
      </c>
      <c r="B162" t="e">
        <f>IF(#REF!,"AAAAAH/b7wE=",0)</f>
        <v>#REF!</v>
      </c>
      <c r="C162" t="e">
        <f>IF(#REF!,"AAAAAH/b7wI=",0)</f>
        <v>#REF!</v>
      </c>
      <c r="D162" t="e">
        <f>IF(#REF!,"AAAAAH/b7wM=",0)</f>
        <v>#REF!</v>
      </c>
      <c r="E162" t="e">
        <f>IF(#REF!,"AAAAAH/b7wQ=",0)</f>
        <v>#REF!</v>
      </c>
      <c r="F162" t="e">
        <f>IF(#REF!,"AAAAAH/b7wU=",0)</f>
        <v>#REF!</v>
      </c>
      <c r="G162" t="e">
        <f>IF(#REF!,"AAAAAH/b7wY=",0)</f>
        <v>#REF!</v>
      </c>
      <c r="H162" t="e">
        <f>IF(#REF!,"AAAAAH/b7wc=",0)</f>
        <v>#REF!</v>
      </c>
      <c r="I162" t="e">
        <f>IF(#REF!,"AAAAAH/b7wg=",0)</f>
        <v>#REF!</v>
      </c>
      <c r="J162" t="e">
        <f>IF(#REF!,"AAAAAH/b7wk=",0)</f>
        <v>#REF!</v>
      </c>
      <c r="K162" t="e">
        <f>IF(#REF!,"AAAAAH/b7wo=",0)</f>
        <v>#REF!</v>
      </c>
      <c r="L162" t="e">
        <f>IF(#REF!,"AAAAAH/b7ws=",0)</f>
        <v>#REF!</v>
      </c>
      <c r="M162" t="e">
        <f>IF(#REF!,"AAAAAH/b7ww=",0)</f>
        <v>#REF!</v>
      </c>
      <c r="N162" t="e">
        <f>IF(#REF!,"AAAAAH/b7w0=",0)</f>
        <v>#REF!</v>
      </c>
      <c r="O162" t="e">
        <f>IF(#REF!,"AAAAAH/b7w4=",0)</f>
        <v>#REF!</v>
      </c>
      <c r="P162" t="e">
        <f>IF(#REF!,"AAAAAH/b7w8=",0)</f>
        <v>#REF!</v>
      </c>
      <c r="Q162" t="e">
        <f>IF(#REF!,"AAAAAH/b7xA=",0)</f>
        <v>#REF!</v>
      </c>
      <c r="R162" t="e">
        <f>IF(#REF!,"AAAAAH/b7xE=",0)</f>
        <v>#REF!</v>
      </c>
      <c r="S162" t="e">
        <f>IF(#REF!,"AAAAAH/b7xI=",0)</f>
        <v>#REF!</v>
      </c>
      <c r="T162" t="e">
        <f>IF(#REF!,"AAAAAH/b7xM=",0)</f>
        <v>#REF!</v>
      </c>
      <c r="U162" t="e">
        <f>IF(#REF!,"AAAAAH/b7xQ=",0)</f>
        <v>#REF!</v>
      </c>
      <c r="V162" t="e">
        <f>IF(#REF!,"AAAAAH/b7xU=",0)</f>
        <v>#REF!</v>
      </c>
      <c r="W162" t="e">
        <f>IF(#REF!,"AAAAAH/b7xY=",0)</f>
        <v>#REF!</v>
      </c>
      <c r="X162" t="e">
        <f>IF(#REF!,"AAAAAH/b7xc=",0)</f>
        <v>#REF!</v>
      </c>
      <c r="Y162" t="e">
        <f>IF(#REF!,"AAAAAH/b7xg=",0)</f>
        <v>#REF!</v>
      </c>
      <c r="Z162" t="e">
        <f>IF(#REF!,"AAAAAH/b7xk=",0)</f>
        <v>#REF!</v>
      </c>
      <c r="AA162" t="e">
        <f>IF(#REF!,"AAAAAH/b7xo=",0)</f>
        <v>#REF!</v>
      </c>
      <c r="AB162" t="e">
        <f>IF(#REF!,"AAAAAH/b7xs=",0)</f>
        <v>#REF!</v>
      </c>
      <c r="AC162" t="e">
        <f>IF(#REF!,"AAAAAH/b7xw=",0)</f>
        <v>#REF!</v>
      </c>
      <c r="AD162" t="e">
        <f>IF(#REF!,"AAAAAH/b7x0=",0)</f>
        <v>#REF!</v>
      </c>
      <c r="AE162" t="e">
        <f>IF(#REF!,"AAAAAH/b7x4=",0)</f>
        <v>#REF!</v>
      </c>
      <c r="AF162" t="e">
        <f>IF(#REF!,"AAAAAH/b7x8=",0)</f>
        <v>#REF!</v>
      </c>
      <c r="AG162" t="e">
        <f>IF(#REF!,"AAAAAH/b7yA=",0)</f>
        <v>#REF!</v>
      </c>
      <c r="AH162" t="e">
        <f>IF(#REF!,"AAAAAH/b7yE=",0)</f>
        <v>#REF!</v>
      </c>
      <c r="AI162" t="e">
        <f>IF(#REF!,"AAAAAH/b7yI=",0)</f>
        <v>#REF!</v>
      </c>
      <c r="AJ162" t="e">
        <f>IF(#REF!,"AAAAAH/b7yM=",0)</f>
        <v>#REF!</v>
      </c>
      <c r="AK162" t="e">
        <f>IF(#REF!,"AAAAAH/b7yQ=",0)</f>
        <v>#REF!</v>
      </c>
      <c r="AL162" t="e">
        <f>IF(#REF!,"AAAAAH/b7yU=",0)</f>
        <v>#REF!</v>
      </c>
      <c r="AM162" t="e">
        <f>IF(#REF!,"AAAAAH/b7yY=",0)</f>
        <v>#REF!</v>
      </c>
      <c r="AN162" t="e">
        <f>IF(#REF!,"AAAAAH/b7yc=",0)</f>
        <v>#REF!</v>
      </c>
      <c r="AO162" t="e">
        <f>IF(#REF!,"AAAAAH/b7yg=",0)</f>
        <v>#REF!</v>
      </c>
      <c r="AP162" t="e">
        <f>IF(#REF!,"AAAAAH/b7yk=",0)</f>
        <v>#REF!</v>
      </c>
      <c r="AQ162" t="e">
        <f>IF(#REF!,"AAAAAH/b7yo=",0)</f>
        <v>#REF!</v>
      </c>
      <c r="AR162" t="e">
        <f>IF(#REF!,"AAAAAH/b7ys=",0)</f>
        <v>#REF!</v>
      </c>
      <c r="AS162" t="e">
        <f>IF(#REF!,"AAAAAH/b7yw=",0)</f>
        <v>#REF!</v>
      </c>
      <c r="AT162" t="e">
        <f>IF(#REF!,"AAAAAH/b7y0=",0)</f>
        <v>#REF!</v>
      </c>
      <c r="AU162" t="e">
        <f>IF(#REF!,"AAAAAH/b7y4=",0)</f>
        <v>#REF!</v>
      </c>
      <c r="AV162" t="e">
        <f>IF(#REF!,"AAAAAH/b7y8=",0)</f>
        <v>#REF!</v>
      </c>
      <c r="AW162" t="e">
        <f>IF(#REF!,"AAAAAH/b7zA=",0)</f>
        <v>#REF!</v>
      </c>
      <c r="AX162" t="e">
        <f>IF(#REF!,"AAAAAH/b7zE=",0)</f>
        <v>#REF!</v>
      </c>
      <c r="AY162" t="e">
        <f>IF(#REF!,"AAAAAH/b7zI=",0)</f>
        <v>#REF!</v>
      </c>
      <c r="AZ162" t="e">
        <f>IF(#REF!,"AAAAAH/b7zM=",0)</f>
        <v>#REF!</v>
      </c>
      <c r="BA162" t="e">
        <f>IF(#REF!,"AAAAAH/b7zQ=",0)</f>
        <v>#REF!</v>
      </c>
      <c r="BB162" t="e">
        <f>IF(#REF!,"AAAAAH/b7zU=",0)</f>
        <v>#REF!</v>
      </c>
      <c r="BC162" t="e">
        <f>IF(#REF!,"AAAAAH/b7zY=",0)</f>
        <v>#REF!</v>
      </c>
      <c r="BD162" t="e">
        <f>IF(#REF!,"AAAAAH/b7zc=",0)</f>
        <v>#REF!</v>
      </c>
      <c r="BE162" t="e">
        <f>IF(#REF!,"AAAAAH/b7zg=",0)</f>
        <v>#REF!</v>
      </c>
      <c r="BF162" t="e">
        <f>IF(#REF!,"AAAAAH/b7zk=",0)</f>
        <v>#REF!</v>
      </c>
      <c r="BG162" t="e">
        <f>IF(#REF!,"AAAAAH/b7zo=",0)</f>
        <v>#REF!</v>
      </c>
      <c r="BH162" t="e">
        <f>IF(#REF!,"AAAAAH/b7zs=",0)</f>
        <v>#REF!</v>
      </c>
      <c r="BI162" t="e">
        <f>IF(#REF!,"AAAAAH/b7zw=",0)</f>
        <v>#REF!</v>
      </c>
      <c r="BJ162" t="e">
        <f>IF(#REF!,"AAAAAH/b7z0=",0)</f>
        <v>#REF!</v>
      </c>
      <c r="BK162" t="e">
        <f>IF(#REF!,"AAAAAH/b7z4=",0)</f>
        <v>#REF!</v>
      </c>
      <c r="BL162" t="e">
        <f>IF(#REF!,"AAAAAH/b7z8=",0)</f>
        <v>#REF!</v>
      </c>
      <c r="BM162" t="e">
        <f>IF(#REF!,"AAAAAH/b70A=",0)</f>
        <v>#REF!</v>
      </c>
      <c r="BN162" t="e">
        <f>IF(#REF!,"AAAAAH/b70E=",0)</f>
        <v>#REF!</v>
      </c>
      <c r="BO162" t="e">
        <f>IF(#REF!,"AAAAAH/b70I=",0)</f>
        <v>#REF!</v>
      </c>
      <c r="BP162" t="e">
        <f>IF(#REF!,"AAAAAH/b70M=",0)</f>
        <v>#REF!</v>
      </c>
      <c r="BQ162" t="e">
        <f>IF(#REF!,"AAAAAH/b70Q=",0)</f>
        <v>#REF!</v>
      </c>
      <c r="BR162" t="e">
        <f>IF(#REF!,"AAAAAH/b70U=",0)</f>
        <v>#REF!</v>
      </c>
      <c r="BS162" t="e">
        <f>IF(#REF!,"AAAAAH/b70Y=",0)</f>
        <v>#REF!</v>
      </c>
      <c r="BT162" t="e">
        <f>IF(#REF!,"AAAAAH/b70c=",0)</f>
        <v>#REF!</v>
      </c>
      <c r="BU162" t="e">
        <f>IF(#REF!,"AAAAAH/b70g=",0)</f>
        <v>#REF!</v>
      </c>
      <c r="BV162" t="e">
        <f>IF(#REF!,"AAAAAH/b70k=",0)</f>
        <v>#REF!</v>
      </c>
      <c r="BW162" t="e">
        <f>IF(#REF!,"AAAAAH/b70o=",0)</f>
        <v>#REF!</v>
      </c>
      <c r="BX162" t="e">
        <f>IF(#REF!,"AAAAAH/b70s=",0)</f>
        <v>#REF!</v>
      </c>
      <c r="BY162" t="e">
        <f>IF(#REF!,"AAAAAH/b70w=",0)</f>
        <v>#REF!</v>
      </c>
      <c r="BZ162" t="e">
        <f>IF(#REF!,"AAAAAH/b700=",0)</f>
        <v>#REF!</v>
      </c>
      <c r="CA162" t="e">
        <f>IF(#REF!,"AAAAAH/b704=",0)</f>
        <v>#REF!</v>
      </c>
      <c r="CB162" t="e">
        <f>IF(#REF!,"AAAAAH/b708=",0)</f>
        <v>#REF!</v>
      </c>
      <c r="CC162" t="e">
        <f>IF(#REF!,"AAAAAH/b71A=",0)</f>
        <v>#REF!</v>
      </c>
      <c r="CD162" t="e">
        <f>IF(#REF!,"AAAAAH/b71E=",0)</f>
        <v>#REF!</v>
      </c>
      <c r="CE162" t="e">
        <f>IF(#REF!,"AAAAAH/b71I=",0)</f>
        <v>#REF!</v>
      </c>
      <c r="CF162" t="e">
        <f>IF(#REF!,"AAAAAH/b71M=",0)</f>
        <v>#REF!</v>
      </c>
      <c r="CG162" t="e">
        <f>IF(#REF!,"AAAAAH/b71Q=",0)</f>
        <v>#REF!</v>
      </c>
      <c r="CH162" t="e">
        <f>IF(#REF!,"AAAAAH/b71U=",0)</f>
        <v>#REF!</v>
      </c>
      <c r="CI162" t="e">
        <f>IF(#REF!,"AAAAAH/b71Y=",0)</f>
        <v>#REF!</v>
      </c>
      <c r="CJ162" t="e">
        <f>IF(#REF!,"AAAAAH/b71c=",0)</f>
        <v>#REF!</v>
      </c>
      <c r="CK162" t="e">
        <f>IF(#REF!,"AAAAAH/b71g=",0)</f>
        <v>#REF!</v>
      </c>
      <c r="CL162" t="e">
        <f>IF(#REF!,"AAAAAH/b71k=",0)</f>
        <v>#REF!</v>
      </c>
      <c r="CM162" t="e">
        <f>IF(#REF!,"AAAAAH/b71o=",0)</f>
        <v>#REF!</v>
      </c>
      <c r="CN162" t="e">
        <f>IF(#REF!,"AAAAAH/b71s=",0)</f>
        <v>#REF!</v>
      </c>
      <c r="CO162" t="e">
        <f>IF(#REF!,"AAAAAH/b71w=",0)</f>
        <v>#REF!</v>
      </c>
      <c r="CP162" t="e">
        <f>IF(#REF!,"AAAAAH/b710=",0)</f>
        <v>#REF!</v>
      </c>
      <c r="CQ162" t="e">
        <f>IF(#REF!,"AAAAAH/b714=",0)</f>
        <v>#REF!</v>
      </c>
      <c r="CR162" t="e">
        <f>IF(#REF!,"AAAAAH/b718=",0)</f>
        <v>#REF!</v>
      </c>
      <c r="CS162" t="e">
        <f>IF(#REF!,"AAAAAH/b72A=",0)</f>
        <v>#REF!</v>
      </c>
      <c r="CT162" t="e">
        <f>IF(#REF!,"AAAAAH/b72E=",0)</f>
        <v>#REF!</v>
      </c>
      <c r="CU162" t="e">
        <f>IF(#REF!,"AAAAAH/b72I=",0)</f>
        <v>#REF!</v>
      </c>
      <c r="CV162" t="e">
        <f>IF(#REF!,"AAAAAH/b72M=",0)</f>
        <v>#REF!</v>
      </c>
      <c r="CW162" t="e">
        <f>IF(#REF!,"AAAAAH/b72Q=",0)</f>
        <v>#REF!</v>
      </c>
      <c r="CX162" t="e">
        <f>IF(#REF!,"AAAAAH/b72U=",0)</f>
        <v>#REF!</v>
      </c>
      <c r="CY162" t="e">
        <f>IF(#REF!,"AAAAAH/b72Y=",0)</f>
        <v>#REF!</v>
      </c>
      <c r="CZ162" t="e">
        <f>IF(#REF!,"AAAAAH/b72c=",0)</f>
        <v>#REF!</v>
      </c>
      <c r="DA162" t="e">
        <f>IF(#REF!,"AAAAAH/b72g=",0)</f>
        <v>#REF!</v>
      </c>
      <c r="DB162" t="e">
        <f>IF(#REF!,"AAAAAH/b72k=",0)</f>
        <v>#REF!</v>
      </c>
      <c r="DC162" t="e">
        <f>IF(#REF!,"AAAAAH/b72o=",0)</f>
        <v>#REF!</v>
      </c>
      <c r="DD162" t="e">
        <f>IF(#REF!,"AAAAAH/b72s=",0)</f>
        <v>#REF!</v>
      </c>
      <c r="DE162" t="e">
        <f>IF(#REF!,"AAAAAH/b72w=",0)</f>
        <v>#REF!</v>
      </c>
      <c r="DF162" t="e">
        <f>IF(#REF!,"AAAAAH/b720=",0)</f>
        <v>#REF!</v>
      </c>
      <c r="DG162" t="e">
        <f>IF(#REF!,"AAAAAH/b724=",0)</f>
        <v>#REF!</v>
      </c>
      <c r="DH162" t="e">
        <f>IF(#REF!,"AAAAAH/b728=",0)</f>
        <v>#REF!</v>
      </c>
      <c r="DI162" t="e">
        <f>IF(#REF!,"AAAAAH/b73A=",0)</f>
        <v>#REF!</v>
      </c>
      <c r="DJ162" t="e">
        <f>IF(#REF!,"AAAAAH/b73E=",0)</f>
        <v>#REF!</v>
      </c>
      <c r="DK162" t="e">
        <f>IF(#REF!,"AAAAAH/b73I=",0)</f>
        <v>#REF!</v>
      </c>
      <c r="DL162" t="e">
        <f>IF(#REF!,"AAAAAH/b73M=",0)</f>
        <v>#REF!</v>
      </c>
      <c r="DM162" t="e">
        <f>IF(#REF!,"AAAAAH/b73Q=",0)</f>
        <v>#REF!</v>
      </c>
      <c r="DN162" t="e">
        <f>IF(#REF!,"AAAAAH/b73U=",0)</f>
        <v>#REF!</v>
      </c>
      <c r="DO162" t="e">
        <f>IF(#REF!,"AAAAAH/b73Y=",0)</f>
        <v>#REF!</v>
      </c>
      <c r="DP162" t="e">
        <f>IF(#REF!,"AAAAAH/b73c=",0)</f>
        <v>#REF!</v>
      </c>
      <c r="DQ162" t="e">
        <f>IF(#REF!,"AAAAAH/b73g=",0)</f>
        <v>#REF!</v>
      </c>
      <c r="DR162" t="e">
        <f>IF(#REF!,"AAAAAH/b73k=",0)</f>
        <v>#REF!</v>
      </c>
      <c r="DS162" t="e">
        <f>IF(#REF!,"AAAAAH/b73o=",0)</f>
        <v>#REF!</v>
      </c>
      <c r="DT162" t="e">
        <f>IF(#REF!,"AAAAAH/b73s=",0)</f>
        <v>#REF!</v>
      </c>
      <c r="DU162" t="e">
        <f>IF(#REF!,"AAAAAH/b73w=",0)</f>
        <v>#REF!</v>
      </c>
      <c r="DV162" t="e">
        <f>IF(#REF!,"AAAAAH/b730=",0)</f>
        <v>#REF!</v>
      </c>
      <c r="DW162" t="e">
        <f>IF(#REF!,"AAAAAH/b734=",0)</f>
        <v>#REF!</v>
      </c>
      <c r="DX162" t="e">
        <f>IF(#REF!,"AAAAAH/b738=",0)</f>
        <v>#REF!</v>
      </c>
      <c r="DY162" t="e">
        <f>IF(#REF!,"AAAAAH/b74A=",0)</f>
        <v>#REF!</v>
      </c>
      <c r="DZ162" t="e">
        <f>IF(#REF!,"AAAAAH/b74E=",0)</f>
        <v>#REF!</v>
      </c>
      <c r="EA162" t="e">
        <f>IF(#REF!,"AAAAAH/b74I=",0)</f>
        <v>#REF!</v>
      </c>
      <c r="EB162" t="e">
        <f>IF(#REF!,"AAAAAH/b74M=",0)</f>
        <v>#REF!</v>
      </c>
      <c r="EC162" t="e">
        <f>IF(#REF!,"AAAAAH/b74Q=",0)</f>
        <v>#REF!</v>
      </c>
      <c r="ED162" t="e">
        <f>IF(#REF!,"AAAAAH/b74U=",0)</f>
        <v>#REF!</v>
      </c>
      <c r="EE162" t="e">
        <f>IF(#REF!,"AAAAAH/b74Y=",0)</f>
        <v>#REF!</v>
      </c>
      <c r="EF162" t="e">
        <f>IF(#REF!,"AAAAAH/b74c=",0)</f>
        <v>#REF!</v>
      </c>
      <c r="EG162" t="e">
        <f>IF(#REF!,"AAAAAH/b74g=",0)</f>
        <v>#REF!</v>
      </c>
      <c r="EH162" t="e">
        <f>IF(#REF!,"AAAAAH/b74k=",0)</f>
        <v>#REF!</v>
      </c>
      <c r="EI162" t="e">
        <f>IF(#REF!,"AAAAAH/b74o=",0)</f>
        <v>#REF!</v>
      </c>
      <c r="EJ162" t="e">
        <f>IF(#REF!,"AAAAAH/b74s=",0)</f>
        <v>#REF!</v>
      </c>
      <c r="EK162" t="e">
        <f>IF(#REF!,"AAAAAH/b74w=",0)</f>
        <v>#REF!</v>
      </c>
      <c r="EL162" t="e">
        <f>IF(#REF!,"AAAAAH/b740=",0)</f>
        <v>#REF!</v>
      </c>
      <c r="EM162" t="e">
        <f>IF(#REF!,"AAAAAH/b744=",0)</f>
        <v>#REF!</v>
      </c>
      <c r="EN162" t="e">
        <f>IF(#REF!,"AAAAAH/b748=",0)</f>
        <v>#REF!</v>
      </c>
      <c r="EO162" t="e">
        <f>IF(#REF!,"AAAAAH/b75A=",0)</f>
        <v>#REF!</v>
      </c>
      <c r="EP162" t="e">
        <f>IF(#REF!,"AAAAAH/b75E=",0)</f>
        <v>#REF!</v>
      </c>
      <c r="EQ162" t="e">
        <f>IF(#REF!,"AAAAAH/b75I=",0)</f>
        <v>#REF!</v>
      </c>
      <c r="ER162" t="e">
        <f>IF(#REF!,"AAAAAH/b75M=",0)</f>
        <v>#REF!</v>
      </c>
      <c r="ES162" t="e">
        <f>IF(#REF!,"AAAAAH/b75Q=",0)</f>
        <v>#REF!</v>
      </c>
      <c r="ET162" t="e">
        <f>IF(#REF!,"AAAAAH/b75U=",0)</f>
        <v>#REF!</v>
      </c>
      <c r="EU162" t="e">
        <f>IF(#REF!,"AAAAAH/b75Y=",0)</f>
        <v>#REF!</v>
      </c>
      <c r="EV162" t="e">
        <f>IF(#REF!,"AAAAAH/b75c=",0)</f>
        <v>#REF!</v>
      </c>
      <c r="EW162" t="e">
        <f>IF(#REF!,"AAAAAH/b75g=",0)</f>
        <v>#REF!</v>
      </c>
      <c r="EX162" t="e">
        <f>IF(#REF!,"AAAAAH/b75k=",0)</f>
        <v>#REF!</v>
      </c>
      <c r="EY162" t="e">
        <f>IF(#REF!,"AAAAAH/b75o=",0)</f>
        <v>#REF!</v>
      </c>
      <c r="EZ162" t="e">
        <f>IF(#REF!,"AAAAAH/b75s=",0)</f>
        <v>#REF!</v>
      </c>
      <c r="FA162" t="e">
        <f>IF(#REF!,"AAAAAH/b75w=",0)</f>
        <v>#REF!</v>
      </c>
      <c r="FB162" t="e">
        <f>IF(#REF!,"AAAAAH/b750=",0)</f>
        <v>#REF!</v>
      </c>
      <c r="FC162" t="e">
        <f>IF(#REF!,"AAAAAH/b754=",0)</f>
        <v>#REF!</v>
      </c>
      <c r="FD162" t="e">
        <f>IF(#REF!,"AAAAAH/b758=",0)</f>
        <v>#REF!</v>
      </c>
      <c r="FE162" t="e">
        <f>IF(#REF!,"AAAAAH/b76A=",0)</f>
        <v>#REF!</v>
      </c>
      <c r="FF162" t="e">
        <f>IF(#REF!,"AAAAAH/b76E=",0)</f>
        <v>#REF!</v>
      </c>
      <c r="FG162" t="e">
        <f>IF(#REF!,"AAAAAH/b76I=",0)</f>
        <v>#REF!</v>
      </c>
      <c r="FH162" t="e">
        <f>IF(#REF!,"AAAAAH/b76M=",0)</f>
        <v>#REF!</v>
      </c>
      <c r="FI162" t="e">
        <f>IF(#REF!,"AAAAAH/b76Q=",0)</f>
        <v>#REF!</v>
      </c>
      <c r="FJ162" t="e">
        <f>IF(#REF!,"AAAAAH/b76U=",0)</f>
        <v>#REF!</v>
      </c>
      <c r="FK162" t="e">
        <f>IF(#REF!,"AAAAAH/b76Y=",0)</f>
        <v>#REF!</v>
      </c>
      <c r="FL162" t="e">
        <f>IF(#REF!,"AAAAAH/b76c=",0)</f>
        <v>#REF!</v>
      </c>
      <c r="FM162" t="e">
        <f>IF(#REF!,"AAAAAH/b76g=",0)</f>
        <v>#REF!</v>
      </c>
      <c r="FN162" t="e">
        <f>IF(#REF!,"AAAAAH/b76k=",0)</f>
        <v>#REF!</v>
      </c>
      <c r="FO162" t="e">
        <f>IF(#REF!,"AAAAAH/b76o=",0)</f>
        <v>#REF!</v>
      </c>
      <c r="FP162" t="e">
        <f>IF(#REF!,"AAAAAH/b76s=",0)</f>
        <v>#REF!</v>
      </c>
      <c r="FQ162" t="e">
        <f>IF(#REF!,"AAAAAH/b76w=",0)</f>
        <v>#REF!</v>
      </c>
      <c r="FR162" t="e">
        <f>IF(#REF!,"AAAAAH/b760=",0)</f>
        <v>#REF!</v>
      </c>
      <c r="FS162" t="e">
        <f>IF(#REF!,"AAAAAH/b764=",0)</f>
        <v>#REF!</v>
      </c>
      <c r="FT162" t="e">
        <f>IF(#REF!,"AAAAAH/b768=",0)</f>
        <v>#REF!</v>
      </c>
      <c r="FU162" t="e">
        <f>IF(#REF!,"AAAAAH/b77A=",0)</f>
        <v>#REF!</v>
      </c>
      <c r="FV162" t="e">
        <f>IF(#REF!,"AAAAAH/b77E=",0)</f>
        <v>#REF!</v>
      </c>
      <c r="FW162" t="e">
        <f>IF(#REF!,"AAAAAH/b77I=",0)</f>
        <v>#REF!</v>
      </c>
      <c r="FX162" t="e">
        <f>IF(#REF!,"AAAAAH/b77M=",0)</f>
        <v>#REF!</v>
      </c>
      <c r="FY162" t="e">
        <f>IF(#REF!,"AAAAAH/b77Q=",0)</f>
        <v>#REF!</v>
      </c>
      <c r="FZ162" t="e">
        <f>IF(#REF!,"AAAAAH/b77U=",0)</f>
        <v>#REF!</v>
      </c>
      <c r="GA162" t="e">
        <f>IF(#REF!,"AAAAAH/b77Y=",0)</f>
        <v>#REF!</v>
      </c>
      <c r="GB162" t="e">
        <f>IF(#REF!,"AAAAAH/b77c=",0)</f>
        <v>#REF!</v>
      </c>
      <c r="GC162" t="e">
        <f>IF(#REF!,"AAAAAH/b77g=",0)</f>
        <v>#REF!</v>
      </c>
      <c r="GD162" t="e">
        <f>IF(#REF!,"AAAAAH/b77k=",0)</f>
        <v>#REF!</v>
      </c>
      <c r="GE162" t="e">
        <f>IF(#REF!,"AAAAAH/b77o=",0)</f>
        <v>#REF!</v>
      </c>
      <c r="GF162" t="e">
        <f>IF(#REF!,"AAAAAH/b77s=",0)</f>
        <v>#REF!</v>
      </c>
      <c r="GG162" t="e">
        <f>IF(#REF!,"AAAAAH/b77w=",0)</f>
        <v>#REF!</v>
      </c>
      <c r="GH162" t="e">
        <f>IF(#REF!,"AAAAAH/b770=",0)</f>
        <v>#REF!</v>
      </c>
      <c r="GI162" t="e">
        <f>IF(#REF!,"AAAAAH/b774=",0)</f>
        <v>#REF!</v>
      </c>
      <c r="GJ162" t="e">
        <f>IF(#REF!,"AAAAAH/b778=",0)</f>
        <v>#REF!</v>
      </c>
      <c r="GK162" t="e">
        <f>IF(#REF!,"AAAAAH/b78A=",0)</f>
        <v>#REF!</v>
      </c>
      <c r="GL162" t="e">
        <f>IF(#REF!,"AAAAAH/b78E=",0)</f>
        <v>#REF!</v>
      </c>
      <c r="GM162" t="e">
        <f>IF(#REF!,"AAAAAH/b78I=",0)</f>
        <v>#REF!</v>
      </c>
      <c r="GN162" t="e">
        <f>IF(#REF!,"AAAAAH/b78M=",0)</f>
        <v>#REF!</v>
      </c>
      <c r="GO162" t="e">
        <f>IF(#REF!,"AAAAAH/b78Q=",0)</f>
        <v>#REF!</v>
      </c>
      <c r="GP162" t="e">
        <f>IF(#REF!,"AAAAAH/b78U=",0)</f>
        <v>#REF!</v>
      </c>
      <c r="GQ162" t="e">
        <f>IF(#REF!,"AAAAAH/b78Y=",0)</f>
        <v>#REF!</v>
      </c>
      <c r="GR162" t="e">
        <f>IF(#REF!,"AAAAAH/b78c=",0)</f>
        <v>#REF!</v>
      </c>
      <c r="GS162" t="e">
        <f>IF(#REF!,"AAAAAH/b78g=",0)</f>
        <v>#REF!</v>
      </c>
      <c r="GT162" t="e">
        <f>IF(#REF!,"AAAAAH/b78k=",0)</f>
        <v>#REF!</v>
      </c>
      <c r="GU162" t="e">
        <f>IF(#REF!,"AAAAAH/b78o=",0)</f>
        <v>#REF!</v>
      </c>
      <c r="GV162" t="e">
        <f>IF(#REF!,"AAAAAH/b78s=",0)</f>
        <v>#REF!</v>
      </c>
      <c r="GW162" t="e">
        <f>IF(#REF!,"AAAAAH/b78w=",0)</f>
        <v>#REF!</v>
      </c>
      <c r="GX162" t="e">
        <f>IF(#REF!,"AAAAAH/b780=",0)</f>
        <v>#REF!</v>
      </c>
      <c r="GY162" t="e">
        <f>IF(#REF!,"AAAAAH/b784=",0)</f>
        <v>#REF!</v>
      </c>
      <c r="GZ162" t="e">
        <f>IF(#REF!,"AAAAAH/b788=",0)</f>
        <v>#REF!</v>
      </c>
      <c r="HA162" t="e">
        <f>IF(#REF!,"AAAAAH/b79A=",0)</f>
        <v>#REF!</v>
      </c>
      <c r="HB162" t="e">
        <f>IF(#REF!,"AAAAAH/b79E=",0)</f>
        <v>#REF!</v>
      </c>
      <c r="HC162" t="e">
        <f>IF(#REF!,"AAAAAH/b79I=",0)</f>
        <v>#REF!</v>
      </c>
      <c r="HD162" t="e">
        <f>IF(#REF!,"AAAAAH/b79M=",0)</f>
        <v>#REF!</v>
      </c>
      <c r="HE162" t="e">
        <f>IF(#REF!,"AAAAAH/b79Q=",0)</f>
        <v>#REF!</v>
      </c>
      <c r="HF162" t="e">
        <f>IF(#REF!,"AAAAAH/b79U=",0)</f>
        <v>#REF!</v>
      </c>
      <c r="HG162" t="e">
        <f>IF(#REF!,"AAAAAH/b79Y=",0)</f>
        <v>#REF!</v>
      </c>
      <c r="HH162" t="e">
        <f>IF(#REF!,"AAAAAH/b79c=",0)</f>
        <v>#REF!</v>
      </c>
      <c r="HI162" t="e">
        <f>IF(#REF!,"AAAAAH/b79g=",0)</f>
        <v>#REF!</v>
      </c>
      <c r="HJ162" t="e">
        <f>IF(#REF!,"AAAAAH/b79k=",0)</f>
        <v>#REF!</v>
      </c>
      <c r="HK162" t="e">
        <f>IF(#REF!,"AAAAAH/b79o=",0)</f>
        <v>#REF!</v>
      </c>
      <c r="HL162" t="e">
        <f>IF(#REF!,"AAAAAH/b79s=",0)</f>
        <v>#REF!</v>
      </c>
      <c r="HM162" t="e">
        <f>IF(#REF!,"AAAAAH/b79w=",0)</f>
        <v>#REF!</v>
      </c>
      <c r="HN162" t="e">
        <f>IF(#REF!,"AAAAAH/b790=",0)</f>
        <v>#REF!</v>
      </c>
      <c r="HO162" t="e">
        <f>IF(#REF!,"AAAAAH/b794=",0)</f>
        <v>#REF!</v>
      </c>
      <c r="HP162" t="e">
        <f>IF(#REF!,"AAAAAH/b798=",0)</f>
        <v>#REF!</v>
      </c>
      <c r="HQ162" t="e">
        <f>IF(#REF!,"AAAAAH/b7+A=",0)</f>
        <v>#REF!</v>
      </c>
      <c r="HR162" t="e">
        <f>IF(#REF!,"AAAAAH/b7+E=",0)</f>
        <v>#REF!</v>
      </c>
      <c r="HS162" t="e">
        <f>IF(#REF!,"AAAAAH/b7+I=",0)</f>
        <v>#REF!</v>
      </c>
      <c r="HT162" t="e">
        <f>IF(#REF!,"AAAAAH/b7+M=",0)</f>
        <v>#REF!</v>
      </c>
      <c r="HU162" t="e">
        <f>IF(#REF!,"AAAAAH/b7+Q=",0)</f>
        <v>#REF!</v>
      </c>
      <c r="HV162" t="e">
        <f>IF(#REF!,"AAAAAH/b7+U=",0)</f>
        <v>#REF!</v>
      </c>
      <c r="HW162" t="e">
        <f>IF(#REF!,"AAAAAH/b7+Y=",0)</f>
        <v>#REF!</v>
      </c>
      <c r="HX162" t="e">
        <f>IF(#REF!,"AAAAAH/b7+c=",0)</f>
        <v>#REF!</v>
      </c>
      <c r="HY162" t="e">
        <f>IF(#REF!,"AAAAAH/b7+g=",0)</f>
        <v>#REF!</v>
      </c>
      <c r="HZ162" t="e">
        <f>IF(#REF!,"AAAAAH/b7+k=",0)</f>
        <v>#REF!</v>
      </c>
      <c r="IA162" t="e">
        <f>IF(#REF!,"AAAAAH/b7+o=",0)</f>
        <v>#REF!</v>
      </c>
      <c r="IB162" t="e">
        <f>IF(#REF!,"AAAAAH/b7+s=",0)</f>
        <v>#REF!</v>
      </c>
      <c r="IC162" t="e">
        <f>IF(#REF!,"AAAAAH/b7+w=",0)</f>
        <v>#REF!</v>
      </c>
      <c r="ID162" t="e">
        <f>IF(#REF!,"AAAAAH/b7+0=",0)</f>
        <v>#REF!</v>
      </c>
      <c r="IE162" t="e">
        <f>IF(#REF!,"AAAAAH/b7+4=",0)</f>
        <v>#REF!</v>
      </c>
      <c r="IF162" t="e">
        <f>IF(#REF!,"AAAAAH/b7+8=",0)</f>
        <v>#REF!</v>
      </c>
      <c r="IG162" t="e">
        <f>IF(#REF!,"AAAAAH/b7/A=",0)</f>
        <v>#REF!</v>
      </c>
      <c r="IH162" t="e">
        <f>IF(#REF!,"AAAAAH/b7/E=",0)</f>
        <v>#REF!</v>
      </c>
      <c r="II162" t="e">
        <f>IF(#REF!,"AAAAAH/b7/I=",0)</f>
        <v>#REF!</v>
      </c>
      <c r="IJ162" t="e">
        <f>IF(#REF!,"AAAAAH/b7/M=",0)</f>
        <v>#REF!</v>
      </c>
      <c r="IK162" t="e">
        <f>IF(#REF!,"AAAAAH/b7/Q=",0)</f>
        <v>#REF!</v>
      </c>
      <c r="IL162" t="e">
        <f>IF(#REF!,"AAAAAH/b7/U=",0)</f>
        <v>#REF!</v>
      </c>
      <c r="IM162" t="e">
        <f>IF(#REF!,"AAAAAH/b7/Y=",0)</f>
        <v>#REF!</v>
      </c>
      <c r="IN162" t="e">
        <f>IF(#REF!,"AAAAAH/b7/c=",0)</f>
        <v>#REF!</v>
      </c>
      <c r="IO162" t="e">
        <f>IF(#REF!,"AAAAAH/b7/g=",0)</f>
        <v>#REF!</v>
      </c>
      <c r="IP162" t="e">
        <f>IF(#REF!,"AAAAAH/b7/k=",0)</f>
        <v>#REF!</v>
      </c>
      <c r="IQ162" t="e">
        <f>IF(#REF!,"AAAAAH/b7/o=",0)</f>
        <v>#REF!</v>
      </c>
      <c r="IR162" t="e">
        <f>IF(#REF!,"AAAAAH/b7/s=",0)</f>
        <v>#REF!</v>
      </c>
      <c r="IS162" t="e">
        <f>IF(#REF!,"AAAAAH/b7/w=",0)</f>
        <v>#REF!</v>
      </c>
      <c r="IT162" t="e">
        <f>IF(#REF!,"AAAAAH/b7/0=",0)</f>
        <v>#REF!</v>
      </c>
      <c r="IU162" t="e">
        <f>IF(#REF!,"AAAAAH/b7/4=",0)</f>
        <v>#REF!</v>
      </c>
      <c r="IV162" t="e">
        <f>IF(#REF!,"AAAAAH/b7/8=",0)</f>
        <v>#REF!</v>
      </c>
    </row>
    <row r="163" spans="1:256">
      <c r="A163" t="e">
        <f>IF(#REF!,"AAAAAH/+ewA=",0)</f>
        <v>#REF!</v>
      </c>
      <c r="B163" t="e">
        <f>IF(#REF!,"AAAAAH/+ewE=",0)</f>
        <v>#REF!</v>
      </c>
      <c r="C163" t="e">
        <f>IF(#REF!,"AAAAAH/+ewI=",0)</f>
        <v>#REF!</v>
      </c>
      <c r="D163" t="e">
        <f>IF(#REF!,"AAAAAH/+ewM=",0)</f>
        <v>#REF!</v>
      </c>
      <c r="E163" t="e">
        <f>IF(#REF!,"AAAAAH/+ewQ=",0)</f>
        <v>#REF!</v>
      </c>
      <c r="F163" t="e">
        <f>IF(#REF!,"AAAAAH/+ewU=",0)</f>
        <v>#REF!</v>
      </c>
      <c r="G163" t="e">
        <f>IF(#REF!,"AAAAAH/+ewY=",0)</f>
        <v>#REF!</v>
      </c>
      <c r="H163" t="e">
        <f>IF(#REF!,"AAAAAH/+ewc=",0)</f>
        <v>#REF!</v>
      </c>
      <c r="I163" t="e">
        <f>IF(#REF!,"AAAAAH/+ewg=",0)</f>
        <v>#REF!</v>
      </c>
      <c r="J163" t="e">
        <f>IF(#REF!,"AAAAAH/+ewk=",0)</f>
        <v>#REF!</v>
      </c>
      <c r="K163" t="e">
        <f>IF(#REF!,"AAAAAH/+ewo=",0)</f>
        <v>#REF!</v>
      </c>
      <c r="L163" t="e">
        <f>IF(#REF!,"AAAAAH/+ews=",0)</f>
        <v>#REF!</v>
      </c>
      <c r="M163" t="e">
        <f>IF(#REF!,"AAAAAH/+eww=",0)</f>
        <v>#REF!</v>
      </c>
      <c r="N163" t="e">
        <f>IF(#REF!,"AAAAAH/+ew0=",0)</f>
        <v>#REF!</v>
      </c>
      <c r="O163" t="e">
        <f>IF(#REF!,"AAAAAH/+ew4=",0)</f>
        <v>#REF!</v>
      </c>
      <c r="P163" t="e">
        <f>IF(#REF!,"AAAAAH/+ew8=",0)</f>
        <v>#REF!</v>
      </c>
      <c r="Q163" t="e">
        <f>IF(#REF!,"AAAAAH/+exA=",0)</f>
        <v>#REF!</v>
      </c>
      <c r="R163" t="e">
        <f>IF(#REF!,"AAAAAH/+exE=",0)</f>
        <v>#REF!</v>
      </c>
      <c r="S163" t="e">
        <f>IF(#REF!,"AAAAAH/+exI=",0)</f>
        <v>#REF!</v>
      </c>
      <c r="T163" t="e">
        <f>IF(#REF!,"AAAAAH/+exM=",0)</f>
        <v>#REF!</v>
      </c>
      <c r="U163" t="e">
        <f>IF(#REF!,"AAAAAH/+exQ=",0)</f>
        <v>#REF!</v>
      </c>
      <c r="V163" t="e">
        <f>IF(#REF!,"AAAAAH/+exU=",0)</f>
        <v>#REF!</v>
      </c>
      <c r="W163" t="e">
        <f>IF(#REF!,"AAAAAH/+exY=",0)</f>
        <v>#REF!</v>
      </c>
      <c r="X163" t="e">
        <f>IF(#REF!,"AAAAAH/+exc=",0)</f>
        <v>#REF!</v>
      </c>
      <c r="Y163" t="e">
        <f>IF(#REF!,"AAAAAH/+exg=",0)</f>
        <v>#REF!</v>
      </c>
      <c r="Z163" t="e">
        <f>IF(#REF!,"AAAAAH/+exk=",0)</f>
        <v>#REF!</v>
      </c>
      <c r="AA163" t="e">
        <f>IF(#REF!,"AAAAAH/+exo=",0)</f>
        <v>#REF!</v>
      </c>
      <c r="AB163" t="e">
        <f>IF(#REF!,"AAAAAH/+exs=",0)</f>
        <v>#REF!</v>
      </c>
      <c r="AC163" t="e">
        <f>IF(#REF!,"AAAAAH/+exw=",0)</f>
        <v>#REF!</v>
      </c>
      <c r="AD163" t="e">
        <f>IF(#REF!,"AAAAAH/+ex0=",0)</f>
        <v>#REF!</v>
      </c>
      <c r="AE163" t="e">
        <f>IF(#REF!,"AAAAAH/+ex4=",0)</f>
        <v>#REF!</v>
      </c>
      <c r="AF163" t="e">
        <f>IF(#REF!,"AAAAAH/+ex8=",0)</f>
        <v>#REF!</v>
      </c>
      <c r="AG163" t="e">
        <f>IF(#REF!,"AAAAAH/+eyA=",0)</f>
        <v>#REF!</v>
      </c>
      <c r="AH163" t="e">
        <f>IF(#REF!,"AAAAAH/+eyE=",0)</f>
        <v>#REF!</v>
      </c>
      <c r="AI163" t="e">
        <f>IF(#REF!,"AAAAAH/+eyI=",0)</f>
        <v>#REF!</v>
      </c>
      <c r="AJ163" t="e">
        <f>IF(#REF!,"AAAAAH/+eyM=",0)</f>
        <v>#REF!</v>
      </c>
      <c r="AK163" t="e">
        <f>IF(#REF!,"AAAAAH/+eyQ=",0)</f>
        <v>#REF!</v>
      </c>
      <c r="AL163" t="e">
        <f>IF(#REF!,"AAAAAH/+eyU=",0)</f>
        <v>#REF!</v>
      </c>
      <c r="AM163" t="e">
        <f>IF(#REF!,"AAAAAH/+eyY=",0)</f>
        <v>#REF!</v>
      </c>
      <c r="AN163" t="e">
        <f>IF(#REF!,"AAAAAH/+eyc=",0)</f>
        <v>#REF!</v>
      </c>
      <c r="AO163" t="e">
        <f>IF(#REF!,"AAAAAH/+eyg=",0)</f>
        <v>#REF!</v>
      </c>
      <c r="AP163" t="e">
        <f>IF(#REF!,"AAAAAH/+eyk=",0)</f>
        <v>#REF!</v>
      </c>
      <c r="AQ163" t="e">
        <f>IF(#REF!,"AAAAAH/+eyo=",0)</f>
        <v>#REF!</v>
      </c>
      <c r="AR163" t="e">
        <f>IF(#REF!,"AAAAAH/+eys=",0)</f>
        <v>#REF!</v>
      </c>
      <c r="AS163" t="e">
        <f>IF(#REF!,"AAAAAH/+eyw=",0)</f>
        <v>#REF!</v>
      </c>
      <c r="AT163" t="e">
        <f>IF(#REF!,"AAAAAH/+ey0=",0)</f>
        <v>#REF!</v>
      </c>
      <c r="AU163" t="e">
        <f>IF(#REF!,"AAAAAH/+ey4=",0)</f>
        <v>#REF!</v>
      </c>
      <c r="AV163" t="e">
        <f>IF(#REF!,"AAAAAH/+ey8=",0)</f>
        <v>#REF!</v>
      </c>
      <c r="AW163" t="e">
        <f>IF(#REF!,"AAAAAH/+ezA=",0)</f>
        <v>#REF!</v>
      </c>
      <c r="AX163" t="e">
        <f>IF(#REF!,"AAAAAH/+ezE=",0)</f>
        <v>#REF!</v>
      </c>
      <c r="AY163" t="e">
        <f>IF(#REF!,"AAAAAH/+ezI=",0)</f>
        <v>#REF!</v>
      </c>
      <c r="AZ163" t="e">
        <f>IF(#REF!,"AAAAAH/+ezM=",0)</f>
        <v>#REF!</v>
      </c>
      <c r="BA163" t="e">
        <f>IF(#REF!,"AAAAAH/+ezQ=",0)</f>
        <v>#REF!</v>
      </c>
      <c r="BB163" t="e">
        <f>IF(#REF!,"AAAAAH/+ezU=",0)</f>
        <v>#REF!</v>
      </c>
      <c r="BC163" t="e">
        <f>IF(#REF!,"AAAAAH/+ezY=",0)</f>
        <v>#REF!</v>
      </c>
      <c r="BD163" t="e">
        <f>IF(#REF!,"AAAAAH/+ezc=",0)</f>
        <v>#REF!</v>
      </c>
      <c r="BE163" t="e">
        <f>IF(#REF!,"AAAAAH/+ezg=",0)</f>
        <v>#REF!</v>
      </c>
      <c r="BF163" t="e">
        <f>IF(#REF!,"AAAAAH/+ezk=",0)</f>
        <v>#REF!</v>
      </c>
      <c r="BG163" t="e">
        <f>IF(#REF!,"AAAAAH/+ezo=",0)</f>
        <v>#REF!</v>
      </c>
      <c r="BH163" t="e">
        <f>IF(#REF!,"AAAAAH/+ezs=",0)</f>
        <v>#REF!</v>
      </c>
      <c r="BI163" t="e">
        <f>IF(#REF!,"AAAAAH/+ezw=",0)</f>
        <v>#REF!</v>
      </c>
      <c r="BJ163" t="e">
        <f>IF(#REF!,"AAAAAH/+ez0=",0)</f>
        <v>#REF!</v>
      </c>
      <c r="BK163" t="e">
        <f>IF(#REF!,"AAAAAH/+ez4=",0)</f>
        <v>#REF!</v>
      </c>
      <c r="BL163" t="e">
        <f>IF(#REF!,"AAAAAH/+ez8=",0)</f>
        <v>#REF!</v>
      </c>
      <c r="BM163" t="e">
        <f>IF(#REF!,"AAAAAH/+e0A=",0)</f>
        <v>#REF!</v>
      </c>
      <c r="BN163" t="e">
        <f>IF(#REF!,"AAAAAH/+e0E=",0)</f>
        <v>#REF!</v>
      </c>
      <c r="BO163" t="e">
        <f>IF(#REF!,"AAAAAH/+e0I=",0)</f>
        <v>#REF!</v>
      </c>
      <c r="BP163" t="e">
        <f>IF(#REF!,"AAAAAH/+e0M=",0)</f>
        <v>#REF!</v>
      </c>
      <c r="BQ163" t="e">
        <f>IF(#REF!,"AAAAAH/+e0Q=",0)</f>
        <v>#REF!</v>
      </c>
      <c r="BR163" t="e">
        <f>IF(#REF!,"AAAAAH/+e0U=",0)</f>
        <v>#REF!</v>
      </c>
      <c r="BS163" t="e">
        <f>IF(#REF!,"AAAAAH/+e0Y=",0)</f>
        <v>#REF!</v>
      </c>
      <c r="BT163" t="e">
        <f>IF(#REF!,"AAAAAH/+e0c=",0)</f>
        <v>#REF!</v>
      </c>
      <c r="BU163" t="e">
        <f>IF(#REF!,"AAAAAH/+e0g=",0)</f>
        <v>#REF!</v>
      </c>
      <c r="BV163" t="e">
        <f>IF(#REF!,"AAAAAH/+e0k=",0)</f>
        <v>#REF!</v>
      </c>
      <c r="BW163" t="e">
        <f>IF(#REF!,"AAAAAH/+e0o=",0)</f>
        <v>#REF!</v>
      </c>
      <c r="BX163" t="e">
        <f>IF(#REF!,"AAAAAH/+e0s=",0)</f>
        <v>#REF!</v>
      </c>
      <c r="BY163" t="e">
        <f>IF(#REF!,"AAAAAH/+e0w=",0)</f>
        <v>#REF!</v>
      </c>
      <c r="BZ163" t="e">
        <f>IF(#REF!,"AAAAAH/+e00=",0)</f>
        <v>#REF!</v>
      </c>
      <c r="CA163" t="e">
        <f>IF(#REF!,"AAAAAH/+e04=",0)</f>
        <v>#REF!</v>
      </c>
      <c r="CB163" t="e">
        <f>IF(#REF!,"AAAAAH/+e08=",0)</f>
        <v>#REF!</v>
      </c>
      <c r="CC163" t="e">
        <f>IF(#REF!,"AAAAAH/+e1A=",0)</f>
        <v>#REF!</v>
      </c>
      <c r="CD163" t="e">
        <f>IF(#REF!,"AAAAAH/+e1E=",0)</f>
        <v>#REF!</v>
      </c>
      <c r="CE163" t="e">
        <f>IF(#REF!,"AAAAAH/+e1I=",0)</f>
        <v>#REF!</v>
      </c>
      <c r="CF163" t="e">
        <f>IF(#REF!,"AAAAAH/+e1M=",0)</f>
        <v>#REF!</v>
      </c>
      <c r="CG163" t="e">
        <f>IF(#REF!,"AAAAAH/+e1Q=",0)</f>
        <v>#REF!</v>
      </c>
      <c r="CH163" t="e">
        <f>IF(#REF!,"AAAAAH/+e1U=",0)</f>
        <v>#REF!</v>
      </c>
      <c r="CI163" t="e">
        <f>IF(#REF!,"AAAAAH/+e1Y=",0)</f>
        <v>#REF!</v>
      </c>
      <c r="CJ163" t="e">
        <f>IF(#REF!,"AAAAAH/+e1c=",0)</f>
        <v>#REF!</v>
      </c>
      <c r="CK163" t="e">
        <f>IF(#REF!,"AAAAAH/+e1g=",0)</f>
        <v>#REF!</v>
      </c>
      <c r="CL163" t="e">
        <f>IF(#REF!,"AAAAAH/+e1k=",0)</f>
        <v>#REF!</v>
      </c>
      <c r="CM163" t="e">
        <f>IF(#REF!,"AAAAAH/+e1o=",0)</f>
        <v>#REF!</v>
      </c>
      <c r="CN163" t="e">
        <f>IF(#REF!,"AAAAAH/+e1s=",0)</f>
        <v>#REF!</v>
      </c>
      <c r="CO163" t="e">
        <f>IF(#REF!,"AAAAAH/+e1w=",0)</f>
        <v>#REF!</v>
      </c>
      <c r="CP163" t="e">
        <f>IF(#REF!,"AAAAAH/+e10=",0)</f>
        <v>#REF!</v>
      </c>
      <c r="CQ163" t="e">
        <f>IF(#REF!,"AAAAAH/+e14=",0)</f>
        <v>#REF!</v>
      </c>
      <c r="CR163" t="e">
        <f>IF(#REF!,"AAAAAH/+e18=",0)</f>
        <v>#REF!</v>
      </c>
      <c r="CS163" t="e">
        <f>IF(#REF!,"AAAAAH/+e2A=",0)</f>
        <v>#REF!</v>
      </c>
      <c r="CT163" t="e">
        <f>IF(#REF!,"AAAAAH/+e2E=",0)</f>
        <v>#REF!</v>
      </c>
      <c r="CU163" t="e">
        <f>IF(#REF!,"AAAAAH/+e2I=",0)</f>
        <v>#REF!</v>
      </c>
      <c r="CV163" t="e">
        <f>IF(#REF!,"AAAAAH/+e2M=",0)</f>
        <v>#REF!</v>
      </c>
      <c r="CW163" t="e">
        <f>IF(#REF!,"AAAAAH/+e2Q=",0)</f>
        <v>#REF!</v>
      </c>
      <c r="CX163" t="e">
        <f>IF(#REF!,"AAAAAH/+e2U=",0)</f>
        <v>#REF!</v>
      </c>
      <c r="CY163" t="e">
        <f>IF(#REF!,"AAAAAH/+e2Y=",0)</f>
        <v>#REF!</v>
      </c>
      <c r="CZ163" t="e">
        <f>IF(#REF!,"AAAAAH/+e2c=",0)</f>
        <v>#REF!</v>
      </c>
      <c r="DA163" t="e">
        <f>IF(#REF!,"AAAAAH/+e2g=",0)</f>
        <v>#REF!</v>
      </c>
      <c r="DB163" t="e">
        <f>IF(#REF!,"AAAAAH/+e2k=",0)</f>
        <v>#REF!</v>
      </c>
      <c r="DC163" t="e">
        <f>IF(#REF!,"AAAAAH/+e2o=",0)</f>
        <v>#REF!</v>
      </c>
      <c r="DD163" t="e">
        <f>IF(#REF!,"AAAAAH/+e2s=",0)</f>
        <v>#REF!</v>
      </c>
      <c r="DE163" t="e">
        <f>IF(#REF!,"AAAAAH/+e2w=",0)</f>
        <v>#REF!</v>
      </c>
      <c r="DF163" t="e">
        <f>IF(#REF!,"AAAAAH/+e20=",0)</f>
        <v>#REF!</v>
      </c>
      <c r="DG163" t="e">
        <f>IF(#REF!,"AAAAAH/+e24=",0)</f>
        <v>#REF!</v>
      </c>
      <c r="DH163" t="e">
        <f>IF(#REF!,"AAAAAH/+e28=",0)</f>
        <v>#REF!</v>
      </c>
      <c r="DI163" t="e">
        <f>IF(#REF!,"AAAAAH/+e3A=",0)</f>
        <v>#REF!</v>
      </c>
      <c r="DJ163" t="e">
        <f>IF(#REF!,"AAAAAH/+e3E=",0)</f>
        <v>#REF!</v>
      </c>
      <c r="DK163" t="e">
        <f>IF(#REF!,"AAAAAH/+e3I=",0)</f>
        <v>#REF!</v>
      </c>
      <c r="DL163" t="e">
        <f>IF(#REF!,"AAAAAH/+e3M=",0)</f>
        <v>#REF!</v>
      </c>
      <c r="DM163" t="e">
        <f>IF(#REF!,"AAAAAH/+e3Q=",0)</f>
        <v>#REF!</v>
      </c>
      <c r="DN163" t="e">
        <f>IF(#REF!,"AAAAAH/+e3U=",0)</f>
        <v>#REF!</v>
      </c>
      <c r="DO163" t="e">
        <f>IF(#REF!,"AAAAAH/+e3Y=",0)</f>
        <v>#REF!</v>
      </c>
      <c r="DP163" t="e">
        <f>IF(#REF!,"AAAAAH/+e3c=",0)</f>
        <v>#REF!</v>
      </c>
      <c r="DQ163" t="e">
        <f>IF(#REF!,"AAAAAH/+e3g=",0)</f>
        <v>#REF!</v>
      </c>
      <c r="DR163" t="e">
        <f>IF(#REF!,"AAAAAH/+e3k=",0)</f>
        <v>#REF!</v>
      </c>
      <c r="DS163" t="e">
        <f>IF(#REF!,"AAAAAH/+e3o=",0)</f>
        <v>#REF!</v>
      </c>
      <c r="DT163" t="e">
        <f>IF(#REF!,"AAAAAH/+e3s=",0)</f>
        <v>#REF!</v>
      </c>
      <c r="DU163" t="e">
        <f>IF(#REF!,"AAAAAH/+e3w=",0)</f>
        <v>#REF!</v>
      </c>
      <c r="DV163" t="e">
        <f>IF(#REF!,"AAAAAH/+e30=",0)</f>
        <v>#REF!</v>
      </c>
      <c r="DW163" t="e">
        <f>IF(#REF!,"AAAAAH/+e34=",0)</f>
        <v>#REF!</v>
      </c>
      <c r="DX163" t="e">
        <f>IF(#REF!,"AAAAAH/+e38=",0)</f>
        <v>#REF!</v>
      </c>
      <c r="DY163" t="e">
        <f>IF(#REF!,"AAAAAH/+e4A=",0)</f>
        <v>#REF!</v>
      </c>
      <c r="DZ163" t="e">
        <f>IF(#REF!,"AAAAAH/+e4E=",0)</f>
        <v>#REF!</v>
      </c>
      <c r="EA163" t="e">
        <f>IF(#REF!,"AAAAAH/+e4I=",0)</f>
        <v>#REF!</v>
      </c>
      <c r="EB163" t="e">
        <f>IF(#REF!,"AAAAAH/+e4M=",0)</f>
        <v>#REF!</v>
      </c>
      <c r="EC163" t="e">
        <f>IF(#REF!,"AAAAAH/+e4Q=",0)</f>
        <v>#REF!</v>
      </c>
      <c r="ED163" t="e">
        <f>IF(#REF!,"AAAAAH/+e4U=",0)</f>
        <v>#REF!</v>
      </c>
      <c r="EE163" t="e">
        <f>IF(#REF!,"AAAAAH/+e4Y=",0)</f>
        <v>#REF!</v>
      </c>
      <c r="EF163" t="e">
        <f>IF(#REF!,"AAAAAH/+e4c=",0)</f>
        <v>#REF!</v>
      </c>
      <c r="EG163" t="e">
        <f>IF(#REF!,"AAAAAH/+e4g=",0)</f>
        <v>#REF!</v>
      </c>
      <c r="EH163" t="e">
        <f>IF(#REF!,"AAAAAH/+e4k=",0)</f>
        <v>#REF!</v>
      </c>
      <c r="EI163" t="e">
        <f>IF(#REF!,"AAAAAH/+e4o=",0)</f>
        <v>#REF!</v>
      </c>
      <c r="EJ163" t="e">
        <f>IF(#REF!,"AAAAAH/+e4s=",0)</f>
        <v>#REF!</v>
      </c>
      <c r="EK163" t="e">
        <f>IF(#REF!,"AAAAAH/+e4w=",0)</f>
        <v>#REF!</v>
      </c>
      <c r="EL163" t="e">
        <f>IF(#REF!,"AAAAAH/+e40=",0)</f>
        <v>#REF!</v>
      </c>
      <c r="EM163" t="e">
        <f>IF(#REF!,"AAAAAH/+e44=",0)</f>
        <v>#REF!</v>
      </c>
      <c r="EN163" t="e">
        <f>IF(#REF!,"AAAAAH/+e48=",0)</f>
        <v>#REF!</v>
      </c>
      <c r="EO163" t="e">
        <f>IF(#REF!,"AAAAAH/+e5A=",0)</f>
        <v>#REF!</v>
      </c>
      <c r="EP163" t="e">
        <f>IF(#REF!,"AAAAAH/+e5E=",0)</f>
        <v>#REF!</v>
      </c>
      <c r="EQ163" t="e">
        <f>IF(#REF!,"AAAAAH/+e5I=",0)</f>
        <v>#REF!</v>
      </c>
      <c r="ER163" t="e">
        <f>IF(#REF!,"AAAAAH/+e5M=",0)</f>
        <v>#REF!</v>
      </c>
      <c r="ES163" t="e">
        <f>IF(#REF!,"AAAAAH/+e5Q=",0)</f>
        <v>#REF!</v>
      </c>
      <c r="ET163" t="e">
        <f>IF(#REF!,"AAAAAH/+e5U=",0)</f>
        <v>#REF!</v>
      </c>
      <c r="EU163" t="e">
        <f>IF(#REF!,"AAAAAH/+e5Y=",0)</f>
        <v>#REF!</v>
      </c>
      <c r="EV163" t="e">
        <f>IF(#REF!,"AAAAAH/+e5c=",0)</f>
        <v>#REF!</v>
      </c>
      <c r="EW163" t="e">
        <f>IF(#REF!,"AAAAAH/+e5g=",0)</f>
        <v>#REF!</v>
      </c>
      <c r="EX163" t="e">
        <f>IF(#REF!,"AAAAAH/+e5k=",0)</f>
        <v>#REF!</v>
      </c>
      <c r="EY163" t="e">
        <f>IF(#REF!,"AAAAAH/+e5o=",0)</f>
        <v>#REF!</v>
      </c>
      <c r="EZ163" t="e">
        <f>IF(#REF!,"AAAAAH/+e5s=",0)</f>
        <v>#REF!</v>
      </c>
      <c r="FA163" t="e">
        <f>IF(#REF!,"AAAAAH/+e5w=",0)</f>
        <v>#REF!</v>
      </c>
      <c r="FB163" t="e">
        <f>IF(#REF!,"AAAAAH/+e50=",0)</f>
        <v>#REF!</v>
      </c>
      <c r="FC163" t="e">
        <f>IF(#REF!,"AAAAAH/+e54=",0)</f>
        <v>#REF!</v>
      </c>
      <c r="FD163" t="e">
        <f>IF(#REF!,"AAAAAH/+e58=",0)</f>
        <v>#REF!</v>
      </c>
      <c r="FE163" t="e">
        <f>IF(#REF!,"AAAAAH/+e6A=",0)</f>
        <v>#REF!</v>
      </c>
      <c r="FF163" t="e">
        <f>IF(#REF!,"AAAAAH/+e6E=",0)</f>
        <v>#REF!</v>
      </c>
      <c r="FG163" t="e">
        <f>IF(#REF!,"AAAAAH/+e6I=",0)</f>
        <v>#REF!</v>
      </c>
      <c r="FH163" t="e">
        <f>IF(#REF!,"AAAAAH/+e6M=",0)</f>
        <v>#REF!</v>
      </c>
      <c r="FI163" t="e">
        <f>IF(#REF!,"AAAAAH/+e6Q=",0)</f>
        <v>#REF!</v>
      </c>
      <c r="FJ163" t="e">
        <f>IF(#REF!,"AAAAAH/+e6U=",0)</f>
        <v>#REF!</v>
      </c>
      <c r="FK163" t="e">
        <f>IF(#REF!,"AAAAAH/+e6Y=",0)</f>
        <v>#REF!</v>
      </c>
      <c r="FL163" t="e">
        <f>IF(#REF!,"AAAAAH/+e6c=",0)</f>
        <v>#REF!</v>
      </c>
      <c r="FM163" t="e">
        <f>IF(#REF!,"AAAAAH/+e6g=",0)</f>
        <v>#REF!</v>
      </c>
      <c r="FN163" t="e">
        <f>IF(#REF!,"AAAAAH/+e6k=",0)</f>
        <v>#REF!</v>
      </c>
      <c r="FO163" t="e">
        <f>IF(#REF!,"AAAAAH/+e6o=",0)</f>
        <v>#REF!</v>
      </c>
      <c r="FP163" t="e">
        <f>IF(#REF!,"AAAAAH/+e6s=",0)</f>
        <v>#REF!</v>
      </c>
      <c r="FQ163" t="e">
        <f>IF(#REF!,"AAAAAH/+e6w=",0)</f>
        <v>#REF!</v>
      </c>
      <c r="FR163" t="e">
        <f>IF(#REF!,"AAAAAH/+e60=",0)</f>
        <v>#REF!</v>
      </c>
      <c r="FS163" t="e">
        <f>IF(#REF!,"AAAAAH/+e64=",0)</f>
        <v>#REF!</v>
      </c>
      <c r="FT163" t="e">
        <f>IF(#REF!,"AAAAAH/+e68=",0)</f>
        <v>#REF!</v>
      </c>
      <c r="FU163" t="e">
        <f>IF(#REF!,"AAAAAH/+e7A=",0)</f>
        <v>#REF!</v>
      </c>
      <c r="FV163" t="e">
        <f>IF(#REF!,"AAAAAH/+e7E=",0)</f>
        <v>#REF!</v>
      </c>
      <c r="FW163" t="e">
        <f>IF(#REF!,"AAAAAH/+e7I=",0)</f>
        <v>#REF!</v>
      </c>
      <c r="FX163" t="e">
        <f>IF(#REF!,"AAAAAH/+e7M=",0)</f>
        <v>#REF!</v>
      </c>
      <c r="FY163" t="e">
        <f>IF(#REF!,"AAAAAH/+e7Q=",0)</f>
        <v>#REF!</v>
      </c>
      <c r="FZ163" t="e">
        <f>IF(#REF!,"AAAAAH/+e7U=",0)</f>
        <v>#REF!</v>
      </c>
      <c r="GA163" t="e">
        <f>IF(#REF!,"AAAAAH/+e7Y=",0)</f>
        <v>#REF!</v>
      </c>
      <c r="GB163" t="e">
        <f>IF(#REF!,"AAAAAH/+e7c=",0)</f>
        <v>#REF!</v>
      </c>
      <c r="GC163" t="e">
        <f>IF(#REF!,"AAAAAH/+e7g=",0)</f>
        <v>#REF!</v>
      </c>
      <c r="GD163" t="e">
        <f>IF(#REF!,"AAAAAH/+e7k=",0)</f>
        <v>#REF!</v>
      </c>
      <c r="GE163" t="e">
        <f>IF(#REF!,"AAAAAH/+e7o=",0)</f>
        <v>#REF!</v>
      </c>
      <c r="GF163" t="e">
        <f>IF(#REF!,"AAAAAH/+e7s=",0)</f>
        <v>#REF!</v>
      </c>
      <c r="GG163" t="e">
        <f>IF(#REF!,"AAAAAH/+e7w=",0)</f>
        <v>#REF!</v>
      </c>
      <c r="GH163" t="e">
        <f>IF(#REF!,"AAAAAH/+e70=",0)</f>
        <v>#REF!</v>
      </c>
      <c r="GI163" t="e">
        <f>IF(#REF!,"AAAAAH/+e74=",0)</f>
        <v>#REF!</v>
      </c>
      <c r="GJ163" t="e">
        <f>IF(#REF!,"AAAAAH/+e78=",0)</f>
        <v>#REF!</v>
      </c>
      <c r="GK163" t="e">
        <f>IF(#REF!,"AAAAAH/+e8A=",0)</f>
        <v>#REF!</v>
      </c>
      <c r="GL163" t="e">
        <f>IF(#REF!,"AAAAAH/+e8E=",0)</f>
        <v>#REF!</v>
      </c>
      <c r="GM163" t="e">
        <f>IF(#REF!,"AAAAAH/+e8I=",0)</f>
        <v>#REF!</v>
      </c>
      <c r="GN163" t="e">
        <f>IF(#REF!,"AAAAAH/+e8M=",0)</f>
        <v>#REF!</v>
      </c>
      <c r="GO163" t="e">
        <f>IF(#REF!,"AAAAAH/+e8Q=",0)</f>
        <v>#REF!</v>
      </c>
      <c r="GP163" t="e">
        <f>IF(#REF!,"AAAAAH/+e8U=",0)</f>
        <v>#REF!</v>
      </c>
      <c r="GQ163" t="e">
        <f>IF(#REF!,"AAAAAH/+e8Y=",0)</f>
        <v>#REF!</v>
      </c>
      <c r="GR163" t="e">
        <f>IF(#REF!,"AAAAAH/+e8c=",0)</f>
        <v>#REF!</v>
      </c>
      <c r="GS163" t="e">
        <f>IF(#REF!,"AAAAAH/+e8g=",0)</f>
        <v>#REF!</v>
      </c>
      <c r="GT163" t="e">
        <f>IF(#REF!,"AAAAAH/+e8k=",0)</f>
        <v>#REF!</v>
      </c>
      <c r="GU163" t="e">
        <f>IF(#REF!,"AAAAAH/+e8o=",0)</f>
        <v>#REF!</v>
      </c>
      <c r="GV163" t="e">
        <f>IF(#REF!,"AAAAAH/+e8s=",0)</f>
        <v>#REF!</v>
      </c>
      <c r="GW163" t="e">
        <f>IF(#REF!,"AAAAAH/+e8w=",0)</f>
        <v>#REF!</v>
      </c>
      <c r="GX163" t="e">
        <f>IF(#REF!,"AAAAAH/+e80=",0)</f>
        <v>#REF!</v>
      </c>
      <c r="GY163" t="e">
        <f>IF(#REF!,"AAAAAH/+e84=",0)</f>
        <v>#REF!</v>
      </c>
      <c r="GZ163" t="e">
        <f>IF(#REF!,"AAAAAH/+e88=",0)</f>
        <v>#REF!</v>
      </c>
      <c r="HA163" t="e">
        <f>IF(#REF!,"AAAAAH/+e9A=",0)</f>
        <v>#REF!</v>
      </c>
      <c r="HB163" t="e">
        <f>IF(#REF!,"AAAAAH/+e9E=",0)</f>
        <v>#REF!</v>
      </c>
      <c r="HC163" t="e">
        <f>IF(#REF!,"AAAAAH/+e9I=",0)</f>
        <v>#REF!</v>
      </c>
      <c r="HD163" t="e">
        <f>IF(#REF!,"AAAAAH/+e9M=",0)</f>
        <v>#REF!</v>
      </c>
      <c r="HE163" t="e">
        <f>IF(#REF!,"AAAAAH/+e9Q=",0)</f>
        <v>#REF!</v>
      </c>
      <c r="HF163" t="e">
        <f>IF(#REF!,"AAAAAH/+e9U=",0)</f>
        <v>#REF!</v>
      </c>
      <c r="HG163" t="e">
        <f>IF(#REF!,"AAAAAH/+e9Y=",0)</f>
        <v>#REF!</v>
      </c>
      <c r="HH163" t="e">
        <f>IF(#REF!,"AAAAAH/+e9c=",0)</f>
        <v>#REF!</v>
      </c>
      <c r="HI163" t="e">
        <f>IF(#REF!,"AAAAAH/+e9g=",0)</f>
        <v>#REF!</v>
      </c>
      <c r="HJ163" t="e">
        <f>IF(#REF!,"AAAAAH/+e9k=",0)</f>
        <v>#REF!</v>
      </c>
      <c r="HK163" t="e">
        <f>IF(#REF!,"AAAAAH/+e9o=",0)</f>
        <v>#REF!</v>
      </c>
      <c r="HL163" t="e">
        <f>IF(#REF!,"AAAAAH/+e9s=",0)</f>
        <v>#REF!</v>
      </c>
      <c r="HM163" t="e">
        <f>IF(#REF!,"AAAAAH/+e9w=",0)</f>
        <v>#REF!</v>
      </c>
      <c r="HN163" t="e">
        <f>IF(#REF!,"AAAAAH/+e90=",0)</f>
        <v>#REF!</v>
      </c>
      <c r="HO163" t="e">
        <f>IF(#REF!,"AAAAAH/+e94=",0)</f>
        <v>#REF!</v>
      </c>
      <c r="HP163" t="e">
        <f>IF(#REF!,"AAAAAH/+e98=",0)</f>
        <v>#REF!</v>
      </c>
      <c r="HQ163" t="e">
        <f>IF(#REF!,"AAAAAH/+e+A=",0)</f>
        <v>#REF!</v>
      </c>
      <c r="HR163" t="e">
        <f>IF(#REF!,"AAAAAH/+e+E=",0)</f>
        <v>#REF!</v>
      </c>
      <c r="HS163" t="e">
        <f>IF(#REF!,"AAAAAH/+e+I=",0)</f>
        <v>#REF!</v>
      </c>
      <c r="HT163" t="e">
        <f>IF(#REF!,"AAAAAH/+e+M=",0)</f>
        <v>#REF!</v>
      </c>
      <c r="HU163" t="e">
        <f>IF(#REF!,"AAAAAH/+e+Q=",0)</f>
        <v>#REF!</v>
      </c>
      <c r="HV163" t="e">
        <f>IF(#REF!,"AAAAAH/+e+U=",0)</f>
        <v>#REF!</v>
      </c>
      <c r="HW163" t="e">
        <f>IF(#REF!,"AAAAAH/+e+Y=",0)</f>
        <v>#REF!</v>
      </c>
      <c r="HX163" t="e">
        <f>IF(#REF!,"AAAAAH/+e+c=",0)</f>
        <v>#REF!</v>
      </c>
      <c r="HY163" t="e">
        <f>IF(#REF!,"AAAAAH/+e+g=",0)</f>
        <v>#REF!</v>
      </c>
      <c r="HZ163" t="e">
        <f>IF(#REF!,"AAAAAH/+e+k=",0)</f>
        <v>#REF!</v>
      </c>
      <c r="IA163" t="e">
        <f>IF(#REF!,"AAAAAH/+e+o=",0)</f>
        <v>#REF!</v>
      </c>
      <c r="IB163" t="e">
        <f>IF(#REF!,"AAAAAH/+e+s=",0)</f>
        <v>#REF!</v>
      </c>
      <c r="IC163" t="e">
        <f>IF(#REF!,"AAAAAH/+e+w=",0)</f>
        <v>#REF!</v>
      </c>
      <c r="ID163" t="e">
        <f>IF(#REF!,"AAAAAH/+e+0=",0)</f>
        <v>#REF!</v>
      </c>
      <c r="IE163" t="e">
        <f>IF(#REF!,"AAAAAH/+e+4=",0)</f>
        <v>#REF!</v>
      </c>
      <c r="IF163" t="e">
        <f>IF(#REF!,"AAAAAH/+e+8=",0)</f>
        <v>#REF!</v>
      </c>
      <c r="IG163" t="e">
        <f>IF(#REF!,"AAAAAH/+e/A=",0)</f>
        <v>#REF!</v>
      </c>
      <c r="IH163" t="e">
        <f>IF(#REF!,"AAAAAH/+e/E=",0)</f>
        <v>#REF!</v>
      </c>
      <c r="II163" t="e">
        <f>IF(#REF!,"AAAAAH/+e/I=",0)</f>
        <v>#REF!</v>
      </c>
      <c r="IJ163" t="e">
        <f>IF(#REF!,"AAAAAH/+e/M=",0)</f>
        <v>#REF!</v>
      </c>
      <c r="IK163" t="e">
        <f>IF(#REF!,"AAAAAH/+e/Q=",0)</f>
        <v>#REF!</v>
      </c>
      <c r="IL163" t="e">
        <f>IF(#REF!,"AAAAAH/+e/U=",0)</f>
        <v>#REF!</v>
      </c>
      <c r="IM163" t="e">
        <f>IF(#REF!,"AAAAAH/+e/Y=",0)</f>
        <v>#REF!</v>
      </c>
      <c r="IN163" t="e">
        <f>IF(#REF!,"AAAAAH/+e/c=",0)</f>
        <v>#REF!</v>
      </c>
      <c r="IO163" t="e">
        <f>IF(#REF!,"AAAAAH/+e/g=",0)</f>
        <v>#REF!</v>
      </c>
      <c r="IP163" t="e">
        <f>IF(#REF!,"AAAAAH/+e/k=",0)</f>
        <v>#REF!</v>
      </c>
      <c r="IQ163" t="e">
        <f>IF(#REF!,"AAAAAH/+e/o=",0)</f>
        <v>#REF!</v>
      </c>
      <c r="IR163" t="e">
        <f>IF(#REF!,"AAAAAH/+e/s=",0)</f>
        <v>#REF!</v>
      </c>
      <c r="IS163" t="e">
        <f>IF(#REF!,"AAAAAH/+e/w=",0)</f>
        <v>#REF!</v>
      </c>
      <c r="IT163" t="e">
        <f>IF(#REF!,"AAAAAH/+e/0=",0)</f>
        <v>#REF!</v>
      </c>
      <c r="IU163" t="e">
        <f>IF(#REF!,"AAAAAH/+e/4=",0)</f>
        <v>#REF!</v>
      </c>
      <c r="IV163" t="e">
        <f>IF(#REF!,"AAAAAH/+e/8=",0)</f>
        <v>#REF!</v>
      </c>
    </row>
    <row r="164" spans="1:256">
      <c r="A164" t="e">
        <f>IF(#REF!,"AAAAAE2v8wA=",0)</f>
        <v>#REF!</v>
      </c>
      <c r="B164" t="e">
        <f>IF(#REF!,"AAAAAE2v8wE=",0)</f>
        <v>#REF!</v>
      </c>
      <c r="C164" t="e">
        <f>IF(#REF!,"AAAAAE2v8wI=",0)</f>
        <v>#REF!</v>
      </c>
      <c r="D164" t="e">
        <f>IF(#REF!,"AAAAAE2v8wM=",0)</f>
        <v>#REF!</v>
      </c>
      <c r="E164" t="e">
        <f>IF(#REF!,"AAAAAE2v8wQ=",0)</f>
        <v>#REF!</v>
      </c>
      <c r="F164" t="e">
        <f>IF(#REF!,"AAAAAE2v8wU=",0)</f>
        <v>#REF!</v>
      </c>
      <c r="G164" t="e">
        <f>IF(#REF!,"AAAAAE2v8wY=",0)</f>
        <v>#REF!</v>
      </c>
      <c r="H164" t="e">
        <f>IF(#REF!,"AAAAAE2v8wc=",0)</f>
        <v>#REF!</v>
      </c>
      <c r="I164" t="e">
        <f>IF(#REF!,"AAAAAE2v8wg=",0)</f>
        <v>#REF!</v>
      </c>
      <c r="J164" t="e">
        <f>IF(#REF!,"AAAAAE2v8wk=",0)</f>
        <v>#REF!</v>
      </c>
      <c r="K164" t="e">
        <f>IF(#REF!,"AAAAAE2v8wo=",0)</f>
        <v>#REF!</v>
      </c>
      <c r="L164" t="e">
        <f>IF(#REF!,"AAAAAE2v8ws=",0)</f>
        <v>#REF!</v>
      </c>
      <c r="M164" t="e">
        <f>IF(#REF!,"AAAAAE2v8ww=",0)</f>
        <v>#REF!</v>
      </c>
      <c r="N164" t="e">
        <f>IF(#REF!,"AAAAAE2v8w0=",0)</f>
        <v>#REF!</v>
      </c>
      <c r="O164" t="e">
        <f>IF(#REF!,"AAAAAE2v8w4=",0)</f>
        <v>#REF!</v>
      </c>
      <c r="P164" t="e">
        <f>IF(#REF!,"AAAAAE2v8w8=",0)</f>
        <v>#REF!</v>
      </c>
      <c r="Q164" t="e">
        <f>IF(#REF!,"AAAAAE2v8xA=",0)</f>
        <v>#REF!</v>
      </c>
      <c r="R164" t="e">
        <f>IF(#REF!,"AAAAAE2v8xE=",0)</f>
        <v>#REF!</v>
      </c>
      <c r="S164" t="e">
        <f>IF(#REF!,"AAAAAE2v8xI=",0)</f>
        <v>#REF!</v>
      </c>
      <c r="T164" t="e">
        <f>IF(#REF!,"AAAAAE2v8xM=",0)</f>
        <v>#REF!</v>
      </c>
      <c r="U164" t="e">
        <f>IF(#REF!,"AAAAAE2v8xQ=",0)</f>
        <v>#REF!</v>
      </c>
      <c r="V164" t="e">
        <f>IF(#REF!,"AAAAAE2v8xU=",0)</f>
        <v>#REF!</v>
      </c>
      <c r="W164" t="e">
        <f>IF(#REF!,"AAAAAE2v8xY=",0)</f>
        <v>#REF!</v>
      </c>
      <c r="X164" t="e">
        <f>IF(#REF!,"AAAAAE2v8xc=",0)</f>
        <v>#REF!</v>
      </c>
      <c r="Y164" t="e">
        <f>IF(#REF!,"AAAAAE2v8xg=",0)</f>
        <v>#REF!</v>
      </c>
      <c r="Z164" t="e">
        <f>IF(#REF!,"AAAAAE2v8xk=",0)</f>
        <v>#REF!</v>
      </c>
      <c r="AA164" t="e">
        <f>IF(#REF!,"AAAAAE2v8xo=",0)</f>
        <v>#REF!</v>
      </c>
      <c r="AB164" t="e">
        <f>IF(#REF!,"AAAAAE2v8xs=",0)</f>
        <v>#REF!</v>
      </c>
      <c r="AC164" t="e">
        <f>IF(#REF!,"AAAAAE2v8xw=",0)</f>
        <v>#REF!</v>
      </c>
      <c r="AD164" t="e">
        <f>IF(#REF!,"AAAAAE2v8x0=",0)</f>
        <v>#REF!</v>
      </c>
      <c r="AE164" t="e">
        <f>IF(#REF!,"AAAAAE2v8x4=",0)</f>
        <v>#REF!</v>
      </c>
      <c r="AF164" t="e">
        <f>IF(#REF!,"AAAAAE2v8x8=",0)</f>
        <v>#REF!</v>
      </c>
      <c r="AG164" t="e">
        <f>IF(#REF!,"AAAAAE2v8yA=",0)</f>
        <v>#REF!</v>
      </c>
      <c r="AH164" t="e">
        <f>IF(#REF!,"AAAAAE2v8yE=",0)</f>
        <v>#REF!</v>
      </c>
      <c r="AI164" t="e">
        <f>IF(#REF!,"AAAAAE2v8yI=",0)</f>
        <v>#REF!</v>
      </c>
      <c r="AJ164" t="e">
        <f>IF(#REF!,"AAAAAE2v8yM=",0)</f>
        <v>#REF!</v>
      </c>
      <c r="AK164" t="e">
        <f>IF(#REF!,"AAAAAE2v8yQ=",0)</f>
        <v>#REF!</v>
      </c>
      <c r="AL164" t="e">
        <f>IF(#REF!,"AAAAAE2v8yU=",0)</f>
        <v>#REF!</v>
      </c>
      <c r="AM164" t="e">
        <f>IF(#REF!,"AAAAAE2v8yY=",0)</f>
        <v>#REF!</v>
      </c>
      <c r="AN164" t="e">
        <f>IF(#REF!,"AAAAAE2v8yc=",0)</f>
        <v>#REF!</v>
      </c>
      <c r="AO164" t="e">
        <f>IF(#REF!,"AAAAAE2v8yg=",0)</f>
        <v>#REF!</v>
      </c>
      <c r="AP164" t="e">
        <f>IF(#REF!,"AAAAAE2v8yk=",0)</f>
        <v>#REF!</v>
      </c>
      <c r="AQ164" t="e">
        <f>IF(#REF!,"AAAAAE2v8yo=",0)</f>
        <v>#REF!</v>
      </c>
      <c r="AR164" t="e">
        <f>IF(#REF!,"AAAAAE2v8ys=",0)</f>
        <v>#REF!</v>
      </c>
      <c r="AS164" t="e">
        <f>IF(#REF!,"AAAAAE2v8yw=",0)</f>
        <v>#REF!</v>
      </c>
      <c r="AT164" t="e">
        <f>IF(#REF!,"AAAAAE2v8y0=",0)</f>
        <v>#REF!</v>
      </c>
      <c r="AU164" t="e">
        <f>IF(#REF!,"AAAAAE2v8y4=",0)</f>
        <v>#REF!</v>
      </c>
      <c r="AV164" t="e">
        <f>IF(#REF!,"AAAAAE2v8y8=",0)</f>
        <v>#REF!</v>
      </c>
      <c r="AW164" t="e">
        <f>IF(#REF!,"AAAAAE2v8zA=",0)</f>
        <v>#REF!</v>
      </c>
      <c r="AX164" t="e">
        <f>IF(#REF!,"AAAAAE2v8zE=",0)</f>
        <v>#REF!</v>
      </c>
      <c r="AY164" t="e">
        <f>IF(#REF!,"AAAAAE2v8zI=",0)</f>
        <v>#REF!</v>
      </c>
      <c r="AZ164" t="e">
        <f>IF(#REF!,"AAAAAE2v8zM=",0)</f>
        <v>#REF!</v>
      </c>
      <c r="BA164" t="e">
        <f>IF(#REF!,"AAAAAE2v8zQ=",0)</f>
        <v>#REF!</v>
      </c>
      <c r="BB164" t="e">
        <f>IF(#REF!,"AAAAAE2v8zU=",0)</f>
        <v>#REF!</v>
      </c>
      <c r="BC164" t="e">
        <f>IF(#REF!,"AAAAAE2v8zY=",0)</f>
        <v>#REF!</v>
      </c>
      <c r="BD164" t="e">
        <f>IF(#REF!,"AAAAAE2v8zc=",0)</f>
        <v>#REF!</v>
      </c>
      <c r="BE164" t="e">
        <f>IF(#REF!,"AAAAAE2v8zg=",0)</f>
        <v>#REF!</v>
      </c>
      <c r="BF164" t="e">
        <f>IF(#REF!,"AAAAAE2v8zk=",0)</f>
        <v>#REF!</v>
      </c>
      <c r="BG164" t="e">
        <f>IF(#REF!,"AAAAAE2v8zo=",0)</f>
        <v>#REF!</v>
      </c>
      <c r="BH164" t="e">
        <f>IF(#REF!,"AAAAAE2v8zs=",0)</f>
        <v>#REF!</v>
      </c>
      <c r="BI164" t="e">
        <f>IF(#REF!,"AAAAAE2v8zw=",0)</f>
        <v>#REF!</v>
      </c>
      <c r="BJ164" t="e">
        <f>IF(#REF!,"AAAAAE2v8z0=",0)</f>
        <v>#REF!</v>
      </c>
      <c r="BK164" t="e">
        <f>IF(#REF!,"AAAAAE2v8z4=",0)</f>
        <v>#REF!</v>
      </c>
      <c r="BL164" t="e">
        <f>IF(#REF!,"AAAAAE2v8z8=",0)</f>
        <v>#REF!</v>
      </c>
      <c r="BM164" t="e">
        <f>IF(#REF!,"AAAAAE2v80A=",0)</f>
        <v>#REF!</v>
      </c>
      <c r="BN164" t="e">
        <f>IF(#REF!,"AAAAAE2v80E=",0)</f>
        <v>#REF!</v>
      </c>
      <c r="BO164" t="e">
        <f>IF(#REF!,"AAAAAE2v80I=",0)</f>
        <v>#REF!</v>
      </c>
      <c r="BP164" t="e">
        <f>IF(#REF!,"AAAAAE2v80M=",0)</f>
        <v>#REF!</v>
      </c>
      <c r="BQ164" t="e">
        <f>IF(#REF!,"AAAAAE2v80Q=",0)</f>
        <v>#REF!</v>
      </c>
      <c r="BR164" t="e">
        <f>IF(#REF!,"AAAAAE2v80U=",0)</f>
        <v>#REF!</v>
      </c>
      <c r="BS164" t="e">
        <f>IF(#REF!,"AAAAAE2v80Y=",0)</f>
        <v>#REF!</v>
      </c>
      <c r="BT164" t="e">
        <f>IF(#REF!,"AAAAAE2v80c=",0)</f>
        <v>#REF!</v>
      </c>
      <c r="BU164" t="e">
        <f>IF(#REF!,"AAAAAE2v80g=",0)</f>
        <v>#REF!</v>
      </c>
      <c r="BV164" t="e">
        <f>IF(#REF!,"AAAAAE2v80k=",0)</f>
        <v>#REF!</v>
      </c>
      <c r="BW164" t="e">
        <f>IF(#REF!,"AAAAAE2v80o=",0)</f>
        <v>#REF!</v>
      </c>
      <c r="BX164" t="e">
        <f>IF(#REF!,"AAAAAE2v80s=",0)</f>
        <v>#REF!</v>
      </c>
      <c r="BY164" t="e">
        <f>IF(#REF!,"AAAAAE2v80w=",0)</f>
        <v>#REF!</v>
      </c>
      <c r="BZ164" t="e">
        <f>IF(#REF!,"AAAAAE2v800=",0)</f>
        <v>#REF!</v>
      </c>
      <c r="CA164" t="e">
        <f>IF(#REF!,"AAAAAE2v804=",0)</f>
        <v>#REF!</v>
      </c>
      <c r="CB164" t="e">
        <f>IF(#REF!,"AAAAAE2v808=",0)</f>
        <v>#REF!</v>
      </c>
      <c r="CC164" t="e">
        <f>IF(#REF!,"AAAAAE2v81A=",0)</f>
        <v>#REF!</v>
      </c>
      <c r="CD164" t="e">
        <f>IF(#REF!,"AAAAAE2v81E=",0)</f>
        <v>#REF!</v>
      </c>
      <c r="CE164" t="e">
        <f>IF(#REF!,"AAAAAE2v81I=",0)</f>
        <v>#REF!</v>
      </c>
      <c r="CF164" t="e">
        <f>IF(#REF!,"AAAAAE2v81M=",0)</f>
        <v>#REF!</v>
      </c>
      <c r="CG164" t="e">
        <f>IF(#REF!,"AAAAAE2v81Q=",0)</f>
        <v>#REF!</v>
      </c>
      <c r="CH164" t="e">
        <f>IF(#REF!,"AAAAAE2v81U=",0)</f>
        <v>#REF!</v>
      </c>
      <c r="CI164" t="e">
        <f>IF(#REF!,"AAAAAE2v81Y=",0)</f>
        <v>#REF!</v>
      </c>
      <c r="CJ164" t="e">
        <f>IF(#REF!,"AAAAAE2v81c=",0)</f>
        <v>#REF!</v>
      </c>
      <c r="CK164" t="e">
        <f>IF(#REF!,"AAAAAE2v81g=",0)</f>
        <v>#REF!</v>
      </c>
      <c r="CL164" t="e">
        <f>IF(#REF!,"AAAAAE2v81k=",0)</f>
        <v>#REF!</v>
      </c>
      <c r="CM164" t="e">
        <f>IF(#REF!,"AAAAAE2v81o=",0)</f>
        <v>#REF!</v>
      </c>
      <c r="CN164" t="e">
        <f>IF(#REF!,"AAAAAE2v81s=",0)</f>
        <v>#REF!</v>
      </c>
      <c r="CO164" t="e">
        <f>IF(#REF!,"AAAAAE2v81w=",0)</f>
        <v>#REF!</v>
      </c>
      <c r="CP164" t="e">
        <f>IF(#REF!,"AAAAAE2v810=",0)</f>
        <v>#REF!</v>
      </c>
      <c r="CQ164" t="e">
        <f>IF(#REF!,"AAAAAE2v814=",0)</f>
        <v>#REF!</v>
      </c>
      <c r="CR164" t="e">
        <f>IF(#REF!,"AAAAAE2v818=",0)</f>
        <v>#REF!</v>
      </c>
      <c r="CS164" t="e">
        <f>IF(#REF!,"AAAAAE2v82A=",0)</f>
        <v>#REF!</v>
      </c>
      <c r="CT164" t="e">
        <f>IF(#REF!,"AAAAAE2v82E=",0)</f>
        <v>#REF!</v>
      </c>
      <c r="CU164" t="e">
        <f>IF(#REF!,"AAAAAE2v82I=",0)</f>
        <v>#REF!</v>
      </c>
      <c r="CV164" t="e">
        <f>IF(#REF!,"AAAAAE2v82M=",0)</f>
        <v>#REF!</v>
      </c>
      <c r="CW164" t="e">
        <f>IF(#REF!,"AAAAAE2v82Q=",0)</f>
        <v>#REF!</v>
      </c>
      <c r="CX164" t="e">
        <f>IF(#REF!,"AAAAAE2v82U=",0)</f>
        <v>#REF!</v>
      </c>
      <c r="CY164" t="e">
        <f>IF(#REF!,"AAAAAE2v82Y=",0)</f>
        <v>#REF!</v>
      </c>
      <c r="CZ164" t="e">
        <f>IF(#REF!,"AAAAAE2v82c=",0)</f>
        <v>#REF!</v>
      </c>
      <c r="DA164" t="e">
        <f>IF(#REF!,"AAAAAE2v82g=",0)</f>
        <v>#REF!</v>
      </c>
      <c r="DB164" t="e">
        <f>IF(#REF!,"AAAAAE2v82k=",0)</f>
        <v>#REF!</v>
      </c>
      <c r="DC164" t="e">
        <f>IF(#REF!,"AAAAAE2v82o=",0)</f>
        <v>#REF!</v>
      </c>
      <c r="DD164" t="e">
        <f>IF(#REF!,"AAAAAE2v82s=",0)</f>
        <v>#REF!</v>
      </c>
      <c r="DE164" t="e">
        <f>IF(#REF!,"AAAAAE2v82w=",0)</f>
        <v>#REF!</v>
      </c>
      <c r="DF164" t="e">
        <f>IF(#REF!,"AAAAAE2v820=",0)</f>
        <v>#REF!</v>
      </c>
      <c r="DG164" t="e">
        <f>IF(#REF!,"AAAAAE2v824=",0)</f>
        <v>#REF!</v>
      </c>
      <c r="DH164" t="e">
        <f>IF(#REF!,"AAAAAE2v828=",0)</f>
        <v>#REF!</v>
      </c>
      <c r="DI164" t="e">
        <f>IF(#REF!,"AAAAAE2v83A=",0)</f>
        <v>#REF!</v>
      </c>
      <c r="DJ164" t="e">
        <f>IF(#REF!,"AAAAAE2v83E=",0)</f>
        <v>#REF!</v>
      </c>
      <c r="DK164" t="e">
        <f>IF(#REF!,"AAAAAE2v83I=",0)</f>
        <v>#REF!</v>
      </c>
      <c r="DL164" t="e">
        <f>IF(#REF!,"AAAAAE2v83M=",0)</f>
        <v>#REF!</v>
      </c>
      <c r="DM164" t="e">
        <f>IF(#REF!,"AAAAAE2v83Q=",0)</f>
        <v>#REF!</v>
      </c>
      <c r="DN164" t="e">
        <f>IF(#REF!,"AAAAAE2v83U=",0)</f>
        <v>#REF!</v>
      </c>
      <c r="DO164" t="e">
        <f>IF(#REF!,"AAAAAE2v83Y=",0)</f>
        <v>#REF!</v>
      </c>
      <c r="DP164" t="e">
        <f>IF(#REF!,"AAAAAE2v83c=",0)</f>
        <v>#REF!</v>
      </c>
      <c r="DQ164" t="e">
        <f>IF(#REF!,"AAAAAE2v83g=",0)</f>
        <v>#REF!</v>
      </c>
      <c r="DR164" t="e">
        <f>IF(#REF!,"AAAAAE2v83k=",0)</f>
        <v>#REF!</v>
      </c>
      <c r="DS164" t="e">
        <f>IF(#REF!,"AAAAAE2v83o=",0)</f>
        <v>#REF!</v>
      </c>
      <c r="DT164" t="e">
        <f>IF(#REF!,"AAAAAE2v83s=",0)</f>
        <v>#REF!</v>
      </c>
      <c r="DU164" t="e">
        <f>IF(#REF!,"AAAAAE2v83w=",0)</f>
        <v>#REF!</v>
      </c>
      <c r="DV164" t="e">
        <f>IF(#REF!,"AAAAAE2v830=",0)</f>
        <v>#REF!</v>
      </c>
      <c r="DW164" t="e">
        <f>IF(#REF!,"AAAAAE2v834=",0)</f>
        <v>#REF!</v>
      </c>
      <c r="DX164" t="e">
        <f>IF(#REF!,"AAAAAE2v838=",0)</f>
        <v>#REF!</v>
      </c>
      <c r="DY164" t="e">
        <f>IF(#REF!,"AAAAAE2v84A=",0)</f>
        <v>#REF!</v>
      </c>
      <c r="DZ164" t="e">
        <f>IF(#REF!,"AAAAAE2v84E=",0)</f>
        <v>#REF!</v>
      </c>
      <c r="EA164" t="e">
        <f>IF(#REF!,"AAAAAE2v84I=",0)</f>
        <v>#REF!</v>
      </c>
      <c r="EB164" t="e">
        <f>IF(#REF!,"AAAAAE2v84M=",0)</f>
        <v>#REF!</v>
      </c>
      <c r="EC164" t="e">
        <f>IF(#REF!,"AAAAAE2v84Q=",0)</f>
        <v>#REF!</v>
      </c>
      <c r="ED164" t="e">
        <f>IF(#REF!,"AAAAAE2v84U=",0)</f>
        <v>#REF!</v>
      </c>
      <c r="EE164" t="e">
        <f>IF(#REF!,"AAAAAE2v84Y=",0)</f>
        <v>#REF!</v>
      </c>
      <c r="EF164" t="e">
        <f>IF(#REF!,"AAAAAE2v84c=",0)</f>
        <v>#REF!</v>
      </c>
      <c r="EG164" t="e">
        <f>IF(#REF!,"AAAAAE2v84g=",0)</f>
        <v>#REF!</v>
      </c>
      <c r="EH164" t="e">
        <f>IF(#REF!,"AAAAAE2v84k=",0)</f>
        <v>#REF!</v>
      </c>
      <c r="EI164" t="e">
        <f>IF(#REF!,"AAAAAE2v84o=",0)</f>
        <v>#REF!</v>
      </c>
      <c r="EJ164" t="e">
        <f>IF(#REF!,"AAAAAE2v84s=",0)</f>
        <v>#REF!</v>
      </c>
      <c r="EK164" t="e">
        <f>IF(#REF!,"AAAAAE2v84w=",0)</f>
        <v>#REF!</v>
      </c>
      <c r="EL164" t="e">
        <f>IF(#REF!,"AAAAAE2v840=",0)</f>
        <v>#REF!</v>
      </c>
      <c r="EM164" t="e">
        <f>IF(#REF!,"AAAAAE2v844=",0)</f>
        <v>#REF!</v>
      </c>
      <c r="EN164" t="e">
        <f>IF(#REF!,"AAAAAE2v848=",0)</f>
        <v>#REF!</v>
      </c>
      <c r="EO164" t="e">
        <f>IF(#REF!,"AAAAAE2v85A=",0)</f>
        <v>#REF!</v>
      </c>
      <c r="EP164" t="e">
        <f>IF(#REF!,"AAAAAE2v85E=",0)</f>
        <v>#REF!</v>
      </c>
      <c r="EQ164" t="e">
        <f>IF(#REF!,"AAAAAE2v85I=",0)</f>
        <v>#REF!</v>
      </c>
      <c r="ER164" t="e">
        <f>IF(#REF!,"AAAAAE2v85M=",0)</f>
        <v>#REF!</v>
      </c>
      <c r="ES164" t="e">
        <f>IF(#REF!,"AAAAAE2v85Q=",0)</f>
        <v>#REF!</v>
      </c>
      <c r="ET164" t="e">
        <f>IF(#REF!,"AAAAAE2v85U=",0)</f>
        <v>#REF!</v>
      </c>
      <c r="EU164" t="e">
        <f>IF(#REF!,"AAAAAE2v85Y=",0)</f>
        <v>#REF!</v>
      </c>
      <c r="EV164" t="e">
        <f>IF(#REF!,"AAAAAE2v85c=",0)</f>
        <v>#REF!</v>
      </c>
      <c r="EW164" t="e">
        <f>IF(#REF!,"AAAAAE2v85g=",0)</f>
        <v>#REF!</v>
      </c>
      <c r="EX164" t="e">
        <f>IF(#REF!,"AAAAAE2v85k=",0)</f>
        <v>#REF!</v>
      </c>
      <c r="EY164" t="e">
        <f>IF(#REF!,"AAAAAE2v85o=",0)</f>
        <v>#REF!</v>
      </c>
      <c r="EZ164" t="e">
        <f>IF(#REF!,"AAAAAE2v85s=",0)</f>
        <v>#REF!</v>
      </c>
      <c r="FA164" t="e">
        <f>IF(#REF!,"AAAAAE2v85w=",0)</f>
        <v>#REF!</v>
      </c>
      <c r="FB164" t="e">
        <f>IF(#REF!,"AAAAAE2v850=",0)</f>
        <v>#REF!</v>
      </c>
      <c r="FC164" t="e">
        <f>IF(#REF!,"AAAAAE2v854=",0)</f>
        <v>#REF!</v>
      </c>
      <c r="FD164" t="e">
        <f>IF(#REF!,"AAAAAE2v858=",0)</f>
        <v>#REF!</v>
      </c>
      <c r="FE164" t="e">
        <f>IF(#REF!,"AAAAAE2v86A=",0)</f>
        <v>#REF!</v>
      </c>
      <c r="FF164" t="e">
        <f>IF(#REF!,"AAAAAE2v86E=",0)</f>
        <v>#REF!</v>
      </c>
      <c r="FG164" t="e">
        <f>IF(#REF!,"AAAAAE2v86I=",0)</f>
        <v>#REF!</v>
      </c>
      <c r="FH164" t="e">
        <f>IF(#REF!,"AAAAAE2v86M=",0)</f>
        <v>#REF!</v>
      </c>
      <c r="FI164" t="e">
        <f>IF(#REF!,"AAAAAE2v86Q=",0)</f>
        <v>#REF!</v>
      </c>
      <c r="FJ164" t="e">
        <f>IF(#REF!,"AAAAAE2v86U=",0)</f>
        <v>#REF!</v>
      </c>
      <c r="FK164" t="e">
        <f>IF(#REF!,"AAAAAE2v86Y=",0)</f>
        <v>#REF!</v>
      </c>
      <c r="FL164" t="e">
        <f>IF(#REF!,"AAAAAE2v86c=",0)</f>
        <v>#REF!</v>
      </c>
      <c r="FM164" t="e">
        <f>IF(#REF!,"AAAAAE2v86g=",0)</f>
        <v>#REF!</v>
      </c>
      <c r="FN164" t="e">
        <f>IF(#REF!,"AAAAAE2v86k=",0)</f>
        <v>#REF!</v>
      </c>
      <c r="FO164" t="e">
        <f>IF(#REF!,"AAAAAE2v86o=",0)</f>
        <v>#REF!</v>
      </c>
      <c r="FP164" t="e">
        <f>IF(#REF!,"AAAAAE2v86s=",0)</f>
        <v>#REF!</v>
      </c>
      <c r="FQ164" t="e">
        <f>IF(#REF!,"AAAAAE2v86w=",0)</f>
        <v>#REF!</v>
      </c>
      <c r="FR164" t="e">
        <f>IF(#REF!,"AAAAAE2v860=",0)</f>
        <v>#REF!</v>
      </c>
      <c r="FS164" t="e">
        <f>IF(#REF!,"AAAAAE2v864=",0)</f>
        <v>#REF!</v>
      </c>
      <c r="FT164" t="e">
        <f>IF(#REF!,"AAAAAE2v868=",0)</f>
        <v>#REF!</v>
      </c>
      <c r="FU164" t="e">
        <f>IF(#REF!,"AAAAAE2v87A=",0)</f>
        <v>#REF!</v>
      </c>
      <c r="FV164" t="e">
        <f>IF(#REF!,"AAAAAE2v87E=",0)</f>
        <v>#REF!</v>
      </c>
      <c r="FW164" t="e">
        <f>IF(#REF!,"AAAAAE2v87I=",0)</f>
        <v>#REF!</v>
      </c>
      <c r="FX164" t="e">
        <f>IF(#REF!,"AAAAAE2v87M=",0)</f>
        <v>#REF!</v>
      </c>
      <c r="FY164" t="e">
        <f>IF(#REF!,"AAAAAE2v87Q=",0)</f>
        <v>#REF!</v>
      </c>
      <c r="FZ164" t="e">
        <f>IF(#REF!,"AAAAAE2v87U=",0)</f>
        <v>#REF!</v>
      </c>
      <c r="GA164" t="e">
        <f>IF(#REF!,"AAAAAE2v87Y=",0)</f>
        <v>#REF!</v>
      </c>
      <c r="GB164" t="e">
        <f>IF(#REF!,"AAAAAE2v87c=",0)</f>
        <v>#REF!</v>
      </c>
      <c r="GC164" t="e">
        <f>IF(#REF!,"AAAAAE2v87g=",0)</f>
        <v>#REF!</v>
      </c>
      <c r="GD164" t="e">
        <f>IF(#REF!,"AAAAAE2v87k=",0)</f>
        <v>#REF!</v>
      </c>
      <c r="GE164" t="e">
        <f>IF(#REF!,"AAAAAE2v87o=",0)</f>
        <v>#REF!</v>
      </c>
      <c r="GF164" t="e">
        <f>IF(#REF!,"AAAAAE2v87s=",0)</f>
        <v>#REF!</v>
      </c>
      <c r="GG164" t="e">
        <f>IF(#REF!,"AAAAAE2v87w=",0)</f>
        <v>#REF!</v>
      </c>
      <c r="GH164" t="e">
        <f>IF(#REF!,"AAAAAE2v870=",0)</f>
        <v>#REF!</v>
      </c>
      <c r="GI164" t="e">
        <f>IF(#REF!,"AAAAAE2v874=",0)</f>
        <v>#REF!</v>
      </c>
      <c r="GJ164" t="e">
        <f>IF(#REF!,"AAAAAE2v878=",0)</f>
        <v>#REF!</v>
      </c>
      <c r="GK164" t="e">
        <f>IF(#REF!,"AAAAAE2v88A=",0)</f>
        <v>#REF!</v>
      </c>
      <c r="GL164" t="e">
        <f>IF(#REF!,"AAAAAE2v88E=",0)</f>
        <v>#REF!</v>
      </c>
      <c r="GM164" t="e">
        <f>IF(#REF!,"AAAAAE2v88I=",0)</f>
        <v>#REF!</v>
      </c>
      <c r="GN164" t="e">
        <f>IF(#REF!,"AAAAAE2v88M=",0)</f>
        <v>#REF!</v>
      </c>
      <c r="GO164" t="e">
        <f>IF(#REF!,"AAAAAE2v88Q=",0)</f>
        <v>#REF!</v>
      </c>
      <c r="GP164" t="e">
        <f>IF(#REF!,"AAAAAE2v88U=",0)</f>
        <v>#REF!</v>
      </c>
      <c r="GQ164" t="e">
        <f>IF(#REF!,"AAAAAE2v88Y=",0)</f>
        <v>#REF!</v>
      </c>
      <c r="GR164" t="e">
        <f>IF(#REF!,"AAAAAE2v88c=",0)</f>
        <v>#REF!</v>
      </c>
      <c r="GS164" t="e">
        <f>IF(#REF!,"AAAAAE2v88g=",0)</f>
        <v>#REF!</v>
      </c>
      <c r="GT164" t="e">
        <f>IF(#REF!,"AAAAAE2v88k=",0)</f>
        <v>#REF!</v>
      </c>
      <c r="GU164" t="e">
        <f>IF(#REF!,"AAAAAE2v88o=",0)</f>
        <v>#REF!</v>
      </c>
      <c r="GV164" t="e">
        <f>IF(#REF!,"AAAAAE2v88s=",0)</f>
        <v>#REF!</v>
      </c>
      <c r="GW164" t="e">
        <f>IF(#REF!,"AAAAAE2v88w=",0)</f>
        <v>#REF!</v>
      </c>
      <c r="GX164" t="e">
        <f>IF(#REF!,"AAAAAE2v880=",0)</f>
        <v>#REF!</v>
      </c>
      <c r="GY164" t="e">
        <f>IF(#REF!,"AAAAAE2v884=",0)</f>
        <v>#REF!</v>
      </c>
      <c r="GZ164" t="e">
        <f>IF(#REF!,"AAAAAE2v888=",0)</f>
        <v>#REF!</v>
      </c>
      <c r="HA164" t="e">
        <f>IF(#REF!,"AAAAAE2v89A=",0)</f>
        <v>#REF!</v>
      </c>
      <c r="HB164" t="e">
        <f>IF(#REF!,"AAAAAE2v89E=",0)</f>
        <v>#REF!</v>
      </c>
      <c r="HC164" t="e">
        <f>IF(#REF!,"AAAAAE2v89I=",0)</f>
        <v>#REF!</v>
      </c>
      <c r="HD164" t="e">
        <f>IF(#REF!,"AAAAAE2v89M=",0)</f>
        <v>#REF!</v>
      </c>
      <c r="HE164" t="e">
        <f>IF(#REF!,"AAAAAE2v89Q=",0)</f>
        <v>#REF!</v>
      </c>
      <c r="HF164" t="e">
        <f>IF(#REF!,"AAAAAE2v89U=",0)</f>
        <v>#REF!</v>
      </c>
      <c r="HG164" t="e">
        <f>IF(#REF!,"AAAAAE2v89Y=",0)</f>
        <v>#REF!</v>
      </c>
      <c r="HH164" t="e">
        <f>IF(#REF!,"AAAAAE2v89c=",0)</f>
        <v>#REF!</v>
      </c>
      <c r="HI164" t="e">
        <f>IF(#REF!,"AAAAAE2v89g=",0)</f>
        <v>#REF!</v>
      </c>
      <c r="HJ164" t="e">
        <f>IF(#REF!,"AAAAAE2v89k=",0)</f>
        <v>#REF!</v>
      </c>
      <c r="HK164" t="e">
        <f>IF(#REF!,"AAAAAE2v89o=",0)</f>
        <v>#REF!</v>
      </c>
      <c r="HL164" t="e">
        <f>IF(#REF!,"AAAAAE2v89s=",0)</f>
        <v>#REF!</v>
      </c>
      <c r="HM164" t="e">
        <f>IF(#REF!,"AAAAAE2v89w=",0)</f>
        <v>#REF!</v>
      </c>
      <c r="HN164" t="e">
        <f>IF(#REF!,"AAAAAE2v890=",0)</f>
        <v>#REF!</v>
      </c>
      <c r="HO164" t="e">
        <f>IF(#REF!,"AAAAAE2v894=",0)</f>
        <v>#REF!</v>
      </c>
      <c r="HP164" t="e">
        <f>IF(#REF!,"AAAAAE2v898=",0)</f>
        <v>#REF!</v>
      </c>
      <c r="HQ164" t="e">
        <f>IF(#REF!,"AAAAAE2v8+A=",0)</f>
        <v>#REF!</v>
      </c>
      <c r="HR164" t="e">
        <f>IF(#REF!,"AAAAAE2v8+E=",0)</f>
        <v>#REF!</v>
      </c>
      <c r="HS164" t="e">
        <f>IF(#REF!,"AAAAAE2v8+I=",0)</f>
        <v>#REF!</v>
      </c>
      <c r="HT164" t="e">
        <f>IF(#REF!,"AAAAAE2v8+M=",0)</f>
        <v>#REF!</v>
      </c>
      <c r="HU164" t="e">
        <f>IF(#REF!,"AAAAAE2v8+Q=",0)</f>
        <v>#REF!</v>
      </c>
      <c r="HV164" t="e">
        <f>IF(#REF!,"AAAAAE2v8+U=",0)</f>
        <v>#REF!</v>
      </c>
      <c r="HW164" t="e">
        <f>IF(#REF!,"AAAAAE2v8+Y=",0)</f>
        <v>#REF!</v>
      </c>
      <c r="HX164" t="e">
        <f>IF(#REF!,"AAAAAE2v8+c=",0)</f>
        <v>#REF!</v>
      </c>
      <c r="HY164" t="e">
        <f>IF(#REF!,"AAAAAE2v8+g=",0)</f>
        <v>#REF!</v>
      </c>
      <c r="HZ164" t="e">
        <f>IF(#REF!,"AAAAAE2v8+k=",0)</f>
        <v>#REF!</v>
      </c>
      <c r="IA164" t="e">
        <f>IF(#REF!,"AAAAAE2v8+o=",0)</f>
        <v>#REF!</v>
      </c>
      <c r="IB164" t="e">
        <f>IF(#REF!,"AAAAAE2v8+s=",0)</f>
        <v>#REF!</v>
      </c>
      <c r="IC164" t="e">
        <f>IF(#REF!,"AAAAAE2v8+w=",0)</f>
        <v>#REF!</v>
      </c>
      <c r="ID164" t="e">
        <f>IF(#REF!,"AAAAAE2v8+0=",0)</f>
        <v>#REF!</v>
      </c>
      <c r="IE164" t="e">
        <f>IF(#REF!,"AAAAAE2v8+4=",0)</f>
        <v>#REF!</v>
      </c>
      <c r="IF164" t="e">
        <f>IF(#REF!,"AAAAAE2v8+8=",0)</f>
        <v>#REF!</v>
      </c>
      <c r="IG164" t="e">
        <f>IF(#REF!,"AAAAAE2v8/A=",0)</f>
        <v>#REF!</v>
      </c>
      <c r="IH164" t="e">
        <f>IF(#REF!,"AAAAAE2v8/E=",0)</f>
        <v>#REF!</v>
      </c>
      <c r="II164" t="e">
        <f>IF(#REF!,"AAAAAE2v8/I=",0)</f>
        <v>#REF!</v>
      </c>
      <c r="IJ164" t="e">
        <f>IF(#REF!,"AAAAAE2v8/M=",0)</f>
        <v>#REF!</v>
      </c>
      <c r="IK164" t="e">
        <f>IF(#REF!,"AAAAAE2v8/Q=",0)</f>
        <v>#REF!</v>
      </c>
      <c r="IL164" t="e">
        <f>IF(#REF!,"AAAAAE2v8/U=",0)</f>
        <v>#REF!</v>
      </c>
      <c r="IM164" t="e">
        <f>IF(#REF!,"AAAAAE2v8/Y=",0)</f>
        <v>#REF!</v>
      </c>
      <c r="IN164" t="e">
        <f>IF(#REF!,"AAAAAE2v8/c=",0)</f>
        <v>#REF!</v>
      </c>
      <c r="IO164" t="e">
        <f>IF(#REF!,"AAAAAE2v8/g=",0)</f>
        <v>#REF!</v>
      </c>
      <c r="IP164" t="e">
        <f>IF(#REF!,"AAAAAE2v8/k=",0)</f>
        <v>#REF!</v>
      </c>
      <c r="IQ164" t="e">
        <f>IF(#REF!,"AAAAAE2v8/o=",0)</f>
        <v>#REF!</v>
      </c>
      <c r="IR164" t="e">
        <f>IF(#REF!,"AAAAAE2v8/s=",0)</f>
        <v>#REF!</v>
      </c>
      <c r="IS164" t="e">
        <f>IF(#REF!,"AAAAAE2v8/w=",0)</f>
        <v>#REF!</v>
      </c>
      <c r="IT164" t="e">
        <f>IF(#REF!,"AAAAAE2v8/0=",0)</f>
        <v>#REF!</v>
      </c>
      <c r="IU164" t="e">
        <f>IF(#REF!,"AAAAAE2v8/4=",0)</f>
        <v>#REF!</v>
      </c>
      <c r="IV164" t="e">
        <f>IF(#REF!,"AAAAAE2v8/8=",0)</f>
        <v>#REF!</v>
      </c>
    </row>
    <row r="165" spans="1:256">
      <c r="A165" t="e">
        <f>IF(#REF!,"AAAAAD/3fwA=",0)</f>
        <v>#REF!</v>
      </c>
      <c r="B165" t="e">
        <f>IF(#REF!,"AAAAAD/3fwE=",0)</f>
        <v>#REF!</v>
      </c>
      <c r="C165" t="e">
        <f>IF(#REF!,"AAAAAD/3fwI=",0)</f>
        <v>#REF!</v>
      </c>
      <c r="D165" t="e">
        <f>IF(#REF!,"AAAAAD/3fwM=",0)</f>
        <v>#REF!</v>
      </c>
      <c r="E165" t="e">
        <f>IF(#REF!,"AAAAAD/3fwQ=",0)</f>
        <v>#REF!</v>
      </c>
      <c r="F165" t="e">
        <f>IF(#REF!,"AAAAAD/3fwU=",0)</f>
        <v>#REF!</v>
      </c>
      <c r="G165" t="e">
        <f>IF(#REF!,"AAAAAD/3fwY=",0)</f>
        <v>#REF!</v>
      </c>
      <c r="H165" t="e">
        <f>IF(#REF!,"AAAAAD/3fwc=",0)</f>
        <v>#REF!</v>
      </c>
      <c r="I165" t="e">
        <f>IF(#REF!,"AAAAAD/3fwg=",0)</f>
        <v>#REF!</v>
      </c>
      <c r="J165" t="e">
        <f>IF(#REF!,"AAAAAD/3fwk=",0)</f>
        <v>#REF!</v>
      </c>
      <c r="K165" t="e">
        <f>IF(#REF!,"AAAAAD/3fwo=",0)</f>
        <v>#REF!</v>
      </c>
      <c r="L165" t="e">
        <f>IF(#REF!,"AAAAAD/3fws=",0)</f>
        <v>#REF!</v>
      </c>
      <c r="M165" t="e">
        <f>IF(#REF!,"AAAAAD/3fww=",0)</f>
        <v>#REF!</v>
      </c>
      <c r="N165" t="e">
        <f>IF(#REF!,"AAAAAD/3fw0=",0)</f>
        <v>#REF!</v>
      </c>
      <c r="O165" t="e">
        <f>IF(#REF!,"AAAAAD/3fw4=",0)</f>
        <v>#REF!</v>
      </c>
      <c r="P165" t="e">
        <f>IF(#REF!,"AAAAAD/3fw8=",0)</f>
        <v>#REF!</v>
      </c>
      <c r="Q165" t="e">
        <f>IF(#REF!,"AAAAAD/3fxA=",0)</f>
        <v>#REF!</v>
      </c>
      <c r="R165" t="e">
        <f>IF(#REF!,"AAAAAD/3fxE=",0)</f>
        <v>#REF!</v>
      </c>
      <c r="S165" t="e">
        <f>IF(#REF!,"AAAAAD/3fxI=",0)</f>
        <v>#REF!</v>
      </c>
      <c r="T165" t="e">
        <f>IF(#REF!,"AAAAAD/3fxM=",0)</f>
        <v>#REF!</v>
      </c>
      <c r="U165" t="e">
        <f>IF(#REF!,"AAAAAD/3fxQ=",0)</f>
        <v>#REF!</v>
      </c>
      <c r="V165" t="e">
        <f>IF(#REF!,"AAAAAD/3fxU=",0)</f>
        <v>#REF!</v>
      </c>
      <c r="W165" t="e">
        <f>IF(#REF!,"AAAAAD/3fxY=",0)</f>
        <v>#REF!</v>
      </c>
      <c r="X165" t="e">
        <f>IF(#REF!,"AAAAAD/3fxc=",0)</f>
        <v>#REF!</v>
      </c>
      <c r="Y165" t="e">
        <f>IF(#REF!,"AAAAAD/3fxg=",0)</f>
        <v>#REF!</v>
      </c>
      <c r="Z165" t="e">
        <f>IF(#REF!,"AAAAAD/3fxk=",0)</f>
        <v>#REF!</v>
      </c>
      <c r="AA165" t="e">
        <f>IF(#REF!,"AAAAAD/3fxo=",0)</f>
        <v>#REF!</v>
      </c>
      <c r="AB165" t="e">
        <f>IF(#REF!,"AAAAAD/3fxs=",0)</f>
        <v>#REF!</v>
      </c>
      <c r="AC165" t="e">
        <f>IF(#REF!,"AAAAAD/3fxw=",0)</f>
        <v>#REF!</v>
      </c>
      <c r="AD165" t="e">
        <f>IF(#REF!,"AAAAAD/3fx0=",0)</f>
        <v>#REF!</v>
      </c>
      <c r="AE165" t="e">
        <f>IF(#REF!,"AAAAAD/3fx4=",0)</f>
        <v>#REF!</v>
      </c>
      <c r="AF165" t="e">
        <f>IF(#REF!,"AAAAAD/3fx8=",0)</f>
        <v>#REF!</v>
      </c>
      <c r="AG165" t="e">
        <f>IF(#REF!,"AAAAAD/3fyA=",0)</f>
        <v>#REF!</v>
      </c>
      <c r="AH165" t="e">
        <f>IF(#REF!,"AAAAAD/3fyE=",0)</f>
        <v>#REF!</v>
      </c>
      <c r="AI165" t="e">
        <f>IF(#REF!,"AAAAAD/3fyI=",0)</f>
        <v>#REF!</v>
      </c>
      <c r="AJ165" t="e">
        <f>IF(#REF!,"AAAAAD/3fyM=",0)</f>
        <v>#REF!</v>
      </c>
      <c r="AK165" t="e">
        <f>IF(#REF!,"AAAAAD/3fyQ=",0)</f>
        <v>#REF!</v>
      </c>
      <c r="AL165" t="e">
        <f>IF(#REF!,"AAAAAD/3fyU=",0)</f>
        <v>#REF!</v>
      </c>
      <c r="AM165" t="e">
        <f>IF(#REF!,"AAAAAD/3fyY=",0)</f>
        <v>#REF!</v>
      </c>
      <c r="AN165" t="e">
        <f>IF(#REF!,"AAAAAD/3fyc=",0)</f>
        <v>#REF!</v>
      </c>
      <c r="AO165" t="e">
        <f>IF(#REF!,"AAAAAD/3fyg=",0)</f>
        <v>#REF!</v>
      </c>
      <c r="AP165" t="e">
        <f>IF(#REF!,"AAAAAD/3fyk=",0)</f>
        <v>#REF!</v>
      </c>
      <c r="AQ165" t="e">
        <f>IF(#REF!,"AAAAAD/3fyo=",0)</f>
        <v>#REF!</v>
      </c>
      <c r="AR165" t="e">
        <f>IF(#REF!,"AAAAAD/3fys=",0)</f>
        <v>#REF!</v>
      </c>
      <c r="AS165" t="e">
        <f>IF(#REF!,"AAAAAD/3fyw=",0)</f>
        <v>#REF!</v>
      </c>
      <c r="AT165" t="e">
        <f>IF(#REF!,"AAAAAD/3fy0=",0)</f>
        <v>#REF!</v>
      </c>
      <c r="AU165" t="e">
        <f>IF(#REF!,"AAAAAD/3fy4=",0)</f>
        <v>#REF!</v>
      </c>
      <c r="AV165" t="e">
        <f>IF(#REF!,"AAAAAD/3fy8=",0)</f>
        <v>#REF!</v>
      </c>
      <c r="AW165" t="e">
        <f>IF(#REF!,"AAAAAD/3fzA=",0)</f>
        <v>#REF!</v>
      </c>
      <c r="AX165" t="e">
        <f>IF(#REF!,"AAAAAD/3fzE=",0)</f>
        <v>#REF!</v>
      </c>
      <c r="AY165" t="e">
        <f>IF(#REF!,"AAAAAD/3fzI=",0)</f>
        <v>#REF!</v>
      </c>
      <c r="AZ165" t="e">
        <f>IF(#REF!,"AAAAAD/3fzM=",0)</f>
        <v>#REF!</v>
      </c>
      <c r="BA165" t="e">
        <f>IF(#REF!,"AAAAAD/3fzQ=",0)</f>
        <v>#REF!</v>
      </c>
      <c r="BB165" t="e">
        <f>IF(#REF!,"AAAAAD/3fzU=",0)</f>
        <v>#REF!</v>
      </c>
      <c r="BC165" t="e">
        <f>IF(#REF!,"AAAAAD/3fzY=",0)</f>
        <v>#REF!</v>
      </c>
      <c r="BD165" t="e">
        <f>IF(#REF!,"AAAAAD/3fzc=",0)</f>
        <v>#REF!</v>
      </c>
      <c r="BE165" t="e">
        <f>IF(#REF!,"AAAAAD/3fzg=",0)</f>
        <v>#REF!</v>
      </c>
      <c r="BF165" t="e">
        <f>IF(#REF!,"AAAAAD/3fzk=",0)</f>
        <v>#REF!</v>
      </c>
      <c r="BG165" t="e">
        <f>IF(#REF!,"AAAAAD/3fzo=",0)</f>
        <v>#REF!</v>
      </c>
      <c r="BH165" t="e">
        <f>IF(#REF!,"AAAAAD/3fzs=",0)</f>
        <v>#REF!</v>
      </c>
      <c r="BI165" t="e">
        <f>IF(#REF!,"AAAAAD/3fzw=",0)</f>
        <v>#REF!</v>
      </c>
      <c r="BJ165" t="e">
        <f>IF(#REF!,"AAAAAD/3fz0=",0)</f>
        <v>#REF!</v>
      </c>
      <c r="BK165" t="e">
        <f>IF(#REF!,"AAAAAD/3fz4=",0)</f>
        <v>#REF!</v>
      </c>
      <c r="BL165" t="e">
        <f>IF(#REF!,"AAAAAD/3fz8=",0)</f>
        <v>#REF!</v>
      </c>
      <c r="BM165" t="e">
        <f>IF(#REF!,"AAAAAD/3f0A=",0)</f>
        <v>#REF!</v>
      </c>
      <c r="BN165" t="e">
        <f>IF(#REF!,"AAAAAD/3f0E=",0)</f>
        <v>#REF!</v>
      </c>
      <c r="BO165" t="e">
        <f>IF(#REF!,"AAAAAD/3f0I=",0)</f>
        <v>#REF!</v>
      </c>
      <c r="BP165" t="e">
        <f>IF(#REF!,"AAAAAD/3f0M=",0)</f>
        <v>#REF!</v>
      </c>
      <c r="BQ165" t="e">
        <f>IF(#REF!,"AAAAAD/3f0Q=",0)</f>
        <v>#REF!</v>
      </c>
      <c r="BR165" t="e">
        <f>IF(#REF!,"AAAAAD/3f0U=",0)</f>
        <v>#REF!</v>
      </c>
      <c r="BS165" t="e">
        <f>IF(#REF!,"AAAAAD/3f0Y=",0)</f>
        <v>#REF!</v>
      </c>
      <c r="BT165" t="e">
        <f>IF(#REF!,"AAAAAD/3f0c=",0)</f>
        <v>#REF!</v>
      </c>
      <c r="BU165" t="e">
        <f>IF(#REF!,"AAAAAD/3f0g=",0)</f>
        <v>#REF!</v>
      </c>
      <c r="BV165" t="e">
        <f>IF(#REF!,"AAAAAD/3f0k=",0)</f>
        <v>#REF!</v>
      </c>
      <c r="BW165" t="e">
        <f>IF(#REF!,"AAAAAD/3f0o=",0)</f>
        <v>#REF!</v>
      </c>
      <c r="BX165" t="e">
        <f>IF(#REF!,"AAAAAD/3f0s=",0)</f>
        <v>#REF!</v>
      </c>
      <c r="BY165" t="e">
        <f>IF(#REF!,"AAAAAD/3f0w=",0)</f>
        <v>#REF!</v>
      </c>
      <c r="BZ165" t="e">
        <f>IF(#REF!,"AAAAAD/3f00=",0)</f>
        <v>#REF!</v>
      </c>
      <c r="CA165" t="e">
        <f>IF(#REF!,"AAAAAD/3f04=",0)</f>
        <v>#REF!</v>
      </c>
      <c r="CB165" t="e">
        <f>IF(#REF!,"AAAAAD/3f08=",0)</f>
        <v>#REF!</v>
      </c>
      <c r="CC165" t="e">
        <f>IF(#REF!,"AAAAAD/3f1A=",0)</f>
        <v>#REF!</v>
      </c>
      <c r="CD165" t="e">
        <f>IF(#REF!,"AAAAAD/3f1E=",0)</f>
        <v>#REF!</v>
      </c>
      <c r="CE165" t="e">
        <f>IF(#REF!,"AAAAAD/3f1I=",0)</f>
        <v>#REF!</v>
      </c>
      <c r="CF165" t="e">
        <f>IF(#REF!,"AAAAAD/3f1M=",0)</f>
        <v>#REF!</v>
      </c>
      <c r="CG165" t="e">
        <f>IF(#REF!,"AAAAAD/3f1Q=",0)</f>
        <v>#REF!</v>
      </c>
      <c r="CH165" t="e">
        <f>IF(#REF!,"AAAAAD/3f1U=",0)</f>
        <v>#REF!</v>
      </c>
      <c r="CI165" t="e">
        <f>IF(#REF!,"AAAAAD/3f1Y=",0)</f>
        <v>#REF!</v>
      </c>
      <c r="CJ165" t="e">
        <f>IF(#REF!,"AAAAAD/3f1c=",0)</f>
        <v>#REF!</v>
      </c>
      <c r="CK165" t="e">
        <f>IF(#REF!,"AAAAAD/3f1g=",0)</f>
        <v>#REF!</v>
      </c>
      <c r="CL165" t="e">
        <f>IF(#REF!,"AAAAAD/3f1k=",0)</f>
        <v>#REF!</v>
      </c>
      <c r="CM165" t="e">
        <f>IF(#REF!,"AAAAAD/3f1o=",0)</f>
        <v>#REF!</v>
      </c>
      <c r="CN165" t="e">
        <f>IF(#REF!,"AAAAAD/3f1s=",0)</f>
        <v>#REF!</v>
      </c>
      <c r="CO165" t="e">
        <f>IF(#REF!,"AAAAAD/3f1w=",0)</f>
        <v>#REF!</v>
      </c>
      <c r="CP165" t="e">
        <f>IF(#REF!,"AAAAAD/3f10=",0)</f>
        <v>#REF!</v>
      </c>
      <c r="CQ165" t="e">
        <f>IF(#REF!,"AAAAAD/3f14=",0)</f>
        <v>#REF!</v>
      </c>
      <c r="CR165" t="e">
        <f>IF(#REF!,"AAAAAD/3f18=",0)</f>
        <v>#REF!</v>
      </c>
      <c r="CS165" t="e">
        <f>IF(#REF!,"AAAAAD/3f2A=",0)</f>
        <v>#REF!</v>
      </c>
      <c r="CT165" t="e">
        <f>IF(#REF!,"AAAAAD/3f2E=",0)</f>
        <v>#REF!</v>
      </c>
      <c r="CU165" t="e">
        <f>IF(#REF!,"AAAAAD/3f2I=",0)</f>
        <v>#REF!</v>
      </c>
      <c r="CV165" t="e">
        <f>IF(#REF!,"AAAAAD/3f2M=",0)</f>
        <v>#REF!</v>
      </c>
      <c r="CW165" t="e">
        <f>IF(#REF!,"AAAAAD/3f2Q=",0)</f>
        <v>#REF!</v>
      </c>
      <c r="CX165" t="e">
        <f>IF(#REF!,"AAAAAD/3f2U=",0)</f>
        <v>#REF!</v>
      </c>
      <c r="CY165" t="e">
        <f>IF(#REF!,"AAAAAD/3f2Y=",0)</f>
        <v>#REF!</v>
      </c>
      <c r="CZ165" t="e">
        <f>IF(#REF!,"AAAAAD/3f2c=",0)</f>
        <v>#REF!</v>
      </c>
      <c r="DA165" t="e">
        <f>IF(#REF!,"AAAAAD/3f2g=",0)</f>
        <v>#REF!</v>
      </c>
      <c r="DB165" t="e">
        <f>IF(#REF!,"AAAAAD/3f2k=",0)</f>
        <v>#REF!</v>
      </c>
      <c r="DC165" t="e">
        <f>IF(#REF!,"AAAAAD/3f2o=",0)</f>
        <v>#REF!</v>
      </c>
      <c r="DD165" t="e">
        <f>IF(#REF!,"AAAAAD/3f2s=",0)</f>
        <v>#REF!</v>
      </c>
      <c r="DE165" t="e">
        <f>IF(#REF!,"AAAAAD/3f2w=",0)</f>
        <v>#REF!</v>
      </c>
      <c r="DF165" t="e">
        <f>IF(#REF!,"AAAAAD/3f20=",0)</f>
        <v>#REF!</v>
      </c>
      <c r="DG165" t="e">
        <f>IF(#REF!,"AAAAAD/3f24=",0)</f>
        <v>#REF!</v>
      </c>
      <c r="DH165" t="e">
        <f>IF(#REF!,"AAAAAD/3f28=",0)</f>
        <v>#REF!</v>
      </c>
      <c r="DI165" t="e">
        <f>IF(#REF!,"AAAAAD/3f3A=",0)</f>
        <v>#REF!</v>
      </c>
      <c r="DJ165" t="e">
        <f>IF(#REF!,"AAAAAD/3f3E=",0)</f>
        <v>#REF!</v>
      </c>
      <c r="DK165" t="e">
        <f>IF(#REF!,"AAAAAD/3f3I=",0)</f>
        <v>#REF!</v>
      </c>
      <c r="DL165" t="e">
        <f>IF(#REF!,"AAAAAD/3f3M=",0)</f>
        <v>#REF!</v>
      </c>
      <c r="DM165" t="e">
        <f>IF(#REF!,"AAAAAD/3f3Q=",0)</f>
        <v>#REF!</v>
      </c>
      <c r="DN165" t="e">
        <f>IF(#REF!,"AAAAAD/3f3U=",0)</f>
        <v>#REF!</v>
      </c>
      <c r="DO165" t="e">
        <f>IF(#REF!,"AAAAAD/3f3Y=",0)</f>
        <v>#REF!</v>
      </c>
      <c r="DP165" t="e">
        <f>IF(#REF!,"AAAAAD/3f3c=",0)</f>
        <v>#REF!</v>
      </c>
      <c r="DQ165" t="e">
        <f>IF(#REF!,"AAAAAD/3f3g=",0)</f>
        <v>#REF!</v>
      </c>
      <c r="DR165" t="e">
        <f>IF(#REF!,"AAAAAD/3f3k=",0)</f>
        <v>#REF!</v>
      </c>
      <c r="DS165" t="e">
        <f>IF(#REF!,"AAAAAD/3f3o=",0)</f>
        <v>#REF!</v>
      </c>
      <c r="DT165" t="e">
        <f>IF(#REF!,"AAAAAD/3f3s=",0)</f>
        <v>#REF!</v>
      </c>
      <c r="DU165" t="e">
        <f>IF(#REF!,"AAAAAD/3f3w=",0)</f>
        <v>#REF!</v>
      </c>
      <c r="DV165" t="e">
        <f>IF(#REF!,"AAAAAD/3f30=",0)</f>
        <v>#REF!</v>
      </c>
      <c r="DW165" t="e">
        <f>IF(#REF!,"AAAAAD/3f34=",0)</f>
        <v>#REF!</v>
      </c>
      <c r="DX165" t="e">
        <f>IF(#REF!,"AAAAAD/3f38=",0)</f>
        <v>#REF!</v>
      </c>
      <c r="DY165" t="e">
        <f>IF(#REF!,"AAAAAD/3f4A=",0)</f>
        <v>#REF!</v>
      </c>
      <c r="DZ165" t="e">
        <f>IF(#REF!,"AAAAAD/3f4E=",0)</f>
        <v>#REF!</v>
      </c>
      <c r="EA165" t="e">
        <f>IF(#REF!,"AAAAAD/3f4I=",0)</f>
        <v>#REF!</v>
      </c>
      <c r="EB165" t="e">
        <f>IF(#REF!,"AAAAAD/3f4M=",0)</f>
        <v>#REF!</v>
      </c>
      <c r="EC165" t="e">
        <f>IF(#REF!,"AAAAAD/3f4Q=",0)</f>
        <v>#REF!</v>
      </c>
      <c r="ED165" t="e">
        <f>IF(#REF!,"AAAAAD/3f4U=",0)</f>
        <v>#REF!</v>
      </c>
      <c r="EE165" t="e">
        <f>IF(#REF!,"AAAAAD/3f4Y=",0)</f>
        <v>#REF!</v>
      </c>
      <c r="EF165" t="e">
        <f>IF(#REF!,"AAAAAD/3f4c=",0)</f>
        <v>#REF!</v>
      </c>
      <c r="EG165" t="e">
        <f>IF(#REF!,"AAAAAD/3f4g=",0)</f>
        <v>#REF!</v>
      </c>
      <c r="EH165" t="e">
        <f>IF(#REF!,"AAAAAD/3f4k=",0)</f>
        <v>#REF!</v>
      </c>
      <c r="EI165" t="e">
        <f>IF(#REF!,"AAAAAD/3f4o=",0)</f>
        <v>#REF!</v>
      </c>
      <c r="EJ165" t="e">
        <f>IF(#REF!,"AAAAAD/3f4s=",0)</f>
        <v>#REF!</v>
      </c>
      <c r="EK165" t="e">
        <f>IF(#REF!,"AAAAAD/3f4w=",0)</f>
        <v>#REF!</v>
      </c>
      <c r="EL165" t="e">
        <f>IF(#REF!,"AAAAAD/3f40=",0)</f>
        <v>#REF!</v>
      </c>
      <c r="EM165" t="e">
        <f>IF(#REF!,"AAAAAD/3f44=",0)</f>
        <v>#REF!</v>
      </c>
      <c r="EN165" t="e">
        <f>IF(#REF!,"AAAAAD/3f48=",0)</f>
        <v>#REF!</v>
      </c>
      <c r="EO165" t="e">
        <f>IF(#REF!,"AAAAAD/3f5A=",0)</f>
        <v>#REF!</v>
      </c>
      <c r="EP165" t="e">
        <f>IF(#REF!,"AAAAAD/3f5E=",0)</f>
        <v>#REF!</v>
      </c>
      <c r="EQ165" t="e">
        <f>IF(#REF!,"AAAAAD/3f5I=",0)</f>
        <v>#REF!</v>
      </c>
      <c r="ER165" t="e">
        <f>IF(#REF!,"AAAAAD/3f5M=",0)</f>
        <v>#REF!</v>
      </c>
      <c r="ES165" t="e">
        <f>IF(#REF!,"AAAAAD/3f5Q=",0)</f>
        <v>#REF!</v>
      </c>
      <c r="ET165" t="e">
        <f>IF(#REF!,"AAAAAD/3f5U=",0)</f>
        <v>#REF!</v>
      </c>
      <c r="EU165" t="e">
        <f>IF(#REF!,"AAAAAD/3f5Y=",0)</f>
        <v>#REF!</v>
      </c>
      <c r="EV165" t="e">
        <f>IF(#REF!,"AAAAAD/3f5c=",0)</f>
        <v>#REF!</v>
      </c>
      <c r="EW165" t="e">
        <f>IF(#REF!,"AAAAAD/3f5g=",0)</f>
        <v>#REF!</v>
      </c>
      <c r="EX165" t="e">
        <f>IF(#REF!,"AAAAAD/3f5k=",0)</f>
        <v>#REF!</v>
      </c>
      <c r="EY165" t="e">
        <f>IF(#REF!,"AAAAAD/3f5o=",0)</f>
        <v>#REF!</v>
      </c>
      <c r="EZ165" t="e">
        <f>IF(#REF!,"AAAAAD/3f5s=",0)</f>
        <v>#REF!</v>
      </c>
      <c r="FA165" t="e">
        <f>IF(#REF!,"AAAAAD/3f5w=",0)</f>
        <v>#REF!</v>
      </c>
      <c r="FB165" t="e">
        <f>IF(#REF!,"AAAAAD/3f50=",0)</f>
        <v>#REF!</v>
      </c>
      <c r="FC165" t="e">
        <f>IF(#REF!,"AAAAAD/3f54=",0)</f>
        <v>#REF!</v>
      </c>
      <c r="FD165" t="e">
        <f>IF(#REF!,"AAAAAD/3f58=",0)</f>
        <v>#REF!</v>
      </c>
      <c r="FE165" t="e">
        <f>IF(#REF!,"AAAAAD/3f6A=",0)</f>
        <v>#REF!</v>
      </c>
      <c r="FF165" t="e">
        <f>IF(#REF!,"AAAAAD/3f6E=",0)</f>
        <v>#REF!</v>
      </c>
      <c r="FG165" t="e">
        <f>IF(#REF!,"AAAAAD/3f6I=",0)</f>
        <v>#REF!</v>
      </c>
      <c r="FH165" t="e">
        <f>IF(#REF!,"AAAAAD/3f6M=",0)</f>
        <v>#REF!</v>
      </c>
      <c r="FI165" t="e">
        <f>IF(#REF!,"AAAAAD/3f6Q=",0)</f>
        <v>#REF!</v>
      </c>
      <c r="FJ165" t="e">
        <f>IF(#REF!,"AAAAAD/3f6U=",0)</f>
        <v>#REF!</v>
      </c>
      <c r="FK165" t="e">
        <f>IF(#REF!,"AAAAAD/3f6Y=",0)</f>
        <v>#REF!</v>
      </c>
      <c r="FL165" t="e">
        <f>IF(#REF!,"AAAAAD/3f6c=",0)</f>
        <v>#REF!</v>
      </c>
      <c r="FM165" t="e">
        <f>IF(#REF!,"AAAAAD/3f6g=",0)</f>
        <v>#REF!</v>
      </c>
      <c r="FN165" t="e">
        <f>IF(#REF!,"AAAAAD/3f6k=",0)</f>
        <v>#REF!</v>
      </c>
      <c r="FO165" t="e">
        <f>IF(#REF!,"AAAAAD/3f6o=",0)</f>
        <v>#REF!</v>
      </c>
      <c r="FP165" t="e">
        <f>IF(#REF!,"AAAAAD/3f6s=",0)</f>
        <v>#REF!</v>
      </c>
      <c r="FQ165" t="e">
        <f>IF(#REF!,"AAAAAD/3f6w=",0)</f>
        <v>#REF!</v>
      </c>
      <c r="FR165" t="e">
        <f>IF(#REF!,"AAAAAD/3f60=",0)</f>
        <v>#REF!</v>
      </c>
      <c r="FS165" t="e">
        <f>IF(#REF!,"AAAAAD/3f64=",0)</f>
        <v>#REF!</v>
      </c>
      <c r="FT165" t="e">
        <f>IF(#REF!,"AAAAAD/3f68=",0)</f>
        <v>#REF!</v>
      </c>
      <c r="FU165" t="e">
        <f>IF(#REF!,"AAAAAD/3f7A=",0)</f>
        <v>#REF!</v>
      </c>
      <c r="FV165" t="e">
        <f>IF(#REF!,"AAAAAD/3f7E=",0)</f>
        <v>#REF!</v>
      </c>
      <c r="FW165" t="e">
        <f>IF(#REF!,"AAAAAD/3f7I=",0)</f>
        <v>#REF!</v>
      </c>
      <c r="FX165" t="e">
        <f>IF(#REF!,"AAAAAD/3f7M=",0)</f>
        <v>#REF!</v>
      </c>
      <c r="FY165" t="e">
        <f>IF(#REF!,"AAAAAD/3f7Q=",0)</f>
        <v>#REF!</v>
      </c>
      <c r="FZ165" t="e">
        <f>IF(#REF!,"AAAAAD/3f7U=",0)</f>
        <v>#REF!</v>
      </c>
      <c r="GA165" t="e">
        <f>IF(#REF!,"AAAAAD/3f7Y=",0)</f>
        <v>#REF!</v>
      </c>
      <c r="GB165" t="e">
        <f>IF(#REF!,"AAAAAD/3f7c=",0)</f>
        <v>#REF!</v>
      </c>
      <c r="GC165" t="e">
        <f>IF(#REF!,"AAAAAD/3f7g=",0)</f>
        <v>#REF!</v>
      </c>
      <c r="GD165" t="e">
        <f>IF(#REF!,"AAAAAD/3f7k=",0)</f>
        <v>#REF!</v>
      </c>
      <c r="GE165" t="e">
        <f>IF(#REF!,"AAAAAD/3f7o=",0)</f>
        <v>#REF!</v>
      </c>
      <c r="GF165" t="e">
        <f>IF(#REF!,"AAAAAD/3f7s=",0)</f>
        <v>#REF!</v>
      </c>
      <c r="GG165" t="e">
        <f>IF(#REF!,"AAAAAD/3f7w=",0)</f>
        <v>#REF!</v>
      </c>
      <c r="GH165" t="e">
        <f>IF(#REF!,"AAAAAD/3f70=",0)</f>
        <v>#REF!</v>
      </c>
      <c r="GI165" t="e">
        <f>IF(#REF!,"AAAAAD/3f74=",0)</f>
        <v>#REF!</v>
      </c>
      <c r="GJ165" t="e">
        <f>IF(#REF!,"AAAAAD/3f78=",0)</f>
        <v>#REF!</v>
      </c>
      <c r="GK165" t="e">
        <f>IF(#REF!,"AAAAAD/3f8A=",0)</f>
        <v>#REF!</v>
      </c>
      <c r="GL165" t="e">
        <f>IF(#REF!,"AAAAAD/3f8E=",0)</f>
        <v>#REF!</v>
      </c>
      <c r="GM165" t="e">
        <f>IF(#REF!,"AAAAAD/3f8I=",0)</f>
        <v>#REF!</v>
      </c>
      <c r="GN165" t="e">
        <f>IF(#REF!,"AAAAAD/3f8M=",0)</f>
        <v>#REF!</v>
      </c>
      <c r="GO165" t="e">
        <f>IF(#REF!,"AAAAAD/3f8Q=",0)</f>
        <v>#REF!</v>
      </c>
      <c r="GP165" t="e">
        <f>IF(#REF!,"AAAAAD/3f8U=",0)</f>
        <v>#REF!</v>
      </c>
      <c r="GQ165" t="e">
        <f>IF(#REF!,"AAAAAD/3f8Y=",0)</f>
        <v>#REF!</v>
      </c>
      <c r="GR165" t="e">
        <f>IF(#REF!,"AAAAAD/3f8c=",0)</f>
        <v>#REF!</v>
      </c>
      <c r="GS165" t="e">
        <f>IF(#REF!,"AAAAAD/3f8g=",0)</f>
        <v>#REF!</v>
      </c>
      <c r="GT165" t="e">
        <f>IF(#REF!,"AAAAAD/3f8k=",0)</f>
        <v>#REF!</v>
      </c>
      <c r="GU165" t="e">
        <f>IF(#REF!,"AAAAAD/3f8o=",0)</f>
        <v>#REF!</v>
      </c>
      <c r="GV165" t="e">
        <f>IF(#REF!,"AAAAAD/3f8s=",0)</f>
        <v>#REF!</v>
      </c>
      <c r="GW165" t="e">
        <f>IF(#REF!,"AAAAAD/3f8w=",0)</f>
        <v>#REF!</v>
      </c>
      <c r="GX165" t="e">
        <f>IF(#REF!,"AAAAAD/3f80=",0)</f>
        <v>#REF!</v>
      </c>
      <c r="GY165" t="e">
        <f>IF(#REF!,"AAAAAD/3f84=",0)</f>
        <v>#REF!</v>
      </c>
      <c r="GZ165" t="e">
        <f>IF(#REF!,"AAAAAD/3f88=",0)</f>
        <v>#REF!</v>
      </c>
      <c r="HA165" t="e">
        <f>IF(#REF!,"AAAAAD/3f9A=",0)</f>
        <v>#REF!</v>
      </c>
      <c r="HB165" t="e">
        <f>IF(#REF!,"AAAAAD/3f9E=",0)</f>
        <v>#REF!</v>
      </c>
      <c r="HC165" t="e">
        <f>IF(#REF!,"AAAAAD/3f9I=",0)</f>
        <v>#REF!</v>
      </c>
      <c r="HD165" t="e">
        <f>IF(#REF!,"AAAAAD/3f9M=",0)</f>
        <v>#REF!</v>
      </c>
      <c r="HE165" t="e">
        <f>IF(#REF!,"AAAAAD/3f9Q=",0)</f>
        <v>#REF!</v>
      </c>
      <c r="HF165" t="e">
        <f>IF(#REF!,"AAAAAD/3f9U=",0)</f>
        <v>#REF!</v>
      </c>
      <c r="HG165" t="e">
        <f>IF(#REF!,"AAAAAD/3f9Y=",0)</f>
        <v>#REF!</v>
      </c>
      <c r="HH165" t="e">
        <f>IF(#REF!,"AAAAAD/3f9c=",0)</f>
        <v>#REF!</v>
      </c>
      <c r="HI165" t="e">
        <f>IF(#REF!,"AAAAAD/3f9g=",0)</f>
        <v>#REF!</v>
      </c>
      <c r="HJ165" t="e">
        <f>IF(#REF!,"AAAAAD/3f9k=",0)</f>
        <v>#REF!</v>
      </c>
      <c r="HK165" t="e">
        <f>IF(#REF!,"AAAAAD/3f9o=",0)</f>
        <v>#REF!</v>
      </c>
      <c r="HL165" t="e">
        <f>IF(#REF!,"AAAAAD/3f9s=",0)</f>
        <v>#REF!</v>
      </c>
      <c r="HM165" t="e">
        <f>IF(#REF!,"AAAAAD/3f9w=",0)</f>
        <v>#REF!</v>
      </c>
      <c r="HN165" t="e">
        <f>IF(#REF!,"AAAAAD/3f90=",0)</f>
        <v>#REF!</v>
      </c>
      <c r="HO165" t="e">
        <f>IF(#REF!,"AAAAAD/3f94=",0)</f>
        <v>#REF!</v>
      </c>
      <c r="HP165" t="e">
        <f>IF(#REF!,"AAAAAD/3f98=",0)</f>
        <v>#REF!</v>
      </c>
      <c r="HQ165" t="e">
        <f>IF(#REF!,"AAAAAD/3f+A=",0)</f>
        <v>#REF!</v>
      </c>
      <c r="HR165" t="e">
        <f>IF(#REF!,"AAAAAD/3f+E=",0)</f>
        <v>#REF!</v>
      </c>
      <c r="HS165" t="e">
        <f>IF(#REF!,"AAAAAD/3f+I=",0)</f>
        <v>#REF!</v>
      </c>
      <c r="HT165" t="e">
        <f>IF(#REF!,"AAAAAD/3f+M=",0)</f>
        <v>#REF!</v>
      </c>
      <c r="HU165" t="e">
        <f>IF(#REF!,"AAAAAD/3f+Q=",0)</f>
        <v>#REF!</v>
      </c>
      <c r="HV165" t="e">
        <f>IF(#REF!,"AAAAAD/3f+U=",0)</f>
        <v>#REF!</v>
      </c>
      <c r="HW165" t="e">
        <f>IF(#REF!,"AAAAAD/3f+Y=",0)</f>
        <v>#REF!</v>
      </c>
      <c r="HX165" t="e">
        <f>IF(#REF!,"AAAAAD/3f+c=",0)</f>
        <v>#REF!</v>
      </c>
      <c r="HY165" t="e">
        <f>IF(#REF!,"AAAAAD/3f+g=",0)</f>
        <v>#REF!</v>
      </c>
      <c r="HZ165" t="e">
        <f>IF(#REF!,"AAAAAD/3f+k=",0)</f>
        <v>#REF!</v>
      </c>
      <c r="IA165" t="e">
        <f>IF(#REF!,"AAAAAD/3f+o=",0)</f>
        <v>#REF!</v>
      </c>
      <c r="IB165" t="e">
        <f>IF(#REF!,"AAAAAD/3f+s=",0)</f>
        <v>#REF!</v>
      </c>
      <c r="IC165" t="e">
        <f>IF(#REF!,"AAAAAD/3f+w=",0)</f>
        <v>#REF!</v>
      </c>
      <c r="ID165" t="e">
        <f>IF(#REF!,"AAAAAD/3f+0=",0)</f>
        <v>#REF!</v>
      </c>
      <c r="IE165" t="e">
        <f>IF(#REF!,"AAAAAD/3f+4=",0)</f>
        <v>#REF!</v>
      </c>
      <c r="IF165" t="e">
        <f>IF(#REF!,"AAAAAD/3f+8=",0)</f>
        <v>#REF!</v>
      </c>
      <c r="IG165" t="e">
        <f>IF(#REF!,"AAAAAD/3f/A=",0)</f>
        <v>#REF!</v>
      </c>
      <c r="IH165" t="e">
        <f>IF(#REF!,"AAAAAD/3f/E=",0)</f>
        <v>#REF!</v>
      </c>
      <c r="II165" t="e">
        <f>IF(#REF!,"AAAAAD/3f/I=",0)</f>
        <v>#REF!</v>
      </c>
      <c r="IJ165" t="e">
        <f>IF(#REF!,"AAAAAD/3f/M=",0)</f>
        <v>#REF!</v>
      </c>
      <c r="IK165" t="e">
        <f>IF(#REF!,"AAAAAD/3f/Q=",0)</f>
        <v>#REF!</v>
      </c>
      <c r="IL165" t="e">
        <f>IF(#REF!,"AAAAAD/3f/U=",0)</f>
        <v>#REF!</v>
      </c>
      <c r="IM165" t="e">
        <f>IF(#REF!,"AAAAAD/3f/Y=",0)</f>
        <v>#REF!</v>
      </c>
      <c r="IN165" t="e">
        <f>IF(#REF!,"AAAAAD/3f/c=",0)</f>
        <v>#REF!</v>
      </c>
      <c r="IO165" t="e">
        <f>IF(#REF!,"AAAAAD/3f/g=",0)</f>
        <v>#REF!</v>
      </c>
      <c r="IP165" t="e">
        <f>IF(#REF!,"AAAAAD/3f/k=",0)</f>
        <v>#REF!</v>
      </c>
      <c r="IQ165" t="e">
        <f>IF(#REF!,"AAAAAD/3f/o=",0)</f>
        <v>#REF!</v>
      </c>
      <c r="IR165" t="e">
        <f>IF(#REF!,"AAAAAD/3f/s=",0)</f>
        <v>#REF!</v>
      </c>
      <c r="IS165" t="e">
        <f>IF(#REF!,"AAAAAD/3f/w=",0)</f>
        <v>#REF!</v>
      </c>
      <c r="IT165" t="e">
        <f>IF(#REF!,"AAAAAD/3f/0=",0)</f>
        <v>#REF!</v>
      </c>
      <c r="IU165" t="e">
        <f>IF(#REF!,"AAAAAD/3f/4=",0)</f>
        <v>#REF!</v>
      </c>
      <c r="IV165" t="e">
        <f>IF(#REF!,"AAAAAD/3f/8=",0)</f>
        <v>#REF!</v>
      </c>
    </row>
    <row r="166" spans="1:256">
      <c r="A166" t="e">
        <f>IF(#REF!,"AAAAADo3vwA=",0)</f>
        <v>#REF!</v>
      </c>
      <c r="B166" t="e">
        <f>IF(#REF!,"AAAAADo3vwE=",0)</f>
        <v>#REF!</v>
      </c>
      <c r="C166" t="e">
        <f>IF(#REF!,"AAAAADo3vwI=",0)</f>
        <v>#REF!</v>
      </c>
      <c r="D166" t="e">
        <f>IF(#REF!,"AAAAADo3vwM=",0)</f>
        <v>#REF!</v>
      </c>
      <c r="E166" t="e">
        <f>IF(#REF!,"AAAAADo3vwQ=",0)</f>
        <v>#REF!</v>
      </c>
      <c r="F166" t="e">
        <f>IF(#REF!,"AAAAADo3vwU=",0)</f>
        <v>#REF!</v>
      </c>
      <c r="G166" t="e">
        <f>IF(#REF!,"AAAAADo3vwY=",0)</f>
        <v>#REF!</v>
      </c>
      <c r="H166" t="e">
        <f>IF(#REF!,"AAAAADo3vwc=",0)</f>
        <v>#REF!</v>
      </c>
      <c r="I166" t="e">
        <f>IF(#REF!,"AAAAADo3vwg=",0)</f>
        <v>#REF!</v>
      </c>
      <c r="J166" t="e">
        <f>IF(#REF!,"AAAAADo3vwk=",0)</f>
        <v>#REF!</v>
      </c>
      <c r="K166" t="e">
        <f>IF(#REF!,"AAAAADo3vwo=",0)</f>
        <v>#REF!</v>
      </c>
      <c r="L166" t="e">
        <f>IF(#REF!,"AAAAADo3vws=",0)</f>
        <v>#REF!</v>
      </c>
      <c r="M166" t="e">
        <f>IF(#REF!,"AAAAADo3vww=",0)</f>
        <v>#REF!</v>
      </c>
      <c r="N166" t="e">
        <f>IF(#REF!,"AAAAADo3vw0=",0)</f>
        <v>#REF!</v>
      </c>
      <c r="O166" t="e">
        <f>IF(#REF!,"AAAAADo3vw4=",0)</f>
        <v>#REF!</v>
      </c>
      <c r="P166" t="e">
        <f>IF(#REF!,"AAAAADo3vw8=",0)</f>
        <v>#REF!</v>
      </c>
      <c r="Q166" t="e">
        <f>IF(#REF!,"AAAAADo3vxA=",0)</f>
        <v>#REF!</v>
      </c>
      <c r="R166" t="e">
        <f>IF(#REF!,"AAAAADo3vxE=",0)</f>
        <v>#REF!</v>
      </c>
      <c r="S166" t="e">
        <f>IF(#REF!,"AAAAADo3vxI=",0)</f>
        <v>#REF!</v>
      </c>
      <c r="T166" t="e">
        <f>IF(#REF!,"AAAAADo3vxM=",0)</f>
        <v>#REF!</v>
      </c>
      <c r="U166" t="e">
        <f>IF(#REF!,"AAAAADo3vxQ=",0)</f>
        <v>#REF!</v>
      </c>
      <c r="V166" t="e">
        <f>IF(#REF!,"AAAAADo3vxU=",0)</f>
        <v>#REF!</v>
      </c>
      <c r="W166" t="e">
        <f>IF(#REF!,"AAAAADo3vxY=",0)</f>
        <v>#REF!</v>
      </c>
      <c r="X166" t="e">
        <f>IF(#REF!,"AAAAADo3vxc=",0)</f>
        <v>#REF!</v>
      </c>
      <c r="Y166" t="e">
        <f>IF(#REF!,"AAAAADo3vxg=",0)</f>
        <v>#REF!</v>
      </c>
      <c r="Z166" t="e">
        <f>IF(#REF!,"AAAAADo3vxk=",0)</f>
        <v>#REF!</v>
      </c>
      <c r="AA166" t="e">
        <f>IF(#REF!,"AAAAADo3vxo=",0)</f>
        <v>#REF!</v>
      </c>
      <c r="AB166" t="e">
        <f>IF(#REF!,"AAAAADo3vxs=",0)</f>
        <v>#REF!</v>
      </c>
      <c r="AC166" t="e">
        <f>IF(#REF!,"AAAAADo3vxw=",0)</f>
        <v>#REF!</v>
      </c>
      <c r="AD166" t="e">
        <f>IF(#REF!,"AAAAADo3vx0=",0)</f>
        <v>#REF!</v>
      </c>
      <c r="AE166" t="e">
        <f>IF(#REF!,"AAAAADo3vx4=",0)</f>
        <v>#REF!</v>
      </c>
      <c r="AF166" t="e">
        <f>IF(#REF!,"AAAAADo3vx8=",0)</f>
        <v>#REF!</v>
      </c>
      <c r="AG166" t="e">
        <f>IF(#REF!,"AAAAADo3vyA=",0)</f>
        <v>#REF!</v>
      </c>
      <c r="AH166" t="e">
        <f>IF(#REF!,"AAAAADo3vyE=",0)</f>
        <v>#REF!</v>
      </c>
      <c r="AI166" t="e">
        <f>IF(#REF!,"AAAAADo3vyI=",0)</f>
        <v>#REF!</v>
      </c>
      <c r="AJ166" t="e">
        <f>IF(#REF!,"AAAAADo3vyM=",0)</f>
        <v>#REF!</v>
      </c>
      <c r="AK166" t="e">
        <f>IF(#REF!,"AAAAADo3vyQ=",0)</f>
        <v>#REF!</v>
      </c>
      <c r="AL166" t="e">
        <f>IF(#REF!,"AAAAADo3vyU=",0)</f>
        <v>#REF!</v>
      </c>
      <c r="AM166" t="e">
        <f>IF(#REF!,"AAAAADo3vyY=",0)</f>
        <v>#REF!</v>
      </c>
      <c r="AN166" t="e">
        <f>IF(#REF!,"AAAAADo3vyc=",0)</f>
        <v>#REF!</v>
      </c>
      <c r="AO166" t="e">
        <f>IF(#REF!,"AAAAADo3vyg=",0)</f>
        <v>#REF!</v>
      </c>
      <c r="AP166" t="e">
        <f>IF(#REF!,"AAAAADo3vyk=",0)</f>
        <v>#REF!</v>
      </c>
      <c r="AQ166" t="e">
        <f>IF(#REF!,"AAAAADo3vyo=",0)</f>
        <v>#REF!</v>
      </c>
      <c r="AR166" t="e">
        <f>IF(#REF!,"AAAAADo3vys=",0)</f>
        <v>#REF!</v>
      </c>
      <c r="AS166" t="e">
        <f>IF(#REF!,"AAAAADo3vyw=",0)</f>
        <v>#REF!</v>
      </c>
      <c r="AT166" t="e">
        <f>IF(#REF!,"AAAAADo3vy0=",0)</f>
        <v>#REF!</v>
      </c>
      <c r="AU166" t="e">
        <f>IF(#REF!,"AAAAADo3vy4=",0)</f>
        <v>#REF!</v>
      </c>
      <c r="AV166" t="e">
        <f>IF(#REF!,"AAAAADo3vy8=",0)</f>
        <v>#REF!</v>
      </c>
      <c r="AW166" t="e">
        <f>IF(#REF!,"AAAAADo3vzA=",0)</f>
        <v>#REF!</v>
      </c>
      <c r="AX166" t="e">
        <f>IF(#REF!,"AAAAADo3vzE=",0)</f>
        <v>#REF!</v>
      </c>
      <c r="AY166" t="e">
        <f>IF(#REF!,"AAAAADo3vzI=",0)</f>
        <v>#REF!</v>
      </c>
      <c r="AZ166" t="e">
        <f>IF(#REF!,"AAAAADo3vzM=",0)</f>
        <v>#REF!</v>
      </c>
      <c r="BA166" t="e">
        <f>IF(#REF!,"AAAAADo3vzQ=",0)</f>
        <v>#REF!</v>
      </c>
      <c r="BB166" t="e">
        <f>IF(#REF!,"AAAAADo3vzU=",0)</f>
        <v>#REF!</v>
      </c>
      <c r="BC166" t="e">
        <f>IF(#REF!,"AAAAADo3vzY=",0)</f>
        <v>#REF!</v>
      </c>
      <c r="BD166" t="e">
        <f>IF(#REF!,"AAAAADo3vzc=",0)</f>
        <v>#REF!</v>
      </c>
      <c r="BE166" t="e">
        <f>IF(#REF!,"AAAAADo3vzg=",0)</f>
        <v>#REF!</v>
      </c>
      <c r="BF166" t="e">
        <f>IF(#REF!,"AAAAADo3vzk=",0)</f>
        <v>#REF!</v>
      </c>
      <c r="BG166" t="e">
        <f>IF(#REF!,"AAAAADo3vzo=",0)</f>
        <v>#REF!</v>
      </c>
      <c r="BH166" t="e">
        <f>IF(#REF!,"AAAAADo3vzs=",0)</f>
        <v>#REF!</v>
      </c>
      <c r="BI166" t="e">
        <f>IF(#REF!,"AAAAADo3vzw=",0)</f>
        <v>#REF!</v>
      </c>
      <c r="BJ166" t="e">
        <f>IF(#REF!,"AAAAADo3vz0=",0)</f>
        <v>#REF!</v>
      </c>
      <c r="BK166" t="e">
        <f>IF(#REF!,"AAAAADo3vz4=",0)</f>
        <v>#REF!</v>
      </c>
      <c r="BL166" t="e">
        <f>IF(#REF!,"AAAAADo3vz8=",0)</f>
        <v>#REF!</v>
      </c>
      <c r="BM166" t="e">
        <f>IF(#REF!,"AAAAADo3v0A=",0)</f>
        <v>#REF!</v>
      </c>
      <c r="BN166" t="e">
        <f>IF(#REF!,"AAAAADo3v0E=",0)</f>
        <v>#REF!</v>
      </c>
      <c r="BO166" t="e">
        <f>IF(#REF!,"AAAAADo3v0I=",0)</f>
        <v>#REF!</v>
      </c>
      <c r="BP166" t="e">
        <f>IF(#REF!,"AAAAADo3v0M=",0)</f>
        <v>#REF!</v>
      </c>
      <c r="BQ166" t="e">
        <f>IF(#REF!,"AAAAADo3v0Q=",0)</f>
        <v>#REF!</v>
      </c>
      <c r="BR166" t="e">
        <f>IF(#REF!,"AAAAADo3v0U=",0)</f>
        <v>#REF!</v>
      </c>
      <c r="BS166" t="e">
        <f>IF(#REF!,"AAAAADo3v0Y=",0)</f>
        <v>#REF!</v>
      </c>
      <c r="BT166" t="e">
        <f>IF(#REF!,"AAAAADo3v0c=",0)</f>
        <v>#REF!</v>
      </c>
      <c r="BU166" t="e">
        <f>IF(#REF!,"AAAAADo3v0g=",0)</f>
        <v>#REF!</v>
      </c>
      <c r="BV166" t="e">
        <f>IF(#REF!,"AAAAADo3v0k=",0)</f>
        <v>#REF!</v>
      </c>
      <c r="BW166" t="e">
        <f>IF(#REF!,"AAAAADo3v0o=",0)</f>
        <v>#REF!</v>
      </c>
      <c r="BX166" t="e">
        <f>IF(#REF!,"AAAAADo3v0s=",0)</f>
        <v>#REF!</v>
      </c>
      <c r="BY166" t="e">
        <f>IF(#REF!,"AAAAADo3v0w=",0)</f>
        <v>#REF!</v>
      </c>
      <c r="BZ166" t="e">
        <f>IF(#REF!,"AAAAADo3v00=",0)</f>
        <v>#REF!</v>
      </c>
      <c r="CA166" t="e">
        <f>IF(#REF!,"AAAAADo3v04=",0)</f>
        <v>#REF!</v>
      </c>
      <c r="CB166" t="e">
        <f>IF(#REF!,"AAAAADo3v08=",0)</f>
        <v>#REF!</v>
      </c>
      <c r="CC166" t="e">
        <f>IF(#REF!,"AAAAADo3v1A=",0)</f>
        <v>#REF!</v>
      </c>
      <c r="CD166" t="e">
        <f>IF(#REF!,"AAAAADo3v1E=",0)</f>
        <v>#REF!</v>
      </c>
      <c r="CE166" t="e">
        <f>IF(#REF!,"AAAAADo3v1I=",0)</f>
        <v>#REF!</v>
      </c>
      <c r="CF166" t="e">
        <f>IF(#REF!,"AAAAADo3v1M=",0)</f>
        <v>#REF!</v>
      </c>
      <c r="CG166" t="e">
        <f>IF(#REF!,"AAAAADo3v1Q=",0)</f>
        <v>#REF!</v>
      </c>
      <c r="CH166" t="e">
        <f>IF(#REF!,"AAAAADo3v1U=",0)</f>
        <v>#REF!</v>
      </c>
      <c r="CI166" t="e">
        <f>IF(#REF!,"AAAAADo3v1Y=",0)</f>
        <v>#REF!</v>
      </c>
      <c r="CJ166" t="e">
        <f>IF(#REF!,"AAAAADo3v1c=",0)</f>
        <v>#REF!</v>
      </c>
      <c r="CK166" t="e">
        <f>IF(#REF!,"AAAAADo3v1g=",0)</f>
        <v>#REF!</v>
      </c>
      <c r="CL166" t="e">
        <f>IF(#REF!,"AAAAADo3v1k=",0)</f>
        <v>#REF!</v>
      </c>
      <c r="CM166" t="e">
        <f>IF(#REF!,"AAAAADo3v1o=",0)</f>
        <v>#REF!</v>
      </c>
      <c r="CN166" t="e">
        <f>IF(#REF!,"AAAAADo3v1s=",0)</f>
        <v>#REF!</v>
      </c>
      <c r="CO166" t="e">
        <f>IF(#REF!,"AAAAADo3v1w=",0)</f>
        <v>#REF!</v>
      </c>
      <c r="CP166" t="e">
        <f>IF(#REF!,"AAAAADo3v10=",0)</f>
        <v>#REF!</v>
      </c>
      <c r="CQ166" t="e">
        <f>IF(#REF!,"AAAAADo3v14=",0)</f>
        <v>#REF!</v>
      </c>
      <c r="CR166" t="e">
        <f>IF(#REF!,"AAAAADo3v18=",0)</f>
        <v>#REF!</v>
      </c>
      <c r="CS166" t="e">
        <f>IF(#REF!,"AAAAADo3v2A=",0)</f>
        <v>#REF!</v>
      </c>
      <c r="CT166" t="e">
        <f>IF(#REF!,"AAAAADo3v2E=",0)</f>
        <v>#REF!</v>
      </c>
      <c r="CU166" t="e">
        <f>IF(#REF!,"AAAAADo3v2I=",0)</f>
        <v>#REF!</v>
      </c>
      <c r="CV166" t="e">
        <f>IF(#REF!,"AAAAADo3v2M=",0)</f>
        <v>#REF!</v>
      </c>
      <c r="CW166" t="e">
        <f>IF(#REF!,"AAAAADo3v2Q=",0)</f>
        <v>#REF!</v>
      </c>
      <c r="CX166" t="e">
        <f>IF(#REF!,"AAAAADo3v2U=",0)</f>
        <v>#REF!</v>
      </c>
      <c r="CY166" t="e">
        <f>IF(#REF!,"AAAAADo3v2Y=",0)</f>
        <v>#REF!</v>
      </c>
      <c r="CZ166" t="e">
        <f>IF(#REF!,"AAAAADo3v2c=",0)</f>
        <v>#REF!</v>
      </c>
      <c r="DA166" t="e">
        <f>IF(#REF!,"AAAAADo3v2g=",0)</f>
        <v>#REF!</v>
      </c>
      <c r="DB166" t="e">
        <f>IF(#REF!,"AAAAADo3v2k=",0)</f>
        <v>#REF!</v>
      </c>
      <c r="DC166" t="e">
        <f>IF(#REF!,"AAAAADo3v2o=",0)</f>
        <v>#REF!</v>
      </c>
      <c r="DD166" t="e">
        <f>IF(#REF!,"AAAAADo3v2s=",0)</f>
        <v>#REF!</v>
      </c>
      <c r="DE166" t="e">
        <f>IF(#REF!,"AAAAADo3v2w=",0)</f>
        <v>#REF!</v>
      </c>
      <c r="DF166" t="e">
        <f>IF(#REF!,"AAAAADo3v20=",0)</f>
        <v>#REF!</v>
      </c>
      <c r="DG166" t="e">
        <f>IF(#REF!,"AAAAADo3v24=",0)</f>
        <v>#REF!</v>
      </c>
      <c r="DH166" t="e">
        <f>IF(#REF!,"AAAAADo3v28=",0)</f>
        <v>#REF!</v>
      </c>
      <c r="DI166" t="e">
        <f>IF(#REF!,"AAAAADo3v3A=",0)</f>
        <v>#REF!</v>
      </c>
      <c r="DJ166" t="e">
        <f>IF(#REF!,"AAAAADo3v3E=",0)</f>
        <v>#REF!</v>
      </c>
      <c r="DK166" t="e">
        <f>IF(#REF!,"AAAAADo3v3I=",0)</f>
        <v>#REF!</v>
      </c>
      <c r="DL166" t="e">
        <f>IF(#REF!,"AAAAADo3v3M=",0)</f>
        <v>#REF!</v>
      </c>
      <c r="DM166" t="e">
        <f>IF(#REF!,"AAAAADo3v3Q=",0)</f>
        <v>#REF!</v>
      </c>
      <c r="DN166" t="e">
        <f>IF(#REF!,"AAAAADo3v3U=",0)</f>
        <v>#REF!</v>
      </c>
      <c r="DO166" t="e">
        <f>IF(#REF!,"AAAAADo3v3Y=",0)</f>
        <v>#REF!</v>
      </c>
      <c r="DP166" t="e">
        <f>IF(#REF!,"AAAAADo3v3c=",0)</f>
        <v>#REF!</v>
      </c>
      <c r="DQ166" t="e">
        <f>IF(#REF!,"AAAAADo3v3g=",0)</f>
        <v>#REF!</v>
      </c>
      <c r="DR166" t="e">
        <f>IF(#REF!,"AAAAADo3v3k=",0)</f>
        <v>#REF!</v>
      </c>
      <c r="DS166" t="e">
        <f>IF(#REF!,"AAAAADo3v3o=",0)</f>
        <v>#REF!</v>
      </c>
      <c r="DT166" t="e">
        <f>IF(#REF!,"AAAAADo3v3s=",0)</f>
        <v>#REF!</v>
      </c>
      <c r="DU166" t="e">
        <f>IF(#REF!,"AAAAADo3v3w=",0)</f>
        <v>#REF!</v>
      </c>
      <c r="DV166" t="e">
        <f>IF(#REF!,"AAAAADo3v30=",0)</f>
        <v>#REF!</v>
      </c>
      <c r="DW166" t="e">
        <f>IF(#REF!,"AAAAADo3v34=",0)</f>
        <v>#REF!</v>
      </c>
      <c r="DX166" t="e">
        <f>IF(#REF!,"AAAAADo3v38=",0)</f>
        <v>#REF!</v>
      </c>
      <c r="DY166" t="e">
        <f>IF(#REF!,"AAAAADo3v4A=",0)</f>
        <v>#REF!</v>
      </c>
      <c r="DZ166" t="e">
        <f>IF(#REF!,"AAAAADo3v4E=",0)</f>
        <v>#REF!</v>
      </c>
      <c r="EA166" t="e">
        <f>IF(#REF!,"AAAAADo3v4I=",0)</f>
        <v>#REF!</v>
      </c>
      <c r="EB166" t="e">
        <f>IF(#REF!,"AAAAADo3v4M=",0)</f>
        <v>#REF!</v>
      </c>
      <c r="EC166" t="e">
        <f>IF(#REF!,"AAAAADo3v4Q=",0)</f>
        <v>#REF!</v>
      </c>
      <c r="ED166" t="e">
        <f>IF(#REF!,"AAAAADo3v4U=",0)</f>
        <v>#REF!</v>
      </c>
      <c r="EE166" t="e">
        <f>IF(#REF!,"AAAAADo3v4Y=",0)</f>
        <v>#REF!</v>
      </c>
      <c r="EF166" t="e">
        <f>IF(#REF!,"AAAAADo3v4c=",0)</f>
        <v>#REF!</v>
      </c>
      <c r="EG166" t="e">
        <f>IF(#REF!,"AAAAADo3v4g=",0)</f>
        <v>#REF!</v>
      </c>
      <c r="EH166" t="e">
        <f>IF(#REF!,"AAAAADo3v4k=",0)</f>
        <v>#REF!</v>
      </c>
      <c r="EI166" t="e">
        <f>IF(#REF!,"AAAAADo3v4o=",0)</f>
        <v>#REF!</v>
      </c>
      <c r="EJ166" t="e">
        <f>IF(#REF!,"AAAAADo3v4s=",0)</f>
        <v>#REF!</v>
      </c>
      <c r="EK166" t="e">
        <f>IF(#REF!,"AAAAADo3v4w=",0)</f>
        <v>#REF!</v>
      </c>
      <c r="EL166" t="e">
        <f>IF(#REF!,"AAAAADo3v40=",0)</f>
        <v>#REF!</v>
      </c>
      <c r="EM166" t="e">
        <f>IF(#REF!,"AAAAADo3v44=",0)</f>
        <v>#REF!</v>
      </c>
      <c r="EN166" t="e">
        <f>IF(#REF!,"AAAAADo3v48=",0)</f>
        <v>#REF!</v>
      </c>
      <c r="EO166" t="e">
        <f>IF(#REF!,"AAAAADo3v5A=",0)</f>
        <v>#REF!</v>
      </c>
      <c r="EP166" t="e">
        <f>IF(#REF!,"AAAAADo3v5E=",0)</f>
        <v>#REF!</v>
      </c>
      <c r="EQ166" t="e">
        <f>IF(#REF!,"AAAAADo3v5I=",0)</f>
        <v>#REF!</v>
      </c>
      <c r="ER166" t="e">
        <f>IF(#REF!,"AAAAADo3v5M=",0)</f>
        <v>#REF!</v>
      </c>
      <c r="ES166" t="e">
        <f>IF(#REF!,"AAAAADo3v5Q=",0)</f>
        <v>#REF!</v>
      </c>
      <c r="ET166" t="e">
        <f>IF(#REF!,"AAAAADo3v5U=",0)</f>
        <v>#REF!</v>
      </c>
      <c r="EU166" t="e">
        <f>IF(#REF!,"AAAAADo3v5Y=",0)</f>
        <v>#REF!</v>
      </c>
      <c r="EV166" t="e">
        <f>IF(#REF!,"AAAAADo3v5c=",0)</f>
        <v>#REF!</v>
      </c>
      <c r="EW166" t="e">
        <f>IF(#REF!,"AAAAADo3v5g=",0)</f>
        <v>#REF!</v>
      </c>
      <c r="EX166" t="e">
        <f>IF(#REF!,"AAAAADo3v5k=",0)</f>
        <v>#REF!</v>
      </c>
      <c r="EY166" t="e">
        <f>IF(#REF!,"AAAAADo3v5o=",0)</f>
        <v>#REF!</v>
      </c>
      <c r="EZ166" t="e">
        <f>IF(#REF!,"AAAAADo3v5s=",0)</f>
        <v>#REF!</v>
      </c>
      <c r="FA166" t="e">
        <f>IF(#REF!,"AAAAADo3v5w=",0)</f>
        <v>#REF!</v>
      </c>
      <c r="FB166" t="e">
        <f>IF(#REF!,"AAAAADo3v50=",0)</f>
        <v>#REF!</v>
      </c>
      <c r="FC166" t="e">
        <f>IF(#REF!,"AAAAADo3v54=",0)</f>
        <v>#REF!</v>
      </c>
      <c r="FD166" t="e">
        <f>IF(#REF!,"AAAAADo3v58=",0)</f>
        <v>#REF!</v>
      </c>
      <c r="FE166" t="e">
        <f>IF(#REF!,"AAAAADo3v6A=",0)</f>
        <v>#REF!</v>
      </c>
      <c r="FF166" t="e">
        <f>IF(#REF!,"AAAAADo3v6E=",0)</f>
        <v>#REF!</v>
      </c>
      <c r="FG166" t="e">
        <f>IF(#REF!,"AAAAADo3v6I=",0)</f>
        <v>#REF!</v>
      </c>
      <c r="FH166" t="e">
        <f>IF(#REF!,"AAAAADo3v6M=",0)</f>
        <v>#REF!</v>
      </c>
      <c r="FI166" t="e">
        <f>IF(#REF!,"AAAAADo3v6Q=",0)</f>
        <v>#REF!</v>
      </c>
      <c r="FJ166" t="e">
        <f>IF(#REF!,"AAAAADo3v6U=",0)</f>
        <v>#REF!</v>
      </c>
      <c r="FK166" t="e">
        <f>IF(#REF!,"AAAAADo3v6Y=",0)</f>
        <v>#REF!</v>
      </c>
      <c r="FL166" t="e">
        <f>IF(#REF!,"AAAAADo3v6c=",0)</f>
        <v>#REF!</v>
      </c>
      <c r="FM166" t="e">
        <f>IF(#REF!,"AAAAADo3v6g=",0)</f>
        <v>#REF!</v>
      </c>
      <c r="FN166" t="e">
        <f>IF(#REF!,"AAAAADo3v6k=",0)</f>
        <v>#REF!</v>
      </c>
      <c r="FO166" t="e">
        <f>IF(#REF!,"AAAAADo3v6o=",0)</f>
        <v>#REF!</v>
      </c>
      <c r="FP166" t="e">
        <f>IF(#REF!,"AAAAADo3v6s=",0)</f>
        <v>#REF!</v>
      </c>
      <c r="FQ166" t="e">
        <f>IF(#REF!,"AAAAADo3v6w=",0)</f>
        <v>#REF!</v>
      </c>
      <c r="FR166" t="e">
        <f>IF(#REF!,"AAAAADo3v60=",0)</f>
        <v>#REF!</v>
      </c>
      <c r="FS166" t="e">
        <f>IF(#REF!,"AAAAADo3v64=",0)</f>
        <v>#REF!</v>
      </c>
      <c r="FT166" t="e">
        <f>IF(#REF!,"AAAAADo3v68=",0)</f>
        <v>#REF!</v>
      </c>
      <c r="FU166" t="e">
        <f>IF(#REF!,"AAAAADo3v7A=",0)</f>
        <v>#REF!</v>
      </c>
      <c r="FV166" t="e">
        <f>IF(#REF!,"AAAAADo3v7E=",0)</f>
        <v>#REF!</v>
      </c>
      <c r="FW166" t="e">
        <f>IF(#REF!,"AAAAADo3v7I=",0)</f>
        <v>#REF!</v>
      </c>
      <c r="FX166" t="e">
        <f>IF(#REF!,"AAAAADo3v7M=",0)</f>
        <v>#REF!</v>
      </c>
      <c r="FY166" t="e">
        <f>IF(#REF!,"AAAAADo3v7Q=",0)</f>
        <v>#REF!</v>
      </c>
      <c r="FZ166" t="e">
        <f>IF(#REF!,"AAAAADo3v7U=",0)</f>
        <v>#REF!</v>
      </c>
      <c r="GA166" t="e">
        <f>IF(#REF!,"AAAAADo3v7Y=",0)</f>
        <v>#REF!</v>
      </c>
      <c r="GB166" t="e">
        <f>IF(#REF!,"AAAAADo3v7c=",0)</f>
        <v>#REF!</v>
      </c>
      <c r="GC166" t="e">
        <f>IF(#REF!,"AAAAADo3v7g=",0)</f>
        <v>#REF!</v>
      </c>
      <c r="GD166" t="e">
        <f>IF(#REF!,"AAAAADo3v7k=",0)</f>
        <v>#REF!</v>
      </c>
      <c r="GE166" t="e">
        <f>IF(#REF!,"AAAAADo3v7o=",0)</f>
        <v>#REF!</v>
      </c>
      <c r="GF166" t="e">
        <f>IF(#REF!,"AAAAADo3v7s=",0)</f>
        <v>#REF!</v>
      </c>
      <c r="GG166" t="e">
        <f>IF(#REF!,"AAAAADo3v7w=",0)</f>
        <v>#REF!</v>
      </c>
      <c r="GH166" t="e">
        <f>IF(#REF!,"AAAAADo3v70=",0)</f>
        <v>#REF!</v>
      </c>
      <c r="GI166" t="e">
        <f>IF(#REF!,"AAAAADo3v74=",0)</f>
        <v>#REF!</v>
      </c>
      <c r="GJ166" t="e">
        <f>IF(#REF!,"AAAAADo3v78=",0)</f>
        <v>#REF!</v>
      </c>
      <c r="GK166" t="e">
        <f>IF(#REF!,"AAAAADo3v8A=",0)</f>
        <v>#REF!</v>
      </c>
      <c r="GL166" t="e">
        <f>IF(#REF!,"AAAAADo3v8E=",0)</f>
        <v>#REF!</v>
      </c>
      <c r="GM166" t="e">
        <f>IF(#REF!,"AAAAADo3v8I=",0)</f>
        <v>#REF!</v>
      </c>
      <c r="GN166" t="e">
        <f>IF(#REF!,"AAAAADo3v8M=",0)</f>
        <v>#REF!</v>
      </c>
      <c r="GO166" t="e">
        <f>IF(#REF!,"AAAAADo3v8Q=",0)</f>
        <v>#REF!</v>
      </c>
      <c r="GP166" t="e">
        <f>IF(#REF!,"AAAAADo3v8U=",0)</f>
        <v>#REF!</v>
      </c>
      <c r="GQ166" t="e">
        <f>IF(#REF!,"AAAAADo3v8Y=",0)</f>
        <v>#REF!</v>
      </c>
      <c r="GR166" t="e">
        <f>IF(#REF!,"AAAAADo3v8c=",0)</f>
        <v>#REF!</v>
      </c>
      <c r="GS166" t="e">
        <f>IF(#REF!,"AAAAADo3v8g=",0)</f>
        <v>#REF!</v>
      </c>
      <c r="GT166" t="e">
        <f>IF(#REF!,"AAAAADo3v8k=",0)</f>
        <v>#REF!</v>
      </c>
      <c r="GU166" t="e">
        <f>IF(#REF!,"AAAAADo3v8o=",0)</f>
        <v>#REF!</v>
      </c>
      <c r="GV166" t="e">
        <f>IF(#REF!,"AAAAADo3v8s=",0)</f>
        <v>#REF!</v>
      </c>
      <c r="GW166" t="e">
        <f>IF(#REF!,"AAAAADo3v8w=",0)</f>
        <v>#REF!</v>
      </c>
      <c r="GX166" t="e">
        <f>IF(#REF!,"AAAAADo3v80=",0)</f>
        <v>#REF!</v>
      </c>
      <c r="GY166" t="e">
        <f>IF(#REF!,"AAAAADo3v84=",0)</f>
        <v>#REF!</v>
      </c>
      <c r="GZ166" t="e">
        <f>IF(#REF!,"AAAAADo3v88=",0)</f>
        <v>#REF!</v>
      </c>
      <c r="HA166" t="e">
        <f>IF(#REF!,"AAAAADo3v9A=",0)</f>
        <v>#REF!</v>
      </c>
      <c r="HB166" t="e">
        <f>IF(#REF!,"AAAAADo3v9E=",0)</f>
        <v>#REF!</v>
      </c>
      <c r="HC166" t="e">
        <f>IF(#REF!,"AAAAADo3v9I=",0)</f>
        <v>#REF!</v>
      </c>
      <c r="HD166" t="e">
        <f>IF(#REF!,"AAAAADo3v9M=",0)</f>
        <v>#REF!</v>
      </c>
      <c r="HE166" t="e">
        <f>IF(#REF!,"AAAAADo3v9Q=",0)</f>
        <v>#REF!</v>
      </c>
      <c r="HF166" t="e">
        <f>IF(#REF!,"AAAAADo3v9U=",0)</f>
        <v>#REF!</v>
      </c>
      <c r="HG166" t="e">
        <f>IF(#REF!,"AAAAADo3v9Y=",0)</f>
        <v>#REF!</v>
      </c>
      <c r="HH166" t="e">
        <f>IF(#REF!,"AAAAADo3v9c=",0)</f>
        <v>#REF!</v>
      </c>
      <c r="HI166" t="e">
        <f>IF(#REF!,"AAAAADo3v9g=",0)</f>
        <v>#REF!</v>
      </c>
      <c r="HJ166" t="e">
        <f>IF(#REF!,"AAAAADo3v9k=",0)</f>
        <v>#REF!</v>
      </c>
      <c r="HK166" t="e">
        <f>IF(#REF!,"AAAAADo3v9o=",0)</f>
        <v>#REF!</v>
      </c>
      <c r="HL166" t="e">
        <f>IF(#REF!,"AAAAADo3v9s=",0)</f>
        <v>#REF!</v>
      </c>
      <c r="HM166" t="e">
        <f>IF(#REF!,"AAAAADo3v9w=",0)</f>
        <v>#REF!</v>
      </c>
      <c r="HN166" t="e">
        <f>IF(#REF!,"AAAAADo3v90=",0)</f>
        <v>#REF!</v>
      </c>
      <c r="HO166" t="e">
        <f>IF(#REF!,"AAAAADo3v94=",0)</f>
        <v>#REF!</v>
      </c>
      <c r="HP166" t="e">
        <f>IF(#REF!,"AAAAADo3v98=",0)</f>
        <v>#REF!</v>
      </c>
      <c r="HQ166" t="e">
        <f>IF(#REF!,"AAAAADo3v+A=",0)</f>
        <v>#REF!</v>
      </c>
      <c r="HR166" t="e">
        <f>IF(#REF!,"AAAAADo3v+E=",0)</f>
        <v>#REF!</v>
      </c>
      <c r="HS166" t="e">
        <f>IF(#REF!,"AAAAADo3v+I=",0)</f>
        <v>#REF!</v>
      </c>
      <c r="HT166" t="e">
        <f>IF(#REF!,"AAAAADo3v+M=",0)</f>
        <v>#REF!</v>
      </c>
      <c r="HU166" t="e">
        <f>IF(#REF!,"AAAAADo3v+Q=",0)</f>
        <v>#REF!</v>
      </c>
      <c r="HV166" t="e">
        <f>IF(#REF!,"AAAAADo3v+U=",0)</f>
        <v>#REF!</v>
      </c>
      <c r="HW166" t="e">
        <f>IF(#REF!,"AAAAADo3v+Y=",0)</f>
        <v>#REF!</v>
      </c>
      <c r="HX166" t="e">
        <f>IF(#REF!,"AAAAADo3v+c=",0)</f>
        <v>#REF!</v>
      </c>
      <c r="HY166" t="e">
        <f>IF(#REF!,"AAAAADo3v+g=",0)</f>
        <v>#REF!</v>
      </c>
      <c r="HZ166" t="e">
        <f>IF(#REF!,"AAAAADo3v+k=",0)</f>
        <v>#REF!</v>
      </c>
      <c r="IA166" t="e">
        <f>IF(#REF!,"AAAAADo3v+o=",0)</f>
        <v>#REF!</v>
      </c>
      <c r="IB166" t="e">
        <f>IF(#REF!,"AAAAADo3v+s=",0)</f>
        <v>#REF!</v>
      </c>
      <c r="IC166" t="e">
        <f>IF(#REF!,"AAAAADo3v+w=",0)</f>
        <v>#REF!</v>
      </c>
      <c r="ID166" t="e">
        <f>IF(#REF!,"AAAAADo3v+0=",0)</f>
        <v>#REF!</v>
      </c>
      <c r="IE166" t="e">
        <f>IF(#REF!,"AAAAADo3v+4=",0)</f>
        <v>#REF!</v>
      </c>
      <c r="IF166" t="e">
        <f>IF(#REF!,"AAAAADo3v+8=",0)</f>
        <v>#REF!</v>
      </c>
      <c r="IG166" t="e">
        <f>IF(#REF!,"AAAAADo3v/A=",0)</f>
        <v>#REF!</v>
      </c>
      <c r="IH166" t="e">
        <f>IF(#REF!,"AAAAADo3v/E=",0)</f>
        <v>#REF!</v>
      </c>
      <c r="II166" t="e">
        <f>IF(#REF!,"AAAAADo3v/I=",0)</f>
        <v>#REF!</v>
      </c>
      <c r="IJ166" t="e">
        <f>IF(#REF!,"AAAAADo3v/M=",0)</f>
        <v>#REF!</v>
      </c>
      <c r="IK166" t="e">
        <f>IF(#REF!,"AAAAADo3v/Q=",0)</f>
        <v>#REF!</v>
      </c>
      <c r="IL166" t="e">
        <f>IF(#REF!,"AAAAADo3v/U=",0)</f>
        <v>#REF!</v>
      </c>
      <c r="IM166" t="e">
        <f>IF(#REF!,"AAAAADo3v/Y=",0)</f>
        <v>#REF!</v>
      </c>
      <c r="IN166" t="e">
        <f>IF(#REF!,"AAAAADo3v/c=",0)</f>
        <v>#REF!</v>
      </c>
      <c r="IO166" t="e">
        <f>IF(#REF!,"AAAAADo3v/g=",0)</f>
        <v>#REF!</v>
      </c>
      <c r="IP166" t="e">
        <f>IF(#REF!,"AAAAADo3v/k=",0)</f>
        <v>#REF!</v>
      </c>
      <c r="IQ166" t="e">
        <f>IF(#REF!,"AAAAADo3v/o=",0)</f>
        <v>#REF!</v>
      </c>
      <c r="IR166" t="e">
        <f>IF(#REF!,"AAAAADo3v/s=",0)</f>
        <v>#REF!</v>
      </c>
      <c r="IS166" t="e">
        <f>IF(#REF!,"AAAAADo3v/w=",0)</f>
        <v>#REF!</v>
      </c>
      <c r="IT166" t="e">
        <f>IF(#REF!,"AAAAADo3v/0=",0)</f>
        <v>#REF!</v>
      </c>
      <c r="IU166" t="e">
        <f>IF(#REF!,"AAAAADo3v/4=",0)</f>
        <v>#REF!</v>
      </c>
      <c r="IV166" t="e">
        <f>IF(#REF!,"AAAAADo3v/8=",0)</f>
        <v>#REF!</v>
      </c>
    </row>
    <row r="167" spans="1:256">
      <c r="A167" t="e">
        <f>IF(#REF!,"AAAAAH6t/wA=",0)</f>
        <v>#REF!</v>
      </c>
      <c r="B167" t="e">
        <f>IF(#REF!,"AAAAAH6t/wE=",0)</f>
        <v>#REF!</v>
      </c>
      <c r="C167" t="e">
        <f>IF(#REF!,"AAAAAH6t/wI=",0)</f>
        <v>#REF!</v>
      </c>
      <c r="D167" t="e">
        <f>IF(#REF!,"AAAAAH6t/wM=",0)</f>
        <v>#REF!</v>
      </c>
      <c r="E167" t="e">
        <f>IF(#REF!,"AAAAAH6t/wQ=",0)</f>
        <v>#REF!</v>
      </c>
      <c r="F167" t="e">
        <f>IF(#REF!,"AAAAAH6t/wU=",0)</f>
        <v>#REF!</v>
      </c>
      <c r="G167" t="e">
        <f>IF(#REF!,"AAAAAH6t/wY=",0)</f>
        <v>#REF!</v>
      </c>
      <c r="H167" t="e">
        <f>IF(#REF!,"AAAAAH6t/wc=",0)</f>
        <v>#REF!</v>
      </c>
      <c r="I167" t="e">
        <f>IF(#REF!,"AAAAAH6t/wg=",0)</f>
        <v>#REF!</v>
      </c>
      <c r="J167" t="e">
        <f>IF(#REF!,"AAAAAH6t/wk=",0)</f>
        <v>#REF!</v>
      </c>
      <c r="K167" t="e">
        <f>IF(#REF!,"AAAAAH6t/wo=",0)</f>
        <v>#REF!</v>
      </c>
      <c r="L167" t="e">
        <f>IF(#REF!,"AAAAAH6t/ws=",0)</f>
        <v>#REF!</v>
      </c>
      <c r="M167" t="e">
        <f>IF(#REF!,"AAAAAH6t/ww=",0)</f>
        <v>#REF!</v>
      </c>
      <c r="N167" t="e">
        <f>IF(#REF!,"AAAAAH6t/w0=",0)</f>
        <v>#REF!</v>
      </c>
      <c r="O167" t="e">
        <f>IF(#REF!,"AAAAAH6t/w4=",0)</f>
        <v>#REF!</v>
      </c>
      <c r="P167" t="e">
        <f>IF(#REF!,"AAAAAH6t/w8=",0)</f>
        <v>#REF!</v>
      </c>
      <c r="Q167" t="e">
        <f>IF(#REF!,"AAAAAH6t/xA=",0)</f>
        <v>#REF!</v>
      </c>
      <c r="R167" t="e">
        <f>IF(#REF!,"AAAAAH6t/xE=",0)</f>
        <v>#REF!</v>
      </c>
      <c r="S167" t="e">
        <f>IF(#REF!,"AAAAAH6t/xI=",0)</f>
        <v>#REF!</v>
      </c>
      <c r="T167" t="e">
        <f>IF(#REF!,"AAAAAH6t/xM=",0)</f>
        <v>#REF!</v>
      </c>
      <c r="U167" t="e">
        <f>IF(#REF!,"AAAAAH6t/xQ=",0)</f>
        <v>#REF!</v>
      </c>
      <c r="V167" t="e">
        <f>IF(#REF!,"AAAAAH6t/xU=",0)</f>
        <v>#REF!</v>
      </c>
      <c r="W167" t="e">
        <f>IF(#REF!,"AAAAAH6t/xY=",0)</f>
        <v>#REF!</v>
      </c>
      <c r="X167" t="e">
        <f>IF(#REF!,"AAAAAH6t/xc=",0)</f>
        <v>#REF!</v>
      </c>
      <c r="Y167" t="e">
        <f>IF(#REF!,"AAAAAH6t/xg=",0)</f>
        <v>#REF!</v>
      </c>
      <c r="Z167" t="e">
        <f>IF(#REF!,"AAAAAH6t/xk=",0)</f>
        <v>#REF!</v>
      </c>
      <c r="AA167" t="e">
        <f>IF(#REF!,"AAAAAH6t/xo=",0)</f>
        <v>#REF!</v>
      </c>
      <c r="AB167" t="e">
        <f>IF(#REF!,"AAAAAH6t/xs=",0)</f>
        <v>#REF!</v>
      </c>
      <c r="AC167" t="e">
        <f>IF(#REF!,"AAAAAH6t/xw=",0)</f>
        <v>#REF!</v>
      </c>
      <c r="AD167" t="e">
        <f>IF(#REF!,"AAAAAH6t/x0=",0)</f>
        <v>#REF!</v>
      </c>
      <c r="AE167" t="e">
        <f>IF(#REF!,"AAAAAH6t/x4=",0)</f>
        <v>#REF!</v>
      </c>
      <c r="AF167" t="e">
        <f>IF(#REF!,"AAAAAH6t/x8=",0)</f>
        <v>#REF!</v>
      </c>
      <c r="AG167" t="e">
        <f>IF(#REF!,"AAAAAH6t/yA=",0)</f>
        <v>#REF!</v>
      </c>
      <c r="AH167" t="e">
        <f>IF(#REF!,"AAAAAH6t/yE=",0)</f>
        <v>#REF!</v>
      </c>
      <c r="AI167" t="e">
        <f>IF(#REF!,"AAAAAH6t/yI=",0)</f>
        <v>#REF!</v>
      </c>
      <c r="AJ167" t="e">
        <f>IF(#REF!,"AAAAAH6t/yM=",0)</f>
        <v>#REF!</v>
      </c>
      <c r="AK167" t="e">
        <f>IF(#REF!,"AAAAAH6t/yQ=",0)</f>
        <v>#REF!</v>
      </c>
      <c r="AL167" t="e">
        <f>IF(#REF!,"AAAAAH6t/yU=",0)</f>
        <v>#REF!</v>
      </c>
      <c r="AM167" t="e">
        <f>IF(#REF!,"AAAAAH6t/yY=",0)</f>
        <v>#REF!</v>
      </c>
      <c r="AN167" t="e">
        <f>IF(#REF!,"AAAAAH6t/yc=",0)</f>
        <v>#REF!</v>
      </c>
      <c r="AO167" t="e">
        <f>IF(#REF!,"AAAAAH6t/yg=",0)</f>
        <v>#REF!</v>
      </c>
      <c r="AP167" t="e">
        <f>IF(#REF!,"AAAAAH6t/yk=",0)</f>
        <v>#REF!</v>
      </c>
      <c r="AQ167" t="e">
        <f>IF(#REF!,"AAAAAH6t/yo=",0)</f>
        <v>#REF!</v>
      </c>
      <c r="AR167" t="e">
        <f>IF(#REF!,"AAAAAH6t/ys=",0)</f>
        <v>#REF!</v>
      </c>
      <c r="AS167" t="e">
        <f>IF(#REF!,"AAAAAH6t/yw=",0)</f>
        <v>#REF!</v>
      </c>
      <c r="AT167" t="e">
        <f>IF(#REF!,"AAAAAH6t/y0=",0)</f>
        <v>#REF!</v>
      </c>
      <c r="AU167" t="e">
        <f>IF(#REF!,"AAAAAH6t/y4=",0)</f>
        <v>#REF!</v>
      </c>
      <c r="AV167" t="e">
        <f>IF(#REF!,"AAAAAH6t/y8=",0)</f>
        <v>#REF!</v>
      </c>
      <c r="AW167" t="e">
        <f>IF(#REF!,"AAAAAH6t/zA=",0)</f>
        <v>#REF!</v>
      </c>
      <c r="AX167" t="e">
        <f>IF(#REF!,"AAAAAH6t/zE=",0)</f>
        <v>#REF!</v>
      </c>
      <c r="AY167" t="e">
        <f>IF(#REF!,"AAAAAH6t/zI=",0)</f>
        <v>#REF!</v>
      </c>
      <c r="AZ167" t="e">
        <f>IF(#REF!,"AAAAAH6t/zM=",0)</f>
        <v>#REF!</v>
      </c>
      <c r="BA167" t="e">
        <f>IF(#REF!,"AAAAAH6t/zQ=",0)</f>
        <v>#REF!</v>
      </c>
      <c r="BB167" t="e">
        <f>IF(#REF!,"AAAAAH6t/zU=",0)</f>
        <v>#REF!</v>
      </c>
      <c r="BC167" t="e">
        <f>IF(#REF!,"AAAAAH6t/zY=",0)</f>
        <v>#REF!</v>
      </c>
      <c r="BD167" t="e">
        <f>IF(#REF!,"AAAAAH6t/zc=",0)</f>
        <v>#REF!</v>
      </c>
      <c r="BE167" t="e">
        <f>IF(#REF!,"AAAAAH6t/zg=",0)</f>
        <v>#REF!</v>
      </c>
      <c r="BF167" t="e">
        <f>IF(#REF!,"AAAAAH6t/zk=",0)</f>
        <v>#REF!</v>
      </c>
      <c r="BG167" t="e">
        <f>IF(#REF!,"AAAAAH6t/zo=",0)</f>
        <v>#REF!</v>
      </c>
      <c r="BH167" t="e">
        <f>IF(#REF!,"AAAAAH6t/zs=",0)</f>
        <v>#REF!</v>
      </c>
      <c r="BI167" t="e">
        <f>IF(#REF!,"AAAAAH6t/zw=",0)</f>
        <v>#REF!</v>
      </c>
      <c r="BJ167" t="e">
        <f>IF(#REF!,"AAAAAH6t/z0=",0)</f>
        <v>#REF!</v>
      </c>
      <c r="BK167" t="e">
        <f>IF(#REF!,"AAAAAH6t/z4=",0)</f>
        <v>#REF!</v>
      </c>
      <c r="BL167" t="e">
        <f>IF(#REF!,"AAAAAH6t/z8=",0)</f>
        <v>#REF!</v>
      </c>
      <c r="BM167" t="e">
        <f>IF(#REF!,"AAAAAH6t/0A=",0)</f>
        <v>#REF!</v>
      </c>
      <c r="BN167" t="e">
        <f>IF(#REF!,"AAAAAH6t/0E=",0)</f>
        <v>#REF!</v>
      </c>
      <c r="BO167" t="e">
        <f>IF(#REF!,"AAAAAH6t/0I=",0)</f>
        <v>#REF!</v>
      </c>
      <c r="BP167" t="e">
        <f>IF(#REF!,"AAAAAH6t/0M=",0)</f>
        <v>#REF!</v>
      </c>
      <c r="BQ167" t="e">
        <f>IF(#REF!,"AAAAAH6t/0Q=",0)</f>
        <v>#REF!</v>
      </c>
      <c r="BR167" t="e">
        <f>IF(#REF!,"AAAAAH6t/0U=",0)</f>
        <v>#REF!</v>
      </c>
      <c r="BS167" t="e">
        <f>IF(#REF!,"AAAAAH6t/0Y=",0)</f>
        <v>#REF!</v>
      </c>
      <c r="BT167" t="e">
        <f>IF(#REF!,"AAAAAH6t/0c=",0)</f>
        <v>#REF!</v>
      </c>
      <c r="BU167" t="e">
        <f>IF(#REF!,"AAAAAH6t/0g=",0)</f>
        <v>#REF!</v>
      </c>
      <c r="BV167" t="e">
        <f>IF(#REF!,"AAAAAH6t/0k=",0)</f>
        <v>#REF!</v>
      </c>
      <c r="BW167" t="e">
        <f>IF(#REF!,"AAAAAH6t/0o=",0)</f>
        <v>#REF!</v>
      </c>
      <c r="BX167" t="e">
        <f>IF(#REF!,"AAAAAH6t/0s=",0)</f>
        <v>#REF!</v>
      </c>
      <c r="BY167" t="e">
        <f>IF(#REF!,"AAAAAH6t/0w=",0)</f>
        <v>#REF!</v>
      </c>
      <c r="BZ167" t="e">
        <f>IF(#REF!,"AAAAAH6t/00=",0)</f>
        <v>#REF!</v>
      </c>
      <c r="CA167" t="e">
        <f>IF(#REF!,"AAAAAH6t/04=",0)</f>
        <v>#REF!</v>
      </c>
      <c r="CB167" t="e">
        <f>IF(#REF!,"AAAAAH6t/08=",0)</f>
        <v>#REF!</v>
      </c>
      <c r="CC167" t="e">
        <f>IF(#REF!,"AAAAAH6t/1A=",0)</f>
        <v>#REF!</v>
      </c>
      <c r="CD167" t="e">
        <f>IF(#REF!,"AAAAAH6t/1E=",0)</f>
        <v>#REF!</v>
      </c>
      <c r="CE167" t="e">
        <f>IF(#REF!,"AAAAAH6t/1I=",0)</f>
        <v>#REF!</v>
      </c>
      <c r="CF167" t="e">
        <f>IF(#REF!,"AAAAAH6t/1M=",0)</f>
        <v>#REF!</v>
      </c>
      <c r="CG167" t="e">
        <f>IF(#REF!,"AAAAAH6t/1Q=",0)</f>
        <v>#REF!</v>
      </c>
      <c r="CH167" t="e">
        <f>IF(#REF!,"AAAAAH6t/1U=",0)</f>
        <v>#REF!</v>
      </c>
      <c r="CI167" t="e">
        <f>IF(#REF!,"AAAAAH6t/1Y=",0)</f>
        <v>#REF!</v>
      </c>
      <c r="CJ167" t="e">
        <f>IF(#REF!,"AAAAAH6t/1c=",0)</f>
        <v>#REF!</v>
      </c>
      <c r="CK167" t="e">
        <f>IF(#REF!,"AAAAAH6t/1g=",0)</f>
        <v>#REF!</v>
      </c>
      <c r="CL167" t="e">
        <f>IF(#REF!,"AAAAAH6t/1k=",0)</f>
        <v>#REF!</v>
      </c>
      <c r="CM167" t="e">
        <f>IF(#REF!,"AAAAAH6t/1o=",0)</f>
        <v>#REF!</v>
      </c>
      <c r="CN167" t="e">
        <f>IF(#REF!,"AAAAAH6t/1s=",0)</f>
        <v>#REF!</v>
      </c>
      <c r="CO167" t="e">
        <f>IF(#REF!,"AAAAAH6t/1w=",0)</f>
        <v>#REF!</v>
      </c>
      <c r="CP167" t="e">
        <f>IF(#REF!,"AAAAAH6t/10=",0)</f>
        <v>#REF!</v>
      </c>
      <c r="CQ167" t="e">
        <f>IF(#REF!,"AAAAAH6t/14=",0)</f>
        <v>#REF!</v>
      </c>
      <c r="CR167" t="e">
        <f>IF(#REF!,"AAAAAH6t/18=",0)</f>
        <v>#REF!</v>
      </c>
      <c r="CS167" t="e">
        <f>IF(#REF!,"AAAAAH6t/2A=",0)</f>
        <v>#REF!</v>
      </c>
      <c r="CT167" t="e">
        <f>IF(#REF!,"AAAAAH6t/2E=",0)</f>
        <v>#REF!</v>
      </c>
      <c r="CU167" t="e">
        <f>IF(#REF!,"AAAAAH6t/2I=",0)</f>
        <v>#REF!</v>
      </c>
      <c r="CV167" t="e">
        <f>IF(#REF!,"AAAAAH6t/2M=",0)</f>
        <v>#REF!</v>
      </c>
      <c r="CW167" t="e">
        <f>IF(#REF!,"AAAAAH6t/2Q=",0)</f>
        <v>#REF!</v>
      </c>
      <c r="CX167" t="e">
        <f>IF(#REF!,"AAAAAH6t/2U=",0)</f>
        <v>#REF!</v>
      </c>
      <c r="CY167" t="e">
        <f>IF(#REF!,"AAAAAH6t/2Y=",0)</f>
        <v>#REF!</v>
      </c>
      <c r="CZ167" t="e">
        <f>IF(#REF!,"AAAAAH6t/2c=",0)</f>
        <v>#REF!</v>
      </c>
      <c r="DA167" t="e">
        <f>IF(#REF!,"AAAAAH6t/2g=",0)</f>
        <v>#REF!</v>
      </c>
      <c r="DB167" t="e">
        <f>IF(#REF!,"AAAAAH6t/2k=",0)</f>
        <v>#REF!</v>
      </c>
      <c r="DC167" t="e">
        <f>IF(#REF!,"AAAAAH6t/2o=",0)</f>
        <v>#REF!</v>
      </c>
      <c r="DD167" t="e">
        <f>IF(#REF!,"AAAAAH6t/2s=",0)</f>
        <v>#REF!</v>
      </c>
      <c r="DE167" t="e">
        <f>IF(#REF!,"AAAAAH6t/2w=",0)</f>
        <v>#REF!</v>
      </c>
      <c r="DF167" t="e">
        <f>IF(#REF!,"AAAAAH6t/20=",0)</f>
        <v>#REF!</v>
      </c>
      <c r="DG167" t="e">
        <f>IF(#REF!,"AAAAAH6t/24=",0)</f>
        <v>#REF!</v>
      </c>
      <c r="DH167" t="e">
        <f>IF(#REF!,"AAAAAH6t/28=",0)</f>
        <v>#REF!</v>
      </c>
      <c r="DI167" t="e">
        <f>IF(#REF!,"AAAAAH6t/3A=",0)</f>
        <v>#REF!</v>
      </c>
      <c r="DJ167" t="e">
        <f>IF(#REF!,"AAAAAH6t/3E=",0)</f>
        <v>#REF!</v>
      </c>
      <c r="DK167" t="e">
        <f>IF(#REF!,"AAAAAH6t/3I=",0)</f>
        <v>#REF!</v>
      </c>
      <c r="DL167" t="e">
        <f>IF(#REF!,"AAAAAH6t/3M=",0)</f>
        <v>#REF!</v>
      </c>
      <c r="DM167" t="e">
        <f>IF(#REF!,"AAAAAH6t/3Q=",0)</f>
        <v>#REF!</v>
      </c>
      <c r="DN167" t="e">
        <f>IF(#REF!,"AAAAAH6t/3U=",0)</f>
        <v>#REF!</v>
      </c>
      <c r="DO167" t="e">
        <f>IF(#REF!,"AAAAAH6t/3Y=",0)</f>
        <v>#REF!</v>
      </c>
      <c r="DP167" t="e">
        <f>IF(#REF!,"AAAAAH6t/3c=",0)</f>
        <v>#REF!</v>
      </c>
      <c r="DQ167" t="e">
        <f>IF(#REF!,"AAAAAH6t/3g=",0)</f>
        <v>#REF!</v>
      </c>
      <c r="DR167" t="e">
        <f>IF(#REF!,"AAAAAH6t/3k=",0)</f>
        <v>#REF!</v>
      </c>
      <c r="DS167" t="e">
        <f>IF(#REF!,"AAAAAH6t/3o=",0)</f>
        <v>#REF!</v>
      </c>
      <c r="DT167" t="e">
        <f>IF(#REF!,"AAAAAH6t/3s=",0)</f>
        <v>#REF!</v>
      </c>
      <c r="DU167" t="e">
        <f>IF(#REF!,"AAAAAH6t/3w=",0)</f>
        <v>#REF!</v>
      </c>
      <c r="DV167" t="e">
        <f>IF(#REF!,"AAAAAH6t/30=",0)</f>
        <v>#REF!</v>
      </c>
      <c r="DW167" t="e">
        <f>IF(#REF!,"AAAAAH6t/34=",0)</f>
        <v>#REF!</v>
      </c>
      <c r="DX167" t="e">
        <f>IF(#REF!,"AAAAAH6t/38=",0)</f>
        <v>#REF!</v>
      </c>
      <c r="DY167" t="e">
        <f>IF(#REF!,"AAAAAH6t/4A=",0)</f>
        <v>#REF!</v>
      </c>
      <c r="DZ167" t="e">
        <f>IF(#REF!,"AAAAAH6t/4E=",0)</f>
        <v>#REF!</v>
      </c>
      <c r="EA167" t="e">
        <f>IF(#REF!,"AAAAAH6t/4I=",0)</f>
        <v>#REF!</v>
      </c>
      <c r="EB167" t="e">
        <f>IF(#REF!,"AAAAAH6t/4M=",0)</f>
        <v>#REF!</v>
      </c>
      <c r="EC167" t="e">
        <f>IF(#REF!,"AAAAAH6t/4Q=",0)</f>
        <v>#REF!</v>
      </c>
      <c r="ED167" t="e">
        <f>IF(#REF!,"AAAAAH6t/4U=",0)</f>
        <v>#REF!</v>
      </c>
      <c r="EE167" t="e">
        <f>IF(#REF!,"AAAAAH6t/4Y=",0)</f>
        <v>#REF!</v>
      </c>
      <c r="EF167" t="e">
        <f>IF(#REF!,"AAAAAH6t/4c=",0)</f>
        <v>#REF!</v>
      </c>
      <c r="EG167" t="e">
        <f>IF(#REF!,"AAAAAH6t/4g=",0)</f>
        <v>#REF!</v>
      </c>
      <c r="EH167" t="e">
        <f>IF(#REF!,"AAAAAH6t/4k=",0)</f>
        <v>#REF!</v>
      </c>
      <c r="EI167" t="e">
        <f>IF(#REF!,"AAAAAH6t/4o=",0)</f>
        <v>#REF!</v>
      </c>
      <c r="EJ167" t="e">
        <f>IF(#REF!,"AAAAAH6t/4s=",0)</f>
        <v>#REF!</v>
      </c>
      <c r="EK167" t="e">
        <f>IF(#REF!,"AAAAAH6t/4w=",0)</f>
        <v>#REF!</v>
      </c>
      <c r="EL167" t="e">
        <f>IF(#REF!,"AAAAAH6t/40=",0)</f>
        <v>#REF!</v>
      </c>
      <c r="EM167" t="e">
        <f>IF(#REF!,"AAAAAH6t/44=",0)</f>
        <v>#REF!</v>
      </c>
      <c r="EN167" t="e">
        <f>IF(#REF!,"AAAAAH6t/48=",0)</f>
        <v>#REF!</v>
      </c>
      <c r="EO167" t="e">
        <f>IF(#REF!,"AAAAAH6t/5A=",0)</f>
        <v>#REF!</v>
      </c>
      <c r="EP167" t="e">
        <f>IF(#REF!,"AAAAAH6t/5E=",0)</f>
        <v>#REF!</v>
      </c>
      <c r="EQ167" t="e">
        <f>IF(#REF!,"AAAAAH6t/5I=",0)</f>
        <v>#REF!</v>
      </c>
      <c r="ER167" t="e">
        <f>IF(#REF!,"AAAAAH6t/5M=",0)</f>
        <v>#REF!</v>
      </c>
      <c r="ES167" t="e">
        <f>IF(#REF!,"AAAAAH6t/5Q=",0)</f>
        <v>#REF!</v>
      </c>
      <c r="ET167" t="e">
        <f>IF(#REF!,"AAAAAH6t/5U=",0)</f>
        <v>#REF!</v>
      </c>
      <c r="EU167" t="e">
        <f>IF(#REF!,"AAAAAH6t/5Y=",0)</f>
        <v>#REF!</v>
      </c>
      <c r="EV167" t="e">
        <f>IF(#REF!,"AAAAAH6t/5c=",0)</f>
        <v>#REF!</v>
      </c>
      <c r="EW167" t="e">
        <f>IF(#REF!,"AAAAAH6t/5g=",0)</f>
        <v>#REF!</v>
      </c>
      <c r="EX167" t="e">
        <f>IF(#REF!,"AAAAAH6t/5k=",0)</f>
        <v>#REF!</v>
      </c>
      <c r="EY167" t="e">
        <f>IF(#REF!,"AAAAAH6t/5o=",0)</f>
        <v>#REF!</v>
      </c>
      <c r="EZ167" t="e">
        <f>IF(#REF!,"AAAAAH6t/5s=",0)</f>
        <v>#REF!</v>
      </c>
      <c r="FA167" t="e">
        <f>IF(#REF!,"AAAAAH6t/5w=",0)</f>
        <v>#REF!</v>
      </c>
      <c r="FB167" t="e">
        <f>IF(#REF!,"AAAAAH6t/50=",0)</f>
        <v>#REF!</v>
      </c>
      <c r="FC167" t="e">
        <f>IF(#REF!,"AAAAAH6t/54=",0)</f>
        <v>#REF!</v>
      </c>
      <c r="FD167" t="e">
        <f>IF(#REF!,"AAAAAH6t/58=",0)</f>
        <v>#REF!</v>
      </c>
      <c r="FE167" t="e">
        <f>IF(#REF!,"AAAAAH6t/6A=",0)</f>
        <v>#REF!</v>
      </c>
      <c r="FF167" t="e">
        <f>IF(#REF!,"AAAAAH6t/6E=",0)</f>
        <v>#REF!</v>
      </c>
      <c r="FG167" t="e">
        <f>IF(#REF!,"AAAAAH6t/6I=",0)</f>
        <v>#REF!</v>
      </c>
      <c r="FH167" t="e">
        <f>IF(#REF!,"AAAAAH6t/6M=",0)</f>
        <v>#REF!</v>
      </c>
      <c r="FI167" t="e">
        <f>IF(#REF!,"AAAAAH6t/6Q=",0)</f>
        <v>#REF!</v>
      </c>
      <c r="FJ167" t="e">
        <f>IF(#REF!,"AAAAAH6t/6U=",0)</f>
        <v>#REF!</v>
      </c>
      <c r="FK167" t="e">
        <f>IF(#REF!,"AAAAAH6t/6Y=",0)</f>
        <v>#REF!</v>
      </c>
      <c r="FL167" t="e">
        <f>IF(#REF!,"AAAAAH6t/6c=",0)</f>
        <v>#REF!</v>
      </c>
      <c r="FM167" t="e">
        <f>IF(#REF!,"AAAAAH6t/6g=",0)</f>
        <v>#REF!</v>
      </c>
      <c r="FN167" t="e">
        <f>IF(#REF!,"AAAAAH6t/6k=",0)</f>
        <v>#REF!</v>
      </c>
      <c r="FO167" t="e">
        <f>IF(#REF!,"AAAAAH6t/6o=",0)</f>
        <v>#REF!</v>
      </c>
      <c r="FP167" t="e">
        <f>IF(#REF!,"AAAAAH6t/6s=",0)</f>
        <v>#REF!</v>
      </c>
      <c r="FQ167" t="e">
        <f>IF(#REF!,"AAAAAH6t/6w=",0)</f>
        <v>#REF!</v>
      </c>
      <c r="FR167" t="e">
        <f>IF(#REF!,"AAAAAH6t/60=",0)</f>
        <v>#REF!</v>
      </c>
      <c r="FS167" t="e">
        <f>IF(#REF!,"AAAAAH6t/64=",0)</f>
        <v>#REF!</v>
      </c>
      <c r="FT167" t="e">
        <f>IF(#REF!,"AAAAAH6t/68=",0)</f>
        <v>#REF!</v>
      </c>
      <c r="FU167" t="e">
        <f>IF(#REF!,"AAAAAH6t/7A=",0)</f>
        <v>#REF!</v>
      </c>
      <c r="FV167" t="e">
        <f>IF(#REF!,"AAAAAH6t/7E=",0)</f>
        <v>#REF!</v>
      </c>
      <c r="FW167" t="e">
        <f>IF(#REF!,"AAAAAH6t/7I=",0)</f>
        <v>#REF!</v>
      </c>
      <c r="FX167" t="e">
        <f>IF(#REF!,"AAAAAH6t/7M=",0)</f>
        <v>#REF!</v>
      </c>
      <c r="FY167" t="e">
        <f>IF(#REF!,"AAAAAH6t/7Q=",0)</f>
        <v>#REF!</v>
      </c>
      <c r="FZ167" t="e">
        <f>IF(#REF!,"AAAAAH6t/7U=",0)</f>
        <v>#REF!</v>
      </c>
      <c r="GA167" t="e">
        <f>IF(#REF!,"AAAAAH6t/7Y=",0)</f>
        <v>#REF!</v>
      </c>
      <c r="GB167" t="e">
        <f>IF(#REF!,"AAAAAH6t/7c=",0)</f>
        <v>#REF!</v>
      </c>
      <c r="GC167" t="e">
        <f>IF(#REF!,"AAAAAH6t/7g=",0)</f>
        <v>#REF!</v>
      </c>
      <c r="GD167" t="e">
        <f>IF(#REF!,"AAAAAH6t/7k=",0)</f>
        <v>#REF!</v>
      </c>
      <c r="GE167" t="e">
        <f>IF(#REF!,"AAAAAH6t/7o=",0)</f>
        <v>#REF!</v>
      </c>
      <c r="GF167" t="e">
        <f>IF(#REF!,"AAAAAH6t/7s=",0)</f>
        <v>#REF!</v>
      </c>
      <c r="GG167" t="e">
        <f>IF(#REF!,"AAAAAH6t/7w=",0)</f>
        <v>#REF!</v>
      </c>
      <c r="GH167" t="e">
        <f>IF(#REF!,"AAAAAH6t/70=",0)</f>
        <v>#REF!</v>
      </c>
      <c r="GI167" t="e">
        <f>IF(#REF!,"AAAAAH6t/74=",0)</f>
        <v>#REF!</v>
      </c>
      <c r="GJ167" t="e">
        <f>IF(#REF!,"AAAAAH6t/78=",0)</f>
        <v>#REF!</v>
      </c>
      <c r="GK167" t="e">
        <f>IF(#REF!,"AAAAAH6t/8A=",0)</f>
        <v>#REF!</v>
      </c>
      <c r="GL167" t="e">
        <f>IF(#REF!,"AAAAAH6t/8E=",0)</f>
        <v>#REF!</v>
      </c>
      <c r="GM167" t="e">
        <f>IF(#REF!,"AAAAAH6t/8I=",0)</f>
        <v>#REF!</v>
      </c>
      <c r="GN167" t="e">
        <f>IF(#REF!,"AAAAAH6t/8M=",0)</f>
        <v>#REF!</v>
      </c>
      <c r="GO167" t="e">
        <f>IF(#REF!,"AAAAAH6t/8Q=",0)</f>
        <v>#REF!</v>
      </c>
      <c r="GP167" t="e">
        <f>IF(#REF!,"AAAAAH6t/8U=",0)</f>
        <v>#REF!</v>
      </c>
      <c r="GQ167" t="e">
        <f>IF(#REF!,"AAAAAH6t/8Y=",0)</f>
        <v>#REF!</v>
      </c>
      <c r="GR167" t="e">
        <f>IF(#REF!,"AAAAAH6t/8c=",0)</f>
        <v>#REF!</v>
      </c>
      <c r="GS167" t="e">
        <f>IF(#REF!,"AAAAAH6t/8g=",0)</f>
        <v>#REF!</v>
      </c>
      <c r="GT167" t="e">
        <f>IF(#REF!,"AAAAAH6t/8k=",0)</f>
        <v>#REF!</v>
      </c>
      <c r="GU167" t="e">
        <f>IF(#REF!,"AAAAAH6t/8o=",0)</f>
        <v>#REF!</v>
      </c>
      <c r="GV167" t="e">
        <f>IF(#REF!,"AAAAAH6t/8s=",0)</f>
        <v>#REF!</v>
      </c>
      <c r="GW167" t="e">
        <f>IF(#REF!,"AAAAAH6t/8w=",0)</f>
        <v>#REF!</v>
      </c>
      <c r="GX167" t="e">
        <f>IF(#REF!,"AAAAAH6t/80=",0)</f>
        <v>#REF!</v>
      </c>
      <c r="GY167" t="e">
        <f>IF(#REF!,"AAAAAH6t/84=",0)</f>
        <v>#REF!</v>
      </c>
      <c r="GZ167" t="e">
        <f>IF(#REF!,"AAAAAH6t/88=",0)</f>
        <v>#REF!</v>
      </c>
      <c r="HA167" t="e">
        <f>IF(#REF!,"AAAAAH6t/9A=",0)</f>
        <v>#REF!</v>
      </c>
      <c r="HB167" t="e">
        <f>IF(#REF!,"AAAAAH6t/9E=",0)</f>
        <v>#REF!</v>
      </c>
      <c r="HC167" t="e">
        <f>IF(#REF!,"AAAAAH6t/9I=",0)</f>
        <v>#REF!</v>
      </c>
      <c r="HD167" t="e">
        <f>IF(#REF!,"AAAAAH6t/9M=",0)</f>
        <v>#REF!</v>
      </c>
      <c r="HE167" t="e">
        <f>IF(#REF!,"AAAAAH6t/9Q=",0)</f>
        <v>#REF!</v>
      </c>
      <c r="HF167" t="e">
        <f>IF(#REF!,"AAAAAH6t/9U=",0)</f>
        <v>#REF!</v>
      </c>
      <c r="HG167" t="e">
        <f>IF(#REF!,"AAAAAH6t/9Y=",0)</f>
        <v>#REF!</v>
      </c>
      <c r="HH167" t="e">
        <f>IF(#REF!,"AAAAAH6t/9c=",0)</f>
        <v>#REF!</v>
      </c>
      <c r="HI167" t="e">
        <f>IF(#REF!,"AAAAAH6t/9g=",0)</f>
        <v>#REF!</v>
      </c>
      <c r="HJ167" t="e">
        <f>IF(#REF!,"AAAAAH6t/9k=",0)</f>
        <v>#REF!</v>
      </c>
      <c r="HK167" t="e">
        <f>IF(#REF!,"AAAAAH6t/9o=",0)</f>
        <v>#REF!</v>
      </c>
      <c r="HL167" t="e">
        <f>IF(#REF!,"AAAAAH6t/9s=",0)</f>
        <v>#REF!</v>
      </c>
      <c r="HM167" t="e">
        <f>IF(#REF!,"AAAAAH6t/9w=",0)</f>
        <v>#REF!</v>
      </c>
      <c r="HN167" t="e">
        <f>IF(#REF!,"AAAAAH6t/90=",0)</f>
        <v>#REF!</v>
      </c>
      <c r="HO167" t="e">
        <f>IF(#REF!,"AAAAAH6t/94=",0)</f>
        <v>#REF!</v>
      </c>
      <c r="HP167" t="e">
        <f>IF(#REF!,"AAAAAH6t/98=",0)</f>
        <v>#REF!</v>
      </c>
      <c r="HQ167" t="e">
        <f>IF(#REF!,"AAAAAH6t/+A=",0)</f>
        <v>#REF!</v>
      </c>
      <c r="HR167" t="e">
        <f>IF(#REF!,"AAAAAH6t/+E=",0)</f>
        <v>#REF!</v>
      </c>
      <c r="HS167" t="e">
        <f>IF(#REF!,"AAAAAH6t/+I=",0)</f>
        <v>#REF!</v>
      </c>
      <c r="HT167" t="e">
        <f>IF(#REF!,"AAAAAH6t/+M=",0)</f>
        <v>#REF!</v>
      </c>
      <c r="HU167" t="e">
        <f>IF(#REF!,"AAAAAH6t/+Q=",0)</f>
        <v>#REF!</v>
      </c>
      <c r="HV167" t="e">
        <f>IF(#REF!,"AAAAAH6t/+U=",0)</f>
        <v>#REF!</v>
      </c>
      <c r="HW167" t="e">
        <f>IF(#REF!,"AAAAAH6t/+Y=",0)</f>
        <v>#REF!</v>
      </c>
      <c r="HX167" t="e">
        <f>IF(#REF!,"AAAAAH6t/+c=",0)</f>
        <v>#REF!</v>
      </c>
      <c r="HY167" t="e">
        <f>IF(#REF!,"AAAAAH6t/+g=",0)</f>
        <v>#REF!</v>
      </c>
      <c r="HZ167" t="e">
        <f>IF(#REF!,"AAAAAH6t/+k=",0)</f>
        <v>#REF!</v>
      </c>
      <c r="IA167" t="e">
        <f>IF(#REF!,"AAAAAH6t/+o=",0)</f>
        <v>#REF!</v>
      </c>
      <c r="IB167" t="e">
        <f>IF(#REF!,"AAAAAH6t/+s=",0)</f>
        <v>#REF!</v>
      </c>
      <c r="IC167" t="e">
        <f>IF(#REF!,"AAAAAH6t/+w=",0)</f>
        <v>#REF!</v>
      </c>
      <c r="ID167" t="e">
        <f>IF(#REF!,"AAAAAH6t/+0=",0)</f>
        <v>#REF!</v>
      </c>
      <c r="IE167" t="e">
        <f>IF(#REF!,"AAAAAH6t/+4=",0)</f>
        <v>#REF!</v>
      </c>
      <c r="IF167" t="e">
        <f>IF(#REF!,"AAAAAH6t/+8=",0)</f>
        <v>#REF!</v>
      </c>
      <c r="IG167" t="e">
        <f>IF(#REF!,"AAAAAH6t//A=",0)</f>
        <v>#REF!</v>
      </c>
      <c r="IH167" t="e">
        <f>IF(#REF!,"AAAAAH6t//E=",0)</f>
        <v>#REF!</v>
      </c>
      <c r="II167" t="e">
        <f>IF(#REF!,"AAAAAH6t//I=",0)</f>
        <v>#REF!</v>
      </c>
      <c r="IJ167" t="e">
        <f>IF(#REF!,"AAAAAH6t//M=",0)</f>
        <v>#REF!</v>
      </c>
      <c r="IK167" t="e">
        <f>IF(#REF!,"AAAAAH6t//Q=",0)</f>
        <v>#REF!</v>
      </c>
      <c r="IL167" t="e">
        <f>IF(#REF!,"AAAAAH6t//U=",0)</f>
        <v>#REF!</v>
      </c>
      <c r="IM167" t="e">
        <f>IF(#REF!,"AAAAAH6t//Y=",0)</f>
        <v>#REF!</v>
      </c>
      <c r="IN167" t="e">
        <f>IF(#REF!,"AAAAAH6t//c=",0)</f>
        <v>#REF!</v>
      </c>
      <c r="IO167" t="e">
        <f>IF(#REF!,"AAAAAH6t//g=",0)</f>
        <v>#REF!</v>
      </c>
      <c r="IP167" t="e">
        <f>IF(#REF!,"AAAAAH6t//k=",0)</f>
        <v>#REF!</v>
      </c>
      <c r="IQ167" t="e">
        <f>IF(#REF!,"AAAAAH6t//o=",0)</f>
        <v>#REF!</v>
      </c>
      <c r="IR167" t="e">
        <f>IF(#REF!,"AAAAAH6t//s=",0)</f>
        <v>#REF!</v>
      </c>
      <c r="IS167" t="e">
        <f>IF(#REF!,"AAAAAH6t//w=",0)</f>
        <v>#REF!</v>
      </c>
      <c r="IT167" t="e">
        <f>IF(#REF!,"AAAAAH6t//0=",0)</f>
        <v>#REF!</v>
      </c>
      <c r="IU167" t="e">
        <f>IF(#REF!,"AAAAAH6t//4=",0)</f>
        <v>#REF!</v>
      </c>
      <c r="IV167" t="e">
        <f>IF(#REF!,"AAAAAH6t//8=",0)</f>
        <v>#REF!</v>
      </c>
    </row>
    <row r="168" spans="1:256">
      <c r="A168" t="e">
        <f>IF(#REF!,"AAAAAHtT2wA=",0)</f>
        <v>#REF!</v>
      </c>
      <c r="B168" t="e">
        <f>IF(#REF!,"AAAAAHtT2wE=",0)</f>
        <v>#REF!</v>
      </c>
      <c r="C168" t="e">
        <f>IF(#REF!,"AAAAAHtT2wI=",0)</f>
        <v>#REF!</v>
      </c>
      <c r="D168" t="e">
        <f>IF(#REF!,"AAAAAHtT2wM=",0)</f>
        <v>#REF!</v>
      </c>
      <c r="E168" t="e">
        <f>IF(#REF!,"AAAAAHtT2wQ=",0)</f>
        <v>#REF!</v>
      </c>
      <c r="F168" t="e">
        <f>IF(#REF!,"AAAAAHtT2wU=",0)</f>
        <v>#REF!</v>
      </c>
      <c r="G168" t="e">
        <f>IF(#REF!,"AAAAAHtT2wY=",0)</f>
        <v>#REF!</v>
      </c>
      <c r="H168" t="e">
        <f>IF(#REF!,"AAAAAHtT2wc=",0)</f>
        <v>#REF!</v>
      </c>
      <c r="I168" t="e">
        <f>IF(#REF!,"AAAAAHtT2wg=",0)</f>
        <v>#REF!</v>
      </c>
      <c r="J168" t="e">
        <f>IF(#REF!,"AAAAAHtT2wk=",0)</f>
        <v>#REF!</v>
      </c>
      <c r="K168" t="e">
        <f>IF(#REF!,"AAAAAHtT2wo=",0)</f>
        <v>#REF!</v>
      </c>
      <c r="L168" t="e">
        <f>IF(#REF!,"AAAAAHtT2ws=",0)</f>
        <v>#REF!</v>
      </c>
      <c r="M168" t="e">
        <f>IF(#REF!,"AAAAAHtT2ww=",0)</f>
        <v>#REF!</v>
      </c>
      <c r="N168" t="e">
        <f>IF(#REF!,"AAAAAHtT2w0=",0)</f>
        <v>#REF!</v>
      </c>
      <c r="O168" t="e">
        <f>IF(#REF!,"AAAAAHtT2w4=",0)</f>
        <v>#REF!</v>
      </c>
      <c r="P168" t="e">
        <f>IF(#REF!,"AAAAAHtT2w8=",0)</f>
        <v>#REF!</v>
      </c>
      <c r="Q168" t="e">
        <f>IF(#REF!,"AAAAAHtT2xA=",0)</f>
        <v>#REF!</v>
      </c>
      <c r="R168" t="e">
        <f>IF(#REF!,"AAAAAHtT2xE=",0)</f>
        <v>#REF!</v>
      </c>
      <c r="S168" t="e">
        <f>IF(#REF!,"AAAAAHtT2xI=",0)</f>
        <v>#REF!</v>
      </c>
      <c r="T168" t="e">
        <f>IF(#REF!,"AAAAAHtT2xM=",0)</f>
        <v>#REF!</v>
      </c>
      <c r="U168" t="e">
        <f>IF(#REF!,"AAAAAHtT2xQ=",0)</f>
        <v>#REF!</v>
      </c>
      <c r="V168" t="e">
        <f>IF(#REF!,"AAAAAHtT2xU=",0)</f>
        <v>#REF!</v>
      </c>
      <c r="W168" t="e">
        <f>IF(#REF!,"AAAAAHtT2xY=",0)</f>
        <v>#REF!</v>
      </c>
      <c r="X168" t="e">
        <f>IF(#REF!,"AAAAAHtT2xc=",0)</f>
        <v>#REF!</v>
      </c>
      <c r="Y168" t="e">
        <f>IF(#REF!,"AAAAAHtT2xg=",0)</f>
        <v>#REF!</v>
      </c>
      <c r="Z168" t="e">
        <f>IF(#REF!,"AAAAAHtT2xk=",0)</f>
        <v>#REF!</v>
      </c>
      <c r="AA168" t="e">
        <f>IF(#REF!,"AAAAAHtT2xo=",0)</f>
        <v>#REF!</v>
      </c>
      <c r="AB168" t="e">
        <f>IF(#REF!,"AAAAAHtT2xs=",0)</f>
        <v>#REF!</v>
      </c>
      <c r="AC168" t="e">
        <f>IF(#REF!,"AAAAAHtT2xw=",0)</f>
        <v>#REF!</v>
      </c>
      <c r="AD168" t="e">
        <f>IF(#REF!,"AAAAAHtT2x0=",0)</f>
        <v>#REF!</v>
      </c>
      <c r="AE168" t="e">
        <f>IF(#REF!,"AAAAAHtT2x4=",0)</f>
        <v>#REF!</v>
      </c>
      <c r="AF168" t="e">
        <f>IF(#REF!,"AAAAAHtT2x8=",0)</f>
        <v>#REF!</v>
      </c>
      <c r="AG168" t="e">
        <f>IF(#REF!,"AAAAAHtT2yA=",0)</f>
        <v>#REF!</v>
      </c>
      <c r="AH168" t="e">
        <f>IF(#REF!,"AAAAAHtT2yE=",0)</f>
        <v>#REF!</v>
      </c>
      <c r="AI168" t="e">
        <f>IF(#REF!,"AAAAAHtT2yI=",0)</f>
        <v>#REF!</v>
      </c>
      <c r="AJ168" t="e">
        <f>IF(#REF!,"AAAAAHtT2yM=",0)</f>
        <v>#REF!</v>
      </c>
      <c r="AK168" t="e">
        <f>IF(#REF!,"AAAAAHtT2yQ=",0)</f>
        <v>#REF!</v>
      </c>
      <c r="AL168" t="e">
        <f>IF(#REF!,"AAAAAHtT2yU=",0)</f>
        <v>#REF!</v>
      </c>
      <c r="AM168" t="e">
        <f>IF(#REF!,"AAAAAHtT2yY=",0)</f>
        <v>#REF!</v>
      </c>
      <c r="AN168" t="e">
        <f>IF(#REF!,"AAAAAHtT2yc=",0)</f>
        <v>#REF!</v>
      </c>
      <c r="AO168" t="e">
        <f>IF(#REF!,"AAAAAHtT2yg=",0)</f>
        <v>#REF!</v>
      </c>
      <c r="AP168" t="e">
        <f>IF(#REF!,"AAAAAHtT2yk=",0)</f>
        <v>#REF!</v>
      </c>
      <c r="AQ168" t="e">
        <f>IF(#REF!,"AAAAAHtT2yo=",0)</f>
        <v>#REF!</v>
      </c>
      <c r="AR168" t="e">
        <f>IF(#REF!,"AAAAAHtT2ys=",0)</f>
        <v>#REF!</v>
      </c>
      <c r="AS168" t="e">
        <f>IF(#REF!,"AAAAAHtT2yw=",0)</f>
        <v>#REF!</v>
      </c>
      <c r="AT168" t="e">
        <f>IF(#REF!,"AAAAAHtT2y0=",0)</f>
        <v>#REF!</v>
      </c>
      <c r="AU168" t="e">
        <f>IF(#REF!,"AAAAAHtT2y4=",0)</f>
        <v>#REF!</v>
      </c>
      <c r="AV168" t="e">
        <f>IF(#REF!,"AAAAAHtT2y8=",0)</f>
        <v>#REF!</v>
      </c>
      <c r="AW168" t="e">
        <f>IF(#REF!,"AAAAAHtT2zA=",0)</f>
        <v>#REF!</v>
      </c>
      <c r="AX168" t="e">
        <f>IF(#REF!,"AAAAAHtT2zE=",0)</f>
        <v>#REF!</v>
      </c>
      <c r="AY168" t="e">
        <f>IF(#REF!,"AAAAAHtT2zI=",0)</f>
        <v>#REF!</v>
      </c>
      <c r="AZ168" t="e">
        <f>IF(#REF!,"AAAAAHtT2zM=",0)</f>
        <v>#REF!</v>
      </c>
      <c r="BA168" t="e">
        <f>IF(#REF!,"AAAAAHtT2zQ=",0)</f>
        <v>#REF!</v>
      </c>
      <c r="BB168" t="e">
        <f>IF(#REF!,"AAAAAHtT2zU=",0)</f>
        <v>#REF!</v>
      </c>
      <c r="BC168" t="e">
        <f>IF(#REF!,"AAAAAHtT2zY=",0)</f>
        <v>#REF!</v>
      </c>
      <c r="BD168" t="e">
        <f>IF(#REF!,"AAAAAHtT2zc=",0)</f>
        <v>#REF!</v>
      </c>
      <c r="BE168" t="e">
        <f>IF(#REF!,"AAAAAHtT2zg=",0)</f>
        <v>#REF!</v>
      </c>
      <c r="BF168" t="e">
        <f>IF(#REF!,"AAAAAHtT2zk=",0)</f>
        <v>#REF!</v>
      </c>
      <c r="BG168" t="e">
        <f>IF(#REF!,"AAAAAHtT2zo=",0)</f>
        <v>#REF!</v>
      </c>
      <c r="BH168" t="e">
        <f>IF(#REF!,"AAAAAHtT2zs=",0)</f>
        <v>#REF!</v>
      </c>
      <c r="BI168" t="e">
        <f>IF(#REF!,"AAAAAHtT2zw=",0)</f>
        <v>#REF!</v>
      </c>
      <c r="BJ168" t="e">
        <f>IF(#REF!,"AAAAAHtT2z0=",0)</f>
        <v>#REF!</v>
      </c>
      <c r="BK168" t="e">
        <f>IF(#REF!,"AAAAAHtT2z4=",0)</f>
        <v>#REF!</v>
      </c>
      <c r="BL168" t="e">
        <f>IF(#REF!,"AAAAAHtT2z8=",0)</f>
        <v>#REF!</v>
      </c>
      <c r="BM168" t="e">
        <f>IF(#REF!,"AAAAAHtT20A=",0)</f>
        <v>#REF!</v>
      </c>
      <c r="BN168" t="e">
        <f>IF(#REF!,"AAAAAHtT20E=",0)</f>
        <v>#REF!</v>
      </c>
      <c r="BO168" t="e">
        <f>IF(#REF!,"AAAAAHtT20I=",0)</f>
        <v>#REF!</v>
      </c>
      <c r="BP168" t="e">
        <f>IF(#REF!,"AAAAAHtT20M=",0)</f>
        <v>#REF!</v>
      </c>
      <c r="BQ168" t="e">
        <f>IF(#REF!,"AAAAAHtT20Q=",0)</f>
        <v>#REF!</v>
      </c>
      <c r="BR168" t="e">
        <f>IF(#REF!,"AAAAAHtT20U=",0)</f>
        <v>#REF!</v>
      </c>
      <c r="BS168" t="e">
        <f>IF(#REF!,"AAAAAHtT20Y=",0)</f>
        <v>#REF!</v>
      </c>
      <c r="BT168" t="e">
        <f>IF(#REF!,"AAAAAHtT20c=",0)</f>
        <v>#REF!</v>
      </c>
      <c r="BU168" t="e">
        <f>IF(#REF!,"AAAAAHtT20g=",0)</f>
        <v>#REF!</v>
      </c>
      <c r="BV168" t="e">
        <f>IF(#REF!,"AAAAAHtT20k=",0)</f>
        <v>#REF!</v>
      </c>
      <c r="BW168" t="e">
        <f>IF(#REF!,"AAAAAHtT20o=",0)</f>
        <v>#REF!</v>
      </c>
      <c r="BX168" t="e">
        <f>IF(#REF!,"AAAAAHtT20s=",0)</f>
        <v>#REF!</v>
      </c>
      <c r="BY168" t="e">
        <f>IF(#REF!,"AAAAAHtT20w=",0)</f>
        <v>#REF!</v>
      </c>
      <c r="BZ168" t="e">
        <f>IF(#REF!,"AAAAAHtT200=",0)</f>
        <v>#REF!</v>
      </c>
      <c r="CA168" t="e">
        <f>IF(#REF!,"AAAAAHtT204=",0)</f>
        <v>#REF!</v>
      </c>
      <c r="CB168" t="e">
        <f>IF(#REF!,"AAAAAHtT208=",0)</f>
        <v>#REF!</v>
      </c>
      <c r="CC168" t="e">
        <f>IF(#REF!,"AAAAAHtT21A=",0)</f>
        <v>#REF!</v>
      </c>
      <c r="CD168" t="e">
        <f>IF(#REF!,"AAAAAHtT21E=",0)</f>
        <v>#REF!</v>
      </c>
      <c r="CE168" t="e">
        <f>IF(#REF!,"AAAAAHtT21I=",0)</f>
        <v>#REF!</v>
      </c>
      <c r="CF168" t="e">
        <f>IF(#REF!,"AAAAAHtT21M=",0)</f>
        <v>#REF!</v>
      </c>
      <c r="CG168" t="e">
        <f>IF(#REF!,"AAAAAHtT21Q=",0)</f>
        <v>#REF!</v>
      </c>
      <c r="CH168" t="e">
        <f>IF(#REF!,"AAAAAHtT21U=",0)</f>
        <v>#REF!</v>
      </c>
      <c r="CI168" t="e">
        <f>IF(#REF!,"AAAAAHtT21Y=",0)</f>
        <v>#REF!</v>
      </c>
      <c r="CJ168" t="e">
        <f>IF(#REF!,"AAAAAHtT21c=",0)</f>
        <v>#REF!</v>
      </c>
      <c r="CK168" t="e">
        <f>IF(#REF!,"AAAAAHtT21g=",0)</f>
        <v>#REF!</v>
      </c>
      <c r="CL168" t="e">
        <f>IF(#REF!,"AAAAAHtT21k=",0)</f>
        <v>#REF!</v>
      </c>
      <c r="CM168" t="e">
        <f>IF(#REF!,"AAAAAHtT21o=",0)</f>
        <v>#REF!</v>
      </c>
      <c r="CN168" t="e">
        <f>IF(#REF!,"AAAAAHtT21s=",0)</f>
        <v>#REF!</v>
      </c>
      <c r="CO168" t="e">
        <f>IF(#REF!,"AAAAAHtT21w=",0)</f>
        <v>#REF!</v>
      </c>
      <c r="CP168" t="e">
        <f>IF(#REF!,"AAAAAHtT210=",0)</f>
        <v>#REF!</v>
      </c>
      <c r="CQ168" t="e">
        <f>IF(#REF!,"AAAAAHtT214=",0)</f>
        <v>#REF!</v>
      </c>
      <c r="CR168" t="e">
        <f>IF(#REF!,"AAAAAHtT218=",0)</f>
        <v>#REF!</v>
      </c>
      <c r="CS168" t="e">
        <f>IF(#REF!,"AAAAAHtT22A=",0)</f>
        <v>#REF!</v>
      </c>
      <c r="CT168" t="e">
        <f>IF(#REF!,"AAAAAHtT22E=",0)</f>
        <v>#REF!</v>
      </c>
      <c r="CU168" t="e">
        <f>IF(#REF!,"AAAAAHtT22I=",0)</f>
        <v>#REF!</v>
      </c>
      <c r="CV168" t="e">
        <f>IF(#REF!,"AAAAAHtT22M=",0)</f>
        <v>#REF!</v>
      </c>
      <c r="CW168" t="e">
        <f>IF(#REF!,"AAAAAHtT22Q=",0)</f>
        <v>#REF!</v>
      </c>
      <c r="CX168" t="e">
        <f>IF(#REF!,"AAAAAHtT22U=",0)</f>
        <v>#REF!</v>
      </c>
      <c r="CY168" t="e">
        <f>IF(#REF!,"AAAAAHtT22Y=",0)</f>
        <v>#REF!</v>
      </c>
      <c r="CZ168" t="e">
        <f>IF(#REF!,"AAAAAHtT22c=",0)</f>
        <v>#REF!</v>
      </c>
      <c r="DA168" t="e">
        <f>IF(#REF!,"AAAAAHtT22g=",0)</f>
        <v>#REF!</v>
      </c>
      <c r="DB168" t="e">
        <f>IF(#REF!,"AAAAAHtT22k=",0)</f>
        <v>#REF!</v>
      </c>
      <c r="DC168" t="e">
        <f>IF(#REF!,"AAAAAHtT22o=",0)</f>
        <v>#REF!</v>
      </c>
      <c r="DD168" t="e">
        <f>IF(#REF!,"AAAAAHtT22s=",0)</f>
        <v>#REF!</v>
      </c>
      <c r="DE168" t="e">
        <f>IF(#REF!,"AAAAAHtT22w=",0)</f>
        <v>#REF!</v>
      </c>
      <c r="DF168" t="e">
        <f>IF(#REF!,"AAAAAHtT220=",0)</f>
        <v>#REF!</v>
      </c>
      <c r="DG168" t="e">
        <f>IF(#REF!,"AAAAAHtT224=",0)</f>
        <v>#REF!</v>
      </c>
      <c r="DH168" t="e">
        <f>IF(#REF!,"AAAAAHtT228=",0)</f>
        <v>#REF!</v>
      </c>
      <c r="DI168" t="e">
        <f>IF(#REF!,"AAAAAHtT23A=",0)</f>
        <v>#REF!</v>
      </c>
      <c r="DJ168" t="e">
        <f>IF(#REF!,"AAAAAHtT23E=",0)</f>
        <v>#REF!</v>
      </c>
      <c r="DK168" t="e">
        <f>IF(#REF!,"AAAAAHtT23I=",0)</f>
        <v>#REF!</v>
      </c>
      <c r="DL168" t="e">
        <f>IF(#REF!,"AAAAAHtT23M=",0)</f>
        <v>#REF!</v>
      </c>
      <c r="DM168" t="e">
        <f>IF(#REF!,"AAAAAHtT23Q=",0)</f>
        <v>#REF!</v>
      </c>
      <c r="DN168" t="e">
        <f>IF(#REF!,"AAAAAHtT23U=",0)</f>
        <v>#REF!</v>
      </c>
      <c r="DO168" t="e">
        <f>IF(#REF!,"AAAAAHtT23Y=",0)</f>
        <v>#REF!</v>
      </c>
      <c r="DP168" t="e">
        <f>IF(#REF!,"AAAAAHtT23c=",0)</f>
        <v>#REF!</v>
      </c>
      <c r="DQ168" t="e">
        <f>IF(#REF!,"AAAAAHtT23g=",0)</f>
        <v>#REF!</v>
      </c>
      <c r="DR168" t="e">
        <f>IF(#REF!,"AAAAAHtT23k=",0)</f>
        <v>#REF!</v>
      </c>
      <c r="DS168" t="e">
        <f>IF(#REF!,"AAAAAHtT23o=",0)</f>
        <v>#REF!</v>
      </c>
      <c r="DT168" t="e">
        <f>IF(#REF!,"AAAAAHtT23s=",0)</f>
        <v>#REF!</v>
      </c>
      <c r="DU168" t="e">
        <f>IF(#REF!,"AAAAAHtT23w=",0)</f>
        <v>#REF!</v>
      </c>
      <c r="DV168" t="e">
        <f>IF(#REF!,"AAAAAHtT230=",0)</f>
        <v>#REF!</v>
      </c>
      <c r="DW168" t="e">
        <f>IF(#REF!,"AAAAAHtT234=",0)</f>
        <v>#REF!</v>
      </c>
      <c r="DX168" t="e">
        <f>IF(#REF!,"AAAAAHtT238=",0)</f>
        <v>#REF!</v>
      </c>
      <c r="DY168" t="e">
        <f>IF(#REF!,"AAAAAHtT24A=",0)</f>
        <v>#REF!</v>
      </c>
      <c r="DZ168" t="e">
        <f>IF(#REF!,"AAAAAHtT24E=",0)</f>
        <v>#REF!</v>
      </c>
      <c r="EA168" t="e">
        <f>IF(#REF!,"AAAAAHtT24I=",0)</f>
        <v>#REF!</v>
      </c>
      <c r="EB168" t="e">
        <f>IF(#REF!,"AAAAAHtT24M=",0)</f>
        <v>#REF!</v>
      </c>
      <c r="EC168" t="e">
        <f>IF(#REF!,"AAAAAHtT24Q=",0)</f>
        <v>#REF!</v>
      </c>
      <c r="ED168" t="e">
        <f>IF(#REF!,"AAAAAHtT24U=",0)</f>
        <v>#REF!</v>
      </c>
      <c r="EE168" t="e">
        <f>IF(#REF!,"AAAAAHtT24Y=",0)</f>
        <v>#REF!</v>
      </c>
      <c r="EF168" t="e">
        <f>IF(#REF!,"AAAAAHtT24c=",0)</f>
        <v>#REF!</v>
      </c>
      <c r="EG168" t="e">
        <f>IF(#REF!,"AAAAAHtT24g=",0)</f>
        <v>#REF!</v>
      </c>
      <c r="EH168" t="e">
        <f>IF(#REF!,"AAAAAHtT24k=",0)</f>
        <v>#REF!</v>
      </c>
      <c r="EI168" t="e">
        <f>IF(#REF!,"AAAAAHtT24o=",0)</f>
        <v>#REF!</v>
      </c>
      <c r="EJ168" t="e">
        <f>IF(#REF!,"AAAAAHtT24s=",0)</f>
        <v>#REF!</v>
      </c>
      <c r="EK168" t="e">
        <f>IF(#REF!,"AAAAAHtT24w=",0)</f>
        <v>#REF!</v>
      </c>
      <c r="EL168" t="e">
        <f>IF(#REF!,"AAAAAHtT240=",0)</f>
        <v>#REF!</v>
      </c>
      <c r="EM168" t="e">
        <f>IF(#REF!,"AAAAAHtT244=",0)</f>
        <v>#REF!</v>
      </c>
      <c r="EN168" t="e">
        <f>IF(#REF!,"AAAAAHtT248=",0)</f>
        <v>#REF!</v>
      </c>
      <c r="EO168" t="e">
        <f>IF(#REF!,"AAAAAHtT25A=",0)</f>
        <v>#REF!</v>
      </c>
      <c r="EP168" t="e">
        <f>IF(#REF!,"AAAAAHtT25E=",0)</f>
        <v>#REF!</v>
      </c>
      <c r="EQ168" t="e">
        <f>IF(#REF!,"AAAAAHtT25I=",0)</f>
        <v>#REF!</v>
      </c>
      <c r="ER168" t="e">
        <f>IF(#REF!,"AAAAAHtT25M=",0)</f>
        <v>#REF!</v>
      </c>
      <c r="ES168" t="e">
        <f>IF(#REF!,"AAAAAHtT25Q=",0)</f>
        <v>#REF!</v>
      </c>
      <c r="ET168" t="e">
        <f>IF(#REF!,"AAAAAHtT25U=",0)</f>
        <v>#REF!</v>
      </c>
      <c r="EU168" t="e">
        <f>IF(#REF!,"AAAAAHtT25Y=",0)</f>
        <v>#REF!</v>
      </c>
      <c r="EV168" t="e">
        <f>IF(#REF!,"AAAAAHtT25c=",0)</f>
        <v>#REF!</v>
      </c>
      <c r="EW168" t="e">
        <f>IF(#REF!,"AAAAAHtT25g=",0)</f>
        <v>#REF!</v>
      </c>
      <c r="EX168" t="e">
        <f>IF(#REF!,"AAAAAHtT25k=",0)</f>
        <v>#REF!</v>
      </c>
      <c r="EY168" t="e">
        <f>IF(#REF!,"AAAAAHtT25o=",0)</f>
        <v>#REF!</v>
      </c>
      <c r="EZ168" t="e">
        <f>IF(#REF!,"AAAAAHtT25s=",0)</f>
        <v>#REF!</v>
      </c>
      <c r="FA168" t="e">
        <f>IF(#REF!,"AAAAAHtT25w=",0)</f>
        <v>#REF!</v>
      </c>
      <c r="FB168" t="e">
        <f>IF(#REF!,"AAAAAHtT250=",0)</f>
        <v>#REF!</v>
      </c>
      <c r="FC168" t="e">
        <f>IF(#REF!,"AAAAAHtT254=",0)</f>
        <v>#REF!</v>
      </c>
      <c r="FD168" t="e">
        <f>IF(#REF!,"AAAAAHtT258=",0)</f>
        <v>#REF!</v>
      </c>
      <c r="FE168" t="e">
        <f>IF(#REF!,"AAAAAHtT26A=",0)</f>
        <v>#REF!</v>
      </c>
      <c r="FF168" t="e">
        <f>IF(#REF!,"AAAAAHtT26E=",0)</f>
        <v>#REF!</v>
      </c>
      <c r="FG168" t="e">
        <f>IF(#REF!,"AAAAAHtT26I=",0)</f>
        <v>#REF!</v>
      </c>
      <c r="FH168" t="e">
        <f>IF(#REF!,"AAAAAHtT26M=",0)</f>
        <v>#REF!</v>
      </c>
      <c r="FI168" t="e">
        <f>IF(#REF!,"AAAAAHtT26Q=",0)</f>
        <v>#REF!</v>
      </c>
      <c r="FJ168" t="e">
        <f>IF(#REF!,"AAAAAHtT26U=",0)</f>
        <v>#REF!</v>
      </c>
      <c r="FK168" t="e">
        <f>IF(#REF!,"AAAAAHtT26Y=",0)</f>
        <v>#REF!</v>
      </c>
      <c r="FL168" t="e">
        <f>IF(#REF!,"AAAAAHtT26c=",0)</f>
        <v>#REF!</v>
      </c>
      <c r="FM168" t="e">
        <f>IF(#REF!,"AAAAAHtT26g=",0)</f>
        <v>#REF!</v>
      </c>
      <c r="FN168" t="e">
        <f>IF(#REF!,"AAAAAHtT26k=",0)</f>
        <v>#REF!</v>
      </c>
      <c r="FO168" t="e">
        <f>IF(#REF!,"AAAAAHtT26o=",0)</f>
        <v>#REF!</v>
      </c>
      <c r="FP168" t="e">
        <f>IF(#REF!,"AAAAAHtT26s=",0)</f>
        <v>#REF!</v>
      </c>
      <c r="FQ168" t="e">
        <f>IF(#REF!,"AAAAAHtT26w=",0)</f>
        <v>#REF!</v>
      </c>
      <c r="FR168" t="e">
        <f>IF(#REF!,"AAAAAHtT260=",0)</f>
        <v>#REF!</v>
      </c>
      <c r="FS168" t="e">
        <f>IF(#REF!,"AAAAAHtT264=",0)</f>
        <v>#REF!</v>
      </c>
      <c r="FT168" t="e">
        <f>IF(#REF!,"AAAAAHtT268=",0)</f>
        <v>#REF!</v>
      </c>
      <c r="FU168" t="e">
        <f>IF(#REF!,"AAAAAHtT27A=",0)</f>
        <v>#REF!</v>
      </c>
      <c r="FV168" t="e">
        <f>IF(#REF!,"AAAAAHtT27E=",0)</f>
        <v>#REF!</v>
      </c>
      <c r="FW168" t="e">
        <f>IF(#REF!,"AAAAAHtT27I=",0)</f>
        <v>#REF!</v>
      </c>
      <c r="FX168" t="e">
        <f>IF(#REF!,"AAAAAHtT27M=",0)</f>
        <v>#REF!</v>
      </c>
      <c r="FY168" t="e">
        <f>IF(#REF!,"AAAAAHtT27Q=",0)</f>
        <v>#REF!</v>
      </c>
      <c r="FZ168" t="e">
        <f>IF(#REF!,"AAAAAHtT27U=",0)</f>
        <v>#REF!</v>
      </c>
      <c r="GA168" t="e">
        <f>IF(#REF!,"AAAAAHtT27Y=",0)</f>
        <v>#REF!</v>
      </c>
      <c r="GB168" t="e">
        <f>IF(#REF!,"AAAAAHtT27c=",0)</f>
        <v>#REF!</v>
      </c>
      <c r="GC168" t="e">
        <f>IF(#REF!,"AAAAAHtT27g=",0)</f>
        <v>#REF!</v>
      </c>
      <c r="GD168" t="e">
        <f>IF(#REF!,"AAAAAHtT27k=",0)</f>
        <v>#REF!</v>
      </c>
      <c r="GE168" t="e">
        <f>IF(#REF!,"AAAAAHtT27o=",0)</f>
        <v>#REF!</v>
      </c>
      <c r="GF168" t="e">
        <f>IF(#REF!,"AAAAAHtT27s=",0)</f>
        <v>#REF!</v>
      </c>
      <c r="GG168" t="e">
        <f>IF(#REF!,"AAAAAHtT27w=",0)</f>
        <v>#REF!</v>
      </c>
      <c r="GH168" t="e">
        <f>IF(#REF!,"AAAAAHtT270=",0)</f>
        <v>#REF!</v>
      </c>
      <c r="GI168" t="e">
        <f>IF(#REF!,"AAAAAHtT274=",0)</f>
        <v>#REF!</v>
      </c>
      <c r="GJ168" t="e">
        <f>IF(#REF!,"AAAAAHtT278=",0)</f>
        <v>#REF!</v>
      </c>
      <c r="GK168" t="e">
        <f>IF(#REF!,"AAAAAHtT28A=",0)</f>
        <v>#REF!</v>
      </c>
      <c r="GL168" t="e">
        <f>IF(#REF!,"AAAAAHtT28E=",0)</f>
        <v>#REF!</v>
      </c>
      <c r="GM168" t="e">
        <f>IF(#REF!,"AAAAAHtT28I=",0)</f>
        <v>#REF!</v>
      </c>
      <c r="GN168" t="e">
        <f>IF(#REF!,"AAAAAHtT28M=",0)</f>
        <v>#REF!</v>
      </c>
      <c r="GO168" t="e">
        <f>IF(#REF!,"AAAAAHtT28Q=",0)</f>
        <v>#REF!</v>
      </c>
      <c r="GP168" t="e">
        <f>IF(#REF!,"AAAAAHtT28U=",0)</f>
        <v>#REF!</v>
      </c>
      <c r="GQ168" t="e">
        <f>IF(#REF!,"AAAAAHtT28Y=",0)</f>
        <v>#REF!</v>
      </c>
      <c r="GR168" t="e">
        <f>IF(#REF!,"AAAAAHtT28c=",0)</f>
        <v>#REF!</v>
      </c>
      <c r="GS168" t="e">
        <f>IF(#REF!,"AAAAAHtT28g=",0)</f>
        <v>#REF!</v>
      </c>
      <c r="GT168" t="e">
        <f>IF(#REF!,"AAAAAHtT28k=",0)</f>
        <v>#REF!</v>
      </c>
      <c r="GU168" t="e">
        <f>IF(#REF!,"AAAAAHtT28o=",0)</f>
        <v>#REF!</v>
      </c>
      <c r="GV168" t="e">
        <f>IF(#REF!,"AAAAAHtT28s=",0)</f>
        <v>#REF!</v>
      </c>
      <c r="GW168" t="e">
        <f>IF(#REF!,"AAAAAHtT28w=",0)</f>
        <v>#REF!</v>
      </c>
      <c r="GX168" t="e">
        <f>IF(#REF!,"AAAAAHtT280=",0)</f>
        <v>#REF!</v>
      </c>
      <c r="GY168" t="e">
        <f>IF(#REF!,"AAAAAHtT284=",0)</f>
        <v>#REF!</v>
      </c>
      <c r="GZ168" t="e">
        <f>IF(#REF!,"AAAAAHtT288=",0)</f>
        <v>#REF!</v>
      </c>
      <c r="HA168" t="e">
        <f>IF(#REF!,"AAAAAHtT29A=",0)</f>
        <v>#REF!</v>
      </c>
      <c r="HB168" t="e">
        <f>IF(#REF!,"AAAAAHtT29E=",0)</f>
        <v>#REF!</v>
      </c>
      <c r="HC168" t="e">
        <f>IF(#REF!,"AAAAAHtT29I=",0)</f>
        <v>#REF!</v>
      </c>
      <c r="HD168" t="e">
        <f>IF(#REF!,"AAAAAHtT29M=",0)</f>
        <v>#REF!</v>
      </c>
      <c r="HE168" t="e">
        <f>IF(#REF!,"AAAAAHtT29Q=",0)</f>
        <v>#REF!</v>
      </c>
      <c r="HF168" t="e">
        <f>IF(#REF!,"AAAAAHtT29U=",0)</f>
        <v>#REF!</v>
      </c>
      <c r="HG168" t="e">
        <f>IF(#REF!,"AAAAAHtT29Y=",0)</f>
        <v>#REF!</v>
      </c>
      <c r="HH168" t="e">
        <f>IF(#REF!,"AAAAAHtT29c=",0)</f>
        <v>#REF!</v>
      </c>
      <c r="HI168" t="e">
        <f>IF(#REF!,"AAAAAHtT29g=",0)</f>
        <v>#REF!</v>
      </c>
      <c r="HJ168" t="e">
        <f>IF(#REF!,"AAAAAHtT29k=",0)</f>
        <v>#REF!</v>
      </c>
      <c r="HK168" t="e">
        <f>IF(#REF!,"AAAAAHtT29o=",0)</f>
        <v>#REF!</v>
      </c>
      <c r="HL168" t="e">
        <f>IF(#REF!,"AAAAAHtT29s=",0)</f>
        <v>#REF!</v>
      </c>
      <c r="HM168" t="e">
        <f>IF(#REF!,"AAAAAHtT29w=",0)</f>
        <v>#REF!</v>
      </c>
      <c r="HN168" t="e">
        <f>IF(#REF!,"AAAAAHtT290=",0)</f>
        <v>#REF!</v>
      </c>
      <c r="HO168" t="e">
        <f>IF(#REF!,"AAAAAHtT294=",0)</f>
        <v>#REF!</v>
      </c>
      <c r="HP168" t="e">
        <f>IF(#REF!,"AAAAAHtT298=",0)</f>
        <v>#REF!</v>
      </c>
      <c r="HQ168" t="e">
        <f>IF(#REF!,"AAAAAHtT2+A=",0)</f>
        <v>#REF!</v>
      </c>
      <c r="HR168" t="e">
        <f>IF(#REF!,"AAAAAHtT2+E=",0)</f>
        <v>#REF!</v>
      </c>
      <c r="HS168" t="e">
        <f>IF(#REF!,"AAAAAHtT2+I=",0)</f>
        <v>#REF!</v>
      </c>
      <c r="HT168" t="e">
        <f>IF(#REF!,"AAAAAHtT2+M=",0)</f>
        <v>#REF!</v>
      </c>
      <c r="HU168" t="e">
        <f>IF(#REF!,"AAAAAHtT2+Q=",0)</f>
        <v>#REF!</v>
      </c>
      <c r="HV168" t="e">
        <f>IF(#REF!,"AAAAAHtT2+U=",0)</f>
        <v>#REF!</v>
      </c>
      <c r="HW168" t="e">
        <f>IF(#REF!,"AAAAAHtT2+Y=",0)</f>
        <v>#REF!</v>
      </c>
      <c r="HX168" t="e">
        <f>IF(#REF!,"AAAAAHtT2+c=",0)</f>
        <v>#REF!</v>
      </c>
      <c r="HY168" t="e">
        <f>IF(#REF!,"AAAAAHtT2+g=",0)</f>
        <v>#REF!</v>
      </c>
      <c r="HZ168" t="e">
        <f>IF(#REF!,"AAAAAHtT2+k=",0)</f>
        <v>#REF!</v>
      </c>
      <c r="IA168" t="e">
        <f>IF(#REF!,"AAAAAHtT2+o=",0)</f>
        <v>#REF!</v>
      </c>
      <c r="IB168" t="e">
        <f>IF(#REF!,"AAAAAHtT2+s=",0)</f>
        <v>#REF!</v>
      </c>
      <c r="IC168" t="e">
        <f>IF(#REF!,"AAAAAHtT2+w=",0)</f>
        <v>#REF!</v>
      </c>
      <c r="ID168" t="e">
        <f>IF(#REF!,"AAAAAHtT2+0=",0)</f>
        <v>#REF!</v>
      </c>
      <c r="IE168" t="e">
        <f>IF(#REF!,"AAAAAHtT2+4=",0)</f>
        <v>#REF!</v>
      </c>
      <c r="IF168" t="e">
        <f>IF(#REF!,"AAAAAHtT2+8=",0)</f>
        <v>#REF!</v>
      </c>
      <c r="IG168" t="e">
        <f>IF(#REF!,"AAAAAHtT2/A=",0)</f>
        <v>#REF!</v>
      </c>
      <c r="IH168" t="e">
        <f>IF(#REF!,"AAAAAHtT2/E=",0)</f>
        <v>#REF!</v>
      </c>
      <c r="II168" t="e">
        <f>IF(#REF!,"AAAAAHtT2/I=",0)</f>
        <v>#REF!</v>
      </c>
      <c r="IJ168" t="e">
        <f>IF(#REF!,"AAAAAHtT2/M=",0)</f>
        <v>#REF!</v>
      </c>
      <c r="IK168" t="e">
        <f>IF(#REF!,"AAAAAHtT2/Q=",0)</f>
        <v>#REF!</v>
      </c>
      <c r="IL168" t="e">
        <f>IF(#REF!,"AAAAAHtT2/U=",0)</f>
        <v>#REF!</v>
      </c>
      <c r="IM168" t="e">
        <f>IF(#REF!,"AAAAAHtT2/Y=",0)</f>
        <v>#REF!</v>
      </c>
      <c r="IN168" t="e">
        <f>IF(#REF!,"AAAAAHtT2/c=",0)</f>
        <v>#REF!</v>
      </c>
      <c r="IO168" t="e">
        <f>IF(#REF!,"AAAAAHtT2/g=",0)</f>
        <v>#REF!</v>
      </c>
      <c r="IP168" t="e">
        <f>IF(#REF!,"AAAAAHtT2/k=",0)</f>
        <v>#REF!</v>
      </c>
      <c r="IQ168" t="e">
        <f>IF(#REF!,"AAAAAHtT2/o=",0)</f>
        <v>#REF!</v>
      </c>
      <c r="IR168" t="e">
        <f>IF(#REF!,"AAAAAHtT2/s=",0)</f>
        <v>#REF!</v>
      </c>
      <c r="IS168" t="e">
        <f>IF(#REF!,"AAAAAHtT2/w=",0)</f>
        <v>#REF!</v>
      </c>
      <c r="IT168" t="e">
        <f>IF(#REF!,"AAAAAHtT2/0=",0)</f>
        <v>#REF!</v>
      </c>
      <c r="IU168" t="e">
        <f>IF(#REF!,"AAAAAHtT2/4=",0)</f>
        <v>#REF!</v>
      </c>
      <c r="IV168" t="e">
        <f>IF(#REF!,"AAAAAHtT2/8=",0)</f>
        <v>#REF!</v>
      </c>
    </row>
    <row r="169" spans="1:256">
      <c r="A169" t="e">
        <f>IF(#REF!,"AAAAAD7Z/wA=",0)</f>
        <v>#REF!</v>
      </c>
      <c r="B169" t="e">
        <f>IF(#REF!,"AAAAAD7Z/wE=",0)</f>
        <v>#REF!</v>
      </c>
      <c r="C169" t="e">
        <f>IF(#REF!,"AAAAAD7Z/wI=",0)</f>
        <v>#REF!</v>
      </c>
      <c r="D169" t="e">
        <f>IF(#REF!,"AAAAAD7Z/wM=",0)</f>
        <v>#REF!</v>
      </c>
      <c r="E169" t="e">
        <f>IF(#REF!,"AAAAAD7Z/wQ=",0)</f>
        <v>#REF!</v>
      </c>
      <c r="F169" t="e">
        <f>IF(#REF!,"AAAAAD7Z/wU=",0)</f>
        <v>#REF!</v>
      </c>
      <c r="G169" t="e">
        <f>IF(#REF!,"AAAAAD7Z/wY=",0)</f>
        <v>#REF!</v>
      </c>
      <c r="H169" t="e">
        <f>IF(#REF!,"AAAAAD7Z/wc=",0)</f>
        <v>#REF!</v>
      </c>
      <c r="I169" t="e">
        <f>IF(#REF!,"AAAAAD7Z/wg=",0)</f>
        <v>#REF!</v>
      </c>
      <c r="J169" t="e">
        <f>IF(#REF!,"AAAAAD7Z/wk=",0)</f>
        <v>#REF!</v>
      </c>
      <c r="K169" t="e">
        <f>IF(#REF!,"AAAAAD7Z/wo=",0)</f>
        <v>#REF!</v>
      </c>
      <c r="L169" t="e">
        <f>IF(#REF!,"AAAAAD7Z/ws=",0)</f>
        <v>#REF!</v>
      </c>
      <c r="M169" t="e">
        <f>IF(#REF!,"AAAAAD7Z/ww=",0)</f>
        <v>#REF!</v>
      </c>
      <c r="N169" t="e">
        <f>IF(#REF!,"AAAAAD7Z/w0=",0)</f>
        <v>#REF!</v>
      </c>
      <c r="O169" t="e">
        <f>IF(#REF!,"AAAAAD7Z/w4=",0)</f>
        <v>#REF!</v>
      </c>
      <c r="P169" t="e">
        <f>IF(#REF!,"AAAAAD7Z/w8=",0)</f>
        <v>#REF!</v>
      </c>
      <c r="Q169" t="e">
        <f>IF(#REF!,"AAAAAD7Z/xA=",0)</f>
        <v>#REF!</v>
      </c>
      <c r="R169" t="e">
        <f>IF(#REF!,"AAAAAD7Z/xE=",0)</f>
        <v>#REF!</v>
      </c>
      <c r="S169" t="e">
        <f>IF(#REF!,"AAAAAD7Z/xI=",0)</f>
        <v>#REF!</v>
      </c>
      <c r="T169" t="e">
        <f>IF(#REF!,"AAAAAD7Z/xM=",0)</f>
        <v>#REF!</v>
      </c>
      <c r="U169" t="e">
        <f>IF(#REF!,"AAAAAD7Z/xQ=",0)</f>
        <v>#REF!</v>
      </c>
      <c r="V169" t="e">
        <f>IF(#REF!,"AAAAAD7Z/xU=",0)</f>
        <v>#REF!</v>
      </c>
      <c r="W169" t="e">
        <f>IF(#REF!,"AAAAAD7Z/xY=",0)</f>
        <v>#REF!</v>
      </c>
      <c r="X169" t="e">
        <f>IF(#REF!,"AAAAAD7Z/xc=",0)</f>
        <v>#REF!</v>
      </c>
      <c r="Y169" t="e">
        <f>IF(#REF!,"AAAAAD7Z/xg=",0)</f>
        <v>#REF!</v>
      </c>
      <c r="Z169" t="e">
        <f>IF(#REF!,"AAAAAD7Z/xk=",0)</f>
        <v>#REF!</v>
      </c>
      <c r="AA169" t="e">
        <f>IF(#REF!,"AAAAAD7Z/xo=",0)</f>
        <v>#REF!</v>
      </c>
      <c r="AB169" t="e">
        <f>IF(#REF!,"AAAAAD7Z/xs=",0)</f>
        <v>#REF!</v>
      </c>
      <c r="AC169" t="e">
        <f>IF(#REF!,"AAAAAD7Z/xw=",0)</f>
        <v>#REF!</v>
      </c>
      <c r="AD169" t="e">
        <f>IF(#REF!,"AAAAAD7Z/x0=",0)</f>
        <v>#REF!</v>
      </c>
      <c r="AE169" t="e">
        <f>IF(#REF!,"AAAAAD7Z/x4=",0)</f>
        <v>#REF!</v>
      </c>
      <c r="AF169" t="e">
        <f>IF(#REF!,"AAAAAD7Z/x8=",0)</f>
        <v>#REF!</v>
      </c>
      <c r="AG169" t="e">
        <f>IF(#REF!,"AAAAAD7Z/yA=",0)</f>
        <v>#REF!</v>
      </c>
      <c r="AH169" t="e">
        <f>IF(#REF!,"AAAAAD7Z/yE=",0)</f>
        <v>#REF!</v>
      </c>
      <c r="AI169" t="e">
        <f>IF(#REF!,"AAAAAD7Z/yI=",0)</f>
        <v>#REF!</v>
      </c>
      <c r="AJ169" t="e">
        <f>IF(#REF!,"AAAAAD7Z/yM=",0)</f>
        <v>#REF!</v>
      </c>
      <c r="AK169" t="e">
        <f>IF(#REF!,"AAAAAD7Z/yQ=",0)</f>
        <v>#REF!</v>
      </c>
      <c r="AL169" t="e">
        <f>IF(#REF!,"AAAAAD7Z/yU=",0)</f>
        <v>#REF!</v>
      </c>
      <c r="AM169" t="e">
        <f>IF(#REF!,"AAAAAD7Z/yY=",0)</f>
        <v>#REF!</v>
      </c>
      <c r="AN169" t="e">
        <f>IF(#REF!,"AAAAAD7Z/yc=",0)</f>
        <v>#REF!</v>
      </c>
      <c r="AO169" t="e">
        <f>IF(#REF!,"AAAAAD7Z/yg=",0)</f>
        <v>#REF!</v>
      </c>
      <c r="AP169" t="e">
        <f>IF(#REF!,"AAAAAD7Z/yk=",0)</f>
        <v>#REF!</v>
      </c>
      <c r="AQ169" t="e">
        <f>IF(#REF!,"AAAAAD7Z/yo=",0)</f>
        <v>#REF!</v>
      </c>
      <c r="AR169" t="e">
        <f>IF(#REF!,"AAAAAD7Z/ys=",0)</f>
        <v>#REF!</v>
      </c>
      <c r="AS169" t="e">
        <f>IF(#REF!,"AAAAAD7Z/yw=",0)</f>
        <v>#REF!</v>
      </c>
      <c r="AT169" t="e">
        <f>IF(#REF!,"AAAAAD7Z/y0=",0)</f>
        <v>#REF!</v>
      </c>
      <c r="AU169" t="e">
        <f>IF(#REF!,"AAAAAD7Z/y4=",0)</f>
        <v>#REF!</v>
      </c>
      <c r="AV169" t="e">
        <f>IF(#REF!,"AAAAAD7Z/y8=",0)</f>
        <v>#REF!</v>
      </c>
      <c r="AW169" t="e">
        <f>IF(#REF!,"AAAAAD7Z/zA=",0)</f>
        <v>#REF!</v>
      </c>
      <c r="AX169" t="e">
        <f>IF(#REF!,"AAAAAD7Z/zE=",0)</f>
        <v>#REF!</v>
      </c>
      <c r="AY169" t="e">
        <f>IF(#REF!,"AAAAAD7Z/zI=",0)</f>
        <v>#REF!</v>
      </c>
      <c r="AZ169" t="e">
        <f>IF(#REF!,"AAAAAD7Z/zM=",0)</f>
        <v>#REF!</v>
      </c>
      <c r="BA169" t="e">
        <f>IF(#REF!,"AAAAAD7Z/zQ=",0)</f>
        <v>#REF!</v>
      </c>
      <c r="BB169" t="e">
        <f>IF(#REF!,"AAAAAD7Z/zU=",0)</f>
        <v>#REF!</v>
      </c>
      <c r="BC169" t="e">
        <f>IF(#REF!,"AAAAAD7Z/zY=",0)</f>
        <v>#REF!</v>
      </c>
      <c r="BD169" t="e">
        <f>IF(#REF!,"AAAAAD7Z/zc=",0)</f>
        <v>#REF!</v>
      </c>
      <c r="BE169" t="e">
        <f>IF(#REF!,"AAAAAD7Z/zg=",0)</f>
        <v>#REF!</v>
      </c>
      <c r="BF169" t="e">
        <f>IF(#REF!,"AAAAAD7Z/zk=",0)</f>
        <v>#REF!</v>
      </c>
      <c r="BG169" t="e">
        <f>IF(#REF!,"AAAAAD7Z/zo=",0)</f>
        <v>#REF!</v>
      </c>
      <c r="BH169" t="e">
        <f>IF(#REF!,"AAAAAD7Z/zs=",0)</f>
        <v>#REF!</v>
      </c>
      <c r="BI169" t="e">
        <f>IF(#REF!,"AAAAAD7Z/zw=",0)</f>
        <v>#REF!</v>
      </c>
      <c r="BJ169" t="e">
        <f>IF(#REF!,"AAAAAD7Z/z0=",0)</f>
        <v>#REF!</v>
      </c>
      <c r="BK169" t="e">
        <f>IF(#REF!,"AAAAAD7Z/z4=",0)</f>
        <v>#REF!</v>
      </c>
      <c r="BL169" t="e">
        <f>IF(#REF!,"AAAAAD7Z/z8=",0)</f>
        <v>#REF!</v>
      </c>
      <c r="BM169" t="e">
        <f>IF(#REF!,"AAAAAD7Z/0A=",0)</f>
        <v>#REF!</v>
      </c>
      <c r="BN169" t="e">
        <f>IF(#REF!,"AAAAAD7Z/0E=",0)</f>
        <v>#REF!</v>
      </c>
      <c r="BO169" t="e">
        <f>IF(#REF!,"AAAAAD7Z/0I=",0)</f>
        <v>#REF!</v>
      </c>
      <c r="BP169" t="e">
        <f>IF(#REF!,"AAAAAD7Z/0M=",0)</f>
        <v>#REF!</v>
      </c>
      <c r="BQ169" t="e">
        <f>IF(#REF!,"AAAAAD7Z/0Q=",0)</f>
        <v>#REF!</v>
      </c>
      <c r="BR169" t="e">
        <f>IF(#REF!,"AAAAAD7Z/0U=",0)</f>
        <v>#REF!</v>
      </c>
      <c r="BS169" t="e">
        <f>IF(#REF!,"AAAAAD7Z/0Y=",0)</f>
        <v>#REF!</v>
      </c>
      <c r="BT169" t="e">
        <f>IF(#REF!,"AAAAAD7Z/0c=",0)</f>
        <v>#REF!</v>
      </c>
      <c r="BU169" t="e">
        <f>IF(#REF!,"AAAAAD7Z/0g=",0)</f>
        <v>#REF!</v>
      </c>
      <c r="BV169" t="e">
        <f>IF(#REF!,"AAAAAD7Z/0k=",0)</f>
        <v>#REF!</v>
      </c>
      <c r="BW169" t="e">
        <f>IF(#REF!,"AAAAAD7Z/0o=",0)</f>
        <v>#REF!</v>
      </c>
      <c r="BX169" t="e">
        <f>IF(#REF!,"AAAAAD7Z/0s=",0)</f>
        <v>#REF!</v>
      </c>
      <c r="BY169" t="e">
        <f>IF(#REF!,"AAAAAD7Z/0w=",0)</f>
        <v>#REF!</v>
      </c>
      <c r="BZ169" t="e">
        <f>IF(#REF!,"AAAAAD7Z/00=",0)</f>
        <v>#REF!</v>
      </c>
      <c r="CA169" t="e">
        <f>IF(#REF!,"AAAAAD7Z/04=",0)</f>
        <v>#REF!</v>
      </c>
      <c r="CB169" t="e">
        <f>IF(#REF!,"AAAAAD7Z/08=",0)</f>
        <v>#REF!</v>
      </c>
      <c r="CC169" t="e">
        <f>IF(#REF!,"AAAAAD7Z/1A=",0)</f>
        <v>#REF!</v>
      </c>
      <c r="CD169" t="e">
        <f>IF(#REF!,"AAAAAD7Z/1E=",0)</f>
        <v>#REF!</v>
      </c>
      <c r="CE169" t="e">
        <f>IF(#REF!,"AAAAAD7Z/1I=",0)</f>
        <v>#REF!</v>
      </c>
      <c r="CF169" t="e">
        <f>IF(#REF!,"AAAAAD7Z/1M=",0)</f>
        <v>#REF!</v>
      </c>
      <c r="CG169" t="e">
        <f>IF(#REF!,"AAAAAD7Z/1Q=",0)</f>
        <v>#REF!</v>
      </c>
      <c r="CH169" t="e">
        <f>IF(#REF!,"AAAAAD7Z/1U=",0)</f>
        <v>#REF!</v>
      </c>
      <c r="CI169" t="e">
        <f>IF(#REF!,"AAAAAD7Z/1Y=",0)</f>
        <v>#REF!</v>
      </c>
      <c r="CJ169" t="e">
        <f>IF(#REF!,"AAAAAD7Z/1c=",0)</f>
        <v>#REF!</v>
      </c>
      <c r="CK169" t="e">
        <f>IF(#REF!,"AAAAAD7Z/1g=",0)</f>
        <v>#REF!</v>
      </c>
      <c r="CL169" t="e">
        <f>IF(#REF!,"AAAAAD7Z/1k=",0)</f>
        <v>#REF!</v>
      </c>
      <c r="CM169" t="e">
        <f>IF(#REF!,"AAAAAD7Z/1o=",0)</f>
        <v>#REF!</v>
      </c>
      <c r="CN169" t="e">
        <f>IF(#REF!,"AAAAAD7Z/1s=",0)</f>
        <v>#REF!</v>
      </c>
      <c r="CO169" t="e">
        <f>IF(#REF!,"AAAAAD7Z/1w=",0)</f>
        <v>#REF!</v>
      </c>
      <c r="CP169" t="e">
        <f>IF(#REF!,"AAAAAD7Z/10=",0)</f>
        <v>#REF!</v>
      </c>
      <c r="CQ169" t="e">
        <f>IF(#REF!,"AAAAAD7Z/14=",0)</f>
        <v>#REF!</v>
      </c>
      <c r="CR169" t="e">
        <f>IF(#REF!,"AAAAAD7Z/18=",0)</f>
        <v>#REF!</v>
      </c>
      <c r="CS169" t="e">
        <f>IF(#REF!,"AAAAAD7Z/2A=",0)</f>
        <v>#REF!</v>
      </c>
      <c r="CT169" t="e">
        <f>IF(#REF!,"AAAAAD7Z/2E=",0)</f>
        <v>#REF!</v>
      </c>
      <c r="CU169" t="e">
        <f>IF(#REF!,"AAAAAD7Z/2I=",0)</f>
        <v>#REF!</v>
      </c>
      <c r="CV169" t="e">
        <f>IF(#REF!,"AAAAAD7Z/2M=",0)</f>
        <v>#REF!</v>
      </c>
      <c r="CW169" t="e">
        <f>IF(#REF!,"AAAAAD7Z/2Q=",0)</f>
        <v>#REF!</v>
      </c>
      <c r="CX169" t="e">
        <f>IF(#REF!,"AAAAAD7Z/2U=",0)</f>
        <v>#REF!</v>
      </c>
      <c r="CY169" t="e">
        <f>IF(#REF!,"AAAAAD7Z/2Y=",0)</f>
        <v>#REF!</v>
      </c>
      <c r="CZ169" t="e">
        <f>IF(#REF!,"AAAAAD7Z/2c=",0)</f>
        <v>#REF!</v>
      </c>
      <c r="DA169" t="e">
        <f>IF(#REF!,"AAAAAD7Z/2g=",0)</f>
        <v>#REF!</v>
      </c>
      <c r="DB169" t="e">
        <f>IF(#REF!,"AAAAAD7Z/2k=",0)</f>
        <v>#REF!</v>
      </c>
      <c r="DC169" t="e">
        <f>IF(#REF!,"AAAAAD7Z/2o=",0)</f>
        <v>#REF!</v>
      </c>
      <c r="DD169" t="e">
        <f>IF(#REF!,"AAAAAD7Z/2s=",0)</f>
        <v>#REF!</v>
      </c>
      <c r="DE169" t="e">
        <f>IF(#REF!,"AAAAAD7Z/2w=",0)</f>
        <v>#REF!</v>
      </c>
      <c r="DF169" t="e">
        <f>IF(#REF!,"AAAAAD7Z/20=",0)</f>
        <v>#REF!</v>
      </c>
      <c r="DG169" t="e">
        <f>IF(#REF!,"AAAAAD7Z/24=",0)</f>
        <v>#REF!</v>
      </c>
      <c r="DH169" t="e">
        <f>IF(#REF!,"AAAAAD7Z/28=",0)</f>
        <v>#REF!</v>
      </c>
      <c r="DI169" t="e">
        <f>IF(#REF!,"AAAAAD7Z/3A=",0)</f>
        <v>#REF!</v>
      </c>
      <c r="DJ169" t="e">
        <f>IF(#REF!,"AAAAAD7Z/3E=",0)</f>
        <v>#REF!</v>
      </c>
      <c r="DK169" t="e">
        <f>IF(#REF!,"AAAAAD7Z/3I=",0)</f>
        <v>#REF!</v>
      </c>
      <c r="DL169" t="e">
        <f>IF(#REF!,"AAAAAD7Z/3M=",0)</f>
        <v>#REF!</v>
      </c>
      <c r="DM169" t="e">
        <f>IF(#REF!,"AAAAAD7Z/3Q=",0)</f>
        <v>#REF!</v>
      </c>
      <c r="DN169" t="e">
        <f>IF(#REF!,"AAAAAD7Z/3U=",0)</f>
        <v>#REF!</v>
      </c>
      <c r="DO169" t="e">
        <f>IF(#REF!,"AAAAAD7Z/3Y=",0)</f>
        <v>#REF!</v>
      </c>
      <c r="DP169" t="e">
        <f>IF(#REF!,"AAAAAD7Z/3c=",0)</f>
        <v>#REF!</v>
      </c>
      <c r="DQ169" t="e">
        <f>IF(#REF!,"AAAAAD7Z/3g=",0)</f>
        <v>#REF!</v>
      </c>
      <c r="DR169" t="e">
        <f>IF(#REF!,"AAAAAD7Z/3k=",0)</f>
        <v>#REF!</v>
      </c>
      <c r="DS169" t="e">
        <f>IF(#REF!,"AAAAAD7Z/3o=",0)</f>
        <v>#REF!</v>
      </c>
      <c r="DT169" t="e">
        <f>IF(#REF!,"AAAAAD7Z/3s=",0)</f>
        <v>#REF!</v>
      </c>
      <c r="DU169" t="e">
        <f>IF(#REF!,"AAAAAD7Z/3w=",0)</f>
        <v>#REF!</v>
      </c>
      <c r="DV169" t="e">
        <f>IF(#REF!,"AAAAAD7Z/30=",0)</f>
        <v>#REF!</v>
      </c>
      <c r="DW169" t="e">
        <f>IF(#REF!,"AAAAAD7Z/34=",0)</f>
        <v>#REF!</v>
      </c>
      <c r="DX169" t="e">
        <f>IF(#REF!,"AAAAAD7Z/38=",0)</f>
        <v>#REF!</v>
      </c>
      <c r="DY169" t="e">
        <f>IF(#REF!,"AAAAAD7Z/4A=",0)</f>
        <v>#REF!</v>
      </c>
      <c r="DZ169" t="e">
        <f>IF(#REF!,"AAAAAD7Z/4E=",0)</f>
        <v>#REF!</v>
      </c>
      <c r="EA169" t="e">
        <f>IF(#REF!,"AAAAAD7Z/4I=",0)</f>
        <v>#REF!</v>
      </c>
      <c r="EB169" t="e">
        <f>IF(#REF!,"AAAAAD7Z/4M=",0)</f>
        <v>#REF!</v>
      </c>
      <c r="EC169" t="e">
        <f>IF(#REF!,"AAAAAD7Z/4Q=",0)</f>
        <v>#REF!</v>
      </c>
      <c r="ED169" t="e">
        <f>IF(#REF!,"AAAAAD7Z/4U=",0)</f>
        <v>#REF!</v>
      </c>
      <c r="EE169" t="e">
        <f>IF(#REF!,"AAAAAD7Z/4Y=",0)</f>
        <v>#REF!</v>
      </c>
      <c r="EF169" t="e">
        <f>IF(#REF!,"AAAAAD7Z/4c=",0)</f>
        <v>#REF!</v>
      </c>
      <c r="EG169" t="e">
        <f>IF(#REF!,"AAAAAD7Z/4g=",0)</f>
        <v>#REF!</v>
      </c>
      <c r="EH169" t="e">
        <f>IF(#REF!,"AAAAAD7Z/4k=",0)</f>
        <v>#REF!</v>
      </c>
      <c r="EI169" t="e">
        <f>IF(#REF!,"AAAAAD7Z/4o=",0)</f>
        <v>#REF!</v>
      </c>
      <c r="EJ169" t="e">
        <f>IF(#REF!,"AAAAAD7Z/4s=",0)</f>
        <v>#REF!</v>
      </c>
      <c r="EK169" t="e">
        <f>IF(#REF!,"AAAAAD7Z/4w=",0)</f>
        <v>#REF!</v>
      </c>
      <c r="EL169" t="e">
        <f>IF(#REF!,"AAAAAD7Z/40=",0)</f>
        <v>#REF!</v>
      </c>
      <c r="EM169" t="e">
        <f>IF(#REF!,"AAAAAD7Z/44=",0)</f>
        <v>#REF!</v>
      </c>
      <c r="EN169" t="e">
        <f>IF(#REF!,"AAAAAD7Z/48=",0)</f>
        <v>#REF!</v>
      </c>
      <c r="EO169" t="e">
        <f>IF(#REF!,"AAAAAD7Z/5A=",0)</f>
        <v>#REF!</v>
      </c>
      <c r="EP169" t="e">
        <f>IF(#REF!,"AAAAAD7Z/5E=",0)</f>
        <v>#REF!</v>
      </c>
      <c r="EQ169" t="e">
        <f>IF(#REF!,"AAAAAD7Z/5I=",0)</f>
        <v>#REF!</v>
      </c>
      <c r="ER169" t="e">
        <f>IF(#REF!,"AAAAAD7Z/5M=",0)</f>
        <v>#REF!</v>
      </c>
      <c r="ES169" t="e">
        <f>IF(#REF!,"AAAAAD7Z/5Q=",0)</f>
        <v>#REF!</v>
      </c>
      <c r="ET169" t="e">
        <f>IF(#REF!,"AAAAAD7Z/5U=",0)</f>
        <v>#REF!</v>
      </c>
      <c r="EU169" t="e">
        <f>IF(#REF!,"AAAAAD7Z/5Y=",0)</f>
        <v>#REF!</v>
      </c>
      <c r="EV169" t="e">
        <f>IF(#REF!,"AAAAAD7Z/5c=",0)</f>
        <v>#REF!</v>
      </c>
      <c r="EW169" t="e">
        <f>IF(#REF!,"AAAAAD7Z/5g=",0)</f>
        <v>#REF!</v>
      </c>
      <c r="EX169" t="e">
        <f>IF(#REF!,"AAAAAD7Z/5k=",0)</f>
        <v>#REF!</v>
      </c>
      <c r="EY169" t="e">
        <f>IF(#REF!,"AAAAAD7Z/5o=",0)</f>
        <v>#REF!</v>
      </c>
      <c r="EZ169" t="e">
        <f>IF(#REF!,"AAAAAD7Z/5s=",0)</f>
        <v>#REF!</v>
      </c>
      <c r="FA169" t="e">
        <f>IF(#REF!,"AAAAAD7Z/5w=",0)</f>
        <v>#REF!</v>
      </c>
      <c r="FB169" t="e">
        <f>IF(#REF!,"AAAAAD7Z/50=",0)</f>
        <v>#REF!</v>
      </c>
      <c r="FC169" t="e">
        <f>IF(#REF!,"AAAAAD7Z/54=",0)</f>
        <v>#REF!</v>
      </c>
      <c r="FD169" t="e">
        <f>IF(#REF!,"AAAAAD7Z/58=",0)</f>
        <v>#REF!</v>
      </c>
      <c r="FE169" t="e">
        <f>IF(#REF!,"AAAAAD7Z/6A=",0)</f>
        <v>#REF!</v>
      </c>
      <c r="FF169" t="e">
        <f>IF(#REF!,"AAAAAD7Z/6E=",0)</f>
        <v>#REF!</v>
      </c>
      <c r="FG169" t="e">
        <f>IF(#REF!,"AAAAAD7Z/6I=",0)</f>
        <v>#REF!</v>
      </c>
      <c r="FH169" t="e">
        <f>IF(#REF!,"AAAAAD7Z/6M=",0)</f>
        <v>#REF!</v>
      </c>
      <c r="FI169" t="e">
        <f>IF(#REF!,"AAAAAD7Z/6Q=",0)</f>
        <v>#REF!</v>
      </c>
      <c r="FJ169" t="e">
        <f>IF(#REF!,"AAAAAD7Z/6U=",0)</f>
        <v>#REF!</v>
      </c>
      <c r="FK169" t="e">
        <f>IF(#REF!,"AAAAAD7Z/6Y=",0)</f>
        <v>#REF!</v>
      </c>
      <c r="FL169" t="e">
        <f>IF(#REF!,"AAAAAD7Z/6c=",0)</f>
        <v>#REF!</v>
      </c>
      <c r="FM169" t="e">
        <f>IF(#REF!,"AAAAAD7Z/6g=",0)</f>
        <v>#REF!</v>
      </c>
      <c r="FN169" t="e">
        <f>IF(#REF!,"AAAAAD7Z/6k=",0)</f>
        <v>#REF!</v>
      </c>
      <c r="FO169" t="e">
        <f>IF(#REF!,"AAAAAD7Z/6o=",0)</f>
        <v>#REF!</v>
      </c>
      <c r="FP169" t="e">
        <f>IF(#REF!,"AAAAAD7Z/6s=",0)</f>
        <v>#REF!</v>
      </c>
      <c r="FQ169" t="e">
        <f>IF(#REF!,"AAAAAD7Z/6w=",0)</f>
        <v>#REF!</v>
      </c>
      <c r="FR169" t="e">
        <f>IF(#REF!,"AAAAAD7Z/60=",0)</f>
        <v>#REF!</v>
      </c>
      <c r="FS169" t="e">
        <f>IF(#REF!,"AAAAAD7Z/64=",0)</f>
        <v>#REF!</v>
      </c>
      <c r="FT169" t="e">
        <f>IF(#REF!,"AAAAAD7Z/68=",0)</f>
        <v>#REF!</v>
      </c>
      <c r="FU169" t="e">
        <f>IF(#REF!,"AAAAAD7Z/7A=",0)</f>
        <v>#REF!</v>
      </c>
      <c r="FV169" t="e">
        <f>IF(#REF!,"AAAAAD7Z/7E=",0)</f>
        <v>#REF!</v>
      </c>
      <c r="FW169" t="e">
        <f>IF(#REF!,"AAAAAD7Z/7I=",0)</f>
        <v>#REF!</v>
      </c>
      <c r="FX169" t="e">
        <f>IF(#REF!,"AAAAAD7Z/7M=",0)</f>
        <v>#REF!</v>
      </c>
      <c r="FY169" t="e">
        <f>IF(#REF!,"AAAAAD7Z/7Q=",0)</f>
        <v>#REF!</v>
      </c>
      <c r="FZ169" t="e">
        <f>IF(#REF!,"AAAAAD7Z/7U=",0)</f>
        <v>#REF!</v>
      </c>
      <c r="GA169" t="e">
        <f>IF(#REF!,"AAAAAD7Z/7Y=",0)</f>
        <v>#REF!</v>
      </c>
      <c r="GB169" t="e">
        <f>IF(#REF!,"AAAAAD7Z/7c=",0)</f>
        <v>#REF!</v>
      </c>
      <c r="GC169" t="e">
        <f>IF(#REF!,"AAAAAD7Z/7g=",0)</f>
        <v>#REF!</v>
      </c>
      <c r="GD169" t="e">
        <f>IF(#REF!,"AAAAAD7Z/7k=",0)</f>
        <v>#REF!</v>
      </c>
      <c r="GE169" t="e">
        <f>IF(#REF!,"AAAAAD7Z/7o=",0)</f>
        <v>#REF!</v>
      </c>
      <c r="GF169" t="e">
        <f>IF(#REF!,"AAAAAD7Z/7s=",0)</f>
        <v>#REF!</v>
      </c>
      <c r="GG169" t="e">
        <f>IF(#REF!,"AAAAAD7Z/7w=",0)</f>
        <v>#REF!</v>
      </c>
      <c r="GH169" t="e">
        <f>IF(#REF!,"AAAAAD7Z/70=",0)</f>
        <v>#REF!</v>
      </c>
      <c r="GI169" t="e">
        <f>IF(#REF!,"AAAAAD7Z/74=",0)</f>
        <v>#REF!</v>
      </c>
      <c r="GJ169" t="e">
        <f>IF(#REF!,"AAAAAD7Z/78=",0)</f>
        <v>#REF!</v>
      </c>
      <c r="GK169" t="e">
        <f>IF(#REF!,"AAAAAD7Z/8A=",0)</f>
        <v>#REF!</v>
      </c>
      <c r="GL169" t="e">
        <f>IF(#REF!,"AAAAAD7Z/8E=",0)</f>
        <v>#REF!</v>
      </c>
      <c r="GM169" t="e">
        <f>IF(#REF!,"AAAAAD7Z/8I=",0)</f>
        <v>#REF!</v>
      </c>
      <c r="GN169" t="e">
        <f>IF(#REF!,"AAAAAD7Z/8M=",0)</f>
        <v>#REF!</v>
      </c>
      <c r="GO169" t="e">
        <f>IF(#REF!,"AAAAAD7Z/8Q=",0)</f>
        <v>#REF!</v>
      </c>
      <c r="GP169" t="e">
        <f>IF(#REF!,"AAAAAD7Z/8U=",0)</f>
        <v>#REF!</v>
      </c>
      <c r="GQ169" t="e">
        <f>IF(#REF!,"AAAAAD7Z/8Y=",0)</f>
        <v>#REF!</v>
      </c>
      <c r="GR169" t="e">
        <f>IF(#REF!,"AAAAAD7Z/8c=",0)</f>
        <v>#REF!</v>
      </c>
      <c r="GS169" t="e">
        <f>IF(#REF!,"AAAAAD7Z/8g=",0)</f>
        <v>#REF!</v>
      </c>
      <c r="GT169" t="e">
        <f>IF(#REF!,"AAAAAD7Z/8k=",0)</f>
        <v>#REF!</v>
      </c>
      <c r="GU169" t="e">
        <f>IF(#REF!,"AAAAAD7Z/8o=",0)</f>
        <v>#REF!</v>
      </c>
      <c r="GV169" t="e">
        <f>IF(#REF!,"AAAAAD7Z/8s=",0)</f>
        <v>#REF!</v>
      </c>
      <c r="GW169" t="e">
        <f>IF(#REF!,"AAAAAD7Z/8w=",0)</f>
        <v>#REF!</v>
      </c>
      <c r="GX169" t="e">
        <f>IF(#REF!,"AAAAAD7Z/80=",0)</f>
        <v>#REF!</v>
      </c>
      <c r="GY169" t="e">
        <f>IF(#REF!,"AAAAAD7Z/84=",0)</f>
        <v>#REF!</v>
      </c>
      <c r="GZ169" t="e">
        <f>IF(#REF!,"AAAAAD7Z/88=",0)</f>
        <v>#REF!</v>
      </c>
      <c r="HA169" t="e">
        <f>IF(#REF!,"AAAAAD7Z/9A=",0)</f>
        <v>#REF!</v>
      </c>
      <c r="HB169" t="e">
        <f>IF(#REF!,"AAAAAD7Z/9E=",0)</f>
        <v>#REF!</v>
      </c>
      <c r="HC169" t="e">
        <f>IF(#REF!,"AAAAAD7Z/9I=",0)</f>
        <v>#REF!</v>
      </c>
      <c r="HD169" t="e">
        <f>IF(#REF!,"AAAAAD7Z/9M=",0)</f>
        <v>#REF!</v>
      </c>
      <c r="HE169" t="e">
        <f>IF(#REF!,"AAAAAD7Z/9Q=",0)</f>
        <v>#REF!</v>
      </c>
      <c r="HF169" t="e">
        <f>IF(#REF!,"AAAAAD7Z/9U=",0)</f>
        <v>#REF!</v>
      </c>
      <c r="HG169" t="e">
        <f>IF(#REF!,"AAAAAD7Z/9Y=",0)</f>
        <v>#REF!</v>
      </c>
      <c r="HH169" t="e">
        <f>IF(#REF!,"AAAAAD7Z/9c=",0)</f>
        <v>#REF!</v>
      </c>
      <c r="HI169" t="e">
        <f>IF(#REF!,"AAAAAD7Z/9g=",0)</f>
        <v>#REF!</v>
      </c>
      <c r="HJ169" t="e">
        <f>IF(#REF!,"AAAAAD7Z/9k=",0)</f>
        <v>#REF!</v>
      </c>
      <c r="HK169" t="e">
        <f>IF(#REF!,"AAAAAD7Z/9o=",0)</f>
        <v>#REF!</v>
      </c>
      <c r="HL169" t="e">
        <f>IF(#REF!,"AAAAAD7Z/9s=",0)</f>
        <v>#REF!</v>
      </c>
      <c r="HM169" t="e">
        <f>IF(#REF!,"AAAAAD7Z/9w=",0)</f>
        <v>#REF!</v>
      </c>
      <c r="HN169" t="e">
        <f>IF(#REF!,"AAAAAD7Z/90=",0)</f>
        <v>#REF!</v>
      </c>
      <c r="HO169" t="e">
        <f>IF(#REF!,"AAAAAD7Z/94=",0)</f>
        <v>#REF!</v>
      </c>
      <c r="HP169" t="e">
        <f>IF(#REF!,"AAAAAD7Z/98=",0)</f>
        <v>#REF!</v>
      </c>
      <c r="HQ169" t="e">
        <f>IF(#REF!,"AAAAAD7Z/+A=",0)</f>
        <v>#REF!</v>
      </c>
      <c r="HR169" t="e">
        <f>IF(#REF!,"AAAAAD7Z/+E=",0)</f>
        <v>#REF!</v>
      </c>
      <c r="HS169" t="e">
        <f>IF(#REF!,"AAAAAD7Z/+I=",0)</f>
        <v>#REF!</v>
      </c>
      <c r="HT169" t="e">
        <f>IF(#REF!,"AAAAAD7Z/+M=",0)</f>
        <v>#REF!</v>
      </c>
      <c r="HU169" t="e">
        <f>IF(#REF!,"AAAAAD7Z/+Q=",0)</f>
        <v>#REF!</v>
      </c>
      <c r="HV169" t="e">
        <f>IF(#REF!,"AAAAAD7Z/+U=",0)</f>
        <v>#REF!</v>
      </c>
      <c r="HW169" t="e">
        <f>IF(#REF!,"AAAAAD7Z/+Y=",0)</f>
        <v>#REF!</v>
      </c>
      <c r="HX169" t="e">
        <f>IF(#REF!,"AAAAAD7Z/+c=",0)</f>
        <v>#REF!</v>
      </c>
      <c r="HY169" t="e">
        <f>IF(#REF!,"AAAAAD7Z/+g=",0)</f>
        <v>#REF!</v>
      </c>
      <c r="HZ169" t="e">
        <f>IF(#REF!,"AAAAAD7Z/+k=",0)</f>
        <v>#REF!</v>
      </c>
      <c r="IA169" t="e">
        <f>IF(#REF!,"AAAAAD7Z/+o=",0)</f>
        <v>#REF!</v>
      </c>
      <c r="IB169" t="e">
        <f>IF(#REF!,"AAAAAD7Z/+s=",0)</f>
        <v>#REF!</v>
      </c>
      <c r="IC169" t="e">
        <f>IF(#REF!,"AAAAAD7Z/+w=",0)</f>
        <v>#REF!</v>
      </c>
      <c r="ID169" t="e">
        <f>IF(#REF!,"AAAAAD7Z/+0=",0)</f>
        <v>#REF!</v>
      </c>
      <c r="IE169" t="e">
        <f>IF(#REF!,"AAAAAD7Z/+4=",0)</f>
        <v>#REF!</v>
      </c>
      <c r="IF169" t="e">
        <f>IF(#REF!,"AAAAAD7Z/+8=",0)</f>
        <v>#REF!</v>
      </c>
      <c r="IG169" t="e">
        <f>IF(#REF!,"AAAAAD7Z//A=",0)</f>
        <v>#REF!</v>
      </c>
      <c r="IH169" t="e">
        <f>IF(#REF!,"AAAAAD7Z//E=",0)</f>
        <v>#REF!</v>
      </c>
      <c r="II169" t="e">
        <f>IF(#REF!,"AAAAAD7Z//I=",0)</f>
        <v>#REF!</v>
      </c>
      <c r="IJ169" t="e">
        <f>IF(#REF!,"AAAAAD7Z//M=",0)</f>
        <v>#REF!</v>
      </c>
      <c r="IK169" t="e">
        <f>IF(#REF!,"AAAAAD7Z//Q=",0)</f>
        <v>#REF!</v>
      </c>
      <c r="IL169" t="e">
        <f>IF(#REF!,"AAAAAD7Z//U=",0)</f>
        <v>#REF!</v>
      </c>
      <c r="IM169" t="e">
        <f>IF(#REF!,"AAAAAD7Z//Y=",0)</f>
        <v>#REF!</v>
      </c>
      <c r="IN169" t="e">
        <f>IF(#REF!,"AAAAAD7Z//c=",0)</f>
        <v>#REF!</v>
      </c>
      <c r="IO169" t="e">
        <f>IF(#REF!,"AAAAAD7Z//g=",0)</f>
        <v>#REF!</v>
      </c>
      <c r="IP169" t="e">
        <f>IF(#REF!,"AAAAAD7Z//k=",0)</f>
        <v>#REF!</v>
      </c>
      <c r="IQ169" t="e">
        <f>IF(#REF!,"AAAAAD7Z//o=",0)</f>
        <v>#REF!</v>
      </c>
      <c r="IR169" t="e">
        <f>IF(#REF!,"AAAAAD7Z//s=",0)</f>
        <v>#REF!</v>
      </c>
      <c r="IS169" t="e">
        <f>IF(#REF!,"AAAAAD7Z//w=",0)</f>
        <v>#REF!</v>
      </c>
      <c r="IT169" t="e">
        <f>IF(#REF!,"AAAAAD7Z//0=",0)</f>
        <v>#REF!</v>
      </c>
      <c r="IU169" t="e">
        <f>IF(#REF!,"AAAAAD7Z//4=",0)</f>
        <v>#REF!</v>
      </c>
      <c r="IV169" t="e">
        <f>IF(#REF!,"AAAAAD7Z//8=",0)</f>
        <v>#REF!</v>
      </c>
    </row>
    <row r="170" spans="1:256">
      <c r="A170" t="e">
        <f>IF(#REF!,"AAAAAH+7tgA=",0)</f>
        <v>#REF!</v>
      </c>
      <c r="B170" t="e">
        <f>IF(#REF!,"AAAAAH+7tgE=",0)</f>
        <v>#REF!</v>
      </c>
      <c r="C170" t="e">
        <f>IF(#REF!,"AAAAAH+7tgI=",0)</f>
        <v>#REF!</v>
      </c>
      <c r="D170" t="e">
        <f>IF(#REF!,"AAAAAH+7tgM=",0)</f>
        <v>#REF!</v>
      </c>
      <c r="E170" t="e">
        <f>IF(#REF!,"AAAAAH+7tgQ=",0)</f>
        <v>#REF!</v>
      </c>
      <c r="F170" t="e">
        <f>IF(#REF!,"AAAAAH+7tgU=",0)</f>
        <v>#REF!</v>
      </c>
      <c r="G170" t="e">
        <f>IF(#REF!,"AAAAAH+7tgY=",0)</f>
        <v>#REF!</v>
      </c>
      <c r="H170" t="e">
        <f>IF(#REF!,"AAAAAH+7tgc=",0)</f>
        <v>#REF!</v>
      </c>
      <c r="I170" t="e">
        <f>IF(#REF!,"AAAAAH+7tgg=",0)</f>
        <v>#REF!</v>
      </c>
      <c r="J170" t="e">
        <f>IF(#REF!,"AAAAAH+7tgk=",0)</f>
        <v>#REF!</v>
      </c>
      <c r="K170" t="e">
        <f>IF(#REF!,"AAAAAH+7tgo=",0)</f>
        <v>#REF!</v>
      </c>
      <c r="L170" t="e">
        <f>IF(#REF!,"AAAAAH+7tgs=",0)</f>
        <v>#REF!</v>
      </c>
      <c r="M170" t="e">
        <f>IF(#REF!,"AAAAAH+7tgw=",0)</f>
        <v>#REF!</v>
      </c>
      <c r="N170" t="e">
        <f>IF(#REF!,"AAAAAH+7tg0=",0)</f>
        <v>#REF!</v>
      </c>
      <c r="O170" t="e">
        <f>IF(#REF!,"AAAAAH+7tg4=",0)</f>
        <v>#REF!</v>
      </c>
      <c r="P170" t="e">
        <f>IF(#REF!,"AAAAAH+7tg8=",0)</f>
        <v>#REF!</v>
      </c>
      <c r="Q170" t="e">
        <f>IF(#REF!,"AAAAAH+7thA=",0)</f>
        <v>#REF!</v>
      </c>
      <c r="R170" t="e">
        <f>IF(#REF!,"AAAAAH+7thE=",0)</f>
        <v>#REF!</v>
      </c>
      <c r="S170" t="e">
        <f>IF(#REF!,"AAAAAH+7thI=",0)</f>
        <v>#REF!</v>
      </c>
      <c r="T170" t="e">
        <f>IF(#REF!,"AAAAAH+7thM=",0)</f>
        <v>#REF!</v>
      </c>
      <c r="U170" t="e">
        <f>IF(#REF!,"AAAAAH+7thQ=",0)</f>
        <v>#REF!</v>
      </c>
      <c r="V170" t="e">
        <f>IF(#REF!,"AAAAAH+7thU=",0)</f>
        <v>#REF!</v>
      </c>
      <c r="W170" t="e">
        <f>IF(#REF!,"AAAAAH+7thY=",0)</f>
        <v>#REF!</v>
      </c>
      <c r="X170" t="e">
        <f>IF(#REF!,"AAAAAH+7thc=",0)</f>
        <v>#REF!</v>
      </c>
      <c r="Y170" t="e">
        <f>IF(#REF!,"AAAAAH+7thg=",0)</f>
        <v>#REF!</v>
      </c>
      <c r="Z170" t="e">
        <f>IF(#REF!,"AAAAAH+7thk=",0)</f>
        <v>#REF!</v>
      </c>
      <c r="AA170" t="e">
        <f>IF(#REF!,"AAAAAH+7tho=",0)</f>
        <v>#REF!</v>
      </c>
      <c r="AB170" t="e">
        <f>IF(#REF!,"AAAAAH+7ths=",0)</f>
        <v>#REF!</v>
      </c>
      <c r="AC170" t="e">
        <f>IF(#REF!,"AAAAAH+7thw=",0)</f>
        <v>#REF!</v>
      </c>
      <c r="AD170" t="e">
        <f>IF(#REF!,"AAAAAH+7th0=",0)</f>
        <v>#REF!</v>
      </c>
      <c r="AE170" t="e">
        <f>IF(#REF!,"AAAAAH+7th4=",0)</f>
        <v>#REF!</v>
      </c>
      <c r="AF170" t="e">
        <f>IF(#REF!,"AAAAAH+7th8=",0)</f>
        <v>#REF!</v>
      </c>
      <c r="AG170" t="e">
        <f>IF(#REF!,"AAAAAH+7tiA=",0)</f>
        <v>#REF!</v>
      </c>
      <c r="AH170" t="e">
        <f>IF(#REF!,"AAAAAH+7tiE=",0)</f>
        <v>#REF!</v>
      </c>
      <c r="AI170" t="e">
        <f>IF(#REF!,"AAAAAH+7tiI=",0)</f>
        <v>#REF!</v>
      </c>
      <c r="AJ170" t="e">
        <f>IF(#REF!,"AAAAAH+7tiM=",0)</f>
        <v>#REF!</v>
      </c>
      <c r="AK170" t="e">
        <f>IF(#REF!,"AAAAAH+7tiQ=",0)</f>
        <v>#REF!</v>
      </c>
      <c r="AL170" t="e">
        <f>IF(#REF!,"AAAAAH+7tiU=",0)</f>
        <v>#REF!</v>
      </c>
      <c r="AM170" t="e">
        <f>IF(#REF!,"AAAAAH+7tiY=",0)</f>
        <v>#REF!</v>
      </c>
      <c r="AN170" t="e">
        <f>IF(#REF!,"AAAAAH+7tic=",0)</f>
        <v>#REF!</v>
      </c>
      <c r="AO170" t="e">
        <f>IF(#REF!,"AAAAAH+7tig=",0)</f>
        <v>#REF!</v>
      </c>
      <c r="AP170" t="e">
        <f>IF(#REF!,"AAAAAH+7tik=",0)</f>
        <v>#REF!</v>
      </c>
      <c r="AQ170" t="e">
        <f>IF(#REF!,"AAAAAH+7tio=",0)</f>
        <v>#REF!</v>
      </c>
      <c r="AR170" t="e">
        <f>IF(#REF!,"AAAAAH+7tis=",0)</f>
        <v>#REF!</v>
      </c>
      <c r="AS170" t="e">
        <f>IF(#REF!,"AAAAAH+7tiw=",0)</f>
        <v>#REF!</v>
      </c>
      <c r="AT170" t="e">
        <f>IF(#REF!,"AAAAAH+7ti0=",0)</f>
        <v>#REF!</v>
      </c>
      <c r="AU170" t="e">
        <f>IF(#REF!,"AAAAAH+7ti4=",0)</f>
        <v>#REF!</v>
      </c>
      <c r="AV170" t="e">
        <f>IF(#REF!,"AAAAAH+7ti8=",0)</f>
        <v>#REF!</v>
      </c>
      <c r="AW170" t="e">
        <f>IF(#REF!,"AAAAAH+7tjA=",0)</f>
        <v>#REF!</v>
      </c>
      <c r="AX170" t="e">
        <f>IF(#REF!,"AAAAAH+7tjE=",0)</f>
        <v>#REF!</v>
      </c>
      <c r="AY170" t="e">
        <f>IF(#REF!,"AAAAAH+7tjI=",0)</f>
        <v>#REF!</v>
      </c>
      <c r="AZ170" t="e">
        <f>IF(#REF!,"AAAAAH+7tjM=",0)</f>
        <v>#REF!</v>
      </c>
      <c r="BA170" t="e">
        <f>IF(#REF!,"AAAAAH+7tjQ=",0)</f>
        <v>#REF!</v>
      </c>
      <c r="BB170" t="e">
        <f>IF(#REF!,"AAAAAH+7tjU=",0)</f>
        <v>#REF!</v>
      </c>
      <c r="BC170" t="e">
        <f>IF(#REF!,"AAAAAH+7tjY=",0)</f>
        <v>#REF!</v>
      </c>
      <c r="BD170" t="e">
        <f>IF(#REF!,"AAAAAH+7tjc=",0)</f>
        <v>#REF!</v>
      </c>
      <c r="BE170" t="e">
        <f>IF(#REF!,"AAAAAH+7tjg=",0)</f>
        <v>#REF!</v>
      </c>
      <c r="BF170" t="e">
        <f>IF(#REF!,"AAAAAH+7tjk=",0)</f>
        <v>#REF!</v>
      </c>
      <c r="BG170" t="e">
        <f>IF(#REF!,"AAAAAH+7tjo=",0)</f>
        <v>#REF!</v>
      </c>
      <c r="BH170" t="e">
        <f>IF(#REF!,"AAAAAH+7tjs=",0)</f>
        <v>#REF!</v>
      </c>
      <c r="BI170" t="e">
        <f>IF(#REF!,"AAAAAH+7tjw=",0)</f>
        <v>#REF!</v>
      </c>
      <c r="BJ170" t="e">
        <f>IF(#REF!,"AAAAAH+7tj0=",0)</f>
        <v>#REF!</v>
      </c>
      <c r="BK170" t="e">
        <f>IF(#REF!,"AAAAAH+7tj4=",0)</f>
        <v>#REF!</v>
      </c>
      <c r="BL170" t="e">
        <f>IF(#REF!,"AAAAAH+7tj8=",0)</f>
        <v>#REF!</v>
      </c>
      <c r="BM170" t="e">
        <f>IF(#REF!,"AAAAAH+7tkA=",0)</f>
        <v>#REF!</v>
      </c>
      <c r="BN170" t="e">
        <f>IF(#REF!,"AAAAAH+7tkE=",0)</f>
        <v>#REF!</v>
      </c>
      <c r="BO170" t="e">
        <f>IF(#REF!,"AAAAAH+7tkI=",0)</f>
        <v>#REF!</v>
      </c>
      <c r="BP170" t="e">
        <f>IF(#REF!,"AAAAAH+7tkM=",0)</f>
        <v>#REF!</v>
      </c>
      <c r="BQ170" t="e">
        <f>IF(#REF!,"AAAAAH+7tkQ=",0)</f>
        <v>#REF!</v>
      </c>
      <c r="BR170" t="e">
        <f>IF(#REF!,"AAAAAH+7tkU=",0)</f>
        <v>#REF!</v>
      </c>
      <c r="BS170" t="e">
        <f>IF(#REF!,"AAAAAH+7tkY=",0)</f>
        <v>#REF!</v>
      </c>
      <c r="BT170" t="e">
        <f>IF(#REF!,"AAAAAH+7tkc=",0)</f>
        <v>#REF!</v>
      </c>
      <c r="BU170" t="e">
        <f>IF(#REF!,"AAAAAH+7tkg=",0)</f>
        <v>#REF!</v>
      </c>
      <c r="BV170" t="e">
        <f>IF(#REF!,"AAAAAH+7tkk=",0)</f>
        <v>#REF!</v>
      </c>
      <c r="BW170" t="e">
        <f>IF(#REF!,"AAAAAH+7tko=",0)</f>
        <v>#REF!</v>
      </c>
      <c r="BX170" t="e">
        <f>IF(#REF!,"AAAAAH+7tks=",0)</f>
        <v>#REF!</v>
      </c>
      <c r="BY170" t="e">
        <f>IF(#REF!,"AAAAAH+7tkw=",0)</f>
        <v>#REF!</v>
      </c>
      <c r="BZ170" t="e">
        <f>IF(#REF!,"AAAAAH+7tk0=",0)</f>
        <v>#REF!</v>
      </c>
      <c r="CA170" t="e">
        <f>IF(#REF!,"AAAAAH+7tk4=",0)</f>
        <v>#REF!</v>
      </c>
      <c r="CB170" t="e">
        <f>IF(#REF!,"AAAAAH+7tk8=",0)</f>
        <v>#REF!</v>
      </c>
      <c r="CC170" t="e">
        <f>IF(#REF!,"AAAAAH+7tlA=",0)</f>
        <v>#REF!</v>
      </c>
      <c r="CD170" t="e">
        <f>IF(#REF!,"AAAAAH+7tlE=",0)</f>
        <v>#REF!</v>
      </c>
      <c r="CE170" t="e">
        <f>IF(#REF!,"AAAAAH+7tlI=",0)</f>
        <v>#REF!</v>
      </c>
      <c r="CF170" t="e">
        <f>IF(#REF!,"AAAAAH+7tlM=",0)</f>
        <v>#REF!</v>
      </c>
      <c r="CG170" t="e">
        <f>IF(#REF!,"AAAAAH+7tlQ=",0)</f>
        <v>#REF!</v>
      </c>
      <c r="CH170" t="e">
        <f>IF(#REF!,"AAAAAH+7tlU=",0)</f>
        <v>#REF!</v>
      </c>
      <c r="CI170" t="e">
        <f>IF(#REF!,"AAAAAH+7tlY=",0)</f>
        <v>#REF!</v>
      </c>
      <c r="CJ170" t="e">
        <f>IF(#REF!,"AAAAAH+7tlc=",0)</f>
        <v>#REF!</v>
      </c>
      <c r="CK170" t="e">
        <f>IF(#REF!,"AAAAAH+7tlg=",0)</f>
        <v>#REF!</v>
      </c>
      <c r="CL170" t="e">
        <f>IF(#REF!,"AAAAAH+7tlk=",0)</f>
        <v>#REF!</v>
      </c>
      <c r="CM170" t="e">
        <f>IF(#REF!,"AAAAAH+7tlo=",0)</f>
        <v>#REF!</v>
      </c>
      <c r="CN170" t="e">
        <f>IF(#REF!,"AAAAAH+7tls=",0)</f>
        <v>#REF!</v>
      </c>
      <c r="CO170" t="e">
        <f>IF(#REF!,"AAAAAH+7tlw=",0)</f>
        <v>#REF!</v>
      </c>
      <c r="CP170" t="e">
        <f>IF(#REF!,"AAAAAH+7tl0=",0)</f>
        <v>#REF!</v>
      </c>
      <c r="CQ170" t="e">
        <f>IF(#REF!,"AAAAAH+7tl4=",0)</f>
        <v>#REF!</v>
      </c>
      <c r="CR170" t="e">
        <f>IF(#REF!,"AAAAAH+7tl8=",0)</f>
        <v>#REF!</v>
      </c>
      <c r="CS170" t="e">
        <f>IF(#REF!,"AAAAAH+7tmA=",0)</f>
        <v>#REF!</v>
      </c>
      <c r="CT170" t="e">
        <f>IF(#REF!,"AAAAAH+7tmE=",0)</f>
        <v>#REF!</v>
      </c>
      <c r="CU170" t="e">
        <f>IF(#REF!,"AAAAAH+7tmI=",0)</f>
        <v>#REF!</v>
      </c>
      <c r="CV170" t="e">
        <f>IF(#REF!,"AAAAAH+7tmM=",0)</f>
        <v>#REF!</v>
      </c>
      <c r="CW170" t="e">
        <f>IF(#REF!,"AAAAAH+7tmQ=",0)</f>
        <v>#REF!</v>
      </c>
      <c r="CX170" t="e">
        <f>IF(#REF!,"AAAAAH+7tmU=",0)</f>
        <v>#REF!</v>
      </c>
      <c r="CY170" t="e">
        <f>IF(#REF!,"AAAAAH+7tmY=",0)</f>
        <v>#REF!</v>
      </c>
      <c r="CZ170" t="e">
        <f>IF(#REF!,"AAAAAH+7tmc=",0)</f>
        <v>#REF!</v>
      </c>
      <c r="DA170" t="e">
        <f>IF(#REF!,"AAAAAH+7tmg=",0)</f>
        <v>#REF!</v>
      </c>
      <c r="DB170" t="e">
        <f>IF(#REF!,"AAAAAH+7tmk=",0)</f>
        <v>#REF!</v>
      </c>
      <c r="DC170" t="e">
        <f>IF(#REF!,"AAAAAH+7tmo=",0)</f>
        <v>#REF!</v>
      </c>
      <c r="DD170" t="e">
        <f>IF(#REF!,"AAAAAH+7tms=",0)</f>
        <v>#REF!</v>
      </c>
      <c r="DE170" t="e">
        <f>IF(#REF!,"AAAAAH+7tmw=",0)</f>
        <v>#REF!</v>
      </c>
      <c r="DF170" t="e">
        <f>IF(#REF!,"AAAAAH+7tm0=",0)</f>
        <v>#REF!</v>
      </c>
      <c r="DG170" t="e">
        <f>IF(#REF!,"AAAAAH+7tm4=",0)</f>
        <v>#REF!</v>
      </c>
      <c r="DH170" t="e">
        <f>IF(#REF!,"AAAAAH+7tm8=",0)</f>
        <v>#REF!</v>
      </c>
      <c r="DI170" t="e">
        <f>IF(#REF!,"AAAAAH+7tnA=",0)</f>
        <v>#REF!</v>
      </c>
      <c r="DJ170" t="e">
        <f>IF(#REF!,"AAAAAH+7tnE=",0)</f>
        <v>#REF!</v>
      </c>
      <c r="DK170" t="e">
        <f>IF(#REF!,"AAAAAH+7tnI=",0)</f>
        <v>#REF!</v>
      </c>
      <c r="DL170" t="e">
        <f>IF(#REF!,"AAAAAH+7tnM=",0)</f>
        <v>#REF!</v>
      </c>
      <c r="DM170" t="e">
        <f>IF(#REF!,"AAAAAH+7tnQ=",0)</f>
        <v>#REF!</v>
      </c>
      <c r="DN170" t="e">
        <f>IF(#REF!,"AAAAAH+7tnU=",0)</f>
        <v>#REF!</v>
      </c>
      <c r="DO170" t="e">
        <f>IF(#REF!,"AAAAAH+7tnY=",0)</f>
        <v>#REF!</v>
      </c>
      <c r="DP170" t="e">
        <f>IF(#REF!,"AAAAAH+7tnc=",0)</f>
        <v>#REF!</v>
      </c>
      <c r="DQ170" t="e">
        <f>IF(#REF!,"AAAAAH+7tng=",0)</f>
        <v>#REF!</v>
      </c>
      <c r="DR170" t="e">
        <f>IF(#REF!,"AAAAAH+7tnk=",0)</f>
        <v>#REF!</v>
      </c>
      <c r="DS170" t="e">
        <f>IF(#REF!,"AAAAAH+7tno=",0)</f>
        <v>#REF!</v>
      </c>
      <c r="DT170" t="e">
        <f>IF(#REF!,"AAAAAH+7tns=",0)</f>
        <v>#REF!</v>
      </c>
      <c r="DU170" t="e">
        <f>IF(#REF!,"AAAAAH+7tnw=",0)</f>
        <v>#REF!</v>
      </c>
      <c r="DV170" t="e">
        <f>IF(#REF!,"AAAAAH+7tn0=",0)</f>
        <v>#REF!</v>
      </c>
      <c r="DW170" t="e">
        <f>IF(#REF!,"AAAAAH+7tn4=",0)</f>
        <v>#REF!</v>
      </c>
      <c r="DX170" t="e">
        <f>IF(#REF!,"AAAAAH+7tn8=",0)</f>
        <v>#REF!</v>
      </c>
      <c r="DY170" t="e">
        <f>IF(#REF!,"AAAAAH+7toA=",0)</f>
        <v>#REF!</v>
      </c>
      <c r="DZ170" t="e">
        <f>IF(#REF!,"AAAAAH+7toE=",0)</f>
        <v>#REF!</v>
      </c>
      <c r="EA170" t="e">
        <f>IF(#REF!,"AAAAAH+7toI=",0)</f>
        <v>#REF!</v>
      </c>
      <c r="EB170" t="e">
        <f>IF(#REF!,"AAAAAH+7toM=",0)</f>
        <v>#REF!</v>
      </c>
      <c r="EC170" t="e">
        <f>IF(#REF!,"AAAAAH+7toQ=",0)</f>
        <v>#REF!</v>
      </c>
      <c r="ED170" t="e">
        <f>IF(#REF!,"AAAAAH+7toU=",0)</f>
        <v>#REF!</v>
      </c>
      <c r="EE170" t="e">
        <f>IF(#REF!,"AAAAAH+7toY=",0)</f>
        <v>#REF!</v>
      </c>
      <c r="EF170" t="e">
        <f>IF(#REF!,"AAAAAH+7toc=",0)</f>
        <v>#REF!</v>
      </c>
      <c r="EG170" t="e">
        <f>IF(#REF!,"AAAAAH+7tog=",0)</f>
        <v>#REF!</v>
      </c>
      <c r="EH170" t="e">
        <f>IF(#REF!,"AAAAAH+7tok=",0)</f>
        <v>#REF!</v>
      </c>
      <c r="EI170" t="e">
        <f>IF(#REF!,"AAAAAH+7too=",0)</f>
        <v>#REF!</v>
      </c>
      <c r="EJ170" t="e">
        <f>IF(#REF!,"AAAAAH+7tos=",0)</f>
        <v>#REF!</v>
      </c>
      <c r="EK170" t="e">
        <f>IF(#REF!,"AAAAAH+7tow=",0)</f>
        <v>#REF!</v>
      </c>
      <c r="EL170" t="e">
        <f>IF(#REF!,"AAAAAH+7to0=",0)</f>
        <v>#REF!</v>
      </c>
      <c r="EM170" t="e">
        <f>IF(#REF!,"AAAAAH+7to4=",0)</f>
        <v>#REF!</v>
      </c>
      <c r="EN170" t="e">
        <f>IF(#REF!,"AAAAAH+7to8=",0)</f>
        <v>#REF!</v>
      </c>
      <c r="EO170" t="e">
        <f>IF(#REF!,"AAAAAH+7tpA=",0)</f>
        <v>#REF!</v>
      </c>
      <c r="EP170" t="e">
        <f>IF(#REF!,"AAAAAH+7tpE=",0)</f>
        <v>#REF!</v>
      </c>
      <c r="EQ170" t="e">
        <f>IF(#REF!,"AAAAAH+7tpI=",0)</f>
        <v>#REF!</v>
      </c>
      <c r="ER170" t="e">
        <f>IF(#REF!,"AAAAAH+7tpM=",0)</f>
        <v>#REF!</v>
      </c>
      <c r="ES170" t="e">
        <f>IF(#REF!,"AAAAAH+7tpQ=",0)</f>
        <v>#REF!</v>
      </c>
      <c r="ET170" t="e">
        <f>IF(#REF!,"AAAAAH+7tpU=",0)</f>
        <v>#REF!</v>
      </c>
      <c r="EU170" t="e">
        <f>IF(#REF!,"AAAAAH+7tpY=",0)</f>
        <v>#REF!</v>
      </c>
      <c r="EV170" t="e">
        <f>IF(#REF!,"AAAAAH+7tpc=",0)</f>
        <v>#REF!</v>
      </c>
      <c r="EW170" t="e">
        <f>IF(#REF!,"AAAAAH+7tpg=",0)</f>
        <v>#REF!</v>
      </c>
      <c r="EX170" t="e">
        <f>IF(#REF!,"AAAAAH+7tpk=",0)</f>
        <v>#REF!</v>
      </c>
      <c r="EY170" t="e">
        <f>IF(#REF!,"AAAAAH+7tpo=",0)</f>
        <v>#REF!</v>
      </c>
      <c r="EZ170" t="e">
        <f>IF(#REF!,"AAAAAH+7tps=",0)</f>
        <v>#REF!</v>
      </c>
      <c r="FA170" t="e">
        <f>IF(#REF!,"AAAAAH+7tpw=",0)</f>
        <v>#REF!</v>
      </c>
      <c r="FB170" t="e">
        <f>IF(#REF!,"AAAAAH+7tp0=",0)</f>
        <v>#REF!</v>
      </c>
      <c r="FC170" t="e">
        <f>IF(#REF!,"AAAAAH+7tp4=",0)</f>
        <v>#REF!</v>
      </c>
      <c r="FD170" t="e">
        <f>IF(#REF!,"AAAAAH+7tp8=",0)</f>
        <v>#REF!</v>
      </c>
      <c r="FE170" t="e">
        <f>IF(#REF!,"AAAAAH+7tqA=",0)</f>
        <v>#REF!</v>
      </c>
      <c r="FF170" t="e">
        <f>IF(#REF!,"AAAAAH+7tqE=",0)</f>
        <v>#REF!</v>
      </c>
      <c r="FG170" t="e">
        <f>IF(#REF!,"AAAAAH+7tqI=",0)</f>
        <v>#REF!</v>
      </c>
      <c r="FH170" t="e">
        <f>IF(#REF!,"AAAAAH+7tqM=",0)</f>
        <v>#REF!</v>
      </c>
      <c r="FI170" t="e">
        <f>IF(#REF!,"AAAAAH+7tqQ=",0)</f>
        <v>#REF!</v>
      </c>
      <c r="FJ170" t="e">
        <f>IF(#REF!,"AAAAAH+7tqU=",0)</f>
        <v>#REF!</v>
      </c>
      <c r="FK170" t="e">
        <f>IF(#REF!,"AAAAAH+7tqY=",0)</f>
        <v>#REF!</v>
      </c>
      <c r="FL170" t="e">
        <f>IF(#REF!,"AAAAAH+7tqc=",0)</f>
        <v>#REF!</v>
      </c>
      <c r="FM170" t="e">
        <f>IF(#REF!,"AAAAAH+7tqg=",0)</f>
        <v>#REF!</v>
      </c>
      <c r="FN170" t="e">
        <f>IF(#REF!,"AAAAAH+7tqk=",0)</f>
        <v>#REF!</v>
      </c>
      <c r="FO170" t="e">
        <f>IF(#REF!,"AAAAAH+7tqo=",0)</f>
        <v>#REF!</v>
      </c>
      <c r="FP170" t="e">
        <f>IF(#REF!,"AAAAAH+7tqs=",0)</f>
        <v>#REF!</v>
      </c>
      <c r="FQ170" t="e">
        <f>IF(#REF!,"AAAAAH+7tqw=",0)</f>
        <v>#REF!</v>
      </c>
      <c r="FR170" t="e">
        <f>IF(#REF!,"AAAAAH+7tq0=",0)</f>
        <v>#REF!</v>
      </c>
      <c r="FS170" t="e">
        <f>IF(#REF!,"AAAAAH+7tq4=",0)</f>
        <v>#REF!</v>
      </c>
      <c r="FT170" t="e">
        <f>IF(#REF!,"AAAAAH+7tq8=",0)</f>
        <v>#REF!</v>
      </c>
      <c r="FU170" t="e">
        <f>IF(#REF!,"AAAAAH+7trA=",0)</f>
        <v>#REF!</v>
      </c>
      <c r="FV170" t="e">
        <f>IF(#REF!,"AAAAAH+7trE=",0)</f>
        <v>#REF!</v>
      </c>
      <c r="FW170" t="e">
        <f>IF(#REF!,"AAAAAH+7trI=",0)</f>
        <v>#REF!</v>
      </c>
      <c r="FX170" t="e">
        <f>IF(#REF!,"AAAAAH+7trM=",0)</f>
        <v>#REF!</v>
      </c>
      <c r="FY170" t="e">
        <f>IF(#REF!,"AAAAAH+7trQ=",0)</f>
        <v>#REF!</v>
      </c>
      <c r="FZ170" t="e">
        <f>IF(#REF!,"AAAAAH+7trU=",0)</f>
        <v>#REF!</v>
      </c>
      <c r="GA170" t="e">
        <f>IF(#REF!,"AAAAAH+7trY=",0)</f>
        <v>#REF!</v>
      </c>
      <c r="GB170" t="e">
        <f>IF(#REF!,"AAAAAH+7trc=",0)</f>
        <v>#REF!</v>
      </c>
      <c r="GC170" t="e">
        <f>IF(#REF!,"AAAAAH+7trg=",0)</f>
        <v>#REF!</v>
      </c>
      <c r="GD170" t="e">
        <f>IF(#REF!,"AAAAAH+7trk=",0)</f>
        <v>#REF!</v>
      </c>
      <c r="GE170" t="e">
        <f>IF(#REF!,"AAAAAH+7tro=",0)</f>
        <v>#REF!</v>
      </c>
      <c r="GF170" t="e">
        <f>IF(#REF!,"AAAAAH+7trs=",0)</f>
        <v>#REF!</v>
      </c>
      <c r="GG170" t="e">
        <f>IF(#REF!,"AAAAAH+7trw=",0)</f>
        <v>#REF!</v>
      </c>
      <c r="GH170" t="e">
        <f>IF(#REF!,"AAAAAH+7tr0=",0)</f>
        <v>#REF!</v>
      </c>
      <c r="GI170" t="e">
        <f>IF(#REF!,"AAAAAH+7tr4=",0)</f>
        <v>#REF!</v>
      </c>
      <c r="GJ170" t="e">
        <f>IF(#REF!,"AAAAAH+7tr8=",0)</f>
        <v>#REF!</v>
      </c>
      <c r="GK170" t="e">
        <f>IF(#REF!,"AAAAAH+7tsA=",0)</f>
        <v>#REF!</v>
      </c>
      <c r="GL170" t="e">
        <f>IF(#REF!,"AAAAAH+7tsE=",0)</f>
        <v>#REF!</v>
      </c>
      <c r="GM170" t="e">
        <f>IF(#REF!,"AAAAAH+7tsI=",0)</f>
        <v>#REF!</v>
      </c>
      <c r="GN170" t="e">
        <f>IF(#REF!,"AAAAAH+7tsM=",0)</f>
        <v>#REF!</v>
      </c>
      <c r="GO170" t="e">
        <f>IF(#REF!,"AAAAAH+7tsQ=",0)</f>
        <v>#REF!</v>
      </c>
      <c r="GP170" t="e">
        <f>IF(#REF!,"AAAAAH+7tsU=",0)</f>
        <v>#REF!</v>
      </c>
      <c r="GQ170" t="e">
        <f>IF(#REF!,"AAAAAH+7tsY=",0)</f>
        <v>#REF!</v>
      </c>
      <c r="GR170" t="e">
        <f>IF(#REF!,"AAAAAH+7tsc=",0)</f>
        <v>#REF!</v>
      </c>
      <c r="GS170" t="e">
        <f>IF(#REF!,"AAAAAH+7tsg=",0)</f>
        <v>#REF!</v>
      </c>
      <c r="GT170" t="e">
        <f>IF(#REF!,"AAAAAH+7tsk=",0)</f>
        <v>#REF!</v>
      </c>
      <c r="GU170" t="e">
        <f>IF(#REF!,"AAAAAH+7tso=",0)</f>
        <v>#REF!</v>
      </c>
      <c r="GV170" t="e">
        <f>IF(#REF!,"AAAAAH+7tss=",0)</f>
        <v>#REF!</v>
      </c>
      <c r="GW170" t="e">
        <f>IF(#REF!,"AAAAAH+7tsw=",0)</f>
        <v>#REF!</v>
      </c>
      <c r="GX170" t="e">
        <f>IF(#REF!,"AAAAAH+7ts0=",0)</f>
        <v>#REF!</v>
      </c>
      <c r="GY170" t="e">
        <f>IF(#REF!,"AAAAAH+7ts4=",0)</f>
        <v>#REF!</v>
      </c>
      <c r="GZ170" t="e">
        <f>IF(#REF!,"AAAAAH+7ts8=",0)</f>
        <v>#REF!</v>
      </c>
      <c r="HA170" t="e">
        <f>IF(#REF!,"AAAAAH+7ttA=",0)</f>
        <v>#REF!</v>
      </c>
      <c r="HB170" t="e">
        <f>IF(#REF!,"AAAAAH+7ttE=",0)</f>
        <v>#REF!</v>
      </c>
      <c r="HC170" t="e">
        <f>IF(#REF!,"AAAAAH+7ttI=",0)</f>
        <v>#REF!</v>
      </c>
      <c r="HD170" t="e">
        <f>IF(#REF!,"AAAAAH+7ttM=",0)</f>
        <v>#REF!</v>
      </c>
      <c r="HE170" t="e">
        <f>IF(#REF!,"AAAAAH+7ttQ=",0)</f>
        <v>#REF!</v>
      </c>
      <c r="HF170" t="e">
        <f>IF(#REF!,"AAAAAH+7ttU=",0)</f>
        <v>#REF!</v>
      </c>
      <c r="HG170" t="e">
        <f>IF(#REF!,"AAAAAH+7ttY=",0)</f>
        <v>#REF!</v>
      </c>
      <c r="HH170" t="e">
        <f>IF(#REF!,"AAAAAH+7ttc=",0)</f>
        <v>#REF!</v>
      </c>
      <c r="HI170" t="e">
        <f>IF(#REF!,"AAAAAH+7ttg=",0)</f>
        <v>#REF!</v>
      </c>
      <c r="HJ170" t="e">
        <f>IF(#REF!,"AAAAAH+7ttk=",0)</f>
        <v>#REF!</v>
      </c>
      <c r="HK170" t="e">
        <f>IF(#REF!,"AAAAAH+7tto=",0)</f>
        <v>#REF!</v>
      </c>
      <c r="HL170" t="e">
        <f>IF(#REF!,"AAAAAH+7tts=",0)</f>
        <v>#REF!</v>
      </c>
      <c r="HM170" t="e">
        <f>IF(#REF!,"AAAAAH+7ttw=",0)</f>
        <v>#REF!</v>
      </c>
      <c r="HN170" t="e">
        <f>IF(#REF!,"AAAAAH+7tt0=",0)</f>
        <v>#REF!</v>
      </c>
      <c r="HO170" t="e">
        <f>IF(#REF!,"AAAAAH+7tt4=",0)</f>
        <v>#REF!</v>
      </c>
      <c r="HP170" t="e">
        <f>IF(#REF!,"AAAAAH+7tt8=",0)</f>
        <v>#REF!</v>
      </c>
      <c r="HQ170" t="e">
        <f>IF(#REF!,"AAAAAH+7tuA=",0)</f>
        <v>#REF!</v>
      </c>
      <c r="HR170" t="e">
        <f>IF(#REF!,"AAAAAH+7tuE=",0)</f>
        <v>#REF!</v>
      </c>
      <c r="HS170" t="e">
        <f>IF(#REF!,"AAAAAH+7tuI=",0)</f>
        <v>#REF!</v>
      </c>
      <c r="HT170" t="e">
        <f>IF(#REF!,"AAAAAH+7tuM=",0)</f>
        <v>#REF!</v>
      </c>
      <c r="HU170" t="e">
        <f>IF(#REF!,"AAAAAH+7tuQ=",0)</f>
        <v>#REF!</v>
      </c>
      <c r="HV170" t="e">
        <f>IF(#REF!,"AAAAAH+7tuU=",0)</f>
        <v>#REF!</v>
      </c>
      <c r="HW170" t="e">
        <f>IF(#REF!,"AAAAAH+7tuY=",0)</f>
        <v>#REF!</v>
      </c>
      <c r="HX170" t="e">
        <f>IF(#REF!,"AAAAAH+7tuc=",0)</f>
        <v>#REF!</v>
      </c>
      <c r="HY170" t="e">
        <f>IF(#REF!,"AAAAAH+7tug=",0)</f>
        <v>#REF!</v>
      </c>
      <c r="HZ170" t="e">
        <f>IF(#REF!,"AAAAAH+7tuk=",0)</f>
        <v>#REF!</v>
      </c>
      <c r="IA170" t="e">
        <f>IF(#REF!,"AAAAAH+7tuo=",0)</f>
        <v>#REF!</v>
      </c>
      <c r="IB170" t="e">
        <f>IF(#REF!,"AAAAAH+7tus=",0)</f>
        <v>#REF!</v>
      </c>
      <c r="IC170" t="e">
        <f>IF(#REF!,"AAAAAH+7tuw=",0)</f>
        <v>#REF!</v>
      </c>
      <c r="ID170" t="e">
        <f>IF(#REF!,"AAAAAH+7tu0=",0)</f>
        <v>#REF!</v>
      </c>
      <c r="IE170" t="e">
        <f>IF(#REF!,"AAAAAH+7tu4=",0)</f>
        <v>#REF!</v>
      </c>
      <c r="IF170" t="e">
        <f>IF(#REF!,"AAAAAH+7tu8=",0)</f>
        <v>#REF!</v>
      </c>
      <c r="IG170" t="e">
        <f>IF(#REF!,"AAAAAH+7tvA=",0)</f>
        <v>#REF!</v>
      </c>
      <c r="IH170" t="e">
        <f>IF(#REF!,"AAAAAH+7tvE=",0)</f>
        <v>#REF!</v>
      </c>
      <c r="II170" t="e">
        <f>IF(#REF!,"AAAAAH+7tvI=",0)</f>
        <v>#REF!</v>
      </c>
      <c r="IJ170" t="e">
        <f>IF(#REF!,"AAAAAH+7tvM=",0)</f>
        <v>#REF!</v>
      </c>
      <c r="IK170" t="e">
        <f>IF(#REF!,"AAAAAH+7tvQ=",0)</f>
        <v>#REF!</v>
      </c>
      <c r="IL170" t="e">
        <f>IF(#REF!,"AAAAAH+7tvU=",0)</f>
        <v>#REF!</v>
      </c>
      <c r="IM170" t="e">
        <f>IF(#REF!,"AAAAAH+7tvY=",0)</f>
        <v>#REF!</v>
      </c>
      <c r="IN170" t="e">
        <f>IF(#REF!,"AAAAAH+7tvc=",0)</f>
        <v>#REF!</v>
      </c>
      <c r="IO170" t="e">
        <f>IF(#REF!,"AAAAAH+7tvg=",0)</f>
        <v>#REF!</v>
      </c>
      <c r="IP170" t="e">
        <f>IF(#REF!,"AAAAAH+7tvk=",0)</f>
        <v>#REF!</v>
      </c>
      <c r="IQ170" t="e">
        <f>IF(#REF!,"AAAAAH+7tvo=",0)</f>
        <v>#REF!</v>
      </c>
      <c r="IR170" t="e">
        <f>IF(#REF!,"AAAAAH+7tvs=",0)</f>
        <v>#REF!</v>
      </c>
      <c r="IS170" t="e">
        <f>IF(#REF!,"AAAAAH+7tvw=",0)</f>
        <v>#REF!</v>
      </c>
      <c r="IT170" t="e">
        <f>IF(#REF!,"AAAAAH+7tv0=",0)</f>
        <v>#REF!</v>
      </c>
      <c r="IU170" t="e">
        <f>IF(#REF!,"AAAAAH+7tv4=",0)</f>
        <v>#REF!</v>
      </c>
      <c r="IV170" t="e">
        <f>IF(#REF!,"AAAAAH+7tv8=",0)</f>
        <v>#REF!</v>
      </c>
    </row>
    <row r="171" spans="1:256">
      <c r="A171" t="e">
        <f>IF(#REF!,"AAAAAH/93QA=",0)</f>
        <v>#REF!</v>
      </c>
      <c r="B171" t="e">
        <f>IF(#REF!,"AAAAAH/93QE=",0)</f>
        <v>#REF!</v>
      </c>
      <c r="C171" t="e">
        <f>IF(#REF!,"AAAAAH/93QI=",0)</f>
        <v>#REF!</v>
      </c>
      <c r="D171" t="e">
        <f>IF(#REF!,"AAAAAH/93QM=",0)</f>
        <v>#REF!</v>
      </c>
      <c r="E171" t="e">
        <f>IF(#REF!,"AAAAAH/93QQ=",0)</f>
        <v>#REF!</v>
      </c>
      <c r="F171" t="e">
        <f>IF(#REF!,"AAAAAH/93QU=",0)</f>
        <v>#REF!</v>
      </c>
      <c r="G171" t="e">
        <f>IF(#REF!,"AAAAAH/93QY=",0)</f>
        <v>#REF!</v>
      </c>
      <c r="H171" t="e">
        <f>IF(#REF!,"AAAAAH/93Qc=",0)</f>
        <v>#REF!</v>
      </c>
      <c r="I171" t="e">
        <f>IF(#REF!,"AAAAAH/93Qg=",0)</f>
        <v>#REF!</v>
      </c>
      <c r="J171" t="e">
        <f>IF(#REF!,"AAAAAH/93Qk=",0)</f>
        <v>#REF!</v>
      </c>
      <c r="K171" t="e">
        <f>IF(#REF!,"AAAAAH/93Qo=",0)</f>
        <v>#REF!</v>
      </c>
      <c r="L171" t="e">
        <f>IF(#REF!,"AAAAAH/93Qs=",0)</f>
        <v>#REF!</v>
      </c>
      <c r="M171" t="e">
        <f>IF(#REF!,"AAAAAH/93Qw=",0)</f>
        <v>#REF!</v>
      </c>
      <c r="N171" t="e">
        <f>IF(#REF!,"AAAAAH/93Q0=",0)</f>
        <v>#REF!</v>
      </c>
      <c r="O171" t="e">
        <f>IF(#REF!,"AAAAAH/93Q4=",0)</f>
        <v>#REF!</v>
      </c>
      <c r="P171" t="e">
        <f>IF(#REF!,"AAAAAH/93Q8=",0)</f>
        <v>#REF!</v>
      </c>
      <c r="Q171" t="e">
        <f>IF(#REF!,"AAAAAH/93RA=",0)</f>
        <v>#REF!</v>
      </c>
      <c r="R171" t="e">
        <f>IF(#REF!,"AAAAAH/93RE=",0)</f>
        <v>#REF!</v>
      </c>
      <c r="S171" t="e">
        <f>IF(#REF!,"AAAAAH/93RI=",0)</f>
        <v>#REF!</v>
      </c>
      <c r="T171" t="e">
        <f>IF(#REF!,"AAAAAH/93RM=",0)</f>
        <v>#REF!</v>
      </c>
      <c r="U171" t="e">
        <f>IF(#REF!,"AAAAAH/93RQ=",0)</f>
        <v>#REF!</v>
      </c>
      <c r="V171" t="e">
        <f>IF(#REF!,"AAAAAH/93RU=",0)</f>
        <v>#REF!</v>
      </c>
      <c r="W171" t="e">
        <f>IF(#REF!,"AAAAAH/93RY=",0)</f>
        <v>#REF!</v>
      </c>
      <c r="X171" t="e">
        <f>IF(#REF!,"AAAAAH/93Rc=",0)</f>
        <v>#REF!</v>
      </c>
      <c r="Y171" t="e">
        <f>IF(#REF!,"AAAAAH/93Rg=",0)</f>
        <v>#REF!</v>
      </c>
      <c r="Z171" t="e">
        <f>IF(#REF!,"AAAAAH/93Rk=",0)</f>
        <v>#REF!</v>
      </c>
      <c r="AA171" t="e">
        <f>IF(#REF!,"AAAAAH/93Ro=",0)</f>
        <v>#REF!</v>
      </c>
      <c r="AB171" t="e">
        <f>IF(#REF!,"AAAAAH/93Rs=",0)</f>
        <v>#REF!</v>
      </c>
      <c r="AC171" t="e">
        <f>IF(#REF!,"AAAAAH/93Rw=",0)</f>
        <v>#REF!</v>
      </c>
      <c r="AD171" t="e">
        <f>IF(#REF!,"AAAAAH/93R0=",0)</f>
        <v>#REF!</v>
      </c>
      <c r="AE171" t="e">
        <f>IF(#REF!,"AAAAAH/93R4=",0)</f>
        <v>#REF!</v>
      </c>
      <c r="AF171" t="e">
        <f>IF(#REF!,"AAAAAH/93R8=",0)</f>
        <v>#REF!</v>
      </c>
      <c r="AG171" t="e">
        <f>IF(#REF!,"AAAAAH/93SA=",0)</f>
        <v>#REF!</v>
      </c>
      <c r="AH171" t="e">
        <f>IF(#REF!,"AAAAAH/93SE=",0)</f>
        <v>#REF!</v>
      </c>
      <c r="AI171" t="e">
        <f>IF(#REF!,"AAAAAH/93SI=",0)</f>
        <v>#REF!</v>
      </c>
      <c r="AJ171" t="e">
        <f>IF(#REF!,"AAAAAH/93SM=",0)</f>
        <v>#REF!</v>
      </c>
      <c r="AK171" t="e">
        <f>IF(#REF!,"AAAAAH/93SQ=",0)</f>
        <v>#REF!</v>
      </c>
      <c r="AL171" t="e">
        <f>IF(#REF!,"AAAAAH/93SU=",0)</f>
        <v>#REF!</v>
      </c>
      <c r="AM171" t="e">
        <f>IF(#REF!,"AAAAAH/93SY=",0)</f>
        <v>#REF!</v>
      </c>
      <c r="AN171" t="e">
        <f>IF(#REF!,"AAAAAH/93Sc=",0)</f>
        <v>#REF!</v>
      </c>
      <c r="AO171" t="e">
        <f>IF(#REF!,"AAAAAH/93Sg=",0)</f>
        <v>#REF!</v>
      </c>
      <c r="AP171" t="e">
        <f>IF(#REF!,"AAAAAH/93Sk=",0)</f>
        <v>#REF!</v>
      </c>
      <c r="AQ171" t="e">
        <f>IF(#REF!,"AAAAAH/93So=",0)</f>
        <v>#REF!</v>
      </c>
      <c r="AR171" t="e">
        <f>IF(#REF!,"AAAAAH/93Ss=",0)</f>
        <v>#REF!</v>
      </c>
      <c r="AS171" t="e">
        <f>IF(#REF!,"AAAAAH/93Sw=",0)</f>
        <v>#REF!</v>
      </c>
      <c r="AT171" t="e">
        <f>IF(#REF!,"AAAAAH/93S0=",0)</f>
        <v>#REF!</v>
      </c>
      <c r="AU171" t="e">
        <f>IF(#REF!,"AAAAAH/93S4=",0)</f>
        <v>#REF!</v>
      </c>
      <c r="AV171" t="e">
        <f>IF(#REF!,"AAAAAH/93S8=",0)</f>
        <v>#REF!</v>
      </c>
      <c r="AW171" t="e">
        <f>IF(#REF!,"AAAAAH/93TA=",0)</f>
        <v>#REF!</v>
      </c>
      <c r="AX171" t="e">
        <f>IF(#REF!,"AAAAAH/93TE=",0)</f>
        <v>#REF!</v>
      </c>
      <c r="AY171" t="e">
        <f>IF(#REF!,"AAAAAH/93TI=",0)</f>
        <v>#REF!</v>
      </c>
      <c r="AZ171" t="e">
        <f>IF(#REF!,"AAAAAH/93TM=",0)</f>
        <v>#REF!</v>
      </c>
      <c r="BA171" t="e">
        <f>IF(#REF!,"AAAAAH/93TQ=",0)</f>
        <v>#REF!</v>
      </c>
      <c r="BB171" t="e">
        <f>IF(#REF!,"AAAAAH/93TU=",0)</f>
        <v>#REF!</v>
      </c>
      <c r="BC171" t="e">
        <f>IF(#REF!,"AAAAAH/93TY=",0)</f>
        <v>#REF!</v>
      </c>
      <c r="BD171" t="e">
        <f>IF(#REF!,"AAAAAH/93Tc=",0)</f>
        <v>#REF!</v>
      </c>
      <c r="BE171" t="e">
        <f>IF(#REF!,"AAAAAH/93Tg=",0)</f>
        <v>#REF!</v>
      </c>
      <c r="BF171" t="e">
        <f>IF(#REF!,"AAAAAH/93Tk=",0)</f>
        <v>#REF!</v>
      </c>
      <c r="BG171" t="e">
        <f>IF(#REF!,"AAAAAH/93To=",0)</f>
        <v>#REF!</v>
      </c>
      <c r="BH171" t="e">
        <f>IF(#REF!,"AAAAAH/93Ts=",0)</f>
        <v>#REF!</v>
      </c>
      <c r="BI171" t="e">
        <f>IF(#REF!,"AAAAAH/93Tw=",0)</f>
        <v>#REF!</v>
      </c>
      <c r="BJ171" t="e">
        <f>IF(#REF!,"AAAAAH/93T0=",0)</f>
        <v>#REF!</v>
      </c>
      <c r="BK171" t="e">
        <f>IF(#REF!,"AAAAAH/93T4=",0)</f>
        <v>#REF!</v>
      </c>
      <c r="BL171" t="e">
        <f>IF(#REF!,"AAAAAH/93T8=",0)</f>
        <v>#REF!</v>
      </c>
      <c r="BM171" t="e">
        <f>IF(#REF!,"AAAAAH/93UA=",0)</f>
        <v>#REF!</v>
      </c>
      <c r="BN171" t="e">
        <f>IF(#REF!,"AAAAAH/93UE=",0)</f>
        <v>#REF!</v>
      </c>
      <c r="BO171" t="e">
        <f>IF(#REF!,"AAAAAH/93UI=",0)</f>
        <v>#REF!</v>
      </c>
      <c r="BP171" t="e">
        <f>IF(#REF!,"AAAAAH/93UM=",0)</f>
        <v>#REF!</v>
      </c>
      <c r="BQ171" t="e">
        <f>IF(#REF!,"AAAAAH/93UQ=",0)</f>
        <v>#REF!</v>
      </c>
      <c r="BR171" t="e">
        <f>IF(#REF!,"AAAAAH/93UU=",0)</f>
        <v>#REF!</v>
      </c>
      <c r="BS171" t="e">
        <f>IF(#REF!,"AAAAAH/93UY=",0)</f>
        <v>#REF!</v>
      </c>
      <c r="BT171" t="e">
        <f>IF(#REF!,"AAAAAH/93Uc=",0)</f>
        <v>#REF!</v>
      </c>
      <c r="BU171" t="e">
        <f>IF(#REF!,"AAAAAH/93Ug=",0)</f>
        <v>#REF!</v>
      </c>
      <c r="BV171" t="e">
        <f>IF(#REF!,"AAAAAH/93Uk=",0)</f>
        <v>#REF!</v>
      </c>
      <c r="BW171" t="e">
        <f>IF(#REF!,"AAAAAH/93Uo=",0)</f>
        <v>#REF!</v>
      </c>
      <c r="BX171" t="e">
        <f>IF(#REF!,"AAAAAH/93Us=",0)</f>
        <v>#REF!</v>
      </c>
      <c r="BY171" t="e">
        <f>IF(#REF!,"AAAAAH/93Uw=",0)</f>
        <v>#REF!</v>
      </c>
      <c r="BZ171" t="e">
        <f>IF(#REF!,"AAAAAH/93U0=",0)</f>
        <v>#REF!</v>
      </c>
      <c r="CA171" t="e">
        <f>IF(#REF!,"AAAAAH/93U4=",0)</f>
        <v>#REF!</v>
      </c>
      <c r="CB171" t="e">
        <f>IF(#REF!,"AAAAAH/93U8=",0)</f>
        <v>#REF!</v>
      </c>
      <c r="CC171" t="e">
        <f>IF(#REF!,"AAAAAH/93VA=",0)</f>
        <v>#REF!</v>
      </c>
      <c r="CD171" t="e">
        <f>IF(#REF!,"AAAAAH/93VE=",0)</f>
        <v>#REF!</v>
      </c>
      <c r="CE171" t="e">
        <f>IF(#REF!,"AAAAAH/93VI=",0)</f>
        <v>#REF!</v>
      </c>
      <c r="CF171" t="e">
        <f>IF(#REF!,"AAAAAH/93VM=",0)</f>
        <v>#REF!</v>
      </c>
      <c r="CG171" t="e">
        <f>IF(#REF!,"AAAAAH/93VQ=",0)</f>
        <v>#REF!</v>
      </c>
      <c r="CH171" t="e">
        <f>IF(#REF!,"AAAAAH/93VU=",0)</f>
        <v>#REF!</v>
      </c>
      <c r="CI171" t="e">
        <f>IF(#REF!,"AAAAAH/93VY=",0)</f>
        <v>#REF!</v>
      </c>
      <c r="CJ171" t="e">
        <f>IF(#REF!,"AAAAAH/93Vc=",0)</f>
        <v>#REF!</v>
      </c>
      <c r="CK171" t="e">
        <f>IF(#REF!,"AAAAAH/93Vg=",0)</f>
        <v>#REF!</v>
      </c>
      <c r="CL171" t="e">
        <f>IF(#REF!,"AAAAAH/93Vk=",0)</f>
        <v>#REF!</v>
      </c>
      <c r="CM171" t="e">
        <f>IF(#REF!,"AAAAAH/93Vo=",0)</f>
        <v>#REF!</v>
      </c>
      <c r="CN171" t="e">
        <f>IF(#REF!,"AAAAAH/93Vs=",0)</f>
        <v>#REF!</v>
      </c>
      <c r="CO171" t="e">
        <f>IF(#REF!,"AAAAAH/93Vw=",0)</f>
        <v>#REF!</v>
      </c>
      <c r="CP171" t="e">
        <f>IF(#REF!,"AAAAAH/93V0=",0)</f>
        <v>#REF!</v>
      </c>
      <c r="CQ171" t="e">
        <f>IF(#REF!,"AAAAAH/93V4=",0)</f>
        <v>#REF!</v>
      </c>
      <c r="CR171" t="e">
        <f>IF(#REF!,"AAAAAH/93V8=",0)</f>
        <v>#REF!</v>
      </c>
      <c r="CS171" t="e">
        <f>IF(#REF!,"AAAAAH/93WA=",0)</f>
        <v>#REF!</v>
      </c>
      <c r="CT171" t="e">
        <f>IF(#REF!,"AAAAAH/93WE=",0)</f>
        <v>#REF!</v>
      </c>
      <c r="CU171" t="e">
        <f>IF(#REF!,"AAAAAH/93WI=",0)</f>
        <v>#REF!</v>
      </c>
      <c r="CV171" t="e">
        <f>IF(#REF!,"AAAAAH/93WM=",0)</f>
        <v>#REF!</v>
      </c>
      <c r="CW171" t="e">
        <f>IF(#REF!,"AAAAAH/93WQ=",0)</f>
        <v>#REF!</v>
      </c>
      <c r="CX171" t="e">
        <f>IF(#REF!,"AAAAAH/93WU=",0)</f>
        <v>#REF!</v>
      </c>
      <c r="CY171" t="e">
        <f>IF(#REF!,"AAAAAH/93WY=",0)</f>
        <v>#REF!</v>
      </c>
      <c r="CZ171" t="e">
        <f>IF(#REF!,"AAAAAH/93Wc=",0)</f>
        <v>#REF!</v>
      </c>
      <c r="DA171" t="e">
        <f>IF(#REF!,"AAAAAH/93Wg=",0)</f>
        <v>#REF!</v>
      </c>
      <c r="DB171" t="e">
        <f>IF(#REF!,"AAAAAH/93Wk=",0)</f>
        <v>#REF!</v>
      </c>
      <c r="DC171" t="e">
        <f>IF(#REF!,"AAAAAH/93Wo=",0)</f>
        <v>#REF!</v>
      </c>
      <c r="DD171" t="e">
        <f>IF(#REF!,"AAAAAH/93Ws=",0)</f>
        <v>#REF!</v>
      </c>
      <c r="DE171" t="e">
        <f>IF(#REF!,"AAAAAH/93Ww=",0)</f>
        <v>#REF!</v>
      </c>
      <c r="DF171" t="e">
        <f>IF(#REF!,"AAAAAH/93W0=",0)</f>
        <v>#REF!</v>
      </c>
      <c r="DG171" t="e">
        <f>IF(#REF!,"AAAAAH/93W4=",0)</f>
        <v>#REF!</v>
      </c>
      <c r="DH171" t="e">
        <f>IF(#REF!,"AAAAAH/93W8=",0)</f>
        <v>#REF!</v>
      </c>
      <c r="DI171" t="e">
        <f>IF(#REF!,"AAAAAH/93XA=",0)</f>
        <v>#REF!</v>
      </c>
      <c r="DJ171" t="e">
        <f>IF(#REF!,"AAAAAH/93XE=",0)</f>
        <v>#REF!</v>
      </c>
      <c r="DK171" t="e">
        <f>IF(#REF!,"AAAAAH/93XI=",0)</f>
        <v>#REF!</v>
      </c>
      <c r="DL171" t="e">
        <f>IF(#REF!,"AAAAAH/93XM=",0)</f>
        <v>#REF!</v>
      </c>
      <c r="DM171" t="e">
        <f>IF(#REF!,"AAAAAH/93XQ=",0)</f>
        <v>#REF!</v>
      </c>
      <c r="DN171" t="e">
        <f>IF(#REF!,"AAAAAH/93XU=",0)</f>
        <v>#REF!</v>
      </c>
      <c r="DO171" t="e">
        <f>IF(#REF!,"AAAAAH/93XY=",0)</f>
        <v>#REF!</v>
      </c>
      <c r="DP171" t="e">
        <f>IF(#REF!,"AAAAAH/93Xc=",0)</f>
        <v>#REF!</v>
      </c>
      <c r="DQ171" t="e">
        <f>IF(#REF!,"AAAAAH/93Xg=",0)</f>
        <v>#REF!</v>
      </c>
      <c r="DR171" t="e">
        <f>IF(#REF!,"AAAAAH/93Xk=",0)</f>
        <v>#REF!</v>
      </c>
      <c r="DS171" t="e">
        <f>IF(#REF!,"AAAAAH/93Xo=",0)</f>
        <v>#REF!</v>
      </c>
      <c r="DT171" t="e">
        <f>IF(#REF!,"AAAAAH/93Xs=",0)</f>
        <v>#REF!</v>
      </c>
      <c r="DU171" t="e">
        <f>IF(#REF!,"AAAAAH/93Xw=",0)</f>
        <v>#REF!</v>
      </c>
      <c r="DV171" t="e">
        <f>IF(#REF!,"AAAAAH/93X0=",0)</f>
        <v>#REF!</v>
      </c>
      <c r="DW171" t="e">
        <f>IF(#REF!,"AAAAAH/93X4=",0)</f>
        <v>#REF!</v>
      </c>
      <c r="DX171" t="e">
        <f>IF(#REF!,"AAAAAH/93X8=",0)</f>
        <v>#REF!</v>
      </c>
      <c r="DY171" t="e">
        <f>IF(#REF!,"AAAAAH/93YA=",0)</f>
        <v>#REF!</v>
      </c>
      <c r="DZ171" t="e">
        <f>IF(#REF!,"AAAAAH/93YE=",0)</f>
        <v>#REF!</v>
      </c>
      <c r="EA171" t="e">
        <f>IF(#REF!,"AAAAAH/93YI=",0)</f>
        <v>#REF!</v>
      </c>
      <c r="EB171" t="e">
        <f>IF(#REF!,"AAAAAH/93YM=",0)</f>
        <v>#REF!</v>
      </c>
      <c r="EC171" t="e">
        <f>IF(#REF!,"AAAAAH/93YQ=",0)</f>
        <v>#REF!</v>
      </c>
      <c r="ED171" t="e">
        <f>IF(#REF!,"AAAAAH/93YU=",0)</f>
        <v>#REF!</v>
      </c>
      <c r="EE171" t="e">
        <f>IF(#REF!,"AAAAAH/93YY=",0)</f>
        <v>#REF!</v>
      </c>
      <c r="EF171" t="e">
        <f>IF(#REF!,"AAAAAH/93Yc=",0)</f>
        <v>#REF!</v>
      </c>
      <c r="EG171" t="e">
        <f>IF(#REF!,"AAAAAH/93Yg=",0)</f>
        <v>#REF!</v>
      </c>
      <c r="EH171" t="e">
        <f>IF(#REF!,"AAAAAH/93Yk=",0)</f>
        <v>#REF!</v>
      </c>
      <c r="EI171" t="e">
        <f>IF(#REF!,"AAAAAH/93Yo=",0)</f>
        <v>#REF!</v>
      </c>
      <c r="EJ171" t="e">
        <f>IF(#REF!,"AAAAAH/93Ys=",0)</f>
        <v>#REF!</v>
      </c>
      <c r="EK171" t="e">
        <f>IF(#REF!,"AAAAAH/93Yw=",0)</f>
        <v>#REF!</v>
      </c>
      <c r="EL171" t="e">
        <f>IF(#REF!,"AAAAAH/93Y0=",0)</f>
        <v>#REF!</v>
      </c>
      <c r="EM171" t="e">
        <f>IF(#REF!,"AAAAAH/93Y4=",0)</f>
        <v>#REF!</v>
      </c>
      <c r="EN171" t="e">
        <f>IF(#REF!,"AAAAAH/93Y8=",0)</f>
        <v>#REF!</v>
      </c>
      <c r="EO171" t="e">
        <f>IF(#REF!,"AAAAAH/93ZA=",0)</f>
        <v>#REF!</v>
      </c>
      <c r="EP171" t="e">
        <f>IF(#REF!,"AAAAAH/93ZE=",0)</f>
        <v>#REF!</v>
      </c>
      <c r="EQ171" t="e">
        <f>IF(#REF!,"AAAAAH/93ZI=",0)</f>
        <v>#REF!</v>
      </c>
      <c r="ER171" t="e">
        <f>IF(#REF!,"AAAAAH/93ZM=",0)</f>
        <v>#REF!</v>
      </c>
      <c r="ES171" t="e">
        <f>IF(#REF!,"AAAAAH/93ZQ=",0)</f>
        <v>#REF!</v>
      </c>
      <c r="ET171" t="e">
        <f>IF(#REF!,"AAAAAH/93ZU=",0)</f>
        <v>#REF!</v>
      </c>
      <c r="EU171" t="e">
        <f>IF(#REF!,"AAAAAH/93ZY=",0)</f>
        <v>#REF!</v>
      </c>
      <c r="EV171" t="e">
        <f>IF(#REF!,"AAAAAH/93Zc=",0)</f>
        <v>#REF!</v>
      </c>
      <c r="EW171" t="e">
        <f>IF(#REF!,"AAAAAH/93Zg=",0)</f>
        <v>#REF!</v>
      </c>
      <c r="EX171" t="e">
        <f>IF(#REF!,"AAAAAH/93Zk=",0)</f>
        <v>#REF!</v>
      </c>
      <c r="EY171" t="e">
        <f>IF(#REF!,"AAAAAH/93Zo=",0)</f>
        <v>#REF!</v>
      </c>
      <c r="EZ171" t="e">
        <f>IF(#REF!,"AAAAAH/93Zs=",0)</f>
        <v>#REF!</v>
      </c>
      <c r="FA171" t="e">
        <f>IF(#REF!,"AAAAAH/93Zw=",0)</f>
        <v>#REF!</v>
      </c>
      <c r="FB171" t="e">
        <f>IF(#REF!,"AAAAAH/93Z0=",0)</f>
        <v>#REF!</v>
      </c>
      <c r="FC171" t="e">
        <f>IF(#REF!,"AAAAAH/93Z4=",0)</f>
        <v>#REF!</v>
      </c>
      <c r="FD171" t="e">
        <f>IF(#REF!,"AAAAAH/93Z8=",0)</f>
        <v>#REF!</v>
      </c>
      <c r="FE171" t="e">
        <f>IF(#REF!,"AAAAAH/93aA=",0)</f>
        <v>#REF!</v>
      </c>
      <c r="FF171" t="e">
        <f>IF(#REF!,"AAAAAH/93aE=",0)</f>
        <v>#REF!</v>
      </c>
      <c r="FG171" t="e">
        <f>IF(#REF!,"AAAAAH/93aI=",0)</f>
        <v>#REF!</v>
      </c>
      <c r="FH171" t="e">
        <f>IF(#REF!,"AAAAAH/93aM=",0)</f>
        <v>#REF!</v>
      </c>
      <c r="FI171" t="e">
        <f>IF(#REF!,"AAAAAH/93aQ=",0)</f>
        <v>#REF!</v>
      </c>
      <c r="FJ171" t="e">
        <f>IF(#REF!,"AAAAAH/93aU=",0)</f>
        <v>#REF!</v>
      </c>
      <c r="FK171" t="e">
        <f>IF(#REF!,"AAAAAH/93aY=",0)</f>
        <v>#REF!</v>
      </c>
      <c r="FL171" t="e">
        <f>IF(#REF!,"AAAAAH/93ac=",0)</f>
        <v>#REF!</v>
      </c>
      <c r="FM171" t="e">
        <f>IF(#REF!,"AAAAAH/93ag=",0)</f>
        <v>#REF!</v>
      </c>
      <c r="FN171" t="e">
        <f>IF(#REF!,"AAAAAH/93ak=",0)</f>
        <v>#REF!</v>
      </c>
      <c r="FO171" t="e">
        <f>IF(#REF!,"AAAAAH/93ao=",0)</f>
        <v>#REF!</v>
      </c>
      <c r="FP171" t="e">
        <f>IF(#REF!,"AAAAAH/93as=",0)</f>
        <v>#REF!</v>
      </c>
      <c r="FQ171" t="e">
        <f>IF(#REF!,"AAAAAH/93aw=",0)</f>
        <v>#REF!</v>
      </c>
      <c r="FR171" t="e">
        <f>IF(#REF!,"AAAAAH/93a0=",0)</f>
        <v>#REF!</v>
      </c>
      <c r="FS171" t="e">
        <f>IF(#REF!,"AAAAAH/93a4=",0)</f>
        <v>#REF!</v>
      </c>
      <c r="FT171" t="e">
        <f>IF(#REF!,"AAAAAH/93a8=",0)</f>
        <v>#REF!</v>
      </c>
      <c r="FU171" t="e">
        <f>IF(#REF!,"AAAAAH/93bA=",0)</f>
        <v>#REF!</v>
      </c>
      <c r="FV171" t="e">
        <f>IF(#REF!,"AAAAAH/93bE=",0)</f>
        <v>#REF!</v>
      </c>
      <c r="FW171" t="e">
        <f>IF(#REF!,"AAAAAH/93bI=",0)</f>
        <v>#REF!</v>
      </c>
      <c r="FX171" t="e">
        <f>IF(#REF!,"AAAAAH/93bM=",0)</f>
        <v>#REF!</v>
      </c>
      <c r="FY171" t="e">
        <f>IF(#REF!,"AAAAAH/93bQ=",0)</f>
        <v>#REF!</v>
      </c>
      <c r="FZ171" t="e">
        <f>IF(#REF!,"AAAAAH/93bU=",0)</f>
        <v>#REF!</v>
      </c>
      <c r="GA171" t="e">
        <f>IF(#REF!,"AAAAAH/93bY=",0)</f>
        <v>#REF!</v>
      </c>
      <c r="GB171" t="e">
        <f>IF(#REF!,"AAAAAH/93bc=",0)</f>
        <v>#REF!</v>
      </c>
      <c r="GC171" t="e">
        <f>IF(#REF!,"AAAAAH/93bg=",0)</f>
        <v>#REF!</v>
      </c>
      <c r="GD171" t="e">
        <f>IF(#REF!,"AAAAAH/93bk=",0)</f>
        <v>#REF!</v>
      </c>
      <c r="GE171" t="e">
        <f>IF(#REF!,"AAAAAH/93bo=",0)</f>
        <v>#REF!</v>
      </c>
      <c r="GF171" t="e">
        <f>IF(#REF!,"AAAAAH/93bs=",0)</f>
        <v>#REF!</v>
      </c>
      <c r="GG171" t="e">
        <f>IF(#REF!,"AAAAAH/93bw=",0)</f>
        <v>#REF!</v>
      </c>
      <c r="GH171" t="e">
        <f>IF(#REF!,"AAAAAH/93b0=",0)</f>
        <v>#REF!</v>
      </c>
      <c r="GI171" t="e">
        <f>IF(#REF!,"AAAAAH/93b4=",0)</f>
        <v>#REF!</v>
      </c>
      <c r="GJ171" t="e">
        <f>IF(#REF!,"AAAAAH/93b8=",0)</f>
        <v>#REF!</v>
      </c>
      <c r="GK171" t="e">
        <f>IF(#REF!,"AAAAAH/93cA=",0)</f>
        <v>#REF!</v>
      </c>
      <c r="GL171" t="e">
        <f>IF(#REF!,"AAAAAH/93cE=",0)</f>
        <v>#REF!</v>
      </c>
      <c r="GM171" t="e">
        <f>IF(#REF!,"AAAAAH/93cI=",0)</f>
        <v>#REF!</v>
      </c>
      <c r="GN171" t="e">
        <f>IF(#REF!,"AAAAAH/93cM=",0)</f>
        <v>#REF!</v>
      </c>
      <c r="GO171" t="e">
        <f>IF(#REF!,"AAAAAH/93cQ=",0)</f>
        <v>#REF!</v>
      </c>
      <c r="GP171" t="e">
        <f>IF(#REF!,"AAAAAH/93cU=",0)</f>
        <v>#REF!</v>
      </c>
      <c r="GQ171" t="e">
        <f>IF(#REF!,"AAAAAH/93cY=",0)</f>
        <v>#REF!</v>
      </c>
      <c r="GR171" t="e">
        <f>IF(#REF!,"AAAAAH/93cc=",0)</f>
        <v>#REF!</v>
      </c>
      <c r="GS171" t="e">
        <f>IF(#REF!,"AAAAAH/93cg=",0)</f>
        <v>#REF!</v>
      </c>
      <c r="GT171" t="e">
        <f>IF(#REF!,"AAAAAH/93ck=",0)</f>
        <v>#REF!</v>
      </c>
      <c r="GU171" t="e">
        <f>IF(#REF!,"AAAAAH/93co=",0)</f>
        <v>#REF!</v>
      </c>
      <c r="GV171" t="e">
        <f>IF(#REF!,"AAAAAH/93cs=",0)</f>
        <v>#REF!</v>
      </c>
      <c r="GW171" t="e">
        <f>IF(#REF!,"AAAAAH/93cw=",0)</f>
        <v>#REF!</v>
      </c>
      <c r="GX171" t="e">
        <f>IF(#REF!,"AAAAAH/93c0=",0)</f>
        <v>#REF!</v>
      </c>
      <c r="GY171" t="e">
        <f>IF(#REF!,"AAAAAH/93c4=",0)</f>
        <v>#REF!</v>
      </c>
      <c r="GZ171" t="e">
        <f>IF(#REF!,"AAAAAH/93c8=",0)</f>
        <v>#REF!</v>
      </c>
      <c r="HA171" t="e">
        <f>IF(#REF!,"AAAAAH/93dA=",0)</f>
        <v>#REF!</v>
      </c>
      <c r="HB171" t="e">
        <f>IF(#REF!,"AAAAAH/93dE=",0)</f>
        <v>#REF!</v>
      </c>
      <c r="HC171" t="e">
        <f>IF(#REF!,"AAAAAH/93dI=",0)</f>
        <v>#REF!</v>
      </c>
      <c r="HD171" t="e">
        <f>IF(#REF!,"AAAAAH/93dM=",0)</f>
        <v>#REF!</v>
      </c>
      <c r="HE171" t="e">
        <f>IF(#REF!,"AAAAAH/93dQ=",0)</f>
        <v>#REF!</v>
      </c>
      <c r="HF171" t="e">
        <f>IF(#REF!,"AAAAAH/93dU=",0)</f>
        <v>#REF!</v>
      </c>
      <c r="HG171" t="e">
        <f>IF(#REF!,"AAAAAH/93dY=",0)</f>
        <v>#REF!</v>
      </c>
      <c r="HH171" t="e">
        <f>IF(#REF!,"AAAAAH/93dc=",0)</f>
        <v>#REF!</v>
      </c>
      <c r="HI171" t="e">
        <f>IF(#REF!,"AAAAAH/93dg=",0)</f>
        <v>#REF!</v>
      </c>
      <c r="HJ171" t="e">
        <f>IF(#REF!,"AAAAAH/93dk=",0)</f>
        <v>#REF!</v>
      </c>
      <c r="HK171" t="e">
        <f>IF(#REF!,"AAAAAH/93do=",0)</f>
        <v>#REF!</v>
      </c>
      <c r="HL171" t="e">
        <f>IF(#REF!,"AAAAAH/93ds=",0)</f>
        <v>#REF!</v>
      </c>
      <c r="HM171" t="e">
        <f>IF(#REF!,"AAAAAH/93dw=",0)</f>
        <v>#REF!</v>
      </c>
      <c r="HN171" t="e">
        <f>IF(#REF!,"AAAAAH/93d0=",0)</f>
        <v>#REF!</v>
      </c>
      <c r="HO171" t="e">
        <f>IF(#REF!,"AAAAAH/93d4=",0)</f>
        <v>#REF!</v>
      </c>
      <c r="HP171" t="e">
        <f>IF(#REF!,"AAAAAH/93d8=",0)</f>
        <v>#REF!</v>
      </c>
      <c r="HQ171" t="e">
        <f>IF(#REF!,"AAAAAH/93eA=",0)</f>
        <v>#REF!</v>
      </c>
      <c r="HR171" t="e">
        <f>IF(#REF!,"AAAAAH/93eE=",0)</f>
        <v>#REF!</v>
      </c>
      <c r="HS171" t="e">
        <f>IF(#REF!,"AAAAAH/93eI=",0)</f>
        <v>#REF!</v>
      </c>
      <c r="HT171" t="e">
        <f>IF(#REF!,"AAAAAH/93eM=",0)</f>
        <v>#REF!</v>
      </c>
      <c r="HU171" t="e">
        <f>IF(#REF!,"AAAAAH/93eQ=",0)</f>
        <v>#REF!</v>
      </c>
      <c r="HV171" t="e">
        <f>IF(#REF!,"AAAAAH/93eU=",0)</f>
        <v>#REF!</v>
      </c>
      <c r="HW171" t="e">
        <f>IF(#REF!,"AAAAAH/93eY=",0)</f>
        <v>#REF!</v>
      </c>
      <c r="HX171" t="e">
        <f>IF(#REF!,"AAAAAH/93ec=",0)</f>
        <v>#REF!</v>
      </c>
      <c r="HY171" t="e">
        <f>IF(#REF!,"AAAAAH/93eg=",0)</f>
        <v>#REF!</v>
      </c>
      <c r="HZ171" t="e">
        <f>IF(#REF!,"AAAAAH/93ek=",0)</f>
        <v>#REF!</v>
      </c>
      <c r="IA171" t="e">
        <f>IF(#REF!,"AAAAAH/93eo=",0)</f>
        <v>#REF!</v>
      </c>
      <c r="IB171" t="e">
        <f>IF(#REF!,"AAAAAH/93es=",0)</f>
        <v>#REF!</v>
      </c>
      <c r="IC171" t="e">
        <f>IF(#REF!,"AAAAAH/93ew=",0)</f>
        <v>#REF!</v>
      </c>
      <c r="ID171" t="e">
        <f>IF(#REF!,"AAAAAH/93e0=",0)</f>
        <v>#REF!</v>
      </c>
      <c r="IE171" t="e">
        <f>IF(#REF!,"AAAAAH/93e4=",0)</f>
        <v>#REF!</v>
      </c>
      <c r="IF171" t="e">
        <f>IF(#REF!,"AAAAAH/93e8=",0)</f>
        <v>#REF!</v>
      </c>
      <c r="IG171" t="e">
        <f>IF(#REF!,"AAAAAH/93fA=",0)</f>
        <v>#REF!</v>
      </c>
      <c r="IH171" t="e">
        <f>IF(#REF!,"AAAAAH/93fE=",0)</f>
        <v>#REF!</v>
      </c>
      <c r="II171" t="e">
        <f>IF(#REF!,"AAAAAH/93fI=",0)</f>
        <v>#REF!</v>
      </c>
      <c r="IJ171" t="e">
        <f>IF(#REF!,"AAAAAH/93fM=",0)</f>
        <v>#REF!</v>
      </c>
      <c r="IK171" t="e">
        <f>IF(#REF!,"AAAAAH/93fQ=",0)</f>
        <v>#REF!</v>
      </c>
      <c r="IL171" t="e">
        <f>IF(#REF!,"AAAAAH/93fU=",0)</f>
        <v>#REF!</v>
      </c>
      <c r="IM171" t="e">
        <f>IF(#REF!,"AAAAAH/93fY=",0)</f>
        <v>#REF!</v>
      </c>
      <c r="IN171" t="e">
        <f>IF(#REF!,"AAAAAH/93fc=",0)</f>
        <v>#REF!</v>
      </c>
      <c r="IO171" t="e">
        <f>IF(#REF!,"AAAAAH/93fg=",0)</f>
        <v>#REF!</v>
      </c>
      <c r="IP171" t="e">
        <f>IF(#REF!,"AAAAAH/93fk=",0)</f>
        <v>#REF!</v>
      </c>
      <c r="IQ171" t="e">
        <f>IF(#REF!,"AAAAAH/93fo=",0)</f>
        <v>#REF!</v>
      </c>
      <c r="IR171" t="e">
        <f>IF(#REF!,"AAAAAH/93fs=",0)</f>
        <v>#REF!</v>
      </c>
      <c r="IS171" t="e">
        <f>IF(#REF!,"AAAAAH/93fw=",0)</f>
        <v>#REF!</v>
      </c>
      <c r="IT171" t="e">
        <f>IF(#REF!,"AAAAAH/93f0=",0)</f>
        <v>#REF!</v>
      </c>
      <c r="IU171" t="e">
        <f>IF(#REF!,"AAAAAH/93f4=",0)</f>
        <v>#REF!</v>
      </c>
      <c r="IV171" t="e">
        <f>IF(#REF!,"AAAAAH/93f8=",0)</f>
        <v>#REF!</v>
      </c>
    </row>
    <row r="172" spans="1:256">
      <c r="A172" t="e">
        <f>IF(#REF!,"AAAAABT69wA=",0)</f>
        <v>#REF!</v>
      </c>
      <c r="B172" t="e">
        <f>IF(#REF!,"AAAAABT69wE=",0)</f>
        <v>#REF!</v>
      </c>
      <c r="C172" t="e">
        <f>IF(#REF!,"AAAAABT69wI=",0)</f>
        <v>#REF!</v>
      </c>
      <c r="D172" t="e">
        <f>IF(#REF!,"AAAAABT69wM=",0)</f>
        <v>#REF!</v>
      </c>
      <c r="E172" t="e">
        <f>IF(#REF!,"AAAAABT69wQ=",0)</f>
        <v>#REF!</v>
      </c>
      <c r="F172" t="e">
        <f>IF(#REF!,"AAAAABT69wU=",0)</f>
        <v>#REF!</v>
      </c>
      <c r="G172" t="e">
        <f>IF(#REF!,"AAAAABT69wY=",0)</f>
        <v>#REF!</v>
      </c>
      <c r="H172" t="e">
        <f>IF(#REF!,"AAAAABT69wc=",0)</f>
        <v>#REF!</v>
      </c>
      <c r="I172" t="e">
        <f>IF(#REF!,"AAAAABT69wg=",0)</f>
        <v>#REF!</v>
      </c>
      <c r="J172" t="e">
        <f>IF(#REF!,"AAAAABT69wk=",0)</f>
        <v>#REF!</v>
      </c>
      <c r="K172" t="e">
        <f>IF(#REF!,"AAAAABT69wo=",0)</f>
        <v>#REF!</v>
      </c>
      <c r="L172" t="e">
        <f>IF(#REF!,"AAAAABT69ws=",0)</f>
        <v>#REF!</v>
      </c>
      <c r="M172" t="e">
        <f>IF(#REF!,"AAAAABT69ww=",0)</f>
        <v>#REF!</v>
      </c>
      <c r="N172" t="e">
        <f>IF(#REF!,"AAAAABT69w0=",0)</f>
        <v>#REF!</v>
      </c>
      <c r="O172" t="e">
        <f>IF(#REF!,"AAAAABT69w4=",0)</f>
        <v>#REF!</v>
      </c>
      <c r="P172" t="e">
        <f>IF(#REF!,"AAAAABT69w8=",0)</f>
        <v>#REF!</v>
      </c>
      <c r="Q172" t="e">
        <f>IF(#REF!,"AAAAABT69xA=",0)</f>
        <v>#REF!</v>
      </c>
      <c r="R172" t="e">
        <f>IF(#REF!,"AAAAABT69xE=",0)</f>
        <v>#REF!</v>
      </c>
      <c r="S172" t="e">
        <f>IF(#REF!,"AAAAABT69xI=",0)</f>
        <v>#REF!</v>
      </c>
      <c r="T172" t="e">
        <f>IF(#REF!,"AAAAABT69xM=",0)</f>
        <v>#REF!</v>
      </c>
      <c r="U172" t="e">
        <f>IF(#REF!,"AAAAABT69xQ=",0)</f>
        <v>#REF!</v>
      </c>
      <c r="V172" t="e">
        <f>IF(#REF!,"AAAAABT69xU=",0)</f>
        <v>#REF!</v>
      </c>
      <c r="W172" t="e">
        <f>IF(#REF!,"AAAAABT69xY=",0)</f>
        <v>#REF!</v>
      </c>
      <c r="X172" t="e">
        <f>IF(#REF!,"AAAAABT69xc=",0)</f>
        <v>#REF!</v>
      </c>
      <c r="Y172" t="e">
        <f>IF(#REF!,"AAAAABT69xg=",0)</f>
        <v>#REF!</v>
      </c>
      <c r="Z172" t="e">
        <f>IF(#REF!,"AAAAABT69xk=",0)</f>
        <v>#REF!</v>
      </c>
      <c r="AA172" t="e">
        <f>IF(#REF!,"AAAAABT69xo=",0)</f>
        <v>#REF!</v>
      </c>
      <c r="AB172" t="e">
        <f>IF(#REF!,"AAAAABT69xs=",0)</f>
        <v>#REF!</v>
      </c>
      <c r="AC172" t="e">
        <f>IF(#REF!,"AAAAABT69xw=",0)</f>
        <v>#REF!</v>
      </c>
      <c r="AD172" t="e">
        <f>IF(#REF!,"AAAAABT69x0=",0)</f>
        <v>#REF!</v>
      </c>
      <c r="AE172" t="e">
        <f>IF(#REF!,"AAAAABT69x4=",0)</f>
        <v>#REF!</v>
      </c>
      <c r="AF172" t="e">
        <f>IF(#REF!,"AAAAABT69x8=",0)</f>
        <v>#REF!</v>
      </c>
      <c r="AG172" t="e">
        <f>IF(#REF!,"AAAAABT69yA=",0)</f>
        <v>#REF!</v>
      </c>
      <c r="AH172" t="e">
        <f>IF(#REF!,"AAAAABT69yE=",0)</f>
        <v>#REF!</v>
      </c>
      <c r="AI172" t="e">
        <f>IF(#REF!,"AAAAABT69yI=",0)</f>
        <v>#REF!</v>
      </c>
      <c r="AJ172" t="e">
        <f>IF(#REF!,"AAAAABT69yM=",0)</f>
        <v>#REF!</v>
      </c>
      <c r="AK172" t="e">
        <f>IF(#REF!,"AAAAABT69yQ=",0)</f>
        <v>#REF!</v>
      </c>
      <c r="AL172" t="e">
        <f>IF(#REF!,"AAAAABT69yU=",0)</f>
        <v>#REF!</v>
      </c>
      <c r="AM172" t="e">
        <f>IF(#REF!,"AAAAABT69yY=",0)</f>
        <v>#REF!</v>
      </c>
      <c r="AN172" t="e">
        <f>IF(#REF!,"AAAAABT69yc=",0)</f>
        <v>#REF!</v>
      </c>
      <c r="AO172" t="e">
        <f>IF(#REF!,"AAAAABT69yg=",0)</f>
        <v>#REF!</v>
      </c>
      <c r="AP172" t="e">
        <f>IF(#REF!,"AAAAABT69yk=",0)</f>
        <v>#REF!</v>
      </c>
      <c r="AQ172" t="e">
        <f>IF(#REF!,"AAAAABT69yo=",0)</f>
        <v>#REF!</v>
      </c>
      <c r="AR172" t="e">
        <f>IF(#REF!,"AAAAABT69ys=",0)</f>
        <v>#REF!</v>
      </c>
      <c r="AS172" t="e">
        <f>IF(#REF!,"AAAAABT69yw=",0)</f>
        <v>#REF!</v>
      </c>
      <c r="AT172" t="e">
        <f>IF(#REF!,"AAAAABT69y0=",0)</f>
        <v>#REF!</v>
      </c>
      <c r="AU172" t="e">
        <f>IF(#REF!,"AAAAABT69y4=",0)</f>
        <v>#REF!</v>
      </c>
      <c r="AV172" t="e">
        <f>IF(#REF!,"AAAAABT69y8=",0)</f>
        <v>#REF!</v>
      </c>
      <c r="AW172" t="e">
        <f>IF(#REF!,"AAAAABT69zA=",0)</f>
        <v>#REF!</v>
      </c>
      <c r="AX172" t="e">
        <f>IF(#REF!,"AAAAABT69zE=",0)</f>
        <v>#REF!</v>
      </c>
      <c r="AY172" t="e">
        <f>IF(#REF!,"AAAAABT69zI=",0)</f>
        <v>#REF!</v>
      </c>
      <c r="AZ172" t="e">
        <f>IF(#REF!,"AAAAABT69zM=",0)</f>
        <v>#REF!</v>
      </c>
      <c r="BA172" t="e">
        <f>IF(#REF!,"AAAAABT69zQ=",0)</f>
        <v>#REF!</v>
      </c>
      <c r="BB172" t="e">
        <f>IF(#REF!,"AAAAABT69zU=",0)</f>
        <v>#REF!</v>
      </c>
      <c r="BC172" t="e">
        <f>IF(#REF!,"AAAAABT69zY=",0)</f>
        <v>#REF!</v>
      </c>
      <c r="BD172" t="e">
        <f>IF(#REF!,"AAAAABT69zc=",0)</f>
        <v>#REF!</v>
      </c>
      <c r="BE172" t="e">
        <f>IF(#REF!,"AAAAABT69zg=",0)</f>
        <v>#REF!</v>
      </c>
      <c r="BF172" t="e">
        <f>IF(#REF!,"AAAAABT69zk=",0)</f>
        <v>#REF!</v>
      </c>
      <c r="BG172" t="e">
        <f>IF(#REF!,"AAAAABT69zo=",0)</f>
        <v>#REF!</v>
      </c>
      <c r="BH172" t="e">
        <f>IF(#REF!,"AAAAABT69zs=",0)</f>
        <v>#REF!</v>
      </c>
      <c r="BI172" t="e">
        <f>IF(#REF!,"AAAAABT69zw=",0)</f>
        <v>#REF!</v>
      </c>
      <c r="BJ172" t="e">
        <f>IF(#REF!,"AAAAABT69z0=",0)</f>
        <v>#REF!</v>
      </c>
      <c r="BK172" t="e">
        <f>IF(#REF!,"AAAAABT69z4=",0)</f>
        <v>#REF!</v>
      </c>
      <c r="BL172" t="e">
        <f>IF(#REF!,"AAAAABT69z8=",0)</f>
        <v>#REF!</v>
      </c>
      <c r="BM172" t="e">
        <f>IF(#REF!,"AAAAABT690A=",0)</f>
        <v>#REF!</v>
      </c>
      <c r="BN172" t="e">
        <f>IF(#REF!,"AAAAABT690E=",0)</f>
        <v>#REF!</v>
      </c>
      <c r="BO172" t="e">
        <f>IF(#REF!,"AAAAABT690I=",0)</f>
        <v>#REF!</v>
      </c>
      <c r="BP172" t="e">
        <f>IF(#REF!,"AAAAABT690M=",0)</f>
        <v>#REF!</v>
      </c>
      <c r="BQ172" t="e">
        <f>IF(#REF!,"AAAAABT690Q=",0)</f>
        <v>#REF!</v>
      </c>
      <c r="BR172" t="e">
        <f>IF(#REF!,"AAAAABT690U=",0)</f>
        <v>#REF!</v>
      </c>
      <c r="BS172" t="e">
        <f>IF(#REF!,"AAAAABT690Y=",0)</f>
        <v>#REF!</v>
      </c>
      <c r="BT172" t="e">
        <f>IF(#REF!,"AAAAABT690c=",0)</f>
        <v>#REF!</v>
      </c>
      <c r="BU172" t="e">
        <f>IF(#REF!,"AAAAABT690g=",0)</f>
        <v>#REF!</v>
      </c>
      <c r="BV172" t="e">
        <f>IF(#REF!,"AAAAABT690k=",0)</f>
        <v>#REF!</v>
      </c>
      <c r="BW172" t="e">
        <f>IF(#REF!,"AAAAABT690o=",0)</f>
        <v>#REF!</v>
      </c>
      <c r="BX172" t="e">
        <f>IF(#REF!,"AAAAABT690s=",0)</f>
        <v>#REF!</v>
      </c>
      <c r="BY172" t="e">
        <f>IF(#REF!,"AAAAABT690w=",0)</f>
        <v>#REF!</v>
      </c>
      <c r="BZ172" t="e">
        <f>IF(#REF!,"AAAAABT6900=",0)</f>
        <v>#REF!</v>
      </c>
      <c r="CA172" t="e">
        <f>IF(#REF!,"AAAAABT6904=",0)</f>
        <v>#REF!</v>
      </c>
      <c r="CB172" t="e">
        <f>IF(#REF!,"AAAAABT6908=",0)</f>
        <v>#REF!</v>
      </c>
      <c r="CC172" t="e">
        <f>IF(#REF!,"AAAAABT691A=",0)</f>
        <v>#REF!</v>
      </c>
      <c r="CD172" t="e">
        <f>IF(#REF!,"AAAAABT691E=",0)</f>
        <v>#REF!</v>
      </c>
      <c r="CE172" t="e">
        <f>IF(#REF!,"AAAAABT691I=",0)</f>
        <v>#REF!</v>
      </c>
      <c r="CF172" t="e">
        <f>IF(#REF!,"AAAAABT691M=",0)</f>
        <v>#REF!</v>
      </c>
      <c r="CG172" t="e">
        <f>IF(#REF!,"AAAAABT691Q=",0)</f>
        <v>#REF!</v>
      </c>
      <c r="CH172" t="e">
        <f>IF(#REF!,"AAAAABT691U=",0)</f>
        <v>#REF!</v>
      </c>
      <c r="CI172" t="e">
        <f>IF(#REF!,"AAAAABT691Y=",0)</f>
        <v>#REF!</v>
      </c>
      <c r="CJ172" t="e">
        <f>IF(#REF!,"AAAAABT691c=",0)</f>
        <v>#REF!</v>
      </c>
      <c r="CK172" t="e">
        <f>IF(#REF!,"AAAAABT691g=",0)</f>
        <v>#REF!</v>
      </c>
      <c r="CL172" t="e">
        <f>IF(#REF!,"AAAAABT691k=",0)</f>
        <v>#REF!</v>
      </c>
      <c r="CM172" t="e">
        <f>IF(#REF!,"AAAAABT691o=",0)</f>
        <v>#REF!</v>
      </c>
      <c r="CN172" t="e">
        <f>IF(#REF!,"AAAAABT691s=",0)</f>
        <v>#REF!</v>
      </c>
      <c r="CO172" t="e">
        <f>IF(#REF!,"AAAAABT691w=",0)</f>
        <v>#REF!</v>
      </c>
      <c r="CP172" t="e">
        <f>IF(#REF!,"AAAAABT6910=",0)</f>
        <v>#REF!</v>
      </c>
      <c r="CQ172" t="e">
        <f>IF(#REF!,"AAAAABT6914=",0)</f>
        <v>#REF!</v>
      </c>
      <c r="CR172" t="e">
        <f>IF(#REF!,"AAAAABT6918=",0)</f>
        <v>#REF!</v>
      </c>
      <c r="CS172" t="e">
        <f>IF(#REF!,"AAAAABT692A=",0)</f>
        <v>#REF!</v>
      </c>
      <c r="CT172" t="e">
        <f>IF(#REF!,"AAAAABT692E=",0)</f>
        <v>#REF!</v>
      </c>
      <c r="CU172" t="e">
        <f>IF(#REF!,"AAAAABT692I=",0)</f>
        <v>#REF!</v>
      </c>
      <c r="CV172" t="e">
        <f>IF(#REF!,"AAAAABT692M=",0)</f>
        <v>#REF!</v>
      </c>
      <c r="CW172" t="e">
        <f>IF(#REF!,"AAAAABT692Q=",0)</f>
        <v>#REF!</v>
      </c>
      <c r="CX172" t="e">
        <f>IF(#REF!,"AAAAABT692U=",0)</f>
        <v>#REF!</v>
      </c>
      <c r="CY172" t="e">
        <f>IF(#REF!,"AAAAABT692Y=",0)</f>
        <v>#REF!</v>
      </c>
      <c r="CZ172" t="e">
        <f>IF(#REF!,"AAAAABT692c=",0)</f>
        <v>#REF!</v>
      </c>
      <c r="DA172" t="e">
        <f>IF(#REF!,"AAAAABT692g=",0)</f>
        <v>#REF!</v>
      </c>
      <c r="DB172" t="e">
        <f>IF(#REF!,"AAAAABT692k=",0)</f>
        <v>#REF!</v>
      </c>
      <c r="DC172" t="e">
        <f>IF(#REF!,"AAAAABT692o=",0)</f>
        <v>#REF!</v>
      </c>
      <c r="DD172" t="e">
        <f>IF(#REF!,"AAAAABT692s=",0)</f>
        <v>#REF!</v>
      </c>
      <c r="DE172" t="e">
        <f>IF(#REF!,"AAAAABT692w=",0)</f>
        <v>#REF!</v>
      </c>
      <c r="DF172" t="e">
        <f>IF(#REF!,"AAAAABT6920=",0)</f>
        <v>#REF!</v>
      </c>
      <c r="DG172" t="e">
        <f>IF(#REF!,"AAAAABT6924=",0)</f>
        <v>#REF!</v>
      </c>
      <c r="DH172" t="e">
        <f>IF(#REF!,"AAAAABT6928=",0)</f>
        <v>#REF!</v>
      </c>
      <c r="DI172" t="e">
        <f>IF(#REF!,"AAAAABT693A=",0)</f>
        <v>#REF!</v>
      </c>
      <c r="DJ172" t="e">
        <f>IF(#REF!,"AAAAABT693E=",0)</f>
        <v>#REF!</v>
      </c>
      <c r="DK172" t="e">
        <f>IF(#REF!,"AAAAABT693I=",0)</f>
        <v>#REF!</v>
      </c>
      <c r="DL172" t="e">
        <f>IF(#REF!,"AAAAABT693M=",0)</f>
        <v>#REF!</v>
      </c>
      <c r="DM172" t="e">
        <f>IF(#REF!,"AAAAABT693Q=",0)</f>
        <v>#REF!</v>
      </c>
      <c r="DN172" t="e">
        <f>IF(#REF!,"AAAAABT693U=",0)</f>
        <v>#REF!</v>
      </c>
      <c r="DO172" t="e">
        <f>IF(#REF!,"AAAAABT693Y=",0)</f>
        <v>#REF!</v>
      </c>
      <c r="DP172" t="e">
        <f>IF(#REF!,"AAAAABT693c=",0)</f>
        <v>#REF!</v>
      </c>
      <c r="DQ172" t="e">
        <f>IF(#REF!,"AAAAABT693g=",0)</f>
        <v>#REF!</v>
      </c>
      <c r="DR172" t="e">
        <f>IF(#REF!,"AAAAABT693k=",0)</f>
        <v>#REF!</v>
      </c>
      <c r="DS172" t="e">
        <f>IF(#REF!,"AAAAABT693o=",0)</f>
        <v>#REF!</v>
      </c>
      <c r="DT172" t="e">
        <f>IF(#REF!,"AAAAABT693s=",0)</f>
        <v>#REF!</v>
      </c>
      <c r="DU172" t="e">
        <f>IF(#REF!,"AAAAABT693w=",0)</f>
        <v>#REF!</v>
      </c>
      <c r="DV172" t="e">
        <f>IF(#REF!,"AAAAABT6930=",0)</f>
        <v>#REF!</v>
      </c>
      <c r="DW172" t="e">
        <f>IF(#REF!,"AAAAABT6934=",0)</f>
        <v>#REF!</v>
      </c>
      <c r="DX172" t="e">
        <f>IF(#REF!,"AAAAABT6938=",0)</f>
        <v>#REF!</v>
      </c>
      <c r="DY172" t="e">
        <f>IF(#REF!,"AAAAABT694A=",0)</f>
        <v>#REF!</v>
      </c>
      <c r="DZ172" t="e">
        <f>IF(#REF!,"AAAAABT694E=",0)</f>
        <v>#REF!</v>
      </c>
      <c r="EA172" t="e">
        <f>IF(#REF!,"AAAAABT694I=",0)</f>
        <v>#REF!</v>
      </c>
      <c r="EB172" t="e">
        <f>IF(#REF!,"AAAAABT694M=",0)</f>
        <v>#REF!</v>
      </c>
      <c r="EC172" t="e">
        <f>IF(#REF!,"AAAAABT694Q=",0)</f>
        <v>#REF!</v>
      </c>
      <c r="ED172" t="e">
        <f>IF(#REF!,"AAAAABT694U=",0)</f>
        <v>#REF!</v>
      </c>
      <c r="EE172" t="e">
        <f>IF(#REF!,"AAAAABT694Y=",0)</f>
        <v>#REF!</v>
      </c>
      <c r="EF172" t="e">
        <f>IF(#REF!,"AAAAABT694c=",0)</f>
        <v>#REF!</v>
      </c>
      <c r="EG172" t="e">
        <f>IF(#REF!,"AAAAABT694g=",0)</f>
        <v>#REF!</v>
      </c>
      <c r="EH172" t="e">
        <f>IF(#REF!,"AAAAABT694k=",0)</f>
        <v>#REF!</v>
      </c>
      <c r="EI172" t="e">
        <f>IF(#REF!,"AAAAABT694o=",0)</f>
        <v>#REF!</v>
      </c>
      <c r="EJ172" t="e">
        <f>IF(#REF!,"AAAAABT694s=",0)</f>
        <v>#REF!</v>
      </c>
      <c r="EK172" t="e">
        <f>IF(#REF!,"AAAAABT694w=",0)</f>
        <v>#REF!</v>
      </c>
      <c r="EL172" t="e">
        <f>IF(#REF!,"AAAAABT6940=",0)</f>
        <v>#REF!</v>
      </c>
      <c r="EM172" t="e">
        <f>IF(#REF!,"AAAAABT6944=",0)</f>
        <v>#REF!</v>
      </c>
      <c r="EN172" t="e">
        <f>IF(#REF!,"AAAAABT6948=",0)</f>
        <v>#REF!</v>
      </c>
      <c r="EO172" t="e">
        <f>IF(#REF!,"AAAAABT695A=",0)</f>
        <v>#REF!</v>
      </c>
      <c r="EP172" t="e">
        <f>IF(#REF!,"AAAAABT695E=",0)</f>
        <v>#REF!</v>
      </c>
      <c r="EQ172" t="e">
        <f>IF(#REF!,"AAAAABT695I=",0)</f>
        <v>#REF!</v>
      </c>
      <c r="ER172" t="e">
        <f>IF(#REF!,"AAAAABT695M=",0)</f>
        <v>#REF!</v>
      </c>
      <c r="ES172" t="e">
        <f>IF(#REF!,"AAAAABT695Q=",0)</f>
        <v>#REF!</v>
      </c>
      <c r="ET172" t="e">
        <f>IF(#REF!,"AAAAABT695U=",0)</f>
        <v>#REF!</v>
      </c>
      <c r="EU172" t="e">
        <f>IF(#REF!,"AAAAABT695Y=",0)</f>
        <v>#REF!</v>
      </c>
      <c r="EV172" t="e">
        <f>IF(#REF!,"AAAAABT695c=",0)</f>
        <v>#REF!</v>
      </c>
      <c r="EW172" t="e">
        <f>IF(#REF!,"AAAAABT695g=",0)</f>
        <v>#REF!</v>
      </c>
      <c r="EX172" t="e">
        <f>IF(#REF!,"AAAAABT695k=",0)</f>
        <v>#REF!</v>
      </c>
      <c r="EY172" t="e">
        <f>IF(#REF!,"AAAAABT695o=",0)</f>
        <v>#REF!</v>
      </c>
      <c r="EZ172" t="e">
        <f>IF(#REF!,"AAAAABT695s=",0)</f>
        <v>#REF!</v>
      </c>
      <c r="FA172" t="e">
        <f>IF(#REF!,"AAAAABT695w=",0)</f>
        <v>#REF!</v>
      </c>
      <c r="FB172" t="e">
        <f>IF(#REF!,"AAAAABT6950=",0)</f>
        <v>#REF!</v>
      </c>
      <c r="FC172" t="e">
        <f>IF(#REF!,"AAAAABT6954=",0)</f>
        <v>#REF!</v>
      </c>
      <c r="FD172" t="e">
        <f>IF(#REF!,"AAAAABT6958=",0)</f>
        <v>#REF!</v>
      </c>
      <c r="FE172" t="e">
        <f>IF(#REF!,"AAAAABT696A=",0)</f>
        <v>#REF!</v>
      </c>
      <c r="FF172" t="e">
        <f>IF(#REF!,"AAAAABT696E=",0)</f>
        <v>#REF!</v>
      </c>
      <c r="FG172" t="e">
        <f>IF(#REF!,"AAAAABT696I=",0)</f>
        <v>#REF!</v>
      </c>
      <c r="FH172" t="e">
        <f>IF(#REF!,"AAAAABT696M=",0)</f>
        <v>#REF!</v>
      </c>
      <c r="FI172" t="e">
        <f>IF(#REF!,"AAAAABT696Q=",0)</f>
        <v>#REF!</v>
      </c>
      <c r="FJ172" t="e">
        <f>IF(#REF!,"AAAAABT696U=",0)</f>
        <v>#REF!</v>
      </c>
      <c r="FK172" t="e">
        <f>IF(#REF!,"AAAAABT696Y=",0)</f>
        <v>#REF!</v>
      </c>
      <c r="FL172" t="e">
        <f>IF(#REF!,"AAAAABT696c=",0)</f>
        <v>#REF!</v>
      </c>
      <c r="FM172" t="e">
        <f>IF(#REF!,"AAAAABT696g=",0)</f>
        <v>#REF!</v>
      </c>
      <c r="FN172" t="e">
        <f>IF(#REF!,"AAAAABT696k=",0)</f>
        <v>#REF!</v>
      </c>
      <c r="FO172" t="e">
        <f>IF(#REF!,"AAAAABT696o=",0)</f>
        <v>#REF!</v>
      </c>
      <c r="FP172" t="e">
        <f>IF(#REF!,"AAAAABT696s=",0)</f>
        <v>#REF!</v>
      </c>
      <c r="FQ172" t="e">
        <f>IF(#REF!,"AAAAABT696w=",0)</f>
        <v>#REF!</v>
      </c>
      <c r="FR172" t="e">
        <f>IF(#REF!,"AAAAABT6960=",0)</f>
        <v>#REF!</v>
      </c>
      <c r="FS172" t="e">
        <f>IF(#REF!,"AAAAABT6964=",0)</f>
        <v>#REF!</v>
      </c>
      <c r="FT172" t="e">
        <f>IF(#REF!,"AAAAABT6968=",0)</f>
        <v>#REF!</v>
      </c>
      <c r="FU172" t="e">
        <f>IF(#REF!,"AAAAABT697A=",0)</f>
        <v>#REF!</v>
      </c>
      <c r="FV172" t="e">
        <f>IF(#REF!,"AAAAABT697E=",0)</f>
        <v>#REF!</v>
      </c>
      <c r="FW172" t="e">
        <f>IF(#REF!,"AAAAABT697I=",0)</f>
        <v>#REF!</v>
      </c>
      <c r="FX172" t="e">
        <f>IF(#REF!,"AAAAABT697M=",0)</f>
        <v>#REF!</v>
      </c>
      <c r="FY172" t="e">
        <f>IF(#REF!,"AAAAABT697Q=",0)</f>
        <v>#REF!</v>
      </c>
      <c r="FZ172" t="e">
        <f>IF(#REF!,"AAAAABT697U=",0)</f>
        <v>#REF!</v>
      </c>
      <c r="GA172" t="e">
        <f>IF(#REF!,"AAAAABT697Y=",0)</f>
        <v>#REF!</v>
      </c>
      <c r="GB172" t="e">
        <f>IF(#REF!,"AAAAABT697c=",0)</f>
        <v>#REF!</v>
      </c>
      <c r="GC172" t="e">
        <f>IF(#REF!,"AAAAABT697g=",0)</f>
        <v>#REF!</v>
      </c>
      <c r="GD172" t="e">
        <f>IF(#REF!,"AAAAABT697k=",0)</f>
        <v>#REF!</v>
      </c>
      <c r="GE172" t="e">
        <f>IF(#REF!,"AAAAABT697o=",0)</f>
        <v>#REF!</v>
      </c>
      <c r="GF172" t="e">
        <f>IF(#REF!,"AAAAABT697s=",0)</f>
        <v>#REF!</v>
      </c>
      <c r="GG172" t="e">
        <f>IF(#REF!,"AAAAABT697w=",0)</f>
        <v>#REF!</v>
      </c>
      <c r="GH172" t="e">
        <f>IF(#REF!,"AAAAABT6970=",0)</f>
        <v>#REF!</v>
      </c>
      <c r="GI172" t="e">
        <f>IF(#REF!,"AAAAABT6974=",0)</f>
        <v>#REF!</v>
      </c>
      <c r="GJ172" t="e">
        <f>IF(#REF!,"AAAAABT6978=",0)</f>
        <v>#REF!</v>
      </c>
      <c r="GK172" t="e">
        <f>IF(#REF!,"AAAAABT698A=",0)</f>
        <v>#REF!</v>
      </c>
      <c r="GL172" t="e">
        <f>IF(#REF!,"AAAAABT698E=",0)</f>
        <v>#REF!</v>
      </c>
      <c r="GM172" t="e">
        <f>IF(#REF!,"AAAAABT698I=",0)</f>
        <v>#REF!</v>
      </c>
      <c r="GN172" t="e">
        <f>IF(#REF!,"AAAAABT698M=",0)</f>
        <v>#REF!</v>
      </c>
      <c r="GO172" t="e">
        <f>IF(#REF!,"AAAAABT698Q=",0)</f>
        <v>#REF!</v>
      </c>
      <c r="GP172" t="e">
        <f>IF(#REF!,"AAAAABT698U=",0)</f>
        <v>#REF!</v>
      </c>
      <c r="GQ172" t="e">
        <f>IF(#REF!,"AAAAABT698Y=",0)</f>
        <v>#REF!</v>
      </c>
      <c r="GR172" t="e">
        <f>IF(#REF!,"AAAAABT698c=",0)</f>
        <v>#REF!</v>
      </c>
      <c r="GS172" t="e">
        <f>IF(#REF!,"AAAAABT698g=",0)</f>
        <v>#REF!</v>
      </c>
      <c r="GT172" t="e">
        <f>IF(#REF!,"AAAAABT698k=",0)</f>
        <v>#REF!</v>
      </c>
      <c r="GU172" t="e">
        <f>IF(#REF!,"AAAAABT698o=",0)</f>
        <v>#REF!</v>
      </c>
      <c r="GV172" t="e">
        <f>IF(#REF!,"AAAAABT698s=",0)</f>
        <v>#REF!</v>
      </c>
      <c r="GW172" t="e">
        <f>IF(#REF!,"AAAAABT698w=",0)</f>
        <v>#REF!</v>
      </c>
      <c r="GX172" t="e">
        <f>IF(#REF!,"AAAAABT6980=",0)</f>
        <v>#REF!</v>
      </c>
      <c r="GY172" t="e">
        <f>IF(#REF!,"AAAAABT6984=",0)</f>
        <v>#REF!</v>
      </c>
      <c r="GZ172" t="e">
        <f>IF(#REF!,"AAAAABT6988=",0)</f>
        <v>#REF!</v>
      </c>
      <c r="HA172" t="e">
        <f>IF(#REF!,"AAAAABT699A=",0)</f>
        <v>#REF!</v>
      </c>
      <c r="HB172" t="e">
        <f>IF(#REF!,"AAAAABT699E=",0)</f>
        <v>#REF!</v>
      </c>
      <c r="HC172" t="e">
        <f>IF(#REF!,"AAAAABT699I=",0)</f>
        <v>#REF!</v>
      </c>
      <c r="HD172" t="e">
        <f>IF(#REF!,"AAAAABT699M=",0)</f>
        <v>#REF!</v>
      </c>
      <c r="HE172" t="e">
        <f>IF(#REF!,"AAAAABT699Q=",0)</f>
        <v>#REF!</v>
      </c>
      <c r="HF172" t="e">
        <f>IF(#REF!,"AAAAABT699U=",0)</f>
        <v>#REF!</v>
      </c>
      <c r="HG172" t="e">
        <f>IF(#REF!,"AAAAABT699Y=",0)</f>
        <v>#REF!</v>
      </c>
      <c r="HH172" t="e">
        <f>IF(#REF!,"AAAAABT699c=",0)</f>
        <v>#REF!</v>
      </c>
      <c r="HI172" t="e">
        <f>IF(#REF!,"AAAAABT699g=",0)</f>
        <v>#REF!</v>
      </c>
      <c r="HJ172" t="e">
        <f>IF(#REF!,"AAAAABT699k=",0)</f>
        <v>#REF!</v>
      </c>
      <c r="HK172" t="e">
        <f>IF(#REF!,"AAAAABT699o=",0)</f>
        <v>#REF!</v>
      </c>
      <c r="HL172" t="e">
        <f>IF(#REF!,"AAAAABT699s=",0)</f>
        <v>#REF!</v>
      </c>
      <c r="HM172" t="e">
        <f>IF(#REF!,"AAAAABT699w=",0)</f>
        <v>#REF!</v>
      </c>
      <c r="HN172" t="e">
        <f>IF(#REF!,"AAAAABT6990=",0)</f>
        <v>#REF!</v>
      </c>
      <c r="HO172" t="e">
        <f>IF(#REF!,"AAAAABT6994=",0)</f>
        <v>#REF!</v>
      </c>
      <c r="HP172" t="e">
        <f>IF(#REF!,"AAAAABT6998=",0)</f>
        <v>#REF!</v>
      </c>
      <c r="HQ172" t="e">
        <f>IF(#REF!,"AAAAABT69+A=",0)</f>
        <v>#REF!</v>
      </c>
      <c r="HR172" t="e">
        <f>IF(#REF!,"AAAAABT69+E=",0)</f>
        <v>#REF!</v>
      </c>
      <c r="HS172" t="e">
        <f>IF(#REF!,"AAAAABT69+I=",0)</f>
        <v>#REF!</v>
      </c>
      <c r="HT172" t="e">
        <f>IF(#REF!,"AAAAABT69+M=",0)</f>
        <v>#REF!</v>
      </c>
      <c r="HU172" t="e">
        <f>IF(#REF!,"AAAAABT69+Q=",0)</f>
        <v>#REF!</v>
      </c>
      <c r="HV172" t="e">
        <f>IF(#REF!,"AAAAABT69+U=",0)</f>
        <v>#REF!</v>
      </c>
      <c r="HW172" t="e">
        <f>IF(#REF!,"AAAAABT69+Y=",0)</f>
        <v>#REF!</v>
      </c>
      <c r="HX172" t="e">
        <f>IF(#REF!,"AAAAABT69+c=",0)</f>
        <v>#REF!</v>
      </c>
      <c r="HY172" t="e">
        <f>IF(#REF!,"AAAAABT69+g=",0)</f>
        <v>#REF!</v>
      </c>
      <c r="HZ172" t="e">
        <f>IF(#REF!,"AAAAABT69+k=",0)</f>
        <v>#REF!</v>
      </c>
      <c r="IA172" t="e">
        <f>IF(#REF!,"AAAAABT69+o=",0)</f>
        <v>#REF!</v>
      </c>
      <c r="IB172" t="e">
        <f>IF(#REF!,"AAAAABT69+s=",0)</f>
        <v>#REF!</v>
      </c>
      <c r="IC172" t="e">
        <f>IF(#REF!,"AAAAABT69+w=",0)</f>
        <v>#REF!</v>
      </c>
      <c r="ID172" t="e">
        <f>IF(#REF!,"AAAAABT69+0=",0)</f>
        <v>#REF!</v>
      </c>
      <c r="IE172" t="e">
        <f>IF(#REF!,"AAAAABT69+4=",0)</f>
        <v>#REF!</v>
      </c>
      <c r="IF172" t="e">
        <f>IF(#REF!,"AAAAABT69+8=",0)</f>
        <v>#REF!</v>
      </c>
      <c r="IG172" t="e">
        <f>IF(#REF!,"AAAAABT69/A=",0)</f>
        <v>#REF!</v>
      </c>
      <c r="IH172" t="e">
        <f>IF(#REF!,"AAAAABT69/E=",0)</f>
        <v>#REF!</v>
      </c>
      <c r="II172" t="e">
        <f>IF(#REF!,"AAAAABT69/I=",0)</f>
        <v>#REF!</v>
      </c>
      <c r="IJ172" t="e">
        <f>IF(#REF!,"AAAAABT69/M=",0)</f>
        <v>#REF!</v>
      </c>
      <c r="IK172" t="e">
        <f>IF(#REF!,"AAAAABT69/Q=",0)</f>
        <v>#REF!</v>
      </c>
      <c r="IL172" t="e">
        <f>IF(#REF!,"AAAAABT69/U=",0)</f>
        <v>#REF!</v>
      </c>
      <c r="IM172" t="e">
        <f>IF(#REF!,"AAAAABT69/Y=",0)</f>
        <v>#REF!</v>
      </c>
      <c r="IN172" t="e">
        <f>IF(#REF!,"AAAAABT69/c=",0)</f>
        <v>#REF!</v>
      </c>
      <c r="IO172" t="e">
        <f>IF(#REF!,"AAAAABT69/g=",0)</f>
        <v>#REF!</v>
      </c>
      <c r="IP172" t="e">
        <f>IF(#REF!,"AAAAABT69/k=",0)</f>
        <v>#REF!</v>
      </c>
      <c r="IQ172" t="e">
        <f>IF(#REF!,"AAAAABT69/o=",0)</f>
        <v>#REF!</v>
      </c>
      <c r="IR172" t="e">
        <f>IF(#REF!,"AAAAABT69/s=",0)</f>
        <v>#REF!</v>
      </c>
      <c r="IS172" t="e">
        <f>IF(#REF!,"AAAAABT69/w=",0)</f>
        <v>#REF!</v>
      </c>
      <c r="IT172" t="e">
        <f>IF(#REF!,"AAAAABT69/0=",0)</f>
        <v>#REF!</v>
      </c>
      <c r="IU172" t="e">
        <f>IF(#REF!,"AAAAABT69/4=",0)</f>
        <v>#REF!</v>
      </c>
      <c r="IV172" t="e">
        <f>IF(#REF!,"AAAAABT69/8=",0)</f>
        <v>#REF!</v>
      </c>
    </row>
    <row r="173" spans="1:256">
      <c r="A173" t="e">
        <f>IF(#REF!,"AAAAAH/dHwA=",0)</f>
        <v>#REF!</v>
      </c>
      <c r="B173" t="e">
        <f>IF(#REF!,"AAAAAH/dHwE=",0)</f>
        <v>#REF!</v>
      </c>
      <c r="C173" t="e">
        <f>IF(#REF!,"AAAAAH/dHwI=",0)</f>
        <v>#REF!</v>
      </c>
      <c r="D173" t="e">
        <f>IF(#REF!,"AAAAAH/dHwM=",0)</f>
        <v>#REF!</v>
      </c>
      <c r="E173" t="e">
        <f>IF(#REF!,"AAAAAH/dHwQ=",0)</f>
        <v>#REF!</v>
      </c>
      <c r="F173" t="e">
        <f>IF(#REF!,"AAAAAH/dHwU=",0)</f>
        <v>#REF!</v>
      </c>
      <c r="G173" t="e">
        <f>IF(#REF!,"AAAAAH/dHwY=",0)</f>
        <v>#REF!</v>
      </c>
      <c r="H173" t="e">
        <f>IF(#REF!,"AAAAAH/dHwc=",0)</f>
        <v>#REF!</v>
      </c>
      <c r="I173" t="e">
        <f>IF(#REF!,"AAAAAH/dHwg=",0)</f>
        <v>#REF!</v>
      </c>
      <c r="J173" t="e">
        <f>IF(#REF!,"AAAAAH/dHwk=",0)</f>
        <v>#REF!</v>
      </c>
      <c r="K173" t="e">
        <f>IF(#REF!,"AAAAAH/dHwo=",0)</f>
        <v>#REF!</v>
      </c>
      <c r="L173" t="e">
        <f>IF(#REF!,"AAAAAH/dHws=",0)</f>
        <v>#REF!</v>
      </c>
      <c r="M173" t="e">
        <f>IF(#REF!,"AAAAAH/dHww=",0)</f>
        <v>#REF!</v>
      </c>
      <c r="N173" t="e">
        <f>IF(#REF!,"AAAAAH/dHw0=",0)</f>
        <v>#REF!</v>
      </c>
      <c r="O173" t="e">
        <f>IF(#REF!,"AAAAAH/dHw4=",0)</f>
        <v>#REF!</v>
      </c>
      <c r="P173" t="e">
        <f>IF(#REF!,"AAAAAH/dHw8=",0)</f>
        <v>#REF!</v>
      </c>
      <c r="Q173" t="e">
        <f>IF(#REF!,"AAAAAH/dHxA=",0)</f>
        <v>#REF!</v>
      </c>
      <c r="R173" t="e">
        <f>IF(#REF!,"AAAAAH/dHxE=",0)</f>
        <v>#REF!</v>
      </c>
      <c r="S173" t="e">
        <f>IF(#REF!,"AAAAAH/dHxI=",0)</f>
        <v>#REF!</v>
      </c>
      <c r="T173" t="e">
        <f>IF(#REF!,"AAAAAH/dHxM=",0)</f>
        <v>#REF!</v>
      </c>
      <c r="U173" t="e">
        <f>IF(#REF!,"AAAAAH/dHxQ=",0)</f>
        <v>#REF!</v>
      </c>
      <c r="V173" t="e">
        <f>IF(#REF!,"AAAAAH/dHxU=",0)</f>
        <v>#REF!</v>
      </c>
      <c r="W173" t="e">
        <f>IF(#REF!,"AAAAAH/dHxY=",0)</f>
        <v>#REF!</v>
      </c>
      <c r="X173" t="e">
        <f>IF(#REF!,"AAAAAH/dHxc=",0)</f>
        <v>#REF!</v>
      </c>
      <c r="Y173" t="e">
        <f>IF(#REF!,"AAAAAH/dHxg=",0)</f>
        <v>#REF!</v>
      </c>
      <c r="Z173" t="e">
        <f>IF(#REF!,"AAAAAH/dHxk=",0)</f>
        <v>#REF!</v>
      </c>
      <c r="AA173" t="e">
        <f>IF(#REF!,"AAAAAH/dHxo=",0)</f>
        <v>#REF!</v>
      </c>
      <c r="AB173" t="e">
        <f>IF(#REF!,"AAAAAH/dHxs=",0)</f>
        <v>#REF!</v>
      </c>
      <c r="AC173" t="e">
        <f>IF(#REF!,"AAAAAH/dHxw=",0)</f>
        <v>#REF!</v>
      </c>
      <c r="AD173" t="e">
        <f>IF(#REF!,"AAAAAH/dHx0=",0)</f>
        <v>#REF!</v>
      </c>
      <c r="AE173" t="e">
        <f>IF(#REF!,"AAAAAH/dHx4=",0)</f>
        <v>#REF!</v>
      </c>
      <c r="AF173" t="e">
        <f>IF(#REF!,"AAAAAH/dHx8=",0)</f>
        <v>#REF!</v>
      </c>
      <c r="AG173" t="e">
        <f>IF(#REF!,"AAAAAH/dHyA=",0)</f>
        <v>#REF!</v>
      </c>
      <c r="AH173" t="e">
        <f>IF(#REF!,"AAAAAH/dHyE=",0)</f>
        <v>#REF!</v>
      </c>
      <c r="AI173" t="e">
        <f>IF(#REF!,"AAAAAH/dHyI=",0)</f>
        <v>#REF!</v>
      </c>
      <c r="AJ173" t="e">
        <f>IF(#REF!,"AAAAAH/dHyM=",0)</f>
        <v>#REF!</v>
      </c>
      <c r="AK173" t="e">
        <f>IF(#REF!,"AAAAAH/dHyQ=",0)</f>
        <v>#REF!</v>
      </c>
      <c r="AL173" t="e">
        <f>IF(#REF!,"AAAAAH/dHyU=",0)</f>
        <v>#REF!</v>
      </c>
      <c r="AM173" t="e">
        <f>IF(#REF!,"AAAAAH/dHyY=",0)</f>
        <v>#REF!</v>
      </c>
      <c r="AN173" t="e">
        <f>IF(#REF!,"AAAAAH/dHyc=",0)</f>
        <v>#REF!</v>
      </c>
      <c r="AO173" t="e">
        <f>IF(#REF!,"AAAAAH/dHyg=",0)</f>
        <v>#REF!</v>
      </c>
      <c r="AP173" t="e">
        <f>IF(#REF!,"AAAAAH/dHyk=",0)</f>
        <v>#REF!</v>
      </c>
      <c r="AQ173" t="e">
        <f>IF(#REF!,"AAAAAH/dHyo=",0)</f>
        <v>#REF!</v>
      </c>
      <c r="AR173" t="e">
        <f>IF(#REF!,"AAAAAH/dHys=",0)</f>
        <v>#REF!</v>
      </c>
      <c r="AS173" t="e">
        <f>IF(#REF!,"AAAAAH/dHyw=",0)</f>
        <v>#REF!</v>
      </c>
      <c r="AT173" t="e">
        <f>IF(#REF!,"AAAAAH/dHy0=",0)</f>
        <v>#REF!</v>
      </c>
      <c r="AU173" t="e">
        <f>IF(#REF!,"AAAAAH/dHy4=",0)</f>
        <v>#REF!</v>
      </c>
      <c r="AV173" t="e">
        <f>IF(#REF!,"AAAAAH/dHy8=",0)</f>
        <v>#REF!</v>
      </c>
      <c r="AW173" t="e">
        <f>IF(#REF!,"AAAAAH/dHzA=",0)</f>
        <v>#REF!</v>
      </c>
      <c r="AX173" t="e">
        <f>IF(#REF!,"AAAAAH/dHzE=",0)</f>
        <v>#REF!</v>
      </c>
      <c r="AY173" t="e">
        <f>IF(#REF!,"AAAAAH/dHzI=",0)</f>
        <v>#REF!</v>
      </c>
      <c r="AZ173" t="e">
        <f>IF(#REF!,"AAAAAH/dHzM=",0)</f>
        <v>#REF!</v>
      </c>
      <c r="BA173" t="e">
        <f>IF(#REF!,"AAAAAH/dHzQ=",0)</f>
        <v>#REF!</v>
      </c>
      <c r="BB173" t="e">
        <f>IF(#REF!,"AAAAAH/dHzU=",0)</f>
        <v>#REF!</v>
      </c>
      <c r="BC173" t="e">
        <f>IF(#REF!,"AAAAAH/dHzY=",0)</f>
        <v>#REF!</v>
      </c>
      <c r="BD173" t="e">
        <f>IF(#REF!,"AAAAAH/dHzc=",0)</f>
        <v>#REF!</v>
      </c>
      <c r="BE173" t="e">
        <f>IF(#REF!,"AAAAAH/dHzg=",0)</f>
        <v>#REF!</v>
      </c>
      <c r="BF173" t="e">
        <f>IF(#REF!,"AAAAAH/dHzk=",0)</f>
        <v>#REF!</v>
      </c>
      <c r="BG173" t="e">
        <f>IF(#REF!,"AAAAAH/dHzo=",0)</f>
        <v>#REF!</v>
      </c>
      <c r="BH173" t="e">
        <f>IF(#REF!,"AAAAAH/dHzs=",0)</f>
        <v>#REF!</v>
      </c>
      <c r="BI173" t="e">
        <f>IF(#REF!,"AAAAAH/dHzw=",0)</f>
        <v>#REF!</v>
      </c>
      <c r="BJ173" t="e">
        <f>IF(#REF!,"AAAAAH/dHz0=",0)</f>
        <v>#REF!</v>
      </c>
      <c r="BK173" t="e">
        <f>IF(#REF!,"AAAAAH/dHz4=",0)</f>
        <v>#REF!</v>
      </c>
      <c r="BL173" t="e">
        <f>IF(#REF!,"AAAAAH/dHz8=",0)</f>
        <v>#REF!</v>
      </c>
      <c r="BM173" t="e">
        <f>IF(#REF!,"AAAAAH/dH0A=",0)</f>
        <v>#REF!</v>
      </c>
      <c r="BN173" t="e">
        <f>IF(#REF!,"AAAAAH/dH0E=",0)</f>
        <v>#REF!</v>
      </c>
      <c r="BO173" t="e">
        <f>IF(#REF!,"AAAAAH/dH0I=",0)</f>
        <v>#REF!</v>
      </c>
      <c r="BP173" t="e">
        <f>IF(#REF!,"AAAAAH/dH0M=",0)</f>
        <v>#REF!</v>
      </c>
      <c r="BQ173" t="e">
        <f>IF(#REF!,"AAAAAH/dH0Q=",0)</f>
        <v>#REF!</v>
      </c>
      <c r="BR173" t="e">
        <f>IF(#REF!,"AAAAAH/dH0U=",0)</f>
        <v>#REF!</v>
      </c>
      <c r="BS173" t="e">
        <f>IF(#REF!,"AAAAAH/dH0Y=",0)</f>
        <v>#REF!</v>
      </c>
      <c r="BT173" t="e">
        <f>IF(#REF!,"AAAAAH/dH0c=",0)</f>
        <v>#REF!</v>
      </c>
      <c r="BU173" t="e">
        <f>IF(#REF!,"AAAAAH/dH0g=",0)</f>
        <v>#REF!</v>
      </c>
      <c r="BV173" t="e">
        <f>IF(#REF!,"AAAAAH/dH0k=",0)</f>
        <v>#REF!</v>
      </c>
      <c r="BW173" t="e">
        <f>IF(#REF!,"AAAAAH/dH0o=",0)</f>
        <v>#REF!</v>
      </c>
      <c r="BX173" t="e">
        <f>IF(#REF!,"AAAAAH/dH0s=",0)</f>
        <v>#REF!</v>
      </c>
      <c r="BY173" t="e">
        <f>IF(#REF!,"AAAAAH/dH0w=",0)</f>
        <v>#REF!</v>
      </c>
      <c r="BZ173" t="e">
        <f>IF(#REF!,"AAAAAH/dH00=",0)</f>
        <v>#REF!</v>
      </c>
      <c r="CA173" t="e">
        <f>IF(#REF!,"AAAAAH/dH04=",0)</f>
        <v>#REF!</v>
      </c>
      <c r="CB173" t="e">
        <f>IF(#REF!,"AAAAAH/dH08=",0)</f>
        <v>#REF!</v>
      </c>
      <c r="CC173" t="e">
        <f>IF(#REF!,"AAAAAH/dH1A=",0)</f>
        <v>#REF!</v>
      </c>
      <c r="CD173" t="e">
        <f>IF(#REF!,"AAAAAH/dH1E=",0)</f>
        <v>#REF!</v>
      </c>
      <c r="CE173" t="e">
        <f>IF(#REF!,"AAAAAH/dH1I=",0)</f>
        <v>#REF!</v>
      </c>
      <c r="CF173" t="e">
        <f>IF(#REF!,"AAAAAH/dH1M=",0)</f>
        <v>#REF!</v>
      </c>
      <c r="CG173" t="e">
        <f>IF(#REF!,"AAAAAH/dH1Q=",0)</f>
        <v>#REF!</v>
      </c>
      <c r="CH173" t="e">
        <f>IF(#REF!,"AAAAAH/dH1U=",0)</f>
        <v>#REF!</v>
      </c>
      <c r="CI173" t="e">
        <f>IF(#REF!,"AAAAAH/dH1Y=",0)</f>
        <v>#REF!</v>
      </c>
      <c r="CJ173" t="e">
        <f>IF(#REF!,"AAAAAH/dH1c=",0)</f>
        <v>#REF!</v>
      </c>
      <c r="CK173" t="e">
        <f>IF(#REF!,"AAAAAH/dH1g=",0)</f>
        <v>#REF!</v>
      </c>
      <c r="CL173" t="e">
        <f>IF(#REF!,"AAAAAH/dH1k=",0)</f>
        <v>#REF!</v>
      </c>
      <c r="CM173" t="e">
        <f>IF(#REF!,"AAAAAH/dH1o=",0)</f>
        <v>#REF!</v>
      </c>
      <c r="CN173" t="e">
        <f>IF(#REF!,"AAAAAH/dH1s=",0)</f>
        <v>#REF!</v>
      </c>
      <c r="CO173" t="e">
        <f>IF(#REF!,"AAAAAH/dH1w=",0)</f>
        <v>#REF!</v>
      </c>
      <c r="CP173" t="e">
        <f>IF(#REF!,"AAAAAH/dH10=",0)</f>
        <v>#REF!</v>
      </c>
      <c r="CQ173" t="e">
        <f>IF(#REF!,"AAAAAH/dH14=",0)</f>
        <v>#REF!</v>
      </c>
      <c r="CR173" t="e">
        <f>IF(#REF!,"AAAAAH/dH18=",0)</f>
        <v>#REF!</v>
      </c>
      <c r="CS173" t="e">
        <f>IF(#REF!,"AAAAAH/dH2A=",0)</f>
        <v>#REF!</v>
      </c>
      <c r="CT173" t="e">
        <f>IF(#REF!,"AAAAAH/dH2E=",0)</f>
        <v>#REF!</v>
      </c>
      <c r="CU173" t="e">
        <f>IF(#REF!,"AAAAAH/dH2I=",0)</f>
        <v>#REF!</v>
      </c>
      <c r="CV173" t="e">
        <f>IF(#REF!,"AAAAAH/dH2M=",0)</f>
        <v>#REF!</v>
      </c>
      <c r="CW173" t="e">
        <f>IF(#REF!,"AAAAAH/dH2Q=",0)</f>
        <v>#REF!</v>
      </c>
      <c r="CX173" t="e">
        <f>IF(#REF!,"AAAAAH/dH2U=",0)</f>
        <v>#REF!</v>
      </c>
      <c r="CY173" t="e">
        <f>IF(#REF!,"AAAAAH/dH2Y=",0)</f>
        <v>#REF!</v>
      </c>
      <c r="CZ173" t="e">
        <f>IF(#REF!,"AAAAAH/dH2c=",0)</f>
        <v>#REF!</v>
      </c>
      <c r="DA173" t="e">
        <f>IF(#REF!,"AAAAAH/dH2g=",0)</f>
        <v>#REF!</v>
      </c>
      <c r="DB173" t="e">
        <f>IF(#REF!,"AAAAAH/dH2k=",0)</f>
        <v>#REF!</v>
      </c>
      <c r="DC173" t="e">
        <f>IF(#REF!,"AAAAAH/dH2o=",0)</f>
        <v>#REF!</v>
      </c>
      <c r="DD173" t="e">
        <f>IF(#REF!,"AAAAAH/dH2s=",0)</f>
        <v>#REF!</v>
      </c>
      <c r="DE173" t="e">
        <f>IF(#REF!,"AAAAAH/dH2w=",0)</f>
        <v>#REF!</v>
      </c>
      <c r="DF173" t="e">
        <f>IF(#REF!,"AAAAAH/dH20=",0)</f>
        <v>#REF!</v>
      </c>
      <c r="DG173" t="e">
        <f>IF(#REF!,"AAAAAH/dH24=",0)</f>
        <v>#REF!</v>
      </c>
      <c r="DH173" t="e">
        <f>IF(#REF!,"AAAAAH/dH28=",0)</f>
        <v>#REF!</v>
      </c>
      <c r="DI173" t="e">
        <f>IF(#REF!,"AAAAAH/dH3A=",0)</f>
        <v>#REF!</v>
      </c>
      <c r="DJ173" t="e">
        <f>IF(#REF!,"AAAAAH/dH3E=",0)</f>
        <v>#REF!</v>
      </c>
      <c r="DK173" t="e">
        <f>IF(#REF!,"AAAAAH/dH3I=",0)</f>
        <v>#REF!</v>
      </c>
      <c r="DL173" t="e">
        <f>IF(#REF!,"AAAAAH/dH3M=",0)</f>
        <v>#REF!</v>
      </c>
      <c r="DM173" t="e">
        <f>IF(#REF!,"AAAAAH/dH3Q=",0)</f>
        <v>#REF!</v>
      </c>
      <c r="DN173" t="e">
        <f>IF(#REF!,"AAAAAH/dH3U=",0)</f>
        <v>#REF!</v>
      </c>
      <c r="DO173" t="e">
        <f>IF(#REF!,"AAAAAH/dH3Y=",0)</f>
        <v>#REF!</v>
      </c>
      <c r="DP173" t="e">
        <f>IF(#REF!,"AAAAAH/dH3c=",0)</f>
        <v>#REF!</v>
      </c>
      <c r="DQ173" t="e">
        <f>IF(#REF!,"AAAAAH/dH3g=",0)</f>
        <v>#REF!</v>
      </c>
      <c r="DR173" t="e">
        <f>IF(#REF!,"AAAAAH/dH3k=",0)</f>
        <v>#REF!</v>
      </c>
      <c r="DS173" t="e">
        <f>IF(#REF!,"AAAAAH/dH3o=",0)</f>
        <v>#REF!</v>
      </c>
      <c r="DT173" t="e">
        <f>IF(#REF!,"AAAAAH/dH3s=",0)</f>
        <v>#REF!</v>
      </c>
      <c r="DU173" t="e">
        <f>IF(#REF!,"AAAAAH/dH3w=",0)</f>
        <v>#REF!</v>
      </c>
      <c r="DV173" t="e">
        <f>IF(#REF!,"AAAAAH/dH30=",0)</f>
        <v>#REF!</v>
      </c>
      <c r="DW173" t="e">
        <f>IF(#REF!,"AAAAAH/dH34=",0)</f>
        <v>#REF!</v>
      </c>
      <c r="DX173" t="e">
        <f>IF(#REF!,"AAAAAH/dH38=",0)</f>
        <v>#REF!</v>
      </c>
      <c r="DY173" t="e">
        <f>IF(#REF!,"AAAAAH/dH4A=",0)</f>
        <v>#REF!</v>
      </c>
      <c r="DZ173" t="e">
        <f>IF(#REF!,"AAAAAH/dH4E=",0)</f>
        <v>#REF!</v>
      </c>
      <c r="EA173" t="e">
        <f>IF(#REF!,"AAAAAH/dH4I=",0)</f>
        <v>#REF!</v>
      </c>
      <c r="EB173" t="e">
        <f>IF(#REF!,"AAAAAH/dH4M=",0)</f>
        <v>#REF!</v>
      </c>
      <c r="EC173" t="e">
        <f>IF(#REF!,"AAAAAH/dH4Q=",0)</f>
        <v>#REF!</v>
      </c>
      <c r="ED173" t="e">
        <f>IF(#REF!,"AAAAAH/dH4U=",0)</f>
        <v>#REF!</v>
      </c>
      <c r="EE173" t="e">
        <f>IF(#REF!,"AAAAAH/dH4Y=",0)</f>
        <v>#REF!</v>
      </c>
      <c r="EF173" t="e">
        <f>IF(#REF!,"AAAAAH/dH4c=",0)</f>
        <v>#REF!</v>
      </c>
      <c r="EG173" t="e">
        <f>IF(#REF!,"AAAAAH/dH4g=",0)</f>
        <v>#REF!</v>
      </c>
      <c r="EH173" t="e">
        <f>IF(#REF!,"AAAAAH/dH4k=",0)</f>
        <v>#REF!</v>
      </c>
      <c r="EI173" t="e">
        <f>IF(#REF!,"AAAAAH/dH4o=",0)</f>
        <v>#REF!</v>
      </c>
      <c r="EJ173" t="e">
        <f>IF(#REF!,"AAAAAH/dH4s=",0)</f>
        <v>#REF!</v>
      </c>
      <c r="EK173" t="e">
        <f>IF(#REF!,"AAAAAH/dH4w=",0)</f>
        <v>#REF!</v>
      </c>
      <c r="EL173" t="e">
        <f>IF(#REF!,"AAAAAH/dH40=",0)</f>
        <v>#REF!</v>
      </c>
      <c r="EM173" t="e">
        <f>IF(#REF!,"AAAAAH/dH44=",0)</f>
        <v>#REF!</v>
      </c>
      <c r="EN173" t="e">
        <f>IF(#REF!,"AAAAAH/dH48=",0)</f>
        <v>#REF!</v>
      </c>
      <c r="EO173" t="e">
        <f>IF(#REF!,"AAAAAH/dH5A=",0)</f>
        <v>#REF!</v>
      </c>
      <c r="EP173" t="e">
        <f>IF(#REF!,"AAAAAH/dH5E=",0)</f>
        <v>#REF!</v>
      </c>
      <c r="EQ173" t="e">
        <f>IF(#REF!,"AAAAAH/dH5I=",0)</f>
        <v>#REF!</v>
      </c>
      <c r="ER173" t="e">
        <f>IF(#REF!,"AAAAAH/dH5M=",0)</f>
        <v>#REF!</v>
      </c>
      <c r="ES173" t="e">
        <f>IF(#REF!,"AAAAAH/dH5Q=",0)</f>
        <v>#REF!</v>
      </c>
      <c r="ET173" t="e">
        <f>IF(#REF!,"AAAAAH/dH5U=",0)</f>
        <v>#REF!</v>
      </c>
      <c r="EU173" t="e">
        <f>IF(#REF!,"AAAAAH/dH5Y=",0)</f>
        <v>#REF!</v>
      </c>
      <c r="EV173" t="e">
        <f>IF(#REF!,"AAAAAH/dH5c=",0)</f>
        <v>#REF!</v>
      </c>
      <c r="EW173" t="e">
        <f>IF(#REF!,"AAAAAH/dH5g=",0)</f>
        <v>#REF!</v>
      </c>
      <c r="EX173" t="e">
        <f>IF(#REF!,"AAAAAH/dH5k=",0)</f>
        <v>#REF!</v>
      </c>
      <c r="EY173" t="e">
        <f>IF(#REF!,"AAAAAH/dH5o=",0)</f>
        <v>#REF!</v>
      </c>
      <c r="EZ173" t="e">
        <f>IF(#REF!,"AAAAAH/dH5s=",0)</f>
        <v>#REF!</v>
      </c>
      <c r="FA173" t="e">
        <f>IF(#REF!,"AAAAAH/dH5w=",0)</f>
        <v>#REF!</v>
      </c>
      <c r="FB173" t="e">
        <f>IF(#REF!,"AAAAAH/dH50=",0)</f>
        <v>#REF!</v>
      </c>
      <c r="FC173" t="e">
        <f>IF(#REF!,"AAAAAH/dH54=",0)</f>
        <v>#REF!</v>
      </c>
      <c r="FD173" t="e">
        <f>IF(#REF!,"AAAAAH/dH58=",0)</f>
        <v>#REF!</v>
      </c>
      <c r="FE173" t="e">
        <f>IF(#REF!,"AAAAAH/dH6A=",0)</f>
        <v>#REF!</v>
      </c>
      <c r="FF173" t="e">
        <f>IF(#REF!,"AAAAAH/dH6E=",0)</f>
        <v>#REF!</v>
      </c>
      <c r="FG173" t="e">
        <f>IF(#REF!,"AAAAAH/dH6I=",0)</f>
        <v>#REF!</v>
      </c>
      <c r="FH173" t="e">
        <f>IF(#REF!,"AAAAAH/dH6M=",0)</f>
        <v>#REF!</v>
      </c>
      <c r="FI173" t="e">
        <f>IF(#REF!,"AAAAAH/dH6Q=",0)</f>
        <v>#REF!</v>
      </c>
      <c r="FJ173" t="e">
        <f>IF(#REF!,"AAAAAH/dH6U=",0)</f>
        <v>#REF!</v>
      </c>
      <c r="FK173" t="e">
        <f>IF(#REF!,"AAAAAH/dH6Y=",0)</f>
        <v>#REF!</v>
      </c>
      <c r="FL173" t="e">
        <f>IF(#REF!,"AAAAAH/dH6c=",0)</f>
        <v>#REF!</v>
      </c>
      <c r="FM173" t="e">
        <f>IF(#REF!,"AAAAAH/dH6g=",0)</f>
        <v>#REF!</v>
      </c>
      <c r="FN173" t="e">
        <f>IF(#REF!,"AAAAAH/dH6k=",0)</f>
        <v>#REF!</v>
      </c>
      <c r="FO173" t="e">
        <f>IF(#REF!,"AAAAAH/dH6o=",0)</f>
        <v>#REF!</v>
      </c>
      <c r="FP173" t="e">
        <f>IF(#REF!,"AAAAAH/dH6s=",0)</f>
        <v>#REF!</v>
      </c>
      <c r="FQ173" t="e">
        <f>IF(#REF!,"AAAAAH/dH6w=",0)</f>
        <v>#REF!</v>
      </c>
      <c r="FR173" t="e">
        <f>IF(#REF!,"AAAAAH/dH60=",0)</f>
        <v>#REF!</v>
      </c>
      <c r="FS173" t="e">
        <f>IF(#REF!,"AAAAAH/dH64=",0)</f>
        <v>#REF!</v>
      </c>
      <c r="FT173" t="e">
        <f>IF(#REF!,"AAAAAH/dH68=",0)</f>
        <v>#REF!</v>
      </c>
      <c r="FU173" t="e">
        <f>IF(#REF!,"AAAAAH/dH7A=",0)</f>
        <v>#REF!</v>
      </c>
      <c r="FV173" t="e">
        <f>IF(#REF!,"AAAAAH/dH7E=",0)</f>
        <v>#REF!</v>
      </c>
      <c r="FW173" t="e">
        <f>IF(#REF!,"AAAAAH/dH7I=",0)</f>
        <v>#REF!</v>
      </c>
      <c r="FX173" t="e">
        <f>IF(#REF!,"AAAAAH/dH7M=",0)</f>
        <v>#REF!</v>
      </c>
      <c r="FY173" t="e">
        <f>IF(#REF!,"AAAAAH/dH7Q=",0)</f>
        <v>#REF!</v>
      </c>
      <c r="FZ173" t="e">
        <f>IF(#REF!,"AAAAAH/dH7U=",0)</f>
        <v>#REF!</v>
      </c>
      <c r="GA173" t="e">
        <f>IF(#REF!,"AAAAAH/dH7Y=",0)</f>
        <v>#REF!</v>
      </c>
      <c r="GB173" t="e">
        <f>IF(#REF!,"AAAAAH/dH7c=",0)</f>
        <v>#REF!</v>
      </c>
      <c r="GC173" t="e">
        <f>IF(#REF!,"AAAAAH/dH7g=",0)</f>
        <v>#REF!</v>
      </c>
      <c r="GD173" t="e">
        <f>IF(#REF!,"AAAAAH/dH7k=",0)</f>
        <v>#REF!</v>
      </c>
      <c r="GE173" t="e">
        <f>IF(#REF!,"AAAAAH/dH7o=",0)</f>
        <v>#REF!</v>
      </c>
      <c r="GF173" t="e">
        <f>IF(#REF!,"AAAAAH/dH7s=",0)</f>
        <v>#REF!</v>
      </c>
      <c r="GG173" t="e">
        <f>IF(#REF!,"AAAAAH/dH7w=",0)</f>
        <v>#REF!</v>
      </c>
      <c r="GH173" t="e">
        <f>IF(#REF!,"AAAAAH/dH70=",0)</f>
        <v>#REF!</v>
      </c>
      <c r="GI173" t="e">
        <f>IF(#REF!,"AAAAAH/dH74=",0)</f>
        <v>#REF!</v>
      </c>
      <c r="GJ173" t="e">
        <f>IF(#REF!,"AAAAAH/dH78=",0)</f>
        <v>#REF!</v>
      </c>
      <c r="GK173" t="e">
        <f>IF(#REF!,"AAAAAH/dH8A=",0)</f>
        <v>#REF!</v>
      </c>
      <c r="GL173" t="e">
        <f>IF(#REF!,"AAAAAH/dH8E=",0)</f>
        <v>#REF!</v>
      </c>
      <c r="GM173" t="e">
        <f>IF(#REF!,"AAAAAH/dH8I=",0)</f>
        <v>#REF!</v>
      </c>
      <c r="GN173" t="e">
        <f>IF(#REF!,"AAAAAH/dH8M=",0)</f>
        <v>#REF!</v>
      </c>
      <c r="GO173" t="e">
        <f>IF(#REF!,"AAAAAH/dH8Q=",0)</f>
        <v>#REF!</v>
      </c>
      <c r="GP173" t="e">
        <f>IF(#REF!,"AAAAAH/dH8U=",0)</f>
        <v>#REF!</v>
      </c>
      <c r="GQ173" t="e">
        <f>IF(#REF!,"AAAAAH/dH8Y=",0)</f>
        <v>#REF!</v>
      </c>
      <c r="GR173" t="e">
        <f>IF(#REF!,"AAAAAH/dH8c=",0)</f>
        <v>#REF!</v>
      </c>
      <c r="GS173" t="e">
        <f>IF(#REF!,"AAAAAH/dH8g=",0)</f>
        <v>#REF!</v>
      </c>
      <c r="GT173" t="e">
        <f>IF(#REF!,"AAAAAH/dH8k=",0)</f>
        <v>#REF!</v>
      </c>
      <c r="GU173" t="e">
        <f>IF(#REF!,"AAAAAH/dH8o=",0)</f>
        <v>#REF!</v>
      </c>
      <c r="GV173" t="e">
        <f>IF(#REF!,"AAAAAH/dH8s=",0)</f>
        <v>#REF!</v>
      </c>
      <c r="GW173" t="e">
        <f>IF(#REF!,"AAAAAH/dH8w=",0)</f>
        <v>#REF!</v>
      </c>
      <c r="GX173" t="e">
        <f>IF(#REF!,"AAAAAH/dH80=",0)</f>
        <v>#REF!</v>
      </c>
      <c r="GY173" t="e">
        <f>IF(#REF!,"AAAAAH/dH84=",0)</f>
        <v>#REF!</v>
      </c>
      <c r="GZ173" t="e">
        <f>IF(#REF!,"AAAAAH/dH88=",0)</f>
        <v>#REF!</v>
      </c>
      <c r="HA173" t="e">
        <f>IF(#REF!,"AAAAAH/dH9A=",0)</f>
        <v>#REF!</v>
      </c>
      <c r="HB173" t="e">
        <f>IF(#REF!,"AAAAAH/dH9E=",0)</f>
        <v>#REF!</v>
      </c>
      <c r="HC173" t="e">
        <f>IF(#REF!,"AAAAAH/dH9I=",0)</f>
        <v>#REF!</v>
      </c>
      <c r="HD173" t="e">
        <f>IF(#REF!,"AAAAAH/dH9M=",0)</f>
        <v>#REF!</v>
      </c>
      <c r="HE173" t="e">
        <f>IF(#REF!,"AAAAAH/dH9Q=",0)</f>
        <v>#REF!</v>
      </c>
      <c r="HF173" t="e">
        <f>IF(#REF!,"AAAAAH/dH9U=",0)</f>
        <v>#REF!</v>
      </c>
      <c r="HG173" t="e">
        <f>IF(#REF!,"AAAAAH/dH9Y=",0)</f>
        <v>#REF!</v>
      </c>
      <c r="HH173" t="e">
        <f>IF(#REF!,"AAAAAH/dH9c=",0)</f>
        <v>#REF!</v>
      </c>
      <c r="HI173" t="e">
        <f>IF(#REF!,"AAAAAH/dH9g=",0)</f>
        <v>#REF!</v>
      </c>
      <c r="HJ173" t="e">
        <f>IF(#REF!,"AAAAAH/dH9k=",0)</f>
        <v>#REF!</v>
      </c>
      <c r="HK173" t="e">
        <f>IF(#REF!,"AAAAAH/dH9o=",0)</f>
        <v>#REF!</v>
      </c>
      <c r="HL173" t="e">
        <f>IF(#REF!,"AAAAAH/dH9s=",0)</f>
        <v>#REF!</v>
      </c>
      <c r="HM173" t="e">
        <f>IF(#REF!,"AAAAAH/dH9w=",0)</f>
        <v>#REF!</v>
      </c>
      <c r="HN173" t="e">
        <f>IF(#REF!,"AAAAAH/dH90=",0)</f>
        <v>#REF!</v>
      </c>
      <c r="HO173" t="e">
        <f>IF(#REF!,"AAAAAH/dH94=",0)</f>
        <v>#REF!</v>
      </c>
      <c r="HP173" t="e">
        <f>IF(#REF!,"AAAAAH/dH98=",0)</f>
        <v>#REF!</v>
      </c>
      <c r="HQ173" t="e">
        <f>IF(#REF!,"AAAAAH/dH+A=",0)</f>
        <v>#REF!</v>
      </c>
      <c r="HR173" t="e">
        <f>IF(#REF!,"AAAAAH/dH+E=",0)</f>
        <v>#REF!</v>
      </c>
      <c r="HS173" t="e">
        <f>IF(#REF!,"AAAAAH/dH+I=",0)</f>
        <v>#REF!</v>
      </c>
      <c r="HT173" t="e">
        <f>IF(#REF!,"AAAAAH/dH+M=",0)</f>
        <v>#REF!</v>
      </c>
      <c r="HU173" t="e">
        <f>IF(#REF!,"AAAAAH/dH+Q=",0)</f>
        <v>#REF!</v>
      </c>
      <c r="HV173" t="e">
        <f>IF(#REF!,"AAAAAH/dH+U=",0)</f>
        <v>#REF!</v>
      </c>
      <c r="HW173" t="e">
        <f>IF(#REF!,"AAAAAH/dH+Y=",0)</f>
        <v>#REF!</v>
      </c>
      <c r="HX173" t="e">
        <f>IF(#REF!,"AAAAAH/dH+c=",0)</f>
        <v>#REF!</v>
      </c>
      <c r="HY173" t="e">
        <f>IF(#REF!,"AAAAAH/dH+g=",0)</f>
        <v>#REF!</v>
      </c>
      <c r="HZ173" t="e">
        <f>IF(#REF!,"AAAAAH/dH+k=",0)</f>
        <v>#REF!</v>
      </c>
      <c r="IA173" t="e">
        <f>IF(#REF!,"AAAAAH/dH+o=",0)</f>
        <v>#REF!</v>
      </c>
      <c r="IB173" t="e">
        <f>IF(#REF!,"AAAAAH/dH+s=",0)</f>
        <v>#REF!</v>
      </c>
      <c r="IC173" t="e">
        <f>IF(#REF!,"AAAAAH/dH+w=",0)</f>
        <v>#REF!</v>
      </c>
      <c r="ID173" t="e">
        <f>IF(#REF!,"AAAAAH/dH+0=",0)</f>
        <v>#REF!</v>
      </c>
      <c r="IE173" t="e">
        <f>IF(#REF!,"AAAAAH/dH+4=",0)</f>
        <v>#REF!</v>
      </c>
      <c r="IF173" t="e">
        <f>IF(#REF!,"AAAAAH/dH+8=",0)</f>
        <v>#REF!</v>
      </c>
      <c r="IG173" t="e">
        <f>IF(#REF!,"AAAAAH/dH/A=",0)</f>
        <v>#REF!</v>
      </c>
      <c r="IH173" t="e">
        <f>IF(#REF!,"AAAAAH/dH/E=",0)</f>
        <v>#REF!</v>
      </c>
      <c r="II173" t="e">
        <f>IF(#REF!,"AAAAAH/dH/I=",0)</f>
        <v>#REF!</v>
      </c>
      <c r="IJ173" t="e">
        <f>IF(#REF!,"AAAAAH/dH/M=",0)</f>
        <v>#REF!</v>
      </c>
      <c r="IK173" t="e">
        <f>IF(#REF!,"AAAAAH/dH/Q=",0)</f>
        <v>#REF!</v>
      </c>
      <c r="IL173" t="e">
        <f>IF(#REF!,"AAAAAH/dH/U=",0)</f>
        <v>#REF!</v>
      </c>
      <c r="IM173" t="e">
        <f>IF(#REF!,"AAAAAH/dH/Y=",0)</f>
        <v>#REF!</v>
      </c>
      <c r="IN173" t="e">
        <f>IF(#REF!,"AAAAAH/dH/c=",0)</f>
        <v>#REF!</v>
      </c>
      <c r="IO173" t="e">
        <f>IF(#REF!,"AAAAAH/dH/g=",0)</f>
        <v>#REF!</v>
      </c>
      <c r="IP173" t="e">
        <f>IF(#REF!,"AAAAAH/dH/k=",0)</f>
        <v>#REF!</v>
      </c>
      <c r="IQ173" t="e">
        <f>IF(#REF!,"AAAAAH/dH/o=",0)</f>
        <v>#REF!</v>
      </c>
      <c r="IR173" t="e">
        <f>IF(#REF!,"AAAAAH/dH/s=",0)</f>
        <v>#REF!</v>
      </c>
      <c r="IS173" t="e">
        <f>IF(#REF!,"AAAAAH/dH/w=",0)</f>
        <v>#REF!</v>
      </c>
      <c r="IT173" t="e">
        <f>IF(#REF!,"AAAAAH/dH/0=",0)</f>
        <v>#REF!</v>
      </c>
      <c r="IU173" t="e">
        <f>IF(#REF!,"AAAAAH/dH/4=",0)</f>
        <v>#REF!</v>
      </c>
      <c r="IV173" t="e">
        <f>IF(#REF!,"AAAAAH/dH/8=",0)</f>
        <v>#REF!</v>
      </c>
    </row>
    <row r="174" spans="1:256">
      <c r="A174" t="e">
        <f>IF(#REF!,"AAAAAG8LfwA=",0)</f>
        <v>#REF!</v>
      </c>
      <c r="B174" t="e">
        <f>IF(#REF!,"AAAAAG8LfwE=",0)</f>
        <v>#REF!</v>
      </c>
      <c r="C174" t="e">
        <f>IF(#REF!,"AAAAAG8LfwI=",0)</f>
        <v>#REF!</v>
      </c>
      <c r="D174" t="e">
        <f>IF(#REF!,"AAAAAG8LfwM=",0)</f>
        <v>#REF!</v>
      </c>
      <c r="E174" t="e">
        <f>IF(#REF!,"AAAAAG8LfwQ=",0)</f>
        <v>#REF!</v>
      </c>
      <c r="F174" t="e">
        <f>IF(#REF!,"AAAAAG8LfwU=",0)</f>
        <v>#REF!</v>
      </c>
      <c r="G174" t="e">
        <f>IF(#REF!,"AAAAAG8LfwY=",0)</f>
        <v>#REF!</v>
      </c>
      <c r="H174" t="e">
        <f>IF(#REF!,"AAAAAG8Lfwc=",0)</f>
        <v>#REF!</v>
      </c>
      <c r="I174" t="e">
        <f>IF(#REF!,"AAAAAG8Lfwg=",0)</f>
        <v>#REF!</v>
      </c>
      <c r="J174" t="e">
        <f>IF(#REF!,"AAAAAG8Lfwk=",0)</f>
        <v>#REF!</v>
      </c>
      <c r="K174" t="e">
        <f>IF(#REF!,"AAAAAG8Lfwo=",0)</f>
        <v>#REF!</v>
      </c>
      <c r="L174" t="e">
        <f>IF(#REF!,"AAAAAG8Lfws=",0)</f>
        <v>#REF!</v>
      </c>
      <c r="M174" t="e">
        <f>IF(#REF!,"AAAAAG8Lfww=",0)</f>
        <v>#REF!</v>
      </c>
      <c r="N174" t="e">
        <f>IF(#REF!,"AAAAAG8Lfw0=",0)</f>
        <v>#REF!</v>
      </c>
      <c r="O174" t="e">
        <f>IF(#REF!,"AAAAAG8Lfw4=",0)</f>
        <v>#REF!</v>
      </c>
      <c r="P174" t="e">
        <f>IF(#REF!,"AAAAAG8Lfw8=",0)</f>
        <v>#REF!</v>
      </c>
      <c r="Q174" t="e">
        <f>IF(#REF!,"AAAAAG8LfxA=",0)</f>
        <v>#REF!</v>
      </c>
      <c r="R174" t="e">
        <f>IF(#REF!,"AAAAAG8LfxE=",0)</f>
        <v>#REF!</v>
      </c>
      <c r="S174" t="e">
        <f>IF(#REF!,"AAAAAG8LfxI=",0)</f>
        <v>#REF!</v>
      </c>
      <c r="T174" t="e">
        <f>IF(#REF!,"AAAAAG8LfxM=",0)</f>
        <v>#REF!</v>
      </c>
      <c r="U174" t="e">
        <f>IF(#REF!,"AAAAAG8LfxQ=",0)</f>
        <v>#REF!</v>
      </c>
      <c r="V174" t="e">
        <f>IF(#REF!,"AAAAAG8LfxU=",0)</f>
        <v>#REF!</v>
      </c>
      <c r="W174" t="e">
        <f>IF(#REF!,"AAAAAG8LfxY=",0)</f>
        <v>#REF!</v>
      </c>
      <c r="X174" t="e">
        <f>IF(#REF!,"AAAAAG8Lfxc=",0)</f>
        <v>#REF!</v>
      </c>
      <c r="Y174" t="e">
        <f>IF(#REF!,"AAAAAG8Lfxg=",0)</f>
        <v>#REF!</v>
      </c>
      <c r="Z174" t="e">
        <f>IF(#REF!,"AAAAAG8Lfxk=",0)</f>
        <v>#REF!</v>
      </c>
      <c r="AA174" t="e">
        <f>IF(#REF!,"AAAAAG8Lfxo=",0)</f>
        <v>#REF!</v>
      </c>
      <c r="AB174" t="e">
        <f>IF(#REF!,"AAAAAG8Lfxs=",0)</f>
        <v>#REF!</v>
      </c>
      <c r="AC174" t="e">
        <f>IF(#REF!,"AAAAAG8Lfxw=",0)</f>
        <v>#REF!</v>
      </c>
      <c r="AD174" t="e">
        <f>IF(#REF!,"AAAAAG8Lfx0=",0)</f>
        <v>#REF!</v>
      </c>
      <c r="AE174" t="e">
        <f>IF(#REF!,"AAAAAG8Lfx4=",0)</f>
        <v>#REF!</v>
      </c>
      <c r="AF174" t="e">
        <f>IF(#REF!,"AAAAAG8Lfx8=",0)</f>
        <v>#REF!</v>
      </c>
      <c r="AG174" t="e">
        <f>IF(#REF!,"AAAAAG8LfyA=",0)</f>
        <v>#REF!</v>
      </c>
      <c r="AH174" t="e">
        <f>IF(#REF!,"AAAAAG8LfyE=",0)</f>
        <v>#REF!</v>
      </c>
      <c r="AI174" t="e">
        <f>IF(#REF!,"AAAAAG8LfyI=",0)</f>
        <v>#REF!</v>
      </c>
      <c r="AJ174" t="e">
        <f>IF(#REF!,"AAAAAG8LfyM=",0)</f>
        <v>#REF!</v>
      </c>
      <c r="AK174" t="e">
        <f>IF(#REF!,"AAAAAG8LfyQ=",0)</f>
        <v>#REF!</v>
      </c>
      <c r="AL174" t="e">
        <f>IF(#REF!,"AAAAAG8LfyU=",0)</f>
        <v>#REF!</v>
      </c>
      <c r="AM174" t="e">
        <f>IF(#REF!,"AAAAAG8LfyY=",0)</f>
        <v>#REF!</v>
      </c>
      <c r="AN174" t="e">
        <f>IF(#REF!,"AAAAAG8Lfyc=",0)</f>
        <v>#REF!</v>
      </c>
      <c r="AO174" t="e">
        <f>IF(#REF!,"AAAAAG8Lfyg=",0)</f>
        <v>#REF!</v>
      </c>
      <c r="AP174" t="e">
        <f>IF(#REF!,"AAAAAG8Lfyk=",0)</f>
        <v>#REF!</v>
      </c>
      <c r="AQ174" t="e">
        <f>IF(#REF!,"AAAAAG8Lfyo=",0)</f>
        <v>#REF!</v>
      </c>
      <c r="AR174" t="e">
        <f>IF(#REF!,"AAAAAG8Lfys=",0)</f>
        <v>#REF!</v>
      </c>
      <c r="AS174" t="e">
        <f>IF(#REF!,"AAAAAG8Lfyw=",0)</f>
        <v>#REF!</v>
      </c>
      <c r="AT174" t="e">
        <f>IF(#REF!,"AAAAAG8Lfy0=",0)</f>
        <v>#REF!</v>
      </c>
      <c r="AU174" t="e">
        <f>IF(#REF!,"AAAAAG8Lfy4=",0)</f>
        <v>#REF!</v>
      </c>
      <c r="AV174" t="e">
        <f>IF(#REF!,"AAAAAG8Lfy8=",0)</f>
        <v>#REF!</v>
      </c>
      <c r="AW174" t="e">
        <f>IF(#REF!,"AAAAAG8LfzA=",0)</f>
        <v>#REF!</v>
      </c>
      <c r="AX174" t="e">
        <f>IF(#REF!,"AAAAAG8LfzE=",0)</f>
        <v>#REF!</v>
      </c>
      <c r="AY174" t="e">
        <f>IF(#REF!,"AAAAAG8LfzI=",0)</f>
        <v>#REF!</v>
      </c>
      <c r="AZ174" t="e">
        <f>IF(#REF!,"AAAAAG8LfzM=",0)</f>
        <v>#REF!</v>
      </c>
      <c r="BA174" t="e">
        <f>IF(#REF!,"AAAAAG8LfzQ=",0)</f>
        <v>#REF!</v>
      </c>
      <c r="BB174" t="e">
        <f>IF(#REF!,"AAAAAG8LfzU=",0)</f>
        <v>#REF!</v>
      </c>
      <c r="BC174" t="e">
        <f>IF(#REF!,"AAAAAG8LfzY=",0)</f>
        <v>#REF!</v>
      </c>
      <c r="BD174" t="e">
        <f>IF(#REF!,"AAAAAG8Lfzc=",0)</f>
        <v>#REF!</v>
      </c>
      <c r="BE174" t="e">
        <f>IF(#REF!,"AAAAAG8Lfzg=",0)</f>
        <v>#REF!</v>
      </c>
      <c r="BF174" t="e">
        <f>IF(#REF!,"AAAAAG8Lfzk=",0)</f>
        <v>#REF!</v>
      </c>
      <c r="BG174" t="e">
        <f>IF(#REF!,"AAAAAG8Lfzo=",0)</f>
        <v>#REF!</v>
      </c>
      <c r="BH174" t="e">
        <f>IF(#REF!,"AAAAAG8Lfzs=",0)</f>
        <v>#REF!</v>
      </c>
      <c r="BI174" t="e">
        <f>IF(#REF!,"AAAAAG8Lfzw=",0)</f>
        <v>#REF!</v>
      </c>
      <c r="BJ174" t="e">
        <f>IF(#REF!,"AAAAAG8Lfz0=",0)</f>
        <v>#REF!</v>
      </c>
      <c r="BK174" t="e">
        <f>IF(#REF!,"AAAAAG8Lfz4=",0)</f>
        <v>#REF!</v>
      </c>
      <c r="BL174" t="e">
        <f>IF(#REF!,"AAAAAG8Lfz8=",0)</f>
        <v>#REF!</v>
      </c>
      <c r="BM174" t="e">
        <f>IF(#REF!,"AAAAAG8Lf0A=",0)</f>
        <v>#REF!</v>
      </c>
      <c r="BN174" t="e">
        <f>IF(#REF!,"AAAAAG8Lf0E=",0)</f>
        <v>#REF!</v>
      </c>
      <c r="BO174" t="e">
        <f>IF(#REF!,"AAAAAG8Lf0I=",0)</f>
        <v>#REF!</v>
      </c>
      <c r="BP174" t="e">
        <f>IF(#REF!,"AAAAAG8Lf0M=",0)</f>
        <v>#REF!</v>
      </c>
      <c r="BQ174" t="e">
        <f>IF(#REF!,"AAAAAG8Lf0Q=",0)</f>
        <v>#REF!</v>
      </c>
      <c r="BR174" t="e">
        <f>IF(#REF!,"AAAAAG8Lf0U=",0)</f>
        <v>#REF!</v>
      </c>
      <c r="BS174" t="e">
        <f>IF(#REF!,"AAAAAG8Lf0Y=",0)</f>
        <v>#REF!</v>
      </c>
      <c r="BT174" t="e">
        <f>IF(#REF!,"AAAAAG8Lf0c=",0)</f>
        <v>#REF!</v>
      </c>
      <c r="BU174" t="e">
        <f>IF(#REF!,"AAAAAG8Lf0g=",0)</f>
        <v>#REF!</v>
      </c>
      <c r="BV174" t="e">
        <f>IF(#REF!,"AAAAAG8Lf0k=",0)</f>
        <v>#REF!</v>
      </c>
      <c r="BW174" t="e">
        <f>IF(#REF!,"AAAAAG8Lf0o=",0)</f>
        <v>#REF!</v>
      </c>
      <c r="BX174" t="e">
        <f>IF(#REF!,"AAAAAG8Lf0s=",0)</f>
        <v>#REF!</v>
      </c>
      <c r="BY174" t="e">
        <f>IF(#REF!,"AAAAAG8Lf0w=",0)</f>
        <v>#REF!</v>
      </c>
      <c r="BZ174" t="e">
        <f>IF(#REF!,"AAAAAG8Lf00=",0)</f>
        <v>#REF!</v>
      </c>
      <c r="CA174" t="e">
        <f>IF(#REF!,"AAAAAG8Lf04=",0)</f>
        <v>#REF!</v>
      </c>
      <c r="CB174" t="e">
        <f>IF(#REF!,"AAAAAG8Lf08=",0)</f>
        <v>#REF!</v>
      </c>
      <c r="CC174" t="e">
        <f>IF(#REF!,"AAAAAG8Lf1A=",0)</f>
        <v>#REF!</v>
      </c>
      <c r="CD174" t="e">
        <f>IF(#REF!,"AAAAAG8Lf1E=",0)</f>
        <v>#REF!</v>
      </c>
      <c r="CE174" t="e">
        <f>IF(#REF!,"AAAAAG8Lf1I=",0)</f>
        <v>#REF!</v>
      </c>
      <c r="CF174" t="e">
        <f>IF(#REF!,"AAAAAG8Lf1M=",0)</f>
        <v>#REF!</v>
      </c>
      <c r="CG174" t="e">
        <f>IF(#REF!,"AAAAAG8Lf1Q=",0)</f>
        <v>#REF!</v>
      </c>
      <c r="CH174" t="e">
        <f>IF(#REF!,"AAAAAG8Lf1U=",0)</f>
        <v>#REF!</v>
      </c>
      <c r="CI174" t="e">
        <f>IF(#REF!,"AAAAAG8Lf1Y=",0)</f>
        <v>#REF!</v>
      </c>
      <c r="CJ174" t="e">
        <f>IF(#REF!,"AAAAAG8Lf1c=",0)</f>
        <v>#REF!</v>
      </c>
      <c r="CK174" t="e">
        <f>IF(#REF!,"AAAAAG8Lf1g=",0)</f>
        <v>#REF!</v>
      </c>
      <c r="CL174" t="e">
        <f>IF(#REF!,"AAAAAG8Lf1k=",0)</f>
        <v>#REF!</v>
      </c>
      <c r="CM174" t="e">
        <f>IF(#REF!,"AAAAAG8Lf1o=",0)</f>
        <v>#REF!</v>
      </c>
      <c r="CN174" t="e">
        <f>IF(#REF!,"AAAAAG8Lf1s=",0)</f>
        <v>#REF!</v>
      </c>
      <c r="CO174" t="e">
        <f>IF(#REF!,"AAAAAG8Lf1w=",0)</f>
        <v>#REF!</v>
      </c>
      <c r="CP174" t="e">
        <f>IF(#REF!,"AAAAAG8Lf10=",0)</f>
        <v>#REF!</v>
      </c>
      <c r="CQ174" t="e">
        <f>IF(#REF!,"AAAAAG8Lf14=",0)</f>
        <v>#REF!</v>
      </c>
      <c r="CR174" t="e">
        <f>IF(#REF!,"AAAAAG8Lf18=",0)</f>
        <v>#REF!</v>
      </c>
      <c r="CS174" t="e">
        <f>IF(#REF!,"AAAAAG8Lf2A=",0)</f>
        <v>#REF!</v>
      </c>
      <c r="CT174" t="e">
        <f>IF(#REF!,"AAAAAG8Lf2E=",0)</f>
        <v>#REF!</v>
      </c>
      <c r="CU174" t="e">
        <f>IF(#REF!,"AAAAAG8Lf2I=",0)</f>
        <v>#REF!</v>
      </c>
      <c r="CV174" t="e">
        <f>IF(#REF!,"AAAAAG8Lf2M=",0)</f>
        <v>#REF!</v>
      </c>
      <c r="CW174" t="e">
        <f>IF(#REF!,"AAAAAG8Lf2Q=",0)</f>
        <v>#REF!</v>
      </c>
      <c r="CX174" t="e">
        <f>IF(#REF!,"AAAAAG8Lf2U=",0)</f>
        <v>#REF!</v>
      </c>
      <c r="CY174" t="e">
        <f>IF(#REF!,"AAAAAG8Lf2Y=",0)</f>
        <v>#REF!</v>
      </c>
      <c r="CZ174" t="e">
        <f>IF(#REF!,"AAAAAG8Lf2c=",0)</f>
        <v>#REF!</v>
      </c>
      <c r="DA174" t="e">
        <f>IF(#REF!,"AAAAAG8Lf2g=",0)</f>
        <v>#REF!</v>
      </c>
      <c r="DB174" t="e">
        <f>IF(#REF!,"AAAAAG8Lf2k=",0)</f>
        <v>#REF!</v>
      </c>
      <c r="DC174" t="e">
        <f>IF(#REF!,"AAAAAG8Lf2o=",0)</f>
        <v>#REF!</v>
      </c>
      <c r="DD174" t="e">
        <f>IF(#REF!,"AAAAAG8Lf2s=",0)</f>
        <v>#REF!</v>
      </c>
      <c r="DE174" t="e">
        <f>IF(#REF!,"AAAAAG8Lf2w=",0)</f>
        <v>#REF!</v>
      </c>
      <c r="DF174" t="e">
        <f>IF(#REF!,"AAAAAG8Lf20=",0)</f>
        <v>#REF!</v>
      </c>
      <c r="DG174" t="e">
        <f>IF(#REF!,"AAAAAG8Lf24=",0)</f>
        <v>#REF!</v>
      </c>
      <c r="DH174" t="e">
        <f>IF(#REF!,"AAAAAG8Lf28=",0)</f>
        <v>#REF!</v>
      </c>
      <c r="DI174" t="e">
        <f>IF(#REF!,"AAAAAG8Lf3A=",0)</f>
        <v>#REF!</v>
      </c>
      <c r="DJ174" t="e">
        <f>IF(#REF!,"AAAAAG8Lf3E=",0)</f>
        <v>#REF!</v>
      </c>
      <c r="DK174" t="e">
        <f>IF(#REF!,"AAAAAG8Lf3I=",0)</f>
        <v>#REF!</v>
      </c>
      <c r="DL174" t="e">
        <f>IF(#REF!,"AAAAAG8Lf3M=",0)</f>
        <v>#REF!</v>
      </c>
      <c r="DM174" t="e">
        <f>IF(#REF!,"AAAAAG8Lf3Q=",0)</f>
        <v>#REF!</v>
      </c>
      <c r="DN174" t="e">
        <f>IF(#REF!,"AAAAAG8Lf3U=",0)</f>
        <v>#REF!</v>
      </c>
      <c r="DO174" t="e">
        <f>IF(#REF!,"AAAAAG8Lf3Y=",0)</f>
        <v>#REF!</v>
      </c>
      <c r="DP174" t="e">
        <f>IF(#REF!,"AAAAAG8Lf3c=",0)</f>
        <v>#REF!</v>
      </c>
      <c r="DQ174" t="e">
        <f>IF(#REF!,"AAAAAG8Lf3g=",0)</f>
        <v>#REF!</v>
      </c>
      <c r="DR174" t="e">
        <f>IF(#REF!,"AAAAAG8Lf3k=",0)</f>
        <v>#REF!</v>
      </c>
      <c r="DS174" t="e">
        <f>IF(#REF!,"AAAAAG8Lf3o=",0)</f>
        <v>#REF!</v>
      </c>
      <c r="DT174" t="e">
        <f>IF(#REF!,"AAAAAG8Lf3s=",0)</f>
        <v>#REF!</v>
      </c>
      <c r="DU174" t="e">
        <f>IF(#REF!,"AAAAAG8Lf3w=",0)</f>
        <v>#REF!</v>
      </c>
      <c r="DV174" t="e">
        <f>IF(#REF!,"AAAAAG8Lf30=",0)</f>
        <v>#REF!</v>
      </c>
      <c r="DW174" t="e">
        <f>IF(#REF!,"AAAAAG8Lf34=",0)</f>
        <v>#REF!</v>
      </c>
      <c r="DX174" t="e">
        <f>IF(#REF!,"AAAAAG8Lf38=",0)</f>
        <v>#REF!</v>
      </c>
      <c r="DY174" t="e">
        <f>IF(#REF!,"AAAAAG8Lf4A=",0)</f>
        <v>#REF!</v>
      </c>
      <c r="DZ174" t="e">
        <f>IF(#REF!,"AAAAAG8Lf4E=",0)</f>
        <v>#REF!</v>
      </c>
      <c r="EA174" t="e">
        <f>IF(#REF!,"AAAAAG8Lf4I=",0)</f>
        <v>#REF!</v>
      </c>
      <c r="EB174" t="e">
        <f>IF(#REF!,"AAAAAG8Lf4M=",0)</f>
        <v>#REF!</v>
      </c>
      <c r="EC174" t="e">
        <f>IF(#REF!,"AAAAAG8Lf4Q=",0)</f>
        <v>#REF!</v>
      </c>
      <c r="ED174" t="e">
        <f>IF(#REF!,"AAAAAG8Lf4U=",0)</f>
        <v>#REF!</v>
      </c>
      <c r="EE174" t="e">
        <f>IF(#REF!,"AAAAAG8Lf4Y=",0)</f>
        <v>#REF!</v>
      </c>
      <c r="EF174" t="e">
        <f>IF(#REF!,"AAAAAG8Lf4c=",0)</f>
        <v>#REF!</v>
      </c>
      <c r="EG174" t="e">
        <f>IF(#REF!,"AAAAAG8Lf4g=",0)</f>
        <v>#REF!</v>
      </c>
      <c r="EH174" t="e">
        <f>IF(#REF!,"AAAAAG8Lf4k=",0)</f>
        <v>#REF!</v>
      </c>
      <c r="EI174" t="e">
        <f>IF(#REF!,"AAAAAG8Lf4o=",0)</f>
        <v>#REF!</v>
      </c>
      <c r="EJ174" t="e">
        <f>IF(#REF!,"AAAAAG8Lf4s=",0)</f>
        <v>#REF!</v>
      </c>
      <c r="EK174" t="e">
        <f>IF(#REF!,"AAAAAG8Lf4w=",0)</f>
        <v>#REF!</v>
      </c>
      <c r="EL174" t="e">
        <f>IF(#REF!,"AAAAAG8Lf40=",0)</f>
        <v>#REF!</v>
      </c>
      <c r="EM174" t="e">
        <f>IF(#REF!,"AAAAAG8Lf44=",0)</f>
        <v>#REF!</v>
      </c>
      <c r="EN174" t="e">
        <f>IF(#REF!,"AAAAAG8Lf48=",0)</f>
        <v>#REF!</v>
      </c>
      <c r="EO174" t="e">
        <f>IF(#REF!,"AAAAAG8Lf5A=",0)</f>
        <v>#REF!</v>
      </c>
      <c r="EP174" t="e">
        <f>IF(#REF!,"AAAAAG8Lf5E=",0)</f>
        <v>#REF!</v>
      </c>
      <c r="EQ174" t="e">
        <f>IF(#REF!,"AAAAAG8Lf5I=",0)</f>
        <v>#REF!</v>
      </c>
      <c r="ER174" t="e">
        <f>IF(#REF!,"AAAAAG8Lf5M=",0)</f>
        <v>#REF!</v>
      </c>
      <c r="ES174" t="e">
        <f>IF(#REF!,"AAAAAG8Lf5Q=",0)</f>
        <v>#REF!</v>
      </c>
      <c r="ET174" t="e">
        <f>IF(#REF!,"AAAAAG8Lf5U=",0)</f>
        <v>#REF!</v>
      </c>
      <c r="EU174" t="e">
        <f>IF(#REF!,"AAAAAG8Lf5Y=",0)</f>
        <v>#REF!</v>
      </c>
      <c r="EV174" t="e">
        <f>IF(#REF!,"AAAAAG8Lf5c=",0)</f>
        <v>#REF!</v>
      </c>
      <c r="EW174" t="e">
        <f>IF(#REF!,"AAAAAG8Lf5g=",0)</f>
        <v>#REF!</v>
      </c>
      <c r="EX174" t="e">
        <f>IF(#REF!,"AAAAAG8Lf5k=",0)</f>
        <v>#REF!</v>
      </c>
      <c r="EY174" t="e">
        <f>IF(#REF!,"AAAAAG8Lf5o=",0)</f>
        <v>#REF!</v>
      </c>
      <c r="EZ174" t="e">
        <f>IF(#REF!,"AAAAAG8Lf5s=",0)</f>
        <v>#REF!</v>
      </c>
      <c r="FA174" t="e">
        <f>IF(#REF!,"AAAAAG8Lf5w=",0)</f>
        <v>#REF!</v>
      </c>
      <c r="FB174" t="e">
        <f>IF(#REF!,"AAAAAG8Lf50=",0)</f>
        <v>#REF!</v>
      </c>
      <c r="FC174" t="e">
        <f>IF(#REF!,"AAAAAG8Lf54=",0)</f>
        <v>#REF!</v>
      </c>
      <c r="FD174" t="e">
        <f>IF(#REF!,"AAAAAG8Lf58=",0)</f>
        <v>#REF!</v>
      </c>
      <c r="FE174" t="e">
        <f>IF(#REF!,"AAAAAG8Lf6A=",0)</f>
        <v>#REF!</v>
      </c>
      <c r="FF174" t="e">
        <f>IF(#REF!,"AAAAAG8Lf6E=",0)</f>
        <v>#REF!</v>
      </c>
      <c r="FG174" t="e">
        <f>IF(#REF!,"AAAAAG8Lf6I=",0)</f>
        <v>#REF!</v>
      </c>
      <c r="FH174" t="e">
        <f>IF(#REF!,"AAAAAG8Lf6M=",0)</f>
        <v>#REF!</v>
      </c>
      <c r="FI174" t="e">
        <f>IF(#REF!,"AAAAAG8Lf6Q=",0)</f>
        <v>#REF!</v>
      </c>
      <c r="FJ174" t="e">
        <f>IF(#REF!,"AAAAAG8Lf6U=",0)</f>
        <v>#REF!</v>
      </c>
      <c r="FK174" t="e">
        <f>IF(#REF!,"AAAAAG8Lf6Y=",0)</f>
        <v>#REF!</v>
      </c>
      <c r="FL174" t="e">
        <f>IF(#REF!,"AAAAAG8Lf6c=",0)</f>
        <v>#REF!</v>
      </c>
      <c r="FM174" t="e">
        <f>IF(#REF!,"AAAAAG8Lf6g=",0)</f>
        <v>#REF!</v>
      </c>
      <c r="FN174" t="e">
        <f>IF(#REF!,"AAAAAG8Lf6k=",0)</f>
        <v>#REF!</v>
      </c>
      <c r="FO174" t="e">
        <f>IF(#REF!,"AAAAAG8Lf6o=",0)</f>
        <v>#REF!</v>
      </c>
      <c r="FP174" t="e">
        <f>IF(#REF!,"AAAAAG8Lf6s=",0)</f>
        <v>#REF!</v>
      </c>
      <c r="FQ174" t="e">
        <f>IF(#REF!,"AAAAAG8Lf6w=",0)</f>
        <v>#REF!</v>
      </c>
      <c r="FR174" t="e">
        <f>IF(#REF!,"AAAAAG8Lf60=",0)</f>
        <v>#REF!</v>
      </c>
      <c r="FS174" t="e">
        <f>IF(#REF!,"AAAAAG8Lf64=",0)</f>
        <v>#REF!</v>
      </c>
      <c r="FT174" t="e">
        <f>IF(#REF!,"AAAAAG8Lf68=",0)</f>
        <v>#REF!</v>
      </c>
      <c r="FU174" t="e">
        <f>IF(#REF!,"AAAAAG8Lf7A=",0)</f>
        <v>#REF!</v>
      </c>
      <c r="FV174" t="e">
        <f>IF(#REF!,"AAAAAG8Lf7E=",0)</f>
        <v>#REF!</v>
      </c>
      <c r="FW174" t="e">
        <f>IF(#REF!,"AAAAAG8Lf7I=",0)</f>
        <v>#REF!</v>
      </c>
      <c r="FX174" t="e">
        <f>IF(#REF!,"AAAAAG8Lf7M=",0)</f>
        <v>#REF!</v>
      </c>
      <c r="FY174" t="e">
        <f>IF(#REF!,"AAAAAG8Lf7Q=",0)</f>
        <v>#REF!</v>
      </c>
      <c r="FZ174" t="e">
        <f>IF(#REF!,"AAAAAG8Lf7U=",0)</f>
        <v>#REF!</v>
      </c>
      <c r="GA174" t="e">
        <f>IF(#REF!,"AAAAAG8Lf7Y=",0)</f>
        <v>#REF!</v>
      </c>
      <c r="GB174" t="e">
        <f>IF(#REF!,"AAAAAG8Lf7c=",0)</f>
        <v>#REF!</v>
      </c>
      <c r="GC174" t="e">
        <f>IF(#REF!,"AAAAAG8Lf7g=",0)</f>
        <v>#REF!</v>
      </c>
      <c r="GD174" t="e">
        <f>IF(#REF!,"AAAAAG8Lf7k=",0)</f>
        <v>#REF!</v>
      </c>
      <c r="GE174" t="e">
        <f>IF(#REF!,"AAAAAG8Lf7o=",0)</f>
        <v>#REF!</v>
      </c>
      <c r="GF174" t="e">
        <f>IF(#REF!,"AAAAAG8Lf7s=",0)</f>
        <v>#REF!</v>
      </c>
      <c r="GG174" t="e">
        <f>IF(#REF!,"AAAAAG8Lf7w=",0)</f>
        <v>#REF!</v>
      </c>
      <c r="GH174" t="e">
        <f>IF(#REF!,"AAAAAG8Lf70=",0)</f>
        <v>#REF!</v>
      </c>
      <c r="GI174" t="e">
        <f>IF(#REF!,"AAAAAG8Lf74=",0)</f>
        <v>#REF!</v>
      </c>
      <c r="GJ174" t="e">
        <f>IF(#REF!,"AAAAAG8Lf78=",0)</f>
        <v>#REF!</v>
      </c>
      <c r="GK174" t="e">
        <f>IF(#REF!,"AAAAAG8Lf8A=",0)</f>
        <v>#REF!</v>
      </c>
      <c r="GL174" t="e">
        <f>IF(#REF!,"AAAAAG8Lf8E=",0)</f>
        <v>#REF!</v>
      </c>
      <c r="GM174" t="e">
        <f>IF(#REF!,"AAAAAG8Lf8I=",0)</f>
        <v>#REF!</v>
      </c>
      <c r="GN174" t="e">
        <f>IF(#REF!,"AAAAAG8Lf8M=",0)</f>
        <v>#REF!</v>
      </c>
      <c r="GO174" t="e">
        <f>IF(#REF!,"AAAAAG8Lf8Q=",0)</f>
        <v>#REF!</v>
      </c>
      <c r="GP174" t="e">
        <f>IF(#REF!,"AAAAAG8Lf8U=",0)</f>
        <v>#REF!</v>
      </c>
      <c r="GQ174" t="e">
        <f>IF(#REF!,"AAAAAG8Lf8Y=",0)</f>
        <v>#REF!</v>
      </c>
      <c r="GR174" t="e">
        <f>IF(#REF!,"AAAAAG8Lf8c=",0)</f>
        <v>#REF!</v>
      </c>
      <c r="GS174" t="e">
        <f>IF(#REF!,"AAAAAG8Lf8g=",0)</f>
        <v>#REF!</v>
      </c>
      <c r="GT174" t="e">
        <f>IF(#REF!,"AAAAAG8Lf8k=",0)</f>
        <v>#REF!</v>
      </c>
      <c r="GU174" t="e">
        <f>IF(#REF!,"AAAAAG8Lf8o=",0)</f>
        <v>#REF!</v>
      </c>
      <c r="GV174" t="e">
        <f>IF(#REF!,"AAAAAG8Lf8s=",0)</f>
        <v>#REF!</v>
      </c>
      <c r="GW174" t="e">
        <f>IF(#REF!,"AAAAAG8Lf8w=",0)</f>
        <v>#REF!</v>
      </c>
      <c r="GX174" t="e">
        <f>IF(#REF!,"AAAAAG8Lf80=",0)</f>
        <v>#REF!</v>
      </c>
      <c r="GY174" t="e">
        <f>IF(#REF!,"AAAAAG8Lf84=",0)</f>
        <v>#REF!</v>
      </c>
      <c r="GZ174" t="e">
        <f>IF(#REF!,"AAAAAG8Lf88=",0)</f>
        <v>#REF!</v>
      </c>
      <c r="HA174" t="e">
        <f>IF(#REF!,"AAAAAG8Lf9A=",0)</f>
        <v>#REF!</v>
      </c>
      <c r="HB174" t="e">
        <f>IF(#REF!,"AAAAAG8Lf9E=",0)</f>
        <v>#REF!</v>
      </c>
      <c r="HC174" t="e">
        <f>IF(#REF!,"AAAAAG8Lf9I=",0)</f>
        <v>#REF!</v>
      </c>
      <c r="HD174" t="e">
        <f>IF(#REF!,"AAAAAG8Lf9M=",0)</f>
        <v>#REF!</v>
      </c>
      <c r="HE174" t="e">
        <f>IF(#REF!,"AAAAAG8Lf9Q=",0)</f>
        <v>#REF!</v>
      </c>
      <c r="HF174" t="e">
        <f>IF(#REF!,"AAAAAG8Lf9U=",0)</f>
        <v>#REF!</v>
      </c>
      <c r="HG174" t="e">
        <f>IF(#REF!,"AAAAAG8Lf9Y=",0)</f>
        <v>#REF!</v>
      </c>
      <c r="HH174" t="e">
        <f>IF(#REF!,"AAAAAG8Lf9c=",0)</f>
        <v>#REF!</v>
      </c>
      <c r="HI174" t="e">
        <f>IF(#REF!,"AAAAAG8Lf9g=",0)</f>
        <v>#REF!</v>
      </c>
      <c r="HJ174" t="e">
        <f>IF(#REF!,"AAAAAG8Lf9k=",0)</f>
        <v>#REF!</v>
      </c>
      <c r="HK174" t="e">
        <f>IF(#REF!,"AAAAAG8Lf9o=",0)</f>
        <v>#REF!</v>
      </c>
      <c r="HL174" t="e">
        <f>IF(#REF!,"AAAAAG8Lf9s=",0)</f>
        <v>#REF!</v>
      </c>
      <c r="HM174" t="e">
        <f>IF(#REF!,"AAAAAG8Lf9w=",0)</f>
        <v>#REF!</v>
      </c>
      <c r="HN174" t="e">
        <f>IF(#REF!,"AAAAAG8Lf90=",0)</f>
        <v>#REF!</v>
      </c>
      <c r="HO174" t="e">
        <f>IF(#REF!,"AAAAAG8Lf94=",0)</f>
        <v>#REF!</v>
      </c>
      <c r="HP174" t="e">
        <f>IF(#REF!,"AAAAAG8Lf98=",0)</f>
        <v>#REF!</v>
      </c>
      <c r="HQ174" t="e">
        <f>IF(#REF!,"AAAAAG8Lf+A=",0)</f>
        <v>#REF!</v>
      </c>
      <c r="HR174" t="e">
        <f>IF(#REF!,"AAAAAG8Lf+E=",0)</f>
        <v>#REF!</v>
      </c>
      <c r="HS174" t="e">
        <f>IF(#REF!,"AAAAAG8Lf+I=",0)</f>
        <v>#REF!</v>
      </c>
      <c r="HT174" t="e">
        <f>IF(#REF!,"AAAAAG8Lf+M=",0)</f>
        <v>#REF!</v>
      </c>
      <c r="HU174" t="e">
        <f>IF(#REF!,"AAAAAG8Lf+Q=",0)</f>
        <v>#REF!</v>
      </c>
      <c r="HV174" t="e">
        <f>IF(#REF!,"AAAAAG8Lf+U=",0)</f>
        <v>#REF!</v>
      </c>
      <c r="HW174" t="e">
        <f>IF(#REF!,"AAAAAG8Lf+Y=",0)</f>
        <v>#REF!</v>
      </c>
      <c r="HX174" t="e">
        <f>IF(#REF!,"AAAAAG8Lf+c=",0)</f>
        <v>#REF!</v>
      </c>
      <c r="HY174" t="e">
        <f>IF(#REF!,"AAAAAG8Lf+g=",0)</f>
        <v>#REF!</v>
      </c>
      <c r="HZ174" t="e">
        <f>IF(#REF!,"AAAAAG8Lf+k=",0)</f>
        <v>#REF!</v>
      </c>
      <c r="IA174" t="e">
        <f>IF(#REF!,"AAAAAG8Lf+o=",0)</f>
        <v>#REF!</v>
      </c>
      <c r="IB174" t="e">
        <f>IF(#REF!,"AAAAAG8Lf+s=",0)</f>
        <v>#REF!</v>
      </c>
      <c r="IC174" t="e">
        <f>IF(#REF!,"AAAAAG8Lf+w=",0)</f>
        <v>#REF!</v>
      </c>
      <c r="ID174" t="e">
        <f>IF(#REF!,"AAAAAG8Lf+0=",0)</f>
        <v>#REF!</v>
      </c>
      <c r="IE174" t="e">
        <f>IF(#REF!,"AAAAAG8Lf+4=",0)</f>
        <v>#REF!</v>
      </c>
      <c r="IF174" t="e">
        <f>IF(#REF!,"AAAAAG8Lf+8=",0)</f>
        <v>#REF!</v>
      </c>
      <c r="IG174" t="e">
        <f>IF(#REF!,"AAAAAG8Lf/A=",0)</f>
        <v>#REF!</v>
      </c>
      <c r="IH174" t="e">
        <f>IF(#REF!,"AAAAAG8Lf/E=",0)</f>
        <v>#REF!</v>
      </c>
      <c r="II174" t="e">
        <f>IF(#REF!,"AAAAAG8Lf/I=",0)</f>
        <v>#REF!</v>
      </c>
      <c r="IJ174" t="e">
        <f>IF(#REF!,"AAAAAG8Lf/M=",0)</f>
        <v>#REF!</v>
      </c>
      <c r="IK174" t="e">
        <f>IF(#REF!,"AAAAAG8Lf/Q=",0)</f>
        <v>#REF!</v>
      </c>
      <c r="IL174" t="e">
        <f>IF(#REF!,"AAAAAG8Lf/U=",0)</f>
        <v>#REF!</v>
      </c>
      <c r="IM174" t="e">
        <f>IF(#REF!,"AAAAAG8Lf/Y=",0)</f>
        <v>#REF!</v>
      </c>
      <c r="IN174" t="e">
        <f>IF(#REF!,"AAAAAG8Lf/c=",0)</f>
        <v>#REF!</v>
      </c>
      <c r="IO174" t="e">
        <f>IF(#REF!,"AAAAAG8Lf/g=",0)</f>
        <v>#REF!</v>
      </c>
      <c r="IP174" t="e">
        <f>IF(#REF!,"AAAAAG8Lf/k=",0)</f>
        <v>#REF!</v>
      </c>
      <c r="IQ174" t="e">
        <f>IF(#REF!,"AAAAAG8Lf/o=",0)</f>
        <v>#REF!</v>
      </c>
      <c r="IR174" t="e">
        <f>IF(#REF!,"AAAAAG8Lf/s=",0)</f>
        <v>#REF!</v>
      </c>
      <c r="IS174" t="e">
        <f>IF(#REF!,"AAAAAG8Lf/w=",0)</f>
        <v>#REF!</v>
      </c>
      <c r="IT174" t="e">
        <f>IF(#REF!,"AAAAAG8Lf/0=",0)</f>
        <v>#REF!</v>
      </c>
      <c r="IU174" t="e">
        <f>IF(#REF!,"AAAAAG8Lf/4=",0)</f>
        <v>#REF!</v>
      </c>
      <c r="IV174" t="e">
        <f>IF(#REF!,"AAAAAG8Lf/8=",0)</f>
        <v>#REF!</v>
      </c>
    </row>
    <row r="175" spans="1:256">
      <c r="A175" t="e">
        <f>IF(#REF!,"AAAAAH/fngA=",0)</f>
        <v>#REF!</v>
      </c>
      <c r="B175" t="e">
        <f>IF(#REF!,"AAAAAH/fngE=",0)</f>
        <v>#REF!</v>
      </c>
      <c r="C175" t="e">
        <f>IF(#REF!,"AAAAAH/fngI=",0)</f>
        <v>#REF!</v>
      </c>
      <c r="D175" t="e">
        <f>IF(#REF!,"AAAAAH/fngM=",0)</f>
        <v>#REF!</v>
      </c>
      <c r="E175" t="e">
        <f>IF(#REF!,"AAAAAH/fngQ=",0)</f>
        <v>#REF!</v>
      </c>
      <c r="F175" t="e">
        <f>IF(#REF!,"AAAAAH/fngU=",0)</f>
        <v>#REF!</v>
      </c>
      <c r="G175" t="e">
        <f>IF(#REF!,"AAAAAH/fngY=",0)</f>
        <v>#REF!</v>
      </c>
      <c r="H175" t="e">
        <f>IF(#REF!,"AAAAAH/fngc=",0)</f>
        <v>#REF!</v>
      </c>
      <c r="I175" t="e">
        <f>IF(#REF!,"AAAAAH/fngg=",0)</f>
        <v>#REF!</v>
      </c>
      <c r="J175" t="e">
        <f>IF(#REF!,"AAAAAH/fngk=",0)</f>
        <v>#REF!</v>
      </c>
      <c r="K175" t="e">
        <f>IF(#REF!,"AAAAAH/fngo=",0)</f>
        <v>#REF!</v>
      </c>
      <c r="L175" t="e">
        <f>IF(#REF!,"AAAAAH/fngs=",0)</f>
        <v>#REF!</v>
      </c>
      <c r="M175" t="e">
        <f>IF(#REF!,"AAAAAH/fngw=",0)</f>
        <v>#REF!</v>
      </c>
      <c r="N175" t="e">
        <f>IF(#REF!,"AAAAAH/fng0=",0)</f>
        <v>#REF!</v>
      </c>
      <c r="O175" t="e">
        <f>IF(#REF!,"AAAAAH/fng4=",0)</f>
        <v>#REF!</v>
      </c>
      <c r="P175" t="e">
        <f>IF(#REF!,"AAAAAH/fng8=",0)</f>
        <v>#REF!</v>
      </c>
      <c r="Q175" t="e">
        <f>IF(#REF!,"AAAAAH/fnhA=",0)</f>
        <v>#REF!</v>
      </c>
      <c r="R175" t="e">
        <f>IF(#REF!,"AAAAAH/fnhE=",0)</f>
        <v>#REF!</v>
      </c>
      <c r="S175" t="e">
        <f>IF(#REF!,"AAAAAH/fnhI=",0)</f>
        <v>#REF!</v>
      </c>
      <c r="T175" t="e">
        <f>IF(#REF!,"AAAAAH/fnhM=",0)</f>
        <v>#REF!</v>
      </c>
      <c r="U175" t="e">
        <f>IF(#REF!,"AAAAAH/fnhQ=",0)</f>
        <v>#REF!</v>
      </c>
      <c r="V175" t="e">
        <f>IF(#REF!,"AAAAAH/fnhU=",0)</f>
        <v>#REF!</v>
      </c>
      <c r="W175" t="e">
        <f>IF(#REF!,"AAAAAH/fnhY=",0)</f>
        <v>#REF!</v>
      </c>
      <c r="X175" t="e">
        <f>IF(#REF!,"AAAAAH/fnhc=",0)</f>
        <v>#REF!</v>
      </c>
      <c r="Y175" t="e">
        <f>IF(#REF!,"AAAAAH/fnhg=",0)</f>
        <v>#REF!</v>
      </c>
      <c r="Z175" t="e">
        <f>IF(#REF!,"AAAAAH/fnhk=",0)</f>
        <v>#REF!</v>
      </c>
      <c r="AA175" t="e">
        <f>IF(#REF!,"AAAAAH/fnho=",0)</f>
        <v>#REF!</v>
      </c>
      <c r="AB175" t="e">
        <f>IF(#REF!,"AAAAAH/fnhs=",0)</f>
        <v>#REF!</v>
      </c>
      <c r="AC175" t="e">
        <f>IF(#REF!,"AAAAAH/fnhw=",0)</f>
        <v>#REF!</v>
      </c>
      <c r="AD175" t="e">
        <f>IF(#REF!,"AAAAAH/fnh0=",0)</f>
        <v>#REF!</v>
      </c>
      <c r="AE175" t="e">
        <f>IF(#REF!,"AAAAAH/fnh4=",0)</f>
        <v>#REF!</v>
      </c>
      <c r="AF175" t="e">
        <f>IF(#REF!,"AAAAAH/fnh8=",0)</f>
        <v>#REF!</v>
      </c>
      <c r="AG175" t="e">
        <f>IF(#REF!,"AAAAAH/fniA=",0)</f>
        <v>#REF!</v>
      </c>
      <c r="AH175" t="e">
        <f>IF(#REF!,"AAAAAH/fniE=",0)</f>
        <v>#REF!</v>
      </c>
      <c r="AI175" t="e">
        <f>IF(#REF!,"AAAAAH/fniI=",0)</f>
        <v>#REF!</v>
      </c>
      <c r="AJ175" t="e">
        <f>IF(#REF!,"AAAAAH/fniM=",0)</f>
        <v>#REF!</v>
      </c>
      <c r="AK175" t="e">
        <f>IF(#REF!,"AAAAAH/fniQ=",0)</f>
        <v>#REF!</v>
      </c>
      <c r="AL175" t="e">
        <f>IF(#REF!,"AAAAAH/fniU=",0)</f>
        <v>#REF!</v>
      </c>
      <c r="AM175" t="e">
        <f>IF(#REF!,"AAAAAH/fniY=",0)</f>
        <v>#REF!</v>
      </c>
      <c r="AN175" t="e">
        <f>IF(#REF!,"AAAAAH/fnic=",0)</f>
        <v>#REF!</v>
      </c>
      <c r="AO175" t="e">
        <f>IF(#REF!,"AAAAAH/fnig=",0)</f>
        <v>#REF!</v>
      </c>
      <c r="AP175" t="e">
        <f>IF(#REF!,"AAAAAH/fnik=",0)</f>
        <v>#REF!</v>
      </c>
      <c r="AQ175" t="e">
        <f>IF(#REF!,"AAAAAH/fnio=",0)</f>
        <v>#REF!</v>
      </c>
      <c r="AR175" t="e">
        <f>IF(#REF!,"AAAAAH/fnis=",0)</f>
        <v>#REF!</v>
      </c>
      <c r="AS175" t="e">
        <f>IF(#REF!,"AAAAAH/fniw=",0)</f>
        <v>#REF!</v>
      </c>
      <c r="AT175" t="e">
        <f>IF(#REF!,"AAAAAH/fni0=",0)</f>
        <v>#REF!</v>
      </c>
      <c r="AU175" t="e">
        <f>IF(#REF!,"AAAAAH/fni4=",0)</f>
        <v>#REF!</v>
      </c>
      <c r="AV175" t="e">
        <f>IF(#REF!,"AAAAAH/fni8=",0)</f>
        <v>#REF!</v>
      </c>
      <c r="AW175" t="e">
        <f>IF(#REF!,"AAAAAH/fnjA=",0)</f>
        <v>#REF!</v>
      </c>
      <c r="AX175" t="e">
        <f>IF(#REF!,"AAAAAH/fnjE=",0)</f>
        <v>#REF!</v>
      </c>
      <c r="AY175" t="e">
        <f>IF(#REF!,"AAAAAH/fnjI=",0)</f>
        <v>#REF!</v>
      </c>
      <c r="AZ175" t="e">
        <f>IF(#REF!,"AAAAAH/fnjM=",0)</f>
        <v>#REF!</v>
      </c>
      <c r="BA175" t="e">
        <f>IF(#REF!,"AAAAAH/fnjQ=",0)</f>
        <v>#REF!</v>
      </c>
      <c r="BB175" t="e">
        <f>IF(#REF!,"AAAAAH/fnjU=",0)</f>
        <v>#REF!</v>
      </c>
      <c r="BC175" t="e">
        <f>IF(#REF!,"AAAAAH/fnjY=",0)</f>
        <v>#REF!</v>
      </c>
      <c r="BD175" t="e">
        <f>IF(#REF!,"AAAAAH/fnjc=",0)</f>
        <v>#REF!</v>
      </c>
      <c r="BE175" t="e">
        <f>IF(#REF!,"AAAAAH/fnjg=",0)</f>
        <v>#REF!</v>
      </c>
      <c r="BF175" t="e">
        <f>IF(#REF!,"AAAAAH/fnjk=",0)</f>
        <v>#REF!</v>
      </c>
      <c r="BG175" t="e">
        <f>IF(#REF!,"AAAAAH/fnjo=",0)</f>
        <v>#REF!</v>
      </c>
      <c r="BH175" t="e">
        <f>IF(#REF!,"AAAAAH/fnjs=",0)</f>
        <v>#REF!</v>
      </c>
      <c r="BI175" t="e">
        <f>IF(#REF!,"AAAAAH/fnjw=",0)</f>
        <v>#REF!</v>
      </c>
      <c r="BJ175" t="e">
        <f>IF(#REF!,"AAAAAH/fnj0=",0)</f>
        <v>#REF!</v>
      </c>
      <c r="BK175" t="e">
        <f>IF(#REF!,"AAAAAH/fnj4=",0)</f>
        <v>#REF!</v>
      </c>
      <c r="BL175" t="e">
        <f>IF(#REF!,"AAAAAH/fnj8=",0)</f>
        <v>#REF!</v>
      </c>
      <c r="BM175" t="e">
        <f>IF(#REF!,"AAAAAH/fnkA=",0)</f>
        <v>#REF!</v>
      </c>
      <c r="BN175" t="e">
        <f>IF(#REF!,"AAAAAH/fnkE=",0)</f>
        <v>#REF!</v>
      </c>
      <c r="BO175" t="e">
        <f>IF(#REF!,"AAAAAH/fnkI=",0)</f>
        <v>#REF!</v>
      </c>
      <c r="BP175" t="e">
        <f>IF(#REF!,"AAAAAH/fnkM=",0)</f>
        <v>#REF!</v>
      </c>
      <c r="BQ175" t="e">
        <f>IF(#REF!,"AAAAAH/fnkQ=",0)</f>
        <v>#REF!</v>
      </c>
      <c r="BR175" t="e">
        <f>IF(#REF!,"AAAAAH/fnkU=",0)</f>
        <v>#REF!</v>
      </c>
      <c r="BS175" t="e">
        <f>IF(#REF!,"AAAAAH/fnkY=",0)</f>
        <v>#REF!</v>
      </c>
      <c r="BT175" t="e">
        <f>IF(#REF!,"AAAAAH/fnkc=",0)</f>
        <v>#REF!</v>
      </c>
      <c r="BU175" t="e">
        <f>IF(#REF!,"AAAAAH/fnkg=",0)</f>
        <v>#REF!</v>
      </c>
      <c r="BV175" t="e">
        <f>IF(#REF!,"AAAAAH/fnkk=",0)</f>
        <v>#REF!</v>
      </c>
      <c r="BW175" t="e">
        <f>IF(#REF!,"AAAAAH/fnko=",0)</f>
        <v>#REF!</v>
      </c>
      <c r="BX175" t="e">
        <f>IF(#REF!,"AAAAAH/fnks=",0)</f>
        <v>#REF!</v>
      </c>
      <c r="BY175" t="e">
        <f>IF(#REF!,"AAAAAH/fnkw=",0)</f>
        <v>#REF!</v>
      </c>
      <c r="BZ175" t="e">
        <f>IF(#REF!,"AAAAAH/fnk0=",0)</f>
        <v>#REF!</v>
      </c>
      <c r="CA175" t="e">
        <f>IF(#REF!,"AAAAAH/fnk4=",0)</f>
        <v>#REF!</v>
      </c>
      <c r="CB175" t="e">
        <f>IF(#REF!,"AAAAAH/fnk8=",0)</f>
        <v>#REF!</v>
      </c>
      <c r="CC175" t="e">
        <f>IF(#REF!,"AAAAAH/fnlA=",0)</f>
        <v>#REF!</v>
      </c>
      <c r="CD175" t="e">
        <f>IF(#REF!,"AAAAAH/fnlE=",0)</f>
        <v>#REF!</v>
      </c>
      <c r="CE175" t="e">
        <f>IF(#REF!,"AAAAAH/fnlI=",0)</f>
        <v>#REF!</v>
      </c>
      <c r="CF175" t="e">
        <f>IF(#REF!,"AAAAAH/fnlM=",0)</f>
        <v>#REF!</v>
      </c>
      <c r="CG175" t="e">
        <f>IF(#REF!,"AAAAAH/fnlQ=",0)</f>
        <v>#REF!</v>
      </c>
      <c r="CH175" t="e">
        <f>IF(#REF!,"AAAAAH/fnlU=",0)</f>
        <v>#REF!</v>
      </c>
      <c r="CI175" t="e">
        <f>IF(#REF!,"AAAAAH/fnlY=",0)</f>
        <v>#REF!</v>
      </c>
      <c r="CJ175" t="e">
        <f>IF(#REF!,"AAAAAH/fnlc=",0)</f>
        <v>#REF!</v>
      </c>
      <c r="CK175" t="e">
        <f>IF(#REF!,"AAAAAH/fnlg=",0)</f>
        <v>#REF!</v>
      </c>
      <c r="CL175" t="e">
        <f>IF(#REF!,"AAAAAH/fnlk=",0)</f>
        <v>#REF!</v>
      </c>
      <c r="CM175" t="e">
        <f>IF(#REF!,"AAAAAH/fnlo=",0)</f>
        <v>#REF!</v>
      </c>
      <c r="CN175" t="e">
        <f>IF(#REF!,"AAAAAH/fnls=",0)</f>
        <v>#REF!</v>
      </c>
      <c r="CO175" t="e">
        <f>IF(#REF!,"AAAAAH/fnlw=",0)</f>
        <v>#REF!</v>
      </c>
      <c r="CP175" t="e">
        <f>IF(#REF!,"AAAAAH/fnl0=",0)</f>
        <v>#REF!</v>
      </c>
      <c r="CQ175" t="e">
        <f>IF(#REF!,"AAAAAH/fnl4=",0)</f>
        <v>#REF!</v>
      </c>
      <c r="CR175" t="e">
        <f>IF(#REF!,"AAAAAH/fnl8=",0)</f>
        <v>#REF!</v>
      </c>
      <c r="CS175" t="e">
        <f>IF(#REF!,"AAAAAH/fnmA=",0)</f>
        <v>#REF!</v>
      </c>
      <c r="CT175" t="e">
        <f>IF(#REF!,"AAAAAH/fnmE=",0)</f>
        <v>#REF!</v>
      </c>
      <c r="CU175" t="e">
        <f>IF(#REF!,"AAAAAH/fnmI=",0)</f>
        <v>#REF!</v>
      </c>
      <c r="CV175" t="e">
        <f>IF(#REF!,"AAAAAH/fnmM=",0)</f>
        <v>#REF!</v>
      </c>
      <c r="CW175" t="e">
        <f>IF(#REF!,"AAAAAH/fnmQ=",0)</f>
        <v>#REF!</v>
      </c>
      <c r="CX175" t="e">
        <f>IF(#REF!,"AAAAAH/fnmU=",0)</f>
        <v>#REF!</v>
      </c>
      <c r="CY175" t="e">
        <f>IF(#REF!,"AAAAAH/fnmY=",0)</f>
        <v>#REF!</v>
      </c>
      <c r="CZ175" t="e">
        <f>IF(#REF!,"AAAAAH/fnmc=",0)</f>
        <v>#REF!</v>
      </c>
      <c r="DA175" t="e">
        <f>IF(#REF!,"AAAAAH/fnmg=",0)</f>
        <v>#REF!</v>
      </c>
      <c r="DB175" t="e">
        <f>IF(#REF!,"AAAAAH/fnmk=",0)</f>
        <v>#REF!</v>
      </c>
      <c r="DC175" t="e">
        <f>IF(#REF!,"AAAAAH/fnmo=",0)</f>
        <v>#REF!</v>
      </c>
      <c r="DD175" t="e">
        <f>IF(#REF!,"AAAAAH/fnms=",0)</f>
        <v>#REF!</v>
      </c>
      <c r="DE175" t="e">
        <f>IF(#REF!,"AAAAAH/fnmw=",0)</f>
        <v>#REF!</v>
      </c>
      <c r="DF175" t="e">
        <f>IF(#REF!,"AAAAAH/fnm0=",0)</f>
        <v>#REF!</v>
      </c>
      <c r="DG175" t="e">
        <f>IF(#REF!,"AAAAAH/fnm4=",0)</f>
        <v>#REF!</v>
      </c>
      <c r="DH175" t="e">
        <f>IF(#REF!,"AAAAAH/fnm8=",0)</f>
        <v>#REF!</v>
      </c>
      <c r="DI175" t="e">
        <f>IF(#REF!,"AAAAAH/fnnA=",0)</f>
        <v>#REF!</v>
      </c>
      <c r="DJ175" t="e">
        <f>IF(#REF!,"AAAAAH/fnnE=",0)</f>
        <v>#REF!</v>
      </c>
      <c r="DK175" t="e">
        <f>IF(#REF!,"AAAAAH/fnnI=",0)</f>
        <v>#REF!</v>
      </c>
      <c r="DL175" t="e">
        <f>IF(#REF!,"AAAAAH/fnnM=",0)</f>
        <v>#REF!</v>
      </c>
      <c r="DM175" t="e">
        <f>IF(#REF!,"AAAAAH/fnnQ=",0)</f>
        <v>#REF!</v>
      </c>
      <c r="DN175" t="e">
        <f>IF(#REF!,"AAAAAH/fnnU=",0)</f>
        <v>#REF!</v>
      </c>
      <c r="DO175" t="e">
        <f>IF(#REF!,"AAAAAH/fnnY=",0)</f>
        <v>#REF!</v>
      </c>
      <c r="DP175" t="e">
        <f>IF(#REF!,"AAAAAH/fnnc=",0)</f>
        <v>#REF!</v>
      </c>
      <c r="DQ175" t="e">
        <f>IF(#REF!,"AAAAAH/fnng=",0)</f>
        <v>#REF!</v>
      </c>
      <c r="DR175" t="e">
        <f>IF(#REF!,"AAAAAH/fnnk=",0)</f>
        <v>#REF!</v>
      </c>
      <c r="DS175" t="e">
        <f>IF(#REF!,"AAAAAH/fnno=",0)</f>
        <v>#REF!</v>
      </c>
      <c r="DT175" t="e">
        <f>IF(#REF!,"AAAAAH/fnns=",0)</f>
        <v>#REF!</v>
      </c>
      <c r="DU175" t="e">
        <f>IF(#REF!,"AAAAAH/fnnw=",0)</f>
        <v>#REF!</v>
      </c>
      <c r="DV175" t="e">
        <f>IF(#REF!,"AAAAAH/fnn0=",0)</f>
        <v>#REF!</v>
      </c>
      <c r="DW175" t="e">
        <f>IF(#REF!,"AAAAAH/fnn4=",0)</f>
        <v>#REF!</v>
      </c>
      <c r="DX175" t="e">
        <f>IF(#REF!,"AAAAAH/fnn8=",0)</f>
        <v>#REF!</v>
      </c>
      <c r="DY175" t="e">
        <f>IF(#REF!,"AAAAAH/fnoA=",0)</f>
        <v>#REF!</v>
      </c>
      <c r="DZ175" t="e">
        <f>IF(#REF!,"AAAAAH/fnoE=",0)</f>
        <v>#REF!</v>
      </c>
      <c r="EA175" t="e">
        <f>IF(#REF!,"AAAAAH/fnoI=",0)</f>
        <v>#REF!</v>
      </c>
      <c r="EB175" t="e">
        <f>IF(#REF!,"AAAAAH/fnoM=",0)</f>
        <v>#REF!</v>
      </c>
      <c r="EC175" t="e">
        <f>IF(#REF!,"AAAAAH/fnoQ=",0)</f>
        <v>#REF!</v>
      </c>
      <c r="ED175" t="e">
        <f>IF(#REF!,"AAAAAH/fnoU=",0)</f>
        <v>#REF!</v>
      </c>
      <c r="EE175" t="e">
        <f>IF(#REF!,"AAAAAH/fnoY=",0)</f>
        <v>#REF!</v>
      </c>
      <c r="EF175" t="e">
        <f>IF(#REF!,"AAAAAH/fnoc=",0)</f>
        <v>#REF!</v>
      </c>
      <c r="EG175" t="e">
        <f>IF(#REF!,"AAAAAH/fnog=",0)</f>
        <v>#REF!</v>
      </c>
      <c r="EH175" t="e">
        <f>IF(#REF!,"AAAAAH/fnok=",0)</f>
        <v>#REF!</v>
      </c>
      <c r="EI175" t="e">
        <f>IF(#REF!,"AAAAAH/fnoo=",0)</f>
        <v>#REF!</v>
      </c>
      <c r="EJ175" t="e">
        <f>IF(#REF!,"AAAAAH/fnos=",0)</f>
        <v>#REF!</v>
      </c>
      <c r="EK175" t="e">
        <f>IF(#REF!,"AAAAAH/fnow=",0)</f>
        <v>#REF!</v>
      </c>
      <c r="EL175" t="e">
        <f>IF(#REF!,"AAAAAH/fno0=",0)</f>
        <v>#REF!</v>
      </c>
      <c r="EM175" t="e">
        <f>IF(#REF!,"AAAAAH/fno4=",0)</f>
        <v>#REF!</v>
      </c>
      <c r="EN175" t="e">
        <f>IF(#REF!,"AAAAAH/fno8=",0)</f>
        <v>#REF!</v>
      </c>
      <c r="EO175" t="e">
        <f>IF(#REF!,"AAAAAH/fnpA=",0)</f>
        <v>#REF!</v>
      </c>
      <c r="EP175" t="e">
        <f>IF(#REF!,"AAAAAH/fnpE=",0)</f>
        <v>#REF!</v>
      </c>
      <c r="EQ175" t="e">
        <f>IF(#REF!,"AAAAAH/fnpI=",0)</f>
        <v>#REF!</v>
      </c>
      <c r="ER175" t="e">
        <f>IF(#REF!,"AAAAAH/fnpM=",0)</f>
        <v>#REF!</v>
      </c>
      <c r="ES175" t="e">
        <f>IF(#REF!,"AAAAAH/fnpQ=",0)</f>
        <v>#REF!</v>
      </c>
      <c r="ET175" t="e">
        <f>IF(#REF!,"AAAAAH/fnpU=",0)</f>
        <v>#REF!</v>
      </c>
      <c r="EU175" t="e">
        <f>IF(#REF!,"AAAAAH/fnpY=",0)</f>
        <v>#REF!</v>
      </c>
      <c r="EV175" t="e">
        <f>IF(#REF!,"AAAAAH/fnpc=",0)</f>
        <v>#REF!</v>
      </c>
      <c r="EW175" t="e">
        <f>IF(#REF!,"AAAAAH/fnpg=",0)</f>
        <v>#REF!</v>
      </c>
      <c r="EX175" t="e">
        <f>IF(#REF!,"AAAAAH/fnpk=",0)</f>
        <v>#REF!</v>
      </c>
      <c r="EY175" t="e">
        <f>IF(#REF!,"AAAAAH/fnpo=",0)</f>
        <v>#REF!</v>
      </c>
      <c r="EZ175" t="e">
        <f>IF(#REF!,"AAAAAH/fnps=",0)</f>
        <v>#REF!</v>
      </c>
      <c r="FA175" t="e">
        <f>IF(#REF!,"AAAAAH/fnpw=",0)</f>
        <v>#REF!</v>
      </c>
      <c r="FB175" t="e">
        <f>IF(#REF!,"AAAAAH/fnp0=",0)</f>
        <v>#REF!</v>
      </c>
      <c r="FC175" t="e">
        <f>IF(#REF!,"AAAAAH/fnp4=",0)</f>
        <v>#REF!</v>
      </c>
      <c r="FD175" t="e">
        <f>IF(#REF!,"AAAAAH/fnp8=",0)</f>
        <v>#REF!</v>
      </c>
      <c r="FE175" t="e">
        <f>IF(#REF!,"AAAAAH/fnqA=",0)</f>
        <v>#REF!</v>
      </c>
      <c r="FF175" t="e">
        <f>IF(#REF!,"AAAAAH/fnqE=",0)</f>
        <v>#REF!</v>
      </c>
      <c r="FG175" t="e">
        <f>IF(#REF!,"AAAAAH/fnqI=",0)</f>
        <v>#REF!</v>
      </c>
      <c r="FH175" t="e">
        <f>IF(#REF!,"AAAAAH/fnqM=",0)</f>
        <v>#REF!</v>
      </c>
      <c r="FI175" t="e">
        <f>IF(#REF!,"AAAAAH/fnqQ=",0)</f>
        <v>#REF!</v>
      </c>
      <c r="FJ175" t="e">
        <f>IF(#REF!,"AAAAAH/fnqU=",0)</f>
        <v>#REF!</v>
      </c>
      <c r="FK175" t="e">
        <f>IF(#REF!,"AAAAAH/fnqY=",0)</f>
        <v>#REF!</v>
      </c>
      <c r="FL175" t="e">
        <f>IF(#REF!,"AAAAAH/fnqc=",0)</f>
        <v>#REF!</v>
      </c>
      <c r="FM175" t="e">
        <f>IF(#REF!,"AAAAAH/fnqg=",0)</f>
        <v>#REF!</v>
      </c>
      <c r="FN175" t="e">
        <f>IF(#REF!,"AAAAAH/fnqk=",0)</f>
        <v>#REF!</v>
      </c>
      <c r="FO175" t="e">
        <f>IF(#REF!,"AAAAAH/fnqo=",0)</f>
        <v>#REF!</v>
      </c>
      <c r="FP175" t="e">
        <f>IF(#REF!,"AAAAAH/fnqs=",0)</f>
        <v>#REF!</v>
      </c>
      <c r="FQ175" t="e">
        <f>IF(#REF!,"AAAAAH/fnqw=",0)</f>
        <v>#REF!</v>
      </c>
      <c r="FR175" t="e">
        <f>IF(#REF!,"AAAAAH/fnq0=",0)</f>
        <v>#REF!</v>
      </c>
      <c r="FS175" t="e">
        <f>IF(#REF!,"AAAAAH/fnq4=",0)</f>
        <v>#REF!</v>
      </c>
      <c r="FT175" t="e">
        <f>IF(#REF!,"AAAAAH/fnq8=",0)</f>
        <v>#REF!</v>
      </c>
      <c r="FU175" t="e">
        <f>IF(#REF!,"AAAAAH/fnrA=",0)</f>
        <v>#REF!</v>
      </c>
      <c r="FV175" t="e">
        <f>IF(#REF!,"AAAAAH/fnrE=",0)</f>
        <v>#REF!</v>
      </c>
      <c r="FW175" t="e">
        <f>IF(#REF!,"AAAAAH/fnrI=",0)</f>
        <v>#REF!</v>
      </c>
      <c r="FX175" t="e">
        <f>IF(#REF!,"AAAAAH/fnrM=",0)</f>
        <v>#REF!</v>
      </c>
      <c r="FY175" t="e">
        <f>IF(#REF!,"AAAAAH/fnrQ=",0)</f>
        <v>#REF!</v>
      </c>
      <c r="FZ175" t="e">
        <f>IF(#REF!,"AAAAAH/fnrU=",0)</f>
        <v>#REF!</v>
      </c>
      <c r="GA175" t="e">
        <f>IF(#REF!,"AAAAAH/fnrY=",0)</f>
        <v>#REF!</v>
      </c>
      <c r="GB175" t="e">
        <f>IF(#REF!,"AAAAAH/fnrc=",0)</f>
        <v>#REF!</v>
      </c>
      <c r="GC175" t="e">
        <f>IF(#REF!,"AAAAAH/fnrg=",0)</f>
        <v>#REF!</v>
      </c>
      <c r="GD175" t="e">
        <f>IF(#REF!,"AAAAAH/fnrk=",0)</f>
        <v>#REF!</v>
      </c>
      <c r="GE175" t="e">
        <f>IF(#REF!,"AAAAAH/fnro=",0)</f>
        <v>#REF!</v>
      </c>
      <c r="GF175" t="e">
        <f>IF(#REF!,"AAAAAH/fnrs=",0)</f>
        <v>#REF!</v>
      </c>
      <c r="GG175" t="e">
        <f>IF(#REF!,"AAAAAH/fnrw=",0)</f>
        <v>#REF!</v>
      </c>
      <c r="GH175" t="e">
        <f>IF(#REF!,"AAAAAH/fnr0=",0)</f>
        <v>#REF!</v>
      </c>
      <c r="GI175" t="e">
        <f>IF(#REF!,"AAAAAH/fnr4=",0)</f>
        <v>#REF!</v>
      </c>
      <c r="GJ175" t="e">
        <f>IF(#REF!,"AAAAAH/fnr8=",0)</f>
        <v>#REF!</v>
      </c>
      <c r="GK175" t="e">
        <f>IF(#REF!,"AAAAAH/fnsA=",0)</f>
        <v>#REF!</v>
      </c>
      <c r="GL175" t="e">
        <f>IF(#REF!,"AAAAAH/fnsE=",0)</f>
        <v>#REF!</v>
      </c>
      <c r="GM175" t="e">
        <f>IF(#REF!,"AAAAAH/fnsI=",0)</f>
        <v>#REF!</v>
      </c>
      <c r="GN175" t="e">
        <f>IF(#REF!,"AAAAAH/fnsM=",0)</f>
        <v>#REF!</v>
      </c>
      <c r="GO175" t="e">
        <f>IF(#REF!,"AAAAAH/fnsQ=",0)</f>
        <v>#REF!</v>
      </c>
      <c r="GP175" t="e">
        <f>IF(#REF!,"AAAAAH/fnsU=",0)</f>
        <v>#REF!</v>
      </c>
      <c r="GQ175" t="e">
        <f>IF(#REF!,"AAAAAH/fnsY=",0)</f>
        <v>#REF!</v>
      </c>
      <c r="GR175" t="e">
        <f>IF(#REF!,"AAAAAH/fnsc=",0)</f>
        <v>#REF!</v>
      </c>
      <c r="GS175" t="e">
        <f>IF(#REF!,"AAAAAH/fnsg=",0)</f>
        <v>#REF!</v>
      </c>
      <c r="GT175" t="e">
        <f>IF(#REF!,"AAAAAH/fnsk=",0)</f>
        <v>#REF!</v>
      </c>
      <c r="GU175" t="e">
        <f>IF(#REF!,"AAAAAH/fnso=",0)</f>
        <v>#REF!</v>
      </c>
      <c r="GV175" t="e">
        <f>IF(#REF!,"AAAAAH/fnss=",0)</f>
        <v>#REF!</v>
      </c>
      <c r="GW175" t="e">
        <f>IF(#REF!,"AAAAAH/fnsw=",0)</f>
        <v>#REF!</v>
      </c>
      <c r="GX175" t="e">
        <f>IF(#REF!,"AAAAAH/fns0=",0)</f>
        <v>#REF!</v>
      </c>
      <c r="GY175" t="e">
        <f>IF(#REF!,"AAAAAH/fns4=",0)</f>
        <v>#REF!</v>
      </c>
      <c r="GZ175" t="e">
        <f>IF(#REF!,"AAAAAH/fns8=",0)</f>
        <v>#REF!</v>
      </c>
      <c r="HA175" t="e">
        <f>IF(#REF!,"AAAAAH/fntA=",0)</f>
        <v>#REF!</v>
      </c>
      <c r="HB175" t="e">
        <f>IF(#REF!,"AAAAAH/fntE=",0)</f>
        <v>#REF!</v>
      </c>
      <c r="HC175" t="e">
        <f>IF(#REF!,"AAAAAH/fntI=",0)</f>
        <v>#REF!</v>
      </c>
      <c r="HD175" t="e">
        <f>IF(#REF!,"AAAAAH/fntM=",0)</f>
        <v>#REF!</v>
      </c>
      <c r="HE175" t="e">
        <f>IF(#REF!,"AAAAAH/fntQ=",0)</f>
        <v>#REF!</v>
      </c>
      <c r="HF175" t="e">
        <f>IF(#REF!,"AAAAAH/fntU=",0)</f>
        <v>#REF!</v>
      </c>
      <c r="HG175" t="e">
        <f>IF(#REF!,"AAAAAH/fntY=",0)</f>
        <v>#REF!</v>
      </c>
      <c r="HH175" t="e">
        <f>IF(#REF!,"AAAAAH/fntc=",0)</f>
        <v>#REF!</v>
      </c>
      <c r="HI175" t="e">
        <f>IF(#REF!,"AAAAAH/fntg=",0)</f>
        <v>#REF!</v>
      </c>
      <c r="HJ175" t="e">
        <f>IF(#REF!,"AAAAAH/fntk=",0)</f>
        <v>#REF!</v>
      </c>
      <c r="HK175" t="e">
        <f>IF(#REF!,"AAAAAH/fnto=",0)</f>
        <v>#REF!</v>
      </c>
      <c r="HL175" t="e">
        <f>IF(#REF!,"AAAAAH/fnts=",0)</f>
        <v>#REF!</v>
      </c>
      <c r="HM175" t="e">
        <f>IF(#REF!,"AAAAAH/fntw=",0)</f>
        <v>#REF!</v>
      </c>
      <c r="HN175" t="e">
        <f>IF(#REF!,"AAAAAH/fnt0=",0)</f>
        <v>#REF!</v>
      </c>
      <c r="HO175" t="e">
        <f>IF(#REF!,"AAAAAH/fnt4=",0)</f>
        <v>#REF!</v>
      </c>
      <c r="HP175" t="e">
        <f>IF(#REF!,"AAAAAH/fnt8=",0)</f>
        <v>#REF!</v>
      </c>
      <c r="HQ175" t="e">
        <f>IF(#REF!,"AAAAAH/fnuA=",0)</f>
        <v>#REF!</v>
      </c>
      <c r="HR175" t="e">
        <f>IF(#REF!,"AAAAAH/fnuE=",0)</f>
        <v>#REF!</v>
      </c>
      <c r="HS175" t="e">
        <f>IF(#REF!,"AAAAAH/fnuI=",0)</f>
        <v>#REF!</v>
      </c>
      <c r="HT175" t="e">
        <f>IF(#REF!,"AAAAAH/fnuM=",0)</f>
        <v>#REF!</v>
      </c>
      <c r="HU175" t="e">
        <f>IF(#REF!,"AAAAAH/fnuQ=",0)</f>
        <v>#REF!</v>
      </c>
      <c r="HV175" t="e">
        <f>IF(#REF!,"AAAAAH/fnuU=",0)</f>
        <v>#REF!</v>
      </c>
      <c r="HW175" t="e">
        <f>IF(#REF!,"AAAAAH/fnuY=",0)</f>
        <v>#REF!</v>
      </c>
      <c r="HX175" t="e">
        <f>IF(#REF!,"AAAAAH/fnuc=",0)</f>
        <v>#REF!</v>
      </c>
      <c r="HY175" t="e">
        <f>IF(#REF!,"AAAAAH/fnug=",0)</f>
        <v>#REF!</v>
      </c>
      <c r="HZ175" t="e">
        <f>IF(#REF!,"AAAAAH/fnuk=",0)</f>
        <v>#REF!</v>
      </c>
      <c r="IA175" t="e">
        <f>IF(#REF!,"AAAAAH/fnuo=",0)</f>
        <v>#REF!</v>
      </c>
      <c r="IB175" t="e">
        <f>IF(#REF!,"AAAAAH/fnus=",0)</f>
        <v>#REF!</v>
      </c>
      <c r="IC175" t="e">
        <f>IF(#REF!,"AAAAAH/fnuw=",0)</f>
        <v>#REF!</v>
      </c>
      <c r="ID175" t="e">
        <f>IF(#REF!,"AAAAAH/fnu0=",0)</f>
        <v>#REF!</v>
      </c>
      <c r="IE175" t="e">
        <f>IF(#REF!,"AAAAAH/fnu4=",0)</f>
        <v>#REF!</v>
      </c>
      <c r="IF175" t="e">
        <f>IF(#REF!,"AAAAAH/fnu8=",0)</f>
        <v>#REF!</v>
      </c>
      <c r="IG175" t="e">
        <f>IF(#REF!,"AAAAAH/fnvA=",0)</f>
        <v>#REF!</v>
      </c>
      <c r="IH175" t="e">
        <f>IF(#REF!,"AAAAAH/fnvE=",0)</f>
        <v>#REF!</v>
      </c>
      <c r="II175" t="e">
        <f>IF(#REF!,"AAAAAH/fnvI=",0)</f>
        <v>#REF!</v>
      </c>
      <c r="IJ175" t="e">
        <f>IF(#REF!,"AAAAAH/fnvM=",0)</f>
        <v>#REF!</v>
      </c>
      <c r="IK175" t="e">
        <f>IF(#REF!,"AAAAAH/fnvQ=",0)</f>
        <v>#REF!</v>
      </c>
      <c r="IL175" t="e">
        <f>IF(#REF!,"AAAAAH/fnvU=",0)</f>
        <v>#REF!</v>
      </c>
      <c r="IM175" t="e">
        <f>IF(#REF!,"AAAAAH/fnvY=",0)</f>
        <v>#REF!</v>
      </c>
      <c r="IN175" t="e">
        <f>IF(#REF!,"AAAAAH/fnvc=",0)</f>
        <v>#REF!</v>
      </c>
      <c r="IO175" t="e">
        <f>IF(#REF!,"AAAAAH/fnvg=",0)</f>
        <v>#REF!</v>
      </c>
      <c r="IP175" t="e">
        <f>IF(#REF!,"AAAAAH/fnvk=",0)</f>
        <v>#REF!</v>
      </c>
      <c r="IQ175" t="e">
        <f>IF(#REF!,"AAAAAH/fnvo=",0)</f>
        <v>#REF!</v>
      </c>
      <c r="IR175" t="e">
        <f>IF(#REF!,"AAAAAH/fnvs=",0)</f>
        <v>#REF!</v>
      </c>
      <c r="IS175" t="e">
        <f>IF(#REF!,"AAAAAH/fnvw=",0)</f>
        <v>#REF!</v>
      </c>
      <c r="IT175" t="e">
        <f>IF(#REF!,"AAAAAH/fnv0=",0)</f>
        <v>#REF!</v>
      </c>
      <c r="IU175" t="e">
        <f>IF(#REF!,"AAAAAH/fnv4=",0)</f>
        <v>#REF!</v>
      </c>
      <c r="IV175" t="e">
        <f>IF(#REF!,"AAAAAH/fnv8=",0)</f>
        <v>#REF!</v>
      </c>
    </row>
    <row r="176" spans="1:256">
      <c r="A176" t="e">
        <f>IF(#REF!,"AAAAAH7e1wA=",0)</f>
        <v>#REF!</v>
      </c>
      <c r="B176" t="e">
        <f>IF(#REF!,"AAAAAH7e1wE=",0)</f>
        <v>#REF!</v>
      </c>
      <c r="C176" t="e">
        <f>IF(#REF!,"AAAAAH7e1wI=",0)</f>
        <v>#REF!</v>
      </c>
      <c r="D176" t="e">
        <f>IF(#REF!,"AAAAAH7e1wM=",0)</f>
        <v>#REF!</v>
      </c>
      <c r="E176" t="e">
        <f>IF(#REF!,"AAAAAH7e1wQ=",0)</f>
        <v>#REF!</v>
      </c>
      <c r="F176" t="e">
        <f>IF(#REF!,"AAAAAH7e1wU=",0)</f>
        <v>#REF!</v>
      </c>
      <c r="G176" t="e">
        <f>IF(#REF!,"AAAAAH7e1wY=",0)</f>
        <v>#REF!</v>
      </c>
      <c r="H176" t="e">
        <f>IF(#REF!,"AAAAAH7e1wc=",0)</f>
        <v>#REF!</v>
      </c>
      <c r="I176" t="e">
        <f>IF(#REF!,"AAAAAH7e1wg=",0)</f>
        <v>#REF!</v>
      </c>
      <c r="J176" t="e">
        <f>IF(#REF!,"AAAAAH7e1wk=",0)</f>
        <v>#REF!</v>
      </c>
      <c r="K176" t="e">
        <f>IF(#REF!,"AAAAAH7e1wo=",0)</f>
        <v>#REF!</v>
      </c>
      <c r="L176" t="e">
        <f>IF(#REF!,"AAAAAH7e1ws=",0)</f>
        <v>#REF!</v>
      </c>
      <c r="M176" t="e">
        <f>IF(#REF!,"AAAAAH7e1ww=",0)</f>
        <v>#REF!</v>
      </c>
      <c r="N176" t="e">
        <f>IF(#REF!,"AAAAAH7e1w0=",0)</f>
        <v>#REF!</v>
      </c>
      <c r="O176" t="e">
        <f>IF(#REF!,"AAAAAH7e1w4=",0)</f>
        <v>#REF!</v>
      </c>
      <c r="P176" t="e">
        <f>IF(#REF!,"AAAAAH7e1w8=",0)</f>
        <v>#REF!</v>
      </c>
      <c r="Q176" t="e">
        <f>IF(#REF!,"AAAAAH7e1xA=",0)</f>
        <v>#REF!</v>
      </c>
      <c r="R176" t="e">
        <f>IF(#REF!,"AAAAAH7e1xE=",0)</f>
        <v>#REF!</v>
      </c>
      <c r="S176" t="e">
        <f>IF(#REF!,"AAAAAH7e1xI=",0)</f>
        <v>#REF!</v>
      </c>
      <c r="T176" t="e">
        <f>IF(#REF!,"AAAAAH7e1xM=",0)</f>
        <v>#REF!</v>
      </c>
      <c r="U176" t="e">
        <f>IF(#REF!,"AAAAAH7e1xQ=",0)</f>
        <v>#REF!</v>
      </c>
      <c r="V176" t="e">
        <f>IF(#REF!,"AAAAAH7e1xU=",0)</f>
        <v>#REF!</v>
      </c>
      <c r="W176" t="e">
        <f>IF(#REF!,"AAAAAH7e1xY=",0)</f>
        <v>#REF!</v>
      </c>
      <c r="X176" t="e">
        <f>IF(#REF!,"AAAAAH7e1xc=",0)</f>
        <v>#REF!</v>
      </c>
      <c r="Y176" t="e">
        <f>IF(#REF!,"AAAAAH7e1xg=",0)</f>
        <v>#REF!</v>
      </c>
      <c r="Z176" t="e">
        <f>IF(#REF!,"AAAAAH7e1xk=",0)</f>
        <v>#REF!</v>
      </c>
      <c r="AA176" t="e">
        <f>IF(#REF!,"AAAAAH7e1xo=",0)</f>
        <v>#REF!</v>
      </c>
      <c r="AB176" t="e">
        <f>IF(#REF!,"AAAAAH7e1xs=",0)</f>
        <v>#REF!</v>
      </c>
      <c r="AC176" t="e">
        <f>IF(#REF!,"AAAAAH7e1xw=",0)</f>
        <v>#REF!</v>
      </c>
      <c r="AD176" t="e">
        <f>IF(#REF!,"AAAAAH7e1x0=",0)</f>
        <v>#REF!</v>
      </c>
      <c r="AE176" t="e">
        <f>IF(#REF!,"AAAAAH7e1x4=",0)</f>
        <v>#REF!</v>
      </c>
      <c r="AF176" t="e">
        <f>IF(#REF!,"AAAAAH7e1x8=",0)</f>
        <v>#REF!</v>
      </c>
      <c r="AG176" t="e">
        <f>IF(#REF!,"AAAAAH7e1yA=",0)</f>
        <v>#REF!</v>
      </c>
      <c r="AH176" t="e">
        <f>IF(#REF!,"AAAAAH7e1yE=",0)</f>
        <v>#REF!</v>
      </c>
      <c r="AI176" t="e">
        <f>IF(#REF!,"AAAAAH7e1yI=",0)</f>
        <v>#REF!</v>
      </c>
      <c r="AJ176" t="e">
        <f>IF(#REF!,"AAAAAH7e1yM=",0)</f>
        <v>#REF!</v>
      </c>
      <c r="AK176" t="e">
        <f>IF(#REF!,"AAAAAH7e1yQ=",0)</f>
        <v>#REF!</v>
      </c>
      <c r="AL176" t="e">
        <f>IF(#REF!,"AAAAAH7e1yU=",0)</f>
        <v>#REF!</v>
      </c>
      <c r="AM176" t="e">
        <f>IF(#REF!,"AAAAAH7e1yY=",0)</f>
        <v>#REF!</v>
      </c>
      <c r="AN176" t="e">
        <f>IF(#REF!,"AAAAAH7e1yc=",0)</f>
        <v>#REF!</v>
      </c>
      <c r="AO176" t="e">
        <f>IF(#REF!,"AAAAAH7e1yg=",0)</f>
        <v>#REF!</v>
      </c>
      <c r="AP176" t="e">
        <f>IF(#REF!,"AAAAAH7e1yk=",0)</f>
        <v>#REF!</v>
      </c>
      <c r="AQ176" t="e">
        <f>IF(#REF!,"AAAAAH7e1yo=",0)</f>
        <v>#REF!</v>
      </c>
      <c r="AR176" t="e">
        <f>IF(#REF!,"AAAAAH7e1ys=",0)</f>
        <v>#REF!</v>
      </c>
      <c r="AS176" t="e">
        <f>IF(#REF!,"AAAAAH7e1yw=",0)</f>
        <v>#REF!</v>
      </c>
      <c r="AT176" t="e">
        <f>IF(#REF!,"AAAAAH7e1y0=",0)</f>
        <v>#REF!</v>
      </c>
      <c r="AU176" t="e">
        <f>IF(#REF!,"AAAAAH7e1y4=",0)</f>
        <v>#REF!</v>
      </c>
      <c r="AV176" t="e">
        <f>IF(#REF!,"AAAAAH7e1y8=",0)</f>
        <v>#REF!</v>
      </c>
      <c r="AW176" t="e">
        <f>IF(#REF!,"AAAAAH7e1zA=",0)</f>
        <v>#REF!</v>
      </c>
      <c r="AX176" t="e">
        <f>IF(#REF!,"AAAAAH7e1zE=",0)</f>
        <v>#REF!</v>
      </c>
      <c r="AY176" t="e">
        <f>IF(#REF!,"AAAAAH7e1zI=",0)</f>
        <v>#REF!</v>
      </c>
      <c r="AZ176" t="e">
        <f>IF(#REF!,"AAAAAH7e1zM=",0)</f>
        <v>#REF!</v>
      </c>
      <c r="BA176" t="e">
        <f>IF(#REF!,"AAAAAH7e1zQ=",0)</f>
        <v>#REF!</v>
      </c>
      <c r="BB176" t="e">
        <f>IF(#REF!,"AAAAAH7e1zU=",0)</f>
        <v>#REF!</v>
      </c>
      <c r="BC176" t="e">
        <f>IF(#REF!,"AAAAAH7e1zY=",0)</f>
        <v>#REF!</v>
      </c>
      <c r="BD176" t="e">
        <f>IF(#REF!,"AAAAAH7e1zc=",0)</f>
        <v>#REF!</v>
      </c>
      <c r="BE176" t="e">
        <f>IF(#REF!,"AAAAAH7e1zg=",0)</f>
        <v>#REF!</v>
      </c>
      <c r="BF176" t="e">
        <f>IF(#REF!,"AAAAAH7e1zk=",0)</f>
        <v>#REF!</v>
      </c>
      <c r="BG176" t="e">
        <f>IF(#REF!,"AAAAAH7e1zo=",0)</f>
        <v>#REF!</v>
      </c>
      <c r="BH176" t="e">
        <f>IF(#REF!,"AAAAAH7e1zs=",0)</f>
        <v>#REF!</v>
      </c>
      <c r="BI176" t="e">
        <f>IF(#REF!,"AAAAAH7e1zw=",0)</f>
        <v>#REF!</v>
      </c>
      <c r="BJ176" t="e">
        <f>IF(#REF!,"AAAAAH7e1z0=",0)</f>
        <v>#REF!</v>
      </c>
      <c r="BK176" t="e">
        <f>IF(#REF!,"AAAAAH7e1z4=",0)</f>
        <v>#REF!</v>
      </c>
      <c r="BL176" t="e">
        <f>IF(#REF!,"AAAAAH7e1z8=",0)</f>
        <v>#REF!</v>
      </c>
      <c r="BM176" t="e">
        <f>IF(#REF!,"AAAAAH7e10A=",0)</f>
        <v>#REF!</v>
      </c>
      <c r="BN176" t="e">
        <f>IF(#REF!,"AAAAAH7e10E=",0)</f>
        <v>#REF!</v>
      </c>
      <c r="BO176" t="e">
        <f>IF(#REF!,"AAAAAH7e10I=",0)</f>
        <v>#REF!</v>
      </c>
      <c r="BP176" t="e">
        <f>IF(#REF!,"AAAAAH7e10M=",0)</f>
        <v>#REF!</v>
      </c>
      <c r="BQ176" t="e">
        <f>IF(#REF!,"AAAAAH7e10Q=",0)</f>
        <v>#REF!</v>
      </c>
      <c r="BR176" t="e">
        <f>IF(#REF!,"AAAAAH7e10U=",0)</f>
        <v>#REF!</v>
      </c>
      <c r="BS176" t="e">
        <f>IF(#REF!,"AAAAAH7e10Y=",0)</f>
        <v>#REF!</v>
      </c>
      <c r="BT176" t="e">
        <f>IF(#REF!,"AAAAAH7e10c=",0)</f>
        <v>#REF!</v>
      </c>
      <c r="BU176" t="e">
        <f>IF(#REF!,"AAAAAH7e10g=",0)</f>
        <v>#REF!</v>
      </c>
      <c r="BV176" t="e">
        <f>IF(#REF!,"AAAAAH7e10k=",0)</f>
        <v>#REF!</v>
      </c>
      <c r="BW176" t="e">
        <f>IF(#REF!,"AAAAAH7e10o=",0)</f>
        <v>#REF!</v>
      </c>
      <c r="BX176" t="e">
        <f>IF(#REF!,"AAAAAH7e10s=",0)</f>
        <v>#REF!</v>
      </c>
      <c r="BY176" t="e">
        <f>IF(#REF!,"AAAAAH7e10w=",0)</f>
        <v>#REF!</v>
      </c>
      <c r="BZ176" t="e">
        <f>IF(#REF!,"AAAAAH7e100=",0)</f>
        <v>#REF!</v>
      </c>
      <c r="CA176" t="e">
        <f>IF(#REF!,"AAAAAH7e104=",0)</f>
        <v>#REF!</v>
      </c>
      <c r="CB176" t="e">
        <f>IF(#REF!,"AAAAAH7e108=",0)</f>
        <v>#REF!</v>
      </c>
      <c r="CC176" t="e">
        <f>IF(#REF!,"AAAAAH7e11A=",0)</f>
        <v>#REF!</v>
      </c>
      <c r="CD176" t="e">
        <f>IF(#REF!,"AAAAAH7e11E=",0)</f>
        <v>#REF!</v>
      </c>
      <c r="CE176" t="e">
        <f>IF(#REF!,"AAAAAH7e11I=",0)</f>
        <v>#REF!</v>
      </c>
      <c r="CF176" t="e">
        <f>IF(#REF!,"AAAAAH7e11M=",0)</f>
        <v>#REF!</v>
      </c>
      <c r="CG176" t="e">
        <f>IF(#REF!,"AAAAAH7e11Q=",0)</f>
        <v>#REF!</v>
      </c>
      <c r="CH176" t="e">
        <f>IF(#REF!,"AAAAAH7e11U=",0)</f>
        <v>#REF!</v>
      </c>
      <c r="CI176" t="e">
        <f>IF(#REF!,"AAAAAH7e11Y=",0)</f>
        <v>#REF!</v>
      </c>
      <c r="CJ176" t="e">
        <f>IF(#REF!,"AAAAAH7e11c=",0)</f>
        <v>#REF!</v>
      </c>
      <c r="CK176" t="e">
        <f>IF(#REF!,"AAAAAH7e11g=",0)</f>
        <v>#REF!</v>
      </c>
      <c r="CL176" t="e">
        <f>IF(#REF!,"AAAAAH7e11k=",0)</f>
        <v>#REF!</v>
      </c>
      <c r="CM176" t="e">
        <f>IF(#REF!,"AAAAAH7e11o=",0)</f>
        <v>#REF!</v>
      </c>
      <c r="CN176" t="e">
        <f>IF(#REF!,"AAAAAH7e11s=",0)</f>
        <v>#REF!</v>
      </c>
      <c r="CO176" t="e">
        <f>IF(#REF!,"AAAAAH7e11w=",0)</f>
        <v>#REF!</v>
      </c>
      <c r="CP176" t="e">
        <f>IF(#REF!,"AAAAAH7e110=",0)</f>
        <v>#REF!</v>
      </c>
      <c r="CQ176" t="e">
        <f>IF(#REF!,"AAAAAH7e114=",0)</f>
        <v>#REF!</v>
      </c>
      <c r="CR176" t="e">
        <f>IF(#REF!,"AAAAAH7e118=",0)</f>
        <v>#REF!</v>
      </c>
      <c r="CS176" t="e">
        <f>IF(#REF!,"AAAAAH7e12A=",0)</f>
        <v>#REF!</v>
      </c>
      <c r="CT176" t="e">
        <f>IF(#REF!,"AAAAAH7e12E=",0)</f>
        <v>#REF!</v>
      </c>
      <c r="CU176" t="e">
        <f>IF(#REF!,"AAAAAH7e12I=",0)</f>
        <v>#REF!</v>
      </c>
      <c r="CV176" t="e">
        <f>IF(#REF!,"AAAAAH7e12M=",0)</f>
        <v>#REF!</v>
      </c>
      <c r="CW176" t="e">
        <f>IF(#REF!,"AAAAAH7e12Q=",0)</f>
        <v>#REF!</v>
      </c>
      <c r="CX176" t="e">
        <f>IF(#REF!,"AAAAAH7e12U=",0)</f>
        <v>#REF!</v>
      </c>
      <c r="CY176" t="e">
        <f>IF(#REF!,"AAAAAH7e12Y=",0)</f>
        <v>#REF!</v>
      </c>
      <c r="CZ176" t="e">
        <f>IF(#REF!,"AAAAAH7e12c=",0)</f>
        <v>#REF!</v>
      </c>
      <c r="DA176" t="e">
        <f>IF(#REF!,"AAAAAH7e12g=",0)</f>
        <v>#REF!</v>
      </c>
      <c r="DB176" t="e">
        <f>IF(#REF!,"AAAAAH7e12k=",0)</f>
        <v>#REF!</v>
      </c>
      <c r="DC176" t="e">
        <f>IF(#REF!,"AAAAAH7e12o=",0)</f>
        <v>#REF!</v>
      </c>
      <c r="DD176" t="e">
        <f>IF(#REF!,"AAAAAH7e12s=",0)</f>
        <v>#REF!</v>
      </c>
      <c r="DE176" t="e">
        <f>IF(#REF!,"AAAAAH7e12w=",0)</f>
        <v>#REF!</v>
      </c>
      <c r="DF176" t="e">
        <f>IF(#REF!,"AAAAAH7e120=",0)</f>
        <v>#REF!</v>
      </c>
      <c r="DG176" t="e">
        <f>IF(#REF!,"AAAAAH7e124=",0)</f>
        <v>#REF!</v>
      </c>
      <c r="DH176" t="e">
        <f>IF(#REF!,"AAAAAH7e128=",0)</f>
        <v>#REF!</v>
      </c>
      <c r="DI176" t="e">
        <f>IF(#REF!,"AAAAAH7e13A=",0)</f>
        <v>#REF!</v>
      </c>
      <c r="DJ176" t="e">
        <f>IF(#REF!,"AAAAAH7e13E=",0)</f>
        <v>#REF!</v>
      </c>
      <c r="DK176" t="e">
        <f>IF(#REF!,"AAAAAH7e13I=",0)</f>
        <v>#REF!</v>
      </c>
      <c r="DL176" t="e">
        <f>IF(#REF!,"AAAAAH7e13M=",0)</f>
        <v>#REF!</v>
      </c>
      <c r="DM176" t="e">
        <f>IF(#REF!,"AAAAAH7e13Q=",0)</f>
        <v>#REF!</v>
      </c>
      <c r="DN176" t="e">
        <f>IF(#REF!,"AAAAAH7e13U=",0)</f>
        <v>#REF!</v>
      </c>
      <c r="DO176" t="e">
        <f>IF(#REF!,"AAAAAH7e13Y=",0)</f>
        <v>#REF!</v>
      </c>
      <c r="DP176" t="e">
        <f>IF(#REF!,"AAAAAH7e13c=",0)</f>
        <v>#REF!</v>
      </c>
      <c r="DQ176" t="e">
        <f>IF(#REF!,"AAAAAH7e13g=",0)</f>
        <v>#REF!</v>
      </c>
      <c r="DR176" t="e">
        <f>IF(#REF!,"AAAAAH7e13k=",0)</f>
        <v>#REF!</v>
      </c>
      <c r="DS176" t="e">
        <f>IF(#REF!,"AAAAAH7e13o=",0)</f>
        <v>#REF!</v>
      </c>
      <c r="DT176" t="e">
        <f>IF(#REF!,"AAAAAH7e13s=",0)</f>
        <v>#REF!</v>
      </c>
      <c r="DU176" t="e">
        <f>IF(#REF!,"AAAAAH7e13w=",0)</f>
        <v>#REF!</v>
      </c>
      <c r="DV176" t="e">
        <f>IF(#REF!,"AAAAAH7e130=",0)</f>
        <v>#REF!</v>
      </c>
      <c r="DW176" t="e">
        <f>IF(#REF!,"AAAAAH7e134=",0)</f>
        <v>#REF!</v>
      </c>
      <c r="DX176" t="e">
        <f>IF(#REF!,"AAAAAH7e138=",0)</f>
        <v>#REF!</v>
      </c>
      <c r="DY176" t="e">
        <f>IF(#REF!,"AAAAAH7e14A=",0)</f>
        <v>#REF!</v>
      </c>
      <c r="DZ176" t="e">
        <f>IF(#REF!,"AAAAAH7e14E=",0)</f>
        <v>#REF!</v>
      </c>
      <c r="EA176" t="e">
        <f>IF(#REF!,"AAAAAH7e14I=",0)</f>
        <v>#REF!</v>
      </c>
      <c r="EB176" t="e">
        <f>IF(#REF!,"AAAAAH7e14M=",0)</f>
        <v>#REF!</v>
      </c>
      <c r="EC176" t="e">
        <f>IF(#REF!,"AAAAAH7e14Q=",0)</f>
        <v>#REF!</v>
      </c>
      <c r="ED176" t="e">
        <f>IF(#REF!,"AAAAAH7e14U=",0)</f>
        <v>#REF!</v>
      </c>
      <c r="EE176" t="e">
        <f>IF(#REF!,"AAAAAH7e14Y=",0)</f>
        <v>#REF!</v>
      </c>
      <c r="EF176" t="e">
        <f>IF(#REF!,"AAAAAH7e14c=",0)</f>
        <v>#REF!</v>
      </c>
      <c r="EG176" t="e">
        <f>IF(#REF!,"AAAAAH7e14g=",0)</f>
        <v>#REF!</v>
      </c>
      <c r="EH176" t="e">
        <f>IF(#REF!,"AAAAAH7e14k=",0)</f>
        <v>#REF!</v>
      </c>
      <c r="EI176" t="e">
        <f>IF(#REF!,"AAAAAH7e14o=",0)</f>
        <v>#REF!</v>
      </c>
      <c r="EJ176" t="e">
        <f>IF(#REF!,"AAAAAH7e14s=",0)</f>
        <v>#REF!</v>
      </c>
      <c r="EK176" t="e">
        <f>IF(#REF!,"AAAAAH7e14w=",0)</f>
        <v>#REF!</v>
      </c>
      <c r="EL176" t="e">
        <f>IF(#REF!,"AAAAAH7e140=",0)</f>
        <v>#REF!</v>
      </c>
      <c r="EM176" t="e">
        <f>IF(#REF!,"AAAAAH7e144=",0)</f>
        <v>#REF!</v>
      </c>
      <c r="EN176" t="e">
        <f>IF(#REF!,"AAAAAH7e148=",0)</f>
        <v>#REF!</v>
      </c>
      <c r="EO176" t="e">
        <f>IF(#REF!,"AAAAAH7e15A=",0)</f>
        <v>#REF!</v>
      </c>
      <c r="EP176" t="e">
        <f>IF(#REF!,"AAAAAH7e15E=",0)</f>
        <v>#REF!</v>
      </c>
      <c r="EQ176" t="e">
        <f>IF(#REF!,"AAAAAH7e15I=",0)</f>
        <v>#REF!</v>
      </c>
      <c r="ER176" t="e">
        <f>IF(#REF!,"AAAAAH7e15M=",0)</f>
        <v>#REF!</v>
      </c>
      <c r="ES176" t="e">
        <f>IF(#REF!,"AAAAAH7e15Q=",0)</f>
        <v>#REF!</v>
      </c>
      <c r="ET176" t="e">
        <f>IF(#REF!,"AAAAAH7e15U=",0)</f>
        <v>#REF!</v>
      </c>
      <c r="EU176" t="e">
        <f>IF(#REF!,"AAAAAH7e15Y=",0)</f>
        <v>#REF!</v>
      </c>
      <c r="EV176" t="e">
        <f>IF(#REF!,"AAAAAH7e15c=",0)</f>
        <v>#REF!</v>
      </c>
      <c r="EW176" t="e">
        <f>IF(#REF!,"AAAAAH7e15g=",0)</f>
        <v>#REF!</v>
      </c>
      <c r="EX176" t="e">
        <f>IF(#REF!,"AAAAAH7e15k=",0)</f>
        <v>#REF!</v>
      </c>
      <c r="EY176" t="e">
        <f>IF(#REF!,"AAAAAH7e15o=",0)</f>
        <v>#REF!</v>
      </c>
      <c r="EZ176" t="e">
        <f>IF(#REF!,"AAAAAH7e15s=",0)</f>
        <v>#REF!</v>
      </c>
      <c r="FA176" t="e">
        <f>IF(#REF!,"AAAAAH7e15w=",0)</f>
        <v>#REF!</v>
      </c>
      <c r="FB176" t="e">
        <f>IF(#REF!,"AAAAAH7e150=",0)</f>
        <v>#REF!</v>
      </c>
      <c r="FC176" t="e">
        <f>IF(#REF!,"AAAAAH7e154=",0)</f>
        <v>#REF!</v>
      </c>
      <c r="FD176" t="e">
        <f>IF(#REF!,"AAAAAH7e158=",0)</f>
        <v>#REF!</v>
      </c>
      <c r="FE176" t="e">
        <f>IF(#REF!,"AAAAAH7e16A=",0)</f>
        <v>#REF!</v>
      </c>
      <c r="FF176" t="e">
        <f>IF(#REF!,"AAAAAH7e16E=",0)</f>
        <v>#REF!</v>
      </c>
      <c r="FG176" t="e">
        <f>IF(#REF!,"AAAAAH7e16I=",0)</f>
        <v>#REF!</v>
      </c>
      <c r="FH176" t="e">
        <f>IF(#REF!,"AAAAAH7e16M=",0)</f>
        <v>#REF!</v>
      </c>
      <c r="FI176" t="e">
        <f>IF(#REF!,"AAAAAH7e16Q=",0)</f>
        <v>#REF!</v>
      </c>
      <c r="FJ176" t="e">
        <f>IF(#REF!,"AAAAAH7e16U=",0)</f>
        <v>#REF!</v>
      </c>
      <c r="FK176" t="e">
        <f>IF(#REF!,"AAAAAH7e16Y=",0)</f>
        <v>#REF!</v>
      </c>
      <c r="FL176" t="e">
        <f>IF(#REF!,"AAAAAH7e16c=",0)</f>
        <v>#REF!</v>
      </c>
      <c r="FM176" t="e">
        <f>IF(#REF!,"AAAAAH7e16g=",0)</f>
        <v>#REF!</v>
      </c>
      <c r="FN176" t="e">
        <f>IF(#REF!,"AAAAAH7e16k=",0)</f>
        <v>#REF!</v>
      </c>
      <c r="FO176" t="e">
        <f>IF(#REF!,"AAAAAH7e16o=",0)</f>
        <v>#REF!</v>
      </c>
      <c r="FP176" t="e">
        <f>IF(#REF!,"AAAAAH7e16s=",0)</f>
        <v>#REF!</v>
      </c>
      <c r="FQ176" t="e">
        <f>IF(#REF!,"AAAAAH7e16w=",0)</f>
        <v>#REF!</v>
      </c>
      <c r="FR176" t="e">
        <f>IF(#REF!,"AAAAAH7e160=",0)</f>
        <v>#REF!</v>
      </c>
      <c r="FS176" t="e">
        <f>IF(#REF!,"AAAAAH7e164=",0)</f>
        <v>#REF!</v>
      </c>
      <c r="FT176" t="e">
        <f>IF(#REF!,"AAAAAH7e168=",0)</f>
        <v>#REF!</v>
      </c>
      <c r="FU176" t="e">
        <f>IF(#REF!,"AAAAAH7e17A=",0)</f>
        <v>#REF!</v>
      </c>
      <c r="FV176" t="e">
        <f>IF(#REF!,"AAAAAH7e17E=",0)</f>
        <v>#REF!</v>
      </c>
      <c r="FW176" t="e">
        <f>IF(#REF!,"AAAAAH7e17I=",0)</f>
        <v>#REF!</v>
      </c>
      <c r="FX176" t="e">
        <f>IF(#REF!,"AAAAAH7e17M=",0)</f>
        <v>#REF!</v>
      </c>
      <c r="FY176" t="e">
        <f>IF(#REF!,"AAAAAH7e17Q=",0)</f>
        <v>#REF!</v>
      </c>
      <c r="FZ176" t="e">
        <f>IF(#REF!,"AAAAAH7e17U=",0)</f>
        <v>#REF!</v>
      </c>
      <c r="GA176" t="e">
        <f>IF(#REF!,"AAAAAH7e17Y=",0)</f>
        <v>#REF!</v>
      </c>
      <c r="GB176" t="e">
        <f>IF(#REF!,"AAAAAH7e17c=",0)</f>
        <v>#REF!</v>
      </c>
      <c r="GC176" t="e">
        <f>IF(#REF!,"AAAAAH7e17g=",0)</f>
        <v>#REF!</v>
      </c>
      <c r="GD176" t="e">
        <f>IF(#REF!,"AAAAAH7e17k=",0)</f>
        <v>#REF!</v>
      </c>
      <c r="GE176" t="e">
        <f>IF(#REF!,"AAAAAH7e17o=",0)</f>
        <v>#REF!</v>
      </c>
      <c r="GF176" t="e">
        <f>IF(#REF!,"AAAAAH7e17s=",0)</f>
        <v>#REF!</v>
      </c>
      <c r="GG176" t="e">
        <f>IF(#REF!,"AAAAAH7e17w=",0)</f>
        <v>#REF!</v>
      </c>
      <c r="GH176" t="e">
        <f>IF(#REF!,"AAAAAH7e170=",0)</f>
        <v>#REF!</v>
      </c>
      <c r="GI176" t="e">
        <f>IF(#REF!,"AAAAAH7e174=",0)</f>
        <v>#REF!</v>
      </c>
      <c r="GJ176" t="e">
        <f>IF(#REF!,"AAAAAH7e178=",0)</f>
        <v>#REF!</v>
      </c>
      <c r="GK176" t="e">
        <f>IF(#REF!,"AAAAAH7e18A=",0)</f>
        <v>#REF!</v>
      </c>
      <c r="GL176" t="e">
        <f>IF(#REF!,"AAAAAH7e18E=",0)</f>
        <v>#REF!</v>
      </c>
      <c r="GM176" t="e">
        <f>IF(#REF!,"AAAAAH7e18I=",0)</f>
        <v>#REF!</v>
      </c>
      <c r="GN176" t="e">
        <f>IF(#REF!,"AAAAAH7e18M=",0)</f>
        <v>#REF!</v>
      </c>
      <c r="GO176" t="e">
        <f>IF(#REF!,"AAAAAH7e18Q=",0)</f>
        <v>#REF!</v>
      </c>
      <c r="GP176" t="e">
        <f>IF(#REF!,"AAAAAH7e18U=",0)</f>
        <v>#REF!</v>
      </c>
      <c r="GQ176" t="e">
        <f>IF(#REF!,"AAAAAH7e18Y=",0)</f>
        <v>#REF!</v>
      </c>
      <c r="GR176" t="e">
        <f>IF(#REF!,"AAAAAH7e18c=",0)</f>
        <v>#REF!</v>
      </c>
      <c r="GS176" t="e">
        <f>IF(#REF!,"AAAAAH7e18g=",0)</f>
        <v>#REF!</v>
      </c>
      <c r="GT176" t="e">
        <f>IF(#REF!,"AAAAAH7e18k=",0)</f>
        <v>#REF!</v>
      </c>
      <c r="GU176" t="e">
        <f>IF(#REF!,"AAAAAH7e18o=",0)</f>
        <v>#REF!</v>
      </c>
      <c r="GV176" t="e">
        <f>IF(#REF!,"AAAAAH7e18s=",0)</f>
        <v>#REF!</v>
      </c>
      <c r="GW176" t="e">
        <f>IF(#REF!,"AAAAAH7e18w=",0)</f>
        <v>#REF!</v>
      </c>
      <c r="GX176" t="e">
        <f>IF(#REF!,"AAAAAH7e180=",0)</f>
        <v>#REF!</v>
      </c>
      <c r="GY176" t="e">
        <f>IF(#REF!,"AAAAAH7e184=",0)</f>
        <v>#REF!</v>
      </c>
      <c r="GZ176" t="e">
        <f>IF(#REF!,"AAAAAH7e188=",0)</f>
        <v>#REF!</v>
      </c>
      <c r="HA176" t="e">
        <f>IF(#REF!,"AAAAAH7e19A=",0)</f>
        <v>#REF!</v>
      </c>
      <c r="HB176" t="e">
        <f>IF(#REF!,"AAAAAH7e19E=",0)</f>
        <v>#REF!</v>
      </c>
      <c r="HC176" t="e">
        <f>IF(#REF!,"AAAAAH7e19I=",0)</f>
        <v>#REF!</v>
      </c>
      <c r="HD176" t="e">
        <f>IF(#REF!,"AAAAAH7e19M=",0)</f>
        <v>#REF!</v>
      </c>
      <c r="HE176" t="e">
        <f>IF(#REF!,"AAAAAH7e19Q=",0)</f>
        <v>#REF!</v>
      </c>
      <c r="HF176" t="e">
        <f>IF(#REF!,"AAAAAH7e19U=",0)</f>
        <v>#REF!</v>
      </c>
      <c r="HG176" t="e">
        <f>IF(#REF!,"AAAAAH7e19Y=",0)</f>
        <v>#REF!</v>
      </c>
      <c r="HH176" t="e">
        <f>IF(#REF!,"AAAAAH7e19c=",0)</f>
        <v>#REF!</v>
      </c>
      <c r="HI176" t="e">
        <f>IF(#REF!,"AAAAAH7e19g=",0)</f>
        <v>#REF!</v>
      </c>
      <c r="HJ176" t="e">
        <f>IF(#REF!,"AAAAAH7e19k=",0)</f>
        <v>#REF!</v>
      </c>
      <c r="HK176" t="e">
        <f>IF(#REF!,"AAAAAH7e19o=",0)</f>
        <v>#REF!</v>
      </c>
      <c r="HL176" t="e">
        <f>IF(#REF!,"AAAAAH7e19s=",0)</f>
        <v>#REF!</v>
      </c>
      <c r="HM176" t="e">
        <f>IF(#REF!,"AAAAAH7e19w=",0)</f>
        <v>#REF!</v>
      </c>
      <c r="HN176" t="e">
        <f>IF(#REF!,"AAAAAH7e190=",0)</f>
        <v>#REF!</v>
      </c>
      <c r="HO176" t="e">
        <f>IF(#REF!,"AAAAAH7e194=",0)</f>
        <v>#REF!</v>
      </c>
      <c r="HP176" t="e">
        <f>IF(#REF!,"AAAAAH7e198=",0)</f>
        <v>#REF!</v>
      </c>
      <c r="HQ176" t="e">
        <f>IF(#REF!,"AAAAAH7e1+A=",0)</f>
        <v>#REF!</v>
      </c>
      <c r="HR176" t="e">
        <f>IF(#REF!,"AAAAAH7e1+E=",0)</f>
        <v>#REF!</v>
      </c>
      <c r="HS176" t="e">
        <f>IF(#REF!,"AAAAAH7e1+I=",0)</f>
        <v>#REF!</v>
      </c>
      <c r="HT176" t="e">
        <f>IF(#REF!,"AAAAAH7e1+M=",0)</f>
        <v>#REF!</v>
      </c>
      <c r="HU176" t="e">
        <f>IF(#REF!,"AAAAAH7e1+Q=",0)</f>
        <v>#REF!</v>
      </c>
      <c r="HV176" t="e">
        <f>IF(#REF!,"AAAAAH7e1+U=",0)</f>
        <v>#REF!</v>
      </c>
      <c r="HW176" t="e">
        <f>IF(#REF!,"AAAAAH7e1+Y=",0)</f>
        <v>#REF!</v>
      </c>
      <c r="HX176" t="e">
        <f>IF(#REF!,"AAAAAH7e1+c=",0)</f>
        <v>#REF!</v>
      </c>
      <c r="HY176" t="e">
        <f>IF(#REF!,"AAAAAH7e1+g=",0)</f>
        <v>#REF!</v>
      </c>
      <c r="HZ176" t="e">
        <f>IF(#REF!,"AAAAAH7e1+k=",0)</f>
        <v>#REF!</v>
      </c>
      <c r="IA176" t="e">
        <f>IF(#REF!,"AAAAAH7e1+o=",0)</f>
        <v>#REF!</v>
      </c>
      <c r="IB176" t="e">
        <f>IF(#REF!,"AAAAAH7e1+s=",0)</f>
        <v>#REF!</v>
      </c>
      <c r="IC176" t="e">
        <f>IF(#REF!,"AAAAAH7e1+w=",0)</f>
        <v>#REF!</v>
      </c>
      <c r="ID176" t="e">
        <f>IF(#REF!,"AAAAAH7e1+0=",0)</f>
        <v>#REF!</v>
      </c>
      <c r="IE176" t="e">
        <f>IF(#REF!,"AAAAAH7e1+4=",0)</f>
        <v>#REF!</v>
      </c>
      <c r="IF176" t="e">
        <f>IF(#REF!,"AAAAAH7e1+8=",0)</f>
        <v>#REF!</v>
      </c>
      <c r="IG176" t="e">
        <f>IF(#REF!,"AAAAAH7e1/A=",0)</f>
        <v>#REF!</v>
      </c>
      <c r="IH176" t="e">
        <f>IF(#REF!,"AAAAAH7e1/E=",0)</f>
        <v>#REF!</v>
      </c>
      <c r="II176" t="e">
        <f>IF(#REF!,"AAAAAH7e1/I=",0)</f>
        <v>#REF!</v>
      </c>
      <c r="IJ176" t="e">
        <f>IF(#REF!,"AAAAAH7e1/M=",0)</f>
        <v>#REF!</v>
      </c>
      <c r="IK176" t="e">
        <f>IF(#REF!,"AAAAAH7e1/Q=",0)</f>
        <v>#REF!</v>
      </c>
      <c r="IL176" t="e">
        <f>IF(#REF!,"AAAAAH7e1/U=",0)</f>
        <v>#REF!</v>
      </c>
      <c r="IM176" t="e">
        <f>IF(#REF!,"AAAAAH7e1/Y=",0)</f>
        <v>#REF!</v>
      </c>
      <c r="IN176" t="e">
        <f>IF(#REF!,"AAAAAH7e1/c=",0)</f>
        <v>#REF!</v>
      </c>
      <c r="IO176" t="e">
        <f>IF(#REF!,"AAAAAH7e1/g=",0)</f>
        <v>#REF!</v>
      </c>
      <c r="IP176" t="e">
        <f>IF(#REF!,"AAAAAH7e1/k=",0)</f>
        <v>#REF!</v>
      </c>
      <c r="IQ176" t="e">
        <f>IF(#REF!,"AAAAAH7e1/o=",0)</f>
        <v>#REF!</v>
      </c>
      <c r="IR176" t="e">
        <f>IF(#REF!,"AAAAAH7e1/s=",0)</f>
        <v>#REF!</v>
      </c>
      <c r="IS176" t="e">
        <f>IF(#REF!,"AAAAAH7e1/w=",0)</f>
        <v>#REF!</v>
      </c>
      <c r="IT176" t="e">
        <f>IF(#REF!,"AAAAAH7e1/0=",0)</f>
        <v>#REF!</v>
      </c>
      <c r="IU176" t="e">
        <f>IF(#REF!,"AAAAAH7e1/4=",0)</f>
        <v>#REF!</v>
      </c>
      <c r="IV176" t="e">
        <f>IF(#REF!,"AAAAAH7e1/8=",0)</f>
        <v>#REF!</v>
      </c>
    </row>
    <row r="177" spans="1:256">
      <c r="A177" t="e">
        <f>IF(#REF!,"AAAAAHfX5wA=",0)</f>
        <v>#REF!</v>
      </c>
      <c r="B177" t="e">
        <f>IF(#REF!,"AAAAAHfX5wE=",0)</f>
        <v>#REF!</v>
      </c>
      <c r="C177" t="e">
        <f>IF(#REF!,"AAAAAHfX5wI=",0)</f>
        <v>#REF!</v>
      </c>
      <c r="D177" t="e">
        <f>IF(#REF!,"AAAAAHfX5wM=",0)</f>
        <v>#REF!</v>
      </c>
      <c r="E177" t="e">
        <f>IF(#REF!,"AAAAAHfX5wQ=",0)</f>
        <v>#REF!</v>
      </c>
      <c r="F177" t="e">
        <f>IF(#REF!,"AAAAAHfX5wU=",0)</f>
        <v>#REF!</v>
      </c>
      <c r="G177" t="e">
        <f>IF(#REF!,"AAAAAHfX5wY=",0)</f>
        <v>#REF!</v>
      </c>
      <c r="H177" t="e">
        <f>IF(#REF!,"AAAAAHfX5wc=",0)</f>
        <v>#REF!</v>
      </c>
      <c r="I177" t="e">
        <f>IF(#REF!,"AAAAAHfX5wg=",0)</f>
        <v>#REF!</v>
      </c>
      <c r="J177" t="e">
        <f>IF(#REF!,"AAAAAHfX5wk=",0)</f>
        <v>#REF!</v>
      </c>
      <c r="K177" t="e">
        <f>IF(#REF!,"AAAAAHfX5wo=",0)</f>
        <v>#REF!</v>
      </c>
      <c r="L177" t="e">
        <f>IF(#REF!,"AAAAAHfX5ws=",0)</f>
        <v>#REF!</v>
      </c>
      <c r="M177" t="e">
        <f>IF(#REF!,"AAAAAHfX5ww=",0)</f>
        <v>#REF!</v>
      </c>
      <c r="N177" t="e">
        <f>IF(#REF!,"AAAAAHfX5w0=",0)</f>
        <v>#REF!</v>
      </c>
      <c r="O177" t="e">
        <f>IF(#REF!,"AAAAAHfX5w4=",0)</f>
        <v>#REF!</v>
      </c>
      <c r="P177" t="e">
        <f>IF(#REF!,"AAAAAHfX5w8=",0)</f>
        <v>#REF!</v>
      </c>
      <c r="Q177" t="e">
        <f>IF(#REF!,"AAAAAHfX5xA=",0)</f>
        <v>#REF!</v>
      </c>
      <c r="R177" t="e">
        <f>IF(#REF!,"AAAAAHfX5xE=",0)</f>
        <v>#REF!</v>
      </c>
      <c r="S177" t="e">
        <f>IF(#REF!,"AAAAAHfX5xI=",0)</f>
        <v>#REF!</v>
      </c>
      <c r="T177" t="e">
        <f>IF(#REF!,"AAAAAHfX5xM=",0)</f>
        <v>#REF!</v>
      </c>
      <c r="U177" t="e">
        <f>IF(#REF!,"AAAAAHfX5xQ=",0)</f>
        <v>#REF!</v>
      </c>
      <c r="V177" t="e">
        <f>IF(#REF!,"AAAAAHfX5xU=",0)</f>
        <v>#REF!</v>
      </c>
      <c r="W177" t="e">
        <f>IF(#REF!,"AAAAAHfX5xY=",0)</f>
        <v>#REF!</v>
      </c>
      <c r="X177" t="e">
        <f>IF(#REF!,"AAAAAHfX5xc=",0)</f>
        <v>#REF!</v>
      </c>
      <c r="Y177" t="e">
        <f>IF(#REF!,"AAAAAHfX5xg=",0)</f>
        <v>#REF!</v>
      </c>
      <c r="Z177" t="e">
        <f>IF(#REF!,"AAAAAHfX5xk=",0)</f>
        <v>#REF!</v>
      </c>
      <c r="AA177" t="e">
        <f>IF(#REF!,"AAAAAHfX5xo=",0)</f>
        <v>#REF!</v>
      </c>
      <c r="AB177" t="e">
        <f>IF(#REF!,"AAAAAHfX5xs=",0)</f>
        <v>#REF!</v>
      </c>
      <c r="AC177" t="e">
        <f>IF(#REF!,"AAAAAHfX5xw=",0)</f>
        <v>#REF!</v>
      </c>
      <c r="AD177" t="e">
        <f>IF(#REF!,"AAAAAHfX5x0=",0)</f>
        <v>#REF!</v>
      </c>
      <c r="AE177" t="e">
        <f>IF(#REF!,"AAAAAHfX5x4=",0)</f>
        <v>#REF!</v>
      </c>
      <c r="AF177" t="e">
        <f>IF(#REF!,"AAAAAHfX5x8=",0)</f>
        <v>#REF!</v>
      </c>
      <c r="AG177" t="e">
        <f>IF(#REF!,"AAAAAHfX5yA=",0)</f>
        <v>#REF!</v>
      </c>
      <c r="AH177" t="e">
        <f>IF(#REF!,"AAAAAHfX5yE=",0)</f>
        <v>#REF!</v>
      </c>
      <c r="AI177" t="e">
        <f>IF(#REF!,"AAAAAHfX5yI=",0)</f>
        <v>#REF!</v>
      </c>
      <c r="AJ177" t="e">
        <f>IF(#REF!,"AAAAAHfX5yM=",0)</f>
        <v>#REF!</v>
      </c>
      <c r="AK177" t="e">
        <f>IF(#REF!,"AAAAAHfX5yQ=",0)</f>
        <v>#REF!</v>
      </c>
      <c r="AL177" t="e">
        <f>IF(#REF!,"AAAAAHfX5yU=",0)</f>
        <v>#REF!</v>
      </c>
      <c r="AM177" t="e">
        <f>IF(#REF!,"AAAAAHfX5yY=",0)</f>
        <v>#REF!</v>
      </c>
      <c r="AN177" t="e">
        <f>IF(#REF!,"AAAAAHfX5yc=",0)</f>
        <v>#REF!</v>
      </c>
      <c r="AO177" t="e">
        <f>IF(#REF!,"AAAAAHfX5yg=",0)</f>
        <v>#REF!</v>
      </c>
      <c r="AP177" t="e">
        <f>IF(#REF!,"AAAAAHfX5yk=",0)</f>
        <v>#REF!</v>
      </c>
      <c r="AQ177" t="e">
        <f>IF(#REF!,"AAAAAHfX5yo=",0)</f>
        <v>#REF!</v>
      </c>
      <c r="AR177" t="e">
        <f>IF(#REF!,"AAAAAHfX5ys=",0)</f>
        <v>#REF!</v>
      </c>
      <c r="AS177" t="e">
        <f>IF(#REF!,"AAAAAHfX5yw=",0)</f>
        <v>#REF!</v>
      </c>
      <c r="AT177" t="e">
        <f>IF(#REF!,"AAAAAHfX5y0=",0)</f>
        <v>#REF!</v>
      </c>
      <c r="AU177" t="e">
        <f>IF(#REF!,"AAAAAHfX5y4=",0)</f>
        <v>#REF!</v>
      </c>
      <c r="AV177" t="e">
        <f>IF(#REF!,"AAAAAHfX5y8=",0)</f>
        <v>#REF!</v>
      </c>
      <c r="AW177" t="e">
        <f>IF(#REF!,"AAAAAHfX5zA=",0)</f>
        <v>#REF!</v>
      </c>
      <c r="AX177" t="e">
        <f>IF(#REF!,"AAAAAHfX5zE=",0)</f>
        <v>#REF!</v>
      </c>
      <c r="AY177" t="e">
        <f>IF(#REF!,"AAAAAHfX5zI=",0)</f>
        <v>#REF!</v>
      </c>
      <c r="AZ177" t="e">
        <f>IF(#REF!,"AAAAAHfX5zM=",0)</f>
        <v>#REF!</v>
      </c>
      <c r="BA177" t="e">
        <f>IF(#REF!,"AAAAAHfX5zQ=",0)</f>
        <v>#REF!</v>
      </c>
      <c r="BB177" t="e">
        <f>IF(#REF!,"AAAAAHfX5zU=",0)</f>
        <v>#REF!</v>
      </c>
      <c r="BC177" t="e">
        <f>IF(#REF!,"AAAAAHfX5zY=",0)</f>
        <v>#REF!</v>
      </c>
      <c r="BD177" t="e">
        <f>IF(#REF!,"AAAAAHfX5zc=",0)</f>
        <v>#REF!</v>
      </c>
      <c r="BE177" t="e">
        <f>IF(#REF!,"AAAAAHfX5zg=",0)</f>
        <v>#REF!</v>
      </c>
      <c r="BF177" t="e">
        <f>IF(#REF!,"AAAAAHfX5zk=",0)</f>
        <v>#REF!</v>
      </c>
      <c r="BG177" t="e">
        <f>IF(#REF!,"AAAAAHfX5zo=",0)</f>
        <v>#REF!</v>
      </c>
      <c r="BH177" t="e">
        <f>IF(#REF!,"AAAAAHfX5zs=",0)</f>
        <v>#REF!</v>
      </c>
      <c r="BI177" t="e">
        <f>IF(#REF!,"AAAAAHfX5zw=",0)</f>
        <v>#REF!</v>
      </c>
      <c r="BJ177" t="e">
        <f>IF(#REF!,"AAAAAHfX5z0=",0)</f>
        <v>#REF!</v>
      </c>
      <c r="BK177" t="e">
        <f>IF(#REF!,"AAAAAHfX5z4=",0)</f>
        <v>#REF!</v>
      </c>
      <c r="BL177" t="e">
        <f>IF(#REF!,"AAAAAHfX5z8=",0)</f>
        <v>#REF!</v>
      </c>
      <c r="BM177" t="e">
        <f>IF(#REF!,"AAAAAHfX50A=",0)</f>
        <v>#REF!</v>
      </c>
      <c r="BN177" t="e">
        <f>IF(#REF!,"AAAAAHfX50E=",0)</f>
        <v>#REF!</v>
      </c>
      <c r="BO177" t="e">
        <f>IF(#REF!,"AAAAAHfX50I=",0)</f>
        <v>#REF!</v>
      </c>
      <c r="BP177" t="e">
        <f>IF(#REF!,"AAAAAHfX50M=",0)</f>
        <v>#REF!</v>
      </c>
      <c r="BQ177" t="e">
        <f>IF(#REF!,"AAAAAHfX50Q=",0)</f>
        <v>#REF!</v>
      </c>
      <c r="BR177" t="e">
        <f>IF(#REF!,"AAAAAHfX50U=",0)</f>
        <v>#REF!</v>
      </c>
      <c r="BS177" t="e">
        <f>IF(#REF!,"AAAAAHfX50Y=",0)</f>
        <v>#REF!</v>
      </c>
      <c r="BT177" t="e">
        <f>IF(#REF!,"AAAAAHfX50c=",0)</f>
        <v>#REF!</v>
      </c>
      <c r="BU177" t="e">
        <f>IF(#REF!,"AAAAAHfX50g=",0)</f>
        <v>#REF!</v>
      </c>
      <c r="BV177" t="e">
        <f>IF(#REF!,"AAAAAHfX50k=",0)</f>
        <v>#REF!</v>
      </c>
      <c r="BW177" t="e">
        <f>IF(#REF!,"AAAAAHfX50o=",0)</f>
        <v>#REF!</v>
      </c>
      <c r="BX177" t="e">
        <f>IF(#REF!,"AAAAAHfX50s=",0)</f>
        <v>#REF!</v>
      </c>
      <c r="BY177" t="e">
        <f>IF(#REF!,"AAAAAHfX50w=",0)</f>
        <v>#REF!</v>
      </c>
      <c r="BZ177" t="e">
        <f>IF(#REF!,"AAAAAHfX500=",0)</f>
        <v>#REF!</v>
      </c>
      <c r="CA177" t="e">
        <f>IF(#REF!,"AAAAAHfX504=",0)</f>
        <v>#REF!</v>
      </c>
      <c r="CB177" t="e">
        <f>IF(#REF!,"AAAAAHfX508=",0)</f>
        <v>#REF!</v>
      </c>
      <c r="CC177" t="e">
        <f>IF(#REF!,"AAAAAHfX51A=",0)</f>
        <v>#REF!</v>
      </c>
      <c r="CD177" t="e">
        <f>IF(#REF!,"AAAAAHfX51E=",0)</f>
        <v>#REF!</v>
      </c>
      <c r="CE177" t="e">
        <f>IF(#REF!,"AAAAAHfX51I=",0)</f>
        <v>#REF!</v>
      </c>
      <c r="CF177" t="e">
        <f>IF(#REF!,"AAAAAHfX51M=",0)</f>
        <v>#REF!</v>
      </c>
      <c r="CG177" t="e">
        <f>IF(#REF!,"AAAAAHfX51Q=",0)</f>
        <v>#REF!</v>
      </c>
      <c r="CH177" t="e">
        <f>IF(#REF!,"AAAAAHfX51U=",0)</f>
        <v>#REF!</v>
      </c>
      <c r="CI177" t="e">
        <f>IF(#REF!,"AAAAAHfX51Y=",0)</f>
        <v>#REF!</v>
      </c>
      <c r="CJ177" t="e">
        <f>IF(#REF!,"AAAAAHfX51c=",0)</f>
        <v>#REF!</v>
      </c>
      <c r="CK177" t="e">
        <f>IF(#REF!,"AAAAAHfX51g=",0)</f>
        <v>#REF!</v>
      </c>
      <c r="CL177" t="e">
        <f>IF(#REF!,"AAAAAHfX51k=",0)</f>
        <v>#REF!</v>
      </c>
      <c r="CM177" t="e">
        <f>IF(#REF!,"AAAAAHfX51o=",0)</f>
        <v>#REF!</v>
      </c>
      <c r="CN177" t="e">
        <f>IF(#REF!,"AAAAAHfX51s=",0)</f>
        <v>#REF!</v>
      </c>
      <c r="CO177" t="e">
        <f>IF(#REF!,"AAAAAHfX51w=",0)</f>
        <v>#REF!</v>
      </c>
      <c r="CP177" t="e">
        <f>IF(#REF!,"AAAAAHfX510=",0)</f>
        <v>#REF!</v>
      </c>
      <c r="CQ177" t="e">
        <f>IF(#REF!,"AAAAAHfX514=",0)</f>
        <v>#REF!</v>
      </c>
      <c r="CR177" t="e">
        <f>IF(#REF!,"AAAAAHfX518=",0)</f>
        <v>#REF!</v>
      </c>
      <c r="CS177" t="e">
        <f>IF(#REF!,"AAAAAHfX52A=",0)</f>
        <v>#REF!</v>
      </c>
      <c r="CT177" t="e">
        <f>IF(#REF!,"AAAAAHfX52E=",0)</f>
        <v>#REF!</v>
      </c>
      <c r="CU177" t="e">
        <f>IF(#REF!,"AAAAAHfX52I=",0)</f>
        <v>#REF!</v>
      </c>
      <c r="CV177" t="e">
        <f>IF(#REF!,"AAAAAHfX52M=",0)</f>
        <v>#REF!</v>
      </c>
      <c r="CW177" t="e">
        <f>IF(#REF!,"AAAAAHfX52Q=",0)</f>
        <v>#REF!</v>
      </c>
      <c r="CX177" t="e">
        <f>IF(#REF!,"AAAAAHfX52U=",0)</f>
        <v>#REF!</v>
      </c>
      <c r="CY177" t="e">
        <f>IF(#REF!,"AAAAAHfX52Y=",0)</f>
        <v>#REF!</v>
      </c>
      <c r="CZ177" t="e">
        <f>IF(#REF!,"AAAAAHfX52c=",0)</f>
        <v>#REF!</v>
      </c>
      <c r="DA177" t="e">
        <f>IF(#REF!,"AAAAAHfX52g=",0)</f>
        <v>#REF!</v>
      </c>
      <c r="DB177" t="e">
        <f>IF(#REF!,"AAAAAHfX52k=",0)</f>
        <v>#REF!</v>
      </c>
      <c r="DC177" t="e">
        <f>IF(#REF!,"AAAAAHfX52o=",0)</f>
        <v>#REF!</v>
      </c>
      <c r="DD177" t="e">
        <f>IF(#REF!,"AAAAAHfX52s=",0)</f>
        <v>#REF!</v>
      </c>
      <c r="DE177" t="e">
        <f>IF(#REF!,"AAAAAHfX52w=",0)</f>
        <v>#REF!</v>
      </c>
      <c r="DF177" t="e">
        <f>IF(#REF!,"AAAAAHfX520=",0)</f>
        <v>#REF!</v>
      </c>
      <c r="DG177" t="e">
        <f>IF(#REF!,"AAAAAHfX524=",0)</f>
        <v>#REF!</v>
      </c>
      <c r="DH177" t="e">
        <f>IF(#REF!,"AAAAAHfX528=",0)</f>
        <v>#REF!</v>
      </c>
      <c r="DI177" t="e">
        <f>IF(#REF!,"AAAAAHfX53A=",0)</f>
        <v>#REF!</v>
      </c>
      <c r="DJ177" t="e">
        <f>IF(#REF!,"AAAAAHfX53E=",0)</f>
        <v>#REF!</v>
      </c>
      <c r="DK177" t="e">
        <f>IF(#REF!,"AAAAAHfX53I=",0)</f>
        <v>#REF!</v>
      </c>
      <c r="DL177" t="e">
        <f>IF(#REF!,"AAAAAHfX53M=",0)</f>
        <v>#REF!</v>
      </c>
      <c r="DM177" t="e">
        <f>IF(#REF!,"AAAAAHfX53Q=",0)</f>
        <v>#REF!</v>
      </c>
      <c r="DN177" t="e">
        <f>IF(#REF!,"AAAAAHfX53U=",0)</f>
        <v>#REF!</v>
      </c>
      <c r="DO177" t="e">
        <f>IF(#REF!,"AAAAAHfX53Y=",0)</f>
        <v>#REF!</v>
      </c>
      <c r="DP177" t="e">
        <f>IF(#REF!,"AAAAAHfX53c=",0)</f>
        <v>#REF!</v>
      </c>
      <c r="DQ177" t="e">
        <f>IF(#REF!,"AAAAAHfX53g=",0)</f>
        <v>#REF!</v>
      </c>
      <c r="DR177" t="e">
        <f>IF(#REF!,"AAAAAHfX53k=",0)</f>
        <v>#REF!</v>
      </c>
      <c r="DS177" t="e">
        <f>IF(#REF!,"AAAAAHfX53o=",0)</f>
        <v>#REF!</v>
      </c>
      <c r="DT177" t="e">
        <f>IF(#REF!,"AAAAAHfX53s=",0)</f>
        <v>#REF!</v>
      </c>
      <c r="DU177" t="e">
        <f>IF(#REF!,"AAAAAHfX53w=",0)</f>
        <v>#REF!</v>
      </c>
      <c r="DV177" t="e">
        <f>IF(#REF!,"AAAAAHfX530=",0)</f>
        <v>#REF!</v>
      </c>
      <c r="DW177" t="e">
        <f>IF(#REF!,"AAAAAHfX534=",0)</f>
        <v>#REF!</v>
      </c>
      <c r="DX177" t="e">
        <f>IF(#REF!,"AAAAAHfX538=",0)</f>
        <v>#REF!</v>
      </c>
      <c r="DY177" t="e">
        <f>IF(#REF!,"AAAAAHfX54A=",0)</f>
        <v>#REF!</v>
      </c>
      <c r="DZ177" t="e">
        <f>IF(#REF!,"AAAAAHfX54E=",0)</f>
        <v>#REF!</v>
      </c>
      <c r="EA177" t="e">
        <f>IF(#REF!,"AAAAAHfX54I=",0)</f>
        <v>#REF!</v>
      </c>
      <c r="EB177" t="e">
        <f>IF(#REF!,"AAAAAHfX54M=",0)</f>
        <v>#REF!</v>
      </c>
      <c r="EC177" t="e">
        <f>IF(#REF!,"AAAAAHfX54Q=",0)</f>
        <v>#REF!</v>
      </c>
      <c r="ED177" t="e">
        <f>IF(#REF!,"AAAAAHfX54U=",0)</f>
        <v>#REF!</v>
      </c>
      <c r="EE177" t="e">
        <f>IF(#REF!,"AAAAAHfX54Y=",0)</f>
        <v>#REF!</v>
      </c>
      <c r="EF177" t="e">
        <f>IF(#REF!,"AAAAAHfX54c=",0)</f>
        <v>#REF!</v>
      </c>
      <c r="EG177" t="e">
        <f>IF(#REF!,"AAAAAHfX54g=",0)</f>
        <v>#REF!</v>
      </c>
      <c r="EH177" t="e">
        <f>IF(#REF!,"AAAAAHfX54k=",0)</f>
        <v>#REF!</v>
      </c>
      <c r="EI177" t="e">
        <f>IF(#REF!,"AAAAAHfX54o=",0)</f>
        <v>#REF!</v>
      </c>
      <c r="EJ177" t="e">
        <f>IF(#REF!,"AAAAAHfX54s=",0)</f>
        <v>#REF!</v>
      </c>
      <c r="EK177" t="e">
        <f>IF(#REF!,"AAAAAHfX54w=",0)</f>
        <v>#REF!</v>
      </c>
      <c r="EL177" t="e">
        <f>IF(#REF!,"AAAAAHfX540=",0)</f>
        <v>#REF!</v>
      </c>
      <c r="EM177" t="e">
        <f>IF(#REF!,"AAAAAHfX544=",0)</f>
        <v>#REF!</v>
      </c>
      <c r="EN177" t="e">
        <f>IF(#REF!,"AAAAAHfX548=",0)</f>
        <v>#REF!</v>
      </c>
      <c r="EO177" t="e">
        <f>IF(#REF!,"AAAAAHfX55A=",0)</f>
        <v>#REF!</v>
      </c>
      <c r="EP177" t="e">
        <f>IF(#REF!,"AAAAAHfX55E=",0)</f>
        <v>#REF!</v>
      </c>
      <c r="EQ177" t="e">
        <f>IF(#REF!,"AAAAAHfX55I=",0)</f>
        <v>#REF!</v>
      </c>
      <c r="ER177" t="e">
        <f>IF(#REF!,"AAAAAHfX55M=",0)</f>
        <v>#REF!</v>
      </c>
      <c r="ES177" t="e">
        <f>IF(#REF!,"AAAAAHfX55Q=",0)</f>
        <v>#REF!</v>
      </c>
      <c r="ET177" t="e">
        <f>IF(#REF!,"AAAAAHfX55U=",0)</f>
        <v>#REF!</v>
      </c>
      <c r="EU177" t="e">
        <f>IF(#REF!,"AAAAAHfX55Y=",0)</f>
        <v>#REF!</v>
      </c>
      <c r="EV177" t="e">
        <f>IF(#REF!,"AAAAAHfX55c=",0)</f>
        <v>#REF!</v>
      </c>
      <c r="EW177" t="e">
        <f>IF(#REF!,"AAAAAHfX55g=",0)</f>
        <v>#REF!</v>
      </c>
      <c r="EX177" t="e">
        <f>IF(#REF!,"AAAAAHfX55k=",0)</f>
        <v>#REF!</v>
      </c>
      <c r="EY177" t="e">
        <f>IF(#REF!,"AAAAAHfX55o=",0)</f>
        <v>#REF!</v>
      </c>
      <c r="EZ177" t="e">
        <f>IF(#REF!,"AAAAAHfX55s=",0)</f>
        <v>#REF!</v>
      </c>
      <c r="FA177" t="e">
        <f>IF(#REF!,"AAAAAHfX55w=",0)</f>
        <v>#REF!</v>
      </c>
      <c r="FB177" t="e">
        <f>IF(#REF!,"AAAAAHfX550=",0)</f>
        <v>#REF!</v>
      </c>
      <c r="FC177" t="e">
        <f>IF(#REF!,"AAAAAHfX554=",0)</f>
        <v>#REF!</v>
      </c>
      <c r="FD177" t="e">
        <f>IF(#REF!,"AAAAAHfX558=",0)</f>
        <v>#REF!</v>
      </c>
      <c r="FE177" t="e">
        <f>IF(#REF!,"AAAAAHfX56A=",0)</f>
        <v>#REF!</v>
      </c>
      <c r="FF177" t="e">
        <f>IF(#REF!,"AAAAAHfX56E=",0)</f>
        <v>#REF!</v>
      </c>
      <c r="FG177" t="e">
        <f>IF(#REF!,"AAAAAHfX56I=",0)</f>
        <v>#REF!</v>
      </c>
      <c r="FH177" t="e">
        <f>IF(#REF!,"AAAAAHfX56M=",0)</f>
        <v>#REF!</v>
      </c>
      <c r="FI177" t="e">
        <f>IF(#REF!,"AAAAAHfX56Q=",0)</f>
        <v>#REF!</v>
      </c>
      <c r="FJ177" t="e">
        <f>IF(#REF!,"AAAAAHfX56U=",0)</f>
        <v>#REF!</v>
      </c>
      <c r="FK177" t="e">
        <f>IF(#REF!,"AAAAAHfX56Y=",0)</f>
        <v>#REF!</v>
      </c>
      <c r="FL177" t="e">
        <f>IF(#REF!,"AAAAAHfX56c=",0)</f>
        <v>#REF!</v>
      </c>
      <c r="FM177" t="e">
        <f>IF(#REF!,"AAAAAHfX56g=",0)</f>
        <v>#REF!</v>
      </c>
      <c r="FN177" t="e">
        <f>IF(#REF!,"AAAAAHfX56k=",0)</f>
        <v>#REF!</v>
      </c>
      <c r="FO177" t="e">
        <f>IF(#REF!,"AAAAAHfX56o=",0)</f>
        <v>#REF!</v>
      </c>
      <c r="FP177" t="e">
        <f>IF(#REF!,"AAAAAHfX56s=",0)</f>
        <v>#REF!</v>
      </c>
      <c r="FQ177" t="e">
        <f>IF(#REF!,"AAAAAHfX56w=",0)</f>
        <v>#REF!</v>
      </c>
      <c r="FR177" t="e">
        <f>IF(#REF!,"AAAAAHfX560=",0)</f>
        <v>#REF!</v>
      </c>
      <c r="FS177" t="e">
        <f>IF(#REF!,"AAAAAHfX564=",0)</f>
        <v>#REF!</v>
      </c>
      <c r="FT177" t="e">
        <f>IF(#REF!,"AAAAAHfX568=",0)</f>
        <v>#REF!</v>
      </c>
      <c r="FU177" t="e">
        <f>IF(#REF!,"AAAAAHfX57A=",0)</f>
        <v>#REF!</v>
      </c>
      <c r="FV177" t="e">
        <f>IF(#REF!,"AAAAAHfX57E=",0)</f>
        <v>#REF!</v>
      </c>
      <c r="FW177" t="e">
        <f>IF(#REF!,"AAAAAHfX57I=",0)</f>
        <v>#REF!</v>
      </c>
      <c r="FX177" t="e">
        <f>IF(#REF!,"AAAAAHfX57M=",0)</f>
        <v>#REF!</v>
      </c>
      <c r="FY177" t="e">
        <f>IF(#REF!,"AAAAAHfX57Q=",0)</f>
        <v>#REF!</v>
      </c>
      <c r="FZ177" t="e">
        <f>IF(#REF!,"AAAAAHfX57U=",0)</f>
        <v>#REF!</v>
      </c>
      <c r="GA177" t="e">
        <f>IF(#REF!,"AAAAAHfX57Y=",0)</f>
        <v>#REF!</v>
      </c>
      <c r="GB177" t="e">
        <f>IF(#REF!,"AAAAAHfX57c=",0)</f>
        <v>#REF!</v>
      </c>
      <c r="GC177" t="e">
        <f>IF(#REF!,"AAAAAHfX57g=",0)</f>
        <v>#REF!</v>
      </c>
      <c r="GD177" t="e">
        <f>IF(#REF!,"AAAAAHfX57k=",0)</f>
        <v>#REF!</v>
      </c>
      <c r="GE177" t="e">
        <f>IF(#REF!,"AAAAAHfX57o=",0)</f>
        <v>#REF!</v>
      </c>
      <c r="GF177" t="e">
        <f>IF(#REF!,"AAAAAHfX57s=",0)</f>
        <v>#REF!</v>
      </c>
      <c r="GG177" t="e">
        <f>IF(#REF!,"AAAAAHfX57w=",0)</f>
        <v>#REF!</v>
      </c>
      <c r="GH177" t="e">
        <f>IF(#REF!,"AAAAAHfX570=",0)</f>
        <v>#REF!</v>
      </c>
      <c r="GI177" t="e">
        <f>IF(#REF!,"AAAAAHfX574=",0)</f>
        <v>#REF!</v>
      </c>
      <c r="GJ177" t="e">
        <f>IF(#REF!,"AAAAAHfX578=",0)</f>
        <v>#REF!</v>
      </c>
      <c r="GK177" t="e">
        <f>IF(#REF!,"AAAAAHfX58A=",0)</f>
        <v>#REF!</v>
      </c>
      <c r="GL177" t="e">
        <f>IF(#REF!,"AAAAAHfX58E=",0)</f>
        <v>#REF!</v>
      </c>
      <c r="GM177" t="e">
        <f>IF(#REF!,"AAAAAHfX58I=",0)</f>
        <v>#REF!</v>
      </c>
      <c r="GN177" t="e">
        <f>IF(#REF!,"AAAAAHfX58M=",0)</f>
        <v>#REF!</v>
      </c>
      <c r="GO177" t="e">
        <f>IF(#REF!,"AAAAAHfX58Q=",0)</f>
        <v>#REF!</v>
      </c>
      <c r="GP177" t="e">
        <f>IF(#REF!,"AAAAAHfX58U=",0)</f>
        <v>#REF!</v>
      </c>
      <c r="GQ177" t="e">
        <f>IF(#REF!,"AAAAAHfX58Y=",0)</f>
        <v>#REF!</v>
      </c>
      <c r="GR177" t="e">
        <f>IF(#REF!,"AAAAAHfX58c=",0)</f>
        <v>#REF!</v>
      </c>
      <c r="GS177" t="e">
        <f>IF(#REF!,"AAAAAHfX58g=",0)</f>
        <v>#REF!</v>
      </c>
      <c r="GT177" t="e">
        <f>IF(#REF!,"AAAAAHfX58k=",0)</f>
        <v>#REF!</v>
      </c>
      <c r="GU177" t="e">
        <f>IF(#REF!,"AAAAAHfX58o=",0)</f>
        <v>#REF!</v>
      </c>
      <c r="GV177" t="e">
        <f>IF(#REF!,"AAAAAHfX58s=",0)</f>
        <v>#REF!</v>
      </c>
      <c r="GW177" t="e">
        <f>IF(#REF!,"AAAAAHfX58w=",0)</f>
        <v>#REF!</v>
      </c>
      <c r="GX177" t="e">
        <f>IF(#REF!,"AAAAAHfX580=",0)</f>
        <v>#REF!</v>
      </c>
      <c r="GY177" t="e">
        <f>IF(#REF!,"AAAAAHfX584=",0)</f>
        <v>#REF!</v>
      </c>
      <c r="GZ177" t="e">
        <f>IF(#REF!,"AAAAAHfX588=",0)</f>
        <v>#REF!</v>
      </c>
      <c r="HA177" t="e">
        <f>IF(#REF!,"AAAAAHfX59A=",0)</f>
        <v>#REF!</v>
      </c>
      <c r="HB177" t="e">
        <f>IF(#REF!,"AAAAAHfX59E=",0)</f>
        <v>#REF!</v>
      </c>
      <c r="HC177" t="e">
        <f>IF(#REF!,"AAAAAHfX59I=",0)</f>
        <v>#REF!</v>
      </c>
      <c r="HD177" t="e">
        <f>IF(#REF!,"AAAAAHfX59M=",0)</f>
        <v>#REF!</v>
      </c>
      <c r="HE177" t="e">
        <f>IF(#REF!,"AAAAAHfX59Q=",0)</f>
        <v>#REF!</v>
      </c>
      <c r="HF177" t="e">
        <f>IF(#REF!,"AAAAAHfX59U=",0)</f>
        <v>#REF!</v>
      </c>
      <c r="HG177" t="e">
        <f>IF(#REF!,"AAAAAHfX59Y=",0)</f>
        <v>#REF!</v>
      </c>
      <c r="HH177" t="e">
        <f>IF(#REF!,"AAAAAHfX59c=",0)</f>
        <v>#REF!</v>
      </c>
      <c r="HI177" t="e">
        <f>IF(#REF!,"AAAAAHfX59g=",0)</f>
        <v>#REF!</v>
      </c>
      <c r="HJ177" t="e">
        <f>IF(#REF!,"AAAAAHfX59k=",0)</f>
        <v>#REF!</v>
      </c>
      <c r="HK177" t="e">
        <f>IF(#REF!,"AAAAAHfX59o=",0)</f>
        <v>#REF!</v>
      </c>
      <c r="HL177" t="e">
        <f>IF(#REF!,"AAAAAHfX59s=",0)</f>
        <v>#REF!</v>
      </c>
      <c r="HM177" t="e">
        <f>IF(#REF!,"AAAAAHfX59w=",0)</f>
        <v>#REF!</v>
      </c>
      <c r="HN177" t="e">
        <f>IF(#REF!,"AAAAAHfX590=",0)</f>
        <v>#REF!</v>
      </c>
      <c r="HO177" t="e">
        <f>IF(#REF!,"AAAAAHfX594=",0)</f>
        <v>#REF!</v>
      </c>
      <c r="HP177" t="e">
        <f>IF(#REF!,"AAAAAHfX598=",0)</f>
        <v>#REF!</v>
      </c>
      <c r="HQ177" t="e">
        <f>IF(#REF!,"AAAAAHfX5+A=",0)</f>
        <v>#REF!</v>
      </c>
      <c r="HR177" t="e">
        <f>IF(#REF!,"AAAAAHfX5+E=",0)</f>
        <v>#REF!</v>
      </c>
      <c r="HS177" t="e">
        <f>IF(#REF!,"AAAAAHfX5+I=",0)</f>
        <v>#REF!</v>
      </c>
      <c r="HT177" t="e">
        <f>IF(#REF!,"AAAAAHfX5+M=",0)</f>
        <v>#REF!</v>
      </c>
      <c r="HU177" t="e">
        <f>IF(#REF!,"AAAAAHfX5+Q=",0)</f>
        <v>#REF!</v>
      </c>
      <c r="HV177" t="e">
        <f>IF(#REF!,"AAAAAHfX5+U=",0)</f>
        <v>#REF!</v>
      </c>
      <c r="HW177" t="e">
        <f>IF(#REF!,"AAAAAHfX5+Y=",0)</f>
        <v>#REF!</v>
      </c>
      <c r="HX177" t="e">
        <f>IF(#REF!,"AAAAAHfX5+c=",0)</f>
        <v>#REF!</v>
      </c>
      <c r="HY177" t="e">
        <f>IF(#REF!,"AAAAAHfX5+g=",0)</f>
        <v>#REF!</v>
      </c>
      <c r="HZ177" t="e">
        <f>IF(#REF!,"AAAAAHfX5+k=",0)</f>
        <v>#REF!</v>
      </c>
      <c r="IA177" t="e">
        <f>IF(#REF!,"AAAAAHfX5+o=",0)</f>
        <v>#REF!</v>
      </c>
      <c r="IB177" t="e">
        <f>IF(#REF!,"AAAAAHfX5+s=",0)</f>
        <v>#REF!</v>
      </c>
      <c r="IC177" t="e">
        <f>IF(#REF!,"AAAAAHfX5+w=",0)</f>
        <v>#REF!</v>
      </c>
      <c r="ID177" t="e">
        <f>IF(#REF!,"AAAAAHfX5+0=",0)</f>
        <v>#REF!</v>
      </c>
      <c r="IE177" t="e">
        <f>IF(#REF!,"AAAAAHfX5+4=",0)</f>
        <v>#REF!</v>
      </c>
      <c r="IF177" t="e">
        <f>IF(#REF!,"AAAAAHfX5+8=",0)</f>
        <v>#REF!</v>
      </c>
      <c r="IG177" t="e">
        <f>IF(#REF!,"AAAAAHfX5/A=",0)</f>
        <v>#REF!</v>
      </c>
      <c r="IH177" t="e">
        <f>IF(#REF!,"AAAAAHfX5/E=",0)</f>
        <v>#REF!</v>
      </c>
      <c r="II177" t="e">
        <f>IF(#REF!,"AAAAAHfX5/I=",0)</f>
        <v>#REF!</v>
      </c>
      <c r="IJ177" t="e">
        <f>IF(#REF!,"AAAAAHfX5/M=",0)</f>
        <v>#REF!</v>
      </c>
      <c r="IK177" t="e">
        <f>IF(#REF!,"AAAAAHfX5/Q=",0)</f>
        <v>#REF!</v>
      </c>
      <c r="IL177" t="e">
        <f>IF(#REF!,"AAAAAHfX5/U=",0)</f>
        <v>#REF!</v>
      </c>
      <c r="IM177" t="e">
        <f>IF(#REF!,"AAAAAHfX5/Y=",0)</f>
        <v>#REF!</v>
      </c>
      <c r="IN177" t="e">
        <f>IF(#REF!,"AAAAAHfX5/c=",0)</f>
        <v>#REF!</v>
      </c>
      <c r="IO177" t="e">
        <f>IF(#REF!,"AAAAAHfX5/g=",0)</f>
        <v>#REF!</v>
      </c>
      <c r="IP177" t="e">
        <f>IF(#REF!,"AAAAAHfX5/k=",0)</f>
        <v>#REF!</v>
      </c>
      <c r="IQ177" t="e">
        <f>IF(#REF!,"AAAAAHfX5/o=",0)</f>
        <v>#REF!</v>
      </c>
      <c r="IR177" t="e">
        <f>IF(#REF!,"AAAAAHfX5/s=",0)</f>
        <v>#REF!</v>
      </c>
      <c r="IS177" t="e">
        <f>IF(#REF!,"AAAAAHfX5/w=",0)</f>
        <v>#REF!</v>
      </c>
      <c r="IT177" t="e">
        <f>IF(#REF!,"AAAAAHfX5/0=",0)</f>
        <v>#REF!</v>
      </c>
      <c r="IU177" t="e">
        <f>IF(#REF!,"AAAAAHfX5/4=",0)</f>
        <v>#REF!</v>
      </c>
      <c r="IV177" t="e">
        <f>IF(#REF!,"AAAAAHfX5/8=",0)</f>
        <v>#REF!</v>
      </c>
    </row>
    <row r="178" spans="1:256">
      <c r="A178" t="e">
        <f>IF(#REF!,"AAAAAB2d+wA=",0)</f>
        <v>#REF!</v>
      </c>
      <c r="B178" t="e">
        <f>IF(#REF!,"AAAAAB2d+wE=",0)</f>
        <v>#REF!</v>
      </c>
      <c r="C178" t="e">
        <f>IF(#REF!,"AAAAAB2d+wI=",0)</f>
        <v>#REF!</v>
      </c>
      <c r="D178" t="e">
        <f>IF(#REF!,"AAAAAB2d+wM=",0)</f>
        <v>#REF!</v>
      </c>
      <c r="E178" t="e">
        <f>IF(#REF!,"AAAAAB2d+wQ=",0)</f>
        <v>#REF!</v>
      </c>
      <c r="F178" t="e">
        <f>IF(#REF!,"AAAAAB2d+wU=",0)</f>
        <v>#REF!</v>
      </c>
      <c r="G178" t="e">
        <f>IF(#REF!,"AAAAAB2d+wY=",0)</f>
        <v>#REF!</v>
      </c>
      <c r="H178" t="e">
        <f>IF(#REF!,"AAAAAB2d+wc=",0)</f>
        <v>#REF!</v>
      </c>
      <c r="I178" t="e">
        <f>IF(#REF!,"AAAAAB2d+wg=",0)</f>
        <v>#REF!</v>
      </c>
      <c r="J178" t="e">
        <f>IF(#REF!,"AAAAAB2d+wk=",0)</f>
        <v>#REF!</v>
      </c>
      <c r="K178" t="e">
        <f>IF(#REF!,"AAAAAB2d+wo=",0)</f>
        <v>#REF!</v>
      </c>
      <c r="L178" t="e">
        <f>IF(#REF!,"AAAAAB2d+ws=",0)</f>
        <v>#REF!</v>
      </c>
      <c r="M178" t="e">
        <f>IF(#REF!,"AAAAAB2d+ww=",0)</f>
        <v>#REF!</v>
      </c>
      <c r="N178" t="e">
        <f>IF(#REF!,"AAAAAB2d+w0=",0)</f>
        <v>#REF!</v>
      </c>
      <c r="O178" t="e">
        <f>IF(#REF!,"AAAAAB2d+w4=",0)</f>
        <v>#REF!</v>
      </c>
      <c r="P178" t="e">
        <f>IF(#REF!,"AAAAAB2d+w8=",0)</f>
        <v>#REF!</v>
      </c>
      <c r="Q178" t="e">
        <f>IF(#REF!,"AAAAAB2d+xA=",0)</f>
        <v>#REF!</v>
      </c>
      <c r="R178" t="e">
        <f>IF(#REF!,"AAAAAB2d+xE=",0)</f>
        <v>#REF!</v>
      </c>
      <c r="S178" t="e">
        <f>IF(#REF!,"AAAAAB2d+xI=",0)</f>
        <v>#REF!</v>
      </c>
      <c r="T178" t="e">
        <f>IF(#REF!,"AAAAAB2d+xM=",0)</f>
        <v>#REF!</v>
      </c>
      <c r="U178" t="e">
        <f>IF(#REF!,"AAAAAB2d+xQ=",0)</f>
        <v>#REF!</v>
      </c>
      <c r="V178" t="e">
        <f>IF(#REF!,"AAAAAB2d+xU=",0)</f>
        <v>#REF!</v>
      </c>
      <c r="W178" t="e">
        <f>IF(#REF!,"AAAAAB2d+xY=",0)</f>
        <v>#REF!</v>
      </c>
      <c r="X178" t="e">
        <f>IF(#REF!,"AAAAAB2d+xc=",0)</f>
        <v>#REF!</v>
      </c>
      <c r="Y178" t="e">
        <f>IF(#REF!,"AAAAAB2d+xg=",0)</f>
        <v>#REF!</v>
      </c>
      <c r="Z178" t="e">
        <f>IF(#REF!,"AAAAAB2d+xk=",0)</f>
        <v>#REF!</v>
      </c>
      <c r="AA178" t="e">
        <f>IF(#REF!,"AAAAAB2d+xo=",0)</f>
        <v>#REF!</v>
      </c>
      <c r="AB178" t="e">
        <f>IF(#REF!,"AAAAAB2d+xs=",0)</f>
        <v>#REF!</v>
      </c>
      <c r="AC178" t="e">
        <f>IF(#REF!,"AAAAAB2d+xw=",0)</f>
        <v>#REF!</v>
      </c>
      <c r="AD178" t="e">
        <f>IF(#REF!,"AAAAAB2d+x0=",0)</f>
        <v>#REF!</v>
      </c>
      <c r="AE178" t="e">
        <f>IF(#REF!,"AAAAAB2d+x4=",0)</f>
        <v>#REF!</v>
      </c>
      <c r="AF178" t="e">
        <f>IF(#REF!,"AAAAAB2d+x8=",0)</f>
        <v>#REF!</v>
      </c>
      <c r="AG178" t="e">
        <f>IF(#REF!,"AAAAAB2d+yA=",0)</f>
        <v>#REF!</v>
      </c>
      <c r="AH178" t="e">
        <f>IF(#REF!,"AAAAAB2d+yE=",0)</f>
        <v>#REF!</v>
      </c>
      <c r="AI178" t="e">
        <f>IF(#REF!,"AAAAAB2d+yI=",0)</f>
        <v>#REF!</v>
      </c>
      <c r="AJ178" t="e">
        <f>IF(#REF!,"AAAAAB2d+yM=",0)</f>
        <v>#REF!</v>
      </c>
      <c r="AK178" t="e">
        <f>IF(#REF!,"AAAAAB2d+yQ=",0)</f>
        <v>#REF!</v>
      </c>
      <c r="AL178" t="e">
        <f>IF(#REF!,"AAAAAB2d+yU=",0)</f>
        <v>#REF!</v>
      </c>
      <c r="AM178" t="e">
        <f>IF(#REF!,"AAAAAB2d+yY=",0)</f>
        <v>#REF!</v>
      </c>
      <c r="AN178" t="e">
        <f>IF(#REF!,"AAAAAB2d+yc=",0)</f>
        <v>#REF!</v>
      </c>
      <c r="AO178" t="e">
        <f>IF(#REF!,"AAAAAB2d+yg=",0)</f>
        <v>#REF!</v>
      </c>
      <c r="AP178" t="e">
        <f>IF(#REF!,"AAAAAB2d+yk=",0)</f>
        <v>#REF!</v>
      </c>
      <c r="AQ178" t="e">
        <f>IF(#REF!,"AAAAAB2d+yo=",0)</f>
        <v>#REF!</v>
      </c>
      <c r="AR178" t="e">
        <f>IF(#REF!,"AAAAAB2d+ys=",0)</f>
        <v>#REF!</v>
      </c>
      <c r="AS178" t="e">
        <f>IF(#REF!,"AAAAAB2d+yw=",0)</f>
        <v>#REF!</v>
      </c>
      <c r="AT178" t="e">
        <f>IF(#REF!,"AAAAAB2d+y0=",0)</f>
        <v>#REF!</v>
      </c>
      <c r="AU178" t="e">
        <f>IF(#REF!,"AAAAAB2d+y4=",0)</f>
        <v>#REF!</v>
      </c>
      <c r="AV178" t="e">
        <f>IF(#REF!,"AAAAAB2d+y8=",0)</f>
        <v>#REF!</v>
      </c>
      <c r="AW178" t="e">
        <f>IF(#REF!,"AAAAAB2d+zA=",0)</f>
        <v>#REF!</v>
      </c>
      <c r="AX178" t="e">
        <f>IF(#REF!,"AAAAAB2d+zE=",0)</f>
        <v>#REF!</v>
      </c>
      <c r="AY178" t="e">
        <f>IF(#REF!,"AAAAAB2d+zI=",0)</f>
        <v>#REF!</v>
      </c>
      <c r="AZ178" t="e">
        <f>IF(#REF!,"AAAAAB2d+zM=",0)</f>
        <v>#REF!</v>
      </c>
      <c r="BA178" t="e">
        <f>IF(#REF!,"AAAAAB2d+zQ=",0)</f>
        <v>#REF!</v>
      </c>
      <c r="BB178" t="e">
        <f>IF(#REF!,"AAAAAB2d+zU=",0)</f>
        <v>#REF!</v>
      </c>
      <c r="BC178" t="e">
        <f>IF(#REF!,"AAAAAB2d+zY=",0)</f>
        <v>#REF!</v>
      </c>
      <c r="BD178" t="e">
        <f>IF(#REF!,"AAAAAB2d+zc=",0)</f>
        <v>#REF!</v>
      </c>
      <c r="BE178" t="e">
        <f>IF(#REF!,"AAAAAB2d+zg=",0)</f>
        <v>#REF!</v>
      </c>
      <c r="BF178" t="e">
        <f>IF(#REF!,"AAAAAB2d+zk=",0)</f>
        <v>#REF!</v>
      </c>
      <c r="BG178" t="e">
        <f>IF(#REF!,"AAAAAB2d+zo=",0)</f>
        <v>#REF!</v>
      </c>
      <c r="BH178" t="e">
        <f>IF(#REF!,"AAAAAB2d+zs=",0)</f>
        <v>#REF!</v>
      </c>
      <c r="BI178" t="e">
        <f>IF(#REF!,"AAAAAB2d+zw=",0)</f>
        <v>#REF!</v>
      </c>
      <c r="BJ178" t="e">
        <f>IF(#REF!,"AAAAAB2d+z0=",0)</f>
        <v>#REF!</v>
      </c>
      <c r="BK178" t="e">
        <f>IF(#REF!,"AAAAAB2d+z4=",0)</f>
        <v>#REF!</v>
      </c>
      <c r="BL178" t="e">
        <f>IF(#REF!,"AAAAAB2d+z8=",0)</f>
        <v>#REF!</v>
      </c>
      <c r="BM178" t="e">
        <f>IF(#REF!,"AAAAAB2d+0A=",0)</f>
        <v>#REF!</v>
      </c>
      <c r="BN178" t="e">
        <f>IF(#REF!,"AAAAAB2d+0E=",0)</f>
        <v>#REF!</v>
      </c>
      <c r="BO178" t="e">
        <f>IF(#REF!,"AAAAAB2d+0I=",0)</f>
        <v>#REF!</v>
      </c>
      <c r="BP178" t="e">
        <f>IF(#REF!,"AAAAAB2d+0M=",0)</f>
        <v>#REF!</v>
      </c>
      <c r="BQ178" t="e">
        <f>IF(#REF!,"AAAAAB2d+0Q=",0)</f>
        <v>#REF!</v>
      </c>
      <c r="BR178" t="e">
        <f>IF(#REF!,"AAAAAB2d+0U=",0)</f>
        <v>#REF!</v>
      </c>
      <c r="BS178" t="e">
        <f>IF(#REF!,"AAAAAB2d+0Y=",0)</f>
        <v>#REF!</v>
      </c>
      <c r="BT178" t="e">
        <f>IF(#REF!,"AAAAAB2d+0c=",0)</f>
        <v>#REF!</v>
      </c>
      <c r="BU178" t="e">
        <f>IF(#REF!,"AAAAAB2d+0g=",0)</f>
        <v>#REF!</v>
      </c>
      <c r="BV178" t="e">
        <f>IF(#REF!,"AAAAAB2d+0k=",0)</f>
        <v>#REF!</v>
      </c>
      <c r="BW178" t="e">
        <f>IF(#REF!,"AAAAAB2d+0o=",0)</f>
        <v>#REF!</v>
      </c>
      <c r="BX178" t="e">
        <f>IF(#REF!,"AAAAAB2d+0s=",0)</f>
        <v>#REF!</v>
      </c>
      <c r="BY178" t="e">
        <f>IF(#REF!,"AAAAAB2d+0w=",0)</f>
        <v>#REF!</v>
      </c>
      <c r="BZ178" t="e">
        <f>IF(#REF!,"AAAAAB2d+00=",0)</f>
        <v>#REF!</v>
      </c>
      <c r="CA178" t="e">
        <f>IF(#REF!,"AAAAAB2d+04=",0)</f>
        <v>#REF!</v>
      </c>
      <c r="CB178" t="e">
        <f>IF(#REF!,"AAAAAB2d+08=",0)</f>
        <v>#REF!</v>
      </c>
      <c r="CC178" t="e">
        <f>IF(#REF!,"AAAAAB2d+1A=",0)</f>
        <v>#REF!</v>
      </c>
      <c r="CD178" t="e">
        <f>IF(#REF!,"AAAAAB2d+1E=",0)</f>
        <v>#REF!</v>
      </c>
      <c r="CE178" t="e">
        <f>IF(#REF!,"AAAAAB2d+1I=",0)</f>
        <v>#REF!</v>
      </c>
      <c r="CF178" t="e">
        <f>IF(#REF!,"AAAAAB2d+1M=",0)</f>
        <v>#REF!</v>
      </c>
      <c r="CG178" t="e">
        <f>IF(#REF!,"AAAAAB2d+1Q=",0)</f>
        <v>#REF!</v>
      </c>
      <c r="CH178" t="e">
        <f>IF(#REF!,"AAAAAB2d+1U=",0)</f>
        <v>#REF!</v>
      </c>
      <c r="CI178" t="e">
        <f>IF(#REF!,"AAAAAB2d+1Y=",0)</f>
        <v>#REF!</v>
      </c>
      <c r="CJ178" t="e">
        <f>IF(#REF!,"AAAAAB2d+1c=",0)</f>
        <v>#REF!</v>
      </c>
      <c r="CK178" t="e">
        <f>IF(#REF!,"AAAAAB2d+1g=",0)</f>
        <v>#REF!</v>
      </c>
      <c r="CL178" t="e">
        <f>IF(#REF!,"AAAAAB2d+1k=",0)</f>
        <v>#REF!</v>
      </c>
      <c r="CM178" t="e">
        <f>IF(#REF!,"AAAAAB2d+1o=",0)</f>
        <v>#REF!</v>
      </c>
      <c r="CN178" t="e">
        <f>IF(#REF!,"AAAAAB2d+1s=",0)</f>
        <v>#REF!</v>
      </c>
      <c r="CO178" t="e">
        <f>IF(#REF!,"AAAAAB2d+1w=",0)</f>
        <v>#REF!</v>
      </c>
      <c r="CP178" t="e">
        <f>IF(#REF!,"AAAAAB2d+10=",0)</f>
        <v>#REF!</v>
      </c>
      <c r="CQ178" t="e">
        <f>IF(#REF!,"AAAAAB2d+14=",0)</f>
        <v>#REF!</v>
      </c>
      <c r="CR178" t="e">
        <f>IF(#REF!,"AAAAAB2d+18=",0)</f>
        <v>#REF!</v>
      </c>
      <c r="CS178" t="e">
        <f>IF(#REF!,"AAAAAB2d+2A=",0)</f>
        <v>#REF!</v>
      </c>
      <c r="CT178" t="e">
        <f>IF(#REF!,"AAAAAB2d+2E=",0)</f>
        <v>#REF!</v>
      </c>
      <c r="CU178" t="e">
        <f>IF(#REF!,"AAAAAB2d+2I=",0)</f>
        <v>#REF!</v>
      </c>
      <c r="CV178" t="e">
        <f>IF(#REF!,"AAAAAB2d+2M=",0)</f>
        <v>#REF!</v>
      </c>
      <c r="CW178" t="e">
        <f>IF(#REF!,"AAAAAB2d+2Q=",0)</f>
        <v>#REF!</v>
      </c>
      <c r="CX178" t="e">
        <f>IF(#REF!,"AAAAAB2d+2U=",0)</f>
        <v>#REF!</v>
      </c>
      <c r="CY178" t="e">
        <f>IF(#REF!,"AAAAAB2d+2Y=",0)</f>
        <v>#REF!</v>
      </c>
      <c r="CZ178" t="e">
        <f>IF(#REF!,"AAAAAB2d+2c=",0)</f>
        <v>#REF!</v>
      </c>
      <c r="DA178" t="e">
        <f>IF(#REF!,"AAAAAB2d+2g=",0)</f>
        <v>#REF!</v>
      </c>
      <c r="DB178" t="e">
        <f>IF(#REF!,"AAAAAB2d+2k=",0)</f>
        <v>#REF!</v>
      </c>
      <c r="DC178" t="e">
        <f>IF(#REF!,"AAAAAB2d+2o=",0)</f>
        <v>#REF!</v>
      </c>
      <c r="DD178" t="e">
        <f>IF(#REF!,"AAAAAB2d+2s=",0)</f>
        <v>#REF!</v>
      </c>
      <c r="DE178" t="e">
        <f>IF(#REF!,"AAAAAB2d+2w=",0)</f>
        <v>#REF!</v>
      </c>
      <c r="DF178" t="e">
        <f>IF(#REF!,"AAAAAB2d+20=",0)</f>
        <v>#REF!</v>
      </c>
      <c r="DG178" t="e">
        <f>IF(#REF!,"AAAAAB2d+24=",0)</f>
        <v>#REF!</v>
      </c>
      <c r="DH178" t="e">
        <f>IF(#REF!,"AAAAAB2d+28=",0)</f>
        <v>#REF!</v>
      </c>
      <c r="DI178" t="e">
        <f>IF(#REF!,"AAAAAB2d+3A=",0)</f>
        <v>#REF!</v>
      </c>
      <c r="DJ178" t="e">
        <f>IF(#REF!,"AAAAAB2d+3E=",0)</f>
        <v>#REF!</v>
      </c>
      <c r="DK178" t="e">
        <f>IF(#REF!,"AAAAAB2d+3I=",0)</f>
        <v>#REF!</v>
      </c>
      <c r="DL178" t="e">
        <f>IF(#REF!,"AAAAAB2d+3M=",0)</f>
        <v>#REF!</v>
      </c>
      <c r="DM178" t="e">
        <f>IF(#REF!,"AAAAAB2d+3Q=",0)</f>
        <v>#REF!</v>
      </c>
      <c r="DN178" t="e">
        <f>IF(#REF!,"AAAAAB2d+3U=",0)</f>
        <v>#REF!</v>
      </c>
      <c r="DO178" t="e">
        <f>IF(#REF!,"AAAAAB2d+3Y=",0)</f>
        <v>#REF!</v>
      </c>
      <c r="DP178" t="e">
        <f>IF(#REF!,"AAAAAB2d+3c=",0)</f>
        <v>#REF!</v>
      </c>
      <c r="DQ178" t="e">
        <f>IF(#REF!,"AAAAAB2d+3g=",0)</f>
        <v>#REF!</v>
      </c>
      <c r="DR178" t="e">
        <f>IF(#REF!,"AAAAAB2d+3k=",0)</f>
        <v>#REF!</v>
      </c>
      <c r="DS178" t="e">
        <f>IF(#REF!,"AAAAAB2d+3o=",0)</f>
        <v>#REF!</v>
      </c>
      <c r="DT178" t="e">
        <f>IF(#REF!,"AAAAAB2d+3s=",0)</f>
        <v>#REF!</v>
      </c>
      <c r="DU178" t="e">
        <f>IF(#REF!,"AAAAAB2d+3w=",0)</f>
        <v>#REF!</v>
      </c>
      <c r="DV178" t="e">
        <f>IF(#REF!,"AAAAAB2d+30=",0)</f>
        <v>#REF!</v>
      </c>
      <c r="DW178" t="e">
        <f>IF(#REF!,"AAAAAB2d+34=",0)</f>
        <v>#REF!</v>
      </c>
      <c r="DX178" t="e">
        <f>IF(#REF!,"AAAAAB2d+38=",0)</f>
        <v>#REF!</v>
      </c>
      <c r="DY178" t="e">
        <f>IF(#REF!,"AAAAAB2d+4A=",0)</f>
        <v>#REF!</v>
      </c>
      <c r="DZ178" t="e">
        <f>IF(#REF!,"AAAAAB2d+4E=",0)</f>
        <v>#REF!</v>
      </c>
      <c r="EA178" t="e">
        <f>IF(#REF!,"AAAAAB2d+4I=",0)</f>
        <v>#REF!</v>
      </c>
      <c r="EB178" t="e">
        <f>IF(#REF!,"AAAAAB2d+4M=",0)</f>
        <v>#REF!</v>
      </c>
      <c r="EC178" t="e">
        <f>IF(#REF!,"AAAAAB2d+4Q=",0)</f>
        <v>#REF!</v>
      </c>
      <c r="ED178" t="e">
        <f>IF(#REF!,"AAAAAB2d+4U=",0)</f>
        <v>#REF!</v>
      </c>
      <c r="EE178" t="e">
        <f>IF(#REF!,"AAAAAB2d+4Y=",0)</f>
        <v>#REF!</v>
      </c>
      <c r="EF178" t="e">
        <f>IF(#REF!,"AAAAAB2d+4c=",0)</f>
        <v>#REF!</v>
      </c>
      <c r="EG178" t="e">
        <f>IF(#REF!,"AAAAAB2d+4g=",0)</f>
        <v>#REF!</v>
      </c>
      <c r="EH178" t="e">
        <f>IF(#REF!,"AAAAAB2d+4k=",0)</f>
        <v>#REF!</v>
      </c>
      <c r="EI178" t="e">
        <f>IF(#REF!,"AAAAAB2d+4o=",0)</f>
        <v>#REF!</v>
      </c>
      <c r="EJ178" t="e">
        <f>IF(#REF!,"AAAAAB2d+4s=",0)</f>
        <v>#REF!</v>
      </c>
      <c r="EK178" t="e">
        <f>IF(#REF!,"AAAAAB2d+4w=",0)</f>
        <v>#REF!</v>
      </c>
      <c r="EL178" t="e">
        <f>IF(#REF!,"AAAAAB2d+40=",0)</f>
        <v>#REF!</v>
      </c>
      <c r="EM178" t="e">
        <f>IF(#REF!,"AAAAAB2d+44=",0)</f>
        <v>#REF!</v>
      </c>
      <c r="EN178" t="e">
        <f>IF(#REF!,"AAAAAB2d+48=",0)</f>
        <v>#REF!</v>
      </c>
      <c r="EO178" t="e">
        <f>IF(#REF!,"AAAAAB2d+5A=",0)</f>
        <v>#REF!</v>
      </c>
      <c r="EP178" t="e">
        <f>IF(#REF!,"AAAAAB2d+5E=",0)</f>
        <v>#REF!</v>
      </c>
      <c r="EQ178" t="e">
        <f>IF(#REF!,"AAAAAB2d+5I=",0)</f>
        <v>#REF!</v>
      </c>
      <c r="ER178" t="e">
        <f>IF(#REF!,"AAAAAB2d+5M=",0)</f>
        <v>#REF!</v>
      </c>
      <c r="ES178" t="e">
        <f>IF(#REF!,"AAAAAB2d+5Q=",0)</f>
        <v>#REF!</v>
      </c>
      <c r="ET178" t="e">
        <f>IF(#REF!,"AAAAAB2d+5U=",0)</f>
        <v>#REF!</v>
      </c>
      <c r="EU178" t="e">
        <f>IF(#REF!,"AAAAAB2d+5Y=",0)</f>
        <v>#REF!</v>
      </c>
      <c r="EV178" t="e">
        <f>IF(#REF!,"AAAAAB2d+5c=",0)</f>
        <v>#REF!</v>
      </c>
      <c r="EW178" t="e">
        <f>IF(#REF!,"AAAAAB2d+5g=",0)</f>
        <v>#REF!</v>
      </c>
      <c r="EX178" t="e">
        <f>IF(#REF!,"AAAAAB2d+5k=",0)</f>
        <v>#REF!</v>
      </c>
      <c r="EY178" t="e">
        <f>IF(#REF!,"AAAAAB2d+5o=",0)</f>
        <v>#REF!</v>
      </c>
      <c r="EZ178" t="e">
        <f>IF(#REF!,"AAAAAB2d+5s=",0)</f>
        <v>#REF!</v>
      </c>
      <c r="FA178" t="e">
        <f>IF(#REF!,"AAAAAB2d+5w=",0)</f>
        <v>#REF!</v>
      </c>
      <c r="FB178" t="e">
        <f>IF(#REF!,"AAAAAB2d+50=",0)</f>
        <v>#REF!</v>
      </c>
      <c r="FC178" t="e">
        <f>IF(#REF!,"AAAAAB2d+54=",0)</f>
        <v>#REF!</v>
      </c>
      <c r="FD178" t="e">
        <f>IF(#REF!,"AAAAAB2d+58=",0)</f>
        <v>#REF!</v>
      </c>
      <c r="FE178" t="e">
        <f>IF(#REF!,"AAAAAB2d+6A=",0)</f>
        <v>#REF!</v>
      </c>
      <c r="FF178" t="e">
        <f>IF(#REF!,"AAAAAB2d+6E=",0)</f>
        <v>#REF!</v>
      </c>
      <c r="FG178" t="e">
        <f>IF(#REF!,"AAAAAB2d+6I=",0)</f>
        <v>#REF!</v>
      </c>
      <c r="FH178" t="e">
        <f>IF(#REF!,"AAAAAB2d+6M=",0)</f>
        <v>#REF!</v>
      </c>
      <c r="FI178" t="e">
        <f>IF(#REF!,"AAAAAB2d+6Q=",0)</f>
        <v>#REF!</v>
      </c>
      <c r="FJ178" t="e">
        <f>IF(#REF!,"AAAAAB2d+6U=",0)</f>
        <v>#REF!</v>
      </c>
      <c r="FK178" t="e">
        <f>IF(#REF!,"AAAAAB2d+6Y=",0)</f>
        <v>#REF!</v>
      </c>
      <c r="FL178" t="e">
        <f>IF(#REF!,"AAAAAB2d+6c=",0)</f>
        <v>#REF!</v>
      </c>
      <c r="FM178" t="e">
        <f>IF(#REF!,"AAAAAB2d+6g=",0)</f>
        <v>#REF!</v>
      </c>
      <c r="FN178" t="e">
        <f>IF(#REF!,"AAAAAB2d+6k=",0)</f>
        <v>#REF!</v>
      </c>
      <c r="FO178" t="e">
        <f>IF(#REF!,"AAAAAB2d+6o=",0)</f>
        <v>#REF!</v>
      </c>
      <c r="FP178" t="e">
        <f>IF(#REF!,"AAAAAB2d+6s=",0)</f>
        <v>#REF!</v>
      </c>
      <c r="FQ178" t="e">
        <f>IF(#REF!,"AAAAAB2d+6w=",0)</f>
        <v>#REF!</v>
      </c>
      <c r="FR178" t="e">
        <f>IF(#REF!,"AAAAAB2d+60=",0)</f>
        <v>#REF!</v>
      </c>
      <c r="FS178" t="e">
        <f>IF(#REF!,"AAAAAB2d+64=",0)</f>
        <v>#REF!</v>
      </c>
      <c r="FT178" t="e">
        <f>IF(#REF!,"AAAAAB2d+68=",0)</f>
        <v>#REF!</v>
      </c>
      <c r="FU178" t="e">
        <f>IF(#REF!,"AAAAAB2d+7A=",0)</f>
        <v>#REF!</v>
      </c>
      <c r="FV178" t="e">
        <f>IF(#REF!,"AAAAAB2d+7E=",0)</f>
        <v>#REF!</v>
      </c>
      <c r="FW178" t="e">
        <f>IF(#REF!,"AAAAAB2d+7I=",0)</f>
        <v>#REF!</v>
      </c>
      <c r="FX178" t="e">
        <f>IF(#REF!,"AAAAAB2d+7M=",0)</f>
        <v>#REF!</v>
      </c>
      <c r="FY178" t="e">
        <f>IF(#REF!,"AAAAAB2d+7Q=",0)</f>
        <v>#REF!</v>
      </c>
      <c r="FZ178" t="e">
        <f>IF(#REF!,"AAAAAB2d+7U=",0)</f>
        <v>#REF!</v>
      </c>
      <c r="GA178" t="e">
        <f>IF(#REF!,"AAAAAB2d+7Y=",0)</f>
        <v>#REF!</v>
      </c>
      <c r="GB178" t="e">
        <f>IF(#REF!,"AAAAAB2d+7c=",0)</f>
        <v>#REF!</v>
      </c>
      <c r="GC178" t="e">
        <f>IF(#REF!,"AAAAAB2d+7g=",0)</f>
        <v>#REF!</v>
      </c>
      <c r="GD178" t="e">
        <f>IF(#REF!,"AAAAAB2d+7k=",0)</f>
        <v>#REF!</v>
      </c>
      <c r="GE178" t="e">
        <f>IF(#REF!,"AAAAAB2d+7o=",0)</f>
        <v>#REF!</v>
      </c>
      <c r="GF178" t="e">
        <f>IF(#REF!,"AAAAAB2d+7s=",0)</f>
        <v>#REF!</v>
      </c>
      <c r="GG178" t="e">
        <f>IF(#REF!,"AAAAAB2d+7w=",0)</f>
        <v>#REF!</v>
      </c>
      <c r="GH178" t="e">
        <f>IF(#REF!,"AAAAAB2d+70=",0)</f>
        <v>#REF!</v>
      </c>
      <c r="GI178" t="e">
        <f>IF(#REF!,"AAAAAB2d+74=",0)</f>
        <v>#REF!</v>
      </c>
      <c r="GJ178" t="e">
        <f>IF(#REF!,"AAAAAB2d+78=",0)</f>
        <v>#REF!</v>
      </c>
      <c r="GK178" t="e">
        <f>IF(#REF!,"AAAAAB2d+8A=",0)</f>
        <v>#REF!</v>
      </c>
      <c r="GL178" t="e">
        <f>IF(#REF!,"AAAAAB2d+8E=",0)</f>
        <v>#REF!</v>
      </c>
      <c r="GM178" t="e">
        <f>IF(#REF!,"AAAAAB2d+8I=",0)</f>
        <v>#REF!</v>
      </c>
      <c r="GN178" t="e">
        <f>IF(#REF!,"AAAAAB2d+8M=",0)</f>
        <v>#REF!</v>
      </c>
      <c r="GO178" t="e">
        <f>IF(#REF!,"AAAAAB2d+8Q=",0)</f>
        <v>#REF!</v>
      </c>
      <c r="GP178" t="e">
        <f>IF(#REF!,"AAAAAB2d+8U=",0)</f>
        <v>#REF!</v>
      </c>
      <c r="GQ178" t="e">
        <f>IF(#REF!,"AAAAAB2d+8Y=",0)</f>
        <v>#REF!</v>
      </c>
      <c r="GR178" t="e">
        <f>IF(#REF!,"AAAAAB2d+8c=",0)</f>
        <v>#REF!</v>
      </c>
      <c r="GS178" t="e">
        <f>IF(#REF!,"AAAAAB2d+8g=",0)</f>
        <v>#REF!</v>
      </c>
      <c r="GT178" t="e">
        <f>IF(#REF!,"AAAAAB2d+8k=",0)</f>
        <v>#REF!</v>
      </c>
      <c r="GU178" t="e">
        <f>IF(#REF!,"AAAAAB2d+8o=",0)</f>
        <v>#REF!</v>
      </c>
      <c r="GV178" t="e">
        <f>IF(#REF!,"AAAAAB2d+8s=",0)</f>
        <v>#REF!</v>
      </c>
      <c r="GW178" t="e">
        <f>IF(#REF!,"AAAAAB2d+8w=",0)</f>
        <v>#REF!</v>
      </c>
      <c r="GX178" t="e">
        <f>IF(#REF!,"AAAAAB2d+80=",0)</f>
        <v>#REF!</v>
      </c>
      <c r="GY178" t="e">
        <f>IF(#REF!,"AAAAAB2d+84=",0)</f>
        <v>#REF!</v>
      </c>
      <c r="GZ178" t="e">
        <f>IF(#REF!,"AAAAAB2d+88=",0)</f>
        <v>#REF!</v>
      </c>
      <c r="HA178" t="e">
        <f>IF(#REF!,"AAAAAB2d+9A=",0)</f>
        <v>#REF!</v>
      </c>
      <c r="HB178" t="e">
        <f>IF(#REF!,"AAAAAB2d+9E=",0)</f>
        <v>#REF!</v>
      </c>
      <c r="HC178" t="e">
        <f>IF(#REF!,"AAAAAB2d+9I=",0)</f>
        <v>#REF!</v>
      </c>
      <c r="HD178" t="e">
        <f>IF(#REF!,"AAAAAB2d+9M=",0)</f>
        <v>#REF!</v>
      </c>
      <c r="HE178" t="e">
        <f>IF(#REF!,"AAAAAB2d+9Q=",0)</f>
        <v>#REF!</v>
      </c>
      <c r="HF178" t="e">
        <f>IF(#REF!,"AAAAAB2d+9U=",0)</f>
        <v>#REF!</v>
      </c>
      <c r="HG178" t="e">
        <f>IF(#REF!,"AAAAAB2d+9Y=",0)</f>
        <v>#REF!</v>
      </c>
      <c r="HH178" t="e">
        <f>IF(#REF!,"AAAAAB2d+9c=",0)</f>
        <v>#REF!</v>
      </c>
      <c r="HI178" t="e">
        <f>IF(#REF!,"AAAAAB2d+9g=",0)</f>
        <v>#REF!</v>
      </c>
      <c r="HJ178" t="e">
        <f>IF(#REF!,"AAAAAB2d+9k=",0)</f>
        <v>#REF!</v>
      </c>
      <c r="HK178" t="e">
        <f>IF(#REF!,"AAAAAB2d+9o=",0)</f>
        <v>#REF!</v>
      </c>
      <c r="HL178" t="e">
        <f>IF(#REF!,"AAAAAB2d+9s=",0)</f>
        <v>#REF!</v>
      </c>
      <c r="HM178" t="e">
        <f>IF(#REF!,"AAAAAB2d+9w=",0)</f>
        <v>#REF!</v>
      </c>
      <c r="HN178" t="e">
        <f>IF(#REF!,"AAAAAB2d+90=",0)</f>
        <v>#REF!</v>
      </c>
      <c r="HO178" t="e">
        <f>IF(#REF!,"AAAAAB2d+94=",0)</f>
        <v>#REF!</v>
      </c>
      <c r="HP178" t="e">
        <f>IF(#REF!,"AAAAAB2d+98=",0)</f>
        <v>#REF!</v>
      </c>
      <c r="HQ178" t="e">
        <f>IF(#REF!,"AAAAAB2d++A=",0)</f>
        <v>#REF!</v>
      </c>
      <c r="HR178" t="e">
        <f>IF(#REF!,"AAAAAB2d++E=",0)</f>
        <v>#REF!</v>
      </c>
      <c r="HS178" t="e">
        <f>IF(#REF!,"AAAAAB2d++I=",0)</f>
        <v>#REF!</v>
      </c>
      <c r="HT178" t="e">
        <f>IF(#REF!,"AAAAAB2d++M=",0)</f>
        <v>#REF!</v>
      </c>
      <c r="HU178" t="e">
        <f>IF(#REF!,"AAAAAB2d++Q=",0)</f>
        <v>#REF!</v>
      </c>
      <c r="HV178" t="e">
        <f>IF(#REF!,"AAAAAB2d++U=",0)</f>
        <v>#REF!</v>
      </c>
      <c r="HW178" t="e">
        <f>IF(#REF!,"AAAAAB2d++Y=",0)</f>
        <v>#REF!</v>
      </c>
      <c r="HX178" t="e">
        <f>IF(#REF!,"AAAAAB2d++c=",0)</f>
        <v>#REF!</v>
      </c>
      <c r="HY178" t="e">
        <f>IF(#REF!,"AAAAAB2d++g=",0)</f>
        <v>#REF!</v>
      </c>
      <c r="HZ178" t="e">
        <f>IF(#REF!,"AAAAAB2d++k=",0)</f>
        <v>#REF!</v>
      </c>
      <c r="IA178" t="e">
        <f>IF(#REF!,"AAAAAB2d++o=",0)</f>
        <v>#REF!</v>
      </c>
      <c r="IB178" t="e">
        <f>IF(#REF!,"AAAAAB2d++s=",0)</f>
        <v>#REF!</v>
      </c>
      <c r="IC178" t="e">
        <f>IF(#REF!,"AAAAAB2d++w=",0)</f>
        <v>#REF!</v>
      </c>
      <c r="ID178" t="e">
        <f>IF(#REF!,"AAAAAB2d++0=",0)</f>
        <v>#REF!</v>
      </c>
      <c r="IE178" t="e">
        <f>IF(#REF!,"AAAAAB2d++4=",0)</f>
        <v>#REF!</v>
      </c>
      <c r="IF178" t="e">
        <f>IF(#REF!,"AAAAAB2d++8=",0)</f>
        <v>#REF!</v>
      </c>
      <c r="IG178" t="e">
        <f>IF(#REF!,"AAAAAB2d+/A=",0)</f>
        <v>#REF!</v>
      </c>
      <c r="IH178" t="e">
        <f>IF(#REF!,"AAAAAB2d+/E=",0)</f>
        <v>#REF!</v>
      </c>
      <c r="II178" t="e">
        <f>IF(#REF!,"AAAAAB2d+/I=",0)</f>
        <v>#REF!</v>
      </c>
      <c r="IJ178" t="e">
        <f>IF(#REF!,"AAAAAB2d+/M=",0)</f>
        <v>#REF!</v>
      </c>
      <c r="IK178" t="e">
        <f>IF(#REF!,"AAAAAB2d+/Q=",0)</f>
        <v>#REF!</v>
      </c>
      <c r="IL178" t="e">
        <f>IF(#REF!,"AAAAAB2d+/U=",0)</f>
        <v>#REF!</v>
      </c>
      <c r="IM178" t="e">
        <f>IF(#REF!,"AAAAAB2d+/Y=",0)</f>
        <v>#REF!</v>
      </c>
      <c r="IN178" t="e">
        <f>IF(#REF!,"AAAAAB2d+/c=",0)</f>
        <v>#REF!</v>
      </c>
      <c r="IO178" t="e">
        <f>IF(#REF!,"AAAAAB2d+/g=",0)</f>
        <v>#REF!</v>
      </c>
      <c r="IP178" t="e">
        <f>IF(#REF!,"AAAAAB2d+/k=",0)</f>
        <v>#REF!</v>
      </c>
      <c r="IQ178" t="e">
        <f>IF(#REF!,"AAAAAB2d+/o=",0)</f>
        <v>#REF!</v>
      </c>
      <c r="IR178" t="e">
        <f>IF(#REF!,"AAAAAB2d+/s=",0)</f>
        <v>#REF!</v>
      </c>
      <c r="IS178" t="e">
        <f>IF(#REF!,"AAAAAB2d+/w=",0)</f>
        <v>#REF!</v>
      </c>
      <c r="IT178" t="e">
        <f>IF(#REF!,"AAAAAB2d+/0=",0)</f>
        <v>#REF!</v>
      </c>
      <c r="IU178" t="e">
        <f>IF(#REF!,"AAAAAB2d+/4=",0)</f>
        <v>#REF!</v>
      </c>
      <c r="IV178" t="e">
        <f>IF(#REF!,"AAAAAB2d+/8=",0)</f>
        <v>#REF!</v>
      </c>
    </row>
    <row r="179" spans="1:256">
      <c r="A179" t="e">
        <f>IF(#REF!,"AAAAAD8+rwA=",0)</f>
        <v>#REF!</v>
      </c>
      <c r="B179" t="e">
        <f>IF(#REF!,"AAAAAD8+rwE=",0)</f>
        <v>#REF!</v>
      </c>
      <c r="C179" t="e">
        <f>IF(#REF!,"AAAAAD8+rwI=",0)</f>
        <v>#REF!</v>
      </c>
      <c r="D179" t="e">
        <f>IF(#REF!,"AAAAAD8+rwM=",0)</f>
        <v>#REF!</v>
      </c>
      <c r="E179" t="e">
        <f>IF(#REF!,"AAAAAD8+rwQ=",0)</f>
        <v>#REF!</v>
      </c>
      <c r="F179" t="e">
        <f>IF(#REF!,"AAAAAD8+rwU=",0)</f>
        <v>#REF!</v>
      </c>
      <c r="G179" t="e">
        <f>IF(#REF!,"AAAAAD8+rwY=",0)</f>
        <v>#REF!</v>
      </c>
      <c r="H179" t="e">
        <f>IF(#REF!,"AAAAAD8+rwc=",0)</f>
        <v>#REF!</v>
      </c>
      <c r="I179" t="e">
        <f>IF(#REF!,"AAAAAD8+rwg=",0)</f>
        <v>#REF!</v>
      </c>
      <c r="J179" t="e">
        <f>IF(#REF!,"AAAAAD8+rwk=",0)</f>
        <v>#REF!</v>
      </c>
      <c r="K179" t="e">
        <f>IF(#REF!,"AAAAAD8+rwo=",0)</f>
        <v>#REF!</v>
      </c>
      <c r="L179" t="e">
        <f>IF(#REF!,"AAAAAD8+rws=",0)</f>
        <v>#REF!</v>
      </c>
      <c r="M179" t="e">
        <f>IF(#REF!,"AAAAAD8+rww=",0)</f>
        <v>#REF!</v>
      </c>
      <c r="N179" t="e">
        <f>IF(#REF!,"AAAAAD8+rw0=",0)</f>
        <v>#REF!</v>
      </c>
      <c r="O179" t="e">
        <f>IF(#REF!,"AAAAAD8+rw4=",0)</f>
        <v>#REF!</v>
      </c>
      <c r="P179" t="e">
        <f>IF(#REF!,"AAAAAD8+rw8=",0)</f>
        <v>#REF!</v>
      </c>
      <c r="Q179" t="e">
        <f>IF(#REF!,"AAAAAD8+rxA=",0)</f>
        <v>#REF!</v>
      </c>
      <c r="R179" t="e">
        <f>IF(#REF!,"AAAAAD8+rxE=",0)</f>
        <v>#REF!</v>
      </c>
      <c r="S179" t="e">
        <f>IF(#REF!,"AAAAAD8+rxI=",0)</f>
        <v>#REF!</v>
      </c>
      <c r="T179" t="e">
        <f>IF(#REF!,"AAAAAD8+rxM=",0)</f>
        <v>#REF!</v>
      </c>
      <c r="U179" t="e">
        <f>IF(#REF!,"AAAAAD8+rxQ=",0)</f>
        <v>#REF!</v>
      </c>
      <c r="V179" t="e">
        <f>IF(#REF!,"AAAAAD8+rxU=",0)</f>
        <v>#REF!</v>
      </c>
      <c r="W179" t="e">
        <f>IF(#REF!,"AAAAAD8+rxY=",0)</f>
        <v>#REF!</v>
      </c>
      <c r="X179" t="e">
        <f>IF(#REF!,"AAAAAD8+rxc=",0)</f>
        <v>#REF!</v>
      </c>
      <c r="Y179" t="e">
        <f>IF(#REF!,"AAAAAD8+rxg=",0)</f>
        <v>#REF!</v>
      </c>
      <c r="Z179" t="e">
        <f>IF(#REF!,"AAAAAD8+rxk=",0)</f>
        <v>#REF!</v>
      </c>
      <c r="AA179" t="e">
        <f>IF(#REF!,"AAAAAD8+rxo=",0)</f>
        <v>#REF!</v>
      </c>
      <c r="AB179" t="e">
        <f>IF(#REF!,"AAAAAD8+rxs=",0)</f>
        <v>#REF!</v>
      </c>
      <c r="AC179" t="e">
        <f>IF(#REF!,"AAAAAD8+rxw=",0)</f>
        <v>#REF!</v>
      </c>
      <c r="AD179" t="e">
        <f>IF(#REF!,"AAAAAD8+rx0=",0)</f>
        <v>#REF!</v>
      </c>
      <c r="AE179" t="e">
        <f>IF(#REF!,"AAAAAD8+rx4=",0)</f>
        <v>#REF!</v>
      </c>
      <c r="AF179" t="e">
        <f>IF(#REF!,"AAAAAD8+rx8=",0)</f>
        <v>#REF!</v>
      </c>
      <c r="AG179" t="e">
        <f>IF(#REF!,"AAAAAD8+ryA=",0)</f>
        <v>#REF!</v>
      </c>
      <c r="AH179" t="e">
        <f>IF(#REF!,"AAAAAD8+ryE=",0)</f>
        <v>#REF!</v>
      </c>
      <c r="AI179" t="e">
        <f>IF(#REF!,"AAAAAD8+ryI=",0)</f>
        <v>#REF!</v>
      </c>
      <c r="AJ179" t="e">
        <f>IF(#REF!,"AAAAAD8+ryM=",0)</f>
        <v>#REF!</v>
      </c>
      <c r="AK179" t="e">
        <f>IF(#REF!,"AAAAAD8+ryQ=",0)</f>
        <v>#REF!</v>
      </c>
      <c r="AL179" t="e">
        <f>IF(#REF!,"AAAAAD8+ryU=",0)</f>
        <v>#REF!</v>
      </c>
      <c r="AM179" t="e">
        <f>IF(#REF!,"AAAAAD8+ryY=",0)</f>
        <v>#REF!</v>
      </c>
      <c r="AN179" t="e">
        <f>IF(#REF!,"AAAAAD8+ryc=",0)</f>
        <v>#REF!</v>
      </c>
      <c r="AO179" t="e">
        <f>IF(#REF!,"AAAAAD8+ryg=",0)</f>
        <v>#REF!</v>
      </c>
      <c r="AP179" t="e">
        <f>IF(#REF!,"AAAAAD8+ryk=",0)</f>
        <v>#REF!</v>
      </c>
      <c r="AQ179" t="e">
        <f>IF(#REF!,"AAAAAD8+ryo=",0)</f>
        <v>#REF!</v>
      </c>
      <c r="AR179" t="e">
        <f>IF(#REF!,"AAAAAD8+rys=",0)</f>
        <v>#REF!</v>
      </c>
      <c r="AS179" t="e">
        <f>IF(#REF!,"AAAAAD8+ryw=",0)</f>
        <v>#REF!</v>
      </c>
      <c r="AT179" t="e">
        <f>IF(#REF!,"AAAAAD8+ry0=",0)</f>
        <v>#REF!</v>
      </c>
      <c r="AU179" t="e">
        <f>IF(#REF!,"AAAAAD8+ry4=",0)</f>
        <v>#REF!</v>
      </c>
      <c r="AV179" t="e">
        <f>IF(#REF!,"AAAAAD8+ry8=",0)</f>
        <v>#REF!</v>
      </c>
      <c r="AW179" t="e">
        <f>IF(#REF!,"AAAAAD8+rzA=",0)</f>
        <v>#REF!</v>
      </c>
      <c r="AX179" t="e">
        <f>IF(#REF!,"AAAAAD8+rzE=",0)</f>
        <v>#REF!</v>
      </c>
      <c r="AY179" t="e">
        <f>IF(#REF!,"AAAAAD8+rzI=",0)</f>
        <v>#REF!</v>
      </c>
      <c r="AZ179" t="e">
        <f>IF(#REF!,"AAAAAD8+rzM=",0)</f>
        <v>#REF!</v>
      </c>
      <c r="BA179" t="e">
        <f>IF(#REF!,"AAAAAD8+rzQ=",0)</f>
        <v>#REF!</v>
      </c>
      <c r="BB179" t="e">
        <f>IF(#REF!,"AAAAAD8+rzU=",0)</f>
        <v>#REF!</v>
      </c>
      <c r="BC179" t="e">
        <f>IF(#REF!,"AAAAAD8+rzY=",0)</f>
        <v>#REF!</v>
      </c>
      <c r="BD179" t="e">
        <f>IF(#REF!,"AAAAAD8+rzc=",0)</f>
        <v>#REF!</v>
      </c>
      <c r="BE179" t="e">
        <f>IF(#REF!,"AAAAAD8+rzg=",0)</f>
        <v>#REF!</v>
      </c>
      <c r="BF179" t="e">
        <f>IF(#REF!,"AAAAAD8+rzk=",0)</f>
        <v>#REF!</v>
      </c>
      <c r="BG179" t="e">
        <f>IF(#REF!,"AAAAAD8+rzo=",0)</f>
        <v>#REF!</v>
      </c>
      <c r="BH179" t="e">
        <f>IF(#REF!,"AAAAAD8+rzs=",0)</f>
        <v>#REF!</v>
      </c>
      <c r="BI179" t="e">
        <f>IF(#REF!,"AAAAAD8+rzw=",0)</f>
        <v>#REF!</v>
      </c>
      <c r="BJ179" t="e">
        <f>IF(#REF!,"AAAAAD8+rz0=",0)</f>
        <v>#REF!</v>
      </c>
      <c r="BK179" t="e">
        <f>IF(#REF!,"AAAAAD8+rz4=",0)</f>
        <v>#REF!</v>
      </c>
      <c r="BL179" t="e">
        <f>IF(#REF!,"AAAAAD8+rz8=",0)</f>
        <v>#REF!</v>
      </c>
      <c r="BM179" t="e">
        <f>IF(#REF!,"AAAAAD8+r0A=",0)</f>
        <v>#REF!</v>
      </c>
      <c r="BN179" t="e">
        <f>IF(#REF!,"AAAAAD8+r0E=",0)</f>
        <v>#REF!</v>
      </c>
      <c r="BO179" t="e">
        <f>IF(#REF!,"AAAAAD8+r0I=",0)</f>
        <v>#REF!</v>
      </c>
      <c r="BP179" t="e">
        <f>IF(#REF!,"AAAAAD8+r0M=",0)</f>
        <v>#REF!</v>
      </c>
      <c r="BQ179" t="e">
        <f>IF(#REF!,"AAAAAD8+r0Q=",0)</f>
        <v>#REF!</v>
      </c>
      <c r="BR179" t="e">
        <f>IF(#REF!,"AAAAAD8+r0U=",0)</f>
        <v>#REF!</v>
      </c>
      <c r="BS179" t="e">
        <f>IF(#REF!,"AAAAAD8+r0Y=",0)</f>
        <v>#REF!</v>
      </c>
      <c r="BT179" t="e">
        <f>IF(#REF!,"AAAAAD8+r0c=",0)</f>
        <v>#REF!</v>
      </c>
      <c r="BU179" t="e">
        <f>IF(#REF!,"AAAAAD8+r0g=",0)</f>
        <v>#REF!</v>
      </c>
      <c r="BV179" t="e">
        <f>IF(#REF!,"AAAAAD8+r0k=",0)</f>
        <v>#REF!</v>
      </c>
      <c r="BW179" t="e">
        <f>IF(#REF!,"AAAAAD8+r0o=",0)</f>
        <v>#REF!</v>
      </c>
      <c r="BX179" t="e">
        <f>IF(#REF!,"AAAAAD8+r0s=",0)</f>
        <v>#REF!</v>
      </c>
      <c r="BY179" t="e">
        <f>IF(#REF!,"AAAAAD8+r0w=",0)</f>
        <v>#REF!</v>
      </c>
      <c r="BZ179" t="e">
        <f>IF(#REF!,"AAAAAD8+r00=",0)</f>
        <v>#REF!</v>
      </c>
      <c r="CA179" t="e">
        <f>IF(#REF!,"AAAAAD8+r04=",0)</f>
        <v>#REF!</v>
      </c>
      <c r="CB179" t="e">
        <f>IF(#REF!,"AAAAAD8+r08=",0)</f>
        <v>#REF!</v>
      </c>
      <c r="CC179" t="e">
        <f>IF(#REF!,"AAAAAD8+r1A=",0)</f>
        <v>#REF!</v>
      </c>
      <c r="CD179" t="e">
        <f>IF(#REF!,"AAAAAD8+r1E=",0)</f>
        <v>#REF!</v>
      </c>
      <c r="CE179" t="e">
        <f>IF(#REF!,"AAAAAD8+r1I=",0)</f>
        <v>#REF!</v>
      </c>
      <c r="CF179" t="e">
        <f>IF(#REF!,"AAAAAD8+r1M=",0)</f>
        <v>#REF!</v>
      </c>
      <c r="CG179" t="e">
        <f>IF(#REF!,"AAAAAD8+r1Q=",0)</f>
        <v>#REF!</v>
      </c>
      <c r="CH179" t="e">
        <f>IF(#REF!,"AAAAAD8+r1U=",0)</f>
        <v>#REF!</v>
      </c>
      <c r="CI179" t="e">
        <f>IF(#REF!,"AAAAAD8+r1Y=",0)</f>
        <v>#REF!</v>
      </c>
      <c r="CJ179" t="e">
        <f>IF(#REF!,"AAAAAD8+r1c=",0)</f>
        <v>#REF!</v>
      </c>
      <c r="CK179" t="e">
        <f>IF(#REF!,"AAAAAD8+r1g=",0)</f>
        <v>#REF!</v>
      </c>
      <c r="CL179" t="e">
        <f>IF(#REF!,"AAAAAD8+r1k=",0)</f>
        <v>#REF!</v>
      </c>
      <c r="CM179" t="e">
        <f>IF(#REF!,"AAAAAD8+r1o=",0)</f>
        <v>#REF!</v>
      </c>
      <c r="CN179" t="e">
        <f>IF(#REF!,"AAAAAD8+r1s=",0)</f>
        <v>#REF!</v>
      </c>
      <c r="CO179" t="e">
        <f>IF(#REF!,"AAAAAD8+r1w=",0)</f>
        <v>#REF!</v>
      </c>
      <c r="CP179" t="e">
        <f>IF(#REF!,"AAAAAD8+r10=",0)</f>
        <v>#REF!</v>
      </c>
      <c r="CQ179" t="e">
        <f>IF(#REF!,"AAAAAD8+r14=",0)</f>
        <v>#REF!</v>
      </c>
      <c r="CR179" t="e">
        <f>IF(#REF!,"AAAAAD8+r18=",0)</f>
        <v>#REF!</v>
      </c>
      <c r="CS179" t="e">
        <f>IF(#REF!,"AAAAAD8+r2A=",0)</f>
        <v>#REF!</v>
      </c>
      <c r="CT179" t="e">
        <f>IF(#REF!,"AAAAAD8+r2E=",0)</f>
        <v>#REF!</v>
      </c>
      <c r="CU179" t="e">
        <f>IF(#REF!,"AAAAAD8+r2I=",0)</f>
        <v>#REF!</v>
      </c>
      <c r="CV179" t="e">
        <f>IF(#REF!,"AAAAAD8+r2M=",0)</f>
        <v>#REF!</v>
      </c>
      <c r="CW179" t="e">
        <f>IF(#REF!,"AAAAAD8+r2Q=",0)</f>
        <v>#REF!</v>
      </c>
      <c r="CX179" t="e">
        <f>IF(#REF!,"AAAAAD8+r2U=",0)</f>
        <v>#REF!</v>
      </c>
      <c r="CY179" t="e">
        <f>IF(#REF!,"AAAAAD8+r2Y=",0)</f>
        <v>#REF!</v>
      </c>
      <c r="CZ179" t="e">
        <f>IF(#REF!,"AAAAAD8+r2c=",0)</f>
        <v>#REF!</v>
      </c>
      <c r="DA179" t="e">
        <f>IF(#REF!,"AAAAAD8+r2g=",0)</f>
        <v>#REF!</v>
      </c>
      <c r="DB179" t="e">
        <f>IF(#REF!,"AAAAAD8+r2k=",0)</f>
        <v>#REF!</v>
      </c>
      <c r="DC179" t="e">
        <f>IF(#REF!,"AAAAAD8+r2o=",0)</f>
        <v>#REF!</v>
      </c>
      <c r="DD179" t="e">
        <f>IF(#REF!,"AAAAAD8+r2s=",0)</f>
        <v>#REF!</v>
      </c>
      <c r="DE179" t="e">
        <f>IF(#REF!,"AAAAAD8+r2w=",0)</f>
        <v>#REF!</v>
      </c>
      <c r="DF179" t="e">
        <f>IF(#REF!,"AAAAAD8+r20=",0)</f>
        <v>#REF!</v>
      </c>
      <c r="DG179" t="e">
        <f>IF(#REF!,"AAAAAD8+r24=",0)</f>
        <v>#REF!</v>
      </c>
      <c r="DH179" t="e">
        <f>IF(#REF!,"AAAAAD8+r28=",0)</f>
        <v>#REF!</v>
      </c>
      <c r="DI179" t="e">
        <f>IF(#REF!,"AAAAAD8+r3A=",0)</f>
        <v>#REF!</v>
      </c>
      <c r="DJ179" t="e">
        <f>IF(#REF!,"AAAAAD8+r3E=",0)</f>
        <v>#REF!</v>
      </c>
      <c r="DK179" t="e">
        <f>IF(#REF!,"AAAAAD8+r3I=",0)</f>
        <v>#REF!</v>
      </c>
      <c r="DL179" t="e">
        <f>IF(#REF!,"AAAAAD8+r3M=",0)</f>
        <v>#REF!</v>
      </c>
      <c r="DM179" t="e">
        <f>IF(#REF!,"AAAAAD8+r3Q=",0)</f>
        <v>#REF!</v>
      </c>
      <c r="DN179" t="e">
        <f>IF(#REF!,"AAAAAD8+r3U=",0)</f>
        <v>#REF!</v>
      </c>
      <c r="DO179" t="e">
        <f>IF(#REF!,"AAAAAD8+r3Y=",0)</f>
        <v>#REF!</v>
      </c>
      <c r="DP179" t="e">
        <f>IF(#REF!,"AAAAAD8+r3c=",0)</f>
        <v>#REF!</v>
      </c>
      <c r="DQ179" t="e">
        <f>IF(#REF!,"AAAAAD8+r3g=",0)</f>
        <v>#REF!</v>
      </c>
      <c r="DR179" t="e">
        <f>IF(#REF!,"AAAAAD8+r3k=",0)</f>
        <v>#REF!</v>
      </c>
      <c r="DS179" t="e">
        <f>IF(#REF!,"AAAAAD8+r3o=",0)</f>
        <v>#REF!</v>
      </c>
      <c r="DT179" t="e">
        <f>IF(#REF!,"AAAAAD8+r3s=",0)</f>
        <v>#REF!</v>
      </c>
      <c r="DU179" t="e">
        <f>IF(#REF!,"AAAAAD8+r3w=",0)</f>
        <v>#REF!</v>
      </c>
      <c r="DV179" t="e">
        <f>IF(#REF!,"AAAAAD8+r30=",0)</f>
        <v>#REF!</v>
      </c>
      <c r="DW179" t="e">
        <f>IF(#REF!,"AAAAAD8+r34=",0)</f>
        <v>#REF!</v>
      </c>
      <c r="DX179" t="e">
        <f>IF(#REF!,"AAAAAD8+r38=",0)</f>
        <v>#REF!</v>
      </c>
      <c r="DY179" t="e">
        <f>IF(#REF!,"AAAAAD8+r4A=",0)</f>
        <v>#REF!</v>
      </c>
      <c r="DZ179" t="e">
        <f>IF(#REF!,"AAAAAD8+r4E=",0)</f>
        <v>#REF!</v>
      </c>
      <c r="EA179" t="e">
        <f>IF(#REF!,"AAAAAD8+r4I=",0)</f>
        <v>#REF!</v>
      </c>
      <c r="EB179" t="e">
        <f>IF(#REF!,"AAAAAD8+r4M=",0)</f>
        <v>#REF!</v>
      </c>
      <c r="EC179" t="e">
        <f>IF(#REF!,"AAAAAD8+r4Q=",0)</f>
        <v>#REF!</v>
      </c>
      <c r="ED179" t="e">
        <f>IF(#REF!,"AAAAAD8+r4U=",0)</f>
        <v>#REF!</v>
      </c>
      <c r="EE179" t="e">
        <f>IF(#REF!,"AAAAAD8+r4Y=",0)</f>
        <v>#REF!</v>
      </c>
      <c r="EF179" t="e">
        <f>IF(#REF!,"AAAAAD8+r4c=",0)</f>
        <v>#REF!</v>
      </c>
      <c r="EG179" t="e">
        <f>IF(#REF!,"AAAAAD8+r4g=",0)</f>
        <v>#REF!</v>
      </c>
      <c r="EH179" t="e">
        <f>IF(#REF!,"AAAAAD8+r4k=",0)</f>
        <v>#REF!</v>
      </c>
      <c r="EI179" t="e">
        <f>IF(#REF!,"AAAAAD8+r4o=",0)</f>
        <v>#REF!</v>
      </c>
      <c r="EJ179" t="e">
        <f>IF(#REF!,"AAAAAD8+r4s=",0)</f>
        <v>#REF!</v>
      </c>
      <c r="EK179" t="e">
        <f>IF(#REF!,"AAAAAD8+r4w=",0)</f>
        <v>#REF!</v>
      </c>
      <c r="EL179" t="e">
        <f>IF(#REF!,"AAAAAD8+r40=",0)</f>
        <v>#REF!</v>
      </c>
      <c r="EM179" t="e">
        <f>IF(#REF!,"AAAAAD8+r44=",0)</f>
        <v>#REF!</v>
      </c>
      <c r="EN179" t="e">
        <f>IF(#REF!,"AAAAAD8+r48=",0)</f>
        <v>#REF!</v>
      </c>
      <c r="EO179" t="e">
        <f>IF(#REF!,"AAAAAD8+r5A=",0)</f>
        <v>#REF!</v>
      </c>
      <c r="EP179" t="e">
        <f>IF(#REF!,"AAAAAD8+r5E=",0)</f>
        <v>#REF!</v>
      </c>
      <c r="EQ179" t="e">
        <f>IF(#REF!,"AAAAAD8+r5I=",0)</f>
        <v>#REF!</v>
      </c>
      <c r="ER179" t="e">
        <f>IF(#REF!,"AAAAAD8+r5M=",0)</f>
        <v>#REF!</v>
      </c>
      <c r="ES179" t="e">
        <f>IF(#REF!,"AAAAAD8+r5Q=",0)</f>
        <v>#REF!</v>
      </c>
      <c r="ET179" t="e">
        <f>IF(#REF!,"AAAAAD8+r5U=",0)</f>
        <v>#REF!</v>
      </c>
      <c r="EU179" t="e">
        <f>IF(#REF!,"AAAAAD8+r5Y=",0)</f>
        <v>#REF!</v>
      </c>
      <c r="EV179" t="e">
        <f>IF(#REF!,"AAAAAD8+r5c=",0)</f>
        <v>#REF!</v>
      </c>
      <c r="EW179" t="e">
        <f>IF(#REF!,"AAAAAD8+r5g=",0)</f>
        <v>#REF!</v>
      </c>
      <c r="EX179" t="e">
        <f>IF(#REF!,"AAAAAD8+r5k=",0)</f>
        <v>#REF!</v>
      </c>
      <c r="EY179" t="e">
        <f>IF(#REF!,"AAAAAD8+r5o=",0)</f>
        <v>#REF!</v>
      </c>
      <c r="EZ179" t="e">
        <f>IF(#REF!,"AAAAAD8+r5s=",0)</f>
        <v>#REF!</v>
      </c>
      <c r="FA179" t="e">
        <f>IF(#REF!,"AAAAAD8+r5w=",0)</f>
        <v>#REF!</v>
      </c>
      <c r="FB179" t="e">
        <f>IF(#REF!,"AAAAAD8+r50=",0)</f>
        <v>#REF!</v>
      </c>
      <c r="FC179" t="e">
        <f>IF(#REF!,"AAAAAD8+r54=",0)</f>
        <v>#REF!</v>
      </c>
      <c r="FD179" t="e">
        <f>IF(#REF!,"AAAAAD8+r58=",0)</f>
        <v>#REF!</v>
      </c>
      <c r="FE179" t="e">
        <f>IF(#REF!,"AAAAAD8+r6A=",0)</f>
        <v>#REF!</v>
      </c>
      <c r="FF179" t="e">
        <f>IF(#REF!,"AAAAAD8+r6E=",0)</f>
        <v>#REF!</v>
      </c>
      <c r="FG179" t="e">
        <f>IF(#REF!,"AAAAAD8+r6I=",0)</f>
        <v>#REF!</v>
      </c>
      <c r="FH179" t="e">
        <f>IF(#REF!,"AAAAAD8+r6M=",0)</f>
        <v>#REF!</v>
      </c>
      <c r="FI179" t="e">
        <f>IF(#REF!,"AAAAAD8+r6Q=",0)</f>
        <v>#REF!</v>
      </c>
      <c r="FJ179" t="e">
        <f>IF(#REF!,"AAAAAD8+r6U=",0)</f>
        <v>#REF!</v>
      </c>
      <c r="FK179" t="e">
        <f>IF(#REF!,"AAAAAD8+r6Y=",0)</f>
        <v>#REF!</v>
      </c>
      <c r="FL179" t="e">
        <f>IF(#REF!,"AAAAAD8+r6c=",0)</f>
        <v>#REF!</v>
      </c>
      <c r="FM179" t="e">
        <f>IF(#REF!,"AAAAAD8+r6g=",0)</f>
        <v>#REF!</v>
      </c>
      <c r="FN179" t="e">
        <f>IF(#REF!,"AAAAAD8+r6k=",0)</f>
        <v>#REF!</v>
      </c>
      <c r="FO179" t="e">
        <f>IF(#REF!,"AAAAAD8+r6o=",0)</f>
        <v>#REF!</v>
      </c>
      <c r="FP179" t="e">
        <f>IF(#REF!,"AAAAAD8+r6s=",0)</f>
        <v>#REF!</v>
      </c>
      <c r="FQ179" t="e">
        <f>IF(#REF!,"AAAAAD8+r6w=",0)</f>
        <v>#REF!</v>
      </c>
      <c r="FR179" t="e">
        <f>IF(#REF!,"AAAAAD8+r60=",0)</f>
        <v>#REF!</v>
      </c>
      <c r="FS179" t="e">
        <f>IF(#REF!,"AAAAAD8+r64=",0)</f>
        <v>#REF!</v>
      </c>
      <c r="FT179" t="e">
        <f>IF(#REF!,"AAAAAD8+r68=",0)</f>
        <v>#REF!</v>
      </c>
      <c r="FU179" t="e">
        <f>IF(#REF!,"AAAAAD8+r7A=",0)</f>
        <v>#REF!</v>
      </c>
      <c r="FV179" t="e">
        <f>IF(#REF!,"AAAAAD8+r7E=",0)</f>
        <v>#REF!</v>
      </c>
      <c r="FW179" t="e">
        <f>IF(#REF!,"AAAAAD8+r7I=",0)</f>
        <v>#REF!</v>
      </c>
      <c r="FX179" t="e">
        <f>IF(#REF!,"AAAAAD8+r7M=",0)</f>
        <v>#REF!</v>
      </c>
      <c r="FY179" t="e">
        <f>IF(#REF!,"AAAAAD8+r7Q=",0)</f>
        <v>#REF!</v>
      </c>
      <c r="FZ179" t="e">
        <f>IF(#REF!,"AAAAAD8+r7U=",0)</f>
        <v>#REF!</v>
      </c>
      <c r="GA179" t="e">
        <f>IF(#REF!,"AAAAAD8+r7Y=",0)</f>
        <v>#REF!</v>
      </c>
      <c r="GB179" t="e">
        <f>IF(#REF!,"AAAAAD8+r7c=",0)</f>
        <v>#REF!</v>
      </c>
      <c r="GC179" t="e">
        <f>IF(#REF!,"AAAAAD8+r7g=",0)</f>
        <v>#REF!</v>
      </c>
      <c r="GD179" t="e">
        <f>IF(#REF!,"AAAAAD8+r7k=",0)</f>
        <v>#REF!</v>
      </c>
      <c r="GE179" t="e">
        <f>IF(#REF!,"AAAAAD8+r7o=",0)</f>
        <v>#REF!</v>
      </c>
      <c r="GF179" t="e">
        <f>IF(#REF!,"AAAAAD8+r7s=",0)</f>
        <v>#REF!</v>
      </c>
      <c r="GG179" t="e">
        <f>IF(#REF!,"AAAAAD8+r7w=",0)</f>
        <v>#REF!</v>
      </c>
      <c r="GH179" t="e">
        <f>IF(#REF!,"AAAAAD8+r70=",0)</f>
        <v>#REF!</v>
      </c>
      <c r="GI179" t="e">
        <f>IF(#REF!,"AAAAAD8+r74=",0)</f>
        <v>#REF!</v>
      </c>
      <c r="GJ179" t="e">
        <f>IF(#REF!,"AAAAAD8+r78=",0)</f>
        <v>#REF!</v>
      </c>
      <c r="GK179" t="e">
        <f>IF(#REF!,"AAAAAD8+r8A=",0)</f>
        <v>#REF!</v>
      </c>
      <c r="GL179" t="e">
        <f>IF(#REF!,"AAAAAD8+r8E=",0)</f>
        <v>#REF!</v>
      </c>
      <c r="GM179" t="e">
        <f>IF(#REF!,"AAAAAD8+r8I=",0)</f>
        <v>#REF!</v>
      </c>
      <c r="GN179" t="e">
        <f>IF(#REF!,"AAAAAD8+r8M=",0)</f>
        <v>#REF!</v>
      </c>
      <c r="GO179" t="e">
        <f>IF(#REF!,"AAAAAD8+r8Q=",0)</f>
        <v>#REF!</v>
      </c>
      <c r="GP179" t="e">
        <f>IF(#REF!,"AAAAAD8+r8U=",0)</f>
        <v>#REF!</v>
      </c>
      <c r="GQ179" t="e">
        <f>IF(#REF!,"AAAAAD8+r8Y=",0)</f>
        <v>#REF!</v>
      </c>
      <c r="GR179" t="e">
        <f>IF(#REF!,"AAAAAD8+r8c=",0)</f>
        <v>#REF!</v>
      </c>
      <c r="GS179" t="e">
        <f>IF(#REF!,"AAAAAD8+r8g=",0)</f>
        <v>#REF!</v>
      </c>
      <c r="GT179" t="e">
        <f>IF(#REF!,"AAAAAD8+r8k=",0)</f>
        <v>#REF!</v>
      </c>
      <c r="GU179" t="e">
        <f>IF(#REF!,"AAAAAD8+r8o=",0)</f>
        <v>#REF!</v>
      </c>
      <c r="GV179" t="e">
        <f>IF(#REF!,"AAAAAD8+r8s=",0)</f>
        <v>#REF!</v>
      </c>
      <c r="GW179" t="e">
        <f>IF(#REF!,"AAAAAD8+r8w=",0)</f>
        <v>#REF!</v>
      </c>
      <c r="GX179" t="e">
        <f>IF(#REF!,"AAAAAD8+r80=",0)</f>
        <v>#REF!</v>
      </c>
      <c r="GY179" t="e">
        <f>IF(#REF!,"AAAAAD8+r84=",0)</f>
        <v>#REF!</v>
      </c>
      <c r="GZ179" t="e">
        <f>IF(#REF!,"AAAAAD8+r88=",0)</f>
        <v>#REF!</v>
      </c>
      <c r="HA179" t="e">
        <f>IF(#REF!,"AAAAAD8+r9A=",0)</f>
        <v>#REF!</v>
      </c>
      <c r="HB179" t="e">
        <f>IF(#REF!,"AAAAAD8+r9E=",0)</f>
        <v>#REF!</v>
      </c>
      <c r="HC179" t="e">
        <f>IF(#REF!,"AAAAAD8+r9I=",0)</f>
        <v>#REF!</v>
      </c>
      <c r="HD179" t="e">
        <f>IF(#REF!,"AAAAAD8+r9M=",0)</f>
        <v>#REF!</v>
      </c>
      <c r="HE179" t="e">
        <f>IF(#REF!,"AAAAAD8+r9Q=",0)</f>
        <v>#REF!</v>
      </c>
      <c r="HF179" t="e">
        <f>IF(#REF!,"AAAAAD8+r9U=",0)</f>
        <v>#REF!</v>
      </c>
      <c r="HG179" t="e">
        <f>IF(#REF!,"AAAAAD8+r9Y=",0)</f>
        <v>#REF!</v>
      </c>
      <c r="HH179" t="e">
        <f>IF(#REF!,"AAAAAD8+r9c=",0)</f>
        <v>#REF!</v>
      </c>
      <c r="HI179" t="e">
        <f>IF(#REF!,"AAAAAD8+r9g=",0)</f>
        <v>#REF!</v>
      </c>
      <c r="HJ179" t="e">
        <f>IF(#REF!,"AAAAAD8+r9k=",0)</f>
        <v>#REF!</v>
      </c>
      <c r="HK179" t="e">
        <f>IF(#REF!,"AAAAAD8+r9o=",0)</f>
        <v>#REF!</v>
      </c>
      <c r="HL179" t="e">
        <f>IF(#REF!,"AAAAAD8+r9s=",0)</f>
        <v>#REF!</v>
      </c>
      <c r="HM179" t="e">
        <f>IF(#REF!,"AAAAAD8+r9w=",0)</f>
        <v>#REF!</v>
      </c>
      <c r="HN179" t="e">
        <f>IF(#REF!,"AAAAAD8+r90=",0)</f>
        <v>#REF!</v>
      </c>
      <c r="HO179" t="e">
        <f>IF(#REF!,"AAAAAD8+r94=",0)</f>
        <v>#REF!</v>
      </c>
      <c r="HP179" t="e">
        <f>IF(#REF!,"AAAAAD8+r98=",0)</f>
        <v>#REF!</v>
      </c>
      <c r="HQ179" t="e">
        <f>IF(#REF!,"AAAAAD8+r+A=",0)</f>
        <v>#REF!</v>
      </c>
      <c r="HR179" t="e">
        <f>IF(#REF!,"AAAAAD8+r+E=",0)</f>
        <v>#REF!</v>
      </c>
      <c r="HS179" t="e">
        <f>IF(#REF!,"AAAAAD8+r+I=",0)</f>
        <v>#REF!</v>
      </c>
      <c r="HT179" t="e">
        <f>IF(#REF!,"AAAAAD8+r+M=",0)</f>
        <v>#REF!</v>
      </c>
      <c r="HU179" t="e">
        <f>IF(#REF!,"AAAAAD8+r+Q=",0)</f>
        <v>#REF!</v>
      </c>
      <c r="HV179" t="e">
        <f>IF(#REF!,"AAAAAD8+r+U=",0)</f>
        <v>#REF!</v>
      </c>
      <c r="HW179" t="e">
        <f>IF(#REF!,"AAAAAD8+r+Y=",0)</f>
        <v>#REF!</v>
      </c>
      <c r="HX179" t="e">
        <f>IF(#REF!,"AAAAAD8+r+c=",0)</f>
        <v>#REF!</v>
      </c>
      <c r="HY179" t="e">
        <f>IF(#REF!,"AAAAAD8+r+g=",0)</f>
        <v>#REF!</v>
      </c>
      <c r="HZ179" t="e">
        <f>IF(#REF!,"AAAAAD8+r+k=",0)</f>
        <v>#REF!</v>
      </c>
      <c r="IA179" t="e">
        <f>IF(#REF!,"AAAAAD8+r+o=",0)</f>
        <v>#REF!</v>
      </c>
      <c r="IB179" t="e">
        <f>IF(#REF!,"AAAAAD8+r+s=",0)</f>
        <v>#REF!</v>
      </c>
      <c r="IC179" t="e">
        <f>IF(#REF!,"AAAAAD8+r+w=",0)</f>
        <v>#REF!</v>
      </c>
      <c r="ID179" t="e">
        <f>IF(#REF!,"AAAAAD8+r+0=",0)</f>
        <v>#REF!</v>
      </c>
      <c r="IE179" t="e">
        <f>IF(#REF!,"AAAAAD8+r+4=",0)</f>
        <v>#REF!</v>
      </c>
      <c r="IF179" t="e">
        <f>IF(#REF!,"AAAAAD8+r+8=",0)</f>
        <v>#REF!</v>
      </c>
      <c r="IG179" t="e">
        <f>IF(#REF!,"AAAAAD8+r/A=",0)</f>
        <v>#REF!</v>
      </c>
      <c r="IH179" t="e">
        <f>IF(#REF!,"AAAAAD8+r/E=",0)</f>
        <v>#REF!</v>
      </c>
      <c r="II179" t="e">
        <f>IF(#REF!,"AAAAAD8+r/I=",0)</f>
        <v>#REF!</v>
      </c>
      <c r="IJ179" t="e">
        <f>IF(#REF!,"AAAAAD8+r/M=",0)</f>
        <v>#REF!</v>
      </c>
      <c r="IK179" t="e">
        <f>IF(#REF!,"AAAAAD8+r/Q=",0)</f>
        <v>#REF!</v>
      </c>
      <c r="IL179" t="e">
        <f>IF(#REF!,"AAAAAD8+r/U=",0)</f>
        <v>#REF!</v>
      </c>
      <c r="IM179" t="e">
        <f>IF(#REF!,"AAAAAD8+r/Y=",0)</f>
        <v>#REF!</v>
      </c>
      <c r="IN179" t="e">
        <f>IF(#REF!,"AAAAAD8+r/c=",0)</f>
        <v>#REF!</v>
      </c>
      <c r="IO179" t="e">
        <f>IF(#REF!,"AAAAAD8+r/g=",0)</f>
        <v>#REF!</v>
      </c>
      <c r="IP179" t="e">
        <f>IF(#REF!,"AAAAAD8+r/k=",0)</f>
        <v>#REF!</v>
      </c>
      <c r="IQ179" t="e">
        <f>IF(#REF!,"AAAAAD8+r/o=",0)</f>
        <v>#REF!</v>
      </c>
      <c r="IR179" t="e">
        <f>IF(#REF!,"AAAAAD8+r/s=",0)</f>
        <v>#REF!</v>
      </c>
      <c r="IS179" t="e">
        <f>IF(#REF!,"AAAAAD8+r/w=",0)</f>
        <v>#REF!</v>
      </c>
      <c r="IT179" t="e">
        <f>IF(#REF!,"AAAAAD8+r/0=",0)</f>
        <v>#REF!</v>
      </c>
      <c r="IU179" t="e">
        <f>IF(#REF!,"AAAAAD8+r/4=",0)</f>
        <v>#REF!</v>
      </c>
      <c r="IV179" t="e">
        <f>IF(#REF!,"AAAAAD8+r/8=",0)</f>
        <v>#REF!</v>
      </c>
    </row>
    <row r="180" spans="1:256">
      <c r="A180" t="e">
        <f>IF(#REF!,"AAAAAHb/6wA=",0)</f>
        <v>#REF!</v>
      </c>
      <c r="B180" t="e">
        <f>IF(#REF!,"AAAAAHb/6wE=",0)</f>
        <v>#REF!</v>
      </c>
      <c r="C180" t="e">
        <f>IF(#REF!,"AAAAAHb/6wI=",0)</f>
        <v>#REF!</v>
      </c>
      <c r="D180" t="e">
        <f>IF(#REF!,"AAAAAHb/6wM=",0)</f>
        <v>#REF!</v>
      </c>
      <c r="E180" t="e">
        <f>IF(#REF!,"AAAAAHb/6wQ=",0)</f>
        <v>#REF!</v>
      </c>
      <c r="F180" t="e">
        <f>IF(#REF!,"AAAAAHb/6wU=",0)</f>
        <v>#REF!</v>
      </c>
      <c r="G180" t="e">
        <f>IF(#REF!,"AAAAAHb/6wY=",0)</f>
        <v>#REF!</v>
      </c>
      <c r="H180" t="e">
        <f>IF(#REF!,"AAAAAHb/6wc=",0)</f>
        <v>#REF!</v>
      </c>
      <c r="I180" t="e">
        <f>IF(#REF!,"AAAAAHb/6wg=",0)</f>
        <v>#REF!</v>
      </c>
      <c r="J180" t="e">
        <f>IF(#REF!,"AAAAAHb/6wk=",0)</f>
        <v>#REF!</v>
      </c>
      <c r="K180" t="e">
        <f>IF(#REF!,"AAAAAHb/6wo=",0)</f>
        <v>#REF!</v>
      </c>
      <c r="L180" t="e">
        <f>IF(#REF!,"AAAAAHb/6ws=",0)</f>
        <v>#REF!</v>
      </c>
      <c r="M180" t="e">
        <f>IF(#REF!,"AAAAAHb/6ww=",0)</f>
        <v>#REF!</v>
      </c>
      <c r="N180" t="e">
        <f>IF(#REF!,"AAAAAHb/6w0=",0)</f>
        <v>#REF!</v>
      </c>
      <c r="O180" t="e">
        <f>IF(#REF!,"AAAAAHb/6w4=",0)</f>
        <v>#REF!</v>
      </c>
      <c r="P180" t="e">
        <f>IF(#REF!,"AAAAAHb/6w8=",0)</f>
        <v>#REF!</v>
      </c>
      <c r="Q180" t="e">
        <f>IF(#REF!,"AAAAAHb/6xA=",0)</f>
        <v>#REF!</v>
      </c>
      <c r="R180" t="e">
        <f>IF(#REF!,"AAAAAHb/6xE=",0)</f>
        <v>#REF!</v>
      </c>
      <c r="S180" t="e">
        <f>IF(#REF!,"AAAAAHb/6xI=",0)</f>
        <v>#REF!</v>
      </c>
      <c r="T180" t="e">
        <f>IF(#REF!,"AAAAAHb/6xM=",0)</f>
        <v>#REF!</v>
      </c>
      <c r="U180" t="e">
        <f>IF(#REF!,"AAAAAHb/6xQ=",0)</f>
        <v>#REF!</v>
      </c>
      <c r="V180" t="e">
        <f>IF(#REF!,"AAAAAHb/6xU=",0)</f>
        <v>#REF!</v>
      </c>
      <c r="W180" t="e">
        <f>IF(#REF!,"AAAAAHb/6xY=",0)</f>
        <v>#REF!</v>
      </c>
      <c r="X180" t="e">
        <f>IF(#REF!,"AAAAAHb/6xc=",0)</f>
        <v>#REF!</v>
      </c>
      <c r="Y180" t="e">
        <f>IF(#REF!,"AAAAAHb/6xg=",0)</f>
        <v>#REF!</v>
      </c>
      <c r="Z180" t="e">
        <f>IF(#REF!,"AAAAAHb/6xk=",0)</f>
        <v>#REF!</v>
      </c>
      <c r="AA180" t="e">
        <f>IF(#REF!,"AAAAAHb/6xo=",0)</f>
        <v>#REF!</v>
      </c>
      <c r="AB180" t="e">
        <f>IF(#REF!,"AAAAAHb/6xs=",0)</f>
        <v>#REF!</v>
      </c>
      <c r="AC180" t="e">
        <f>IF(#REF!,"AAAAAHb/6xw=",0)</f>
        <v>#REF!</v>
      </c>
      <c r="AD180" t="e">
        <f>IF(#REF!,"AAAAAHb/6x0=",0)</f>
        <v>#REF!</v>
      </c>
      <c r="AE180" t="e">
        <f>IF(#REF!,"AAAAAHb/6x4=",0)</f>
        <v>#REF!</v>
      </c>
      <c r="AF180" t="e">
        <f>IF(#REF!,"AAAAAHb/6x8=",0)</f>
        <v>#REF!</v>
      </c>
      <c r="AG180" t="e">
        <f>IF(#REF!,"AAAAAHb/6yA=",0)</f>
        <v>#REF!</v>
      </c>
      <c r="AH180" t="e">
        <f>IF(#REF!,"AAAAAHb/6yE=",0)</f>
        <v>#REF!</v>
      </c>
      <c r="AI180" t="e">
        <f>IF(#REF!,"AAAAAHb/6yI=",0)</f>
        <v>#REF!</v>
      </c>
      <c r="AJ180" t="e">
        <f>IF(#REF!,"AAAAAHb/6yM=",0)</f>
        <v>#REF!</v>
      </c>
      <c r="AK180" t="e">
        <f>IF(#REF!,"AAAAAHb/6yQ=",0)</f>
        <v>#REF!</v>
      </c>
      <c r="AL180" t="e">
        <f>IF(#REF!,"AAAAAHb/6yU=",0)</f>
        <v>#REF!</v>
      </c>
      <c r="AM180" t="e">
        <f>IF(#REF!,"AAAAAHb/6yY=",0)</f>
        <v>#REF!</v>
      </c>
      <c r="AN180" t="e">
        <f>IF(#REF!,"AAAAAHb/6yc=",0)</f>
        <v>#REF!</v>
      </c>
      <c r="AO180" t="e">
        <f>IF(#REF!,"AAAAAHb/6yg=",0)</f>
        <v>#REF!</v>
      </c>
      <c r="AP180" t="e">
        <f>IF(#REF!,"AAAAAHb/6yk=",0)</f>
        <v>#REF!</v>
      </c>
      <c r="AQ180" t="e">
        <f>IF(#REF!,"AAAAAHb/6yo=",0)</f>
        <v>#REF!</v>
      </c>
      <c r="AR180" t="e">
        <f>IF(#REF!,"AAAAAHb/6ys=",0)</f>
        <v>#REF!</v>
      </c>
      <c r="AS180" t="e">
        <f>IF(#REF!,"AAAAAHb/6yw=",0)</f>
        <v>#REF!</v>
      </c>
      <c r="AT180" t="e">
        <f>IF(#REF!,"AAAAAHb/6y0=",0)</f>
        <v>#REF!</v>
      </c>
      <c r="AU180" t="e">
        <f>IF(#REF!,"AAAAAHb/6y4=",0)</f>
        <v>#REF!</v>
      </c>
      <c r="AV180" t="e">
        <f>IF(#REF!,"AAAAAHb/6y8=",0)</f>
        <v>#REF!</v>
      </c>
      <c r="AW180" t="e">
        <f>IF(#REF!,"AAAAAHb/6zA=",0)</f>
        <v>#REF!</v>
      </c>
      <c r="AX180" t="e">
        <f>IF(#REF!,"AAAAAHb/6zE=",0)</f>
        <v>#REF!</v>
      </c>
      <c r="AY180" t="e">
        <f>IF(#REF!,"AAAAAHb/6zI=",0)</f>
        <v>#REF!</v>
      </c>
      <c r="AZ180" t="e">
        <f>IF(#REF!,"AAAAAHb/6zM=",0)</f>
        <v>#REF!</v>
      </c>
      <c r="BA180" t="e">
        <f>IF(#REF!,"AAAAAHb/6zQ=",0)</f>
        <v>#REF!</v>
      </c>
      <c r="BB180" t="e">
        <f>IF(#REF!,"AAAAAHb/6zU=",0)</f>
        <v>#REF!</v>
      </c>
      <c r="BC180" t="e">
        <f>IF(#REF!,"AAAAAHb/6zY=",0)</f>
        <v>#REF!</v>
      </c>
      <c r="BD180" t="e">
        <f>IF(#REF!,"AAAAAHb/6zc=",0)</f>
        <v>#REF!</v>
      </c>
      <c r="BE180" t="e">
        <f>IF(#REF!,"AAAAAHb/6zg=",0)</f>
        <v>#REF!</v>
      </c>
      <c r="BF180" t="e">
        <f>IF(#REF!,"AAAAAHb/6zk=",0)</f>
        <v>#REF!</v>
      </c>
      <c r="BG180" t="e">
        <f>IF(#REF!,"AAAAAHb/6zo=",0)</f>
        <v>#REF!</v>
      </c>
      <c r="BH180" t="e">
        <f>IF(#REF!,"AAAAAHb/6zs=",0)</f>
        <v>#REF!</v>
      </c>
      <c r="BI180" t="e">
        <f>IF(#REF!,"AAAAAHb/6zw=",0)</f>
        <v>#REF!</v>
      </c>
      <c r="BJ180" t="e">
        <f>IF(#REF!,"AAAAAHb/6z0=",0)</f>
        <v>#REF!</v>
      </c>
      <c r="BK180" t="e">
        <f>IF(#REF!,"AAAAAHb/6z4=",0)</f>
        <v>#REF!</v>
      </c>
      <c r="BL180" t="e">
        <f>IF(#REF!,"AAAAAHb/6z8=",0)</f>
        <v>#REF!</v>
      </c>
      <c r="BM180" t="e">
        <f>IF(#REF!,"AAAAAHb/60A=",0)</f>
        <v>#REF!</v>
      </c>
      <c r="BN180" t="e">
        <f>IF(#REF!,"AAAAAHb/60E=",0)</f>
        <v>#REF!</v>
      </c>
      <c r="BO180" t="e">
        <f>IF(#REF!,"AAAAAHb/60I=",0)</f>
        <v>#REF!</v>
      </c>
      <c r="BP180" t="e">
        <f>IF(#REF!,"AAAAAHb/60M=",0)</f>
        <v>#REF!</v>
      </c>
      <c r="BQ180" t="e">
        <f>IF(#REF!,"AAAAAHb/60Q=",0)</f>
        <v>#REF!</v>
      </c>
      <c r="BR180" t="e">
        <f>IF(#REF!,"AAAAAHb/60U=",0)</f>
        <v>#REF!</v>
      </c>
      <c r="BS180" t="e">
        <f>IF(#REF!,"AAAAAHb/60Y=",0)</f>
        <v>#REF!</v>
      </c>
      <c r="BT180" t="e">
        <f>IF(#REF!,"AAAAAHb/60c=",0)</f>
        <v>#REF!</v>
      </c>
      <c r="BU180" t="e">
        <f>IF(#REF!,"AAAAAHb/60g=",0)</f>
        <v>#REF!</v>
      </c>
      <c r="BV180" t="e">
        <f>IF(#REF!,"AAAAAHb/60k=",0)</f>
        <v>#REF!</v>
      </c>
      <c r="BW180" t="e">
        <f>IF(#REF!,"AAAAAHb/60o=",0)</f>
        <v>#REF!</v>
      </c>
      <c r="BX180" t="e">
        <f>IF(#REF!,"AAAAAHb/60s=",0)</f>
        <v>#REF!</v>
      </c>
      <c r="BY180" t="e">
        <f>IF(#REF!,"AAAAAHb/60w=",0)</f>
        <v>#REF!</v>
      </c>
      <c r="BZ180" t="e">
        <f>IF(#REF!,"AAAAAHb/600=",0)</f>
        <v>#REF!</v>
      </c>
      <c r="CA180" t="e">
        <f>IF(#REF!,"AAAAAHb/604=",0)</f>
        <v>#REF!</v>
      </c>
      <c r="CB180" t="e">
        <f>IF(#REF!,"AAAAAHb/608=",0)</f>
        <v>#REF!</v>
      </c>
      <c r="CC180" t="e">
        <f>IF(#REF!,"AAAAAHb/61A=",0)</f>
        <v>#REF!</v>
      </c>
      <c r="CD180" t="e">
        <f>IF(#REF!,"AAAAAHb/61E=",0)</f>
        <v>#REF!</v>
      </c>
      <c r="CE180" t="e">
        <f>IF(#REF!,"AAAAAHb/61I=",0)</f>
        <v>#REF!</v>
      </c>
      <c r="CF180" t="e">
        <f>IF(#REF!,"AAAAAHb/61M=",0)</f>
        <v>#REF!</v>
      </c>
      <c r="CG180" t="e">
        <f>IF(#REF!,"AAAAAHb/61Q=",0)</f>
        <v>#REF!</v>
      </c>
      <c r="CH180" t="e">
        <f>IF(#REF!,"AAAAAHb/61U=",0)</f>
        <v>#REF!</v>
      </c>
      <c r="CI180" t="e">
        <f>IF(#REF!,"AAAAAHb/61Y=",0)</f>
        <v>#REF!</v>
      </c>
      <c r="CJ180" t="e">
        <f>IF(#REF!,"AAAAAHb/61c=",0)</f>
        <v>#REF!</v>
      </c>
      <c r="CK180" t="e">
        <f>IF(#REF!,"AAAAAHb/61g=",0)</f>
        <v>#REF!</v>
      </c>
      <c r="CL180" t="e">
        <f>IF(#REF!,"AAAAAHb/61k=",0)</f>
        <v>#REF!</v>
      </c>
      <c r="CM180" t="e">
        <f>IF(#REF!,"AAAAAHb/61o=",0)</f>
        <v>#REF!</v>
      </c>
      <c r="CN180" t="e">
        <f>IF(#REF!,"AAAAAHb/61s=",0)</f>
        <v>#REF!</v>
      </c>
      <c r="CO180" t="e">
        <f>IF(#REF!,"AAAAAHb/61w=",0)</f>
        <v>#REF!</v>
      </c>
      <c r="CP180" t="e">
        <f>IF(#REF!,"AAAAAHb/610=",0)</f>
        <v>#REF!</v>
      </c>
      <c r="CQ180" t="e">
        <f>IF(#REF!,"AAAAAHb/614=",0)</f>
        <v>#REF!</v>
      </c>
      <c r="CR180" t="e">
        <f>IF(#REF!,"AAAAAHb/618=",0)</f>
        <v>#REF!</v>
      </c>
      <c r="CS180" t="e">
        <f>IF(#REF!,"AAAAAHb/62A=",0)</f>
        <v>#REF!</v>
      </c>
      <c r="CT180" t="e">
        <f>IF(#REF!,"AAAAAHb/62E=",0)</f>
        <v>#REF!</v>
      </c>
      <c r="CU180" t="e">
        <f>IF(#REF!,"AAAAAHb/62I=",0)</f>
        <v>#REF!</v>
      </c>
      <c r="CV180" t="e">
        <f>IF(#REF!,"AAAAAHb/62M=",0)</f>
        <v>#REF!</v>
      </c>
      <c r="CW180" t="e">
        <f>IF(#REF!,"AAAAAHb/62Q=",0)</f>
        <v>#REF!</v>
      </c>
      <c r="CX180" t="e">
        <f>IF(#REF!,"AAAAAHb/62U=",0)</f>
        <v>#REF!</v>
      </c>
      <c r="CY180" t="e">
        <f>IF(#REF!,"AAAAAHb/62Y=",0)</f>
        <v>#REF!</v>
      </c>
      <c r="CZ180" t="e">
        <f>IF(#REF!,"AAAAAHb/62c=",0)</f>
        <v>#REF!</v>
      </c>
      <c r="DA180" t="e">
        <f>IF(#REF!,"AAAAAHb/62g=",0)</f>
        <v>#REF!</v>
      </c>
      <c r="DB180" t="e">
        <f>IF(#REF!,"AAAAAHb/62k=",0)</f>
        <v>#REF!</v>
      </c>
      <c r="DC180" t="e">
        <f>IF(#REF!,"AAAAAHb/62o=",0)</f>
        <v>#REF!</v>
      </c>
      <c r="DD180" t="e">
        <f>IF(#REF!,"AAAAAHb/62s=",0)</f>
        <v>#REF!</v>
      </c>
      <c r="DE180" t="e">
        <f>IF(#REF!,"AAAAAHb/62w=",0)</f>
        <v>#REF!</v>
      </c>
      <c r="DF180" t="e">
        <f>IF(#REF!,"AAAAAHb/620=",0)</f>
        <v>#REF!</v>
      </c>
      <c r="DG180" t="e">
        <f>IF(#REF!,"AAAAAHb/624=",0)</f>
        <v>#REF!</v>
      </c>
      <c r="DH180" t="e">
        <f>IF(#REF!,"AAAAAHb/628=",0)</f>
        <v>#REF!</v>
      </c>
      <c r="DI180" t="e">
        <f>IF(#REF!,"AAAAAHb/63A=",0)</f>
        <v>#REF!</v>
      </c>
      <c r="DJ180" t="e">
        <f>IF(#REF!,"AAAAAHb/63E=",0)</f>
        <v>#REF!</v>
      </c>
      <c r="DK180" t="e">
        <f>IF(#REF!,"AAAAAHb/63I=",0)</f>
        <v>#REF!</v>
      </c>
      <c r="DL180" t="e">
        <f>IF(#REF!,"AAAAAHb/63M=",0)</f>
        <v>#REF!</v>
      </c>
      <c r="DM180" t="e">
        <f>IF(#REF!,"AAAAAHb/63Q=",0)</f>
        <v>#REF!</v>
      </c>
      <c r="DN180" t="e">
        <f>IF(#REF!,"AAAAAHb/63U=",0)</f>
        <v>#REF!</v>
      </c>
      <c r="DO180" t="e">
        <f>IF(#REF!,"AAAAAHb/63Y=",0)</f>
        <v>#REF!</v>
      </c>
      <c r="DP180" t="e">
        <f>IF(#REF!,"AAAAAHb/63c=",0)</f>
        <v>#REF!</v>
      </c>
      <c r="DQ180" t="e">
        <f>IF(#REF!,"AAAAAHb/63g=",0)</f>
        <v>#REF!</v>
      </c>
      <c r="DR180" t="e">
        <f>IF(#REF!,"AAAAAHb/63k=",0)</f>
        <v>#REF!</v>
      </c>
      <c r="DS180" t="e">
        <f>IF(#REF!,"AAAAAHb/63o=",0)</f>
        <v>#REF!</v>
      </c>
      <c r="DT180" t="e">
        <f>IF(#REF!,"AAAAAHb/63s=",0)</f>
        <v>#REF!</v>
      </c>
      <c r="DU180" t="e">
        <f>IF(#REF!,"AAAAAHb/63w=",0)</f>
        <v>#REF!</v>
      </c>
      <c r="DV180" t="e">
        <f>IF(#REF!,"AAAAAHb/630=",0)</f>
        <v>#REF!</v>
      </c>
      <c r="DW180" t="e">
        <f>IF(#REF!,"AAAAAHb/634=",0)</f>
        <v>#REF!</v>
      </c>
      <c r="DX180" t="e">
        <f>IF(#REF!,"AAAAAHb/638=",0)</f>
        <v>#REF!</v>
      </c>
      <c r="DY180" t="e">
        <f>IF(#REF!,"AAAAAHb/64A=",0)</f>
        <v>#REF!</v>
      </c>
      <c r="DZ180" t="e">
        <f>IF(#REF!,"AAAAAHb/64E=",0)</f>
        <v>#REF!</v>
      </c>
      <c r="EA180" t="e">
        <f>IF(#REF!,"AAAAAHb/64I=",0)</f>
        <v>#REF!</v>
      </c>
      <c r="EB180" t="e">
        <f>IF(#REF!,"AAAAAHb/64M=",0)</f>
        <v>#REF!</v>
      </c>
      <c r="EC180" t="e">
        <f>IF(#REF!,"AAAAAHb/64Q=",0)</f>
        <v>#REF!</v>
      </c>
      <c r="ED180" t="e">
        <f>IF(#REF!,"AAAAAHb/64U=",0)</f>
        <v>#REF!</v>
      </c>
      <c r="EE180" t="e">
        <f>IF(#REF!,"AAAAAHb/64Y=",0)</f>
        <v>#REF!</v>
      </c>
      <c r="EF180" t="e">
        <f>IF(#REF!,"AAAAAHb/64c=",0)</f>
        <v>#REF!</v>
      </c>
      <c r="EG180" t="e">
        <f>IF(#REF!,"AAAAAHb/64g=",0)</f>
        <v>#REF!</v>
      </c>
      <c r="EH180" t="e">
        <f>IF(#REF!,"AAAAAHb/64k=",0)</f>
        <v>#REF!</v>
      </c>
      <c r="EI180" t="e">
        <f>IF(#REF!,"AAAAAHb/64o=",0)</f>
        <v>#REF!</v>
      </c>
      <c r="EJ180" t="e">
        <f>IF(#REF!,"AAAAAHb/64s=",0)</f>
        <v>#REF!</v>
      </c>
      <c r="EK180" t="e">
        <f>IF(#REF!,"AAAAAHb/64w=",0)</f>
        <v>#REF!</v>
      </c>
      <c r="EL180" t="e">
        <f>IF(#REF!,"AAAAAHb/640=",0)</f>
        <v>#REF!</v>
      </c>
      <c r="EM180" t="e">
        <f>IF(#REF!,"AAAAAHb/644=",0)</f>
        <v>#REF!</v>
      </c>
      <c r="EN180" t="e">
        <f>IF(#REF!,"AAAAAHb/648=",0)</f>
        <v>#REF!</v>
      </c>
      <c r="EO180" t="e">
        <f>IF(#REF!,"AAAAAHb/65A=",0)</f>
        <v>#REF!</v>
      </c>
      <c r="EP180" t="e">
        <f>IF(#REF!,"AAAAAHb/65E=",0)</f>
        <v>#REF!</v>
      </c>
      <c r="EQ180" t="e">
        <f>IF(#REF!,"AAAAAHb/65I=",0)</f>
        <v>#REF!</v>
      </c>
      <c r="ER180" t="e">
        <f>IF(#REF!,"AAAAAHb/65M=",0)</f>
        <v>#REF!</v>
      </c>
      <c r="ES180" t="e">
        <f>IF(#REF!,"AAAAAHb/65Q=",0)</f>
        <v>#REF!</v>
      </c>
      <c r="ET180" t="e">
        <f>IF(#REF!,"AAAAAHb/65U=",0)</f>
        <v>#REF!</v>
      </c>
      <c r="EU180" t="e">
        <f>IF(#REF!,"AAAAAHb/65Y=",0)</f>
        <v>#REF!</v>
      </c>
      <c r="EV180" t="e">
        <f>IF(#REF!,"AAAAAHb/65c=",0)</f>
        <v>#REF!</v>
      </c>
      <c r="EW180" t="e">
        <f>IF(#REF!,"AAAAAHb/65g=",0)</f>
        <v>#REF!</v>
      </c>
      <c r="EX180" t="e">
        <f>IF(#REF!,"AAAAAHb/65k=",0)</f>
        <v>#REF!</v>
      </c>
      <c r="EY180" t="e">
        <f>IF(#REF!,"AAAAAHb/65o=",0)</f>
        <v>#REF!</v>
      </c>
      <c r="EZ180" t="e">
        <f>IF(#REF!,"AAAAAHb/65s=",0)</f>
        <v>#REF!</v>
      </c>
      <c r="FA180" t="e">
        <f>IF(#REF!,"AAAAAHb/65w=",0)</f>
        <v>#REF!</v>
      </c>
      <c r="FB180" t="e">
        <f>IF(#REF!,"AAAAAHb/650=",0)</f>
        <v>#REF!</v>
      </c>
      <c r="FC180" t="e">
        <f>IF(#REF!,"AAAAAHb/654=",0)</f>
        <v>#REF!</v>
      </c>
      <c r="FD180" t="e">
        <f>IF(#REF!,"AAAAAHb/658=",0)</f>
        <v>#REF!</v>
      </c>
      <c r="FE180" t="e">
        <f>IF(#REF!,"AAAAAHb/66A=",0)</f>
        <v>#REF!</v>
      </c>
      <c r="FF180" t="e">
        <f>IF(#REF!,"AAAAAHb/66E=",0)</f>
        <v>#REF!</v>
      </c>
      <c r="FG180" t="e">
        <f>IF(#REF!,"AAAAAHb/66I=",0)</f>
        <v>#REF!</v>
      </c>
      <c r="FH180" t="e">
        <f>IF(#REF!,"AAAAAHb/66M=",0)</f>
        <v>#REF!</v>
      </c>
      <c r="FI180" t="e">
        <f>IF(#REF!,"AAAAAHb/66Q=",0)</f>
        <v>#REF!</v>
      </c>
      <c r="FJ180" t="e">
        <f>IF(#REF!,"AAAAAHb/66U=",0)</f>
        <v>#REF!</v>
      </c>
      <c r="FK180" t="e">
        <f>IF(#REF!,"AAAAAHb/66Y=",0)</f>
        <v>#REF!</v>
      </c>
      <c r="FL180" t="e">
        <f>IF(#REF!,"AAAAAHb/66c=",0)</f>
        <v>#REF!</v>
      </c>
      <c r="FM180" t="e">
        <f>IF(#REF!,"AAAAAHb/66g=",0)</f>
        <v>#REF!</v>
      </c>
      <c r="FN180" t="e">
        <f>IF(#REF!,"AAAAAHb/66k=",0)</f>
        <v>#REF!</v>
      </c>
      <c r="FO180" t="e">
        <f>IF(#REF!,"AAAAAHb/66o=",0)</f>
        <v>#REF!</v>
      </c>
      <c r="FP180" t="e">
        <f>IF(#REF!,"AAAAAHb/66s=",0)</f>
        <v>#REF!</v>
      </c>
      <c r="FQ180" t="e">
        <f>IF(#REF!,"AAAAAHb/66w=",0)</f>
        <v>#REF!</v>
      </c>
      <c r="FR180" t="e">
        <f>IF(#REF!,"AAAAAHb/660=",0)</f>
        <v>#REF!</v>
      </c>
      <c r="FS180" t="e">
        <f>IF(#REF!,"AAAAAHb/664=",0)</f>
        <v>#REF!</v>
      </c>
      <c r="FT180" t="e">
        <f>IF(#REF!,"AAAAAHb/668=",0)</f>
        <v>#REF!</v>
      </c>
      <c r="FU180" t="e">
        <f>IF(#REF!,"AAAAAHb/67A=",0)</f>
        <v>#REF!</v>
      </c>
      <c r="FV180" t="e">
        <f>IF(#REF!,"AAAAAHb/67E=",0)</f>
        <v>#REF!</v>
      </c>
      <c r="FW180" t="e">
        <f>IF(#REF!,"AAAAAHb/67I=",0)</f>
        <v>#REF!</v>
      </c>
      <c r="FX180" t="e">
        <f>IF(#REF!,"AAAAAHb/67M=",0)</f>
        <v>#REF!</v>
      </c>
      <c r="FY180" t="e">
        <f>IF(#REF!,"AAAAAHb/67Q=",0)</f>
        <v>#REF!</v>
      </c>
      <c r="FZ180" t="e">
        <f>IF(#REF!,"AAAAAHb/67U=",0)</f>
        <v>#REF!</v>
      </c>
      <c r="GA180" t="e">
        <f>IF(#REF!,"AAAAAHb/67Y=",0)</f>
        <v>#REF!</v>
      </c>
      <c r="GB180" t="e">
        <f>IF(#REF!,"AAAAAHb/67c=",0)</f>
        <v>#REF!</v>
      </c>
      <c r="GC180" t="e">
        <f>IF(#REF!,"AAAAAHb/67g=",0)</f>
        <v>#REF!</v>
      </c>
      <c r="GD180" t="e">
        <f>IF(#REF!,"AAAAAHb/67k=",0)</f>
        <v>#REF!</v>
      </c>
      <c r="GE180" t="e">
        <f>IF(#REF!,"AAAAAHb/67o=",0)</f>
        <v>#REF!</v>
      </c>
      <c r="GF180" t="e">
        <f>IF(#REF!,"AAAAAHb/67s=",0)</f>
        <v>#REF!</v>
      </c>
      <c r="GG180" t="e">
        <f>IF(#REF!,"AAAAAHb/67w=",0)</f>
        <v>#REF!</v>
      </c>
      <c r="GH180" t="e">
        <f>IF(#REF!,"AAAAAHb/670=",0)</f>
        <v>#REF!</v>
      </c>
      <c r="GI180" t="e">
        <f>IF(#REF!,"AAAAAHb/674=",0)</f>
        <v>#REF!</v>
      </c>
      <c r="GJ180" t="e">
        <f>IF(#REF!,"AAAAAHb/678=",0)</f>
        <v>#REF!</v>
      </c>
      <c r="GK180" t="e">
        <f>IF(#REF!,"AAAAAHb/68A=",0)</f>
        <v>#REF!</v>
      </c>
      <c r="GL180" t="e">
        <f>IF(#REF!,"AAAAAHb/68E=",0)</f>
        <v>#REF!</v>
      </c>
      <c r="GM180" t="e">
        <f>IF(#REF!,"AAAAAHb/68I=",0)</f>
        <v>#REF!</v>
      </c>
      <c r="GN180" t="e">
        <f>IF(#REF!,"AAAAAHb/68M=",0)</f>
        <v>#REF!</v>
      </c>
      <c r="GO180" t="e">
        <f>IF(#REF!,"AAAAAHb/68Q=",0)</f>
        <v>#REF!</v>
      </c>
      <c r="GP180" t="e">
        <f>IF(#REF!,"AAAAAHb/68U=",0)</f>
        <v>#REF!</v>
      </c>
      <c r="GQ180" t="e">
        <f>IF(#REF!,"AAAAAHb/68Y=",0)</f>
        <v>#REF!</v>
      </c>
      <c r="GR180" t="e">
        <f>IF(#REF!,"AAAAAHb/68c=",0)</f>
        <v>#REF!</v>
      </c>
      <c r="GS180" t="e">
        <f>IF(#REF!,"AAAAAHb/68g=",0)</f>
        <v>#REF!</v>
      </c>
      <c r="GT180" t="e">
        <f>IF(#REF!,"AAAAAHb/68k=",0)</f>
        <v>#REF!</v>
      </c>
      <c r="GU180" t="e">
        <f>IF(#REF!,"AAAAAHb/68o=",0)</f>
        <v>#REF!</v>
      </c>
      <c r="GV180" t="e">
        <f>IF(#REF!,"AAAAAHb/68s=",0)</f>
        <v>#REF!</v>
      </c>
      <c r="GW180" t="e">
        <f>IF(#REF!,"AAAAAHb/68w=",0)</f>
        <v>#REF!</v>
      </c>
      <c r="GX180" t="e">
        <f>IF(#REF!,"AAAAAHb/680=",0)</f>
        <v>#REF!</v>
      </c>
      <c r="GY180" t="e">
        <f>IF(#REF!,"AAAAAHb/684=",0)</f>
        <v>#REF!</v>
      </c>
      <c r="GZ180" t="e">
        <f>IF(#REF!,"AAAAAHb/688=",0)</f>
        <v>#REF!</v>
      </c>
      <c r="HA180" t="e">
        <f>IF(#REF!,"AAAAAHb/69A=",0)</f>
        <v>#REF!</v>
      </c>
      <c r="HB180" t="e">
        <f>IF(#REF!,"AAAAAHb/69E=",0)</f>
        <v>#REF!</v>
      </c>
      <c r="HC180" t="e">
        <f>IF(#REF!,"AAAAAHb/69I=",0)</f>
        <v>#REF!</v>
      </c>
      <c r="HD180" t="e">
        <f>IF(#REF!,"AAAAAHb/69M=",0)</f>
        <v>#REF!</v>
      </c>
      <c r="HE180" t="e">
        <f>IF(#REF!,"AAAAAHb/69Q=",0)</f>
        <v>#REF!</v>
      </c>
      <c r="HF180" t="e">
        <f>IF(#REF!,"AAAAAHb/69U=",0)</f>
        <v>#REF!</v>
      </c>
      <c r="HG180" t="e">
        <f>IF(#REF!,"AAAAAHb/69Y=",0)</f>
        <v>#REF!</v>
      </c>
      <c r="HH180" t="e">
        <f>IF(#REF!,"AAAAAHb/69c=",0)</f>
        <v>#REF!</v>
      </c>
      <c r="HI180" t="e">
        <f>IF(#REF!,"AAAAAHb/69g=",0)</f>
        <v>#REF!</v>
      </c>
      <c r="HJ180" t="e">
        <f>IF(#REF!,"AAAAAHb/69k=",0)</f>
        <v>#REF!</v>
      </c>
      <c r="HK180" t="e">
        <f>IF(#REF!,"AAAAAHb/69o=",0)</f>
        <v>#REF!</v>
      </c>
      <c r="HL180" t="e">
        <f>IF(#REF!,"AAAAAHb/69s=",0)</f>
        <v>#REF!</v>
      </c>
      <c r="HM180" t="e">
        <f>IF(#REF!,"AAAAAHb/69w=",0)</f>
        <v>#REF!</v>
      </c>
      <c r="HN180" t="e">
        <f>IF(#REF!,"AAAAAHb/690=",0)</f>
        <v>#REF!</v>
      </c>
      <c r="HO180" t="e">
        <f>IF(#REF!,"AAAAAHb/694=",0)</f>
        <v>#REF!</v>
      </c>
      <c r="HP180" t="e">
        <f>IF(#REF!,"AAAAAHb/698=",0)</f>
        <v>#REF!</v>
      </c>
      <c r="HQ180" t="e">
        <f>IF(#REF!,"AAAAAHb/6+A=",0)</f>
        <v>#REF!</v>
      </c>
      <c r="HR180" t="e">
        <f>IF(#REF!,"AAAAAHb/6+E=",0)</f>
        <v>#REF!</v>
      </c>
      <c r="HS180" t="e">
        <f>IF(#REF!,"AAAAAHb/6+I=",0)</f>
        <v>#REF!</v>
      </c>
      <c r="HT180" t="e">
        <f>IF(#REF!,"AAAAAHb/6+M=",0)</f>
        <v>#REF!</v>
      </c>
      <c r="HU180" t="e">
        <f>IF(#REF!,"AAAAAHb/6+Q=",0)</f>
        <v>#REF!</v>
      </c>
      <c r="HV180" t="e">
        <f>IF(#REF!,"AAAAAHb/6+U=",0)</f>
        <v>#REF!</v>
      </c>
      <c r="HW180" t="e">
        <f>IF(#REF!,"AAAAAHb/6+Y=",0)</f>
        <v>#REF!</v>
      </c>
      <c r="HX180" t="e">
        <f>IF(#REF!,"AAAAAHb/6+c=",0)</f>
        <v>#REF!</v>
      </c>
      <c r="HY180" t="e">
        <f>IF(#REF!,"AAAAAHb/6+g=",0)</f>
        <v>#REF!</v>
      </c>
      <c r="HZ180" t="e">
        <f>IF(#REF!,"AAAAAHb/6+k=",0)</f>
        <v>#REF!</v>
      </c>
      <c r="IA180" t="e">
        <f>IF(#REF!,"AAAAAHb/6+o=",0)</f>
        <v>#REF!</v>
      </c>
      <c r="IB180" t="e">
        <f>IF(#REF!,"AAAAAHb/6+s=",0)</f>
        <v>#REF!</v>
      </c>
      <c r="IC180" t="e">
        <f>IF(#REF!,"AAAAAHb/6+w=",0)</f>
        <v>#REF!</v>
      </c>
      <c r="ID180" t="e">
        <f>IF(#REF!,"AAAAAHb/6+0=",0)</f>
        <v>#REF!</v>
      </c>
      <c r="IE180" t="e">
        <f>IF(#REF!,"AAAAAHb/6+4=",0)</f>
        <v>#REF!</v>
      </c>
      <c r="IF180" t="e">
        <f>IF(#REF!,"AAAAAHb/6+8=",0)</f>
        <v>#REF!</v>
      </c>
      <c r="IG180" t="e">
        <f>IF(#REF!,"AAAAAHb/6/A=",0)</f>
        <v>#REF!</v>
      </c>
      <c r="IH180" t="e">
        <f>IF(#REF!,"AAAAAHb/6/E=",0)</f>
        <v>#REF!</v>
      </c>
      <c r="II180" t="e">
        <f>IF(#REF!,"AAAAAHb/6/I=",0)</f>
        <v>#REF!</v>
      </c>
      <c r="IJ180" t="e">
        <f>IF(#REF!,"AAAAAHb/6/M=",0)</f>
        <v>#REF!</v>
      </c>
      <c r="IK180" t="e">
        <f>IF(#REF!,"AAAAAHb/6/Q=",0)</f>
        <v>#REF!</v>
      </c>
      <c r="IL180" t="e">
        <f>IF(#REF!,"AAAAAHb/6/U=",0)</f>
        <v>#REF!</v>
      </c>
      <c r="IM180" t="e">
        <f>IF(#REF!,"AAAAAHb/6/Y=",0)</f>
        <v>#REF!</v>
      </c>
      <c r="IN180" t="e">
        <f>IF(#REF!,"AAAAAHb/6/c=",0)</f>
        <v>#REF!</v>
      </c>
      <c r="IO180" t="e">
        <f>IF(#REF!,"AAAAAHb/6/g=",0)</f>
        <v>#REF!</v>
      </c>
      <c r="IP180" t="e">
        <f>IF(#REF!,"AAAAAHb/6/k=",0)</f>
        <v>#REF!</v>
      </c>
      <c r="IQ180" t="e">
        <f>IF(#REF!,"AAAAAHb/6/o=",0)</f>
        <v>#REF!</v>
      </c>
      <c r="IR180" t="e">
        <f>IF(#REF!,"AAAAAHb/6/s=",0)</f>
        <v>#REF!</v>
      </c>
      <c r="IS180" t="e">
        <f>IF(#REF!,"AAAAAHb/6/w=",0)</f>
        <v>#REF!</v>
      </c>
      <c r="IT180" t="e">
        <f>IF(#REF!,"AAAAAHb/6/0=",0)</f>
        <v>#REF!</v>
      </c>
      <c r="IU180" t="e">
        <f>IF(#REF!,"AAAAAHb/6/4=",0)</f>
        <v>#REF!</v>
      </c>
      <c r="IV180" t="e">
        <f>IF(#REF!,"AAAAAHb/6/8=",0)</f>
        <v>#REF!</v>
      </c>
    </row>
    <row r="181" spans="1:256">
      <c r="A181" t="e">
        <f>IF(#REF!,"AAAAAF3f3wA=",0)</f>
        <v>#REF!</v>
      </c>
      <c r="B181" t="e">
        <f>IF(#REF!,"AAAAAF3f3wE=",0)</f>
        <v>#REF!</v>
      </c>
      <c r="C181" t="e">
        <f>IF(#REF!,"AAAAAF3f3wI=",0)</f>
        <v>#REF!</v>
      </c>
      <c r="D181" t="e">
        <f>IF(#REF!,"AAAAAF3f3wM=",0)</f>
        <v>#REF!</v>
      </c>
      <c r="E181" t="e">
        <f>IF(#REF!,"AAAAAF3f3wQ=",0)</f>
        <v>#REF!</v>
      </c>
      <c r="F181" t="e">
        <f>IF(#REF!,"AAAAAF3f3wU=",0)</f>
        <v>#REF!</v>
      </c>
      <c r="G181" t="e">
        <f>IF(#REF!,"AAAAAF3f3wY=",0)</f>
        <v>#REF!</v>
      </c>
      <c r="H181" t="e">
        <f>IF(#REF!,"AAAAAF3f3wc=",0)</f>
        <v>#REF!</v>
      </c>
      <c r="I181" t="e">
        <f>IF(#REF!,"AAAAAF3f3wg=",0)</f>
        <v>#REF!</v>
      </c>
      <c r="J181" t="e">
        <f>IF(#REF!,"AAAAAF3f3wk=",0)</f>
        <v>#REF!</v>
      </c>
      <c r="K181" t="e">
        <f>IF(#REF!,"AAAAAF3f3wo=",0)</f>
        <v>#REF!</v>
      </c>
      <c r="L181" t="e">
        <f>IF(#REF!,"AAAAAF3f3ws=",0)</f>
        <v>#REF!</v>
      </c>
      <c r="M181" t="e">
        <f>IF(#REF!,"AAAAAF3f3ww=",0)</f>
        <v>#REF!</v>
      </c>
      <c r="N181" t="e">
        <f>IF(#REF!,"AAAAAF3f3w0=",0)</f>
        <v>#REF!</v>
      </c>
      <c r="O181" t="e">
        <f>IF(#REF!,"AAAAAF3f3w4=",0)</f>
        <v>#REF!</v>
      </c>
      <c r="P181" t="e">
        <f>IF(#REF!,"AAAAAF3f3w8=",0)</f>
        <v>#REF!</v>
      </c>
      <c r="Q181" t="e">
        <f>IF(#REF!,"AAAAAF3f3xA=",0)</f>
        <v>#REF!</v>
      </c>
      <c r="R181" t="e">
        <f>IF(#REF!,"AAAAAF3f3xE=",0)</f>
        <v>#REF!</v>
      </c>
      <c r="S181" t="e">
        <f>IF(#REF!,"AAAAAF3f3xI=",0)</f>
        <v>#REF!</v>
      </c>
      <c r="T181" t="e">
        <f>IF(#REF!,"AAAAAF3f3xM=",0)</f>
        <v>#REF!</v>
      </c>
      <c r="U181" t="e">
        <f>IF(#REF!,"AAAAAF3f3xQ=",0)</f>
        <v>#REF!</v>
      </c>
      <c r="V181" t="e">
        <f>IF(#REF!,"AAAAAF3f3xU=",0)</f>
        <v>#REF!</v>
      </c>
      <c r="W181" t="e">
        <f>IF(#REF!,"AAAAAF3f3xY=",0)</f>
        <v>#REF!</v>
      </c>
      <c r="X181" t="e">
        <f>IF(#REF!,"AAAAAF3f3xc=",0)</f>
        <v>#REF!</v>
      </c>
      <c r="Y181" t="e">
        <f>IF(#REF!,"AAAAAF3f3xg=",0)</f>
        <v>#REF!</v>
      </c>
      <c r="Z181" t="e">
        <f>IF(#REF!,"AAAAAF3f3xk=",0)</f>
        <v>#REF!</v>
      </c>
      <c r="AA181" t="e">
        <f>IF(#REF!,"AAAAAF3f3xo=",0)</f>
        <v>#REF!</v>
      </c>
      <c r="AB181" t="e">
        <f>IF(#REF!,"AAAAAF3f3xs=",0)</f>
        <v>#REF!</v>
      </c>
      <c r="AC181" t="e">
        <f>IF(#REF!,"AAAAAF3f3xw=",0)</f>
        <v>#REF!</v>
      </c>
      <c r="AD181" t="e">
        <f>IF(#REF!,"AAAAAF3f3x0=",0)</f>
        <v>#REF!</v>
      </c>
      <c r="AE181" t="e">
        <f>IF(#REF!,"AAAAAF3f3x4=",0)</f>
        <v>#REF!</v>
      </c>
      <c r="AF181" t="e">
        <f>IF(#REF!,"AAAAAF3f3x8=",0)</f>
        <v>#REF!</v>
      </c>
      <c r="AG181" t="e">
        <f>IF(#REF!,"AAAAAF3f3yA=",0)</f>
        <v>#REF!</v>
      </c>
      <c r="AH181" t="e">
        <f>IF(#REF!,"AAAAAF3f3yE=",0)</f>
        <v>#REF!</v>
      </c>
      <c r="AI181" t="e">
        <f>IF(#REF!,"AAAAAF3f3yI=",0)</f>
        <v>#REF!</v>
      </c>
      <c r="AJ181" t="e">
        <f>IF(#REF!,"AAAAAF3f3yM=",0)</f>
        <v>#REF!</v>
      </c>
      <c r="AK181" t="e">
        <f>IF(#REF!,"AAAAAF3f3yQ=",0)</f>
        <v>#REF!</v>
      </c>
      <c r="AL181" t="e">
        <f>IF(#REF!,"AAAAAF3f3yU=",0)</f>
        <v>#REF!</v>
      </c>
      <c r="AM181" t="e">
        <f>IF(#REF!,"AAAAAF3f3yY=",0)</f>
        <v>#REF!</v>
      </c>
      <c r="AN181" t="e">
        <f>IF(#REF!,"AAAAAF3f3yc=",0)</f>
        <v>#REF!</v>
      </c>
      <c r="AO181" t="e">
        <f>IF(#REF!,"AAAAAF3f3yg=",0)</f>
        <v>#REF!</v>
      </c>
      <c r="AP181" t="e">
        <f>IF(#REF!,"AAAAAF3f3yk=",0)</f>
        <v>#REF!</v>
      </c>
      <c r="AQ181" t="e">
        <f>IF(#REF!,"AAAAAF3f3yo=",0)</f>
        <v>#REF!</v>
      </c>
      <c r="AR181" t="e">
        <f>IF(#REF!,"AAAAAF3f3ys=",0)</f>
        <v>#REF!</v>
      </c>
      <c r="AS181" t="e">
        <f>IF(#REF!,"AAAAAF3f3yw=",0)</f>
        <v>#REF!</v>
      </c>
      <c r="AT181" t="e">
        <f>IF(#REF!,"AAAAAF3f3y0=",0)</f>
        <v>#REF!</v>
      </c>
      <c r="AU181" t="e">
        <f>IF(#REF!,"AAAAAF3f3y4=",0)</f>
        <v>#REF!</v>
      </c>
      <c r="AV181" t="e">
        <f>IF(#REF!,"AAAAAF3f3y8=",0)</f>
        <v>#REF!</v>
      </c>
      <c r="AW181" t="e">
        <f>IF(#REF!,"AAAAAF3f3zA=",0)</f>
        <v>#REF!</v>
      </c>
      <c r="AX181" t="e">
        <f>IF(#REF!,"AAAAAF3f3zE=",0)</f>
        <v>#REF!</v>
      </c>
      <c r="AY181" t="e">
        <f>IF(#REF!,"AAAAAF3f3zI=",0)</f>
        <v>#REF!</v>
      </c>
      <c r="AZ181" t="e">
        <f>IF(#REF!,"AAAAAF3f3zM=",0)</f>
        <v>#REF!</v>
      </c>
      <c r="BA181" t="e">
        <f>IF(#REF!,"AAAAAF3f3zQ=",0)</f>
        <v>#REF!</v>
      </c>
      <c r="BB181" t="e">
        <f>IF(#REF!,"AAAAAF3f3zU=",0)</f>
        <v>#REF!</v>
      </c>
      <c r="BC181" t="e">
        <f>IF(#REF!,"AAAAAF3f3zY=",0)</f>
        <v>#REF!</v>
      </c>
      <c r="BD181" t="e">
        <f>IF(#REF!,"AAAAAF3f3zc=",0)</f>
        <v>#REF!</v>
      </c>
      <c r="BE181" t="e">
        <f>IF(#REF!,"AAAAAF3f3zg=",0)</f>
        <v>#REF!</v>
      </c>
      <c r="BF181" t="e">
        <f>IF(#REF!,"AAAAAF3f3zk=",0)</f>
        <v>#REF!</v>
      </c>
      <c r="BG181" t="e">
        <f>IF(#REF!,"AAAAAF3f3zo=",0)</f>
        <v>#REF!</v>
      </c>
      <c r="BH181" t="e">
        <f>IF(#REF!,"AAAAAF3f3zs=",0)</f>
        <v>#REF!</v>
      </c>
      <c r="BI181" t="e">
        <f>IF(#REF!,"AAAAAF3f3zw=",0)</f>
        <v>#REF!</v>
      </c>
      <c r="BJ181" t="e">
        <f>IF(#REF!,"AAAAAF3f3z0=",0)</f>
        <v>#REF!</v>
      </c>
      <c r="BK181" t="e">
        <f>IF(#REF!,"AAAAAF3f3z4=",0)</f>
        <v>#REF!</v>
      </c>
      <c r="BL181" t="e">
        <f>IF(#REF!,"AAAAAF3f3z8=",0)</f>
        <v>#REF!</v>
      </c>
      <c r="BM181" t="e">
        <f>IF(#REF!,"AAAAAF3f30A=",0)</f>
        <v>#REF!</v>
      </c>
      <c r="BN181" t="e">
        <f>IF(#REF!,"AAAAAF3f30E=",0)</f>
        <v>#REF!</v>
      </c>
      <c r="BO181" t="e">
        <f>IF(#REF!,"AAAAAF3f30I=",0)</f>
        <v>#REF!</v>
      </c>
      <c r="BP181" t="e">
        <f>IF(#REF!,"AAAAAF3f30M=",0)</f>
        <v>#REF!</v>
      </c>
      <c r="BQ181" t="e">
        <f>IF(#REF!,"AAAAAF3f30Q=",0)</f>
        <v>#REF!</v>
      </c>
      <c r="BR181" t="e">
        <f>IF(#REF!,"AAAAAF3f30U=",0)</f>
        <v>#REF!</v>
      </c>
      <c r="BS181" t="e">
        <f>IF(#REF!,"AAAAAF3f30Y=",0)</f>
        <v>#REF!</v>
      </c>
      <c r="BT181" t="e">
        <f>IF(#REF!,"AAAAAF3f30c=",0)</f>
        <v>#REF!</v>
      </c>
      <c r="BU181" t="e">
        <f>IF(#REF!,"AAAAAF3f30g=",0)</f>
        <v>#REF!</v>
      </c>
      <c r="BV181" t="e">
        <f>IF(#REF!,"AAAAAF3f30k=",0)</f>
        <v>#REF!</v>
      </c>
      <c r="BW181" t="e">
        <f>IF(#REF!,"AAAAAF3f30o=",0)</f>
        <v>#REF!</v>
      </c>
      <c r="BX181" t="e">
        <f>IF(#REF!,"AAAAAF3f30s=",0)</f>
        <v>#REF!</v>
      </c>
      <c r="BY181" t="e">
        <f>IF(#REF!,"AAAAAF3f30w=",0)</f>
        <v>#REF!</v>
      </c>
      <c r="BZ181" t="e">
        <f>IF(#REF!,"AAAAAF3f300=",0)</f>
        <v>#REF!</v>
      </c>
      <c r="CA181" t="e">
        <f>IF(#REF!,"AAAAAF3f304=",0)</f>
        <v>#REF!</v>
      </c>
      <c r="CB181" t="e">
        <f>IF(#REF!,"AAAAAF3f308=",0)</f>
        <v>#REF!</v>
      </c>
      <c r="CC181" t="e">
        <f>IF(#REF!,"AAAAAF3f31A=",0)</f>
        <v>#REF!</v>
      </c>
      <c r="CD181" t="e">
        <f>IF(#REF!,"AAAAAF3f31E=",0)</f>
        <v>#REF!</v>
      </c>
      <c r="CE181" t="e">
        <f>IF(#REF!,"AAAAAF3f31I=",0)</f>
        <v>#REF!</v>
      </c>
      <c r="CF181" t="e">
        <f>IF(#REF!,"AAAAAF3f31M=",0)</f>
        <v>#REF!</v>
      </c>
      <c r="CG181" t="e">
        <f>IF(#REF!,"AAAAAF3f31Q=",0)</f>
        <v>#REF!</v>
      </c>
      <c r="CH181" t="e">
        <f>IF(#REF!,"AAAAAF3f31U=",0)</f>
        <v>#REF!</v>
      </c>
      <c r="CI181" t="e">
        <f>IF(#REF!,"AAAAAF3f31Y=",0)</f>
        <v>#REF!</v>
      </c>
      <c r="CJ181" t="e">
        <f>IF(#REF!,"AAAAAF3f31c=",0)</f>
        <v>#REF!</v>
      </c>
      <c r="CK181" t="e">
        <f>IF(#REF!,"AAAAAF3f31g=",0)</f>
        <v>#REF!</v>
      </c>
      <c r="CL181" t="e">
        <f>IF(#REF!,"AAAAAF3f31k=",0)</f>
        <v>#REF!</v>
      </c>
      <c r="CM181" t="e">
        <f>IF(#REF!,"AAAAAF3f31o=",0)</f>
        <v>#REF!</v>
      </c>
      <c r="CN181" t="e">
        <f>IF(#REF!,"AAAAAF3f31s=",0)</f>
        <v>#REF!</v>
      </c>
      <c r="CO181" t="e">
        <f>IF(#REF!,"AAAAAF3f31w=",0)</f>
        <v>#REF!</v>
      </c>
      <c r="CP181" t="e">
        <f>IF(#REF!,"AAAAAF3f310=",0)</f>
        <v>#REF!</v>
      </c>
      <c r="CQ181" t="e">
        <f>IF(#REF!,"AAAAAF3f314=",0)</f>
        <v>#REF!</v>
      </c>
      <c r="CR181" t="e">
        <f>IF(#REF!,"AAAAAF3f318=",0)</f>
        <v>#REF!</v>
      </c>
      <c r="CS181" t="e">
        <f>IF(#REF!,"AAAAAF3f32A=",0)</f>
        <v>#REF!</v>
      </c>
      <c r="CT181" t="e">
        <f>IF(#REF!,"AAAAAF3f32E=",0)</f>
        <v>#REF!</v>
      </c>
      <c r="CU181" t="e">
        <f>IF(#REF!,"AAAAAF3f32I=",0)</f>
        <v>#REF!</v>
      </c>
      <c r="CV181" t="e">
        <f>IF(#REF!,"AAAAAF3f32M=",0)</f>
        <v>#REF!</v>
      </c>
      <c r="CW181" t="e">
        <f>IF(#REF!,"AAAAAF3f32Q=",0)</f>
        <v>#REF!</v>
      </c>
      <c r="CX181" t="e">
        <f>IF(#REF!,"AAAAAF3f32U=",0)</f>
        <v>#REF!</v>
      </c>
      <c r="CY181" t="e">
        <f>IF(#REF!,"AAAAAF3f32Y=",0)</f>
        <v>#REF!</v>
      </c>
      <c r="CZ181" t="e">
        <f>IF(#REF!,"AAAAAF3f32c=",0)</f>
        <v>#REF!</v>
      </c>
      <c r="DA181" t="e">
        <f>IF(#REF!,"AAAAAF3f32g=",0)</f>
        <v>#REF!</v>
      </c>
      <c r="DB181" t="e">
        <f>IF(#REF!,"AAAAAF3f32k=",0)</f>
        <v>#REF!</v>
      </c>
      <c r="DC181" t="e">
        <f>IF(#REF!,"AAAAAF3f32o=",0)</f>
        <v>#REF!</v>
      </c>
      <c r="DD181" t="e">
        <f>IF(#REF!,"AAAAAF3f32s=",0)</f>
        <v>#REF!</v>
      </c>
      <c r="DE181" t="e">
        <f>IF(#REF!,"AAAAAF3f32w=",0)</f>
        <v>#REF!</v>
      </c>
      <c r="DF181" t="e">
        <f>IF(#REF!,"AAAAAF3f320=",0)</f>
        <v>#REF!</v>
      </c>
      <c r="DG181" t="e">
        <f>IF(#REF!,"AAAAAF3f324=",0)</f>
        <v>#REF!</v>
      </c>
      <c r="DH181" t="e">
        <f>IF(#REF!,"AAAAAF3f328=",0)</f>
        <v>#REF!</v>
      </c>
      <c r="DI181" t="e">
        <f>IF(#REF!,"AAAAAF3f33A=",0)</f>
        <v>#REF!</v>
      </c>
      <c r="DJ181" t="e">
        <f>IF(#REF!,"AAAAAF3f33E=",0)</f>
        <v>#REF!</v>
      </c>
      <c r="DK181" t="e">
        <f>IF(#REF!,"AAAAAF3f33I=",0)</f>
        <v>#REF!</v>
      </c>
      <c r="DL181" t="e">
        <f>IF(#REF!,"AAAAAF3f33M=",0)</f>
        <v>#REF!</v>
      </c>
      <c r="DM181" t="e">
        <f>IF(#REF!,"AAAAAF3f33Q=",0)</f>
        <v>#REF!</v>
      </c>
      <c r="DN181" t="e">
        <f>IF(#REF!,"AAAAAF3f33U=",0)</f>
        <v>#REF!</v>
      </c>
      <c r="DO181" t="e">
        <f>IF(#REF!,"AAAAAF3f33Y=",0)</f>
        <v>#REF!</v>
      </c>
      <c r="DP181" t="e">
        <f>IF(#REF!,"AAAAAF3f33c=",0)</f>
        <v>#REF!</v>
      </c>
      <c r="DQ181" t="e">
        <f>IF(#REF!,"AAAAAF3f33g=",0)</f>
        <v>#REF!</v>
      </c>
      <c r="DR181" t="e">
        <f>IF(#REF!,"AAAAAF3f33k=",0)</f>
        <v>#REF!</v>
      </c>
      <c r="DS181" t="e">
        <f>IF(#REF!,"AAAAAF3f33o=",0)</f>
        <v>#REF!</v>
      </c>
      <c r="DT181" t="e">
        <f>IF(#REF!,"AAAAAF3f33s=",0)</f>
        <v>#REF!</v>
      </c>
      <c r="DU181" t="e">
        <f>IF(#REF!,"AAAAAF3f33w=",0)</f>
        <v>#REF!</v>
      </c>
      <c r="DV181" t="e">
        <f>IF(#REF!,"AAAAAF3f330=",0)</f>
        <v>#REF!</v>
      </c>
      <c r="DW181" t="e">
        <f>IF(#REF!,"AAAAAF3f334=",0)</f>
        <v>#REF!</v>
      </c>
      <c r="DX181" t="e">
        <f>IF(#REF!,"AAAAAF3f338=",0)</f>
        <v>#REF!</v>
      </c>
      <c r="DY181" t="e">
        <f>IF(#REF!,"AAAAAF3f34A=",0)</f>
        <v>#REF!</v>
      </c>
      <c r="DZ181" t="e">
        <f>IF(#REF!,"AAAAAF3f34E=",0)</f>
        <v>#REF!</v>
      </c>
      <c r="EA181" t="e">
        <f>IF(#REF!,"AAAAAF3f34I=",0)</f>
        <v>#REF!</v>
      </c>
      <c r="EB181" t="e">
        <f>IF(#REF!,"AAAAAF3f34M=",0)</f>
        <v>#REF!</v>
      </c>
      <c r="EC181" t="e">
        <f>IF(#REF!,"AAAAAF3f34Q=",0)</f>
        <v>#REF!</v>
      </c>
      <c r="ED181" t="e">
        <f>IF(#REF!,"AAAAAF3f34U=",0)</f>
        <v>#REF!</v>
      </c>
      <c r="EE181" t="e">
        <f>IF(#REF!,"AAAAAF3f34Y=",0)</f>
        <v>#REF!</v>
      </c>
      <c r="EF181" t="e">
        <f>IF(#REF!,"AAAAAF3f34c=",0)</f>
        <v>#REF!</v>
      </c>
      <c r="EG181" t="e">
        <f>IF(#REF!,"AAAAAF3f34g=",0)</f>
        <v>#REF!</v>
      </c>
      <c r="EH181" t="e">
        <f>IF(#REF!,"AAAAAF3f34k=",0)</f>
        <v>#REF!</v>
      </c>
      <c r="EI181" t="e">
        <f>IF(#REF!,"AAAAAF3f34o=",0)</f>
        <v>#REF!</v>
      </c>
      <c r="EJ181" t="e">
        <f>IF(#REF!,"AAAAAF3f34s=",0)</f>
        <v>#REF!</v>
      </c>
      <c r="EK181" t="e">
        <f>IF(#REF!,"AAAAAF3f34w=",0)</f>
        <v>#REF!</v>
      </c>
      <c r="EL181" t="e">
        <f>IF(#REF!,"AAAAAF3f340=",0)</f>
        <v>#REF!</v>
      </c>
      <c r="EM181" t="e">
        <f>IF(#REF!,"AAAAAF3f344=",0)</f>
        <v>#REF!</v>
      </c>
      <c r="EN181" t="e">
        <f>IF(#REF!,"AAAAAF3f348=",0)</f>
        <v>#REF!</v>
      </c>
      <c r="EO181" t="e">
        <f>IF(#REF!,"AAAAAF3f35A=",0)</f>
        <v>#REF!</v>
      </c>
      <c r="EP181" t="e">
        <f>IF(#REF!,"AAAAAF3f35E=",0)</f>
        <v>#REF!</v>
      </c>
      <c r="EQ181" t="e">
        <f>IF(#REF!,"AAAAAF3f35I=",0)</f>
        <v>#REF!</v>
      </c>
      <c r="ER181" t="e">
        <f>IF(#REF!,"AAAAAF3f35M=",0)</f>
        <v>#REF!</v>
      </c>
      <c r="ES181" t="e">
        <f>IF(#REF!,"AAAAAF3f35Q=",0)</f>
        <v>#REF!</v>
      </c>
      <c r="ET181" t="e">
        <f>IF(#REF!,"AAAAAF3f35U=",0)</f>
        <v>#REF!</v>
      </c>
      <c r="EU181" t="e">
        <f>IF(#REF!,"AAAAAF3f35Y=",0)</f>
        <v>#REF!</v>
      </c>
      <c r="EV181" t="e">
        <f>IF(#REF!,"AAAAAF3f35c=",0)</f>
        <v>#REF!</v>
      </c>
      <c r="EW181" t="e">
        <f>IF(#REF!,"AAAAAF3f35g=",0)</f>
        <v>#REF!</v>
      </c>
      <c r="EX181" t="e">
        <f>IF(#REF!,"AAAAAF3f35k=",0)</f>
        <v>#REF!</v>
      </c>
      <c r="EY181" t="e">
        <f>IF(#REF!,"AAAAAF3f35o=",0)</f>
        <v>#REF!</v>
      </c>
      <c r="EZ181" t="e">
        <f>IF(#REF!,"AAAAAF3f35s=",0)</f>
        <v>#REF!</v>
      </c>
      <c r="FA181" t="e">
        <f>IF(#REF!,"AAAAAF3f35w=",0)</f>
        <v>#REF!</v>
      </c>
      <c r="FB181" t="e">
        <f>IF(#REF!,"AAAAAF3f350=",0)</f>
        <v>#REF!</v>
      </c>
      <c r="FC181" t="e">
        <f>IF(#REF!,"AAAAAF3f354=",0)</f>
        <v>#REF!</v>
      </c>
      <c r="FD181" t="e">
        <f>IF(#REF!,"AAAAAF3f358=",0)</f>
        <v>#REF!</v>
      </c>
      <c r="FE181" t="e">
        <f>IF(#REF!,"AAAAAF3f36A=",0)</f>
        <v>#REF!</v>
      </c>
      <c r="FF181" t="e">
        <f>IF(#REF!,"AAAAAF3f36E=",0)</f>
        <v>#REF!</v>
      </c>
      <c r="FG181" t="e">
        <f>IF(#REF!,"AAAAAF3f36I=",0)</f>
        <v>#REF!</v>
      </c>
      <c r="FH181" t="e">
        <f>IF(#REF!,"AAAAAF3f36M=",0)</f>
        <v>#REF!</v>
      </c>
      <c r="FI181" t="e">
        <f>IF(#REF!,"AAAAAF3f36Q=",0)</f>
        <v>#REF!</v>
      </c>
      <c r="FJ181" t="e">
        <f>IF(#REF!,"AAAAAF3f36U=",0)</f>
        <v>#REF!</v>
      </c>
      <c r="FK181" t="e">
        <f>IF(#REF!,"AAAAAF3f36Y=",0)</f>
        <v>#REF!</v>
      </c>
      <c r="FL181" t="e">
        <f>IF(#REF!,"AAAAAF3f36c=",0)</f>
        <v>#REF!</v>
      </c>
      <c r="FM181" t="e">
        <f>IF(#REF!,"AAAAAF3f36g=",0)</f>
        <v>#REF!</v>
      </c>
      <c r="FN181" t="e">
        <f>IF(#REF!,"AAAAAF3f36k=",0)</f>
        <v>#REF!</v>
      </c>
      <c r="FO181" t="e">
        <f>IF(#REF!,"AAAAAF3f36o=",0)</f>
        <v>#REF!</v>
      </c>
      <c r="FP181" t="e">
        <f>IF(#REF!,"AAAAAF3f36s=",0)</f>
        <v>#REF!</v>
      </c>
      <c r="FQ181" t="e">
        <f>IF(#REF!,"AAAAAF3f36w=",0)</f>
        <v>#REF!</v>
      </c>
      <c r="FR181" t="e">
        <f>IF(#REF!,"AAAAAF3f360=",0)</f>
        <v>#REF!</v>
      </c>
      <c r="FS181" t="e">
        <f>IF(#REF!,"AAAAAF3f364=",0)</f>
        <v>#REF!</v>
      </c>
      <c r="FT181" t="e">
        <f>IF(#REF!,"AAAAAF3f368=",0)</f>
        <v>#REF!</v>
      </c>
      <c r="FU181" t="e">
        <f>IF(#REF!,"AAAAAF3f37A=",0)</f>
        <v>#REF!</v>
      </c>
      <c r="FV181" t="e">
        <f>IF(#REF!,"AAAAAF3f37E=",0)</f>
        <v>#REF!</v>
      </c>
      <c r="FW181" t="e">
        <f>IF(#REF!,"AAAAAF3f37I=",0)</f>
        <v>#REF!</v>
      </c>
      <c r="FX181" t="e">
        <f>IF(#REF!,"AAAAAF3f37M=",0)</f>
        <v>#REF!</v>
      </c>
      <c r="FY181" t="e">
        <f>IF(#REF!,"AAAAAF3f37Q=",0)</f>
        <v>#REF!</v>
      </c>
      <c r="FZ181" t="e">
        <f>IF(#REF!,"AAAAAF3f37U=",0)</f>
        <v>#REF!</v>
      </c>
      <c r="GA181" t="e">
        <f>IF(#REF!,"AAAAAF3f37Y=",0)</f>
        <v>#REF!</v>
      </c>
      <c r="GB181" t="e">
        <f>IF(#REF!,"AAAAAF3f37c=",0)</f>
        <v>#REF!</v>
      </c>
      <c r="GC181" t="e">
        <f>IF(#REF!,"AAAAAF3f37g=",0)</f>
        <v>#REF!</v>
      </c>
      <c r="GD181" t="e">
        <f>IF(#REF!,"AAAAAF3f37k=",0)</f>
        <v>#REF!</v>
      </c>
      <c r="GE181" t="e">
        <f>IF(#REF!,"AAAAAF3f37o=",0)</f>
        <v>#REF!</v>
      </c>
      <c r="GF181" t="e">
        <f>IF(#REF!,"AAAAAF3f37s=",0)</f>
        <v>#REF!</v>
      </c>
      <c r="GG181" t="e">
        <f>IF(#REF!,"AAAAAF3f37w=",0)</f>
        <v>#REF!</v>
      </c>
      <c r="GH181" t="e">
        <f>IF(#REF!,"AAAAAF3f370=",0)</f>
        <v>#REF!</v>
      </c>
      <c r="GI181" t="e">
        <f>IF(#REF!,"AAAAAF3f374=",0)</f>
        <v>#REF!</v>
      </c>
      <c r="GJ181" t="e">
        <f>IF(#REF!,"AAAAAF3f378=",0)</f>
        <v>#REF!</v>
      </c>
      <c r="GK181" t="e">
        <f>IF(#REF!,"AAAAAF3f38A=",0)</f>
        <v>#REF!</v>
      </c>
      <c r="GL181" t="e">
        <f>IF(#REF!,"AAAAAF3f38E=",0)</f>
        <v>#REF!</v>
      </c>
      <c r="GM181" t="e">
        <f>IF(#REF!,"AAAAAF3f38I=",0)</f>
        <v>#REF!</v>
      </c>
      <c r="GN181" t="e">
        <f>IF(#REF!,"AAAAAF3f38M=",0)</f>
        <v>#REF!</v>
      </c>
      <c r="GO181" t="e">
        <f>IF(#REF!,"AAAAAF3f38Q=",0)</f>
        <v>#REF!</v>
      </c>
      <c r="GP181" t="e">
        <f>IF(#REF!,"AAAAAF3f38U=",0)</f>
        <v>#REF!</v>
      </c>
      <c r="GQ181" t="e">
        <f>IF(#REF!,"AAAAAF3f38Y=",0)</f>
        <v>#REF!</v>
      </c>
      <c r="GR181" t="e">
        <f>IF(#REF!,"AAAAAF3f38c=",0)</f>
        <v>#REF!</v>
      </c>
      <c r="GS181" t="e">
        <f>IF(#REF!,"AAAAAF3f38g=",0)</f>
        <v>#REF!</v>
      </c>
      <c r="GT181" t="e">
        <f>IF(#REF!,"AAAAAF3f38k=",0)</f>
        <v>#REF!</v>
      </c>
      <c r="GU181" t="e">
        <f>IF(#REF!,"AAAAAF3f38o=",0)</f>
        <v>#REF!</v>
      </c>
      <c r="GV181" t="e">
        <f>IF(#REF!,"AAAAAF3f38s=",0)</f>
        <v>#REF!</v>
      </c>
      <c r="GW181" t="e">
        <f>IF(#REF!,"AAAAAF3f38w=",0)</f>
        <v>#REF!</v>
      </c>
      <c r="GX181" t="e">
        <f>IF(#REF!,"AAAAAF3f380=",0)</f>
        <v>#REF!</v>
      </c>
      <c r="GY181" t="e">
        <f>IF(#REF!,"AAAAAF3f384=",0)</f>
        <v>#REF!</v>
      </c>
      <c r="GZ181" t="e">
        <f>IF(#REF!,"AAAAAF3f388=",0)</f>
        <v>#REF!</v>
      </c>
      <c r="HA181" t="e">
        <f>IF(#REF!,"AAAAAF3f39A=",0)</f>
        <v>#REF!</v>
      </c>
      <c r="HB181" t="e">
        <f>IF(#REF!,"AAAAAF3f39E=",0)</f>
        <v>#REF!</v>
      </c>
      <c r="HC181" t="e">
        <f>IF(#REF!,"AAAAAF3f39I=",0)</f>
        <v>#REF!</v>
      </c>
      <c r="HD181" t="e">
        <f>IF(#REF!,"AAAAAF3f39M=",0)</f>
        <v>#REF!</v>
      </c>
      <c r="HE181" t="e">
        <f>IF(#REF!,"AAAAAF3f39Q=",0)</f>
        <v>#REF!</v>
      </c>
      <c r="HF181" t="e">
        <f>IF(#REF!,"AAAAAF3f39U=",0)</f>
        <v>#REF!</v>
      </c>
      <c r="HG181" t="e">
        <f>IF(#REF!,"AAAAAF3f39Y=",0)</f>
        <v>#REF!</v>
      </c>
      <c r="HH181" t="e">
        <f>IF(#REF!,"AAAAAF3f39c=",0)</f>
        <v>#REF!</v>
      </c>
      <c r="HI181" t="e">
        <f>IF(#REF!,"AAAAAF3f39g=",0)</f>
        <v>#REF!</v>
      </c>
      <c r="HJ181" t="e">
        <f>IF(#REF!,"AAAAAF3f39k=",0)</f>
        <v>#REF!</v>
      </c>
      <c r="HK181" t="e">
        <f>IF(#REF!,"AAAAAF3f39o=",0)</f>
        <v>#REF!</v>
      </c>
      <c r="HL181" t="e">
        <f>IF(#REF!,"AAAAAF3f39s=",0)</f>
        <v>#REF!</v>
      </c>
      <c r="HM181" t="e">
        <f>IF(#REF!,"AAAAAF3f39w=",0)</f>
        <v>#REF!</v>
      </c>
      <c r="HN181" t="e">
        <f>IF(#REF!,"AAAAAF3f390=",0)</f>
        <v>#REF!</v>
      </c>
      <c r="HO181" t="e">
        <f>IF(#REF!,"AAAAAF3f394=",0)</f>
        <v>#REF!</v>
      </c>
      <c r="HP181" t="e">
        <f>IF(#REF!,"AAAAAF3f398=",0)</f>
        <v>#REF!</v>
      </c>
      <c r="HQ181" t="e">
        <f>IF(#REF!,"AAAAAF3f3+A=",0)</f>
        <v>#REF!</v>
      </c>
      <c r="HR181" t="e">
        <f>IF(#REF!,"AAAAAF3f3+E=",0)</f>
        <v>#REF!</v>
      </c>
      <c r="HS181" t="e">
        <f>IF(#REF!,"AAAAAF3f3+I=",0)</f>
        <v>#REF!</v>
      </c>
      <c r="HT181" t="e">
        <f>IF(#REF!,"AAAAAF3f3+M=",0)</f>
        <v>#REF!</v>
      </c>
      <c r="HU181" t="e">
        <f>IF(#REF!,"AAAAAF3f3+Q=",0)</f>
        <v>#REF!</v>
      </c>
      <c r="HV181" t="e">
        <f>IF(#REF!,"AAAAAF3f3+U=",0)</f>
        <v>#REF!</v>
      </c>
      <c r="HW181" t="e">
        <f>IF(#REF!,"AAAAAF3f3+Y=",0)</f>
        <v>#REF!</v>
      </c>
      <c r="HX181" t="e">
        <f>IF(#REF!,"AAAAAF3f3+c=",0)</f>
        <v>#REF!</v>
      </c>
      <c r="HY181" t="e">
        <f>IF(#REF!,"AAAAAF3f3+g=",0)</f>
        <v>#REF!</v>
      </c>
      <c r="HZ181" t="e">
        <f>IF(#REF!,"AAAAAF3f3+k=",0)</f>
        <v>#REF!</v>
      </c>
      <c r="IA181" t="e">
        <f>IF(#REF!,"AAAAAF3f3+o=",0)</f>
        <v>#REF!</v>
      </c>
      <c r="IB181" t="e">
        <f>IF(#REF!,"AAAAAF3f3+s=",0)</f>
        <v>#REF!</v>
      </c>
      <c r="IC181" t="e">
        <f>IF(#REF!,"AAAAAF3f3+w=",0)</f>
        <v>#REF!</v>
      </c>
      <c r="ID181" t="e">
        <f>IF(#REF!,"AAAAAF3f3+0=",0)</f>
        <v>#REF!</v>
      </c>
      <c r="IE181" t="e">
        <f>IF(#REF!,"AAAAAF3f3+4=",0)</f>
        <v>#REF!</v>
      </c>
      <c r="IF181" t="e">
        <f>IF(#REF!,"AAAAAF3f3+8=",0)</f>
        <v>#REF!</v>
      </c>
      <c r="IG181" t="e">
        <f>IF(#REF!,"AAAAAF3f3/A=",0)</f>
        <v>#REF!</v>
      </c>
      <c r="IH181" t="e">
        <f>IF(#REF!,"AAAAAF3f3/E=",0)</f>
        <v>#REF!</v>
      </c>
      <c r="II181" t="e">
        <f>IF(#REF!,"AAAAAF3f3/I=",0)</f>
        <v>#REF!</v>
      </c>
      <c r="IJ181" t="e">
        <f>IF(#REF!,"AAAAAF3f3/M=",0)</f>
        <v>#REF!</v>
      </c>
      <c r="IK181" t="e">
        <f>IF(#REF!,"AAAAAF3f3/Q=",0)</f>
        <v>#REF!</v>
      </c>
      <c r="IL181" t="e">
        <f>IF(#REF!,"AAAAAF3f3/U=",0)</f>
        <v>#REF!</v>
      </c>
      <c r="IM181" t="e">
        <f>IF(#REF!,"AAAAAF3f3/Y=",0)</f>
        <v>#REF!</v>
      </c>
      <c r="IN181" t="e">
        <f>IF(#REF!,"AAAAAF3f3/c=",0)</f>
        <v>#REF!</v>
      </c>
      <c r="IO181" t="e">
        <f>IF(#REF!,"AAAAAF3f3/g=",0)</f>
        <v>#REF!</v>
      </c>
      <c r="IP181" t="e">
        <f>IF(#REF!,"AAAAAF3f3/k=",0)</f>
        <v>#REF!</v>
      </c>
      <c r="IQ181" t="e">
        <f>IF(#REF!,"AAAAAF3f3/o=",0)</f>
        <v>#REF!</v>
      </c>
      <c r="IR181" t="e">
        <f>IF(#REF!,"AAAAAF3f3/s=",0)</f>
        <v>#REF!</v>
      </c>
      <c r="IS181" t="e">
        <f>IF(#REF!,"AAAAAF3f3/w=",0)</f>
        <v>#REF!</v>
      </c>
      <c r="IT181" t="e">
        <f>IF(#REF!,"AAAAAF3f3/0=",0)</f>
        <v>#REF!</v>
      </c>
      <c r="IU181" t="e">
        <f>IF(#REF!,"AAAAAF3f3/4=",0)</f>
        <v>#REF!</v>
      </c>
      <c r="IV181" t="e">
        <f>IF(#REF!,"AAAAAF3f3/8=",0)</f>
        <v>#REF!</v>
      </c>
    </row>
    <row r="182" spans="1:256">
      <c r="A182" t="e">
        <f>IF(#REF!,"AAAAAEdu/wA=",0)</f>
        <v>#REF!</v>
      </c>
      <c r="B182" t="e">
        <f>IF(#REF!,"AAAAAEdu/wE=",0)</f>
        <v>#REF!</v>
      </c>
      <c r="C182" t="e">
        <f>IF(#REF!,"AAAAAEdu/wI=",0)</f>
        <v>#REF!</v>
      </c>
      <c r="D182" t="e">
        <f>IF(#REF!,"AAAAAEdu/wM=",0)</f>
        <v>#REF!</v>
      </c>
      <c r="E182" t="e">
        <f>IF(#REF!,"AAAAAEdu/wQ=",0)</f>
        <v>#REF!</v>
      </c>
      <c r="F182" t="e">
        <f>IF(#REF!,"AAAAAEdu/wU=",0)</f>
        <v>#REF!</v>
      </c>
      <c r="G182" t="e">
        <f>IF(#REF!,"AAAAAEdu/wY=",0)</f>
        <v>#REF!</v>
      </c>
      <c r="H182" t="e">
        <f>IF(#REF!,"AAAAAEdu/wc=",0)</f>
        <v>#REF!</v>
      </c>
      <c r="I182" t="e">
        <f>IF(#REF!,"AAAAAEdu/wg=",0)</f>
        <v>#REF!</v>
      </c>
      <c r="J182" t="e">
        <f>IF(#REF!,"AAAAAEdu/wk=",0)</f>
        <v>#REF!</v>
      </c>
      <c r="K182" t="e">
        <f>IF(#REF!,"AAAAAEdu/wo=",0)</f>
        <v>#REF!</v>
      </c>
      <c r="L182" t="e">
        <f>IF(#REF!,"AAAAAEdu/ws=",0)</f>
        <v>#REF!</v>
      </c>
      <c r="M182" t="e">
        <f>IF(#REF!,"AAAAAEdu/ww=",0)</f>
        <v>#REF!</v>
      </c>
      <c r="N182" t="e">
        <f>IF(#REF!,"AAAAAEdu/w0=",0)</f>
        <v>#REF!</v>
      </c>
      <c r="O182" t="e">
        <f>IF(#REF!,"AAAAAEdu/w4=",0)</f>
        <v>#REF!</v>
      </c>
      <c r="P182" t="e">
        <f>IF(#REF!,"AAAAAEdu/w8=",0)</f>
        <v>#REF!</v>
      </c>
      <c r="Q182" t="e">
        <f>IF(#REF!,"AAAAAEdu/xA=",0)</f>
        <v>#REF!</v>
      </c>
      <c r="R182" t="e">
        <f>IF(#REF!,"AAAAAEdu/xE=",0)</f>
        <v>#REF!</v>
      </c>
      <c r="S182" t="e">
        <f>IF(#REF!,"AAAAAEdu/xI=",0)</f>
        <v>#REF!</v>
      </c>
      <c r="T182" t="e">
        <f>IF(#REF!,"AAAAAEdu/xM=",0)</f>
        <v>#REF!</v>
      </c>
      <c r="U182" t="e">
        <f>IF(#REF!,"AAAAAEdu/xQ=",0)</f>
        <v>#REF!</v>
      </c>
      <c r="V182" t="e">
        <f>IF(#REF!,"AAAAAEdu/xU=",0)</f>
        <v>#REF!</v>
      </c>
      <c r="W182" t="e">
        <f>IF(#REF!,"AAAAAEdu/xY=",0)</f>
        <v>#REF!</v>
      </c>
      <c r="X182" t="e">
        <f>IF(#REF!,"AAAAAEdu/xc=",0)</f>
        <v>#REF!</v>
      </c>
      <c r="Y182" t="e">
        <f>IF(#REF!,"AAAAAEdu/xg=",0)</f>
        <v>#REF!</v>
      </c>
      <c r="Z182" t="e">
        <f>IF(#REF!,"AAAAAEdu/xk=",0)</f>
        <v>#REF!</v>
      </c>
      <c r="AA182" t="e">
        <f>IF(#REF!,"AAAAAEdu/xo=",0)</f>
        <v>#REF!</v>
      </c>
      <c r="AB182" t="e">
        <f>IF(#REF!,"AAAAAEdu/xs=",0)</f>
        <v>#REF!</v>
      </c>
      <c r="AC182" t="e">
        <f>IF(#REF!,"AAAAAEdu/xw=",0)</f>
        <v>#REF!</v>
      </c>
      <c r="AD182" t="e">
        <f>IF(#REF!,"AAAAAEdu/x0=",0)</f>
        <v>#REF!</v>
      </c>
      <c r="AE182" t="e">
        <f>IF(#REF!,"AAAAAEdu/x4=",0)</f>
        <v>#REF!</v>
      </c>
      <c r="AF182" t="e">
        <f>IF(#REF!,"AAAAAEdu/x8=",0)</f>
        <v>#REF!</v>
      </c>
      <c r="AG182" t="e">
        <f>IF(#REF!,"AAAAAEdu/yA=",0)</f>
        <v>#REF!</v>
      </c>
      <c r="AH182" t="e">
        <f>IF(#REF!,"AAAAAEdu/yE=",0)</f>
        <v>#REF!</v>
      </c>
      <c r="AI182" t="e">
        <f>IF(#REF!,"AAAAAEdu/yI=",0)</f>
        <v>#REF!</v>
      </c>
      <c r="AJ182" t="e">
        <f>IF(#REF!,"AAAAAEdu/yM=",0)</f>
        <v>#REF!</v>
      </c>
      <c r="AK182" t="e">
        <f>IF(#REF!,"AAAAAEdu/yQ=",0)</f>
        <v>#REF!</v>
      </c>
      <c r="AL182" t="e">
        <f>IF(#REF!,"AAAAAEdu/yU=",0)</f>
        <v>#REF!</v>
      </c>
      <c r="AM182" t="e">
        <f>IF(#REF!,"AAAAAEdu/yY=",0)</f>
        <v>#REF!</v>
      </c>
      <c r="AN182" t="e">
        <f>IF(#REF!,"AAAAAEdu/yc=",0)</f>
        <v>#REF!</v>
      </c>
      <c r="AO182" t="e">
        <f>IF(#REF!,"AAAAAEdu/yg=",0)</f>
        <v>#REF!</v>
      </c>
      <c r="AP182" t="e">
        <f>IF(#REF!,"AAAAAEdu/yk=",0)</f>
        <v>#REF!</v>
      </c>
      <c r="AQ182" t="e">
        <f>IF(#REF!,"AAAAAEdu/yo=",0)</f>
        <v>#REF!</v>
      </c>
      <c r="AR182" t="e">
        <f>IF(#REF!,"AAAAAEdu/ys=",0)</f>
        <v>#REF!</v>
      </c>
      <c r="AS182" t="e">
        <f>IF(#REF!,"AAAAAEdu/yw=",0)</f>
        <v>#REF!</v>
      </c>
      <c r="AT182" t="e">
        <f>IF(#REF!,"AAAAAEdu/y0=",0)</f>
        <v>#REF!</v>
      </c>
      <c r="AU182" t="e">
        <f>IF(#REF!,"AAAAAEdu/y4=",0)</f>
        <v>#REF!</v>
      </c>
      <c r="AV182" t="e">
        <f>IF(#REF!,"AAAAAEdu/y8=",0)</f>
        <v>#REF!</v>
      </c>
      <c r="AW182" t="e">
        <f>IF(#REF!,"AAAAAEdu/zA=",0)</f>
        <v>#REF!</v>
      </c>
      <c r="AX182" t="e">
        <f>IF(#REF!,"AAAAAEdu/zE=",0)</f>
        <v>#REF!</v>
      </c>
      <c r="AY182" t="e">
        <f>IF(#REF!,"AAAAAEdu/zI=",0)</f>
        <v>#REF!</v>
      </c>
      <c r="AZ182" t="e">
        <f>IF(#REF!,"AAAAAEdu/zM=",0)</f>
        <v>#REF!</v>
      </c>
      <c r="BA182" t="e">
        <f>IF(#REF!,"AAAAAEdu/zQ=",0)</f>
        <v>#REF!</v>
      </c>
      <c r="BB182" t="e">
        <f>IF(#REF!,"AAAAAEdu/zU=",0)</f>
        <v>#REF!</v>
      </c>
      <c r="BC182" t="e">
        <f>IF(#REF!,"AAAAAEdu/zY=",0)</f>
        <v>#REF!</v>
      </c>
      <c r="BD182" t="e">
        <f>IF(#REF!,"AAAAAEdu/zc=",0)</f>
        <v>#REF!</v>
      </c>
      <c r="BE182" t="e">
        <f>IF(#REF!,"AAAAAEdu/zg=",0)</f>
        <v>#REF!</v>
      </c>
      <c r="BF182" t="e">
        <f>IF(#REF!,"AAAAAEdu/zk=",0)</f>
        <v>#REF!</v>
      </c>
      <c r="BG182" t="e">
        <f>IF(#REF!,"AAAAAEdu/zo=",0)</f>
        <v>#REF!</v>
      </c>
      <c r="BH182" t="e">
        <f>IF(#REF!,"AAAAAEdu/zs=",0)</f>
        <v>#REF!</v>
      </c>
      <c r="BI182" t="e">
        <f>IF(#REF!,"AAAAAEdu/zw=",0)</f>
        <v>#REF!</v>
      </c>
      <c r="BJ182" t="e">
        <f>IF(#REF!,"AAAAAEdu/z0=",0)</f>
        <v>#REF!</v>
      </c>
      <c r="BK182" t="e">
        <f>IF(#REF!,"AAAAAEdu/z4=",0)</f>
        <v>#REF!</v>
      </c>
      <c r="BL182" t="e">
        <f>IF(#REF!,"AAAAAEdu/z8=",0)</f>
        <v>#REF!</v>
      </c>
      <c r="BM182" t="e">
        <f>IF(#REF!,"AAAAAEdu/0A=",0)</f>
        <v>#REF!</v>
      </c>
      <c r="BN182" t="e">
        <f>IF(#REF!,"AAAAAEdu/0E=",0)</f>
        <v>#REF!</v>
      </c>
      <c r="BO182" t="e">
        <f>IF(#REF!,"AAAAAEdu/0I=",0)</f>
        <v>#REF!</v>
      </c>
      <c r="BP182" t="e">
        <f>IF(#REF!,"AAAAAEdu/0M=",0)</f>
        <v>#REF!</v>
      </c>
      <c r="BQ182" t="e">
        <f>IF(#REF!,"AAAAAEdu/0Q=",0)</f>
        <v>#REF!</v>
      </c>
      <c r="BR182" t="e">
        <f>IF(#REF!,"AAAAAEdu/0U=",0)</f>
        <v>#REF!</v>
      </c>
      <c r="BS182" t="e">
        <f>IF(#REF!,"AAAAAEdu/0Y=",0)</f>
        <v>#REF!</v>
      </c>
      <c r="BT182" t="e">
        <f>IF(#REF!,"AAAAAEdu/0c=",0)</f>
        <v>#REF!</v>
      </c>
      <c r="BU182" t="e">
        <f>IF(#REF!,"AAAAAEdu/0g=",0)</f>
        <v>#REF!</v>
      </c>
      <c r="BV182" t="e">
        <f>IF(#REF!,"AAAAAEdu/0k=",0)</f>
        <v>#REF!</v>
      </c>
      <c r="BW182" t="e">
        <f>IF(#REF!,"AAAAAEdu/0o=",0)</f>
        <v>#REF!</v>
      </c>
      <c r="BX182" t="e">
        <f>IF(#REF!,"AAAAAEdu/0s=",0)</f>
        <v>#REF!</v>
      </c>
      <c r="BY182" t="e">
        <f>IF(#REF!,"AAAAAEdu/0w=",0)</f>
        <v>#REF!</v>
      </c>
      <c r="BZ182" t="e">
        <f>IF(#REF!,"AAAAAEdu/00=",0)</f>
        <v>#REF!</v>
      </c>
      <c r="CA182" t="e">
        <f>IF(#REF!,"AAAAAEdu/04=",0)</f>
        <v>#REF!</v>
      </c>
      <c r="CB182" t="e">
        <f>IF(#REF!,"AAAAAEdu/08=",0)</f>
        <v>#REF!</v>
      </c>
      <c r="CC182" t="e">
        <f>IF(#REF!,"AAAAAEdu/1A=",0)</f>
        <v>#REF!</v>
      </c>
      <c r="CD182" t="e">
        <f>IF(#REF!,"AAAAAEdu/1E=",0)</f>
        <v>#REF!</v>
      </c>
      <c r="CE182" t="e">
        <f>IF(#REF!,"AAAAAEdu/1I=",0)</f>
        <v>#REF!</v>
      </c>
      <c r="CF182" t="e">
        <f>IF(#REF!,"AAAAAEdu/1M=",0)</f>
        <v>#REF!</v>
      </c>
      <c r="CG182" t="e">
        <f>IF(#REF!,"AAAAAEdu/1Q=",0)</f>
        <v>#REF!</v>
      </c>
      <c r="CH182" t="e">
        <f>IF(#REF!,"AAAAAEdu/1U=",0)</f>
        <v>#REF!</v>
      </c>
      <c r="CI182" t="e">
        <f>IF(#REF!,"AAAAAEdu/1Y=",0)</f>
        <v>#REF!</v>
      </c>
      <c r="CJ182" t="e">
        <f>IF(#REF!,"AAAAAEdu/1c=",0)</f>
        <v>#REF!</v>
      </c>
      <c r="CK182" t="e">
        <f>IF(#REF!,"AAAAAEdu/1g=",0)</f>
        <v>#REF!</v>
      </c>
      <c r="CL182" t="e">
        <f>IF(#REF!,"AAAAAEdu/1k=",0)</f>
        <v>#REF!</v>
      </c>
      <c r="CM182" t="e">
        <f>IF(#REF!,"AAAAAEdu/1o=",0)</f>
        <v>#REF!</v>
      </c>
      <c r="CN182" t="e">
        <f>IF(#REF!,"AAAAAEdu/1s=",0)</f>
        <v>#REF!</v>
      </c>
      <c r="CO182" t="e">
        <f>IF(#REF!,"AAAAAEdu/1w=",0)</f>
        <v>#REF!</v>
      </c>
      <c r="CP182" t="e">
        <f>IF(#REF!,"AAAAAEdu/10=",0)</f>
        <v>#REF!</v>
      </c>
      <c r="CQ182" t="e">
        <f>IF(#REF!,"AAAAAEdu/14=",0)</f>
        <v>#REF!</v>
      </c>
      <c r="CR182" t="e">
        <f>IF(#REF!,"AAAAAEdu/18=",0)</f>
        <v>#REF!</v>
      </c>
      <c r="CS182" t="e">
        <f>IF(#REF!,"AAAAAEdu/2A=",0)</f>
        <v>#REF!</v>
      </c>
      <c r="CT182" t="e">
        <f>IF(#REF!,"AAAAAEdu/2E=",0)</f>
        <v>#REF!</v>
      </c>
      <c r="CU182" t="e">
        <f>IF(#REF!,"AAAAAEdu/2I=",0)</f>
        <v>#REF!</v>
      </c>
      <c r="CV182" t="e">
        <f>IF(#REF!,"AAAAAEdu/2M=",0)</f>
        <v>#REF!</v>
      </c>
      <c r="CW182" t="e">
        <f>IF(#REF!,"AAAAAEdu/2Q=",0)</f>
        <v>#REF!</v>
      </c>
      <c r="CX182" t="e">
        <f>IF(#REF!,"AAAAAEdu/2U=",0)</f>
        <v>#REF!</v>
      </c>
      <c r="CY182" t="e">
        <f>IF(#REF!,"AAAAAEdu/2Y=",0)</f>
        <v>#REF!</v>
      </c>
      <c r="CZ182" t="e">
        <f>IF(#REF!,"AAAAAEdu/2c=",0)</f>
        <v>#REF!</v>
      </c>
      <c r="DA182" t="e">
        <f>IF(#REF!,"AAAAAEdu/2g=",0)</f>
        <v>#REF!</v>
      </c>
      <c r="DB182" t="e">
        <f>IF(#REF!,"AAAAAEdu/2k=",0)</f>
        <v>#REF!</v>
      </c>
      <c r="DC182" t="e">
        <f>IF(#REF!,"AAAAAEdu/2o=",0)</f>
        <v>#REF!</v>
      </c>
      <c r="DD182" t="e">
        <f>IF(#REF!,"AAAAAEdu/2s=",0)</f>
        <v>#REF!</v>
      </c>
      <c r="DE182" t="e">
        <f>IF(#REF!,"AAAAAEdu/2w=",0)</f>
        <v>#REF!</v>
      </c>
      <c r="DF182" t="e">
        <f>IF(#REF!,"AAAAAEdu/20=",0)</f>
        <v>#REF!</v>
      </c>
      <c r="DG182" t="e">
        <f>IF(#REF!,"AAAAAEdu/24=",0)</f>
        <v>#REF!</v>
      </c>
      <c r="DH182" t="e">
        <f>IF(#REF!,"AAAAAEdu/28=",0)</f>
        <v>#REF!</v>
      </c>
      <c r="DI182" t="e">
        <f>IF(#REF!,"AAAAAEdu/3A=",0)</f>
        <v>#REF!</v>
      </c>
      <c r="DJ182" t="e">
        <f>IF(#REF!,"AAAAAEdu/3E=",0)</f>
        <v>#REF!</v>
      </c>
      <c r="DK182" t="e">
        <f>IF(#REF!,"AAAAAEdu/3I=",0)</f>
        <v>#REF!</v>
      </c>
      <c r="DL182" t="e">
        <f>IF(#REF!,"AAAAAEdu/3M=",0)</f>
        <v>#REF!</v>
      </c>
      <c r="DM182" t="e">
        <f>IF(#REF!,"AAAAAEdu/3Q=",0)</f>
        <v>#REF!</v>
      </c>
      <c r="DN182" t="e">
        <f>IF(#REF!,"AAAAAEdu/3U=",0)</f>
        <v>#REF!</v>
      </c>
      <c r="DO182" t="e">
        <f>IF(#REF!,"AAAAAEdu/3Y=",0)</f>
        <v>#REF!</v>
      </c>
      <c r="DP182" t="e">
        <f>IF(#REF!,"AAAAAEdu/3c=",0)</f>
        <v>#REF!</v>
      </c>
      <c r="DQ182" t="e">
        <f>IF(#REF!,"AAAAAEdu/3g=",0)</f>
        <v>#REF!</v>
      </c>
      <c r="DR182" t="e">
        <f>IF(#REF!,"AAAAAEdu/3k=",0)</f>
        <v>#REF!</v>
      </c>
      <c r="DS182" t="e">
        <f>IF(#REF!,"AAAAAEdu/3o=",0)</f>
        <v>#REF!</v>
      </c>
      <c r="DT182" t="e">
        <f>IF(#REF!,"AAAAAEdu/3s=",0)</f>
        <v>#REF!</v>
      </c>
      <c r="DU182" t="e">
        <f>IF(#REF!,"AAAAAEdu/3w=",0)</f>
        <v>#REF!</v>
      </c>
      <c r="DV182" t="e">
        <f>IF(#REF!,"AAAAAEdu/30=",0)</f>
        <v>#REF!</v>
      </c>
      <c r="DW182" t="e">
        <f>IF(#REF!,"AAAAAEdu/34=",0)</f>
        <v>#REF!</v>
      </c>
      <c r="DX182" t="e">
        <f>IF(#REF!,"AAAAAEdu/38=",0)</f>
        <v>#REF!</v>
      </c>
      <c r="DY182" t="e">
        <f>IF(#REF!,"AAAAAEdu/4A=",0)</f>
        <v>#REF!</v>
      </c>
      <c r="DZ182" t="e">
        <f>IF(#REF!,"AAAAAEdu/4E=",0)</f>
        <v>#REF!</v>
      </c>
      <c r="EA182" t="e">
        <f>IF(#REF!,"AAAAAEdu/4I=",0)</f>
        <v>#REF!</v>
      </c>
      <c r="EB182" t="e">
        <f>IF(#REF!,"AAAAAEdu/4M=",0)</f>
        <v>#REF!</v>
      </c>
      <c r="EC182" t="e">
        <f>IF(#REF!,"AAAAAEdu/4Q=",0)</f>
        <v>#REF!</v>
      </c>
      <c r="ED182" t="e">
        <f>IF(#REF!,"AAAAAEdu/4U=",0)</f>
        <v>#REF!</v>
      </c>
      <c r="EE182" t="e">
        <f>IF(#REF!,"AAAAAEdu/4Y=",0)</f>
        <v>#REF!</v>
      </c>
      <c r="EF182" t="e">
        <f>IF(#REF!,"AAAAAEdu/4c=",0)</f>
        <v>#REF!</v>
      </c>
      <c r="EG182" t="e">
        <f>IF(#REF!,"AAAAAEdu/4g=",0)</f>
        <v>#REF!</v>
      </c>
      <c r="EH182" t="e">
        <f>IF(#REF!,"AAAAAEdu/4k=",0)</f>
        <v>#REF!</v>
      </c>
      <c r="EI182" t="e">
        <f>IF(#REF!,"AAAAAEdu/4o=",0)</f>
        <v>#REF!</v>
      </c>
      <c r="EJ182" t="e">
        <f>IF(#REF!,"AAAAAEdu/4s=",0)</f>
        <v>#REF!</v>
      </c>
      <c r="EK182" t="e">
        <f>IF(#REF!,"AAAAAEdu/4w=",0)</f>
        <v>#REF!</v>
      </c>
      <c r="EL182" t="e">
        <f>IF(#REF!,"AAAAAEdu/40=",0)</f>
        <v>#REF!</v>
      </c>
      <c r="EM182" t="e">
        <f>IF(#REF!,"AAAAAEdu/44=",0)</f>
        <v>#REF!</v>
      </c>
      <c r="EN182" t="e">
        <f>IF(#REF!,"AAAAAEdu/48=",0)</f>
        <v>#REF!</v>
      </c>
      <c r="EO182" t="e">
        <f>IF(#REF!,"AAAAAEdu/5A=",0)</f>
        <v>#REF!</v>
      </c>
      <c r="EP182" t="e">
        <f>IF(#REF!,"AAAAAEdu/5E=",0)</f>
        <v>#REF!</v>
      </c>
      <c r="EQ182" t="e">
        <f>IF(#REF!,"AAAAAEdu/5I=",0)</f>
        <v>#REF!</v>
      </c>
      <c r="ER182" t="e">
        <f>IF(#REF!,"AAAAAEdu/5M=",0)</f>
        <v>#REF!</v>
      </c>
      <c r="ES182" t="e">
        <f>IF(#REF!,"AAAAAEdu/5Q=",0)</f>
        <v>#REF!</v>
      </c>
      <c r="ET182" t="e">
        <f>IF(#REF!,"AAAAAEdu/5U=",0)</f>
        <v>#REF!</v>
      </c>
      <c r="EU182" t="e">
        <f>IF(#REF!,"AAAAAEdu/5Y=",0)</f>
        <v>#REF!</v>
      </c>
      <c r="EV182" t="e">
        <f>IF(#REF!,"AAAAAEdu/5c=",0)</f>
        <v>#REF!</v>
      </c>
      <c r="EW182" t="e">
        <f>IF(#REF!,"AAAAAEdu/5g=",0)</f>
        <v>#REF!</v>
      </c>
      <c r="EX182" t="e">
        <f>IF(#REF!,"AAAAAEdu/5k=",0)</f>
        <v>#REF!</v>
      </c>
      <c r="EY182" t="e">
        <f>IF(#REF!,"AAAAAEdu/5o=",0)</f>
        <v>#REF!</v>
      </c>
      <c r="EZ182" t="e">
        <f>IF(#REF!,"AAAAAEdu/5s=",0)</f>
        <v>#REF!</v>
      </c>
      <c r="FA182" t="e">
        <f>IF(#REF!,"AAAAAEdu/5w=",0)</f>
        <v>#REF!</v>
      </c>
      <c r="FB182" t="e">
        <f>IF(#REF!,"AAAAAEdu/50=",0)</f>
        <v>#REF!</v>
      </c>
      <c r="FC182" t="e">
        <f>IF(#REF!,"AAAAAEdu/54=",0)</f>
        <v>#REF!</v>
      </c>
      <c r="FD182" t="e">
        <f>IF(#REF!,"AAAAAEdu/58=",0)</f>
        <v>#REF!</v>
      </c>
      <c r="FE182" t="e">
        <f>IF(#REF!,"AAAAAEdu/6A=",0)</f>
        <v>#REF!</v>
      </c>
      <c r="FF182" t="e">
        <f>IF(#REF!,"AAAAAEdu/6E=",0)</f>
        <v>#REF!</v>
      </c>
      <c r="FG182" t="e">
        <f>IF(#REF!,"AAAAAEdu/6I=",0)</f>
        <v>#REF!</v>
      </c>
      <c r="FH182" t="e">
        <f>IF(#REF!,"AAAAAEdu/6M=",0)</f>
        <v>#REF!</v>
      </c>
      <c r="FI182" t="e">
        <f>IF(#REF!,"AAAAAEdu/6Q=",0)</f>
        <v>#REF!</v>
      </c>
      <c r="FJ182" t="e">
        <f>IF(#REF!,"AAAAAEdu/6U=",0)</f>
        <v>#REF!</v>
      </c>
      <c r="FK182" t="e">
        <f>IF(#REF!,"AAAAAEdu/6Y=",0)</f>
        <v>#REF!</v>
      </c>
      <c r="FL182" t="e">
        <f>IF(#REF!,"AAAAAEdu/6c=",0)</f>
        <v>#REF!</v>
      </c>
      <c r="FM182" t="e">
        <f>IF(#REF!,"AAAAAEdu/6g=",0)</f>
        <v>#REF!</v>
      </c>
      <c r="FN182" t="e">
        <f>IF(#REF!,"AAAAAEdu/6k=",0)</f>
        <v>#REF!</v>
      </c>
      <c r="FO182" t="e">
        <f>IF(#REF!,"AAAAAEdu/6o=",0)</f>
        <v>#REF!</v>
      </c>
      <c r="FP182" t="e">
        <f>IF(#REF!,"AAAAAEdu/6s=",0)</f>
        <v>#REF!</v>
      </c>
      <c r="FQ182" t="e">
        <f>IF(#REF!,"AAAAAEdu/6w=",0)</f>
        <v>#REF!</v>
      </c>
      <c r="FR182" t="e">
        <f>IF(#REF!,"AAAAAEdu/60=",0)</f>
        <v>#REF!</v>
      </c>
      <c r="FS182" t="e">
        <f>IF(#REF!,"AAAAAEdu/64=",0)</f>
        <v>#REF!</v>
      </c>
      <c r="FT182" t="e">
        <f>IF(#REF!,"AAAAAEdu/68=",0)</f>
        <v>#REF!</v>
      </c>
      <c r="FU182" t="e">
        <f>IF(#REF!,"AAAAAEdu/7A=",0)</f>
        <v>#REF!</v>
      </c>
      <c r="FV182" t="e">
        <f>IF(#REF!,"AAAAAEdu/7E=",0)</f>
        <v>#REF!</v>
      </c>
      <c r="FW182" t="e">
        <f>IF(#REF!,"AAAAAEdu/7I=",0)</f>
        <v>#REF!</v>
      </c>
      <c r="FX182" t="e">
        <f>IF(#REF!,"AAAAAEdu/7M=",0)</f>
        <v>#REF!</v>
      </c>
      <c r="FY182" t="e">
        <f>IF(#REF!,"AAAAAEdu/7Q=",0)</f>
        <v>#REF!</v>
      </c>
      <c r="FZ182" t="e">
        <f>IF(#REF!,"AAAAAEdu/7U=",0)</f>
        <v>#REF!</v>
      </c>
      <c r="GA182" t="e">
        <f>IF(#REF!,"AAAAAEdu/7Y=",0)</f>
        <v>#REF!</v>
      </c>
      <c r="GB182" t="e">
        <f>IF(#REF!,"AAAAAEdu/7c=",0)</f>
        <v>#REF!</v>
      </c>
      <c r="GC182" t="e">
        <f>IF(#REF!,"AAAAAEdu/7g=",0)</f>
        <v>#REF!</v>
      </c>
      <c r="GD182" t="e">
        <f>IF(#REF!,"AAAAAEdu/7k=",0)</f>
        <v>#REF!</v>
      </c>
      <c r="GE182" t="e">
        <f>IF(#REF!,"AAAAAEdu/7o=",0)</f>
        <v>#REF!</v>
      </c>
      <c r="GF182" t="e">
        <f>IF(#REF!,"AAAAAEdu/7s=",0)</f>
        <v>#REF!</v>
      </c>
      <c r="GG182" t="e">
        <f>IF(#REF!,"AAAAAEdu/7w=",0)</f>
        <v>#REF!</v>
      </c>
      <c r="GH182" t="e">
        <f>IF(#REF!,"AAAAAEdu/70=",0)</f>
        <v>#REF!</v>
      </c>
      <c r="GI182" t="e">
        <f>IF(#REF!,"AAAAAEdu/74=",0)</f>
        <v>#REF!</v>
      </c>
      <c r="GJ182" t="e">
        <f>IF(#REF!,"AAAAAEdu/78=",0)</f>
        <v>#REF!</v>
      </c>
      <c r="GK182" t="e">
        <f>IF(#REF!,"AAAAAEdu/8A=",0)</f>
        <v>#REF!</v>
      </c>
      <c r="GL182" t="e">
        <f>IF(#REF!,"AAAAAEdu/8E=",0)</f>
        <v>#REF!</v>
      </c>
      <c r="GM182" t="e">
        <f>IF(#REF!,"AAAAAEdu/8I=",0)</f>
        <v>#REF!</v>
      </c>
      <c r="GN182" t="e">
        <f>IF(#REF!,"AAAAAEdu/8M=",0)</f>
        <v>#REF!</v>
      </c>
      <c r="GO182" t="e">
        <f>IF(#REF!,"AAAAAEdu/8Q=",0)</f>
        <v>#REF!</v>
      </c>
      <c r="GP182" t="e">
        <f>IF(#REF!,"AAAAAEdu/8U=",0)</f>
        <v>#REF!</v>
      </c>
      <c r="GQ182" t="e">
        <f>IF(#REF!,"AAAAAEdu/8Y=",0)</f>
        <v>#REF!</v>
      </c>
      <c r="GR182" t="e">
        <f>IF(#REF!,"AAAAAEdu/8c=",0)</f>
        <v>#REF!</v>
      </c>
      <c r="GS182" t="e">
        <f>IF(#REF!,"AAAAAEdu/8g=",0)</f>
        <v>#REF!</v>
      </c>
      <c r="GT182" t="e">
        <f>IF(#REF!,"AAAAAEdu/8k=",0)</f>
        <v>#REF!</v>
      </c>
      <c r="GU182" t="e">
        <f>IF(#REF!,"AAAAAEdu/8o=",0)</f>
        <v>#REF!</v>
      </c>
      <c r="GV182" t="e">
        <f>IF(#REF!,"AAAAAEdu/8s=",0)</f>
        <v>#REF!</v>
      </c>
      <c r="GW182" t="e">
        <f>IF(#REF!,"AAAAAEdu/8w=",0)</f>
        <v>#REF!</v>
      </c>
      <c r="GX182" t="e">
        <f>IF(#REF!,"AAAAAEdu/80=",0)</f>
        <v>#REF!</v>
      </c>
      <c r="GY182" t="e">
        <f>IF(#REF!,"AAAAAEdu/84=",0)</f>
        <v>#REF!</v>
      </c>
      <c r="GZ182" t="e">
        <f>IF(#REF!,"AAAAAEdu/88=",0)</f>
        <v>#REF!</v>
      </c>
      <c r="HA182" t="e">
        <f>IF(#REF!,"AAAAAEdu/9A=",0)</f>
        <v>#REF!</v>
      </c>
      <c r="HB182" t="e">
        <f>IF(#REF!,"AAAAAEdu/9E=",0)</f>
        <v>#REF!</v>
      </c>
      <c r="HC182" t="e">
        <f>IF(#REF!,"AAAAAEdu/9I=",0)</f>
        <v>#REF!</v>
      </c>
      <c r="HD182" t="e">
        <f>IF(#REF!,"AAAAAEdu/9M=",0)</f>
        <v>#REF!</v>
      </c>
      <c r="HE182" t="e">
        <f>IF(#REF!,"AAAAAEdu/9Q=",0)</f>
        <v>#REF!</v>
      </c>
      <c r="HF182" t="e">
        <f>IF(#REF!,"AAAAAEdu/9U=",0)</f>
        <v>#REF!</v>
      </c>
      <c r="HG182" t="e">
        <f>IF(#REF!,"AAAAAEdu/9Y=",0)</f>
        <v>#REF!</v>
      </c>
      <c r="HH182" t="e">
        <f>IF(#REF!,"AAAAAEdu/9c=",0)</f>
        <v>#REF!</v>
      </c>
      <c r="HI182" t="e">
        <f>IF(#REF!,"AAAAAEdu/9g=",0)</f>
        <v>#REF!</v>
      </c>
      <c r="HJ182" t="e">
        <f>IF(#REF!,"AAAAAEdu/9k=",0)</f>
        <v>#REF!</v>
      </c>
      <c r="HK182" t="e">
        <f>IF(#REF!,"AAAAAEdu/9o=",0)</f>
        <v>#REF!</v>
      </c>
      <c r="HL182" t="e">
        <f>IF(#REF!,"AAAAAEdu/9s=",0)</f>
        <v>#REF!</v>
      </c>
      <c r="HM182" t="e">
        <f>IF(#REF!,"AAAAAEdu/9w=",0)</f>
        <v>#REF!</v>
      </c>
      <c r="HN182" t="e">
        <f>IF(#REF!,"AAAAAEdu/90=",0)</f>
        <v>#REF!</v>
      </c>
      <c r="HO182" t="e">
        <f>IF(#REF!,"AAAAAEdu/94=",0)</f>
        <v>#REF!</v>
      </c>
      <c r="HP182" t="e">
        <f>IF(#REF!,"AAAAAEdu/98=",0)</f>
        <v>#REF!</v>
      </c>
      <c r="HQ182" t="e">
        <f>IF(#REF!,"AAAAAEdu/+A=",0)</f>
        <v>#REF!</v>
      </c>
      <c r="HR182" t="e">
        <f>IF(#REF!,"AAAAAEdu/+E=",0)</f>
        <v>#REF!</v>
      </c>
      <c r="HS182" t="e">
        <f>IF(#REF!,"AAAAAEdu/+I=",0)</f>
        <v>#REF!</v>
      </c>
      <c r="HT182" t="e">
        <f>IF(#REF!,"AAAAAEdu/+M=",0)</f>
        <v>#REF!</v>
      </c>
      <c r="HU182" t="e">
        <f>IF(#REF!,"AAAAAEdu/+Q=",0)</f>
        <v>#REF!</v>
      </c>
      <c r="HV182" t="e">
        <f>IF(#REF!,"AAAAAEdu/+U=",0)</f>
        <v>#REF!</v>
      </c>
      <c r="HW182" t="e">
        <f>IF(#REF!,"AAAAAEdu/+Y=",0)</f>
        <v>#REF!</v>
      </c>
      <c r="HX182" t="e">
        <f>IF(#REF!,"AAAAAEdu/+c=",0)</f>
        <v>#REF!</v>
      </c>
      <c r="HY182" t="e">
        <f>IF(#REF!,"AAAAAEdu/+g=",0)</f>
        <v>#REF!</v>
      </c>
      <c r="HZ182" t="e">
        <f>IF(#REF!,"AAAAAEdu/+k=",0)</f>
        <v>#REF!</v>
      </c>
      <c r="IA182" t="e">
        <f>IF(#REF!,"AAAAAEdu/+o=",0)</f>
        <v>#REF!</v>
      </c>
      <c r="IB182" t="e">
        <f>IF(#REF!,"AAAAAEdu/+s=",0)</f>
        <v>#REF!</v>
      </c>
      <c r="IC182" t="e">
        <f>IF(#REF!,"AAAAAEdu/+w=",0)</f>
        <v>#REF!</v>
      </c>
      <c r="ID182" t="e">
        <f>IF(#REF!,"AAAAAEdu/+0=",0)</f>
        <v>#REF!</v>
      </c>
      <c r="IE182" t="e">
        <f>IF(#REF!,"AAAAAEdu/+4=",0)</f>
        <v>#REF!</v>
      </c>
      <c r="IF182" t="e">
        <f>IF(#REF!,"AAAAAEdu/+8=",0)</f>
        <v>#REF!</v>
      </c>
      <c r="IG182" t="e">
        <f>IF(#REF!,"AAAAAEdu//A=",0)</f>
        <v>#REF!</v>
      </c>
      <c r="IH182" t="e">
        <f>IF(#REF!,"AAAAAEdu//E=",0)</f>
        <v>#REF!</v>
      </c>
      <c r="II182" t="e">
        <f>IF(#REF!,"AAAAAEdu//I=",0)</f>
        <v>#REF!</v>
      </c>
      <c r="IJ182" t="e">
        <f>IF(#REF!,"AAAAAEdu//M=",0)</f>
        <v>#REF!</v>
      </c>
      <c r="IK182" t="e">
        <f>IF(#REF!,"AAAAAEdu//Q=",0)</f>
        <v>#REF!</v>
      </c>
      <c r="IL182" t="e">
        <f>IF(#REF!,"AAAAAEdu//U=",0)</f>
        <v>#REF!</v>
      </c>
      <c r="IM182" t="e">
        <f>IF(#REF!,"AAAAAEdu//Y=",0)</f>
        <v>#REF!</v>
      </c>
      <c r="IN182" t="e">
        <f>IF(#REF!,"AAAAAEdu//c=",0)</f>
        <v>#REF!</v>
      </c>
      <c r="IO182" t="e">
        <f>IF(#REF!,"AAAAAEdu//g=",0)</f>
        <v>#REF!</v>
      </c>
      <c r="IP182" t="e">
        <f>IF(#REF!,"AAAAAEdu//k=",0)</f>
        <v>#REF!</v>
      </c>
      <c r="IQ182" t="e">
        <f>IF(#REF!,"AAAAAEdu//o=",0)</f>
        <v>#REF!</v>
      </c>
      <c r="IR182" t="e">
        <f>IF(#REF!,"AAAAAEdu//s=",0)</f>
        <v>#REF!</v>
      </c>
      <c r="IS182" t="e">
        <f>IF(#REF!,"AAAAAEdu//w=",0)</f>
        <v>#REF!</v>
      </c>
      <c r="IT182" t="e">
        <f>IF(#REF!,"AAAAAEdu//0=",0)</f>
        <v>#REF!</v>
      </c>
      <c r="IU182" t="e">
        <f>IF(#REF!,"AAAAAEdu//4=",0)</f>
        <v>#REF!</v>
      </c>
      <c r="IV182" t="e">
        <f>IF(#REF!,"AAAAAEdu//8=",0)</f>
        <v>#REF!</v>
      </c>
    </row>
    <row r="183" spans="1:256">
      <c r="A183" t="e">
        <f>IF(#REF!,"AAAAAH+rygA=",0)</f>
        <v>#REF!</v>
      </c>
      <c r="B183" t="e">
        <f>IF(#REF!,"AAAAAH+rygE=",0)</f>
        <v>#REF!</v>
      </c>
      <c r="C183" t="e">
        <f>IF(#REF!,"AAAAAH+rygI=",0)</f>
        <v>#REF!</v>
      </c>
      <c r="D183" t="e">
        <f>IF(#REF!,"AAAAAH+rygM=",0)</f>
        <v>#REF!</v>
      </c>
      <c r="E183" t="e">
        <f>IF(#REF!,"AAAAAH+rygQ=",0)</f>
        <v>#REF!</v>
      </c>
      <c r="F183" t="e">
        <f>IF(#REF!,"AAAAAH+rygU=",0)</f>
        <v>#REF!</v>
      </c>
      <c r="G183" t="e">
        <f>IF(#REF!,"AAAAAH+rygY=",0)</f>
        <v>#REF!</v>
      </c>
      <c r="H183" t="e">
        <f>IF(#REF!,"AAAAAH+rygc=",0)</f>
        <v>#REF!</v>
      </c>
      <c r="I183" t="e">
        <f>IF(#REF!,"AAAAAH+rygg=",0)</f>
        <v>#REF!</v>
      </c>
      <c r="J183" t="e">
        <f>IF(#REF!,"AAAAAH+rygk=",0)</f>
        <v>#REF!</v>
      </c>
      <c r="K183" t="e">
        <f>IF(#REF!,"AAAAAH+rygo=",0)</f>
        <v>#REF!</v>
      </c>
      <c r="L183" t="e">
        <f>IF(#REF!,"AAAAAH+rygs=",0)</f>
        <v>#REF!</v>
      </c>
      <c r="M183" t="e">
        <f>IF(#REF!,"AAAAAH+rygw=",0)</f>
        <v>#REF!</v>
      </c>
      <c r="N183" t="e">
        <f>IF(#REF!,"AAAAAH+ryg0=",0)</f>
        <v>#REF!</v>
      </c>
      <c r="O183" t="e">
        <f>IF(#REF!,"AAAAAH+ryg4=",0)</f>
        <v>#REF!</v>
      </c>
      <c r="P183" t="e">
        <f>IF(#REF!,"AAAAAH+ryg8=",0)</f>
        <v>#REF!</v>
      </c>
      <c r="Q183" t="e">
        <f>IF(#REF!,"AAAAAH+ryhA=",0)</f>
        <v>#REF!</v>
      </c>
      <c r="R183" t="e">
        <f>IF(#REF!,"AAAAAH+ryhE=",0)</f>
        <v>#REF!</v>
      </c>
      <c r="S183" t="e">
        <f>IF(#REF!,"AAAAAH+ryhI=",0)</f>
        <v>#REF!</v>
      </c>
      <c r="T183" t="e">
        <f>IF(#REF!,"AAAAAH+ryhM=",0)</f>
        <v>#REF!</v>
      </c>
      <c r="U183" t="e">
        <f>IF(#REF!,"AAAAAH+ryhQ=",0)</f>
        <v>#REF!</v>
      </c>
      <c r="V183" t="e">
        <f>IF(#REF!,"AAAAAH+ryhU=",0)</f>
        <v>#REF!</v>
      </c>
      <c r="W183" t="e">
        <f>IF(#REF!,"AAAAAH+ryhY=",0)</f>
        <v>#REF!</v>
      </c>
      <c r="X183" t="e">
        <f>IF(#REF!,"AAAAAH+ryhc=",0)</f>
        <v>#REF!</v>
      </c>
      <c r="Y183" t="e">
        <f>IF(#REF!,"AAAAAH+ryhg=",0)</f>
        <v>#REF!</v>
      </c>
      <c r="Z183" t="e">
        <f>IF(#REF!,"AAAAAH+ryhk=",0)</f>
        <v>#REF!</v>
      </c>
      <c r="AA183" t="e">
        <f>IF(#REF!,"AAAAAH+ryho=",0)</f>
        <v>#REF!</v>
      </c>
      <c r="AB183" t="e">
        <f>IF(#REF!,"AAAAAH+ryhs=",0)</f>
        <v>#REF!</v>
      </c>
      <c r="AC183" t="e">
        <f>IF(#REF!,"AAAAAH+ryhw=",0)</f>
        <v>#REF!</v>
      </c>
      <c r="AD183" t="e">
        <f>IF(#REF!,"AAAAAH+ryh0=",0)</f>
        <v>#REF!</v>
      </c>
      <c r="AE183" t="e">
        <f>IF(#REF!,"AAAAAH+ryh4=",0)</f>
        <v>#REF!</v>
      </c>
      <c r="AF183" t="e">
        <f>IF(#REF!,"AAAAAH+ryh8=",0)</f>
        <v>#REF!</v>
      </c>
      <c r="AG183" t="e">
        <f>IF(#REF!,"AAAAAH+ryiA=",0)</f>
        <v>#REF!</v>
      </c>
      <c r="AH183" t="e">
        <f>IF(#REF!,"AAAAAH+ryiE=",0)</f>
        <v>#REF!</v>
      </c>
      <c r="AI183" t="e">
        <f>IF(#REF!,"AAAAAH+ryiI=",0)</f>
        <v>#REF!</v>
      </c>
      <c r="AJ183" t="e">
        <f>IF(#REF!,"AAAAAH+ryiM=",0)</f>
        <v>#REF!</v>
      </c>
      <c r="AK183" t="e">
        <f>IF(#REF!,"AAAAAH+ryiQ=",0)</f>
        <v>#REF!</v>
      </c>
      <c r="AL183" t="e">
        <f>IF(#REF!,"AAAAAH+ryiU=",0)</f>
        <v>#REF!</v>
      </c>
      <c r="AM183" t="e">
        <f>IF(#REF!,"AAAAAH+ryiY=",0)</f>
        <v>#REF!</v>
      </c>
      <c r="AN183" t="e">
        <f>IF(#REF!,"AAAAAH+ryic=",0)</f>
        <v>#REF!</v>
      </c>
      <c r="AO183" t="e">
        <f>IF(#REF!,"AAAAAH+ryig=",0)</f>
        <v>#REF!</v>
      </c>
      <c r="AP183" t="e">
        <f>IF(#REF!,"AAAAAH+ryik=",0)</f>
        <v>#REF!</v>
      </c>
      <c r="AQ183" t="e">
        <f>IF(#REF!,"AAAAAH+ryio=",0)</f>
        <v>#REF!</v>
      </c>
      <c r="AR183" t="e">
        <f>IF(#REF!,"AAAAAH+ryis=",0)</f>
        <v>#REF!</v>
      </c>
      <c r="AS183" t="e">
        <f>IF(#REF!,"AAAAAH+ryiw=",0)</f>
        <v>#REF!</v>
      </c>
      <c r="AT183" t="e">
        <f>IF(#REF!,"AAAAAH+ryi0=",0)</f>
        <v>#REF!</v>
      </c>
      <c r="AU183" t="e">
        <f>IF(#REF!,"AAAAAH+ryi4=",0)</f>
        <v>#REF!</v>
      </c>
      <c r="AV183" t="e">
        <f>IF(#REF!,"AAAAAH+ryi8=",0)</f>
        <v>#REF!</v>
      </c>
      <c r="AW183" t="e">
        <f>IF(#REF!,"AAAAAH+ryjA=",0)</f>
        <v>#REF!</v>
      </c>
      <c r="AX183" t="e">
        <f>IF(#REF!,"AAAAAH+ryjE=",0)</f>
        <v>#REF!</v>
      </c>
      <c r="AY183" t="e">
        <f>IF(#REF!,"AAAAAH+ryjI=",0)</f>
        <v>#REF!</v>
      </c>
      <c r="AZ183" t="e">
        <f>IF(#REF!,"AAAAAH+ryjM=",0)</f>
        <v>#REF!</v>
      </c>
      <c r="BA183" t="e">
        <f>IF(#REF!,"AAAAAH+ryjQ=",0)</f>
        <v>#REF!</v>
      </c>
      <c r="BB183" t="e">
        <f>IF(#REF!,"AAAAAH+ryjU=",0)</f>
        <v>#REF!</v>
      </c>
      <c r="BC183" t="e">
        <f>IF(#REF!,"AAAAAH+ryjY=",0)</f>
        <v>#REF!</v>
      </c>
      <c r="BD183" t="e">
        <f>IF(#REF!,"AAAAAH+ryjc=",0)</f>
        <v>#REF!</v>
      </c>
      <c r="BE183" t="e">
        <f>IF(#REF!,"AAAAAH+ryjg=",0)</f>
        <v>#REF!</v>
      </c>
      <c r="BF183" t="e">
        <f>IF(#REF!,"AAAAAH+ryjk=",0)</f>
        <v>#REF!</v>
      </c>
      <c r="BG183" t="e">
        <f>IF(#REF!,"AAAAAH+ryjo=",0)</f>
        <v>#REF!</v>
      </c>
      <c r="BH183" t="e">
        <f>IF(#REF!,"AAAAAH+ryjs=",0)</f>
        <v>#REF!</v>
      </c>
      <c r="BI183" t="e">
        <f>IF(#REF!,"AAAAAH+ryjw=",0)</f>
        <v>#REF!</v>
      </c>
      <c r="BJ183" t="e">
        <f>IF(#REF!,"AAAAAH+ryj0=",0)</f>
        <v>#REF!</v>
      </c>
      <c r="BK183" t="e">
        <f>IF(#REF!,"AAAAAH+ryj4=",0)</f>
        <v>#REF!</v>
      </c>
      <c r="BL183" t="e">
        <f>IF(#REF!,"AAAAAH+ryj8=",0)</f>
        <v>#REF!</v>
      </c>
      <c r="BM183" t="e">
        <f>IF(#REF!,"AAAAAH+rykA=",0)</f>
        <v>#REF!</v>
      </c>
      <c r="BN183" t="e">
        <f>IF(#REF!,"AAAAAH+rykE=",0)</f>
        <v>#REF!</v>
      </c>
      <c r="BO183" t="e">
        <f>IF(#REF!,"AAAAAH+rykI=",0)</f>
        <v>#REF!</v>
      </c>
      <c r="BP183" t="e">
        <f>IF(#REF!,"AAAAAH+rykM=",0)</f>
        <v>#REF!</v>
      </c>
      <c r="BQ183" t="e">
        <f>IF(#REF!,"AAAAAH+rykQ=",0)</f>
        <v>#REF!</v>
      </c>
      <c r="BR183" t="e">
        <f>IF(#REF!,"AAAAAH+rykU=",0)</f>
        <v>#REF!</v>
      </c>
      <c r="BS183" t="e">
        <f>IF(#REF!,"AAAAAH+rykY=",0)</f>
        <v>#REF!</v>
      </c>
      <c r="BT183" t="e">
        <f>IF(#REF!,"AAAAAH+rykc=",0)</f>
        <v>#REF!</v>
      </c>
      <c r="BU183" t="e">
        <f>IF(#REF!,"AAAAAH+rykg=",0)</f>
        <v>#REF!</v>
      </c>
      <c r="BV183" t="e">
        <f>IF(#REF!,"AAAAAH+rykk=",0)</f>
        <v>#REF!</v>
      </c>
      <c r="BW183" t="e">
        <f>IF(#REF!,"AAAAAH+ryko=",0)</f>
        <v>#REF!</v>
      </c>
      <c r="BX183" t="e">
        <f>IF(#REF!,"AAAAAH+ryks=",0)</f>
        <v>#REF!</v>
      </c>
      <c r="BY183" t="e">
        <f>IF(#REF!,"AAAAAH+rykw=",0)</f>
        <v>#REF!</v>
      </c>
      <c r="BZ183" t="e">
        <f>IF(#REF!,"AAAAAH+ryk0=",0)</f>
        <v>#REF!</v>
      </c>
      <c r="CA183" t="e">
        <f>IF(#REF!,"AAAAAH+ryk4=",0)</f>
        <v>#REF!</v>
      </c>
      <c r="CB183" t="e">
        <f>IF(#REF!,"AAAAAH+ryk8=",0)</f>
        <v>#REF!</v>
      </c>
      <c r="CC183" t="e">
        <f>IF(#REF!,"AAAAAH+rylA=",0)</f>
        <v>#REF!</v>
      </c>
      <c r="CD183" t="e">
        <f>IF(#REF!,"AAAAAH+rylE=",0)</f>
        <v>#REF!</v>
      </c>
      <c r="CE183" t="e">
        <f>IF(#REF!,"AAAAAH+rylI=",0)</f>
        <v>#REF!</v>
      </c>
      <c r="CF183" t="e">
        <f>IF(#REF!,"AAAAAH+rylM=",0)</f>
        <v>#REF!</v>
      </c>
      <c r="CG183" t="e">
        <f>IF(#REF!,"AAAAAH+rylQ=",0)</f>
        <v>#REF!</v>
      </c>
      <c r="CH183" t="e">
        <f>IF(#REF!,"AAAAAH+rylU=",0)</f>
        <v>#REF!</v>
      </c>
      <c r="CI183" t="e">
        <f>IF(#REF!,"AAAAAH+rylY=",0)</f>
        <v>#REF!</v>
      </c>
      <c r="CJ183" t="e">
        <f>IF(#REF!,"AAAAAH+rylc=",0)</f>
        <v>#REF!</v>
      </c>
      <c r="CK183" t="e">
        <f>IF(#REF!,"AAAAAH+rylg=",0)</f>
        <v>#REF!</v>
      </c>
      <c r="CL183" t="e">
        <f>IF(#REF!,"AAAAAH+rylk=",0)</f>
        <v>#REF!</v>
      </c>
      <c r="CM183" t="e">
        <f>IF(#REF!,"AAAAAH+rylo=",0)</f>
        <v>#REF!</v>
      </c>
      <c r="CN183" t="e">
        <f>IF(#REF!,"AAAAAH+ryls=",0)</f>
        <v>#REF!</v>
      </c>
      <c r="CO183" t="e">
        <f>IF(#REF!,"AAAAAH+rylw=",0)</f>
        <v>#REF!</v>
      </c>
      <c r="CP183" t="e">
        <f>IF(#REF!,"AAAAAH+ryl0=",0)</f>
        <v>#REF!</v>
      </c>
      <c r="CQ183" t="e">
        <f>IF(#REF!,"AAAAAH+ryl4=",0)</f>
        <v>#REF!</v>
      </c>
      <c r="CR183" t="e">
        <f>IF(#REF!,"AAAAAH+ryl8=",0)</f>
        <v>#REF!</v>
      </c>
      <c r="CS183" t="e">
        <f>IF(#REF!,"AAAAAH+rymA=",0)</f>
        <v>#REF!</v>
      </c>
      <c r="CT183" t="e">
        <f>IF(#REF!,"AAAAAH+rymE=",0)</f>
        <v>#REF!</v>
      </c>
      <c r="CU183" t="e">
        <f>IF(#REF!,"AAAAAH+rymI=",0)</f>
        <v>#REF!</v>
      </c>
      <c r="CV183" t="e">
        <f>IF(#REF!,"AAAAAH+rymM=",0)</f>
        <v>#REF!</v>
      </c>
      <c r="CW183" t="e">
        <f>IF(#REF!,"AAAAAH+rymQ=",0)</f>
        <v>#REF!</v>
      </c>
      <c r="CX183" t="e">
        <f>IF(#REF!,"AAAAAH+rymU=",0)</f>
        <v>#REF!</v>
      </c>
      <c r="CY183" t="e">
        <f>IF(#REF!,"AAAAAH+rymY=",0)</f>
        <v>#REF!</v>
      </c>
      <c r="CZ183" t="e">
        <f>IF(#REF!,"AAAAAH+rymc=",0)</f>
        <v>#REF!</v>
      </c>
      <c r="DA183" t="e">
        <f>IF(#REF!,"AAAAAH+rymg=",0)</f>
        <v>#REF!</v>
      </c>
      <c r="DB183" t="e">
        <f>IF(#REF!,"AAAAAH+rymk=",0)</f>
        <v>#REF!</v>
      </c>
      <c r="DC183" t="e">
        <f>IF(#REF!,"AAAAAH+rymo=",0)</f>
        <v>#REF!</v>
      </c>
      <c r="DD183" t="e">
        <f>IF(#REF!,"AAAAAH+ryms=",0)</f>
        <v>#REF!</v>
      </c>
      <c r="DE183" t="e">
        <f>IF(#REF!,"AAAAAH+rymw=",0)</f>
        <v>#REF!</v>
      </c>
      <c r="DF183" t="e">
        <f>IF(#REF!,"AAAAAH+rym0=",0)</f>
        <v>#REF!</v>
      </c>
      <c r="DG183" t="e">
        <f>IF(#REF!,"AAAAAH+rym4=",0)</f>
        <v>#REF!</v>
      </c>
      <c r="DH183" t="e">
        <f>IF(#REF!,"AAAAAH+rym8=",0)</f>
        <v>#REF!</v>
      </c>
      <c r="DI183" t="e">
        <f>IF(#REF!,"AAAAAH+rynA=",0)</f>
        <v>#REF!</v>
      </c>
      <c r="DJ183" t="e">
        <f>IF(#REF!,"AAAAAH+rynE=",0)</f>
        <v>#REF!</v>
      </c>
      <c r="DK183" t="e">
        <f>IF(#REF!,"AAAAAH+rynI=",0)</f>
        <v>#REF!</v>
      </c>
      <c r="DL183" t="e">
        <f>IF(#REF!,"AAAAAH+rynM=",0)</f>
        <v>#REF!</v>
      </c>
      <c r="DM183" t="e">
        <f>IF(#REF!,"AAAAAH+rynQ=",0)</f>
        <v>#REF!</v>
      </c>
      <c r="DN183" t="e">
        <f>IF(#REF!,"AAAAAH+rynU=",0)</f>
        <v>#REF!</v>
      </c>
      <c r="DO183" t="e">
        <f>IF(#REF!,"AAAAAH+rynY=",0)</f>
        <v>#REF!</v>
      </c>
      <c r="DP183" t="e">
        <f>IF(#REF!,"AAAAAH+rync=",0)</f>
        <v>#REF!</v>
      </c>
      <c r="DQ183" t="e">
        <f>IF(#REF!,"AAAAAH+ryng=",0)</f>
        <v>#REF!</v>
      </c>
      <c r="DR183" t="e">
        <f>IF(#REF!,"AAAAAH+rynk=",0)</f>
        <v>#REF!</v>
      </c>
      <c r="DS183" t="e">
        <f>IF(#REF!,"AAAAAH+ryno=",0)</f>
        <v>#REF!</v>
      </c>
      <c r="DT183" t="e">
        <f>IF(#REF!,"AAAAAH+ryns=",0)</f>
        <v>#REF!</v>
      </c>
      <c r="DU183" t="e">
        <f>IF(#REF!,"AAAAAH+rynw=",0)</f>
        <v>#REF!</v>
      </c>
      <c r="DV183" t="e">
        <f>IF(#REF!,"AAAAAH+ryn0=",0)</f>
        <v>#REF!</v>
      </c>
      <c r="DW183" t="e">
        <f>IF(#REF!,"AAAAAH+ryn4=",0)</f>
        <v>#REF!</v>
      </c>
      <c r="DX183" t="e">
        <f>IF(#REF!,"AAAAAH+ryn8=",0)</f>
        <v>#REF!</v>
      </c>
      <c r="DY183" t="e">
        <f>IF(#REF!,"AAAAAH+ryoA=",0)</f>
        <v>#REF!</v>
      </c>
      <c r="DZ183" t="e">
        <f>IF(#REF!,"AAAAAH+ryoE=",0)</f>
        <v>#REF!</v>
      </c>
      <c r="EA183" t="e">
        <f>IF(#REF!,"AAAAAH+ryoI=",0)</f>
        <v>#REF!</v>
      </c>
      <c r="EB183" t="e">
        <f>IF(#REF!,"AAAAAH+ryoM=",0)</f>
        <v>#REF!</v>
      </c>
      <c r="EC183" t="e">
        <f>IF(#REF!,"AAAAAH+ryoQ=",0)</f>
        <v>#REF!</v>
      </c>
      <c r="ED183" t="e">
        <f>IF(#REF!,"AAAAAH+ryoU=",0)</f>
        <v>#REF!</v>
      </c>
      <c r="EE183" t="e">
        <f>IF(#REF!,"AAAAAH+ryoY=",0)</f>
        <v>#REF!</v>
      </c>
      <c r="EF183" t="e">
        <f>IF(#REF!,"AAAAAH+ryoc=",0)</f>
        <v>#REF!</v>
      </c>
      <c r="EG183" t="e">
        <f>IF(#REF!,"AAAAAH+ryog=",0)</f>
        <v>#REF!</v>
      </c>
      <c r="EH183" t="e">
        <f>IF(#REF!,"AAAAAH+ryok=",0)</f>
        <v>#REF!</v>
      </c>
      <c r="EI183" t="e">
        <f>IF(#REF!,"AAAAAH+ryoo=",0)</f>
        <v>#REF!</v>
      </c>
      <c r="EJ183" t="e">
        <f>IF(#REF!,"AAAAAH+ryos=",0)</f>
        <v>#REF!</v>
      </c>
      <c r="EK183" t="e">
        <f>IF(#REF!,"AAAAAH+ryow=",0)</f>
        <v>#REF!</v>
      </c>
      <c r="EL183" t="e">
        <f>IF(#REF!,"AAAAAH+ryo0=",0)</f>
        <v>#REF!</v>
      </c>
      <c r="EM183" t="e">
        <f>IF(#REF!,"AAAAAH+ryo4=",0)</f>
        <v>#REF!</v>
      </c>
      <c r="EN183" t="e">
        <f>IF(#REF!,"AAAAAH+ryo8=",0)</f>
        <v>#REF!</v>
      </c>
      <c r="EO183" t="e">
        <f>IF(#REF!,"AAAAAH+rypA=",0)</f>
        <v>#REF!</v>
      </c>
      <c r="EP183" t="e">
        <f>IF(#REF!,"AAAAAH+rypE=",0)</f>
        <v>#REF!</v>
      </c>
      <c r="EQ183" t="e">
        <f>IF(#REF!,"AAAAAH+rypI=",0)</f>
        <v>#REF!</v>
      </c>
      <c r="ER183" t="e">
        <f>IF(#REF!,"AAAAAH+rypM=",0)</f>
        <v>#REF!</v>
      </c>
      <c r="ES183" t="e">
        <f>IF(#REF!,"AAAAAH+rypQ=",0)</f>
        <v>#REF!</v>
      </c>
      <c r="ET183" t="e">
        <f>IF(#REF!,"AAAAAH+rypU=",0)</f>
        <v>#REF!</v>
      </c>
      <c r="EU183" t="e">
        <f>IF(#REF!,"AAAAAH+rypY=",0)</f>
        <v>#REF!</v>
      </c>
      <c r="EV183" t="e">
        <f>IF(#REF!,"AAAAAH+rypc=",0)</f>
        <v>#REF!</v>
      </c>
      <c r="EW183" t="e">
        <f>IF(#REF!,"AAAAAH+rypg=",0)</f>
        <v>#REF!</v>
      </c>
      <c r="EX183" t="e">
        <f>IF(#REF!,"AAAAAH+rypk=",0)</f>
        <v>#REF!</v>
      </c>
      <c r="EY183" t="e">
        <f>IF(#REF!,"AAAAAH+rypo=",0)</f>
        <v>#REF!</v>
      </c>
      <c r="EZ183" t="e">
        <f>IF(#REF!,"AAAAAH+ryps=",0)</f>
        <v>#REF!</v>
      </c>
      <c r="FA183" t="e">
        <f>IF(#REF!,"AAAAAH+rypw=",0)</f>
        <v>#REF!</v>
      </c>
      <c r="FB183" t="e">
        <f>IF(#REF!,"AAAAAH+ryp0=",0)</f>
        <v>#REF!</v>
      </c>
      <c r="FC183" t="e">
        <f>IF(#REF!,"AAAAAH+ryp4=",0)</f>
        <v>#REF!</v>
      </c>
      <c r="FD183" t="e">
        <f>IF(#REF!,"AAAAAH+ryp8=",0)</f>
        <v>#REF!</v>
      </c>
      <c r="FE183" t="e">
        <f>IF(#REF!,"AAAAAH+ryqA=",0)</f>
        <v>#REF!</v>
      </c>
      <c r="FF183" t="e">
        <f>IF(#REF!,"AAAAAH+ryqE=",0)</f>
        <v>#REF!</v>
      </c>
      <c r="FG183" t="e">
        <f>IF(#REF!,"AAAAAH+ryqI=",0)</f>
        <v>#REF!</v>
      </c>
      <c r="FH183" t="e">
        <f>IF(#REF!,"AAAAAH+ryqM=",0)</f>
        <v>#REF!</v>
      </c>
      <c r="FI183" t="e">
        <f>IF(#REF!,"AAAAAH+ryqQ=",0)</f>
        <v>#REF!</v>
      </c>
      <c r="FJ183" t="e">
        <f>IF(#REF!,"AAAAAH+ryqU=",0)</f>
        <v>#REF!</v>
      </c>
      <c r="FK183" t="e">
        <f>IF(#REF!,"AAAAAH+ryqY=",0)</f>
        <v>#REF!</v>
      </c>
      <c r="FL183" t="e">
        <f>IF(#REF!,"AAAAAH+ryqc=",0)</f>
        <v>#REF!</v>
      </c>
      <c r="FM183" t="e">
        <f>IF(#REF!,"AAAAAH+ryqg=",0)</f>
        <v>#REF!</v>
      </c>
      <c r="FN183" t="e">
        <f>IF(#REF!,"AAAAAH+ryqk=",0)</f>
        <v>#REF!</v>
      </c>
      <c r="FO183" t="e">
        <f>IF(#REF!,"AAAAAH+ryqo=",0)</f>
        <v>#REF!</v>
      </c>
      <c r="FP183" t="e">
        <f>IF(#REF!,"AAAAAH+ryqs=",0)</f>
        <v>#REF!</v>
      </c>
      <c r="FQ183" t="e">
        <f>IF(#REF!,"AAAAAH+ryqw=",0)</f>
        <v>#REF!</v>
      </c>
      <c r="FR183" t="e">
        <f>IF(#REF!,"AAAAAH+ryq0=",0)</f>
        <v>#REF!</v>
      </c>
      <c r="FS183" t="e">
        <f>IF(#REF!,"AAAAAH+ryq4=",0)</f>
        <v>#REF!</v>
      </c>
      <c r="FT183" t="e">
        <f>IF(#REF!,"AAAAAH+ryq8=",0)</f>
        <v>#REF!</v>
      </c>
      <c r="FU183" t="e">
        <f>IF(#REF!,"AAAAAH+ryrA=",0)</f>
        <v>#REF!</v>
      </c>
      <c r="FV183" t="e">
        <f>IF(#REF!,"AAAAAH+ryrE=",0)</f>
        <v>#REF!</v>
      </c>
      <c r="FW183" t="e">
        <f>IF(#REF!,"AAAAAH+ryrI=",0)</f>
        <v>#REF!</v>
      </c>
      <c r="FX183" t="e">
        <f>IF(#REF!,"AAAAAH+ryrM=",0)</f>
        <v>#REF!</v>
      </c>
      <c r="FY183" t="e">
        <f>IF(#REF!,"AAAAAH+ryrQ=",0)</f>
        <v>#REF!</v>
      </c>
      <c r="FZ183" t="e">
        <f>IF(#REF!,"AAAAAH+ryrU=",0)</f>
        <v>#REF!</v>
      </c>
      <c r="GA183" t="e">
        <f>IF(#REF!,"AAAAAH+ryrY=",0)</f>
        <v>#REF!</v>
      </c>
      <c r="GB183" t="e">
        <f>IF(#REF!,"AAAAAH+ryrc=",0)</f>
        <v>#REF!</v>
      </c>
      <c r="GC183" t="e">
        <f>IF(#REF!,"AAAAAH+ryrg=",0)</f>
        <v>#REF!</v>
      </c>
      <c r="GD183" t="e">
        <f>IF(#REF!,"AAAAAH+ryrk=",0)</f>
        <v>#REF!</v>
      </c>
      <c r="GE183" t="e">
        <f>IF(#REF!,"AAAAAH+ryro=",0)</f>
        <v>#REF!</v>
      </c>
      <c r="GF183" t="e">
        <f>IF(#REF!,"AAAAAH+ryrs=",0)</f>
        <v>#REF!</v>
      </c>
      <c r="GG183" t="e">
        <f>IF(#REF!,"AAAAAH+ryrw=",0)</f>
        <v>#REF!</v>
      </c>
      <c r="GH183" t="e">
        <f>IF(#REF!,"AAAAAH+ryr0=",0)</f>
        <v>#REF!</v>
      </c>
      <c r="GI183" t="e">
        <f>IF(#REF!,"AAAAAH+ryr4=",0)</f>
        <v>#REF!</v>
      </c>
      <c r="GJ183" t="e">
        <f>IF(#REF!,"AAAAAH+ryr8=",0)</f>
        <v>#REF!</v>
      </c>
      <c r="GK183" t="e">
        <f>IF(#REF!,"AAAAAH+rysA=",0)</f>
        <v>#REF!</v>
      </c>
      <c r="GL183" t="e">
        <f>IF(#REF!,"AAAAAH+rysE=",0)</f>
        <v>#REF!</v>
      </c>
      <c r="GM183" t="e">
        <f>IF(#REF!,"AAAAAH+rysI=",0)</f>
        <v>#REF!</v>
      </c>
      <c r="GN183" t="e">
        <f>IF(#REF!,"AAAAAH+rysM=",0)</f>
        <v>#REF!</v>
      </c>
      <c r="GO183" t="e">
        <f>IF(#REF!,"AAAAAH+rysQ=",0)</f>
        <v>#REF!</v>
      </c>
      <c r="GP183" t="e">
        <f>IF(#REF!,"AAAAAH+rysU=",0)</f>
        <v>#REF!</v>
      </c>
      <c r="GQ183" t="e">
        <f>IF(#REF!,"AAAAAH+rysY=",0)</f>
        <v>#REF!</v>
      </c>
      <c r="GR183" t="e">
        <f>IF(#REF!,"AAAAAH+rysc=",0)</f>
        <v>#REF!</v>
      </c>
      <c r="GS183" t="e">
        <f>IF(#REF!,"AAAAAH+rysg=",0)</f>
        <v>#REF!</v>
      </c>
      <c r="GT183" t="e">
        <f>IF(#REF!,"AAAAAH+rysk=",0)</f>
        <v>#REF!</v>
      </c>
      <c r="GU183" t="e">
        <f>IF(#REF!,"AAAAAH+ryso=",0)</f>
        <v>#REF!</v>
      </c>
      <c r="GV183" t="e">
        <f>IF(#REF!,"AAAAAH+ryss=",0)</f>
        <v>#REF!</v>
      </c>
      <c r="GW183" t="e">
        <f>IF(#REF!,"AAAAAH+rysw=",0)</f>
        <v>#REF!</v>
      </c>
      <c r="GX183" t="e">
        <f>IF(#REF!,"AAAAAH+rys0=",0)</f>
        <v>#REF!</v>
      </c>
      <c r="GY183" t="e">
        <f>IF(#REF!,"AAAAAH+rys4=",0)</f>
        <v>#REF!</v>
      </c>
      <c r="GZ183" t="e">
        <f>IF(#REF!,"AAAAAH+rys8=",0)</f>
        <v>#REF!</v>
      </c>
      <c r="HA183" t="e">
        <f>IF(#REF!,"AAAAAH+rytA=",0)</f>
        <v>#REF!</v>
      </c>
      <c r="HB183" t="e">
        <f>IF(#REF!,"AAAAAH+rytE=",0)</f>
        <v>#REF!</v>
      </c>
      <c r="HC183" t="e">
        <f>IF(#REF!,"AAAAAH+rytI=",0)</f>
        <v>#REF!</v>
      </c>
      <c r="HD183" t="e">
        <f>IF(#REF!,"AAAAAH+rytM=",0)</f>
        <v>#REF!</v>
      </c>
      <c r="HE183" t="e">
        <f>IF(#REF!,"AAAAAH+rytQ=",0)</f>
        <v>#REF!</v>
      </c>
      <c r="HF183" t="e">
        <f>IF(#REF!,"AAAAAH+rytU=",0)</f>
        <v>#REF!</v>
      </c>
      <c r="HG183" t="e">
        <f>IF(#REF!,"AAAAAH+rytY=",0)</f>
        <v>#REF!</v>
      </c>
      <c r="HH183" t="e">
        <f>IF(#REF!,"AAAAAH+rytc=",0)</f>
        <v>#REF!</v>
      </c>
      <c r="HI183" t="e">
        <f>IF(#REF!,"AAAAAH+rytg=",0)</f>
        <v>#REF!</v>
      </c>
      <c r="HJ183" t="e">
        <f>IF(#REF!,"AAAAAH+rytk=",0)</f>
        <v>#REF!</v>
      </c>
      <c r="HK183" t="e">
        <f>IF(#REF!,"AAAAAH+ryto=",0)</f>
        <v>#REF!</v>
      </c>
      <c r="HL183" t="e">
        <f>IF(#REF!,"AAAAAH+ryts=",0)</f>
        <v>#REF!</v>
      </c>
      <c r="HM183" t="e">
        <f>IF(#REF!,"AAAAAH+rytw=",0)</f>
        <v>#REF!</v>
      </c>
      <c r="HN183" t="e">
        <f>IF(#REF!,"AAAAAH+ryt0=",0)</f>
        <v>#REF!</v>
      </c>
      <c r="HO183" t="e">
        <f>IF(#REF!,"AAAAAH+ryt4=",0)</f>
        <v>#REF!</v>
      </c>
      <c r="HP183" t="e">
        <f>IF(#REF!,"AAAAAH+ryt8=",0)</f>
        <v>#REF!</v>
      </c>
      <c r="HQ183" t="e">
        <f>IF(#REF!,"AAAAAH+ryuA=",0)</f>
        <v>#REF!</v>
      </c>
      <c r="HR183" t="e">
        <f>IF(#REF!,"AAAAAH+ryuE=",0)</f>
        <v>#REF!</v>
      </c>
      <c r="HS183" t="e">
        <f>IF(#REF!,"AAAAAH+ryuI=",0)</f>
        <v>#REF!</v>
      </c>
      <c r="HT183" t="e">
        <f>IF(#REF!,"AAAAAH+ryuM=",0)</f>
        <v>#REF!</v>
      </c>
      <c r="HU183" t="e">
        <f>IF(#REF!,"AAAAAH+ryuQ=",0)</f>
        <v>#REF!</v>
      </c>
      <c r="HV183" t="e">
        <f>IF(#REF!,"AAAAAH+ryuU=",0)</f>
        <v>#REF!</v>
      </c>
      <c r="HW183" t="e">
        <f>IF(#REF!,"AAAAAH+ryuY=",0)</f>
        <v>#REF!</v>
      </c>
      <c r="HX183" t="e">
        <f>IF(#REF!,"AAAAAH+ryuc=",0)</f>
        <v>#REF!</v>
      </c>
      <c r="HY183" t="e">
        <f>IF(#REF!,"AAAAAH+ryug=",0)</f>
        <v>#REF!</v>
      </c>
      <c r="HZ183" t="e">
        <f>IF(#REF!,"AAAAAH+ryuk=",0)</f>
        <v>#REF!</v>
      </c>
      <c r="IA183" t="e">
        <f>IF(#REF!,"AAAAAH+ryuo=",0)</f>
        <v>#REF!</v>
      </c>
      <c r="IB183" t="e">
        <f>IF(#REF!,"AAAAAH+ryus=",0)</f>
        <v>#REF!</v>
      </c>
      <c r="IC183" t="e">
        <f>IF(#REF!,"AAAAAH+ryuw=",0)</f>
        <v>#REF!</v>
      </c>
      <c r="ID183" t="e">
        <f>IF(#REF!,"AAAAAH+ryu0=",0)</f>
        <v>#REF!</v>
      </c>
      <c r="IE183" t="e">
        <f>IF(#REF!,"AAAAAH+ryu4=",0)</f>
        <v>#REF!</v>
      </c>
      <c r="IF183" t="e">
        <f>IF(#REF!,"AAAAAH+ryu8=",0)</f>
        <v>#REF!</v>
      </c>
      <c r="IG183" t="e">
        <f>IF(#REF!,"AAAAAH+ryvA=",0)</f>
        <v>#REF!</v>
      </c>
      <c r="IH183" t="e">
        <f>IF(#REF!,"AAAAAH+ryvE=",0)</f>
        <v>#REF!</v>
      </c>
      <c r="II183" t="e">
        <f>IF(#REF!,"AAAAAH+ryvI=",0)</f>
        <v>#REF!</v>
      </c>
      <c r="IJ183" t="e">
        <f>IF(#REF!,"AAAAAH+ryvM=",0)</f>
        <v>#REF!</v>
      </c>
      <c r="IK183" t="e">
        <f>IF(#REF!,"AAAAAH+ryvQ=",0)</f>
        <v>#REF!</v>
      </c>
      <c r="IL183" t="e">
        <f>IF(#REF!,"AAAAAH+ryvU=",0)</f>
        <v>#REF!</v>
      </c>
      <c r="IM183" t="e">
        <f>IF(#REF!,"AAAAAH+ryvY=",0)</f>
        <v>#REF!</v>
      </c>
      <c r="IN183" t="e">
        <f>IF(#REF!,"AAAAAH+ryvc=",0)</f>
        <v>#REF!</v>
      </c>
      <c r="IO183" t="e">
        <f>IF(#REF!,"AAAAAH+ryvg=",0)</f>
        <v>#REF!</v>
      </c>
      <c r="IP183" t="e">
        <f>IF(#REF!,"AAAAAH+ryvk=",0)</f>
        <v>#REF!</v>
      </c>
      <c r="IQ183" t="e">
        <f>IF(#REF!,"AAAAAH+ryvo=",0)</f>
        <v>#REF!</v>
      </c>
      <c r="IR183" t="e">
        <f>IF(#REF!,"AAAAAH+ryvs=",0)</f>
        <v>#REF!</v>
      </c>
      <c r="IS183" t="e">
        <f>IF(#REF!,"AAAAAH+ryvw=",0)</f>
        <v>#REF!</v>
      </c>
      <c r="IT183" t="e">
        <f>IF(#REF!,"AAAAAH+ryv0=",0)</f>
        <v>#REF!</v>
      </c>
      <c r="IU183" t="e">
        <f>IF(#REF!,"AAAAAH+ryv4=",0)</f>
        <v>#REF!</v>
      </c>
      <c r="IV183" t="e">
        <f>IF(#REF!,"AAAAAH+ryv8=",0)</f>
        <v>#REF!</v>
      </c>
    </row>
    <row r="184" spans="1:256">
      <c r="A184" t="e">
        <f>IF(#REF!,"AAAAAC+f7wA=",0)</f>
        <v>#REF!</v>
      </c>
      <c r="B184" t="e">
        <f>IF(#REF!,"AAAAAC+f7wE=",0)</f>
        <v>#REF!</v>
      </c>
      <c r="C184" t="e">
        <f>IF(#REF!,"AAAAAC+f7wI=",0)</f>
        <v>#REF!</v>
      </c>
      <c r="D184" t="e">
        <f>IF(#REF!,"AAAAAC+f7wM=",0)</f>
        <v>#REF!</v>
      </c>
      <c r="E184" t="e">
        <f>IF(#REF!,"AAAAAC+f7wQ=",0)</f>
        <v>#REF!</v>
      </c>
      <c r="F184" t="e">
        <f>IF(#REF!,"AAAAAC+f7wU=",0)</f>
        <v>#REF!</v>
      </c>
      <c r="G184" t="e">
        <f>IF(#REF!,"AAAAAC+f7wY=",0)</f>
        <v>#REF!</v>
      </c>
      <c r="H184" t="e">
        <f>IF(#REF!,"AAAAAC+f7wc=",0)</f>
        <v>#REF!</v>
      </c>
      <c r="I184" t="e">
        <f>IF(#REF!,"AAAAAC+f7wg=",0)</f>
        <v>#REF!</v>
      </c>
      <c r="J184" t="e">
        <f>IF(#REF!,"AAAAAC+f7wk=",0)</f>
        <v>#REF!</v>
      </c>
      <c r="K184" t="e">
        <f>IF(#REF!,"AAAAAC+f7wo=",0)</f>
        <v>#REF!</v>
      </c>
      <c r="L184" t="e">
        <f>IF(#REF!,"AAAAAC+f7ws=",0)</f>
        <v>#REF!</v>
      </c>
      <c r="M184" t="e">
        <f>IF(#REF!,"AAAAAC+f7ww=",0)</f>
        <v>#REF!</v>
      </c>
      <c r="N184" t="e">
        <f>IF(#REF!,"AAAAAC+f7w0=",0)</f>
        <v>#REF!</v>
      </c>
      <c r="O184" t="e">
        <f>IF(#REF!,"AAAAAC+f7w4=",0)</f>
        <v>#REF!</v>
      </c>
      <c r="P184" t="e">
        <f>IF(#REF!,"AAAAAC+f7w8=",0)</f>
        <v>#REF!</v>
      </c>
      <c r="Q184" t="e">
        <f>IF(#REF!,"AAAAAC+f7xA=",0)</f>
        <v>#REF!</v>
      </c>
      <c r="R184" t="e">
        <f>IF(#REF!,"AAAAAC+f7xE=",0)</f>
        <v>#REF!</v>
      </c>
      <c r="S184" t="e">
        <f>IF(#REF!,"AAAAAC+f7xI=",0)</f>
        <v>#REF!</v>
      </c>
      <c r="T184" t="e">
        <f>IF(#REF!,"AAAAAC+f7xM=",0)</f>
        <v>#REF!</v>
      </c>
      <c r="U184" t="e">
        <f>IF(#REF!,"AAAAAC+f7xQ=",0)</f>
        <v>#REF!</v>
      </c>
      <c r="V184" t="e">
        <f>IF(#REF!,"AAAAAC+f7xU=",0)</f>
        <v>#REF!</v>
      </c>
      <c r="W184" t="e">
        <f>IF(#REF!,"AAAAAC+f7xY=",0)</f>
        <v>#REF!</v>
      </c>
      <c r="X184" t="e">
        <f>IF(#REF!,"AAAAAC+f7xc=",0)</f>
        <v>#REF!</v>
      </c>
      <c r="Y184" t="e">
        <f>IF(#REF!,"AAAAAC+f7xg=",0)</f>
        <v>#REF!</v>
      </c>
      <c r="Z184" t="e">
        <f>IF(#REF!,"AAAAAC+f7xk=",0)</f>
        <v>#REF!</v>
      </c>
      <c r="AA184" t="e">
        <f>IF(#REF!,"AAAAAC+f7xo=",0)</f>
        <v>#REF!</v>
      </c>
      <c r="AB184" t="e">
        <f>IF(#REF!,"AAAAAC+f7xs=",0)</f>
        <v>#REF!</v>
      </c>
      <c r="AC184" t="e">
        <f>IF(#REF!,"AAAAAC+f7xw=",0)</f>
        <v>#REF!</v>
      </c>
      <c r="AD184" t="e">
        <f>IF(#REF!,"AAAAAC+f7x0=",0)</f>
        <v>#REF!</v>
      </c>
      <c r="AE184" t="e">
        <f>IF(#REF!,"AAAAAC+f7x4=",0)</f>
        <v>#REF!</v>
      </c>
      <c r="AF184" t="e">
        <f>IF(#REF!,"AAAAAC+f7x8=",0)</f>
        <v>#REF!</v>
      </c>
      <c r="AG184" t="e">
        <f>IF(#REF!,"AAAAAC+f7yA=",0)</f>
        <v>#REF!</v>
      </c>
      <c r="AH184" t="e">
        <f>IF(#REF!,"AAAAAC+f7yE=",0)</f>
        <v>#REF!</v>
      </c>
      <c r="AI184" t="e">
        <f>IF(#REF!,"AAAAAC+f7yI=",0)</f>
        <v>#REF!</v>
      </c>
      <c r="AJ184" t="e">
        <f>IF(#REF!,"AAAAAC+f7yM=",0)</f>
        <v>#REF!</v>
      </c>
      <c r="AK184" t="e">
        <f>IF(#REF!,"AAAAAC+f7yQ=",0)</f>
        <v>#REF!</v>
      </c>
      <c r="AL184" t="e">
        <f>IF(#REF!,"AAAAAC+f7yU=",0)</f>
        <v>#REF!</v>
      </c>
      <c r="AM184" t="e">
        <f>IF(#REF!,"AAAAAC+f7yY=",0)</f>
        <v>#REF!</v>
      </c>
      <c r="AN184" t="e">
        <f>IF(#REF!,"AAAAAC+f7yc=",0)</f>
        <v>#REF!</v>
      </c>
      <c r="AO184" t="e">
        <f>IF(#REF!,"AAAAAC+f7yg=",0)</f>
        <v>#REF!</v>
      </c>
      <c r="AP184" t="e">
        <f>IF(#REF!,"AAAAAC+f7yk=",0)</f>
        <v>#REF!</v>
      </c>
      <c r="AQ184" t="e">
        <f>IF(#REF!,"AAAAAC+f7yo=",0)</f>
        <v>#REF!</v>
      </c>
      <c r="AR184" t="e">
        <f>IF(#REF!,"AAAAAC+f7ys=",0)</f>
        <v>#REF!</v>
      </c>
      <c r="AS184" t="e">
        <f>IF(#REF!,"AAAAAC+f7yw=",0)</f>
        <v>#REF!</v>
      </c>
      <c r="AT184" t="e">
        <f>IF(#REF!,"AAAAAC+f7y0=",0)</f>
        <v>#REF!</v>
      </c>
      <c r="AU184" t="e">
        <f>IF(#REF!,"AAAAAC+f7y4=",0)</f>
        <v>#REF!</v>
      </c>
      <c r="AV184" t="e">
        <f>IF(#REF!,"AAAAAC+f7y8=",0)</f>
        <v>#REF!</v>
      </c>
      <c r="AW184" t="e">
        <f>IF(#REF!,"AAAAAC+f7zA=",0)</f>
        <v>#REF!</v>
      </c>
      <c r="AX184" t="e">
        <f>IF(#REF!,"AAAAAC+f7zE=",0)</f>
        <v>#REF!</v>
      </c>
      <c r="AY184" t="e">
        <f>IF(#REF!,"AAAAAC+f7zI=",0)</f>
        <v>#REF!</v>
      </c>
      <c r="AZ184" t="e">
        <f>IF(#REF!,"AAAAAC+f7zM=",0)</f>
        <v>#REF!</v>
      </c>
      <c r="BA184" t="e">
        <f>IF(#REF!,"AAAAAC+f7zQ=",0)</f>
        <v>#REF!</v>
      </c>
      <c r="BB184" t="e">
        <f>IF(#REF!,"AAAAAC+f7zU=",0)</f>
        <v>#REF!</v>
      </c>
      <c r="BC184" t="e">
        <f>IF(#REF!,"AAAAAC+f7zY=",0)</f>
        <v>#REF!</v>
      </c>
      <c r="BD184" t="e">
        <f>IF(#REF!,"AAAAAC+f7zc=",0)</f>
        <v>#REF!</v>
      </c>
      <c r="BE184" t="e">
        <f>IF(#REF!,"AAAAAC+f7zg=",0)</f>
        <v>#REF!</v>
      </c>
      <c r="BF184" t="e">
        <f>IF(#REF!,"AAAAAC+f7zk=",0)</f>
        <v>#REF!</v>
      </c>
      <c r="BG184" t="e">
        <f>IF(#REF!,"AAAAAC+f7zo=",0)</f>
        <v>#REF!</v>
      </c>
      <c r="BH184" t="e">
        <f>IF(#REF!,"AAAAAC+f7zs=",0)</f>
        <v>#REF!</v>
      </c>
      <c r="BI184" t="e">
        <f>IF(#REF!,"AAAAAC+f7zw=",0)</f>
        <v>#REF!</v>
      </c>
      <c r="BJ184" t="e">
        <f>IF(#REF!,"AAAAAC+f7z0=",0)</f>
        <v>#REF!</v>
      </c>
      <c r="BK184" t="e">
        <f>IF(#REF!,"AAAAAC+f7z4=",0)</f>
        <v>#REF!</v>
      </c>
      <c r="BL184" t="e">
        <f>IF(#REF!,"AAAAAC+f7z8=",0)</f>
        <v>#REF!</v>
      </c>
      <c r="BM184" t="e">
        <f>IF(#REF!,"AAAAAC+f70A=",0)</f>
        <v>#REF!</v>
      </c>
      <c r="BN184" t="e">
        <f>IF(#REF!,"AAAAAC+f70E=",0)</f>
        <v>#REF!</v>
      </c>
      <c r="BO184" t="e">
        <f>IF(#REF!,"AAAAAC+f70I=",0)</f>
        <v>#REF!</v>
      </c>
      <c r="BP184" t="e">
        <f>IF(#REF!,"AAAAAC+f70M=",0)</f>
        <v>#REF!</v>
      </c>
      <c r="BQ184" t="e">
        <f>IF(#REF!,"AAAAAC+f70Q=",0)</f>
        <v>#REF!</v>
      </c>
      <c r="BR184" t="e">
        <f>IF(#REF!,"AAAAAC+f70U=",0)</f>
        <v>#REF!</v>
      </c>
      <c r="BS184" t="e">
        <f>IF(#REF!,"AAAAAC+f70Y=",0)</f>
        <v>#REF!</v>
      </c>
      <c r="BT184" t="e">
        <f>IF(#REF!,"AAAAAC+f70c=",0)</f>
        <v>#REF!</v>
      </c>
      <c r="BU184" t="e">
        <f>IF(#REF!,"AAAAAC+f70g=",0)</f>
        <v>#REF!</v>
      </c>
      <c r="BV184" t="e">
        <f>IF(#REF!,"AAAAAC+f70k=",0)</f>
        <v>#REF!</v>
      </c>
      <c r="BW184" t="e">
        <f>IF(#REF!,"AAAAAC+f70o=",0)</f>
        <v>#REF!</v>
      </c>
      <c r="BX184" t="e">
        <f>IF(#REF!,"AAAAAC+f70s=",0)</f>
        <v>#REF!</v>
      </c>
      <c r="BY184" t="e">
        <f>IF(#REF!,"AAAAAC+f70w=",0)</f>
        <v>#REF!</v>
      </c>
      <c r="BZ184" t="e">
        <f>IF(#REF!,"AAAAAC+f700=",0)</f>
        <v>#REF!</v>
      </c>
      <c r="CA184" t="e">
        <f>IF(#REF!,"AAAAAC+f704=",0)</f>
        <v>#REF!</v>
      </c>
      <c r="CB184" t="e">
        <f>IF(#REF!,"AAAAAC+f708=",0)</f>
        <v>#REF!</v>
      </c>
      <c r="CC184" t="e">
        <f>IF(#REF!,"AAAAAC+f71A=",0)</f>
        <v>#REF!</v>
      </c>
      <c r="CD184" t="e">
        <f>IF(#REF!,"AAAAAC+f71E=",0)</f>
        <v>#REF!</v>
      </c>
      <c r="CE184" t="e">
        <f>IF(#REF!,"AAAAAC+f71I=",0)</f>
        <v>#REF!</v>
      </c>
      <c r="CF184" t="e">
        <f>IF(#REF!,"AAAAAC+f71M=",0)</f>
        <v>#REF!</v>
      </c>
      <c r="CG184" t="e">
        <f>IF(#REF!,"AAAAAC+f71Q=",0)</f>
        <v>#REF!</v>
      </c>
      <c r="CH184" t="e">
        <f>IF(#REF!,"AAAAAC+f71U=",0)</f>
        <v>#REF!</v>
      </c>
      <c r="CI184" t="e">
        <f>IF(#REF!,"AAAAAC+f71Y=",0)</f>
        <v>#REF!</v>
      </c>
      <c r="CJ184" t="e">
        <f>IF(#REF!,"AAAAAC+f71c=",0)</f>
        <v>#REF!</v>
      </c>
      <c r="CK184" t="e">
        <f>IF(#REF!,"AAAAAC+f71g=",0)</f>
        <v>#REF!</v>
      </c>
      <c r="CL184" t="e">
        <f>IF(#REF!,"AAAAAC+f71k=",0)</f>
        <v>#REF!</v>
      </c>
      <c r="CM184" t="e">
        <f>IF(#REF!,"AAAAAC+f71o=",0)</f>
        <v>#REF!</v>
      </c>
      <c r="CN184" t="e">
        <f>IF(#REF!,"AAAAAC+f71s=",0)</f>
        <v>#REF!</v>
      </c>
      <c r="CO184" t="e">
        <f>IF(#REF!,"AAAAAC+f71w=",0)</f>
        <v>#REF!</v>
      </c>
      <c r="CP184" t="e">
        <f>IF(#REF!,"AAAAAC+f710=",0)</f>
        <v>#REF!</v>
      </c>
      <c r="CQ184" t="e">
        <f>IF(#REF!,"AAAAAC+f714=",0)</f>
        <v>#REF!</v>
      </c>
      <c r="CR184" t="e">
        <f>IF(#REF!,"AAAAAC+f718=",0)</f>
        <v>#REF!</v>
      </c>
      <c r="CS184" t="e">
        <f>IF(#REF!,"AAAAAC+f72A=",0)</f>
        <v>#REF!</v>
      </c>
      <c r="CT184" t="e">
        <f>IF(#REF!,"AAAAAC+f72E=",0)</f>
        <v>#REF!</v>
      </c>
      <c r="CU184" t="e">
        <f>IF(#REF!,"AAAAAC+f72I=",0)</f>
        <v>#REF!</v>
      </c>
      <c r="CV184" t="e">
        <f>IF(#REF!,"AAAAAC+f72M=",0)</f>
        <v>#REF!</v>
      </c>
      <c r="CW184" t="e">
        <f>IF(#REF!,"AAAAAC+f72Q=",0)</f>
        <v>#REF!</v>
      </c>
      <c r="CX184" t="e">
        <f>IF(#REF!,"AAAAAC+f72U=",0)</f>
        <v>#REF!</v>
      </c>
      <c r="CY184" t="e">
        <f>IF(#REF!,"AAAAAC+f72Y=",0)</f>
        <v>#REF!</v>
      </c>
      <c r="CZ184" t="e">
        <f>IF(#REF!,"AAAAAC+f72c=",0)</f>
        <v>#REF!</v>
      </c>
      <c r="DA184" t="e">
        <f>IF(#REF!,"AAAAAC+f72g=",0)</f>
        <v>#REF!</v>
      </c>
      <c r="DB184" t="e">
        <f>IF(#REF!,"AAAAAC+f72k=",0)</f>
        <v>#REF!</v>
      </c>
      <c r="DC184" t="e">
        <f>IF(#REF!,"AAAAAC+f72o=",0)</f>
        <v>#REF!</v>
      </c>
      <c r="DD184" t="e">
        <f>IF(#REF!,"AAAAAC+f72s=",0)</f>
        <v>#REF!</v>
      </c>
      <c r="DE184" t="e">
        <f>IF(#REF!,"AAAAAC+f72w=",0)</f>
        <v>#REF!</v>
      </c>
      <c r="DF184" t="e">
        <f>IF(#REF!,"AAAAAC+f720=",0)</f>
        <v>#REF!</v>
      </c>
      <c r="DG184" t="e">
        <f>IF(#REF!,"AAAAAC+f724=",0)</f>
        <v>#REF!</v>
      </c>
      <c r="DH184" t="e">
        <f>IF(#REF!,"AAAAAC+f728=",0)</f>
        <v>#REF!</v>
      </c>
      <c r="DI184" t="e">
        <f>IF(#REF!,"AAAAAC+f73A=",0)</f>
        <v>#REF!</v>
      </c>
      <c r="DJ184" t="e">
        <f>IF(#REF!,"AAAAAC+f73E=",0)</f>
        <v>#REF!</v>
      </c>
      <c r="DK184" t="e">
        <f>IF(#REF!,"AAAAAC+f73I=",0)</f>
        <v>#REF!</v>
      </c>
      <c r="DL184" t="e">
        <f>IF(#REF!,"AAAAAC+f73M=",0)</f>
        <v>#REF!</v>
      </c>
      <c r="DM184" t="e">
        <f>IF(#REF!,"AAAAAC+f73Q=",0)</f>
        <v>#REF!</v>
      </c>
      <c r="DN184" t="e">
        <f>IF(#REF!,"AAAAAC+f73U=",0)</f>
        <v>#REF!</v>
      </c>
      <c r="DO184" t="e">
        <f>IF(#REF!,"AAAAAC+f73Y=",0)</f>
        <v>#REF!</v>
      </c>
      <c r="DP184" t="e">
        <f>IF(#REF!,"AAAAAC+f73c=",0)</f>
        <v>#REF!</v>
      </c>
      <c r="DQ184" t="e">
        <f>IF(#REF!,"AAAAAC+f73g=",0)</f>
        <v>#REF!</v>
      </c>
      <c r="DR184" t="e">
        <f>IF(#REF!,"AAAAAC+f73k=",0)</f>
        <v>#REF!</v>
      </c>
      <c r="DS184" t="e">
        <f>IF(#REF!,"AAAAAC+f73o=",0)</f>
        <v>#REF!</v>
      </c>
      <c r="DT184" t="e">
        <f>IF(#REF!,"AAAAAC+f73s=",0)</f>
        <v>#REF!</v>
      </c>
      <c r="DU184" t="e">
        <f>IF(#REF!,"AAAAAC+f73w=",0)</f>
        <v>#REF!</v>
      </c>
      <c r="DV184" t="e">
        <f>IF(#REF!,"AAAAAC+f730=",0)</f>
        <v>#REF!</v>
      </c>
      <c r="DW184" t="e">
        <f>IF(#REF!,"AAAAAC+f734=",0)</f>
        <v>#REF!</v>
      </c>
      <c r="DX184" t="e">
        <f>IF(#REF!,"AAAAAC+f738=",0)</f>
        <v>#REF!</v>
      </c>
      <c r="DY184" t="e">
        <f>IF(#REF!,"AAAAAC+f74A=",0)</f>
        <v>#REF!</v>
      </c>
      <c r="DZ184" t="e">
        <f>IF(#REF!,"AAAAAC+f74E=",0)</f>
        <v>#REF!</v>
      </c>
      <c r="EA184" t="e">
        <f>IF(#REF!,"AAAAAC+f74I=",0)</f>
        <v>#REF!</v>
      </c>
      <c r="EB184" t="e">
        <f>IF(#REF!,"AAAAAC+f74M=",0)</f>
        <v>#REF!</v>
      </c>
      <c r="EC184" t="e">
        <f>IF(#REF!,"AAAAAC+f74Q=",0)</f>
        <v>#REF!</v>
      </c>
      <c r="ED184" t="e">
        <f>IF(#REF!,"AAAAAC+f74U=",0)</f>
        <v>#REF!</v>
      </c>
      <c r="EE184" t="e">
        <f>IF(#REF!,"AAAAAC+f74Y=",0)</f>
        <v>#REF!</v>
      </c>
      <c r="EF184" t="e">
        <f>IF(#REF!,"AAAAAC+f74c=",0)</f>
        <v>#REF!</v>
      </c>
      <c r="EG184" t="e">
        <f>IF(#REF!,"AAAAAC+f74g=",0)</f>
        <v>#REF!</v>
      </c>
      <c r="EH184" t="e">
        <f>IF(#REF!,"AAAAAC+f74k=",0)</f>
        <v>#REF!</v>
      </c>
      <c r="EI184" t="e">
        <f>IF(#REF!,"AAAAAC+f74o=",0)</f>
        <v>#REF!</v>
      </c>
      <c r="EJ184" t="e">
        <f>IF(#REF!,"AAAAAC+f74s=",0)</f>
        <v>#REF!</v>
      </c>
      <c r="EK184" t="e">
        <f>IF(#REF!,"AAAAAC+f74w=",0)</f>
        <v>#REF!</v>
      </c>
      <c r="EL184" t="e">
        <f>IF(#REF!,"AAAAAC+f740=",0)</f>
        <v>#REF!</v>
      </c>
      <c r="EM184" t="e">
        <f>IF(#REF!,"AAAAAC+f744=",0)</f>
        <v>#REF!</v>
      </c>
      <c r="EN184" t="e">
        <f>IF(#REF!,"AAAAAC+f748=",0)</f>
        <v>#REF!</v>
      </c>
      <c r="EO184" t="e">
        <f>IF(#REF!,"AAAAAC+f75A=",0)</f>
        <v>#REF!</v>
      </c>
      <c r="EP184" t="e">
        <f>IF(#REF!,"AAAAAC+f75E=",0)</f>
        <v>#REF!</v>
      </c>
      <c r="EQ184" t="e">
        <f>IF(#REF!,"AAAAAC+f75I=",0)</f>
        <v>#REF!</v>
      </c>
      <c r="ER184" t="e">
        <f>IF(#REF!,"AAAAAC+f75M=",0)</f>
        <v>#REF!</v>
      </c>
      <c r="ES184" t="e">
        <f>IF(#REF!,"AAAAAC+f75Q=",0)</f>
        <v>#REF!</v>
      </c>
      <c r="ET184" t="e">
        <f>IF(#REF!,"AAAAAC+f75U=",0)</f>
        <v>#REF!</v>
      </c>
      <c r="EU184" t="e">
        <f>IF(#REF!,"AAAAAC+f75Y=",0)</f>
        <v>#REF!</v>
      </c>
      <c r="EV184" t="e">
        <f>IF(#REF!,"AAAAAC+f75c=",0)</f>
        <v>#REF!</v>
      </c>
      <c r="EW184" t="e">
        <f>IF(#REF!,"AAAAAC+f75g=",0)</f>
        <v>#REF!</v>
      </c>
      <c r="EX184" t="e">
        <f>IF(#REF!,"AAAAAC+f75k=",0)</f>
        <v>#REF!</v>
      </c>
      <c r="EY184" t="e">
        <f>IF(#REF!,"AAAAAC+f75o=",0)</f>
        <v>#REF!</v>
      </c>
      <c r="EZ184" t="e">
        <f>IF(#REF!,"AAAAAC+f75s=",0)</f>
        <v>#REF!</v>
      </c>
      <c r="FA184" t="e">
        <f>IF(#REF!,"AAAAAC+f75w=",0)</f>
        <v>#REF!</v>
      </c>
      <c r="FB184" t="e">
        <f>IF(#REF!,"AAAAAC+f750=",0)</f>
        <v>#REF!</v>
      </c>
      <c r="FC184" t="e">
        <f>IF(#REF!,"AAAAAC+f754=",0)</f>
        <v>#REF!</v>
      </c>
      <c r="FD184" t="e">
        <f>IF(#REF!,"AAAAAC+f758=",0)</f>
        <v>#REF!</v>
      </c>
      <c r="FE184" t="e">
        <f>IF(#REF!,"AAAAAC+f76A=",0)</f>
        <v>#REF!</v>
      </c>
      <c r="FF184" t="e">
        <f>IF(#REF!,"AAAAAC+f76E=",0)</f>
        <v>#REF!</v>
      </c>
      <c r="FG184" t="e">
        <f>IF(#REF!,"AAAAAC+f76I=",0)</f>
        <v>#REF!</v>
      </c>
      <c r="FH184" t="e">
        <f>IF(#REF!,"AAAAAC+f76M=",0)</f>
        <v>#REF!</v>
      </c>
      <c r="FI184" t="e">
        <f>IF(#REF!,"AAAAAC+f76Q=",0)</f>
        <v>#REF!</v>
      </c>
      <c r="FJ184" t="e">
        <f>IF(#REF!,"AAAAAC+f76U=",0)</f>
        <v>#REF!</v>
      </c>
      <c r="FK184" t="e">
        <f>IF(#REF!,"AAAAAC+f76Y=",0)</f>
        <v>#REF!</v>
      </c>
      <c r="FL184" t="e">
        <f>IF(#REF!,"AAAAAC+f76c=",0)</f>
        <v>#REF!</v>
      </c>
      <c r="FM184" t="e">
        <f>IF(#REF!,"AAAAAC+f76g=",0)</f>
        <v>#REF!</v>
      </c>
      <c r="FN184" t="e">
        <f>IF(#REF!,"AAAAAC+f76k=",0)</f>
        <v>#REF!</v>
      </c>
      <c r="FO184" t="e">
        <f>IF(#REF!,"AAAAAC+f76o=",0)</f>
        <v>#REF!</v>
      </c>
      <c r="FP184" t="e">
        <f>IF(#REF!,"AAAAAC+f76s=",0)</f>
        <v>#REF!</v>
      </c>
      <c r="FQ184" t="e">
        <f>IF(#REF!,"AAAAAC+f76w=",0)</f>
        <v>#REF!</v>
      </c>
      <c r="FR184" t="e">
        <f>IF(#REF!,"AAAAAC+f760=",0)</f>
        <v>#REF!</v>
      </c>
      <c r="FS184" t="e">
        <f>IF(#REF!,"AAAAAC+f764=",0)</f>
        <v>#REF!</v>
      </c>
      <c r="FT184" t="e">
        <f>IF(#REF!,"AAAAAC+f768=",0)</f>
        <v>#REF!</v>
      </c>
      <c r="FU184" t="e">
        <f>IF(#REF!,"AAAAAC+f77A=",0)</f>
        <v>#REF!</v>
      </c>
      <c r="FV184" t="e">
        <f>IF(#REF!,"AAAAAC+f77E=",0)</f>
        <v>#REF!</v>
      </c>
      <c r="FW184" t="e">
        <f>IF(#REF!,"AAAAAC+f77I=",0)</f>
        <v>#REF!</v>
      </c>
      <c r="FX184" t="e">
        <f>IF(#REF!,"AAAAAC+f77M=",0)</f>
        <v>#REF!</v>
      </c>
      <c r="FY184" t="e">
        <f>IF(#REF!,"AAAAAC+f77Q=",0)</f>
        <v>#REF!</v>
      </c>
      <c r="FZ184" t="e">
        <f>IF(#REF!,"AAAAAC+f77U=",0)</f>
        <v>#REF!</v>
      </c>
      <c r="GA184" t="e">
        <f>IF(#REF!,"AAAAAC+f77Y=",0)</f>
        <v>#REF!</v>
      </c>
      <c r="GB184" t="e">
        <f>IF(#REF!,"AAAAAC+f77c=",0)</f>
        <v>#REF!</v>
      </c>
      <c r="GC184" t="e">
        <f>IF(#REF!,"AAAAAC+f77g=",0)</f>
        <v>#REF!</v>
      </c>
      <c r="GD184" t="e">
        <f>IF(#REF!,"AAAAAC+f77k=",0)</f>
        <v>#REF!</v>
      </c>
      <c r="GE184" t="e">
        <f>IF(#REF!,"AAAAAC+f77o=",0)</f>
        <v>#REF!</v>
      </c>
      <c r="GF184" t="e">
        <f>IF(#REF!,"AAAAAC+f77s=",0)</f>
        <v>#REF!</v>
      </c>
      <c r="GG184" t="e">
        <f>IF(#REF!,"AAAAAC+f77w=",0)</f>
        <v>#REF!</v>
      </c>
      <c r="GH184" t="e">
        <f>IF(#REF!,"AAAAAC+f770=",0)</f>
        <v>#REF!</v>
      </c>
      <c r="GI184" t="e">
        <f>IF(#REF!,"AAAAAC+f774=",0)</f>
        <v>#REF!</v>
      </c>
      <c r="GJ184" t="e">
        <f>IF(#REF!,"AAAAAC+f778=",0)</f>
        <v>#REF!</v>
      </c>
      <c r="GK184" t="e">
        <f>IF(#REF!,"AAAAAC+f78A=",0)</f>
        <v>#REF!</v>
      </c>
      <c r="GL184" t="e">
        <f>IF(#REF!,"AAAAAC+f78E=",0)</f>
        <v>#REF!</v>
      </c>
      <c r="GM184" t="e">
        <f>IF(#REF!,"AAAAAC+f78I=",0)</f>
        <v>#REF!</v>
      </c>
      <c r="GN184" t="e">
        <f>IF(#REF!,"AAAAAC+f78M=",0)</f>
        <v>#REF!</v>
      </c>
      <c r="GO184" t="e">
        <f>IF(#REF!,"AAAAAC+f78Q=",0)</f>
        <v>#REF!</v>
      </c>
      <c r="GP184" t="e">
        <f>IF(#REF!,"AAAAAC+f78U=",0)</f>
        <v>#REF!</v>
      </c>
      <c r="GQ184" t="e">
        <f>IF(#REF!,"AAAAAC+f78Y=",0)</f>
        <v>#REF!</v>
      </c>
      <c r="GR184" t="e">
        <f>IF(#REF!,"AAAAAC+f78c=",0)</f>
        <v>#REF!</v>
      </c>
      <c r="GS184" t="e">
        <f>IF(#REF!,"AAAAAC+f78g=",0)</f>
        <v>#REF!</v>
      </c>
      <c r="GT184" t="e">
        <f>IF(#REF!,"AAAAAC+f78k=",0)</f>
        <v>#REF!</v>
      </c>
      <c r="GU184" t="e">
        <f>IF(#REF!,"AAAAAC+f78o=",0)</f>
        <v>#REF!</v>
      </c>
      <c r="GV184" t="e">
        <f>IF(#REF!,"AAAAAC+f78s=",0)</f>
        <v>#REF!</v>
      </c>
      <c r="GW184" t="e">
        <f>IF(#REF!,"AAAAAC+f78w=",0)</f>
        <v>#REF!</v>
      </c>
      <c r="GX184" t="e">
        <f>IF(#REF!,"AAAAAC+f780=",0)</f>
        <v>#REF!</v>
      </c>
      <c r="GY184" t="e">
        <f>IF(#REF!,"AAAAAC+f784=",0)</f>
        <v>#REF!</v>
      </c>
      <c r="GZ184" t="e">
        <f>IF(#REF!,"AAAAAC+f788=",0)</f>
        <v>#REF!</v>
      </c>
      <c r="HA184" t="e">
        <f>IF(#REF!,"AAAAAC+f79A=",0)</f>
        <v>#REF!</v>
      </c>
      <c r="HB184" t="e">
        <f>IF(#REF!,"AAAAAC+f79E=",0)</f>
        <v>#REF!</v>
      </c>
      <c r="HC184" t="e">
        <f>IF(#REF!,"AAAAAC+f79I=",0)</f>
        <v>#REF!</v>
      </c>
      <c r="HD184" t="e">
        <f>IF(#REF!,"AAAAAC+f79M=",0)</f>
        <v>#REF!</v>
      </c>
      <c r="HE184" t="e">
        <f>IF(#REF!,"AAAAAC+f79Q=",0)</f>
        <v>#REF!</v>
      </c>
      <c r="HF184" t="e">
        <f>IF(#REF!,"AAAAAC+f79U=",0)</f>
        <v>#REF!</v>
      </c>
      <c r="HG184" t="e">
        <f>IF(#REF!,"AAAAAC+f79Y=",0)</f>
        <v>#REF!</v>
      </c>
      <c r="HH184" t="e">
        <f>IF(#REF!,"AAAAAC+f79c=",0)</f>
        <v>#REF!</v>
      </c>
      <c r="HI184" t="e">
        <f>IF(#REF!,"AAAAAC+f79g=",0)</f>
        <v>#REF!</v>
      </c>
      <c r="HJ184" t="e">
        <f>IF(#REF!,"AAAAAC+f79k=",0)</f>
        <v>#REF!</v>
      </c>
      <c r="HK184" t="e">
        <f>IF(#REF!,"AAAAAC+f79o=",0)</f>
        <v>#REF!</v>
      </c>
      <c r="HL184" t="e">
        <f>IF(#REF!,"AAAAAC+f79s=",0)</f>
        <v>#REF!</v>
      </c>
      <c r="HM184" t="e">
        <f>IF(#REF!,"AAAAAC+f79w=",0)</f>
        <v>#REF!</v>
      </c>
      <c r="HN184" t="e">
        <f>IF(#REF!,"AAAAAC+f790=",0)</f>
        <v>#REF!</v>
      </c>
      <c r="HO184" t="e">
        <f>IF(#REF!,"AAAAAC+f794=",0)</f>
        <v>#REF!</v>
      </c>
      <c r="HP184" t="e">
        <f>IF(#REF!,"AAAAAC+f798=",0)</f>
        <v>#REF!</v>
      </c>
      <c r="HQ184" t="e">
        <f>IF(#REF!,"AAAAAC+f7+A=",0)</f>
        <v>#REF!</v>
      </c>
      <c r="HR184" t="e">
        <f>IF(#REF!,"AAAAAC+f7+E=",0)</f>
        <v>#REF!</v>
      </c>
      <c r="HS184" t="e">
        <f>IF(#REF!,"AAAAAC+f7+I=",0)</f>
        <v>#REF!</v>
      </c>
      <c r="HT184" t="e">
        <f>IF(#REF!,"AAAAAC+f7+M=",0)</f>
        <v>#REF!</v>
      </c>
      <c r="HU184" t="e">
        <f>IF(#REF!,"AAAAAC+f7+Q=",0)</f>
        <v>#REF!</v>
      </c>
      <c r="HV184" t="e">
        <f>IF(#REF!,"AAAAAC+f7+U=",0)</f>
        <v>#REF!</v>
      </c>
      <c r="HW184" t="e">
        <f>IF(#REF!,"AAAAAC+f7+Y=",0)</f>
        <v>#REF!</v>
      </c>
      <c r="HX184" t="e">
        <f>IF(#REF!,"AAAAAC+f7+c=",0)</f>
        <v>#REF!</v>
      </c>
      <c r="HY184" t="e">
        <f>IF(#REF!,"AAAAAC+f7+g=",0)</f>
        <v>#REF!</v>
      </c>
      <c r="HZ184" t="e">
        <f>IF(#REF!,"AAAAAC+f7+k=",0)</f>
        <v>#REF!</v>
      </c>
      <c r="IA184" t="e">
        <f>IF(#REF!,"AAAAAC+f7+o=",0)</f>
        <v>#REF!</v>
      </c>
      <c r="IB184" t="e">
        <f>IF(#REF!,"AAAAAC+f7+s=",0)</f>
        <v>#REF!</v>
      </c>
      <c r="IC184" t="e">
        <f>IF(#REF!,"AAAAAC+f7+w=",0)</f>
        <v>#REF!</v>
      </c>
      <c r="ID184" t="e">
        <f>IF(#REF!,"AAAAAC+f7+0=",0)</f>
        <v>#REF!</v>
      </c>
      <c r="IE184" t="e">
        <f>IF(#REF!,"AAAAAC+f7+4=",0)</f>
        <v>#REF!</v>
      </c>
      <c r="IF184" t="e">
        <f>IF(#REF!,"AAAAAC+f7+8=",0)</f>
        <v>#REF!</v>
      </c>
      <c r="IG184" t="e">
        <f>IF(#REF!,"AAAAAC+f7/A=",0)</f>
        <v>#REF!</v>
      </c>
      <c r="IH184" t="e">
        <f>IF(#REF!,"AAAAAC+f7/E=",0)</f>
        <v>#REF!</v>
      </c>
      <c r="II184" t="e">
        <f>IF(#REF!,"AAAAAC+f7/I=",0)</f>
        <v>#REF!</v>
      </c>
      <c r="IJ184" t="e">
        <f>IF(#REF!,"AAAAAC+f7/M=",0)</f>
        <v>#REF!</v>
      </c>
      <c r="IK184" t="e">
        <f>IF(#REF!,"AAAAAC+f7/Q=",0)</f>
        <v>#REF!</v>
      </c>
      <c r="IL184" t="e">
        <f>IF(#REF!,"AAAAAC+f7/U=",0)</f>
        <v>#REF!</v>
      </c>
      <c r="IM184" t="e">
        <f>IF(#REF!,"AAAAAC+f7/Y=",0)</f>
        <v>#REF!</v>
      </c>
      <c r="IN184" t="e">
        <f>IF(#REF!,"AAAAAC+f7/c=",0)</f>
        <v>#REF!</v>
      </c>
      <c r="IO184" t="e">
        <f>IF(#REF!,"AAAAAC+f7/g=",0)</f>
        <v>#REF!</v>
      </c>
      <c r="IP184" t="e">
        <f>IF(#REF!,"AAAAAC+f7/k=",0)</f>
        <v>#REF!</v>
      </c>
      <c r="IQ184" t="e">
        <f>IF(#REF!,"AAAAAC+f7/o=",0)</f>
        <v>#REF!</v>
      </c>
      <c r="IR184" t="e">
        <f>IF(#REF!,"AAAAAC+f7/s=",0)</f>
        <v>#REF!</v>
      </c>
      <c r="IS184" t="e">
        <f>IF(#REF!,"AAAAAC+f7/w=",0)</f>
        <v>#REF!</v>
      </c>
      <c r="IT184" t="e">
        <f>IF(#REF!,"AAAAAC+f7/0=",0)</f>
        <v>#REF!</v>
      </c>
      <c r="IU184" t="e">
        <f>IF(#REF!,"AAAAAC+f7/4=",0)</f>
        <v>#REF!</v>
      </c>
      <c r="IV184" t="e">
        <f>IF(#REF!,"AAAAAC+f7/8=",0)</f>
        <v>#REF!</v>
      </c>
    </row>
    <row r="185" spans="1:256">
      <c r="A185" t="e">
        <f>IF(#REF!,"AAAAAD/7+QA=",0)</f>
        <v>#REF!</v>
      </c>
      <c r="B185" t="e">
        <f>IF(#REF!,"AAAAAD/7+QE=",0)</f>
        <v>#REF!</v>
      </c>
      <c r="C185" t="e">
        <f>IF(#REF!,"AAAAAD/7+QI=",0)</f>
        <v>#REF!</v>
      </c>
      <c r="D185" t="e">
        <f>IF(#REF!,"AAAAAD/7+QM=",0)</f>
        <v>#REF!</v>
      </c>
      <c r="E185" t="e">
        <f>IF(#REF!,"AAAAAD/7+QQ=",0)</f>
        <v>#REF!</v>
      </c>
      <c r="F185" t="e">
        <f>IF(#REF!,"AAAAAD/7+QU=",0)</f>
        <v>#REF!</v>
      </c>
      <c r="G185" t="e">
        <f>IF(#REF!,"AAAAAD/7+QY=",0)</f>
        <v>#REF!</v>
      </c>
      <c r="H185" t="e">
        <f>IF(#REF!,"AAAAAD/7+Qc=",0)</f>
        <v>#REF!</v>
      </c>
      <c r="I185" t="e">
        <f>IF(#REF!,"AAAAAD/7+Qg=",0)</f>
        <v>#REF!</v>
      </c>
      <c r="J185" t="e">
        <f>IF(#REF!,"AAAAAD/7+Qk=",0)</f>
        <v>#REF!</v>
      </c>
      <c r="K185" t="e">
        <f>IF(#REF!,"AAAAAD/7+Qo=",0)</f>
        <v>#REF!</v>
      </c>
      <c r="L185" t="e">
        <f>IF(#REF!,"AAAAAD/7+Qs=",0)</f>
        <v>#REF!</v>
      </c>
      <c r="M185" t="e">
        <f>IF(#REF!,"AAAAAD/7+Qw=",0)</f>
        <v>#REF!</v>
      </c>
      <c r="N185" t="e">
        <f>IF(#REF!,"AAAAAD/7+Q0=",0)</f>
        <v>#REF!</v>
      </c>
      <c r="O185" t="e">
        <f>IF(#REF!,"AAAAAD/7+Q4=",0)</f>
        <v>#REF!</v>
      </c>
      <c r="P185" t="e">
        <f>IF(#REF!,"AAAAAD/7+Q8=",0)</f>
        <v>#REF!</v>
      </c>
      <c r="Q185" t="e">
        <f>IF(#REF!,"AAAAAD/7+RA=",0)</f>
        <v>#REF!</v>
      </c>
      <c r="R185" t="e">
        <f>IF(#REF!,"AAAAAD/7+RE=",0)</f>
        <v>#REF!</v>
      </c>
      <c r="S185" t="e">
        <f>IF(#REF!,"AAAAAD/7+RI=",0)</f>
        <v>#REF!</v>
      </c>
      <c r="T185" t="e">
        <f>IF(#REF!,"AAAAAD/7+RM=",0)</f>
        <v>#REF!</v>
      </c>
      <c r="U185" t="e">
        <f>IF(#REF!,"AAAAAD/7+RQ=",0)</f>
        <v>#REF!</v>
      </c>
      <c r="V185" t="e">
        <f>IF(#REF!,"AAAAAD/7+RU=",0)</f>
        <v>#REF!</v>
      </c>
      <c r="W185" t="e">
        <f>IF(#REF!,"AAAAAD/7+RY=",0)</f>
        <v>#REF!</v>
      </c>
      <c r="X185" t="e">
        <f>IF(#REF!,"AAAAAD/7+Rc=",0)</f>
        <v>#REF!</v>
      </c>
      <c r="Y185" t="e">
        <f>IF(#REF!,"AAAAAD/7+Rg=",0)</f>
        <v>#REF!</v>
      </c>
      <c r="Z185" t="e">
        <f>IF(#REF!,"AAAAAD/7+Rk=",0)</f>
        <v>#REF!</v>
      </c>
      <c r="AA185" t="e">
        <f>IF(#REF!,"AAAAAD/7+Ro=",0)</f>
        <v>#REF!</v>
      </c>
      <c r="AB185" t="e">
        <f>IF(#REF!,"AAAAAD/7+Rs=",0)</f>
        <v>#REF!</v>
      </c>
      <c r="AC185" t="e">
        <f>IF(#REF!,"AAAAAD/7+Rw=",0)</f>
        <v>#REF!</v>
      </c>
      <c r="AD185" t="e">
        <f>IF(#REF!,"AAAAAD/7+R0=",0)</f>
        <v>#REF!</v>
      </c>
      <c r="AE185" t="e">
        <f>IF(#REF!,"AAAAAD/7+R4=",0)</f>
        <v>#REF!</v>
      </c>
      <c r="AF185" t="e">
        <f>IF(#REF!,"AAAAAD/7+R8=",0)</f>
        <v>#REF!</v>
      </c>
      <c r="AG185" t="e">
        <f>IF(#REF!,"AAAAAD/7+SA=",0)</f>
        <v>#REF!</v>
      </c>
      <c r="AH185" t="e">
        <f>IF(#REF!,"AAAAAD/7+SE=",0)</f>
        <v>#REF!</v>
      </c>
      <c r="AI185" t="e">
        <f>IF(#REF!,"AAAAAD/7+SI=",0)</f>
        <v>#REF!</v>
      </c>
      <c r="AJ185" t="e">
        <f>IF(#REF!,"AAAAAD/7+SM=",0)</f>
        <v>#REF!</v>
      </c>
      <c r="AK185" t="e">
        <f>IF(#REF!,"AAAAAD/7+SQ=",0)</f>
        <v>#REF!</v>
      </c>
      <c r="AL185" t="e">
        <f>IF(#REF!,"AAAAAD/7+SU=",0)</f>
        <v>#REF!</v>
      </c>
      <c r="AM185" t="e">
        <f>IF(#REF!,"AAAAAD/7+SY=",0)</f>
        <v>#REF!</v>
      </c>
      <c r="AN185" t="e">
        <f>IF(#REF!,"AAAAAD/7+Sc=",0)</f>
        <v>#REF!</v>
      </c>
      <c r="AO185" t="e">
        <f>IF(#REF!,"AAAAAD/7+Sg=",0)</f>
        <v>#REF!</v>
      </c>
      <c r="AP185" t="e">
        <f>IF(#REF!,"AAAAAD/7+Sk=",0)</f>
        <v>#REF!</v>
      </c>
      <c r="AQ185" t="e">
        <f>IF(#REF!,"AAAAAD/7+So=",0)</f>
        <v>#REF!</v>
      </c>
      <c r="AR185" t="e">
        <f>IF(#REF!,"AAAAAD/7+Ss=",0)</f>
        <v>#REF!</v>
      </c>
      <c r="AS185" t="e">
        <f>IF(#REF!,"AAAAAD/7+Sw=",0)</f>
        <v>#REF!</v>
      </c>
      <c r="AT185" t="e">
        <f>IF(#REF!,"AAAAAD/7+S0=",0)</f>
        <v>#REF!</v>
      </c>
      <c r="AU185" t="e">
        <f>IF(#REF!,"AAAAAD/7+S4=",0)</f>
        <v>#REF!</v>
      </c>
      <c r="AV185" t="e">
        <f>IF(#REF!,"AAAAAD/7+S8=",0)</f>
        <v>#REF!</v>
      </c>
      <c r="AW185" t="e">
        <f>IF(#REF!,"AAAAAD/7+TA=",0)</f>
        <v>#REF!</v>
      </c>
      <c r="AX185" t="e">
        <f>IF(#REF!,"AAAAAD/7+TE=",0)</f>
        <v>#REF!</v>
      </c>
      <c r="AY185" t="e">
        <f>IF(#REF!,"AAAAAD/7+TI=",0)</f>
        <v>#REF!</v>
      </c>
      <c r="AZ185" t="e">
        <f>IF(#REF!,"AAAAAD/7+TM=",0)</f>
        <v>#REF!</v>
      </c>
      <c r="BA185" t="e">
        <f>IF(#REF!,"AAAAAD/7+TQ=",0)</f>
        <v>#REF!</v>
      </c>
      <c r="BB185" t="e">
        <f>IF(#REF!,"AAAAAD/7+TU=",0)</f>
        <v>#REF!</v>
      </c>
      <c r="BC185" t="e">
        <f>IF(#REF!,"AAAAAD/7+TY=",0)</f>
        <v>#REF!</v>
      </c>
      <c r="BD185" t="e">
        <f>IF(#REF!,"AAAAAD/7+Tc=",0)</f>
        <v>#REF!</v>
      </c>
      <c r="BE185" t="e">
        <f>IF(#REF!,"AAAAAD/7+Tg=",0)</f>
        <v>#REF!</v>
      </c>
      <c r="BF185" t="e">
        <f>IF(#REF!,"AAAAAD/7+Tk=",0)</f>
        <v>#REF!</v>
      </c>
      <c r="BG185" t="e">
        <f>IF(#REF!,"AAAAAD/7+To=",0)</f>
        <v>#REF!</v>
      </c>
      <c r="BH185" t="e">
        <f>IF(#REF!,"AAAAAD/7+Ts=",0)</f>
        <v>#REF!</v>
      </c>
      <c r="BI185" t="e">
        <f>IF(#REF!,"AAAAAD/7+Tw=",0)</f>
        <v>#REF!</v>
      </c>
      <c r="BJ185" t="e">
        <f>IF(#REF!,"AAAAAD/7+T0=",0)</f>
        <v>#REF!</v>
      </c>
      <c r="BK185" t="e">
        <f>IF(#REF!,"AAAAAD/7+T4=",0)</f>
        <v>#REF!</v>
      </c>
      <c r="BL185" t="e">
        <f>IF(#REF!,"AAAAAD/7+T8=",0)</f>
        <v>#REF!</v>
      </c>
      <c r="BM185" t="e">
        <f>IF(#REF!,"AAAAAD/7+UA=",0)</f>
        <v>#REF!</v>
      </c>
      <c r="BN185" t="e">
        <f>IF(#REF!,"AAAAAD/7+UE=",0)</f>
        <v>#REF!</v>
      </c>
      <c r="BO185" t="e">
        <f>IF(#REF!,"AAAAAD/7+UI=",0)</f>
        <v>#REF!</v>
      </c>
      <c r="BP185" t="e">
        <f>IF(#REF!,"AAAAAD/7+UM=",0)</f>
        <v>#REF!</v>
      </c>
      <c r="BQ185" t="e">
        <f>IF(#REF!,"AAAAAD/7+UQ=",0)</f>
        <v>#REF!</v>
      </c>
      <c r="BR185" t="e">
        <f>IF(#REF!,"AAAAAD/7+UU=",0)</f>
        <v>#REF!</v>
      </c>
      <c r="BS185" t="e">
        <f>IF(#REF!,"AAAAAD/7+UY=",0)</f>
        <v>#REF!</v>
      </c>
      <c r="BT185" t="e">
        <f>IF(#REF!,"AAAAAD/7+Uc=",0)</f>
        <v>#REF!</v>
      </c>
      <c r="BU185" t="e">
        <f>IF(#REF!,"AAAAAD/7+Ug=",0)</f>
        <v>#REF!</v>
      </c>
      <c r="BV185" t="e">
        <f>IF(#REF!,"AAAAAD/7+Uk=",0)</f>
        <v>#REF!</v>
      </c>
      <c r="BW185" t="e">
        <f>IF(#REF!,"AAAAAD/7+Uo=",0)</f>
        <v>#REF!</v>
      </c>
      <c r="BX185" t="e">
        <f>IF(#REF!,"AAAAAD/7+Us=",0)</f>
        <v>#REF!</v>
      </c>
      <c r="BY185" t="e">
        <f>IF(#REF!,"AAAAAD/7+Uw=",0)</f>
        <v>#REF!</v>
      </c>
      <c r="BZ185" t="e">
        <f>IF(#REF!,"AAAAAD/7+U0=",0)</f>
        <v>#REF!</v>
      </c>
      <c r="CA185" t="e">
        <f>IF(#REF!,"AAAAAD/7+U4=",0)</f>
        <v>#REF!</v>
      </c>
      <c r="CB185" t="e">
        <f>IF(#REF!,"AAAAAD/7+U8=",0)</f>
        <v>#REF!</v>
      </c>
      <c r="CC185" t="e">
        <f>IF(#REF!,"AAAAAD/7+VA=",0)</f>
        <v>#REF!</v>
      </c>
      <c r="CD185" t="e">
        <f>IF(#REF!,"AAAAAD/7+VE=",0)</f>
        <v>#REF!</v>
      </c>
      <c r="CE185" t="e">
        <f>IF(#REF!,"AAAAAD/7+VI=",0)</f>
        <v>#REF!</v>
      </c>
      <c r="CF185" t="e">
        <f>IF(#REF!,"AAAAAD/7+VM=",0)</f>
        <v>#REF!</v>
      </c>
      <c r="CG185" t="e">
        <f>IF(#REF!,"AAAAAD/7+VQ=",0)</f>
        <v>#REF!</v>
      </c>
      <c r="CH185" t="e">
        <f>IF(#REF!,"AAAAAD/7+VU=",0)</f>
        <v>#REF!</v>
      </c>
      <c r="CI185" t="e">
        <f>IF(#REF!,"AAAAAD/7+VY=",0)</f>
        <v>#REF!</v>
      </c>
      <c r="CJ185" t="e">
        <f>IF(#REF!,"AAAAAD/7+Vc=",0)</f>
        <v>#REF!</v>
      </c>
      <c r="CK185" t="e">
        <f>IF(#REF!,"AAAAAD/7+Vg=",0)</f>
        <v>#REF!</v>
      </c>
      <c r="CL185" t="e">
        <f>IF(#REF!,"AAAAAD/7+Vk=",0)</f>
        <v>#REF!</v>
      </c>
      <c r="CM185" t="e">
        <f>IF(#REF!,"AAAAAD/7+Vo=",0)</f>
        <v>#REF!</v>
      </c>
      <c r="CN185" t="e">
        <f>IF(#REF!,"AAAAAD/7+Vs=",0)</f>
        <v>#REF!</v>
      </c>
      <c r="CO185" t="e">
        <f>IF(#REF!,"AAAAAD/7+Vw=",0)</f>
        <v>#REF!</v>
      </c>
      <c r="CP185" t="e">
        <f>IF(#REF!,"AAAAAD/7+V0=",0)</f>
        <v>#REF!</v>
      </c>
      <c r="CQ185" t="e">
        <f>IF(#REF!,"AAAAAD/7+V4=",0)</f>
        <v>#REF!</v>
      </c>
      <c r="CR185" t="e">
        <f>IF(#REF!,"AAAAAD/7+V8=",0)</f>
        <v>#REF!</v>
      </c>
      <c r="CS185" t="e">
        <f>IF(#REF!,"AAAAAD/7+WA=",0)</f>
        <v>#REF!</v>
      </c>
      <c r="CT185" t="e">
        <f>IF(#REF!,"AAAAAD/7+WE=",0)</f>
        <v>#REF!</v>
      </c>
      <c r="CU185" t="e">
        <f>IF(#REF!,"AAAAAD/7+WI=",0)</f>
        <v>#REF!</v>
      </c>
      <c r="CV185" t="e">
        <f>IF(#REF!,"AAAAAD/7+WM=",0)</f>
        <v>#REF!</v>
      </c>
      <c r="CW185" t="e">
        <f>IF(#REF!,"AAAAAD/7+WQ=",0)</f>
        <v>#REF!</v>
      </c>
      <c r="CX185" t="e">
        <f>IF(#REF!,"AAAAAD/7+WU=",0)</f>
        <v>#REF!</v>
      </c>
      <c r="CY185" t="e">
        <f>IF(#REF!,"AAAAAD/7+WY=",0)</f>
        <v>#REF!</v>
      </c>
      <c r="CZ185" t="e">
        <f>IF(#REF!,"AAAAAD/7+Wc=",0)</f>
        <v>#REF!</v>
      </c>
      <c r="DA185" t="e">
        <f>IF(#REF!,"AAAAAD/7+Wg=",0)</f>
        <v>#REF!</v>
      </c>
      <c r="DB185" t="e">
        <f>IF(#REF!,"AAAAAD/7+Wk=",0)</f>
        <v>#REF!</v>
      </c>
      <c r="DC185" t="e">
        <f>IF(#REF!,"AAAAAD/7+Wo=",0)</f>
        <v>#REF!</v>
      </c>
      <c r="DD185" t="e">
        <f>IF(#REF!,"AAAAAD/7+Ws=",0)</f>
        <v>#REF!</v>
      </c>
      <c r="DE185" t="e">
        <f>IF(#REF!,"AAAAAD/7+Ww=",0)</f>
        <v>#REF!</v>
      </c>
      <c r="DF185" t="e">
        <f>IF(#REF!,"AAAAAD/7+W0=",0)</f>
        <v>#REF!</v>
      </c>
      <c r="DG185" t="e">
        <f>IF(#REF!,"AAAAAD/7+W4=",0)</f>
        <v>#REF!</v>
      </c>
      <c r="DH185" t="e">
        <f>IF(#REF!,"AAAAAD/7+W8=",0)</f>
        <v>#REF!</v>
      </c>
      <c r="DI185" t="e">
        <f>IF(#REF!,"AAAAAD/7+XA=",0)</f>
        <v>#REF!</v>
      </c>
      <c r="DJ185" t="e">
        <f>IF(#REF!,"AAAAAD/7+XE=",0)</f>
        <v>#REF!</v>
      </c>
      <c r="DK185" t="e">
        <f>IF(#REF!,"AAAAAD/7+XI=",0)</f>
        <v>#REF!</v>
      </c>
      <c r="DL185" t="e">
        <f>IF(#REF!,"AAAAAD/7+XM=",0)</f>
        <v>#REF!</v>
      </c>
      <c r="DM185" t="e">
        <f>IF(#REF!,"AAAAAD/7+XQ=",0)</f>
        <v>#REF!</v>
      </c>
      <c r="DN185" t="e">
        <f>IF(#REF!,"AAAAAD/7+XU=",0)</f>
        <v>#REF!</v>
      </c>
      <c r="DO185" t="e">
        <f>IF(#REF!,"AAAAAD/7+XY=",0)</f>
        <v>#REF!</v>
      </c>
      <c r="DP185" t="e">
        <f>IF(#REF!,"AAAAAD/7+Xc=",0)</f>
        <v>#REF!</v>
      </c>
      <c r="DQ185" t="e">
        <f>IF(#REF!,"AAAAAD/7+Xg=",0)</f>
        <v>#REF!</v>
      </c>
      <c r="DR185" t="e">
        <f>IF(#REF!,"AAAAAD/7+Xk=",0)</f>
        <v>#REF!</v>
      </c>
      <c r="DS185" t="e">
        <f>IF(#REF!,"AAAAAD/7+Xo=",0)</f>
        <v>#REF!</v>
      </c>
      <c r="DT185" t="e">
        <f>IF(#REF!,"AAAAAD/7+Xs=",0)</f>
        <v>#REF!</v>
      </c>
      <c r="DU185" t="e">
        <f>IF(#REF!,"AAAAAD/7+Xw=",0)</f>
        <v>#REF!</v>
      </c>
      <c r="DV185" t="e">
        <f>IF(#REF!,"AAAAAD/7+X0=",0)</f>
        <v>#REF!</v>
      </c>
      <c r="DW185" t="e">
        <f>IF(#REF!,"AAAAAD/7+X4=",0)</f>
        <v>#REF!</v>
      </c>
      <c r="DX185" t="e">
        <f>IF(#REF!,"AAAAAD/7+X8=",0)</f>
        <v>#REF!</v>
      </c>
      <c r="DY185" t="e">
        <f>IF(#REF!,"AAAAAD/7+YA=",0)</f>
        <v>#REF!</v>
      </c>
      <c r="DZ185" t="e">
        <f>IF(#REF!,"AAAAAD/7+YE=",0)</f>
        <v>#REF!</v>
      </c>
      <c r="EA185" t="e">
        <f>IF(#REF!,"AAAAAD/7+YI=",0)</f>
        <v>#REF!</v>
      </c>
      <c r="EB185" t="e">
        <f>IF(#REF!,"AAAAAD/7+YM=",0)</f>
        <v>#REF!</v>
      </c>
      <c r="EC185" t="e">
        <f>IF(#REF!,"AAAAAD/7+YQ=",0)</f>
        <v>#REF!</v>
      </c>
      <c r="ED185" t="e">
        <f>IF(#REF!,"AAAAAD/7+YU=",0)</f>
        <v>#REF!</v>
      </c>
      <c r="EE185" t="e">
        <f>IF(#REF!,"AAAAAD/7+YY=",0)</f>
        <v>#REF!</v>
      </c>
      <c r="EF185" t="e">
        <f>IF(#REF!,"AAAAAD/7+Yc=",0)</f>
        <v>#REF!</v>
      </c>
      <c r="EG185" t="e">
        <f>IF(#REF!,"AAAAAD/7+Yg=",0)</f>
        <v>#REF!</v>
      </c>
      <c r="EH185" t="e">
        <f>IF(#REF!,"AAAAAD/7+Yk=",0)</f>
        <v>#REF!</v>
      </c>
      <c r="EI185" t="e">
        <f>IF(#REF!,"AAAAAD/7+Yo=",0)</f>
        <v>#REF!</v>
      </c>
      <c r="EJ185" t="e">
        <f>IF(#REF!,"AAAAAD/7+Ys=",0)</f>
        <v>#REF!</v>
      </c>
      <c r="EK185" t="e">
        <f>IF(#REF!,"AAAAAD/7+Yw=",0)</f>
        <v>#REF!</v>
      </c>
      <c r="EL185" t="e">
        <f>IF(#REF!,"AAAAAD/7+Y0=",0)</f>
        <v>#REF!</v>
      </c>
      <c r="EM185" t="e">
        <f>IF(#REF!,"AAAAAD/7+Y4=",0)</f>
        <v>#REF!</v>
      </c>
      <c r="EN185" t="e">
        <f>IF(#REF!,"AAAAAD/7+Y8=",0)</f>
        <v>#REF!</v>
      </c>
      <c r="EO185" t="e">
        <f>IF(#REF!,"AAAAAD/7+ZA=",0)</f>
        <v>#REF!</v>
      </c>
      <c r="EP185" t="e">
        <f>IF(#REF!,"AAAAAD/7+ZE=",0)</f>
        <v>#REF!</v>
      </c>
      <c r="EQ185" t="e">
        <f>IF(#REF!,"AAAAAD/7+ZI=",0)</f>
        <v>#REF!</v>
      </c>
      <c r="ER185" t="e">
        <f>IF(#REF!,"AAAAAD/7+ZM=",0)</f>
        <v>#REF!</v>
      </c>
      <c r="ES185" t="e">
        <f>IF(#REF!,"AAAAAD/7+ZQ=",0)</f>
        <v>#REF!</v>
      </c>
      <c r="ET185" t="e">
        <f>IF(#REF!,"AAAAAD/7+ZU=",0)</f>
        <v>#REF!</v>
      </c>
      <c r="EU185" t="e">
        <f>IF(#REF!,"AAAAAD/7+ZY=",0)</f>
        <v>#REF!</v>
      </c>
      <c r="EV185" t="e">
        <f>IF(#REF!,"AAAAAD/7+Zc=",0)</f>
        <v>#REF!</v>
      </c>
      <c r="EW185" t="e">
        <f>IF(#REF!,"AAAAAD/7+Zg=",0)</f>
        <v>#REF!</v>
      </c>
      <c r="EX185" t="e">
        <f>IF(#REF!,"AAAAAD/7+Zk=",0)</f>
        <v>#REF!</v>
      </c>
      <c r="EY185" t="e">
        <f>IF(#REF!,"AAAAAD/7+Zo=",0)</f>
        <v>#REF!</v>
      </c>
      <c r="EZ185" t="e">
        <f>IF(#REF!,"AAAAAD/7+Zs=",0)</f>
        <v>#REF!</v>
      </c>
      <c r="FA185" t="e">
        <f>IF(#REF!,"AAAAAD/7+Zw=",0)</f>
        <v>#REF!</v>
      </c>
      <c r="FB185" t="e">
        <f>IF(#REF!,"AAAAAD/7+Z0=",0)</f>
        <v>#REF!</v>
      </c>
      <c r="FC185" t="e">
        <f>IF(#REF!,"AAAAAD/7+Z4=",0)</f>
        <v>#REF!</v>
      </c>
      <c r="FD185" t="e">
        <f>IF(#REF!,"AAAAAD/7+Z8=",0)</f>
        <v>#REF!</v>
      </c>
      <c r="FE185" t="e">
        <f>IF(#REF!,"AAAAAD/7+aA=",0)</f>
        <v>#REF!</v>
      </c>
      <c r="FF185" t="e">
        <f>IF(#REF!,"AAAAAD/7+aE=",0)</f>
        <v>#REF!</v>
      </c>
      <c r="FG185" t="e">
        <f>IF(#REF!,"AAAAAD/7+aI=",0)</f>
        <v>#REF!</v>
      </c>
      <c r="FH185" t="e">
        <f>IF(#REF!,"AAAAAD/7+aM=",0)</f>
        <v>#REF!</v>
      </c>
      <c r="FI185" t="e">
        <f>IF(#REF!,"AAAAAD/7+aQ=",0)</f>
        <v>#REF!</v>
      </c>
      <c r="FJ185" t="e">
        <f>IF(#REF!,"AAAAAD/7+aU=",0)</f>
        <v>#REF!</v>
      </c>
      <c r="FK185" t="e">
        <f>IF(#REF!,"AAAAAD/7+aY=",0)</f>
        <v>#REF!</v>
      </c>
      <c r="FL185" t="e">
        <f>IF(#REF!,"AAAAAD/7+ac=",0)</f>
        <v>#REF!</v>
      </c>
      <c r="FM185" t="e">
        <f>IF(#REF!,"AAAAAD/7+ag=",0)</f>
        <v>#REF!</v>
      </c>
      <c r="FN185" t="e">
        <f>IF(#REF!,"AAAAAD/7+ak=",0)</f>
        <v>#REF!</v>
      </c>
      <c r="FO185" t="e">
        <f>IF(#REF!,"AAAAAD/7+ao=",0)</f>
        <v>#REF!</v>
      </c>
      <c r="FP185" t="e">
        <f>IF(#REF!,"AAAAAD/7+as=",0)</f>
        <v>#REF!</v>
      </c>
      <c r="FQ185" t="e">
        <f>IF(#REF!,"AAAAAD/7+aw=",0)</f>
        <v>#REF!</v>
      </c>
      <c r="FR185" t="e">
        <f>IF(#REF!,"AAAAAD/7+a0=",0)</f>
        <v>#REF!</v>
      </c>
      <c r="FS185" t="e">
        <f>IF(#REF!,"AAAAAD/7+a4=",0)</f>
        <v>#REF!</v>
      </c>
      <c r="FT185" t="e">
        <f>IF(#REF!,"AAAAAD/7+a8=",0)</f>
        <v>#REF!</v>
      </c>
      <c r="FU185" t="e">
        <f>IF(#REF!,"AAAAAD/7+bA=",0)</f>
        <v>#REF!</v>
      </c>
      <c r="FV185" t="e">
        <f>IF(#REF!,"AAAAAD/7+bE=",0)</f>
        <v>#REF!</v>
      </c>
      <c r="FW185" t="e">
        <f>IF(#REF!,"AAAAAD/7+bI=",0)</f>
        <v>#REF!</v>
      </c>
      <c r="FX185" t="e">
        <f>IF(#REF!,"AAAAAD/7+bM=",0)</f>
        <v>#REF!</v>
      </c>
      <c r="FY185" t="e">
        <f>IF(#REF!,"AAAAAD/7+bQ=",0)</f>
        <v>#REF!</v>
      </c>
      <c r="FZ185" t="e">
        <f>IF(#REF!,"AAAAAD/7+bU=",0)</f>
        <v>#REF!</v>
      </c>
      <c r="GA185" t="e">
        <f>IF(#REF!,"AAAAAD/7+bY=",0)</f>
        <v>#REF!</v>
      </c>
      <c r="GB185" t="e">
        <f>IF(#REF!,"AAAAAD/7+bc=",0)</f>
        <v>#REF!</v>
      </c>
      <c r="GC185" t="e">
        <f>IF(#REF!,"AAAAAD/7+bg=",0)</f>
        <v>#REF!</v>
      </c>
      <c r="GD185" t="e">
        <f>IF(#REF!,"AAAAAD/7+bk=",0)</f>
        <v>#REF!</v>
      </c>
      <c r="GE185" t="e">
        <f>IF(#REF!,"AAAAAD/7+bo=",0)</f>
        <v>#REF!</v>
      </c>
      <c r="GF185" t="e">
        <f>IF(#REF!,"AAAAAD/7+bs=",0)</f>
        <v>#REF!</v>
      </c>
      <c r="GG185" t="e">
        <f>IF(#REF!,"AAAAAD/7+bw=",0)</f>
        <v>#REF!</v>
      </c>
      <c r="GH185" t="e">
        <f>IF(#REF!,"AAAAAD/7+b0=",0)</f>
        <v>#REF!</v>
      </c>
      <c r="GI185" t="e">
        <f>IF(#REF!,"AAAAAD/7+b4=",0)</f>
        <v>#REF!</v>
      </c>
      <c r="GJ185" t="e">
        <f>IF(#REF!,"AAAAAD/7+b8=",0)</f>
        <v>#REF!</v>
      </c>
      <c r="GK185" t="e">
        <f>IF(#REF!,"AAAAAD/7+cA=",0)</f>
        <v>#REF!</v>
      </c>
      <c r="GL185" t="e">
        <f>IF(#REF!,"AAAAAD/7+cE=",0)</f>
        <v>#REF!</v>
      </c>
      <c r="GM185" t="e">
        <f>IF(#REF!,"AAAAAD/7+cI=",0)</f>
        <v>#REF!</v>
      </c>
      <c r="GN185" t="e">
        <f>IF(#REF!,"AAAAAD/7+cM=",0)</f>
        <v>#REF!</v>
      </c>
      <c r="GO185" t="e">
        <f>IF(#REF!,"AAAAAD/7+cQ=",0)</f>
        <v>#REF!</v>
      </c>
      <c r="GP185" t="e">
        <f>IF(#REF!,"AAAAAD/7+cU=",0)</f>
        <v>#REF!</v>
      </c>
      <c r="GQ185" t="e">
        <f>IF(#REF!,"AAAAAD/7+cY=",0)</f>
        <v>#REF!</v>
      </c>
      <c r="GR185" t="e">
        <f>IF(#REF!,"AAAAAD/7+cc=",0)</f>
        <v>#REF!</v>
      </c>
      <c r="GS185" t="e">
        <f>IF(#REF!,"AAAAAD/7+cg=",0)</f>
        <v>#REF!</v>
      </c>
      <c r="GT185" t="e">
        <f>IF(#REF!,"AAAAAD/7+ck=",0)</f>
        <v>#REF!</v>
      </c>
      <c r="GU185" t="e">
        <f>IF(#REF!,"AAAAAD/7+co=",0)</f>
        <v>#REF!</v>
      </c>
      <c r="GV185" t="e">
        <f>IF(#REF!,"AAAAAD/7+cs=",0)</f>
        <v>#REF!</v>
      </c>
      <c r="GW185" t="e">
        <f>IF(#REF!,"AAAAAD/7+cw=",0)</f>
        <v>#REF!</v>
      </c>
      <c r="GX185" t="e">
        <f>IF(#REF!,"AAAAAD/7+c0=",0)</f>
        <v>#REF!</v>
      </c>
      <c r="GY185" t="e">
        <f>IF(#REF!,"AAAAAD/7+c4=",0)</f>
        <v>#REF!</v>
      </c>
      <c r="GZ185" t="e">
        <f>IF(#REF!,"AAAAAD/7+c8=",0)</f>
        <v>#REF!</v>
      </c>
      <c r="HA185" t="e">
        <f>IF(#REF!,"AAAAAD/7+dA=",0)</f>
        <v>#REF!</v>
      </c>
      <c r="HB185" t="e">
        <f>IF(#REF!,"AAAAAD/7+dE=",0)</f>
        <v>#REF!</v>
      </c>
      <c r="HC185" t="e">
        <f>IF(#REF!,"AAAAAD/7+dI=",0)</f>
        <v>#REF!</v>
      </c>
      <c r="HD185" t="e">
        <f>IF(#REF!,"AAAAAD/7+dM=",0)</f>
        <v>#REF!</v>
      </c>
      <c r="HE185" t="e">
        <f>IF(#REF!,"AAAAAD/7+dQ=",0)</f>
        <v>#REF!</v>
      </c>
      <c r="HF185" t="e">
        <f>IF(#REF!,"AAAAAD/7+dU=",0)</f>
        <v>#REF!</v>
      </c>
      <c r="HG185" t="e">
        <f>IF(#REF!,"AAAAAD/7+dY=",0)</f>
        <v>#REF!</v>
      </c>
      <c r="HH185" t="e">
        <f>IF(#REF!,"AAAAAD/7+dc=",0)</f>
        <v>#REF!</v>
      </c>
      <c r="HI185" t="e">
        <f>IF(#REF!,"AAAAAD/7+dg=",0)</f>
        <v>#REF!</v>
      </c>
      <c r="HJ185" t="e">
        <f>IF(#REF!,"AAAAAD/7+dk=",0)</f>
        <v>#REF!</v>
      </c>
      <c r="HK185" t="e">
        <f>IF(#REF!,"AAAAAD/7+do=",0)</f>
        <v>#REF!</v>
      </c>
      <c r="HL185" t="e">
        <f>IF(#REF!,"AAAAAD/7+ds=",0)</f>
        <v>#REF!</v>
      </c>
      <c r="HM185" t="e">
        <f>IF(#REF!,"AAAAAD/7+dw=",0)</f>
        <v>#REF!</v>
      </c>
      <c r="HN185" t="e">
        <f>IF(#REF!,"AAAAAD/7+d0=",0)</f>
        <v>#REF!</v>
      </c>
      <c r="HO185" t="e">
        <f>IF(#REF!,"AAAAAD/7+d4=",0)</f>
        <v>#REF!</v>
      </c>
      <c r="HP185" t="e">
        <f>IF(#REF!,"AAAAAD/7+d8=",0)</f>
        <v>#REF!</v>
      </c>
      <c r="HQ185" t="e">
        <f>IF(#REF!,"AAAAAD/7+eA=",0)</f>
        <v>#REF!</v>
      </c>
      <c r="HR185" t="e">
        <f>IF(#REF!,"AAAAAD/7+eE=",0)</f>
        <v>#REF!</v>
      </c>
      <c r="HS185" t="e">
        <f>IF(#REF!,"AAAAAD/7+eI=",0)</f>
        <v>#REF!</v>
      </c>
      <c r="HT185" t="e">
        <f>IF(#REF!,"AAAAAD/7+eM=",0)</f>
        <v>#REF!</v>
      </c>
      <c r="HU185" t="e">
        <f>IF(#REF!,"AAAAAD/7+eQ=",0)</f>
        <v>#REF!</v>
      </c>
      <c r="HV185" t="e">
        <f>IF(#REF!,"AAAAAD/7+eU=",0)</f>
        <v>#REF!</v>
      </c>
      <c r="HW185" t="e">
        <f>IF(#REF!,"AAAAAD/7+eY=",0)</f>
        <v>#REF!</v>
      </c>
      <c r="HX185" t="e">
        <f>IF(#REF!,"AAAAAD/7+ec=",0)</f>
        <v>#REF!</v>
      </c>
      <c r="HY185" t="e">
        <f>IF(#REF!,"AAAAAD/7+eg=",0)</f>
        <v>#REF!</v>
      </c>
      <c r="HZ185" t="e">
        <f>IF(#REF!,"AAAAAD/7+ek=",0)</f>
        <v>#REF!</v>
      </c>
      <c r="IA185" t="e">
        <f>IF(#REF!,"AAAAAD/7+eo=",0)</f>
        <v>#REF!</v>
      </c>
      <c r="IB185" t="e">
        <f>IF(#REF!,"AAAAAD/7+es=",0)</f>
        <v>#REF!</v>
      </c>
      <c r="IC185" t="e">
        <f>IF(#REF!,"AAAAAD/7+ew=",0)</f>
        <v>#REF!</v>
      </c>
      <c r="ID185" t="e">
        <f>IF(#REF!,"AAAAAD/7+e0=",0)</f>
        <v>#REF!</v>
      </c>
      <c r="IE185" t="e">
        <f>IF(#REF!,"AAAAAD/7+e4=",0)</f>
        <v>#REF!</v>
      </c>
      <c r="IF185" t="e">
        <f>IF(#REF!,"AAAAAD/7+e8=",0)</f>
        <v>#REF!</v>
      </c>
      <c r="IG185" t="e">
        <f>IF(#REF!,"AAAAAD/7+fA=",0)</f>
        <v>#REF!</v>
      </c>
      <c r="IH185" t="e">
        <f>IF(#REF!,"AAAAAD/7+fE=",0)</f>
        <v>#REF!</v>
      </c>
      <c r="II185" t="e">
        <f>IF(#REF!,"AAAAAD/7+fI=",0)</f>
        <v>#REF!</v>
      </c>
      <c r="IJ185" t="e">
        <f>IF(#REF!,"AAAAAD/7+fM=",0)</f>
        <v>#REF!</v>
      </c>
      <c r="IK185" t="e">
        <f>IF(#REF!,"AAAAAD/7+fQ=",0)</f>
        <v>#REF!</v>
      </c>
      <c r="IL185" t="e">
        <f>IF(#REF!,"AAAAAD/7+fU=",0)</f>
        <v>#REF!</v>
      </c>
      <c r="IM185" t="e">
        <f>IF(#REF!,"AAAAAD/7+fY=",0)</f>
        <v>#REF!</v>
      </c>
      <c r="IN185" t="e">
        <f>IF(#REF!,"AAAAAD/7+fc=",0)</f>
        <v>#REF!</v>
      </c>
      <c r="IO185" t="e">
        <f>IF(#REF!,"AAAAAD/7+fg=",0)</f>
        <v>#REF!</v>
      </c>
      <c r="IP185" t="e">
        <f>IF(#REF!,"AAAAAD/7+fk=",0)</f>
        <v>#REF!</v>
      </c>
      <c r="IQ185" t="e">
        <f>IF(#REF!,"AAAAAD/7+fo=",0)</f>
        <v>#REF!</v>
      </c>
      <c r="IR185" t="e">
        <f>IF(#REF!,"AAAAAD/7+fs=",0)</f>
        <v>#REF!</v>
      </c>
      <c r="IS185" t="e">
        <f>IF(#REF!,"AAAAAD/7+fw=",0)</f>
        <v>#REF!</v>
      </c>
      <c r="IT185" t="e">
        <f>IF(#REF!,"AAAAAD/7+f0=",0)</f>
        <v>#REF!</v>
      </c>
      <c r="IU185" t="e">
        <f>IF(#REF!,"AAAAAD/7+f4=",0)</f>
        <v>#REF!</v>
      </c>
      <c r="IV185" t="e">
        <f>IF(#REF!,"AAAAAD/7+f8=",0)</f>
        <v>#REF!</v>
      </c>
    </row>
    <row r="186" spans="1:256">
      <c r="A186" t="e">
        <f>IF(#REF!,"AAAAAB7W7wA=",0)</f>
        <v>#REF!</v>
      </c>
      <c r="B186" t="e">
        <f>IF(#REF!,"AAAAAB7W7wE=",0)</f>
        <v>#REF!</v>
      </c>
      <c r="C186" t="e">
        <f>IF(#REF!,"AAAAAB7W7wI=",0)</f>
        <v>#REF!</v>
      </c>
      <c r="D186" t="e">
        <f>IF(#REF!,"AAAAAB7W7wM=",0)</f>
        <v>#REF!</v>
      </c>
      <c r="E186" t="e">
        <f>IF(#REF!,"AAAAAB7W7wQ=",0)</f>
        <v>#REF!</v>
      </c>
      <c r="F186" t="e">
        <f>IF(#REF!,"AAAAAB7W7wU=",0)</f>
        <v>#REF!</v>
      </c>
      <c r="G186" t="e">
        <f>IF(#REF!,"AAAAAB7W7wY=",0)</f>
        <v>#REF!</v>
      </c>
      <c r="H186" t="e">
        <f>IF(#REF!,"AAAAAB7W7wc=",0)</f>
        <v>#REF!</v>
      </c>
      <c r="I186" t="e">
        <f>IF(#REF!,"AAAAAB7W7wg=",0)</f>
        <v>#REF!</v>
      </c>
      <c r="J186" t="e">
        <f>IF(#REF!,"AAAAAB7W7wk=",0)</f>
        <v>#REF!</v>
      </c>
      <c r="K186" t="e">
        <f>IF(#REF!,"AAAAAB7W7wo=",0)</f>
        <v>#REF!</v>
      </c>
      <c r="L186" t="e">
        <f>IF(#REF!,"AAAAAB7W7ws=",0)</f>
        <v>#REF!</v>
      </c>
      <c r="M186" t="e">
        <f>IF(#REF!,"AAAAAB7W7ww=",0)</f>
        <v>#REF!</v>
      </c>
      <c r="N186" t="e">
        <f>IF(#REF!,"AAAAAB7W7w0=",0)</f>
        <v>#REF!</v>
      </c>
      <c r="O186" t="e">
        <f>IF(#REF!,"AAAAAB7W7w4=",0)</f>
        <v>#REF!</v>
      </c>
      <c r="P186" t="e">
        <f>IF(#REF!,"AAAAAB7W7w8=",0)</f>
        <v>#REF!</v>
      </c>
      <c r="Q186" t="e">
        <f>IF(#REF!,"AAAAAB7W7xA=",0)</f>
        <v>#REF!</v>
      </c>
      <c r="R186" t="e">
        <f>IF(#REF!,"AAAAAB7W7xE=",0)</f>
        <v>#REF!</v>
      </c>
      <c r="S186" t="e">
        <f>IF(#REF!,"AAAAAB7W7xI=",0)</f>
        <v>#REF!</v>
      </c>
      <c r="T186" t="e">
        <f>IF(#REF!,"AAAAAB7W7xM=",0)</f>
        <v>#REF!</v>
      </c>
      <c r="U186" t="e">
        <f>IF(#REF!,"AAAAAB7W7xQ=",0)</f>
        <v>#REF!</v>
      </c>
      <c r="V186" t="e">
        <f>IF(#REF!,"AAAAAB7W7xU=",0)</f>
        <v>#REF!</v>
      </c>
      <c r="W186" t="e">
        <f>IF(#REF!,"AAAAAB7W7xY=",0)</f>
        <v>#REF!</v>
      </c>
      <c r="X186" t="e">
        <f>IF(#REF!,"AAAAAB7W7xc=",0)</f>
        <v>#REF!</v>
      </c>
      <c r="Y186" t="e">
        <f>IF(#REF!,"AAAAAB7W7xg=",0)</f>
        <v>#REF!</v>
      </c>
      <c r="Z186" t="e">
        <f>IF(#REF!,"AAAAAB7W7xk=",0)</f>
        <v>#REF!</v>
      </c>
      <c r="AA186" t="e">
        <f>IF(#REF!,"AAAAAB7W7xo=",0)</f>
        <v>#REF!</v>
      </c>
      <c r="AB186" t="e">
        <f>IF(#REF!,"AAAAAB7W7xs=",0)</f>
        <v>#REF!</v>
      </c>
      <c r="AC186" t="e">
        <f>IF(#REF!,"AAAAAB7W7xw=",0)</f>
        <v>#REF!</v>
      </c>
      <c r="AD186" t="e">
        <f>IF(#REF!,"AAAAAB7W7x0=",0)</f>
        <v>#REF!</v>
      </c>
      <c r="AE186" t="e">
        <f>IF(#REF!,"AAAAAB7W7x4=",0)</f>
        <v>#REF!</v>
      </c>
      <c r="AF186" t="e">
        <f>IF(#REF!,"AAAAAB7W7x8=",0)</f>
        <v>#REF!</v>
      </c>
      <c r="AG186" t="e">
        <f>IF(#REF!,"AAAAAB7W7yA=",0)</f>
        <v>#REF!</v>
      </c>
      <c r="AH186" t="e">
        <f>IF(#REF!,"AAAAAB7W7yE=",0)</f>
        <v>#REF!</v>
      </c>
      <c r="AI186" t="e">
        <f>IF(#REF!,"AAAAAB7W7yI=",0)</f>
        <v>#REF!</v>
      </c>
      <c r="AJ186" t="e">
        <f>IF(#REF!,"AAAAAB7W7yM=",0)</f>
        <v>#REF!</v>
      </c>
      <c r="AK186" t="e">
        <f>IF(#REF!,"AAAAAB7W7yQ=",0)</f>
        <v>#REF!</v>
      </c>
      <c r="AL186" t="e">
        <f>IF(#REF!,"AAAAAB7W7yU=",0)</f>
        <v>#REF!</v>
      </c>
      <c r="AM186" t="e">
        <f>IF(#REF!,"AAAAAB7W7yY=",0)</f>
        <v>#REF!</v>
      </c>
      <c r="AN186" t="e">
        <f>IF(#REF!,"AAAAAB7W7yc=",0)</f>
        <v>#REF!</v>
      </c>
      <c r="AO186" t="e">
        <f>IF(#REF!,"AAAAAB7W7yg=",0)</f>
        <v>#REF!</v>
      </c>
      <c r="AP186" t="e">
        <f>IF(#REF!,"AAAAAB7W7yk=",0)</f>
        <v>#REF!</v>
      </c>
      <c r="AQ186" t="e">
        <f>IF(#REF!,"AAAAAB7W7yo=",0)</f>
        <v>#REF!</v>
      </c>
      <c r="AR186" t="e">
        <f>IF(#REF!,"AAAAAB7W7ys=",0)</f>
        <v>#REF!</v>
      </c>
      <c r="AS186" t="e">
        <f>IF(#REF!,"AAAAAB7W7yw=",0)</f>
        <v>#REF!</v>
      </c>
      <c r="AT186" t="e">
        <f>IF(#REF!,"AAAAAB7W7y0=",0)</f>
        <v>#REF!</v>
      </c>
      <c r="AU186" t="e">
        <f>IF(#REF!,"AAAAAB7W7y4=",0)</f>
        <v>#REF!</v>
      </c>
      <c r="AV186" t="e">
        <f>IF(#REF!,"AAAAAB7W7y8=",0)</f>
        <v>#REF!</v>
      </c>
      <c r="AW186" t="e">
        <f>IF(#REF!,"AAAAAB7W7zA=",0)</f>
        <v>#REF!</v>
      </c>
      <c r="AX186" t="e">
        <f>IF(#REF!,"AAAAAB7W7zE=",0)</f>
        <v>#REF!</v>
      </c>
      <c r="AY186" t="e">
        <f>IF(#REF!,"AAAAAB7W7zI=",0)</f>
        <v>#REF!</v>
      </c>
      <c r="AZ186" t="e">
        <f>IF(#REF!,"AAAAAB7W7zM=",0)</f>
        <v>#REF!</v>
      </c>
      <c r="BA186" t="e">
        <f>IF(#REF!,"AAAAAB7W7zQ=",0)</f>
        <v>#REF!</v>
      </c>
      <c r="BB186" t="e">
        <f>IF(#REF!,"AAAAAB7W7zU=",0)</f>
        <v>#REF!</v>
      </c>
      <c r="BC186" t="e">
        <f>IF(#REF!,"AAAAAB7W7zY=",0)</f>
        <v>#REF!</v>
      </c>
      <c r="BD186" t="e">
        <f>IF(#REF!,"AAAAAB7W7zc=",0)</f>
        <v>#REF!</v>
      </c>
      <c r="BE186" t="e">
        <f>IF(#REF!,"AAAAAB7W7zg=",0)</f>
        <v>#REF!</v>
      </c>
      <c r="BF186" t="e">
        <f>IF(#REF!,"AAAAAB7W7zk=",0)</f>
        <v>#REF!</v>
      </c>
      <c r="BG186" t="e">
        <f>IF(#REF!,"AAAAAB7W7zo=",0)</f>
        <v>#REF!</v>
      </c>
      <c r="BH186" t="e">
        <f>IF(#REF!,"AAAAAB7W7zs=",0)</f>
        <v>#REF!</v>
      </c>
      <c r="BI186" t="e">
        <f>IF(#REF!,"AAAAAB7W7zw=",0)</f>
        <v>#REF!</v>
      </c>
      <c r="BJ186" t="e">
        <f>IF(#REF!,"AAAAAB7W7z0=",0)</f>
        <v>#REF!</v>
      </c>
      <c r="BK186" t="e">
        <f>IF(#REF!,"AAAAAB7W7z4=",0)</f>
        <v>#REF!</v>
      </c>
      <c r="BL186" t="e">
        <f>IF(#REF!,"AAAAAB7W7z8=",0)</f>
        <v>#REF!</v>
      </c>
      <c r="BM186" t="e">
        <f>IF(#REF!,"AAAAAB7W70A=",0)</f>
        <v>#REF!</v>
      </c>
      <c r="BN186" t="e">
        <f>IF(#REF!,"AAAAAB7W70E=",0)</f>
        <v>#REF!</v>
      </c>
      <c r="BO186" t="e">
        <f>IF(#REF!,"AAAAAB7W70I=",0)</f>
        <v>#REF!</v>
      </c>
      <c r="BP186" t="e">
        <f>IF(#REF!,"AAAAAB7W70M=",0)</f>
        <v>#REF!</v>
      </c>
      <c r="BQ186" t="e">
        <f>IF(#REF!,"AAAAAB7W70Q=",0)</f>
        <v>#REF!</v>
      </c>
      <c r="BR186" t="e">
        <f>IF(#REF!,"AAAAAB7W70U=",0)</f>
        <v>#REF!</v>
      </c>
      <c r="BS186" t="e">
        <f>IF(#REF!,"AAAAAB7W70Y=",0)</f>
        <v>#REF!</v>
      </c>
      <c r="BT186" t="e">
        <f>IF(#REF!,"AAAAAB7W70c=",0)</f>
        <v>#REF!</v>
      </c>
      <c r="BU186" t="e">
        <f>IF(#REF!,"AAAAAB7W70g=",0)</f>
        <v>#REF!</v>
      </c>
      <c r="BV186" t="e">
        <f>IF(#REF!,"AAAAAB7W70k=",0)</f>
        <v>#REF!</v>
      </c>
      <c r="BW186" t="e">
        <f>IF(#REF!,"AAAAAB7W70o=",0)</f>
        <v>#REF!</v>
      </c>
      <c r="BX186" t="e">
        <f>IF(#REF!,"AAAAAB7W70s=",0)</f>
        <v>#REF!</v>
      </c>
      <c r="BY186" t="e">
        <f>IF(#REF!,"AAAAAB7W70w=",0)</f>
        <v>#REF!</v>
      </c>
      <c r="BZ186" t="e">
        <f>IF(#REF!,"AAAAAB7W700=",0)</f>
        <v>#REF!</v>
      </c>
      <c r="CA186" t="e">
        <f>IF(#REF!,"AAAAAB7W704=",0)</f>
        <v>#REF!</v>
      </c>
      <c r="CB186" t="e">
        <f>IF(#REF!,"AAAAAB7W708=",0)</f>
        <v>#REF!</v>
      </c>
      <c r="CC186" t="e">
        <f>IF(#REF!,"AAAAAB7W71A=",0)</f>
        <v>#REF!</v>
      </c>
      <c r="CD186" t="e">
        <f>IF(#REF!,"AAAAAB7W71E=",0)</f>
        <v>#REF!</v>
      </c>
      <c r="CE186" t="e">
        <f>IF(#REF!,"AAAAAB7W71I=",0)</f>
        <v>#REF!</v>
      </c>
      <c r="CF186" t="e">
        <f>IF(#REF!,"AAAAAB7W71M=",0)</f>
        <v>#REF!</v>
      </c>
      <c r="CG186" t="e">
        <f>IF(#REF!,"AAAAAB7W71Q=",0)</f>
        <v>#REF!</v>
      </c>
      <c r="CH186" t="e">
        <f>IF(#REF!,"AAAAAB7W71U=",0)</f>
        <v>#REF!</v>
      </c>
      <c r="CI186" t="e">
        <f>IF(#REF!,"AAAAAB7W71Y=",0)</f>
        <v>#REF!</v>
      </c>
      <c r="CJ186" t="e">
        <f>IF(#REF!,"AAAAAB7W71c=",0)</f>
        <v>#REF!</v>
      </c>
      <c r="CK186" t="e">
        <f>IF(#REF!,"AAAAAB7W71g=",0)</f>
        <v>#REF!</v>
      </c>
      <c r="CL186" t="e">
        <f>IF(#REF!,"AAAAAB7W71k=",0)</f>
        <v>#REF!</v>
      </c>
      <c r="CM186" t="e">
        <f>IF(#REF!,"AAAAAB7W71o=",0)</f>
        <v>#REF!</v>
      </c>
      <c r="CN186" t="e">
        <f>IF(#REF!,"AAAAAB7W71s=",0)</f>
        <v>#REF!</v>
      </c>
      <c r="CO186" t="e">
        <f>IF(#REF!,"AAAAAB7W71w=",0)</f>
        <v>#REF!</v>
      </c>
      <c r="CP186" t="e">
        <f>IF(#REF!,"AAAAAB7W710=",0)</f>
        <v>#REF!</v>
      </c>
      <c r="CQ186" t="e">
        <f>IF(#REF!,"AAAAAB7W714=",0)</f>
        <v>#REF!</v>
      </c>
      <c r="CR186" t="e">
        <f>IF(#REF!,"AAAAAB7W718=",0)</f>
        <v>#REF!</v>
      </c>
      <c r="CS186" t="e">
        <f>IF(#REF!,"AAAAAB7W72A=",0)</f>
        <v>#REF!</v>
      </c>
      <c r="CT186" t="e">
        <f>IF(#REF!,"AAAAAB7W72E=",0)</f>
        <v>#REF!</v>
      </c>
      <c r="CU186" t="e">
        <f>IF(#REF!,"AAAAAB7W72I=",0)</f>
        <v>#REF!</v>
      </c>
      <c r="CV186" t="e">
        <f>IF(#REF!,"AAAAAB7W72M=",0)</f>
        <v>#REF!</v>
      </c>
      <c r="CW186" t="e">
        <f>IF(#REF!,"AAAAAB7W72Q=",0)</f>
        <v>#REF!</v>
      </c>
      <c r="CX186" t="e">
        <f>IF(#REF!,"AAAAAB7W72U=",0)</f>
        <v>#REF!</v>
      </c>
      <c r="CY186" t="e">
        <f>IF(#REF!,"AAAAAB7W72Y=",0)</f>
        <v>#REF!</v>
      </c>
      <c r="CZ186" t="e">
        <f>IF(#REF!,"AAAAAB7W72c=",0)</f>
        <v>#REF!</v>
      </c>
      <c r="DA186" t="e">
        <f>IF(#REF!,"AAAAAB7W72g=",0)</f>
        <v>#REF!</v>
      </c>
      <c r="DB186" t="e">
        <f>IF(#REF!,"AAAAAB7W72k=",0)</f>
        <v>#REF!</v>
      </c>
      <c r="DC186" t="e">
        <f>IF(#REF!,"AAAAAB7W72o=",0)</f>
        <v>#REF!</v>
      </c>
      <c r="DD186" t="e">
        <f>IF(#REF!,"AAAAAB7W72s=",0)</f>
        <v>#REF!</v>
      </c>
      <c r="DE186" t="e">
        <f>IF(#REF!,"AAAAAB7W72w=",0)</f>
        <v>#REF!</v>
      </c>
      <c r="DF186" t="e">
        <f>IF(#REF!,"AAAAAB7W720=",0)</f>
        <v>#REF!</v>
      </c>
      <c r="DG186" t="e">
        <f>IF(#REF!,"AAAAAB7W724=",0)</f>
        <v>#REF!</v>
      </c>
      <c r="DH186" t="e">
        <f>IF(#REF!,"AAAAAB7W728=",0)</f>
        <v>#REF!</v>
      </c>
      <c r="DI186" t="e">
        <f>IF(#REF!,"AAAAAB7W73A=",0)</f>
        <v>#REF!</v>
      </c>
      <c r="DJ186" t="e">
        <f>IF(#REF!,"AAAAAB7W73E=",0)</f>
        <v>#REF!</v>
      </c>
      <c r="DK186" t="e">
        <f>IF(#REF!,"AAAAAB7W73I=",0)</f>
        <v>#REF!</v>
      </c>
      <c r="DL186" t="e">
        <f>IF(#REF!,"AAAAAB7W73M=",0)</f>
        <v>#REF!</v>
      </c>
      <c r="DM186" t="e">
        <f>IF(#REF!,"AAAAAB7W73Q=",0)</f>
        <v>#REF!</v>
      </c>
      <c r="DN186" t="e">
        <f>IF(#REF!,"AAAAAB7W73U=",0)</f>
        <v>#REF!</v>
      </c>
      <c r="DO186" t="e">
        <f>IF(#REF!,"AAAAAB7W73Y=",0)</f>
        <v>#REF!</v>
      </c>
      <c r="DP186" t="e">
        <f>IF(#REF!,"AAAAAB7W73c=",0)</f>
        <v>#REF!</v>
      </c>
      <c r="DQ186" t="e">
        <f>IF(#REF!,"AAAAAB7W73g=",0)</f>
        <v>#REF!</v>
      </c>
      <c r="DR186" t="e">
        <f>IF(#REF!,"AAAAAB7W73k=",0)</f>
        <v>#REF!</v>
      </c>
      <c r="DS186" t="e">
        <f>IF(#REF!,"AAAAAB7W73o=",0)</f>
        <v>#REF!</v>
      </c>
      <c r="DT186" t="e">
        <f>IF(#REF!,"AAAAAB7W73s=",0)</f>
        <v>#REF!</v>
      </c>
      <c r="DU186" t="e">
        <f>IF(#REF!,"AAAAAB7W73w=",0)</f>
        <v>#REF!</v>
      </c>
      <c r="DV186" t="e">
        <f>IF(#REF!,"AAAAAB7W730=",0)</f>
        <v>#REF!</v>
      </c>
      <c r="DW186" t="e">
        <f>IF(#REF!,"AAAAAB7W734=",0)</f>
        <v>#REF!</v>
      </c>
      <c r="DX186" t="e">
        <f>IF(#REF!,"AAAAAB7W738=",0)</f>
        <v>#REF!</v>
      </c>
      <c r="DY186" t="e">
        <f>IF(#REF!,"AAAAAB7W74A=",0)</f>
        <v>#REF!</v>
      </c>
      <c r="DZ186" t="e">
        <f>IF(#REF!,"AAAAAB7W74E=",0)</f>
        <v>#REF!</v>
      </c>
      <c r="EA186" t="e">
        <f>IF(#REF!,"AAAAAB7W74I=",0)</f>
        <v>#REF!</v>
      </c>
      <c r="EB186" t="e">
        <f>IF(#REF!,"AAAAAB7W74M=",0)</f>
        <v>#REF!</v>
      </c>
      <c r="EC186" t="e">
        <f>IF(#REF!,"AAAAAB7W74Q=",0)</f>
        <v>#REF!</v>
      </c>
      <c r="ED186" t="e">
        <f>IF(#REF!,"AAAAAB7W74U=",0)</f>
        <v>#REF!</v>
      </c>
      <c r="EE186" t="e">
        <f>IF(#REF!,"AAAAAB7W74Y=",0)</f>
        <v>#REF!</v>
      </c>
      <c r="EF186" t="e">
        <f>IF(#REF!,"AAAAAB7W74c=",0)</f>
        <v>#REF!</v>
      </c>
      <c r="EG186" t="e">
        <f>IF(#REF!,"AAAAAB7W74g=",0)</f>
        <v>#REF!</v>
      </c>
      <c r="EH186" t="e">
        <f>IF(#REF!,"AAAAAB7W74k=",0)</f>
        <v>#REF!</v>
      </c>
      <c r="EI186" t="e">
        <f>IF(#REF!,"AAAAAB7W74o=",0)</f>
        <v>#REF!</v>
      </c>
      <c r="EJ186" t="e">
        <f>IF(#REF!,"AAAAAB7W74s=",0)</f>
        <v>#REF!</v>
      </c>
      <c r="EK186" t="e">
        <f>IF(#REF!,"AAAAAB7W74w=",0)</f>
        <v>#REF!</v>
      </c>
      <c r="EL186" t="e">
        <f>IF(#REF!,"AAAAAB7W740=",0)</f>
        <v>#REF!</v>
      </c>
      <c r="EM186" t="e">
        <f>IF(#REF!,"AAAAAB7W744=",0)</f>
        <v>#REF!</v>
      </c>
      <c r="EN186" t="e">
        <f>IF(#REF!,"AAAAAB7W748=",0)</f>
        <v>#REF!</v>
      </c>
      <c r="EO186" t="e">
        <f>IF(#REF!,"AAAAAB7W75A=",0)</f>
        <v>#REF!</v>
      </c>
      <c r="EP186" t="e">
        <f>IF(#REF!,"AAAAAB7W75E=",0)</f>
        <v>#REF!</v>
      </c>
      <c r="EQ186" t="e">
        <f>IF(#REF!,"AAAAAB7W75I=",0)</f>
        <v>#REF!</v>
      </c>
      <c r="ER186" t="e">
        <f>IF(#REF!,"AAAAAB7W75M=",0)</f>
        <v>#REF!</v>
      </c>
      <c r="ES186" t="e">
        <f>IF(#REF!,"AAAAAB7W75Q=",0)</f>
        <v>#REF!</v>
      </c>
      <c r="ET186" t="e">
        <f>IF(#REF!,"AAAAAB7W75U=",0)</f>
        <v>#REF!</v>
      </c>
      <c r="EU186" t="e">
        <f>IF(#REF!,"AAAAAB7W75Y=",0)</f>
        <v>#REF!</v>
      </c>
      <c r="EV186" t="e">
        <f>IF(#REF!,"AAAAAB7W75c=",0)</f>
        <v>#REF!</v>
      </c>
      <c r="EW186" t="e">
        <f>IF(#REF!,"AAAAAB7W75g=",0)</f>
        <v>#REF!</v>
      </c>
      <c r="EX186" t="e">
        <f>IF(#REF!,"AAAAAB7W75k=",0)</f>
        <v>#REF!</v>
      </c>
      <c r="EY186" t="e">
        <f>IF(#REF!,"AAAAAB7W75o=",0)</f>
        <v>#REF!</v>
      </c>
      <c r="EZ186" t="e">
        <f>IF(#REF!,"AAAAAB7W75s=",0)</f>
        <v>#REF!</v>
      </c>
      <c r="FA186" t="e">
        <f>IF(#REF!,"AAAAAB7W75w=",0)</f>
        <v>#REF!</v>
      </c>
      <c r="FB186" t="e">
        <f>IF(#REF!,"AAAAAB7W750=",0)</f>
        <v>#REF!</v>
      </c>
      <c r="FC186" t="e">
        <f>IF(#REF!,"AAAAAB7W754=",0)</f>
        <v>#REF!</v>
      </c>
      <c r="FD186" t="e">
        <f>IF(#REF!,"AAAAAB7W758=",0)</f>
        <v>#REF!</v>
      </c>
      <c r="FE186" t="e">
        <f>IF(#REF!,"AAAAAB7W76A=",0)</f>
        <v>#REF!</v>
      </c>
      <c r="FF186" t="e">
        <f>IF(#REF!,"AAAAAB7W76E=",0)</f>
        <v>#REF!</v>
      </c>
      <c r="FG186" t="e">
        <f>IF(#REF!,"AAAAAB7W76I=",0)</f>
        <v>#REF!</v>
      </c>
      <c r="FH186" t="e">
        <f>IF(#REF!,"AAAAAB7W76M=",0)</f>
        <v>#REF!</v>
      </c>
      <c r="FI186" t="e">
        <f>IF(#REF!,"AAAAAB7W76Q=",0)</f>
        <v>#REF!</v>
      </c>
      <c r="FJ186" t="e">
        <f>IF(#REF!,"AAAAAB7W76U=",0)</f>
        <v>#REF!</v>
      </c>
      <c r="FK186" t="e">
        <f>IF(#REF!,"AAAAAB7W76Y=",0)</f>
        <v>#REF!</v>
      </c>
      <c r="FL186" t="e">
        <f>IF(#REF!,"AAAAAB7W76c=",0)</f>
        <v>#REF!</v>
      </c>
      <c r="FM186" t="e">
        <f>IF(#REF!,"AAAAAB7W76g=",0)</f>
        <v>#REF!</v>
      </c>
      <c r="FN186" t="e">
        <f>IF(#REF!,"AAAAAB7W76k=",0)</f>
        <v>#REF!</v>
      </c>
      <c r="FO186" t="e">
        <f>IF(#REF!,"AAAAAB7W76o=",0)</f>
        <v>#REF!</v>
      </c>
      <c r="FP186" t="e">
        <f>IF(#REF!,"AAAAAB7W76s=",0)</f>
        <v>#REF!</v>
      </c>
      <c r="FQ186" t="e">
        <f>IF(#REF!,"AAAAAB7W76w=",0)</f>
        <v>#REF!</v>
      </c>
      <c r="FR186" t="e">
        <f>IF(#REF!,"AAAAAB7W760=",0)</f>
        <v>#REF!</v>
      </c>
      <c r="FS186" t="e">
        <f>IF(#REF!,"AAAAAB7W764=",0)</f>
        <v>#REF!</v>
      </c>
      <c r="FT186" t="e">
        <f>IF(#REF!,"AAAAAB7W768=",0)</f>
        <v>#REF!</v>
      </c>
      <c r="FU186" t="e">
        <f>IF(#REF!,"AAAAAB7W77A=",0)</f>
        <v>#REF!</v>
      </c>
      <c r="FV186" t="e">
        <f>IF(#REF!,"AAAAAB7W77E=",0)</f>
        <v>#REF!</v>
      </c>
      <c r="FW186" t="e">
        <f>IF(#REF!,"AAAAAB7W77I=",0)</f>
        <v>#REF!</v>
      </c>
      <c r="FX186" t="e">
        <f>IF(#REF!,"AAAAAB7W77M=",0)</f>
        <v>#REF!</v>
      </c>
      <c r="FY186" t="e">
        <f>IF(#REF!,"AAAAAB7W77Q=",0)</f>
        <v>#REF!</v>
      </c>
      <c r="FZ186" t="e">
        <f>IF(#REF!,"AAAAAB7W77U=",0)</f>
        <v>#REF!</v>
      </c>
      <c r="GA186" t="e">
        <f>IF(#REF!,"AAAAAB7W77Y=",0)</f>
        <v>#REF!</v>
      </c>
      <c r="GB186" t="e">
        <f>IF(#REF!,"AAAAAB7W77c=",0)</f>
        <v>#REF!</v>
      </c>
      <c r="GC186" t="e">
        <f>IF(#REF!,"AAAAAB7W77g=",0)</f>
        <v>#REF!</v>
      </c>
      <c r="GD186" t="e">
        <f>IF(#REF!,"AAAAAB7W77k=",0)</f>
        <v>#REF!</v>
      </c>
      <c r="GE186" t="e">
        <f>IF(#REF!,"AAAAAB7W77o=",0)</f>
        <v>#REF!</v>
      </c>
      <c r="GF186" t="e">
        <f>IF(#REF!,"AAAAAB7W77s=",0)</f>
        <v>#REF!</v>
      </c>
      <c r="GG186" t="e">
        <f>IF(#REF!,"AAAAAB7W77w=",0)</f>
        <v>#REF!</v>
      </c>
      <c r="GH186" t="e">
        <f>IF(#REF!,"AAAAAB7W770=",0)</f>
        <v>#REF!</v>
      </c>
      <c r="GI186" t="e">
        <f>IF(#REF!,"AAAAAB7W774=",0)</f>
        <v>#REF!</v>
      </c>
      <c r="GJ186" t="e">
        <f>IF(#REF!,"AAAAAB7W778=",0)</f>
        <v>#REF!</v>
      </c>
      <c r="GK186" t="e">
        <f>IF(#REF!,"AAAAAB7W78A=",0)</f>
        <v>#REF!</v>
      </c>
      <c r="GL186" t="e">
        <f>IF(#REF!,"AAAAAB7W78E=",0)</f>
        <v>#REF!</v>
      </c>
      <c r="GM186" t="e">
        <f>IF(#REF!,"AAAAAB7W78I=",0)</f>
        <v>#REF!</v>
      </c>
      <c r="GN186" t="e">
        <f>IF(#REF!,"AAAAAB7W78M=",0)</f>
        <v>#REF!</v>
      </c>
      <c r="GO186" t="e">
        <f>IF(#REF!,"AAAAAB7W78Q=",0)</f>
        <v>#REF!</v>
      </c>
      <c r="GP186" t="e">
        <f>IF(#REF!,"AAAAAB7W78U=",0)</f>
        <v>#REF!</v>
      </c>
      <c r="GQ186" t="e">
        <f>IF(#REF!,"AAAAAB7W78Y=",0)</f>
        <v>#REF!</v>
      </c>
      <c r="GR186" t="e">
        <f>IF(#REF!,"AAAAAB7W78c=",0)</f>
        <v>#REF!</v>
      </c>
      <c r="GS186" t="e">
        <f>IF(#REF!,"AAAAAB7W78g=",0)</f>
        <v>#REF!</v>
      </c>
      <c r="GT186" t="e">
        <f>IF(#REF!,"AAAAAB7W78k=",0)</f>
        <v>#REF!</v>
      </c>
      <c r="GU186" t="e">
        <f>IF(#REF!,"AAAAAB7W78o=",0)</f>
        <v>#REF!</v>
      </c>
      <c r="GV186" t="e">
        <f>IF(#REF!,"AAAAAB7W78s=",0)</f>
        <v>#REF!</v>
      </c>
      <c r="GW186" t="e">
        <f>IF(#REF!,"AAAAAB7W78w=",0)</f>
        <v>#REF!</v>
      </c>
      <c r="GX186" t="e">
        <f>IF(#REF!,"AAAAAB7W780=",0)</f>
        <v>#REF!</v>
      </c>
      <c r="GY186" t="e">
        <f>IF(#REF!,"AAAAAB7W784=",0)</f>
        <v>#REF!</v>
      </c>
      <c r="GZ186" t="e">
        <f>IF(#REF!,"AAAAAB7W788=",0)</f>
        <v>#REF!</v>
      </c>
      <c r="HA186" t="e">
        <f>IF(#REF!,"AAAAAB7W79A=",0)</f>
        <v>#REF!</v>
      </c>
      <c r="HB186" t="e">
        <f>IF(#REF!,"AAAAAB7W79E=",0)</f>
        <v>#REF!</v>
      </c>
      <c r="HC186" t="e">
        <f>IF(#REF!,"AAAAAB7W79I=",0)</f>
        <v>#REF!</v>
      </c>
      <c r="HD186" t="e">
        <f>IF(#REF!,"AAAAAB7W79M=",0)</f>
        <v>#REF!</v>
      </c>
      <c r="HE186" t="e">
        <f>IF(#REF!,"AAAAAB7W79Q=",0)</f>
        <v>#REF!</v>
      </c>
      <c r="HF186" t="e">
        <f>IF(#REF!,"AAAAAB7W79U=",0)</f>
        <v>#REF!</v>
      </c>
      <c r="HG186" t="e">
        <f>IF(#REF!,"AAAAAB7W79Y=",0)</f>
        <v>#REF!</v>
      </c>
      <c r="HH186" t="e">
        <f>IF(#REF!,"AAAAAB7W79c=",0)</f>
        <v>#REF!</v>
      </c>
      <c r="HI186" t="e">
        <f>IF(#REF!,"AAAAAB7W79g=",0)</f>
        <v>#REF!</v>
      </c>
      <c r="HJ186" t="e">
        <f>IF(#REF!,"AAAAAB7W79k=",0)</f>
        <v>#REF!</v>
      </c>
      <c r="HK186" t="e">
        <f>IF(#REF!,"AAAAAB7W79o=",0)</f>
        <v>#REF!</v>
      </c>
      <c r="HL186" t="e">
        <f>IF(#REF!,"AAAAAB7W79s=",0)</f>
        <v>#REF!</v>
      </c>
      <c r="HM186" t="e">
        <f>IF(#REF!,"AAAAAB7W79w=",0)</f>
        <v>#REF!</v>
      </c>
      <c r="HN186" t="e">
        <f>IF(#REF!,"AAAAAB7W790=",0)</f>
        <v>#REF!</v>
      </c>
      <c r="HO186" t="e">
        <f>IF(#REF!,"AAAAAB7W794=",0)</f>
        <v>#REF!</v>
      </c>
      <c r="HP186" t="e">
        <f>IF(#REF!,"AAAAAB7W798=",0)</f>
        <v>#REF!</v>
      </c>
      <c r="HQ186" t="e">
        <f>IF(#REF!,"AAAAAB7W7+A=",0)</f>
        <v>#REF!</v>
      </c>
      <c r="HR186" t="e">
        <f>IF(#REF!,"AAAAAB7W7+E=",0)</f>
        <v>#REF!</v>
      </c>
      <c r="HS186" t="e">
        <f>IF(#REF!,"AAAAAB7W7+I=",0)</f>
        <v>#REF!</v>
      </c>
      <c r="HT186" t="e">
        <f>IF(#REF!,"AAAAAB7W7+M=",0)</f>
        <v>#REF!</v>
      </c>
      <c r="HU186" t="e">
        <f>IF(#REF!,"AAAAAB7W7+Q=",0)</f>
        <v>#REF!</v>
      </c>
      <c r="HV186" t="e">
        <f>IF(#REF!,"AAAAAB7W7+U=",0)</f>
        <v>#REF!</v>
      </c>
      <c r="HW186" t="e">
        <f>IF(#REF!,"AAAAAB7W7+Y=",0)</f>
        <v>#REF!</v>
      </c>
      <c r="HX186" t="e">
        <f>IF(#REF!,"AAAAAB7W7+c=",0)</f>
        <v>#REF!</v>
      </c>
      <c r="HY186" t="e">
        <f>IF(#REF!,"AAAAAB7W7+g=",0)</f>
        <v>#REF!</v>
      </c>
      <c r="HZ186" t="e">
        <f>IF(#REF!,"AAAAAB7W7+k=",0)</f>
        <v>#REF!</v>
      </c>
      <c r="IA186" t="e">
        <f>IF(#REF!,"AAAAAB7W7+o=",0)</f>
        <v>#REF!</v>
      </c>
      <c r="IB186" t="e">
        <f>IF(#REF!,"AAAAAB7W7+s=",0)</f>
        <v>#REF!</v>
      </c>
      <c r="IC186" t="e">
        <f>IF(#REF!,"AAAAAB7W7+w=",0)</f>
        <v>#REF!</v>
      </c>
      <c r="ID186" t="e">
        <f>IF(#REF!,"AAAAAB7W7+0=",0)</f>
        <v>#REF!</v>
      </c>
      <c r="IE186" t="e">
        <f>IF(#REF!,"AAAAAB7W7+4=",0)</f>
        <v>#REF!</v>
      </c>
      <c r="IF186" t="e">
        <f>IF(#REF!,"AAAAAB7W7+8=",0)</f>
        <v>#REF!</v>
      </c>
      <c r="IG186" t="e">
        <f>IF(#REF!,"AAAAAB7W7/A=",0)</f>
        <v>#REF!</v>
      </c>
      <c r="IH186" t="e">
        <f>IF(#REF!,"AAAAAB7W7/E=",0)</f>
        <v>#REF!</v>
      </c>
      <c r="II186" t="e">
        <f>IF(#REF!,"AAAAAB7W7/I=",0)</f>
        <v>#REF!</v>
      </c>
      <c r="IJ186" t="e">
        <f>IF(#REF!,"AAAAAB7W7/M=",0)</f>
        <v>#REF!</v>
      </c>
      <c r="IK186" t="e">
        <f>IF(#REF!,"AAAAAB7W7/Q=",0)</f>
        <v>#REF!</v>
      </c>
      <c r="IL186" t="e">
        <f>IF(#REF!,"AAAAAB7W7/U=",0)</f>
        <v>#REF!</v>
      </c>
      <c r="IM186" t="e">
        <f>IF(#REF!,"AAAAAB7W7/Y=",0)</f>
        <v>#REF!</v>
      </c>
      <c r="IN186" t="e">
        <f>IF(#REF!,"AAAAAB7W7/c=",0)</f>
        <v>#REF!</v>
      </c>
      <c r="IO186" t="e">
        <f>IF(#REF!,"AAAAAB7W7/g=",0)</f>
        <v>#REF!</v>
      </c>
      <c r="IP186" t="e">
        <f>IF(#REF!,"AAAAAB7W7/k=",0)</f>
        <v>#REF!</v>
      </c>
      <c r="IQ186" t="e">
        <f>IF(#REF!,"AAAAAB7W7/o=",0)</f>
        <v>#REF!</v>
      </c>
      <c r="IR186" t="e">
        <f>IF(#REF!,"AAAAAB7W7/s=",0)</f>
        <v>#REF!</v>
      </c>
      <c r="IS186" t="e">
        <f>IF(#REF!,"AAAAAB7W7/w=",0)</f>
        <v>#REF!</v>
      </c>
      <c r="IT186" t="e">
        <f>IF(#REF!,"AAAAAB7W7/0=",0)</f>
        <v>#REF!</v>
      </c>
      <c r="IU186" t="e">
        <f>IF(#REF!,"AAAAAB7W7/4=",0)</f>
        <v>#REF!</v>
      </c>
      <c r="IV186" t="e">
        <f>IF(#REF!,"AAAAAB7W7/8=",0)</f>
        <v>#REF!</v>
      </c>
    </row>
    <row r="187" spans="1:256">
      <c r="A187" t="e">
        <f>IF(#REF!,"AAAAAHbHZwA=",0)</f>
        <v>#REF!</v>
      </c>
      <c r="B187" t="e">
        <f>IF(#REF!,"AAAAAHbHZwE=",0)</f>
        <v>#REF!</v>
      </c>
      <c r="C187" t="e">
        <f>IF(#REF!,"AAAAAHbHZwI=",0)</f>
        <v>#REF!</v>
      </c>
      <c r="D187" t="e">
        <f>IF(#REF!,"AAAAAHbHZwM=",0)</f>
        <v>#REF!</v>
      </c>
      <c r="E187" t="e">
        <f>IF(#REF!,"AAAAAHbHZwQ=",0)</f>
        <v>#REF!</v>
      </c>
      <c r="F187" t="e">
        <f>IF(#REF!,"AAAAAHbHZwU=",0)</f>
        <v>#REF!</v>
      </c>
      <c r="G187" t="e">
        <f>IF(#REF!,"AAAAAHbHZwY=",0)</f>
        <v>#REF!</v>
      </c>
      <c r="H187" t="e">
        <f>IF(#REF!,"AAAAAHbHZwc=",0)</f>
        <v>#REF!</v>
      </c>
      <c r="I187" t="e">
        <f>IF(#REF!,"AAAAAHbHZwg=",0)</f>
        <v>#REF!</v>
      </c>
      <c r="J187" t="e">
        <f>IF(#REF!,"AAAAAHbHZwk=",0)</f>
        <v>#REF!</v>
      </c>
      <c r="K187" t="e">
        <f>IF(#REF!,"AAAAAHbHZwo=",0)</f>
        <v>#REF!</v>
      </c>
      <c r="L187" t="e">
        <f>IF(#REF!,"AAAAAHbHZws=",0)</f>
        <v>#REF!</v>
      </c>
      <c r="M187" t="e">
        <f>IF(#REF!,"AAAAAHbHZww=",0)</f>
        <v>#REF!</v>
      </c>
      <c r="N187" t="e">
        <f>IF(#REF!,"AAAAAHbHZw0=",0)</f>
        <v>#REF!</v>
      </c>
      <c r="O187" t="e">
        <f>IF(#REF!,"AAAAAHbHZw4=",0)</f>
        <v>#REF!</v>
      </c>
      <c r="P187" t="e">
        <f>IF(#REF!,"AAAAAHbHZw8=",0)</f>
        <v>#REF!</v>
      </c>
      <c r="Q187" t="e">
        <f>IF(#REF!,"AAAAAHbHZxA=",0)</f>
        <v>#REF!</v>
      </c>
      <c r="R187" t="e">
        <f>IF(#REF!,"AAAAAHbHZxE=",0)</f>
        <v>#REF!</v>
      </c>
      <c r="S187" t="e">
        <f>IF(#REF!,"AAAAAHbHZxI=",0)</f>
        <v>#REF!</v>
      </c>
      <c r="T187" t="e">
        <f>IF(#REF!,"AAAAAHbHZxM=",0)</f>
        <v>#REF!</v>
      </c>
      <c r="U187" t="e">
        <f>IF(#REF!,"AAAAAHbHZxQ=",0)</f>
        <v>#REF!</v>
      </c>
      <c r="V187" t="e">
        <f>IF(#REF!,"AAAAAHbHZxU=",0)</f>
        <v>#REF!</v>
      </c>
      <c r="W187" t="e">
        <f>IF(#REF!,"AAAAAHbHZxY=",0)</f>
        <v>#REF!</v>
      </c>
      <c r="X187" t="e">
        <f>IF(#REF!,"AAAAAHbHZxc=",0)</f>
        <v>#REF!</v>
      </c>
      <c r="Y187" t="e">
        <f>IF(#REF!,"AAAAAHbHZxg=",0)</f>
        <v>#REF!</v>
      </c>
      <c r="Z187" t="e">
        <f>IF(#REF!,"AAAAAHbHZxk=",0)</f>
        <v>#REF!</v>
      </c>
      <c r="AA187" t="e">
        <f>IF(#REF!,"AAAAAHbHZxo=",0)</f>
        <v>#REF!</v>
      </c>
      <c r="AB187" t="e">
        <f>IF(#REF!,"AAAAAHbHZxs=",0)</f>
        <v>#REF!</v>
      </c>
      <c r="AC187" t="e">
        <f>IF(#REF!,"AAAAAHbHZxw=",0)</f>
        <v>#REF!</v>
      </c>
      <c r="AD187" t="e">
        <f>IF(#REF!,"AAAAAHbHZx0=",0)</f>
        <v>#REF!</v>
      </c>
      <c r="AE187" t="e">
        <f>IF(#REF!,"AAAAAHbHZx4=",0)</f>
        <v>#REF!</v>
      </c>
      <c r="AF187" t="e">
        <f>IF(#REF!,"AAAAAHbHZx8=",0)</f>
        <v>#REF!</v>
      </c>
      <c r="AG187" t="e">
        <f>IF(#REF!,"AAAAAHbHZyA=",0)</f>
        <v>#REF!</v>
      </c>
      <c r="AH187" t="e">
        <f>IF(#REF!,"AAAAAHbHZyE=",0)</f>
        <v>#REF!</v>
      </c>
      <c r="AI187" t="e">
        <f>IF(#REF!,"AAAAAHbHZyI=",0)</f>
        <v>#REF!</v>
      </c>
      <c r="AJ187" t="e">
        <f>IF(#REF!,"AAAAAHbHZyM=",0)</f>
        <v>#REF!</v>
      </c>
      <c r="AK187" t="e">
        <f>IF(#REF!,"AAAAAHbHZyQ=",0)</f>
        <v>#REF!</v>
      </c>
      <c r="AL187" t="e">
        <f>IF(#REF!,"AAAAAHbHZyU=",0)</f>
        <v>#REF!</v>
      </c>
      <c r="AM187" t="e">
        <f>IF(#REF!,"AAAAAHbHZyY=",0)</f>
        <v>#REF!</v>
      </c>
      <c r="AN187" t="e">
        <f>IF(#REF!,"AAAAAHbHZyc=",0)</f>
        <v>#REF!</v>
      </c>
      <c r="AO187" t="e">
        <f>IF(#REF!,"AAAAAHbHZyg=",0)</f>
        <v>#REF!</v>
      </c>
      <c r="AP187" t="e">
        <f>IF(#REF!,"AAAAAHbHZyk=",0)</f>
        <v>#REF!</v>
      </c>
      <c r="AQ187" t="e">
        <f>IF(#REF!,"AAAAAHbHZyo=",0)</f>
        <v>#REF!</v>
      </c>
      <c r="AR187" t="e">
        <f>IF(#REF!,"AAAAAHbHZys=",0)</f>
        <v>#REF!</v>
      </c>
      <c r="AS187" t="e">
        <f>IF(#REF!,"AAAAAHbHZyw=",0)</f>
        <v>#REF!</v>
      </c>
      <c r="AT187" t="e">
        <f>IF(#REF!,"AAAAAHbHZy0=",0)</f>
        <v>#REF!</v>
      </c>
      <c r="AU187" t="e">
        <f>IF(#REF!,"AAAAAHbHZy4=",0)</f>
        <v>#REF!</v>
      </c>
      <c r="AV187" t="e">
        <f>IF(#REF!,"AAAAAHbHZy8=",0)</f>
        <v>#REF!</v>
      </c>
      <c r="AW187" t="e">
        <f>IF(#REF!,"AAAAAHbHZzA=",0)</f>
        <v>#REF!</v>
      </c>
      <c r="AX187" t="e">
        <f>IF(#REF!,"AAAAAHbHZzE=",0)</f>
        <v>#REF!</v>
      </c>
      <c r="AY187" t="e">
        <f>IF(#REF!,"AAAAAHbHZzI=",0)</f>
        <v>#REF!</v>
      </c>
      <c r="AZ187" t="e">
        <f>IF(#REF!,"AAAAAHbHZzM=",0)</f>
        <v>#REF!</v>
      </c>
      <c r="BA187" t="e">
        <f>IF(#REF!,"AAAAAHbHZzQ=",0)</f>
        <v>#REF!</v>
      </c>
      <c r="BB187" t="e">
        <f>IF(#REF!,"AAAAAHbHZzU=",0)</f>
        <v>#REF!</v>
      </c>
      <c r="BC187" t="e">
        <f>IF(#REF!,"AAAAAHbHZzY=",0)</f>
        <v>#REF!</v>
      </c>
      <c r="BD187" t="e">
        <f>IF(#REF!,"AAAAAHbHZzc=",0)</f>
        <v>#REF!</v>
      </c>
      <c r="BE187" t="e">
        <f>IF(#REF!,"AAAAAHbHZzg=",0)</f>
        <v>#REF!</v>
      </c>
      <c r="BF187" t="e">
        <f>IF(#REF!,"AAAAAHbHZzk=",0)</f>
        <v>#REF!</v>
      </c>
      <c r="BG187" t="e">
        <f>IF(#REF!,"AAAAAHbHZzo=",0)</f>
        <v>#REF!</v>
      </c>
      <c r="BH187" t="e">
        <f>IF(#REF!,"AAAAAHbHZzs=",0)</f>
        <v>#REF!</v>
      </c>
      <c r="BI187" t="e">
        <f>IF(#REF!,"AAAAAHbHZzw=",0)</f>
        <v>#REF!</v>
      </c>
      <c r="BJ187" t="e">
        <f>IF(#REF!,"AAAAAHbHZz0=",0)</f>
        <v>#REF!</v>
      </c>
      <c r="BK187" t="e">
        <f>IF(#REF!,"AAAAAHbHZz4=",0)</f>
        <v>#REF!</v>
      </c>
      <c r="BL187" t="e">
        <f>IF(#REF!,"AAAAAHbHZz8=",0)</f>
        <v>#REF!</v>
      </c>
      <c r="BM187" t="e">
        <f>IF(#REF!,"AAAAAHbHZ0A=",0)</f>
        <v>#REF!</v>
      </c>
      <c r="BN187" t="e">
        <f>IF(#REF!,"AAAAAHbHZ0E=",0)</f>
        <v>#REF!</v>
      </c>
      <c r="BO187" t="e">
        <f>IF(#REF!,"AAAAAHbHZ0I=",0)</f>
        <v>#REF!</v>
      </c>
      <c r="BP187" t="e">
        <f>IF(#REF!,"AAAAAHbHZ0M=",0)</f>
        <v>#REF!</v>
      </c>
      <c r="BQ187" t="e">
        <f>IF(#REF!,"AAAAAHbHZ0Q=",0)</f>
        <v>#REF!</v>
      </c>
      <c r="BR187" t="e">
        <f>IF(#REF!,"AAAAAHbHZ0U=",0)</f>
        <v>#REF!</v>
      </c>
      <c r="BS187" t="e">
        <f>IF(#REF!,"AAAAAHbHZ0Y=",0)</f>
        <v>#REF!</v>
      </c>
      <c r="BT187" t="e">
        <f>IF(#REF!,"AAAAAHbHZ0c=",0)</f>
        <v>#REF!</v>
      </c>
      <c r="BU187" t="e">
        <f>IF(#REF!,"AAAAAHbHZ0g=",0)</f>
        <v>#REF!</v>
      </c>
      <c r="BV187" t="e">
        <f>IF(#REF!,"AAAAAHbHZ0k=",0)</f>
        <v>#REF!</v>
      </c>
      <c r="BW187" t="e">
        <f>IF(#REF!,"AAAAAHbHZ0o=",0)</f>
        <v>#REF!</v>
      </c>
      <c r="BX187" t="e">
        <f>IF(#REF!,"AAAAAHbHZ0s=",0)</f>
        <v>#REF!</v>
      </c>
      <c r="BY187" t="e">
        <f>IF(#REF!,"AAAAAHbHZ0w=",0)</f>
        <v>#REF!</v>
      </c>
      <c r="BZ187" t="e">
        <f>IF(#REF!,"AAAAAHbHZ00=",0)</f>
        <v>#REF!</v>
      </c>
      <c r="CA187" t="e">
        <f>IF(#REF!,"AAAAAHbHZ04=",0)</f>
        <v>#REF!</v>
      </c>
      <c r="CB187" t="e">
        <f>IF(#REF!,"AAAAAHbHZ08=",0)</f>
        <v>#REF!</v>
      </c>
      <c r="CC187" t="e">
        <f>IF(#REF!,"AAAAAHbHZ1A=",0)</f>
        <v>#REF!</v>
      </c>
      <c r="CD187" t="e">
        <f>IF(#REF!,"AAAAAHbHZ1E=",0)</f>
        <v>#REF!</v>
      </c>
      <c r="CE187" t="e">
        <f>IF(#REF!,"AAAAAHbHZ1I=",0)</f>
        <v>#REF!</v>
      </c>
      <c r="CF187" t="e">
        <f>IF(#REF!,"AAAAAHbHZ1M=",0)</f>
        <v>#REF!</v>
      </c>
      <c r="CG187" t="e">
        <f>IF(#REF!,"AAAAAHbHZ1Q=",0)</f>
        <v>#REF!</v>
      </c>
      <c r="CH187" t="e">
        <f>IF(#REF!,"AAAAAHbHZ1U=",0)</f>
        <v>#REF!</v>
      </c>
      <c r="CI187" t="e">
        <f>IF(#REF!,"AAAAAHbHZ1Y=",0)</f>
        <v>#REF!</v>
      </c>
      <c r="CJ187" t="e">
        <f>IF(#REF!,"AAAAAHbHZ1c=",0)</f>
        <v>#REF!</v>
      </c>
      <c r="CK187" t="e">
        <f>IF(#REF!,"AAAAAHbHZ1g=",0)</f>
        <v>#REF!</v>
      </c>
      <c r="CL187" t="e">
        <f>IF(#REF!,"AAAAAHbHZ1k=",0)</f>
        <v>#REF!</v>
      </c>
      <c r="CM187" t="e">
        <f>IF(#REF!,"AAAAAHbHZ1o=",0)</f>
        <v>#REF!</v>
      </c>
      <c r="CN187" t="e">
        <f>IF(#REF!,"AAAAAHbHZ1s=",0)</f>
        <v>#REF!</v>
      </c>
      <c r="CO187" t="e">
        <f>IF(#REF!,"AAAAAHbHZ1w=",0)</f>
        <v>#REF!</v>
      </c>
      <c r="CP187" t="e">
        <f>IF(#REF!,"AAAAAHbHZ10=",0)</f>
        <v>#REF!</v>
      </c>
      <c r="CQ187" t="e">
        <f>IF(#REF!,"AAAAAHbHZ14=",0)</f>
        <v>#REF!</v>
      </c>
      <c r="CR187" t="e">
        <f>IF(#REF!,"AAAAAHbHZ18=",0)</f>
        <v>#REF!</v>
      </c>
      <c r="CS187" t="e">
        <f>IF(#REF!,"AAAAAHbHZ2A=",0)</f>
        <v>#REF!</v>
      </c>
      <c r="CT187" t="e">
        <f>IF(#REF!,"AAAAAHbHZ2E=",0)</f>
        <v>#REF!</v>
      </c>
      <c r="CU187" t="e">
        <f>IF(#REF!,"AAAAAHbHZ2I=",0)</f>
        <v>#REF!</v>
      </c>
      <c r="CV187" t="e">
        <f>IF(#REF!,"AAAAAHbHZ2M=",0)</f>
        <v>#REF!</v>
      </c>
      <c r="CW187" t="e">
        <f>IF(#REF!,"AAAAAHbHZ2Q=",0)</f>
        <v>#REF!</v>
      </c>
      <c r="CX187" t="e">
        <f>IF(#REF!,"AAAAAHbHZ2U=",0)</f>
        <v>#REF!</v>
      </c>
      <c r="CY187" t="e">
        <f>IF(#REF!,"AAAAAHbHZ2Y=",0)</f>
        <v>#REF!</v>
      </c>
      <c r="CZ187" t="e">
        <f>IF(#REF!,"AAAAAHbHZ2c=",0)</f>
        <v>#REF!</v>
      </c>
      <c r="DA187" t="e">
        <f>IF(#REF!,"AAAAAHbHZ2g=",0)</f>
        <v>#REF!</v>
      </c>
      <c r="DB187" t="e">
        <f>IF(#REF!,"AAAAAHbHZ2k=",0)</f>
        <v>#REF!</v>
      </c>
      <c r="DC187" t="e">
        <f>IF(#REF!,"AAAAAHbHZ2o=",0)</f>
        <v>#REF!</v>
      </c>
      <c r="DD187" t="e">
        <f>IF(#REF!,"AAAAAHbHZ2s=",0)</f>
        <v>#REF!</v>
      </c>
      <c r="DE187" t="e">
        <f>IF(#REF!,"AAAAAHbHZ2w=",0)</f>
        <v>#REF!</v>
      </c>
      <c r="DF187" t="e">
        <f>IF(#REF!,"AAAAAHbHZ20=",0)</f>
        <v>#REF!</v>
      </c>
      <c r="DG187" t="e">
        <f>IF(#REF!,"AAAAAHbHZ24=",0)</f>
        <v>#REF!</v>
      </c>
      <c r="DH187" t="e">
        <f>IF(#REF!,"AAAAAHbHZ28=",0)</f>
        <v>#REF!</v>
      </c>
      <c r="DI187" t="e">
        <f>IF(#REF!,"AAAAAHbHZ3A=",0)</f>
        <v>#REF!</v>
      </c>
      <c r="DJ187" t="e">
        <f>IF(#REF!,"AAAAAHbHZ3E=",0)</f>
        <v>#REF!</v>
      </c>
      <c r="DK187" t="e">
        <f>IF(#REF!,"AAAAAHbHZ3I=",0)</f>
        <v>#REF!</v>
      </c>
      <c r="DL187" t="e">
        <f>IF(#REF!,"AAAAAHbHZ3M=",0)</f>
        <v>#REF!</v>
      </c>
      <c r="DM187" t="e">
        <f>IF(#REF!,"AAAAAHbHZ3Q=",0)</f>
        <v>#REF!</v>
      </c>
      <c r="DN187" t="e">
        <f>IF(#REF!,"AAAAAHbHZ3U=",0)</f>
        <v>#REF!</v>
      </c>
      <c r="DO187" t="e">
        <f>IF(#REF!,"AAAAAHbHZ3Y=",0)</f>
        <v>#REF!</v>
      </c>
      <c r="DP187" t="e">
        <f>IF(#REF!,"AAAAAHbHZ3c=",0)</f>
        <v>#REF!</v>
      </c>
      <c r="DQ187" t="e">
        <f>IF(#REF!,"AAAAAHbHZ3g=",0)</f>
        <v>#REF!</v>
      </c>
      <c r="DR187" t="e">
        <f>IF(#REF!,"AAAAAHbHZ3k=",0)</f>
        <v>#REF!</v>
      </c>
      <c r="DS187" t="e">
        <f>IF(#REF!,"AAAAAHbHZ3o=",0)</f>
        <v>#REF!</v>
      </c>
      <c r="DT187" t="e">
        <f>IF(#REF!,"AAAAAHbHZ3s=",0)</f>
        <v>#REF!</v>
      </c>
      <c r="DU187" t="e">
        <f>IF(#REF!,"AAAAAHbHZ3w=",0)</f>
        <v>#REF!</v>
      </c>
      <c r="DV187" t="e">
        <f>IF(#REF!,"AAAAAHbHZ30=",0)</f>
        <v>#REF!</v>
      </c>
      <c r="DW187" t="e">
        <f>IF(#REF!,"AAAAAHbHZ34=",0)</f>
        <v>#REF!</v>
      </c>
      <c r="DX187" t="e">
        <f>IF(#REF!,"AAAAAHbHZ38=",0)</f>
        <v>#REF!</v>
      </c>
      <c r="DY187" t="e">
        <f>IF(#REF!,"AAAAAHbHZ4A=",0)</f>
        <v>#REF!</v>
      </c>
      <c r="DZ187" t="e">
        <f>IF(#REF!,"AAAAAHbHZ4E=",0)</f>
        <v>#REF!</v>
      </c>
      <c r="EA187" t="e">
        <f>IF(#REF!,"AAAAAHbHZ4I=",0)</f>
        <v>#REF!</v>
      </c>
      <c r="EB187" t="e">
        <f>IF(#REF!,"AAAAAHbHZ4M=",0)</f>
        <v>#REF!</v>
      </c>
      <c r="EC187" t="e">
        <f>IF(#REF!,"AAAAAHbHZ4Q=",0)</f>
        <v>#REF!</v>
      </c>
      <c r="ED187" t="e">
        <f>IF(#REF!,"AAAAAHbHZ4U=",0)</f>
        <v>#REF!</v>
      </c>
      <c r="EE187" t="e">
        <f>IF(#REF!,"AAAAAHbHZ4Y=",0)</f>
        <v>#REF!</v>
      </c>
      <c r="EF187" t="e">
        <f>IF(#REF!,"AAAAAHbHZ4c=",0)</f>
        <v>#REF!</v>
      </c>
      <c r="EG187" t="e">
        <f>IF(#REF!,"AAAAAHbHZ4g=",0)</f>
        <v>#REF!</v>
      </c>
      <c r="EH187" t="e">
        <f>IF(#REF!,"AAAAAHbHZ4k=",0)</f>
        <v>#REF!</v>
      </c>
      <c r="EI187" t="e">
        <f>IF(#REF!,"AAAAAHbHZ4o=",0)</f>
        <v>#REF!</v>
      </c>
      <c r="EJ187" t="e">
        <f>IF(#REF!,"AAAAAHbHZ4s=",0)</f>
        <v>#REF!</v>
      </c>
      <c r="EK187" t="e">
        <f>IF(#REF!,"AAAAAHbHZ4w=",0)</f>
        <v>#REF!</v>
      </c>
      <c r="EL187" t="e">
        <f>IF(#REF!,"AAAAAHbHZ40=",0)</f>
        <v>#REF!</v>
      </c>
      <c r="EM187" t="e">
        <f>IF(#REF!,"AAAAAHbHZ44=",0)</f>
        <v>#REF!</v>
      </c>
      <c r="EN187" t="e">
        <f>IF(#REF!,"AAAAAHbHZ48=",0)</f>
        <v>#REF!</v>
      </c>
      <c r="EO187" t="e">
        <f>IF(#REF!,"AAAAAHbHZ5A=",0)</f>
        <v>#REF!</v>
      </c>
      <c r="EP187" t="e">
        <f>IF(#REF!,"AAAAAHbHZ5E=",0)</f>
        <v>#REF!</v>
      </c>
      <c r="EQ187" t="e">
        <f>IF(#REF!,"AAAAAHbHZ5I=",0)</f>
        <v>#REF!</v>
      </c>
      <c r="ER187" t="e">
        <f>IF(#REF!,"AAAAAHbHZ5M=",0)</f>
        <v>#REF!</v>
      </c>
      <c r="ES187" t="e">
        <f>IF(#REF!,"AAAAAHbHZ5Q=",0)</f>
        <v>#REF!</v>
      </c>
      <c r="ET187" t="e">
        <f>IF(#REF!,"AAAAAHbHZ5U=",0)</f>
        <v>#REF!</v>
      </c>
      <c r="EU187" t="e">
        <f>IF(#REF!,"AAAAAHbHZ5Y=",0)</f>
        <v>#REF!</v>
      </c>
      <c r="EV187" t="e">
        <f>IF(#REF!,"AAAAAHbHZ5c=",0)</f>
        <v>#REF!</v>
      </c>
      <c r="EW187" t="e">
        <f>IF(#REF!,"AAAAAHbHZ5g=",0)</f>
        <v>#REF!</v>
      </c>
      <c r="EX187" t="e">
        <f>IF(#REF!,"AAAAAHbHZ5k=",0)</f>
        <v>#REF!</v>
      </c>
      <c r="EY187" t="e">
        <f>IF(#REF!,"AAAAAHbHZ5o=",0)</f>
        <v>#REF!</v>
      </c>
      <c r="EZ187" t="e">
        <f>IF(#REF!,"AAAAAHbHZ5s=",0)</f>
        <v>#REF!</v>
      </c>
      <c r="FA187" t="e">
        <f>IF(#REF!,"AAAAAHbHZ5w=",0)</f>
        <v>#REF!</v>
      </c>
      <c r="FB187" t="e">
        <f>IF(#REF!,"AAAAAHbHZ50=",0)</f>
        <v>#REF!</v>
      </c>
      <c r="FC187" t="e">
        <f>IF(#REF!,"AAAAAHbHZ54=",0)</f>
        <v>#REF!</v>
      </c>
      <c r="FD187" t="e">
        <f>IF(#REF!,"AAAAAHbHZ58=",0)</f>
        <v>#REF!</v>
      </c>
      <c r="FE187" t="e">
        <f>IF(#REF!,"AAAAAHbHZ6A=",0)</f>
        <v>#REF!</v>
      </c>
      <c r="FF187" t="e">
        <f>IF(#REF!,"AAAAAHbHZ6E=",0)</f>
        <v>#REF!</v>
      </c>
      <c r="FG187" t="e">
        <f>IF(#REF!,"AAAAAHbHZ6I=",0)</f>
        <v>#REF!</v>
      </c>
      <c r="FH187" t="e">
        <f>IF(#REF!,"AAAAAHbHZ6M=",0)</f>
        <v>#REF!</v>
      </c>
      <c r="FI187" t="e">
        <f>IF(#REF!,"AAAAAHbHZ6Q=",0)</f>
        <v>#REF!</v>
      </c>
      <c r="FJ187" t="e">
        <f>IF(#REF!,"AAAAAHbHZ6U=",0)</f>
        <v>#REF!</v>
      </c>
      <c r="FK187" t="e">
        <f>IF(#REF!,"AAAAAHbHZ6Y=",0)</f>
        <v>#REF!</v>
      </c>
      <c r="FL187" t="e">
        <f>IF(#REF!,"AAAAAHbHZ6c=",0)</f>
        <v>#REF!</v>
      </c>
      <c r="FM187" t="e">
        <f>IF(#REF!,"AAAAAHbHZ6g=",0)</f>
        <v>#REF!</v>
      </c>
      <c r="FN187" t="e">
        <f>IF(#REF!,"AAAAAHbHZ6k=",0)</f>
        <v>#REF!</v>
      </c>
      <c r="FO187" t="e">
        <f>IF(#REF!,"AAAAAHbHZ6o=",0)</f>
        <v>#REF!</v>
      </c>
      <c r="FP187" t="e">
        <f>IF(#REF!,"AAAAAHbHZ6s=",0)</f>
        <v>#REF!</v>
      </c>
      <c r="FQ187" t="e">
        <f>IF(#REF!,"AAAAAHbHZ6w=",0)</f>
        <v>#REF!</v>
      </c>
      <c r="FR187" t="e">
        <f>IF(#REF!,"AAAAAHbHZ60=",0)</f>
        <v>#REF!</v>
      </c>
      <c r="FS187" t="e">
        <f>IF(#REF!,"AAAAAHbHZ64=",0)</f>
        <v>#REF!</v>
      </c>
      <c r="FT187" t="e">
        <f>IF(#REF!,"AAAAAHbHZ68=",0)</f>
        <v>#REF!</v>
      </c>
      <c r="FU187" t="e">
        <f>IF(#REF!,"AAAAAHbHZ7A=",0)</f>
        <v>#REF!</v>
      </c>
      <c r="FV187" t="e">
        <f>IF(#REF!,"AAAAAHbHZ7E=",0)</f>
        <v>#REF!</v>
      </c>
      <c r="FW187" t="e">
        <f>IF(#REF!,"AAAAAHbHZ7I=",0)</f>
        <v>#REF!</v>
      </c>
      <c r="FX187" t="e">
        <f>IF(#REF!,"AAAAAHbHZ7M=",0)</f>
        <v>#REF!</v>
      </c>
      <c r="FY187" t="e">
        <f>IF(#REF!,"AAAAAHbHZ7Q=",0)</f>
        <v>#REF!</v>
      </c>
      <c r="FZ187" t="e">
        <f>IF(#REF!,"AAAAAHbHZ7U=",0)</f>
        <v>#REF!</v>
      </c>
      <c r="GA187" t="e">
        <f>IF(#REF!,"AAAAAHbHZ7Y=",0)</f>
        <v>#REF!</v>
      </c>
      <c r="GB187" t="e">
        <f>IF(#REF!,"AAAAAHbHZ7c=",0)</f>
        <v>#REF!</v>
      </c>
      <c r="GC187" t="e">
        <f>IF(#REF!,"AAAAAHbHZ7g=",0)</f>
        <v>#REF!</v>
      </c>
      <c r="GD187" t="e">
        <f>IF(#REF!,"AAAAAHbHZ7k=",0)</f>
        <v>#REF!</v>
      </c>
      <c r="GE187" t="e">
        <f>IF(#REF!,"AAAAAHbHZ7o=",0)</f>
        <v>#REF!</v>
      </c>
      <c r="GF187" t="e">
        <f>IF(#REF!,"AAAAAHbHZ7s=",0)</f>
        <v>#REF!</v>
      </c>
      <c r="GG187" t="e">
        <f>IF(#REF!,"AAAAAHbHZ7w=",0)</f>
        <v>#REF!</v>
      </c>
      <c r="GH187" t="e">
        <f>IF(#REF!,"AAAAAHbHZ70=",0)</f>
        <v>#REF!</v>
      </c>
      <c r="GI187" t="e">
        <f>IF(#REF!,"AAAAAHbHZ74=",0)</f>
        <v>#REF!</v>
      </c>
      <c r="GJ187" t="e">
        <f>IF(#REF!,"AAAAAHbHZ78=",0)</f>
        <v>#REF!</v>
      </c>
      <c r="GK187" t="e">
        <f>IF(#REF!,"AAAAAHbHZ8A=",0)</f>
        <v>#REF!</v>
      </c>
      <c r="GL187" t="e">
        <f>IF(#REF!,"AAAAAHbHZ8E=",0)</f>
        <v>#REF!</v>
      </c>
      <c r="GM187" t="e">
        <f>IF(#REF!,"AAAAAHbHZ8I=",0)</f>
        <v>#REF!</v>
      </c>
      <c r="GN187" t="e">
        <f>IF(#REF!,"AAAAAHbHZ8M=",0)</f>
        <v>#REF!</v>
      </c>
      <c r="GO187" t="e">
        <f>IF(#REF!,"AAAAAHbHZ8Q=",0)</f>
        <v>#REF!</v>
      </c>
      <c r="GP187" t="e">
        <f>IF(#REF!,"AAAAAHbHZ8U=",0)</f>
        <v>#REF!</v>
      </c>
      <c r="GQ187" t="e">
        <f>IF(#REF!,"AAAAAHbHZ8Y=",0)</f>
        <v>#REF!</v>
      </c>
      <c r="GR187" t="e">
        <f>IF(#REF!,"AAAAAHbHZ8c=",0)</f>
        <v>#REF!</v>
      </c>
      <c r="GS187" t="e">
        <f>IF(#REF!,"AAAAAHbHZ8g=",0)</f>
        <v>#REF!</v>
      </c>
      <c r="GT187" t="e">
        <f>IF(#REF!,"AAAAAHbHZ8k=",0)</f>
        <v>#REF!</v>
      </c>
      <c r="GU187" t="e">
        <f>IF(#REF!,"AAAAAHbHZ8o=",0)</f>
        <v>#REF!</v>
      </c>
      <c r="GV187" t="e">
        <f>IF(#REF!,"AAAAAHbHZ8s=",0)</f>
        <v>#REF!</v>
      </c>
      <c r="GW187" t="e">
        <f>IF(#REF!,"AAAAAHbHZ8w=",0)</f>
        <v>#REF!</v>
      </c>
      <c r="GX187" t="e">
        <f>IF(#REF!,"AAAAAHbHZ80=",0)</f>
        <v>#REF!</v>
      </c>
      <c r="GY187" t="e">
        <f>IF(#REF!,"AAAAAHbHZ84=",0)</f>
        <v>#REF!</v>
      </c>
      <c r="GZ187" t="e">
        <f>IF(#REF!,"AAAAAHbHZ88=",0)</f>
        <v>#REF!</v>
      </c>
      <c r="HA187" t="e">
        <f>IF(#REF!,"AAAAAHbHZ9A=",0)</f>
        <v>#REF!</v>
      </c>
      <c r="HB187" t="e">
        <f>IF(#REF!,"AAAAAHbHZ9E=",0)</f>
        <v>#REF!</v>
      </c>
      <c r="HC187" t="e">
        <f>IF(#REF!,"AAAAAHbHZ9I=",0)</f>
        <v>#REF!</v>
      </c>
      <c r="HD187" t="e">
        <f>IF(#REF!,"AAAAAHbHZ9M=",0)</f>
        <v>#REF!</v>
      </c>
      <c r="HE187" t="e">
        <f>IF(#REF!,"AAAAAHbHZ9Q=",0)</f>
        <v>#REF!</v>
      </c>
      <c r="HF187" t="e">
        <f>IF(#REF!,"AAAAAHbHZ9U=",0)</f>
        <v>#REF!</v>
      </c>
      <c r="HG187" t="e">
        <f>IF(#REF!,"AAAAAHbHZ9Y=",0)</f>
        <v>#REF!</v>
      </c>
      <c r="HH187" t="e">
        <f>IF(#REF!,"AAAAAHbHZ9c=",0)</f>
        <v>#REF!</v>
      </c>
      <c r="HI187" t="e">
        <f>IF(#REF!,"AAAAAHbHZ9g=",0)</f>
        <v>#REF!</v>
      </c>
      <c r="HJ187" t="e">
        <f>IF(#REF!,"AAAAAHbHZ9k=",0)</f>
        <v>#REF!</v>
      </c>
      <c r="HK187" t="e">
        <f>IF(#REF!,"AAAAAHbHZ9o=",0)</f>
        <v>#REF!</v>
      </c>
      <c r="HL187" t="e">
        <f>IF(#REF!,"AAAAAHbHZ9s=",0)</f>
        <v>#REF!</v>
      </c>
      <c r="HM187" t="e">
        <f>IF(#REF!,"AAAAAHbHZ9w=",0)</f>
        <v>#REF!</v>
      </c>
      <c r="HN187" t="e">
        <f>IF(#REF!,"AAAAAHbHZ90=",0)</f>
        <v>#REF!</v>
      </c>
      <c r="HO187" t="e">
        <f>IF(#REF!,"AAAAAHbHZ94=",0)</f>
        <v>#REF!</v>
      </c>
      <c r="HP187" t="e">
        <f>IF(#REF!,"AAAAAHbHZ98=",0)</f>
        <v>#REF!</v>
      </c>
      <c r="HQ187" t="e">
        <f>IF(#REF!,"AAAAAHbHZ+A=",0)</f>
        <v>#REF!</v>
      </c>
      <c r="HR187" t="e">
        <f>IF(#REF!,"AAAAAHbHZ+E=",0)</f>
        <v>#REF!</v>
      </c>
      <c r="HS187" t="e">
        <f>IF(#REF!,"AAAAAHbHZ+I=",0)</f>
        <v>#REF!</v>
      </c>
      <c r="HT187" t="e">
        <f>IF(#REF!,"AAAAAHbHZ+M=",0)</f>
        <v>#REF!</v>
      </c>
      <c r="HU187" t="e">
        <f>IF(#REF!,"AAAAAHbHZ+Q=",0)</f>
        <v>#REF!</v>
      </c>
      <c r="HV187" t="e">
        <f>IF(#REF!,"AAAAAHbHZ+U=",0)</f>
        <v>#REF!</v>
      </c>
      <c r="HW187" t="e">
        <f>IF(#REF!,"AAAAAHbHZ+Y=",0)</f>
        <v>#REF!</v>
      </c>
      <c r="HX187" t="e">
        <f>IF(#REF!,"AAAAAHbHZ+c=",0)</f>
        <v>#REF!</v>
      </c>
      <c r="HY187" t="e">
        <f>IF(#REF!,"AAAAAHbHZ+g=",0)</f>
        <v>#REF!</v>
      </c>
      <c r="HZ187" t="e">
        <f>IF(#REF!,"AAAAAHbHZ+k=",0)</f>
        <v>#REF!</v>
      </c>
      <c r="IA187" t="e">
        <f>IF(#REF!,"AAAAAHbHZ+o=",0)</f>
        <v>#REF!</v>
      </c>
      <c r="IB187" t="e">
        <f>IF(#REF!,"AAAAAHbHZ+s=",0)</f>
        <v>#REF!</v>
      </c>
      <c r="IC187" t="e">
        <f>IF(#REF!,"AAAAAHbHZ+w=",0)</f>
        <v>#REF!</v>
      </c>
      <c r="ID187" t="e">
        <f>IF(#REF!,"AAAAAHbHZ+0=",0)</f>
        <v>#REF!</v>
      </c>
      <c r="IE187" t="e">
        <f>IF(#REF!,"AAAAAHbHZ+4=",0)</f>
        <v>#REF!</v>
      </c>
      <c r="IF187" t="e">
        <f>IF(#REF!,"AAAAAHbHZ+8=",0)</f>
        <v>#REF!</v>
      </c>
      <c r="IG187" t="e">
        <f>IF(#REF!,"AAAAAHbHZ/A=",0)</f>
        <v>#REF!</v>
      </c>
      <c r="IH187" t="e">
        <f>IF(#REF!,"AAAAAHbHZ/E=",0)</f>
        <v>#REF!</v>
      </c>
      <c r="II187" t="e">
        <f>IF(#REF!,"AAAAAHbHZ/I=",0)</f>
        <v>#REF!</v>
      </c>
      <c r="IJ187" t="e">
        <f>IF(#REF!,"AAAAAHbHZ/M=",0)</f>
        <v>#REF!</v>
      </c>
      <c r="IK187" t="e">
        <f>IF(#REF!,"AAAAAHbHZ/Q=",0)</f>
        <v>#REF!</v>
      </c>
      <c r="IL187" t="e">
        <f>IF(#REF!,"AAAAAHbHZ/U=",0)</f>
        <v>#REF!</v>
      </c>
      <c r="IM187" t="e">
        <f>IF(#REF!,"AAAAAHbHZ/Y=",0)</f>
        <v>#REF!</v>
      </c>
      <c r="IN187" t="e">
        <f>IF(#REF!,"AAAAAHbHZ/c=",0)</f>
        <v>#REF!</v>
      </c>
      <c r="IO187" t="e">
        <f>IF(#REF!,"AAAAAHbHZ/g=",0)</f>
        <v>#REF!</v>
      </c>
      <c r="IP187" t="e">
        <f>IF(#REF!,"AAAAAHbHZ/k=",0)</f>
        <v>#REF!</v>
      </c>
      <c r="IQ187" t="e">
        <f>IF(#REF!,"AAAAAHbHZ/o=",0)</f>
        <v>#REF!</v>
      </c>
      <c r="IR187" t="e">
        <f>IF(#REF!,"AAAAAHbHZ/s=",0)</f>
        <v>#REF!</v>
      </c>
      <c r="IS187" t="e">
        <f>IF(#REF!,"AAAAAHbHZ/w=",0)</f>
        <v>#REF!</v>
      </c>
      <c r="IT187" t="e">
        <f>IF(#REF!,"AAAAAHbHZ/0=",0)</f>
        <v>#REF!</v>
      </c>
      <c r="IU187" t="e">
        <f>IF(#REF!,"AAAAAHbHZ/4=",0)</f>
        <v>#REF!</v>
      </c>
      <c r="IV187" t="e">
        <f>IF(#REF!,"AAAAAHbHZ/8=",0)</f>
        <v>#REF!</v>
      </c>
    </row>
    <row r="188" spans="1:256">
      <c r="A188" t="e">
        <f>IF(#REF!,"AAAAAHWavQA=",0)</f>
        <v>#REF!</v>
      </c>
      <c r="B188" t="e">
        <f>IF(#REF!,"AAAAAHWavQE=",0)</f>
        <v>#REF!</v>
      </c>
      <c r="C188" t="e">
        <f>IF(#REF!,"AAAAAHWavQI=",0)</f>
        <v>#REF!</v>
      </c>
      <c r="D188" t="e">
        <f>IF(#REF!,"AAAAAHWavQM=",0)</f>
        <v>#REF!</v>
      </c>
      <c r="E188" t="e">
        <f>IF(#REF!,"AAAAAHWavQQ=",0)</f>
        <v>#REF!</v>
      </c>
      <c r="F188" t="e">
        <f>IF(#REF!,"AAAAAHWavQU=",0)</f>
        <v>#REF!</v>
      </c>
      <c r="G188" t="e">
        <f>IF(#REF!,"AAAAAHWavQY=",0)</f>
        <v>#REF!</v>
      </c>
      <c r="H188" t="e">
        <f>IF(#REF!,"AAAAAHWavQc=",0)</f>
        <v>#REF!</v>
      </c>
      <c r="I188" t="e">
        <f>IF(#REF!,"AAAAAHWavQg=",0)</f>
        <v>#REF!</v>
      </c>
      <c r="J188" t="e">
        <f>IF(#REF!,"AAAAAHWavQk=",0)</f>
        <v>#REF!</v>
      </c>
      <c r="K188" t="e">
        <f>IF(#REF!,"AAAAAHWavQo=",0)</f>
        <v>#REF!</v>
      </c>
      <c r="L188" t="e">
        <f>IF(#REF!,"AAAAAHWavQs=",0)</f>
        <v>#REF!</v>
      </c>
      <c r="M188" t="e">
        <f>IF(#REF!,"AAAAAHWavQw=",0)</f>
        <v>#REF!</v>
      </c>
      <c r="N188" t="e">
        <f>IF(#REF!,"AAAAAHWavQ0=",0)</f>
        <v>#REF!</v>
      </c>
      <c r="O188" t="e">
        <f>IF(#REF!,"AAAAAHWavQ4=",0)</f>
        <v>#REF!</v>
      </c>
      <c r="P188" t="e">
        <f>IF(#REF!,"AAAAAHWavQ8=",0)</f>
        <v>#REF!</v>
      </c>
      <c r="Q188" t="e">
        <f>IF(#REF!,"AAAAAHWavRA=",0)</f>
        <v>#REF!</v>
      </c>
      <c r="R188" t="e">
        <f>IF(#REF!,"AAAAAHWavRE=",0)</f>
        <v>#REF!</v>
      </c>
      <c r="S188" t="e">
        <f>IF(#REF!,"AAAAAHWavRI=",0)</f>
        <v>#REF!</v>
      </c>
      <c r="T188" t="e">
        <f>IF(#REF!,"AAAAAHWavRM=",0)</f>
        <v>#REF!</v>
      </c>
      <c r="U188" t="e">
        <f>IF(#REF!,"AAAAAHWavRQ=",0)</f>
        <v>#REF!</v>
      </c>
      <c r="V188" t="e">
        <f>IF(#REF!,"AAAAAHWavRU=",0)</f>
        <v>#REF!</v>
      </c>
      <c r="W188" t="e">
        <f>IF(#REF!,"AAAAAHWavRY=",0)</f>
        <v>#REF!</v>
      </c>
      <c r="X188" t="e">
        <f>IF(#REF!,"AAAAAHWavRc=",0)</f>
        <v>#REF!</v>
      </c>
      <c r="Y188" t="e">
        <f>IF(#REF!,"AAAAAHWavRg=",0)</f>
        <v>#REF!</v>
      </c>
      <c r="Z188" t="e">
        <f>IF(#REF!,"AAAAAHWavRk=",0)</f>
        <v>#REF!</v>
      </c>
      <c r="AA188" t="e">
        <f>IF(#REF!,"AAAAAHWavRo=",0)</f>
        <v>#REF!</v>
      </c>
      <c r="AB188" t="e">
        <f>IF(#REF!,"AAAAAHWavRs=",0)</f>
        <v>#REF!</v>
      </c>
      <c r="AC188" t="e">
        <f>IF(#REF!,"AAAAAHWavRw=",0)</f>
        <v>#REF!</v>
      </c>
      <c r="AD188" t="e">
        <f>IF(#REF!,"AAAAAHWavR0=",0)</f>
        <v>#REF!</v>
      </c>
      <c r="AE188" t="e">
        <f>IF(#REF!,"AAAAAHWavR4=",0)</f>
        <v>#REF!</v>
      </c>
      <c r="AF188" t="e">
        <f>IF(#REF!,"AAAAAHWavR8=",0)</f>
        <v>#REF!</v>
      </c>
      <c r="AG188" t="e">
        <f>IF(#REF!,"AAAAAHWavSA=",0)</f>
        <v>#REF!</v>
      </c>
      <c r="AH188" t="e">
        <f>IF(#REF!,"AAAAAHWavSE=",0)</f>
        <v>#REF!</v>
      </c>
      <c r="AI188" t="e">
        <f>IF(#REF!,"AAAAAHWavSI=",0)</f>
        <v>#REF!</v>
      </c>
      <c r="AJ188" t="e">
        <f>IF(#REF!,"AAAAAHWavSM=",0)</f>
        <v>#REF!</v>
      </c>
      <c r="AK188" t="e">
        <f>IF(#REF!,"AAAAAHWavSQ=",0)</f>
        <v>#REF!</v>
      </c>
      <c r="AL188" t="e">
        <f>IF(#REF!,"AAAAAHWavSU=",0)</f>
        <v>#REF!</v>
      </c>
      <c r="AM188" t="e">
        <f>IF(#REF!,"AAAAAHWavSY=",0)</f>
        <v>#REF!</v>
      </c>
      <c r="AN188" t="e">
        <f>IF(#REF!,"AAAAAHWavSc=",0)</f>
        <v>#REF!</v>
      </c>
      <c r="AO188" t="e">
        <f>IF(#REF!,"AAAAAHWavSg=",0)</f>
        <v>#REF!</v>
      </c>
      <c r="AP188" t="e">
        <f>IF(#REF!,"AAAAAHWavSk=",0)</f>
        <v>#REF!</v>
      </c>
      <c r="AQ188" t="e">
        <f>IF(#REF!,"AAAAAHWavSo=",0)</f>
        <v>#REF!</v>
      </c>
      <c r="AR188" t="e">
        <f>IF(#REF!,"AAAAAHWavSs=",0)</f>
        <v>#REF!</v>
      </c>
      <c r="AS188" t="e">
        <f>IF(#REF!,"AAAAAHWavSw=",0)</f>
        <v>#REF!</v>
      </c>
      <c r="AT188" t="e">
        <f>IF(#REF!,"AAAAAHWavS0=",0)</f>
        <v>#REF!</v>
      </c>
      <c r="AU188" t="e">
        <f>IF(#REF!,"AAAAAHWavS4=",0)</f>
        <v>#REF!</v>
      </c>
      <c r="AV188" t="e">
        <f>IF(#REF!,"AAAAAHWavS8=",0)</f>
        <v>#REF!</v>
      </c>
      <c r="AW188" t="e">
        <f>IF(#REF!,"AAAAAHWavTA=",0)</f>
        <v>#REF!</v>
      </c>
      <c r="AX188" t="e">
        <f>IF(#REF!,"AAAAAHWavTE=",0)</f>
        <v>#REF!</v>
      </c>
      <c r="AY188" t="e">
        <f>IF(#REF!,"AAAAAHWavTI=",0)</f>
        <v>#REF!</v>
      </c>
      <c r="AZ188" t="e">
        <f>IF(#REF!,"AAAAAHWavTM=",0)</f>
        <v>#REF!</v>
      </c>
      <c r="BA188" t="e">
        <f>IF(#REF!,"AAAAAHWavTQ=",0)</f>
        <v>#REF!</v>
      </c>
      <c r="BB188" t="e">
        <f>IF(#REF!,"AAAAAHWavTU=",0)</f>
        <v>#REF!</v>
      </c>
      <c r="BC188" t="e">
        <f>IF(#REF!,"AAAAAHWavTY=",0)</f>
        <v>#REF!</v>
      </c>
      <c r="BD188" t="e">
        <f>IF(#REF!,"AAAAAHWavTc=",0)</f>
        <v>#REF!</v>
      </c>
      <c r="BE188" t="e">
        <f>IF(#REF!,"AAAAAHWavTg=",0)</f>
        <v>#REF!</v>
      </c>
      <c r="BF188" t="e">
        <f>IF(#REF!,"AAAAAHWavTk=",0)</f>
        <v>#REF!</v>
      </c>
      <c r="BG188" t="e">
        <f>IF(#REF!,"AAAAAHWavTo=",0)</f>
        <v>#REF!</v>
      </c>
      <c r="BH188" t="e">
        <f>IF(#REF!,"AAAAAHWavTs=",0)</f>
        <v>#REF!</v>
      </c>
      <c r="BI188" t="e">
        <f>IF(#REF!,"AAAAAHWavTw=",0)</f>
        <v>#REF!</v>
      </c>
      <c r="BJ188" t="e">
        <f>IF(#REF!,"AAAAAHWavT0=",0)</f>
        <v>#REF!</v>
      </c>
      <c r="BK188" t="e">
        <f>IF(#REF!,"AAAAAHWavT4=",0)</f>
        <v>#REF!</v>
      </c>
      <c r="BL188" t="e">
        <f>IF(#REF!,"AAAAAHWavT8=",0)</f>
        <v>#REF!</v>
      </c>
      <c r="BM188" t="e">
        <f>IF(#REF!,"AAAAAHWavUA=",0)</f>
        <v>#REF!</v>
      </c>
      <c r="BN188" t="e">
        <f>IF(#REF!,"AAAAAHWavUE=",0)</f>
        <v>#REF!</v>
      </c>
      <c r="BO188" t="e">
        <f>IF(#REF!,"AAAAAHWavUI=",0)</f>
        <v>#REF!</v>
      </c>
      <c r="BP188" t="e">
        <f>IF(#REF!,"AAAAAHWavUM=",0)</f>
        <v>#REF!</v>
      </c>
      <c r="BQ188" t="e">
        <f>IF(#REF!,"AAAAAHWavUQ=",0)</f>
        <v>#REF!</v>
      </c>
      <c r="BR188" t="e">
        <f>IF(#REF!,"AAAAAHWavUU=",0)</f>
        <v>#REF!</v>
      </c>
      <c r="BS188" t="e">
        <f>IF(#REF!,"AAAAAHWavUY=",0)</f>
        <v>#REF!</v>
      </c>
      <c r="BT188" t="e">
        <f>IF(#REF!,"AAAAAHWavUc=",0)</f>
        <v>#REF!</v>
      </c>
      <c r="BU188" t="e">
        <f>IF(#REF!,"AAAAAHWavUg=",0)</f>
        <v>#REF!</v>
      </c>
      <c r="BV188" t="e">
        <f>IF(#REF!,"AAAAAHWavUk=",0)</f>
        <v>#REF!</v>
      </c>
      <c r="BW188" t="e">
        <f>IF(#REF!,"AAAAAHWavUo=",0)</f>
        <v>#REF!</v>
      </c>
      <c r="BX188" t="e">
        <f>IF(#REF!,"AAAAAHWavUs=",0)</f>
        <v>#REF!</v>
      </c>
      <c r="BY188" t="e">
        <f>IF(#REF!,"AAAAAHWavUw=",0)</f>
        <v>#REF!</v>
      </c>
      <c r="BZ188" t="e">
        <f>IF(#REF!,"AAAAAHWavU0=",0)</f>
        <v>#REF!</v>
      </c>
      <c r="CA188" t="e">
        <f>IF(#REF!,"AAAAAHWavU4=",0)</f>
        <v>#REF!</v>
      </c>
      <c r="CB188" t="e">
        <f>IF(#REF!,"AAAAAHWavU8=",0)</f>
        <v>#REF!</v>
      </c>
      <c r="CC188" t="e">
        <f>IF(#REF!,"AAAAAHWavVA=",0)</f>
        <v>#REF!</v>
      </c>
      <c r="CD188" t="e">
        <f>IF(#REF!,"AAAAAHWavVE=",0)</f>
        <v>#REF!</v>
      </c>
      <c r="CE188" t="e">
        <f>IF(#REF!,"AAAAAHWavVI=",0)</f>
        <v>#REF!</v>
      </c>
      <c r="CF188" t="e">
        <f>IF(#REF!,"AAAAAHWavVM=",0)</f>
        <v>#REF!</v>
      </c>
      <c r="CG188" t="e">
        <f>IF(#REF!,"AAAAAHWavVQ=",0)</f>
        <v>#REF!</v>
      </c>
      <c r="CH188" t="e">
        <f>IF(#REF!,"AAAAAHWavVU=",0)</f>
        <v>#REF!</v>
      </c>
      <c r="CI188" t="e">
        <f>IF(#REF!,"AAAAAHWavVY=",0)</f>
        <v>#REF!</v>
      </c>
      <c r="CJ188" t="e">
        <f>IF(#REF!,"AAAAAHWavVc=",0)</f>
        <v>#REF!</v>
      </c>
      <c r="CK188" t="e">
        <f>IF(#REF!,"AAAAAHWavVg=",0)</f>
        <v>#REF!</v>
      </c>
      <c r="CL188" t="e">
        <f>IF(#REF!,"AAAAAHWavVk=",0)</f>
        <v>#REF!</v>
      </c>
      <c r="CM188" t="e">
        <f>IF(#REF!,"AAAAAHWavVo=",0)</f>
        <v>#REF!</v>
      </c>
      <c r="CN188" t="e">
        <f>IF(#REF!,"AAAAAHWavVs=",0)</f>
        <v>#REF!</v>
      </c>
      <c r="CO188" t="e">
        <f>IF(#REF!,"AAAAAHWavVw=",0)</f>
        <v>#REF!</v>
      </c>
      <c r="CP188" t="e">
        <f>IF(#REF!,"AAAAAHWavV0=",0)</f>
        <v>#REF!</v>
      </c>
      <c r="CQ188" t="e">
        <f>IF(#REF!,"AAAAAHWavV4=",0)</f>
        <v>#REF!</v>
      </c>
      <c r="CR188" t="e">
        <f>IF(#REF!,"AAAAAHWavV8=",0)</f>
        <v>#REF!</v>
      </c>
      <c r="CS188" t="e">
        <f>IF(#REF!,"AAAAAHWavWA=",0)</f>
        <v>#REF!</v>
      </c>
      <c r="CT188" t="e">
        <f>IF(#REF!,"AAAAAHWavWE=",0)</f>
        <v>#REF!</v>
      </c>
      <c r="CU188" t="e">
        <f>IF(#REF!,"AAAAAHWavWI=",0)</f>
        <v>#REF!</v>
      </c>
      <c r="CV188" t="e">
        <f>IF(#REF!,"AAAAAHWavWM=",0)</f>
        <v>#REF!</v>
      </c>
      <c r="CW188" t="e">
        <f>IF(#REF!,"AAAAAHWavWQ=",0)</f>
        <v>#REF!</v>
      </c>
      <c r="CX188" t="e">
        <f>IF(#REF!,"AAAAAHWavWU=",0)</f>
        <v>#REF!</v>
      </c>
      <c r="CY188" t="e">
        <f>IF(#REF!,"AAAAAHWavWY=",0)</f>
        <v>#REF!</v>
      </c>
      <c r="CZ188" t="e">
        <f>IF(#REF!,"AAAAAHWavWc=",0)</f>
        <v>#REF!</v>
      </c>
      <c r="DA188" t="e">
        <f>IF(#REF!,"AAAAAHWavWg=",0)</f>
        <v>#REF!</v>
      </c>
      <c r="DB188" t="e">
        <f>IF(#REF!,"AAAAAHWavWk=",0)</f>
        <v>#REF!</v>
      </c>
      <c r="DC188" t="e">
        <f>IF(#REF!,"AAAAAHWavWo=",0)</f>
        <v>#REF!</v>
      </c>
      <c r="DD188" t="e">
        <f>IF(#REF!,"AAAAAHWavWs=",0)</f>
        <v>#REF!</v>
      </c>
      <c r="DE188" t="e">
        <f>IF(#REF!,"AAAAAHWavWw=",0)</f>
        <v>#REF!</v>
      </c>
      <c r="DF188" t="e">
        <f>IF(#REF!,"AAAAAHWavW0=",0)</f>
        <v>#REF!</v>
      </c>
      <c r="DG188" t="e">
        <f>IF(#REF!,"AAAAAHWavW4=",0)</f>
        <v>#REF!</v>
      </c>
      <c r="DH188" t="e">
        <f>IF(#REF!,"AAAAAHWavW8=",0)</f>
        <v>#REF!</v>
      </c>
      <c r="DI188" t="e">
        <f>IF(#REF!,"AAAAAHWavXA=",0)</f>
        <v>#REF!</v>
      </c>
      <c r="DJ188" t="e">
        <f>IF(#REF!,"AAAAAHWavXE=",0)</f>
        <v>#REF!</v>
      </c>
      <c r="DK188" t="e">
        <f>IF(#REF!,"AAAAAHWavXI=",0)</f>
        <v>#REF!</v>
      </c>
      <c r="DL188" t="e">
        <f>IF(#REF!,"AAAAAHWavXM=",0)</f>
        <v>#REF!</v>
      </c>
      <c r="DM188" t="e">
        <f>IF(#REF!,"AAAAAHWavXQ=",0)</f>
        <v>#REF!</v>
      </c>
      <c r="DN188" t="e">
        <f>IF(#REF!,"AAAAAHWavXU=",0)</f>
        <v>#REF!</v>
      </c>
      <c r="DO188" t="e">
        <f>IF(#REF!,"AAAAAHWavXY=",0)</f>
        <v>#REF!</v>
      </c>
      <c r="DP188" t="e">
        <f>IF(#REF!,"AAAAAHWavXc=",0)</f>
        <v>#REF!</v>
      </c>
      <c r="DQ188" t="e">
        <f>IF(#REF!,"AAAAAHWavXg=",0)</f>
        <v>#REF!</v>
      </c>
      <c r="DR188" t="e">
        <f>IF(#REF!,"AAAAAHWavXk=",0)</f>
        <v>#REF!</v>
      </c>
      <c r="DS188" t="e">
        <f>IF(#REF!,"AAAAAHWavXo=",0)</f>
        <v>#REF!</v>
      </c>
      <c r="DT188" t="e">
        <f>IF(#REF!,"AAAAAHWavXs=",0)</f>
        <v>#REF!</v>
      </c>
      <c r="DU188" t="e">
        <f>IF(#REF!,"AAAAAHWavXw=",0)</f>
        <v>#REF!</v>
      </c>
      <c r="DV188" t="e">
        <f>IF(#REF!,"AAAAAHWavX0=",0)</f>
        <v>#REF!</v>
      </c>
      <c r="DW188" t="e">
        <f>IF(#REF!,"AAAAAHWavX4=",0)</f>
        <v>#REF!</v>
      </c>
      <c r="DX188" t="e">
        <f>IF(#REF!,"AAAAAHWavX8=",0)</f>
        <v>#REF!</v>
      </c>
      <c r="DY188" t="e">
        <f>IF(#REF!,"AAAAAHWavYA=",0)</f>
        <v>#REF!</v>
      </c>
      <c r="DZ188" t="e">
        <f>IF(#REF!,"AAAAAHWavYE=",0)</f>
        <v>#REF!</v>
      </c>
      <c r="EA188" t="e">
        <f>IF(#REF!,"AAAAAHWavYI=",0)</f>
        <v>#REF!</v>
      </c>
      <c r="EB188" t="e">
        <f>IF(#REF!,"AAAAAHWavYM=",0)</f>
        <v>#REF!</v>
      </c>
      <c r="EC188" t="e">
        <f>IF(#REF!,"AAAAAHWavYQ=",0)</f>
        <v>#REF!</v>
      </c>
      <c r="ED188" t="e">
        <f>IF(#REF!,"AAAAAHWavYU=",0)</f>
        <v>#REF!</v>
      </c>
      <c r="EE188" t="e">
        <f>IF(#REF!,"AAAAAHWavYY=",0)</f>
        <v>#REF!</v>
      </c>
      <c r="EF188" t="e">
        <f>IF(#REF!,"AAAAAHWavYc=",0)</f>
        <v>#REF!</v>
      </c>
      <c r="EG188" t="e">
        <f>IF(#REF!,"AAAAAHWavYg=",0)</f>
        <v>#REF!</v>
      </c>
      <c r="EH188" t="e">
        <f>IF(#REF!,"AAAAAHWavYk=",0)</f>
        <v>#REF!</v>
      </c>
      <c r="EI188" t="e">
        <f>IF(#REF!,"AAAAAHWavYo=",0)</f>
        <v>#REF!</v>
      </c>
      <c r="EJ188" t="e">
        <f>IF(#REF!,"AAAAAHWavYs=",0)</f>
        <v>#REF!</v>
      </c>
      <c r="EK188" t="e">
        <f>IF(#REF!,"AAAAAHWavYw=",0)</f>
        <v>#REF!</v>
      </c>
      <c r="EL188" t="e">
        <f>IF(#REF!,"AAAAAHWavY0=",0)</f>
        <v>#REF!</v>
      </c>
      <c r="EM188" t="e">
        <f>IF(#REF!,"AAAAAHWavY4=",0)</f>
        <v>#REF!</v>
      </c>
      <c r="EN188" t="e">
        <f>IF(#REF!,"AAAAAHWavY8=",0)</f>
        <v>#REF!</v>
      </c>
      <c r="EO188" t="e">
        <f>IF(#REF!,"AAAAAHWavZA=",0)</f>
        <v>#REF!</v>
      </c>
      <c r="EP188" t="e">
        <f>IF(#REF!,"AAAAAHWavZE=",0)</f>
        <v>#REF!</v>
      </c>
      <c r="EQ188" t="e">
        <f>IF(#REF!,"AAAAAHWavZI=",0)</f>
        <v>#REF!</v>
      </c>
      <c r="ER188" t="e">
        <f>IF(#REF!,"AAAAAHWavZM=",0)</f>
        <v>#REF!</v>
      </c>
      <c r="ES188" t="e">
        <f>IF(#REF!,"AAAAAHWavZQ=",0)</f>
        <v>#REF!</v>
      </c>
      <c r="ET188" t="e">
        <f>IF(#REF!,"AAAAAHWavZU=",0)</f>
        <v>#REF!</v>
      </c>
      <c r="EU188" t="e">
        <f>IF(#REF!,"AAAAAHWavZY=",0)</f>
        <v>#REF!</v>
      </c>
      <c r="EV188" t="e">
        <f>IF(#REF!,"AAAAAHWavZc=",0)</f>
        <v>#REF!</v>
      </c>
      <c r="EW188" t="e">
        <f>IF(#REF!,"AAAAAHWavZg=",0)</f>
        <v>#REF!</v>
      </c>
      <c r="EX188" t="e">
        <f>IF(#REF!,"AAAAAHWavZk=",0)</f>
        <v>#REF!</v>
      </c>
      <c r="EY188" t="e">
        <f>IF(#REF!,"AAAAAHWavZo=",0)</f>
        <v>#REF!</v>
      </c>
      <c r="EZ188" t="e">
        <f>IF(#REF!,"AAAAAHWavZs=",0)</f>
        <v>#REF!</v>
      </c>
      <c r="FA188" t="e">
        <f>IF(#REF!,"AAAAAHWavZw=",0)</f>
        <v>#REF!</v>
      </c>
      <c r="FB188" t="e">
        <f>IF(#REF!,"AAAAAHWavZ0=",0)</f>
        <v>#REF!</v>
      </c>
      <c r="FC188" t="e">
        <f>IF(#REF!,"AAAAAHWavZ4=",0)</f>
        <v>#REF!</v>
      </c>
      <c r="FD188" t="e">
        <f>IF(#REF!,"AAAAAHWavZ8=",0)</f>
        <v>#REF!</v>
      </c>
      <c r="FE188" t="e">
        <f>IF(#REF!,"AAAAAHWavaA=",0)</f>
        <v>#REF!</v>
      </c>
      <c r="FF188" t="e">
        <f>IF(#REF!,"AAAAAHWavaE=",0)</f>
        <v>#REF!</v>
      </c>
      <c r="FG188" t="e">
        <f>IF(#REF!,"AAAAAHWavaI=",0)</f>
        <v>#REF!</v>
      </c>
      <c r="FH188" t="e">
        <f>IF(#REF!,"AAAAAHWavaM=",0)</f>
        <v>#REF!</v>
      </c>
      <c r="FI188" t="e">
        <f>IF(#REF!,"AAAAAHWavaQ=",0)</f>
        <v>#REF!</v>
      </c>
      <c r="FJ188" t="e">
        <f>IF(#REF!,"AAAAAHWavaU=",0)</f>
        <v>#REF!</v>
      </c>
      <c r="FK188" t="e">
        <f>IF(#REF!,"AAAAAHWavaY=",0)</f>
        <v>#REF!</v>
      </c>
      <c r="FL188" t="e">
        <f>IF(#REF!,"AAAAAHWavac=",0)</f>
        <v>#REF!</v>
      </c>
      <c r="FM188" t="e">
        <f>IF(#REF!,"AAAAAHWavag=",0)</f>
        <v>#REF!</v>
      </c>
      <c r="FN188" t="e">
        <f>IF(#REF!,"AAAAAHWavak=",0)</f>
        <v>#REF!</v>
      </c>
      <c r="FO188" t="e">
        <f>IF(#REF!,"AAAAAHWavao=",0)</f>
        <v>#REF!</v>
      </c>
      <c r="FP188" t="e">
        <f>IF(#REF!,"AAAAAHWavas=",0)</f>
        <v>#REF!</v>
      </c>
      <c r="FQ188" t="e">
        <f>IF(#REF!,"AAAAAHWavaw=",0)</f>
        <v>#REF!</v>
      </c>
      <c r="FR188" t="e">
        <f>IF(#REF!,"AAAAAHWava0=",0)</f>
        <v>#REF!</v>
      </c>
      <c r="FS188" t="e">
        <f>IF(#REF!,"AAAAAHWava4=",0)</f>
        <v>#REF!</v>
      </c>
      <c r="FT188" t="e">
        <f>IF(#REF!,"AAAAAHWava8=",0)</f>
        <v>#REF!</v>
      </c>
      <c r="FU188" t="e">
        <f>IF(#REF!,"AAAAAHWavbA=",0)</f>
        <v>#REF!</v>
      </c>
      <c r="FV188" t="e">
        <f>IF(#REF!,"AAAAAHWavbE=",0)</f>
        <v>#REF!</v>
      </c>
      <c r="FW188" t="e">
        <f>IF(#REF!,"AAAAAHWavbI=",0)</f>
        <v>#REF!</v>
      </c>
      <c r="FX188" t="e">
        <f>IF(#REF!,"AAAAAHWavbM=",0)</f>
        <v>#REF!</v>
      </c>
      <c r="FY188" t="e">
        <f>IF(#REF!,"AAAAAHWavbQ=",0)</f>
        <v>#REF!</v>
      </c>
      <c r="FZ188" t="e">
        <f>IF(#REF!,"AAAAAHWavbU=",0)</f>
        <v>#REF!</v>
      </c>
      <c r="GA188" t="e">
        <f>IF(#REF!,"AAAAAHWavbY=",0)</f>
        <v>#REF!</v>
      </c>
      <c r="GB188" t="e">
        <f>IF(#REF!,"AAAAAHWavbc=",0)</f>
        <v>#REF!</v>
      </c>
      <c r="GC188" t="e">
        <f>IF(#REF!,"AAAAAHWavbg=",0)</f>
        <v>#REF!</v>
      </c>
      <c r="GD188" t="e">
        <f>IF(#REF!,"AAAAAHWavbk=",0)</f>
        <v>#REF!</v>
      </c>
      <c r="GE188" t="e">
        <f>IF(#REF!,"AAAAAHWavbo=",0)</f>
        <v>#REF!</v>
      </c>
      <c r="GF188" t="e">
        <f>IF(#REF!,"AAAAAHWavbs=",0)</f>
        <v>#REF!</v>
      </c>
      <c r="GG188" t="e">
        <f>IF(#REF!,"AAAAAHWavbw=",0)</f>
        <v>#REF!</v>
      </c>
      <c r="GH188" t="e">
        <f>IF(#REF!,"AAAAAHWavb0=",0)</f>
        <v>#REF!</v>
      </c>
      <c r="GI188" t="e">
        <f>IF(#REF!,"AAAAAHWavb4=",0)</f>
        <v>#REF!</v>
      </c>
      <c r="GJ188" t="e">
        <f>IF(#REF!,"AAAAAHWavb8=",0)</f>
        <v>#REF!</v>
      </c>
      <c r="GK188" t="e">
        <f>IF(#REF!,"AAAAAHWavcA=",0)</f>
        <v>#REF!</v>
      </c>
      <c r="GL188" t="e">
        <f>IF(#REF!,"AAAAAHWavcE=",0)</f>
        <v>#REF!</v>
      </c>
      <c r="GM188" t="e">
        <f>IF(#REF!,"AAAAAHWavcI=",0)</f>
        <v>#REF!</v>
      </c>
      <c r="GN188" t="e">
        <f>IF(#REF!,"AAAAAHWavcM=",0)</f>
        <v>#REF!</v>
      </c>
      <c r="GO188" t="e">
        <f>IF(#REF!,"AAAAAHWavcQ=",0)</f>
        <v>#REF!</v>
      </c>
      <c r="GP188" t="e">
        <f>IF(#REF!,"AAAAAHWavcU=",0)</f>
        <v>#REF!</v>
      </c>
      <c r="GQ188" t="e">
        <f>IF(#REF!,"AAAAAHWavcY=",0)</f>
        <v>#REF!</v>
      </c>
      <c r="GR188" t="e">
        <f>IF(#REF!,"AAAAAHWavcc=",0)</f>
        <v>#REF!</v>
      </c>
      <c r="GS188" t="e">
        <f>IF(#REF!,"AAAAAHWavcg=",0)</f>
        <v>#REF!</v>
      </c>
      <c r="GT188" t="e">
        <f>IF(#REF!,"AAAAAHWavck=",0)</f>
        <v>#REF!</v>
      </c>
      <c r="GU188" t="e">
        <f>IF(#REF!,"AAAAAHWavco=",0)</f>
        <v>#REF!</v>
      </c>
      <c r="GV188" t="e">
        <f>IF(#REF!,"AAAAAHWavcs=",0)</f>
        <v>#REF!</v>
      </c>
      <c r="GW188" t="e">
        <f>IF(#REF!,"AAAAAHWavcw=",0)</f>
        <v>#REF!</v>
      </c>
      <c r="GX188" t="e">
        <f>IF(#REF!,"AAAAAHWavc0=",0)</f>
        <v>#REF!</v>
      </c>
      <c r="GY188" t="e">
        <f>IF(#REF!,"AAAAAHWavc4=",0)</f>
        <v>#REF!</v>
      </c>
      <c r="GZ188" t="e">
        <f>IF(#REF!,"AAAAAHWavc8=",0)</f>
        <v>#REF!</v>
      </c>
      <c r="HA188" t="e">
        <f>IF(#REF!,"AAAAAHWavdA=",0)</f>
        <v>#REF!</v>
      </c>
      <c r="HB188" t="e">
        <f>IF(#REF!,"AAAAAHWavdE=",0)</f>
        <v>#REF!</v>
      </c>
      <c r="HC188" t="e">
        <f>IF(#REF!,"AAAAAHWavdI=",0)</f>
        <v>#REF!</v>
      </c>
      <c r="HD188" t="e">
        <f>IF(#REF!,"AAAAAHWavdM=",0)</f>
        <v>#REF!</v>
      </c>
      <c r="HE188" t="e">
        <f>IF(#REF!,"AAAAAHWavdQ=",0)</f>
        <v>#REF!</v>
      </c>
      <c r="HF188" t="e">
        <f>IF(#REF!,"AAAAAHWavdU=",0)</f>
        <v>#REF!</v>
      </c>
      <c r="HG188" t="e">
        <f>IF(#REF!,"AAAAAHWavdY=",0)</f>
        <v>#REF!</v>
      </c>
      <c r="HH188" t="e">
        <f>IF(#REF!,"AAAAAHWavdc=",0)</f>
        <v>#REF!</v>
      </c>
      <c r="HI188" t="e">
        <f>IF(#REF!,"AAAAAHWavdg=",0)</f>
        <v>#REF!</v>
      </c>
      <c r="HJ188" t="e">
        <f>IF(#REF!,"AAAAAHWavdk=",0)</f>
        <v>#REF!</v>
      </c>
      <c r="HK188" t="e">
        <f>IF(#REF!,"AAAAAHWavdo=",0)</f>
        <v>#REF!</v>
      </c>
      <c r="HL188" t="e">
        <f>IF(#REF!,"AAAAAHWavds=",0)</f>
        <v>#REF!</v>
      </c>
      <c r="HM188" t="e">
        <f>IF(#REF!,"AAAAAHWavdw=",0)</f>
        <v>#REF!</v>
      </c>
      <c r="HN188" t="e">
        <f>IF(#REF!,"AAAAAHWavd0=",0)</f>
        <v>#REF!</v>
      </c>
      <c r="HO188" t="e">
        <f>IF(#REF!,"AAAAAHWavd4=",0)</f>
        <v>#REF!</v>
      </c>
      <c r="HP188" t="e">
        <f>IF(#REF!,"AAAAAHWavd8=",0)</f>
        <v>#REF!</v>
      </c>
      <c r="HQ188" t="e">
        <f>IF(#REF!,"AAAAAHWaveA=",0)</f>
        <v>#REF!</v>
      </c>
      <c r="HR188" t="e">
        <f>IF(#REF!,"AAAAAHWaveE=",0)</f>
        <v>#REF!</v>
      </c>
      <c r="HS188" t="e">
        <f>IF(#REF!,"AAAAAHWaveI=",0)</f>
        <v>#REF!</v>
      </c>
      <c r="HT188" t="e">
        <f>IF(#REF!,"AAAAAHWaveM=",0)</f>
        <v>#REF!</v>
      </c>
      <c r="HU188" t="e">
        <f>IF(#REF!,"AAAAAHWaveQ=",0)</f>
        <v>#REF!</v>
      </c>
      <c r="HV188" t="e">
        <f>IF(#REF!,"AAAAAHWaveU=",0)</f>
        <v>#REF!</v>
      </c>
      <c r="HW188" t="e">
        <f>IF(#REF!,"AAAAAHWaveY=",0)</f>
        <v>#REF!</v>
      </c>
      <c r="HX188" t="e">
        <f>IF(#REF!,"AAAAAHWavec=",0)</f>
        <v>#REF!</v>
      </c>
      <c r="HY188" t="e">
        <f>IF(#REF!,"AAAAAHWaveg=",0)</f>
        <v>#REF!</v>
      </c>
      <c r="HZ188" t="e">
        <f>IF(#REF!,"AAAAAHWavek=",0)</f>
        <v>#REF!</v>
      </c>
      <c r="IA188" t="e">
        <f>IF(#REF!,"AAAAAHWaveo=",0)</f>
        <v>#REF!</v>
      </c>
      <c r="IB188" t="e">
        <f>IF(#REF!,"AAAAAHWaves=",0)</f>
        <v>#REF!</v>
      </c>
      <c r="IC188" t="e">
        <f>IF(#REF!,"AAAAAHWavew=",0)</f>
        <v>#REF!</v>
      </c>
      <c r="ID188" t="e">
        <f>IF(#REF!,"AAAAAHWave0=",0)</f>
        <v>#REF!</v>
      </c>
      <c r="IE188" t="e">
        <f>IF(#REF!,"AAAAAHWave4=",0)</f>
        <v>#REF!</v>
      </c>
      <c r="IF188" t="e">
        <f>IF(#REF!,"AAAAAHWave8=",0)</f>
        <v>#REF!</v>
      </c>
      <c r="IG188" t="e">
        <f>IF(#REF!,"AAAAAHWavfA=",0)</f>
        <v>#REF!</v>
      </c>
      <c r="IH188" t="e">
        <f>IF(#REF!,"AAAAAHWavfE=",0)</f>
        <v>#REF!</v>
      </c>
      <c r="II188" t="e">
        <f>IF(#REF!,"AAAAAHWavfI=",0)</f>
        <v>#REF!</v>
      </c>
      <c r="IJ188" t="e">
        <f>IF(#REF!,"AAAAAHWavfM=",0)</f>
        <v>#REF!</v>
      </c>
      <c r="IK188" t="e">
        <f>IF(#REF!,"AAAAAHWavfQ=",0)</f>
        <v>#REF!</v>
      </c>
      <c r="IL188" t="e">
        <f>IF(#REF!,"AAAAAHWavfU=",0)</f>
        <v>#REF!</v>
      </c>
      <c r="IM188" t="e">
        <f>IF(#REF!,"AAAAAHWavfY=",0)</f>
        <v>#REF!</v>
      </c>
      <c r="IN188" t="e">
        <f>IF(#REF!,"AAAAAHWavfc=",0)</f>
        <v>#REF!</v>
      </c>
      <c r="IO188" t="e">
        <f>IF(#REF!,"AAAAAHWavfg=",0)</f>
        <v>#REF!</v>
      </c>
      <c r="IP188" t="e">
        <f>IF(#REF!,"AAAAAHWavfk=",0)</f>
        <v>#REF!</v>
      </c>
      <c r="IQ188" t="e">
        <f>IF(#REF!,"AAAAAHWavfo=",0)</f>
        <v>#REF!</v>
      </c>
      <c r="IR188" t="e">
        <f>IF(#REF!,"AAAAAHWavfs=",0)</f>
        <v>#REF!</v>
      </c>
      <c r="IS188" t="e">
        <f>IF(#REF!,"AAAAAHWavfw=",0)</f>
        <v>#REF!</v>
      </c>
      <c r="IT188" t="e">
        <f>IF(#REF!,"AAAAAHWavf0=",0)</f>
        <v>#REF!</v>
      </c>
      <c r="IU188" t="e">
        <f>IF(#REF!,"AAAAAHWavf4=",0)</f>
        <v>#REF!</v>
      </c>
      <c r="IV188" t="e">
        <f>IF(#REF!,"AAAAAHWavf8=",0)</f>
        <v>#REF!</v>
      </c>
    </row>
    <row r="189" spans="1:256">
      <c r="A189" t="e">
        <f>IF(#REF!,"AAAAAH/P5wA=",0)</f>
        <v>#REF!</v>
      </c>
      <c r="B189" t="e">
        <f>IF(#REF!,"AAAAAH/P5wE=",0)</f>
        <v>#REF!</v>
      </c>
      <c r="C189" t="e">
        <f>IF(#REF!,"AAAAAH/P5wI=",0)</f>
        <v>#REF!</v>
      </c>
      <c r="D189" t="e">
        <f>IF(#REF!,"AAAAAH/P5wM=",0)</f>
        <v>#REF!</v>
      </c>
      <c r="E189" t="e">
        <f>IF(#REF!,"AAAAAH/P5wQ=",0)</f>
        <v>#REF!</v>
      </c>
      <c r="F189" t="e">
        <f>IF(#REF!,"AAAAAH/P5wU=",0)</f>
        <v>#REF!</v>
      </c>
      <c r="G189" t="e">
        <f>IF(#REF!,"AAAAAH/P5wY=",0)</f>
        <v>#REF!</v>
      </c>
      <c r="H189" t="e">
        <f>IF(#REF!,"AAAAAH/P5wc=",0)</f>
        <v>#REF!</v>
      </c>
      <c r="I189" t="e">
        <f>IF(#REF!,"AAAAAH/P5wg=",0)</f>
        <v>#REF!</v>
      </c>
      <c r="J189" t="e">
        <f>IF(#REF!,"AAAAAH/P5wk=",0)</f>
        <v>#REF!</v>
      </c>
      <c r="K189" t="e">
        <f>IF(#REF!,"AAAAAH/P5wo=",0)</f>
        <v>#REF!</v>
      </c>
      <c r="L189" t="e">
        <f>IF(#REF!,"AAAAAH/P5ws=",0)</f>
        <v>#REF!</v>
      </c>
      <c r="M189" t="e">
        <f>IF(#REF!,"AAAAAH/P5ww=",0)</f>
        <v>#REF!</v>
      </c>
      <c r="N189" t="e">
        <f>IF(#REF!,"AAAAAH/P5w0=",0)</f>
        <v>#REF!</v>
      </c>
      <c r="O189" t="e">
        <f>IF(#REF!,"AAAAAH/P5w4=",0)</f>
        <v>#REF!</v>
      </c>
      <c r="P189" t="e">
        <f>IF(#REF!,"AAAAAH/P5w8=",0)</f>
        <v>#REF!</v>
      </c>
      <c r="Q189" t="e">
        <f>IF(#REF!,"AAAAAH/P5xA=",0)</f>
        <v>#REF!</v>
      </c>
      <c r="R189" t="e">
        <f>IF(#REF!,"AAAAAH/P5xE=",0)</f>
        <v>#REF!</v>
      </c>
      <c r="S189" t="e">
        <f>IF(#REF!,"AAAAAH/P5xI=",0)</f>
        <v>#REF!</v>
      </c>
      <c r="T189" t="e">
        <f>IF(#REF!,"AAAAAH/P5xM=",0)</f>
        <v>#REF!</v>
      </c>
      <c r="U189" t="e">
        <f>IF(#REF!,"AAAAAH/P5xQ=",0)</f>
        <v>#REF!</v>
      </c>
      <c r="V189" t="e">
        <f>IF(#REF!,"AAAAAH/P5xU=",0)</f>
        <v>#REF!</v>
      </c>
      <c r="W189" t="e">
        <f>IF(#REF!,"AAAAAH/P5xY=",0)</f>
        <v>#REF!</v>
      </c>
      <c r="X189" t="e">
        <f>IF(#REF!,"AAAAAH/P5xc=",0)</f>
        <v>#REF!</v>
      </c>
      <c r="Y189" t="e">
        <f>IF(#REF!,"AAAAAH/P5xg=",0)</f>
        <v>#REF!</v>
      </c>
      <c r="Z189" t="e">
        <f>IF(#REF!,"AAAAAH/P5xk=",0)</f>
        <v>#REF!</v>
      </c>
      <c r="AA189" t="e">
        <f>IF(#REF!,"AAAAAH/P5xo=",0)</f>
        <v>#REF!</v>
      </c>
      <c r="AB189" t="e">
        <f>IF(#REF!,"AAAAAH/P5xs=",0)</f>
        <v>#REF!</v>
      </c>
      <c r="AC189" t="e">
        <f>IF(#REF!,"AAAAAH/P5xw=",0)</f>
        <v>#REF!</v>
      </c>
      <c r="AD189" t="e">
        <f>IF(#REF!,"AAAAAH/P5x0=",0)</f>
        <v>#REF!</v>
      </c>
      <c r="AE189" t="e">
        <f>IF(#REF!,"AAAAAH/P5x4=",0)</f>
        <v>#REF!</v>
      </c>
      <c r="AF189" t="e">
        <f>IF(#REF!,"AAAAAH/P5x8=",0)</f>
        <v>#REF!</v>
      </c>
      <c r="AG189" t="e">
        <f>IF(#REF!,"AAAAAH/P5yA=",0)</f>
        <v>#REF!</v>
      </c>
      <c r="AH189" t="e">
        <f>IF(#REF!,"AAAAAH/P5yE=",0)</f>
        <v>#REF!</v>
      </c>
      <c r="AI189" t="e">
        <f>IF(#REF!,"AAAAAH/P5yI=",0)</f>
        <v>#REF!</v>
      </c>
      <c r="AJ189" t="e">
        <f>IF(#REF!,"AAAAAH/P5yM=",0)</f>
        <v>#REF!</v>
      </c>
      <c r="AK189" t="e">
        <f>IF(#REF!,"AAAAAH/P5yQ=",0)</f>
        <v>#REF!</v>
      </c>
      <c r="AL189" t="e">
        <f>IF(#REF!,"AAAAAH/P5yU=",0)</f>
        <v>#REF!</v>
      </c>
      <c r="AM189" t="e">
        <f>IF(#REF!,"AAAAAH/P5yY=",0)</f>
        <v>#REF!</v>
      </c>
      <c r="AN189" t="e">
        <f>IF(#REF!,"AAAAAH/P5yc=",0)</f>
        <v>#REF!</v>
      </c>
      <c r="AO189" t="e">
        <f>IF(#REF!,"AAAAAH/P5yg=",0)</f>
        <v>#REF!</v>
      </c>
      <c r="AP189" t="e">
        <f>IF(#REF!,"AAAAAH/P5yk=",0)</f>
        <v>#REF!</v>
      </c>
      <c r="AQ189" t="e">
        <f>IF(#REF!,"AAAAAH/P5yo=",0)</f>
        <v>#REF!</v>
      </c>
      <c r="AR189" t="e">
        <f>IF(#REF!,"AAAAAH/P5ys=",0)</f>
        <v>#REF!</v>
      </c>
      <c r="AS189" t="e">
        <f>IF(#REF!,"AAAAAH/P5yw=",0)</f>
        <v>#REF!</v>
      </c>
      <c r="AT189" t="e">
        <f>IF(#REF!,"AAAAAH/P5y0=",0)</f>
        <v>#REF!</v>
      </c>
      <c r="AU189" t="e">
        <f>IF(#REF!,"AAAAAH/P5y4=",0)</f>
        <v>#REF!</v>
      </c>
      <c r="AV189" t="e">
        <f>IF(#REF!,"AAAAAH/P5y8=",0)</f>
        <v>#REF!</v>
      </c>
      <c r="AW189" t="e">
        <f>IF(#REF!,"AAAAAH/P5zA=",0)</f>
        <v>#REF!</v>
      </c>
      <c r="AX189" t="e">
        <f>IF(#REF!,"AAAAAH/P5zE=",0)</f>
        <v>#REF!</v>
      </c>
      <c r="AY189" t="e">
        <f>IF(#REF!,"AAAAAH/P5zI=",0)</f>
        <v>#REF!</v>
      </c>
      <c r="AZ189" t="e">
        <f>IF(#REF!,"AAAAAH/P5zM=",0)</f>
        <v>#REF!</v>
      </c>
      <c r="BA189" t="e">
        <f>IF(#REF!,"AAAAAH/P5zQ=",0)</f>
        <v>#REF!</v>
      </c>
      <c r="BB189" t="e">
        <f>IF(#REF!,"AAAAAH/P5zU=",0)</f>
        <v>#REF!</v>
      </c>
      <c r="BC189" t="e">
        <f>IF(#REF!,"AAAAAH/P5zY=",0)</f>
        <v>#REF!</v>
      </c>
      <c r="BD189" t="e">
        <f>IF(#REF!,"AAAAAH/P5zc=",0)</f>
        <v>#REF!</v>
      </c>
      <c r="BE189" t="e">
        <f>IF(#REF!,"AAAAAH/P5zg=",0)</f>
        <v>#REF!</v>
      </c>
      <c r="BF189" t="e">
        <f>IF(#REF!,"AAAAAH/P5zk=",0)</f>
        <v>#REF!</v>
      </c>
      <c r="BG189" t="e">
        <f>IF(#REF!,"AAAAAH/P5zo=",0)</f>
        <v>#REF!</v>
      </c>
      <c r="BH189" t="e">
        <f>IF(#REF!,"AAAAAH/P5zs=",0)</f>
        <v>#REF!</v>
      </c>
      <c r="BI189" t="e">
        <f>IF(#REF!,"AAAAAH/P5zw=",0)</f>
        <v>#REF!</v>
      </c>
      <c r="BJ189" t="e">
        <f>IF(#REF!,"AAAAAH/P5z0=",0)</f>
        <v>#REF!</v>
      </c>
      <c r="BK189" t="e">
        <f>IF(#REF!,"AAAAAH/P5z4=",0)</f>
        <v>#REF!</v>
      </c>
      <c r="BL189" t="e">
        <f>IF(#REF!,"AAAAAH/P5z8=",0)</f>
        <v>#REF!</v>
      </c>
      <c r="BM189" t="e">
        <f>IF(#REF!,"AAAAAH/P50A=",0)</f>
        <v>#REF!</v>
      </c>
      <c r="BN189" t="e">
        <f>IF(#REF!,"AAAAAH/P50E=",0)</f>
        <v>#REF!</v>
      </c>
      <c r="BO189" t="e">
        <f>IF(#REF!,"AAAAAH/P50I=",0)</f>
        <v>#REF!</v>
      </c>
      <c r="BP189" t="e">
        <f>IF(#REF!,"AAAAAH/P50M=",0)</f>
        <v>#REF!</v>
      </c>
      <c r="BQ189" t="e">
        <f>IF(#REF!,"AAAAAH/P50Q=",0)</f>
        <v>#REF!</v>
      </c>
      <c r="BR189" t="e">
        <f>IF(#REF!,"AAAAAH/P50U=",0)</f>
        <v>#REF!</v>
      </c>
      <c r="BS189" t="e">
        <f>IF(#REF!,"AAAAAH/P50Y=",0)</f>
        <v>#REF!</v>
      </c>
      <c r="BT189" t="e">
        <f>IF(#REF!,"AAAAAH/P50c=",0)</f>
        <v>#REF!</v>
      </c>
      <c r="BU189" t="e">
        <f>IF(#REF!,"AAAAAH/P50g=",0)</f>
        <v>#REF!</v>
      </c>
      <c r="BV189" t="e">
        <f>IF(#REF!,"AAAAAH/P50k=",0)</f>
        <v>#REF!</v>
      </c>
      <c r="BW189" t="e">
        <f>IF(#REF!,"AAAAAH/P50o=",0)</f>
        <v>#REF!</v>
      </c>
      <c r="BX189" t="e">
        <f>IF(#REF!,"AAAAAH/P50s=",0)</f>
        <v>#REF!</v>
      </c>
      <c r="BY189" t="e">
        <f>IF(#REF!,"AAAAAH/P50w=",0)</f>
        <v>#REF!</v>
      </c>
      <c r="BZ189" t="e">
        <f>IF(#REF!,"AAAAAH/P500=",0)</f>
        <v>#REF!</v>
      </c>
      <c r="CA189" t="e">
        <f>IF(#REF!,"AAAAAH/P504=",0)</f>
        <v>#REF!</v>
      </c>
      <c r="CB189" t="e">
        <f>IF(#REF!,"AAAAAH/P508=",0)</f>
        <v>#REF!</v>
      </c>
      <c r="CC189" t="e">
        <f>IF(#REF!,"AAAAAH/P51A=",0)</f>
        <v>#REF!</v>
      </c>
      <c r="CD189" t="e">
        <f>IF(#REF!,"AAAAAH/P51E=",0)</f>
        <v>#REF!</v>
      </c>
      <c r="CE189" t="e">
        <f>IF(#REF!,"AAAAAH/P51I=",0)</f>
        <v>#REF!</v>
      </c>
      <c r="CF189" t="e">
        <f>IF(#REF!,"AAAAAH/P51M=",0)</f>
        <v>#REF!</v>
      </c>
      <c r="CG189" t="e">
        <f>IF(#REF!,"AAAAAH/P51Q=",0)</f>
        <v>#REF!</v>
      </c>
      <c r="CH189" t="e">
        <f>IF(#REF!,"AAAAAH/P51U=",0)</f>
        <v>#REF!</v>
      </c>
      <c r="CI189" t="e">
        <f>IF(#REF!,"AAAAAH/P51Y=",0)</f>
        <v>#REF!</v>
      </c>
      <c r="CJ189" t="e">
        <f>IF(#REF!,"AAAAAH/P51c=",0)</f>
        <v>#REF!</v>
      </c>
      <c r="CK189" t="e">
        <f>IF(#REF!,"AAAAAH/P51g=",0)</f>
        <v>#REF!</v>
      </c>
      <c r="CL189" t="e">
        <f>IF(#REF!,"AAAAAH/P51k=",0)</f>
        <v>#REF!</v>
      </c>
      <c r="CM189" t="e">
        <f>IF(#REF!,"AAAAAH/P51o=",0)</f>
        <v>#REF!</v>
      </c>
      <c r="CN189" t="e">
        <f>IF(#REF!,"AAAAAH/P51s=",0)</f>
        <v>#REF!</v>
      </c>
      <c r="CO189" t="e">
        <f>IF(#REF!,"AAAAAH/P51w=",0)</f>
        <v>#REF!</v>
      </c>
      <c r="CP189" t="e">
        <f>IF(#REF!,"AAAAAH/P510=",0)</f>
        <v>#REF!</v>
      </c>
      <c r="CQ189" t="e">
        <f>IF(#REF!,"AAAAAH/P514=",0)</f>
        <v>#REF!</v>
      </c>
      <c r="CR189" t="e">
        <f>IF(#REF!,"AAAAAH/P518=",0)</f>
        <v>#REF!</v>
      </c>
      <c r="CS189" t="e">
        <f>IF(#REF!,"AAAAAH/P52A=",0)</f>
        <v>#REF!</v>
      </c>
      <c r="CT189" t="e">
        <f>IF(#REF!,"AAAAAH/P52E=",0)</f>
        <v>#REF!</v>
      </c>
      <c r="CU189" t="e">
        <f>IF(#REF!,"AAAAAH/P52I=",0)</f>
        <v>#REF!</v>
      </c>
      <c r="CV189" t="e">
        <f>IF(#REF!,"AAAAAH/P52M=",0)</f>
        <v>#REF!</v>
      </c>
      <c r="CW189" t="e">
        <f>IF(#REF!,"AAAAAH/P52Q=",0)</f>
        <v>#REF!</v>
      </c>
      <c r="CX189" t="e">
        <f>IF(#REF!,"AAAAAH/P52U=",0)</f>
        <v>#REF!</v>
      </c>
      <c r="CY189" t="e">
        <f>IF(#REF!,"AAAAAH/P52Y=",0)</f>
        <v>#REF!</v>
      </c>
      <c r="CZ189" t="e">
        <f>IF(#REF!,"AAAAAH/P52c=",0)</f>
        <v>#REF!</v>
      </c>
      <c r="DA189" t="e">
        <f>IF(#REF!,"AAAAAH/P52g=",0)</f>
        <v>#REF!</v>
      </c>
      <c r="DB189" t="e">
        <f>IF(#REF!,"AAAAAH/P52k=",0)</f>
        <v>#REF!</v>
      </c>
      <c r="DC189" t="e">
        <f>IF(#REF!,"AAAAAH/P52o=",0)</f>
        <v>#REF!</v>
      </c>
      <c r="DD189" t="e">
        <f>IF(#REF!,"AAAAAH/P52s=",0)</f>
        <v>#REF!</v>
      </c>
      <c r="DE189" t="e">
        <f>IF(#REF!,"AAAAAH/P52w=",0)</f>
        <v>#REF!</v>
      </c>
      <c r="DF189" t="e">
        <f>IF(#REF!,"AAAAAH/P520=",0)</f>
        <v>#REF!</v>
      </c>
      <c r="DG189" t="e">
        <f>IF(#REF!,"AAAAAH/P524=",0)</f>
        <v>#REF!</v>
      </c>
      <c r="DH189" t="e">
        <f>IF(#REF!,"AAAAAH/P528=",0)</f>
        <v>#REF!</v>
      </c>
      <c r="DI189" t="e">
        <f>IF(#REF!,"AAAAAH/P53A=",0)</f>
        <v>#REF!</v>
      </c>
      <c r="DJ189" t="e">
        <f>IF(#REF!,"AAAAAH/P53E=",0)</f>
        <v>#REF!</v>
      </c>
      <c r="DK189" t="e">
        <f>IF(#REF!,"AAAAAH/P53I=",0)</f>
        <v>#REF!</v>
      </c>
      <c r="DL189" t="e">
        <f>IF(#REF!,"AAAAAH/P53M=",0)</f>
        <v>#REF!</v>
      </c>
      <c r="DM189" t="e">
        <f>IF(#REF!,"AAAAAH/P53Q=",0)</f>
        <v>#REF!</v>
      </c>
      <c r="DN189" t="e">
        <f>IF(#REF!,"AAAAAH/P53U=",0)</f>
        <v>#REF!</v>
      </c>
      <c r="DO189" t="e">
        <f>IF(#REF!,"AAAAAH/P53Y=",0)</f>
        <v>#REF!</v>
      </c>
      <c r="DP189" t="e">
        <f>IF(#REF!,"AAAAAH/P53c=",0)</f>
        <v>#REF!</v>
      </c>
      <c r="DQ189" t="e">
        <f>IF(#REF!,"AAAAAH/P53g=",0)</f>
        <v>#REF!</v>
      </c>
      <c r="DR189" t="e">
        <f>IF(#REF!,"AAAAAH/P53k=",0)</f>
        <v>#REF!</v>
      </c>
      <c r="DS189" t="e">
        <f>IF(#REF!,"AAAAAH/P53o=",0)</f>
        <v>#REF!</v>
      </c>
      <c r="DT189" t="e">
        <f>IF(#REF!,"AAAAAH/P53s=",0)</f>
        <v>#REF!</v>
      </c>
      <c r="DU189" t="e">
        <f>IF(#REF!,"AAAAAH/P53w=",0)</f>
        <v>#REF!</v>
      </c>
      <c r="DV189" t="e">
        <f>IF(#REF!,"AAAAAH/P530=",0)</f>
        <v>#REF!</v>
      </c>
      <c r="DW189" t="e">
        <f>IF(#REF!,"AAAAAH/P534=",0)</f>
        <v>#REF!</v>
      </c>
      <c r="DX189" t="e">
        <f>IF(#REF!,"AAAAAH/P538=",0)</f>
        <v>#REF!</v>
      </c>
      <c r="DY189" t="e">
        <f>IF(#REF!,"AAAAAH/P54A=",0)</f>
        <v>#REF!</v>
      </c>
      <c r="DZ189" t="e">
        <f>IF(#REF!,"AAAAAH/P54E=",0)</f>
        <v>#REF!</v>
      </c>
      <c r="EA189" t="e">
        <f>IF(#REF!,"AAAAAH/P54I=",0)</f>
        <v>#REF!</v>
      </c>
      <c r="EB189" t="e">
        <f>IF(#REF!,"AAAAAH/P54M=",0)</f>
        <v>#REF!</v>
      </c>
      <c r="EC189" t="e">
        <f>IF(#REF!,"AAAAAH/P54Q=",0)</f>
        <v>#REF!</v>
      </c>
      <c r="ED189" t="e">
        <f>IF(#REF!,"AAAAAH/P54U=",0)</f>
        <v>#REF!</v>
      </c>
      <c r="EE189" t="e">
        <f>IF(#REF!,"AAAAAH/P54Y=",0)</f>
        <v>#REF!</v>
      </c>
      <c r="EF189" t="e">
        <f>IF(#REF!,"AAAAAH/P54c=",0)</f>
        <v>#REF!</v>
      </c>
      <c r="EG189" t="e">
        <f>IF(#REF!,"AAAAAH/P54g=",0)</f>
        <v>#REF!</v>
      </c>
      <c r="EH189" t="e">
        <f>IF(#REF!,"AAAAAH/P54k=",0)</f>
        <v>#REF!</v>
      </c>
      <c r="EI189" t="e">
        <f>IF(#REF!,"AAAAAH/P54o=",0)</f>
        <v>#REF!</v>
      </c>
      <c r="EJ189" t="e">
        <f>IF(#REF!,"AAAAAH/P54s=",0)</f>
        <v>#REF!</v>
      </c>
      <c r="EK189" t="e">
        <f>IF(#REF!,"AAAAAH/P54w=",0)</f>
        <v>#REF!</v>
      </c>
      <c r="EL189" t="e">
        <f>IF(#REF!,"AAAAAH/P540=",0)</f>
        <v>#REF!</v>
      </c>
      <c r="EM189" t="e">
        <f>IF(#REF!,"AAAAAH/P544=",0)</f>
        <v>#REF!</v>
      </c>
      <c r="EN189" t="e">
        <f>IF(#REF!,"AAAAAH/P548=",0)</f>
        <v>#REF!</v>
      </c>
      <c r="EO189" t="e">
        <f>IF(#REF!,"AAAAAH/P55A=",0)</f>
        <v>#REF!</v>
      </c>
      <c r="EP189" t="e">
        <f>IF(#REF!,"AAAAAH/P55E=",0)</f>
        <v>#REF!</v>
      </c>
      <c r="EQ189" t="e">
        <f>IF(#REF!,"AAAAAH/P55I=",0)</f>
        <v>#REF!</v>
      </c>
      <c r="ER189" t="e">
        <f>IF(#REF!,"AAAAAH/P55M=",0)</f>
        <v>#REF!</v>
      </c>
      <c r="ES189" t="e">
        <f>IF(#REF!,"AAAAAH/P55Q=",0)</f>
        <v>#REF!</v>
      </c>
      <c r="ET189" t="e">
        <f>IF(#REF!,"AAAAAH/P55U=",0)</f>
        <v>#REF!</v>
      </c>
      <c r="EU189" t="e">
        <f>IF(#REF!,"AAAAAH/P55Y=",0)</f>
        <v>#REF!</v>
      </c>
      <c r="EV189" t="e">
        <f>IF(#REF!,"AAAAAH/P55c=",0)</f>
        <v>#REF!</v>
      </c>
      <c r="EW189" t="e">
        <f>IF(#REF!,"AAAAAH/P55g=",0)</f>
        <v>#REF!</v>
      </c>
      <c r="EX189" t="e">
        <f>IF(#REF!,"AAAAAH/P55k=",0)</f>
        <v>#REF!</v>
      </c>
      <c r="EY189" t="e">
        <f>IF(#REF!,"AAAAAH/P55o=",0)</f>
        <v>#REF!</v>
      </c>
      <c r="EZ189" t="e">
        <f>IF(#REF!,"AAAAAH/P55s=",0)</f>
        <v>#REF!</v>
      </c>
      <c r="FA189" t="e">
        <f>IF(#REF!,"AAAAAH/P55w=",0)</f>
        <v>#REF!</v>
      </c>
      <c r="FB189" t="e">
        <f>IF(#REF!,"AAAAAH/P550=",0)</f>
        <v>#REF!</v>
      </c>
      <c r="FC189" t="e">
        <f>IF(#REF!,"AAAAAH/P554=",0)</f>
        <v>#REF!</v>
      </c>
      <c r="FD189" t="e">
        <f>IF(#REF!,"AAAAAH/P558=",0)</f>
        <v>#REF!</v>
      </c>
      <c r="FE189" t="e">
        <f>IF(#REF!,"AAAAAH/P56A=",0)</f>
        <v>#REF!</v>
      </c>
      <c r="FF189" t="e">
        <f>IF(#REF!,"AAAAAH/P56E=",0)</f>
        <v>#REF!</v>
      </c>
      <c r="FG189" t="e">
        <f>IF(#REF!,"AAAAAH/P56I=",0)</f>
        <v>#REF!</v>
      </c>
      <c r="FH189" t="e">
        <f>IF(#REF!,"AAAAAH/P56M=",0)</f>
        <v>#REF!</v>
      </c>
      <c r="FI189" t="e">
        <f>IF(#REF!,"AAAAAH/P56Q=",0)</f>
        <v>#REF!</v>
      </c>
      <c r="FJ189" t="e">
        <f>IF(#REF!,"AAAAAH/P56U=",0)</f>
        <v>#REF!</v>
      </c>
      <c r="FK189" t="e">
        <f>IF(#REF!,"AAAAAH/P56Y=",0)</f>
        <v>#REF!</v>
      </c>
      <c r="FL189" t="e">
        <f>IF(#REF!,"AAAAAH/P56c=",0)</f>
        <v>#REF!</v>
      </c>
      <c r="FM189" t="e">
        <f>IF(#REF!,"AAAAAH/P56g=",0)</f>
        <v>#REF!</v>
      </c>
      <c r="FN189" t="e">
        <f>IF(#REF!,"AAAAAH/P56k=",0)</f>
        <v>#REF!</v>
      </c>
      <c r="FO189" t="e">
        <f>IF(#REF!,"AAAAAH/P56o=",0)</f>
        <v>#REF!</v>
      </c>
      <c r="FP189" t="e">
        <f>IF(#REF!,"AAAAAH/P56s=",0)</f>
        <v>#REF!</v>
      </c>
      <c r="FQ189" t="e">
        <f>IF(#REF!,"AAAAAH/P56w=",0)</f>
        <v>#REF!</v>
      </c>
      <c r="FR189" t="e">
        <f>IF(#REF!,"AAAAAH/P560=",0)</f>
        <v>#REF!</v>
      </c>
      <c r="FS189" t="e">
        <f>IF(#REF!,"AAAAAH/P564=",0)</f>
        <v>#REF!</v>
      </c>
      <c r="FT189" t="e">
        <f>IF(#REF!,"AAAAAH/P568=",0)</f>
        <v>#REF!</v>
      </c>
      <c r="FU189" t="e">
        <f>IF(#REF!,"AAAAAH/P57A=",0)</f>
        <v>#REF!</v>
      </c>
      <c r="FV189" t="e">
        <f>IF(#REF!,"AAAAAH/P57E=",0)</f>
        <v>#REF!</v>
      </c>
      <c r="FW189" t="e">
        <f>IF(#REF!,"AAAAAH/P57I=",0)</f>
        <v>#REF!</v>
      </c>
      <c r="FX189" t="e">
        <f>IF(#REF!,"AAAAAH/P57M=",0)</f>
        <v>#REF!</v>
      </c>
      <c r="FY189" t="e">
        <f>IF(#REF!,"AAAAAH/P57Q=",0)</f>
        <v>#REF!</v>
      </c>
      <c r="FZ189" t="e">
        <f>IF(#REF!,"AAAAAH/P57U=",0)</f>
        <v>#REF!</v>
      </c>
      <c r="GA189" t="e">
        <f>IF(#REF!,"AAAAAH/P57Y=",0)</f>
        <v>#REF!</v>
      </c>
      <c r="GB189" t="e">
        <f>IF(#REF!,"AAAAAH/P57c=",0)</f>
        <v>#REF!</v>
      </c>
      <c r="GC189" t="e">
        <f>IF(#REF!,"AAAAAH/P57g=",0)</f>
        <v>#REF!</v>
      </c>
      <c r="GD189" t="e">
        <f>IF(#REF!,"AAAAAH/P57k=",0)</f>
        <v>#REF!</v>
      </c>
      <c r="GE189" t="e">
        <f>IF(#REF!,"AAAAAH/P57o=",0)</f>
        <v>#REF!</v>
      </c>
      <c r="GF189" t="e">
        <f>IF(#REF!,"AAAAAH/P57s=",0)</f>
        <v>#REF!</v>
      </c>
      <c r="GG189" t="e">
        <f>IF(#REF!,"AAAAAH/P57w=",0)</f>
        <v>#REF!</v>
      </c>
      <c r="GH189" t="e">
        <f>IF(#REF!,"AAAAAH/P570=",0)</f>
        <v>#REF!</v>
      </c>
      <c r="GI189" t="e">
        <f>IF(#REF!,"AAAAAH/P574=",0)</f>
        <v>#REF!</v>
      </c>
      <c r="GJ189" t="e">
        <f>IF(#REF!,"AAAAAH/P578=",0)</f>
        <v>#REF!</v>
      </c>
      <c r="GK189" t="e">
        <f>IF(#REF!,"AAAAAH/P58A=",0)</f>
        <v>#REF!</v>
      </c>
      <c r="GL189" t="e">
        <f>IF(#REF!,"AAAAAH/P58E=",0)</f>
        <v>#REF!</v>
      </c>
      <c r="GM189" t="e">
        <f>IF(#REF!,"AAAAAH/P58I=",0)</f>
        <v>#REF!</v>
      </c>
      <c r="GN189" t="e">
        <f>IF(#REF!,"AAAAAH/P58M=",0)</f>
        <v>#REF!</v>
      </c>
      <c r="GO189" t="e">
        <f>IF(#REF!,"AAAAAH/P58Q=",0)</f>
        <v>#REF!</v>
      </c>
      <c r="GP189" t="e">
        <f>IF(#REF!,"AAAAAH/P58U=",0)</f>
        <v>#REF!</v>
      </c>
      <c r="GQ189" t="e">
        <f>IF(#REF!,"AAAAAH/P58Y=",0)</f>
        <v>#REF!</v>
      </c>
      <c r="GR189" t="e">
        <f>IF(#REF!,"AAAAAH/P58c=",0)</f>
        <v>#REF!</v>
      </c>
      <c r="GS189" t="e">
        <f>IF(#REF!,"AAAAAH/P58g=",0)</f>
        <v>#REF!</v>
      </c>
      <c r="GT189" t="e">
        <f>IF(#REF!,"AAAAAH/P58k=",0)</f>
        <v>#REF!</v>
      </c>
      <c r="GU189" t="e">
        <f>IF(#REF!,"AAAAAH/P58o=",0)</f>
        <v>#REF!</v>
      </c>
      <c r="GV189" t="e">
        <f>IF(#REF!,"AAAAAH/P58s=",0)</f>
        <v>#REF!</v>
      </c>
      <c r="GW189" t="e">
        <f>IF(#REF!,"AAAAAH/P58w=",0)</f>
        <v>#REF!</v>
      </c>
      <c r="GX189" t="e">
        <f>IF(#REF!,"AAAAAH/P580=",0)</f>
        <v>#REF!</v>
      </c>
      <c r="GY189" t="e">
        <f>IF(#REF!,"AAAAAH/P584=",0)</f>
        <v>#REF!</v>
      </c>
      <c r="GZ189" t="e">
        <f>IF(#REF!,"AAAAAH/P588=",0)</f>
        <v>#REF!</v>
      </c>
      <c r="HA189" t="e">
        <f>IF(#REF!,"AAAAAH/P59A=",0)</f>
        <v>#REF!</v>
      </c>
      <c r="HB189" t="e">
        <f>IF(#REF!,"AAAAAH/P59E=",0)</f>
        <v>#REF!</v>
      </c>
      <c r="HC189" t="e">
        <f>IF(#REF!,"AAAAAH/P59I=",0)</f>
        <v>#REF!</v>
      </c>
      <c r="HD189" t="e">
        <f>IF(#REF!,"AAAAAH/P59M=",0)</f>
        <v>#REF!</v>
      </c>
      <c r="HE189" t="e">
        <f>IF(#REF!,"AAAAAH/P59Q=",0)</f>
        <v>#REF!</v>
      </c>
      <c r="HF189" t="e">
        <f>IF(#REF!,"AAAAAH/P59U=",0)</f>
        <v>#REF!</v>
      </c>
      <c r="HG189" t="e">
        <f>IF(#REF!,"AAAAAH/P59Y=",0)</f>
        <v>#REF!</v>
      </c>
      <c r="HH189" t="e">
        <f>IF(#REF!,"AAAAAH/P59c=",0)</f>
        <v>#REF!</v>
      </c>
      <c r="HI189" t="e">
        <f>IF(#REF!,"AAAAAH/P59g=",0)</f>
        <v>#REF!</v>
      </c>
      <c r="HJ189" t="e">
        <f>IF(#REF!,"AAAAAH/P59k=",0)</f>
        <v>#REF!</v>
      </c>
      <c r="HK189" t="e">
        <f>IF(#REF!,"AAAAAH/P59o=",0)</f>
        <v>#REF!</v>
      </c>
      <c r="HL189" t="e">
        <f>IF(#REF!,"AAAAAH/P59s=",0)</f>
        <v>#REF!</v>
      </c>
      <c r="HM189" t="e">
        <f>IF(#REF!,"AAAAAH/P59w=",0)</f>
        <v>#REF!</v>
      </c>
      <c r="HN189" t="e">
        <f>IF(#REF!,"AAAAAH/P590=",0)</f>
        <v>#REF!</v>
      </c>
      <c r="HO189" t="e">
        <f>IF(#REF!,"AAAAAH/P594=",0)</f>
        <v>#REF!</v>
      </c>
      <c r="HP189" t="e">
        <f>IF(#REF!,"AAAAAH/P598=",0)</f>
        <v>#REF!</v>
      </c>
      <c r="HQ189" t="e">
        <f>IF(#REF!,"AAAAAH/P5+A=",0)</f>
        <v>#REF!</v>
      </c>
      <c r="HR189" t="e">
        <f>IF(#REF!,"AAAAAH/P5+E=",0)</f>
        <v>#REF!</v>
      </c>
      <c r="HS189" t="e">
        <f>IF(#REF!,"AAAAAH/P5+I=",0)</f>
        <v>#REF!</v>
      </c>
      <c r="HT189" t="e">
        <f>IF(#REF!,"AAAAAH/P5+M=",0)</f>
        <v>#REF!</v>
      </c>
      <c r="HU189" t="e">
        <f>IF(#REF!,"AAAAAH/P5+Q=",0)</f>
        <v>#REF!</v>
      </c>
      <c r="HV189" t="e">
        <f>IF(#REF!,"AAAAAH/P5+U=",0)</f>
        <v>#REF!</v>
      </c>
      <c r="HW189" t="e">
        <f>IF(#REF!,"AAAAAH/P5+Y=",0)</f>
        <v>#REF!</v>
      </c>
      <c r="HX189" t="e">
        <f>IF(#REF!,"AAAAAH/P5+c=",0)</f>
        <v>#REF!</v>
      </c>
      <c r="HY189" t="e">
        <f>IF(#REF!,"AAAAAH/P5+g=",0)</f>
        <v>#REF!</v>
      </c>
      <c r="HZ189" t="e">
        <f>IF(#REF!,"AAAAAH/P5+k=",0)</f>
        <v>#REF!</v>
      </c>
      <c r="IA189" t="e">
        <f>IF(#REF!,"AAAAAH/P5+o=",0)</f>
        <v>#REF!</v>
      </c>
      <c r="IB189" t="e">
        <f>IF(#REF!,"AAAAAH/P5+s=",0)</f>
        <v>#REF!</v>
      </c>
      <c r="IC189" t="e">
        <f>IF(#REF!,"AAAAAH/P5+w=",0)</f>
        <v>#REF!</v>
      </c>
      <c r="ID189" t="e">
        <f>IF(#REF!,"AAAAAH/P5+0=",0)</f>
        <v>#REF!</v>
      </c>
      <c r="IE189" t="e">
        <f>IF(#REF!,"AAAAAH/P5+4=",0)</f>
        <v>#REF!</v>
      </c>
      <c r="IF189" t="e">
        <f>IF(#REF!,"AAAAAH/P5+8=",0)</f>
        <v>#REF!</v>
      </c>
      <c r="IG189" t="e">
        <f>IF(#REF!,"AAAAAH/P5/A=",0)</f>
        <v>#REF!</v>
      </c>
      <c r="IH189" t="e">
        <f>IF(#REF!,"AAAAAH/P5/E=",0)</f>
        <v>#REF!</v>
      </c>
      <c r="II189" t="e">
        <f>IF(#REF!,"AAAAAH/P5/I=",0)</f>
        <v>#REF!</v>
      </c>
      <c r="IJ189" t="e">
        <f>IF(#REF!,"AAAAAH/P5/M=",0)</f>
        <v>#REF!</v>
      </c>
      <c r="IK189" t="e">
        <f>IF(#REF!,"AAAAAH/P5/Q=",0)</f>
        <v>#REF!</v>
      </c>
      <c r="IL189" t="e">
        <f>IF(#REF!,"AAAAAH/P5/U=",0)</f>
        <v>#REF!</v>
      </c>
      <c r="IM189" t="e">
        <f>IF(#REF!,"AAAAAH/P5/Y=",0)</f>
        <v>#REF!</v>
      </c>
      <c r="IN189" t="e">
        <f>IF(#REF!,"AAAAAH/P5/c=",0)</f>
        <v>#REF!</v>
      </c>
      <c r="IO189" t="e">
        <f>IF(#REF!,"AAAAAH/P5/g=",0)</f>
        <v>#REF!</v>
      </c>
      <c r="IP189" t="e">
        <f>IF(#REF!,"AAAAAH/P5/k=",0)</f>
        <v>#REF!</v>
      </c>
      <c r="IQ189" t="e">
        <f>IF(#REF!,"AAAAAH/P5/o=",0)</f>
        <v>#REF!</v>
      </c>
      <c r="IR189" t="e">
        <f>IF(#REF!,"AAAAAH/P5/s=",0)</f>
        <v>#REF!</v>
      </c>
      <c r="IS189" t="e">
        <f>IF(#REF!,"AAAAAH/P5/w=",0)</f>
        <v>#REF!</v>
      </c>
      <c r="IT189" t="e">
        <f>IF(#REF!,"AAAAAH/P5/0=",0)</f>
        <v>#REF!</v>
      </c>
      <c r="IU189" t="e">
        <f>IF(#REF!,"AAAAAH/P5/4=",0)</f>
        <v>#REF!</v>
      </c>
      <c r="IV189" t="e">
        <f>IF(#REF!,"AAAAAH/P5/8=",0)</f>
        <v>#REF!</v>
      </c>
    </row>
    <row r="190" spans="1:256">
      <c r="A190" t="e">
        <f>IF(#REF!,"AAAAAH9+fwA=",0)</f>
        <v>#REF!</v>
      </c>
      <c r="B190" t="e">
        <f>IF(#REF!,"AAAAAH9+fwE=",0)</f>
        <v>#REF!</v>
      </c>
      <c r="C190" t="e">
        <f>IF(#REF!,"AAAAAH9+fwI=",0)</f>
        <v>#REF!</v>
      </c>
      <c r="D190" t="e">
        <f>IF(#REF!,"AAAAAH9+fwM=",0)</f>
        <v>#REF!</v>
      </c>
      <c r="E190" t="e">
        <f>IF(#REF!,"AAAAAH9+fwQ=",0)</f>
        <v>#REF!</v>
      </c>
      <c r="F190" t="e">
        <f>IF(#REF!,"AAAAAH9+fwU=",0)</f>
        <v>#REF!</v>
      </c>
      <c r="G190" t="e">
        <f>IF(#REF!,"AAAAAH9+fwY=",0)</f>
        <v>#REF!</v>
      </c>
      <c r="H190" t="e">
        <f>IF(#REF!,"AAAAAH9+fwc=",0)</f>
        <v>#REF!</v>
      </c>
      <c r="I190" t="e">
        <f>IF(#REF!,"AAAAAH9+fwg=",0)</f>
        <v>#REF!</v>
      </c>
      <c r="J190" t="e">
        <f>IF(#REF!,"AAAAAH9+fwk=",0)</f>
        <v>#REF!</v>
      </c>
      <c r="K190" t="e">
        <f>IF(#REF!,"AAAAAH9+fwo=",0)</f>
        <v>#REF!</v>
      </c>
      <c r="L190" t="e">
        <f>IF(#REF!,"AAAAAH9+fws=",0)</f>
        <v>#REF!</v>
      </c>
      <c r="M190" t="e">
        <f>IF(#REF!,"AAAAAH9+fww=",0)</f>
        <v>#REF!</v>
      </c>
      <c r="N190" t="e">
        <f>IF(#REF!,"AAAAAH9+fw0=",0)</f>
        <v>#REF!</v>
      </c>
      <c r="O190" t="e">
        <f>IF(#REF!,"AAAAAH9+fw4=",0)</f>
        <v>#REF!</v>
      </c>
      <c r="P190" t="e">
        <f>IF(#REF!,"AAAAAH9+fw8=",0)</f>
        <v>#REF!</v>
      </c>
      <c r="Q190" t="e">
        <f>IF(#REF!,"AAAAAH9+fxA=",0)</f>
        <v>#REF!</v>
      </c>
      <c r="R190" t="e">
        <f>IF(#REF!,"AAAAAH9+fxE=",0)</f>
        <v>#REF!</v>
      </c>
      <c r="S190" t="e">
        <f>IF(#REF!,"AAAAAH9+fxI=",0)</f>
        <v>#REF!</v>
      </c>
      <c r="T190" t="e">
        <f>IF(#REF!,"AAAAAH9+fxM=",0)</f>
        <v>#REF!</v>
      </c>
      <c r="U190" t="e">
        <f>IF(#REF!,"AAAAAH9+fxQ=",0)</f>
        <v>#REF!</v>
      </c>
      <c r="V190" t="e">
        <f>IF(#REF!,"AAAAAH9+fxU=",0)</f>
        <v>#REF!</v>
      </c>
      <c r="W190" t="e">
        <f>IF(#REF!,"AAAAAH9+fxY=",0)</f>
        <v>#REF!</v>
      </c>
      <c r="X190" t="e">
        <f>IF(#REF!,"AAAAAH9+fxc=",0)</f>
        <v>#REF!</v>
      </c>
      <c r="Y190" t="e">
        <f>IF(#REF!,"AAAAAH9+fxg=",0)</f>
        <v>#REF!</v>
      </c>
      <c r="Z190" t="e">
        <f>IF(#REF!,"AAAAAH9+fxk=",0)</f>
        <v>#REF!</v>
      </c>
      <c r="AA190" t="e">
        <f>IF(#REF!,"AAAAAH9+fxo=",0)</f>
        <v>#REF!</v>
      </c>
      <c r="AB190" t="e">
        <f>IF(#REF!,"AAAAAH9+fxs=",0)</f>
        <v>#REF!</v>
      </c>
      <c r="AC190" t="e">
        <f>IF(#REF!,"AAAAAH9+fxw=",0)</f>
        <v>#REF!</v>
      </c>
      <c r="AD190" t="e">
        <f>IF(#REF!,"AAAAAH9+fx0=",0)</f>
        <v>#REF!</v>
      </c>
      <c r="AE190" t="e">
        <f>IF(#REF!,"AAAAAH9+fx4=",0)</f>
        <v>#REF!</v>
      </c>
      <c r="AF190" t="e">
        <f>IF(#REF!,"AAAAAH9+fx8=",0)</f>
        <v>#REF!</v>
      </c>
      <c r="AG190" t="e">
        <f>IF(#REF!,"AAAAAH9+fyA=",0)</f>
        <v>#REF!</v>
      </c>
      <c r="AH190" t="e">
        <f>IF(#REF!,"AAAAAH9+fyE=",0)</f>
        <v>#REF!</v>
      </c>
      <c r="AI190" t="e">
        <f>IF(#REF!,"AAAAAH9+fyI=",0)</f>
        <v>#REF!</v>
      </c>
      <c r="AJ190" t="e">
        <f>IF(#REF!,"AAAAAH9+fyM=",0)</f>
        <v>#REF!</v>
      </c>
      <c r="AK190" t="e">
        <f>IF(#REF!,"AAAAAH9+fyQ=",0)</f>
        <v>#REF!</v>
      </c>
      <c r="AL190" t="e">
        <f>IF(#REF!,"AAAAAH9+fyU=",0)</f>
        <v>#REF!</v>
      </c>
      <c r="AM190" t="e">
        <f>IF(#REF!,"AAAAAH9+fyY=",0)</f>
        <v>#REF!</v>
      </c>
      <c r="AN190" t="e">
        <f>IF(#REF!,"AAAAAH9+fyc=",0)</f>
        <v>#REF!</v>
      </c>
      <c r="AO190" t="e">
        <f>IF(#REF!,"AAAAAH9+fyg=",0)</f>
        <v>#REF!</v>
      </c>
      <c r="AP190" t="e">
        <f>IF(#REF!,"AAAAAH9+fyk=",0)</f>
        <v>#REF!</v>
      </c>
      <c r="AQ190" t="e">
        <f>IF(#REF!,"AAAAAH9+fyo=",0)</f>
        <v>#REF!</v>
      </c>
      <c r="AR190" t="e">
        <f>IF(#REF!,"AAAAAH9+fys=",0)</f>
        <v>#REF!</v>
      </c>
      <c r="AS190" t="e">
        <f>IF(#REF!,"AAAAAH9+fyw=",0)</f>
        <v>#REF!</v>
      </c>
      <c r="AT190" t="e">
        <f>IF(#REF!,"AAAAAH9+fy0=",0)</f>
        <v>#REF!</v>
      </c>
      <c r="AU190" t="e">
        <f>IF(#REF!,"AAAAAH9+fy4=",0)</f>
        <v>#REF!</v>
      </c>
      <c r="AV190" t="e">
        <f>IF(#REF!,"AAAAAH9+fy8=",0)</f>
        <v>#REF!</v>
      </c>
      <c r="AW190" t="e">
        <f>IF(#REF!,"AAAAAH9+fzA=",0)</f>
        <v>#REF!</v>
      </c>
      <c r="AX190" t="e">
        <f>IF(#REF!,"AAAAAH9+fzE=",0)</f>
        <v>#REF!</v>
      </c>
      <c r="AY190" t="e">
        <f>IF(#REF!,"AAAAAH9+fzI=",0)</f>
        <v>#REF!</v>
      </c>
      <c r="AZ190" t="e">
        <f>IF(#REF!,"AAAAAH9+fzM=",0)</f>
        <v>#REF!</v>
      </c>
      <c r="BA190" t="e">
        <f>IF(#REF!,"AAAAAH9+fzQ=",0)</f>
        <v>#REF!</v>
      </c>
      <c r="BB190" t="e">
        <f>IF(#REF!,"AAAAAH9+fzU=",0)</f>
        <v>#REF!</v>
      </c>
      <c r="BC190" t="e">
        <f>IF(#REF!,"AAAAAH9+fzY=",0)</f>
        <v>#REF!</v>
      </c>
      <c r="BD190" t="e">
        <f>IF(#REF!,"AAAAAH9+fzc=",0)</f>
        <v>#REF!</v>
      </c>
      <c r="BE190" t="e">
        <f>IF(#REF!,"AAAAAH9+fzg=",0)</f>
        <v>#REF!</v>
      </c>
      <c r="BF190" t="e">
        <f>IF(#REF!,"AAAAAH9+fzk=",0)</f>
        <v>#REF!</v>
      </c>
      <c r="BG190" t="e">
        <f>IF(#REF!,"AAAAAH9+fzo=",0)</f>
        <v>#REF!</v>
      </c>
      <c r="BH190" t="e">
        <f>IF(#REF!,"AAAAAH9+fzs=",0)</f>
        <v>#REF!</v>
      </c>
      <c r="BI190" t="e">
        <f>IF(#REF!,"AAAAAH9+fzw=",0)</f>
        <v>#REF!</v>
      </c>
      <c r="BJ190" t="e">
        <f>IF(#REF!,"AAAAAH9+fz0=",0)</f>
        <v>#REF!</v>
      </c>
      <c r="BK190" t="e">
        <f>IF(#REF!,"AAAAAH9+fz4=",0)</f>
        <v>#REF!</v>
      </c>
      <c r="BL190" t="e">
        <f>IF(#REF!,"AAAAAH9+fz8=",0)</f>
        <v>#REF!</v>
      </c>
      <c r="BM190" t="e">
        <f>IF(#REF!,"AAAAAH9+f0A=",0)</f>
        <v>#REF!</v>
      </c>
      <c r="BN190" t="e">
        <f>IF(#REF!,"AAAAAH9+f0E=",0)</f>
        <v>#REF!</v>
      </c>
      <c r="BO190" t="e">
        <f>IF(#REF!,"AAAAAH9+f0I=",0)</f>
        <v>#REF!</v>
      </c>
      <c r="BP190" t="e">
        <f>IF(#REF!,"AAAAAH9+f0M=",0)</f>
        <v>#REF!</v>
      </c>
      <c r="BQ190" t="e">
        <f>IF(#REF!,"AAAAAH9+f0Q=",0)</f>
        <v>#REF!</v>
      </c>
      <c r="BR190" t="e">
        <f>IF(#REF!,"AAAAAH9+f0U=",0)</f>
        <v>#REF!</v>
      </c>
      <c r="BS190" t="e">
        <f>IF(#REF!,"AAAAAH9+f0Y=",0)</f>
        <v>#REF!</v>
      </c>
      <c r="BT190" t="e">
        <f>IF(#REF!,"AAAAAH9+f0c=",0)</f>
        <v>#REF!</v>
      </c>
      <c r="BU190" t="e">
        <f>IF(#REF!,"AAAAAH9+f0g=",0)</f>
        <v>#REF!</v>
      </c>
      <c r="BV190" t="e">
        <f>IF(#REF!,"AAAAAH9+f0k=",0)</f>
        <v>#REF!</v>
      </c>
      <c r="BW190" t="e">
        <f>IF(#REF!,"AAAAAH9+f0o=",0)</f>
        <v>#REF!</v>
      </c>
      <c r="BX190" t="e">
        <f>IF(#REF!,"AAAAAH9+f0s=",0)</f>
        <v>#REF!</v>
      </c>
      <c r="BY190" t="e">
        <f>IF(#REF!,"AAAAAH9+f0w=",0)</f>
        <v>#REF!</v>
      </c>
      <c r="BZ190" t="e">
        <f>IF(#REF!,"AAAAAH9+f00=",0)</f>
        <v>#REF!</v>
      </c>
      <c r="CA190" t="e">
        <f>IF(#REF!,"AAAAAH9+f04=",0)</f>
        <v>#REF!</v>
      </c>
      <c r="CB190" t="e">
        <f>IF(#REF!,"AAAAAH9+f08=",0)</f>
        <v>#REF!</v>
      </c>
      <c r="CC190" t="e">
        <f>IF(#REF!,"AAAAAH9+f1A=",0)</f>
        <v>#REF!</v>
      </c>
      <c r="CD190" t="e">
        <f>IF(#REF!,"AAAAAH9+f1E=",0)</f>
        <v>#REF!</v>
      </c>
      <c r="CE190" t="e">
        <f>IF(#REF!,"AAAAAH9+f1I=",0)</f>
        <v>#REF!</v>
      </c>
      <c r="CF190" t="e">
        <f>IF(#REF!,"AAAAAH9+f1M=",0)</f>
        <v>#REF!</v>
      </c>
      <c r="CG190" t="e">
        <f>IF(#REF!,"AAAAAH9+f1Q=",0)</f>
        <v>#REF!</v>
      </c>
      <c r="CH190" t="e">
        <f>IF(#REF!,"AAAAAH9+f1U=",0)</f>
        <v>#REF!</v>
      </c>
      <c r="CI190" t="e">
        <f>IF(#REF!,"AAAAAH9+f1Y=",0)</f>
        <v>#REF!</v>
      </c>
      <c r="CJ190" t="e">
        <f>IF(#REF!,"AAAAAH9+f1c=",0)</f>
        <v>#REF!</v>
      </c>
      <c r="CK190" t="e">
        <f>IF(#REF!,"AAAAAH9+f1g=",0)</f>
        <v>#REF!</v>
      </c>
      <c r="CL190" t="e">
        <f>IF(#REF!,"AAAAAH9+f1k=",0)</f>
        <v>#REF!</v>
      </c>
      <c r="CM190" t="e">
        <f>IF(#REF!,"AAAAAH9+f1o=",0)</f>
        <v>#REF!</v>
      </c>
      <c r="CN190" t="e">
        <f>IF(#REF!,"AAAAAH9+f1s=",0)</f>
        <v>#REF!</v>
      </c>
      <c r="CO190" t="e">
        <f>IF(#REF!,"AAAAAH9+f1w=",0)</f>
        <v>#REF!</v>
      </c>
      <c r="CP190" t="e">
        <f>IF(#REF!,"AAAAAH9+f10=",0)</f>
        <v>#REF!</v>
      </c>
      <c r="CQ190" t="e">
        <f>IF(#REF!,"AAAAAH9+f14=",0)</f>
        <v>#REF!</v>
      </c>
      <c r="CR190" t="e">
        <f>IF(#REF!,"AAAAAH9+f18=",0)</f>
        <v>#REF!</v>
      </c>
      <c r="CS190" t="e">
        <f>IF(#REF!,"AAAAAH9+f2A=",0)</f>
        <v>#REF!</v>
      </c>
      <c r="CT190" t="e">
        <f>IF(#REF!,"AAAAAH9+f2E=",0)</f>
        <v>#REF!</v>
      </c>
      <c r="CU190" t="e">
        <f>IF(#REF!,"AAAAAH9+f2I=",0)</f>
        <v>#REF!</v>
      </c>
      <c r="CV190" t="e">
        <f>IF(#REF!,"AAAAAH9+f2M=",0)</f>
        <v>#REF!</v>
      </c>
      <c r="CW190" t="e">
        <f>IF(#REF!,"AAAAAH9+f2Q=",0)</f>
        <v>#REF!</v>
      </c>
      <c r="CX190" t="e">
        <f>IF(#REF!,"AAAAAH9+f2U=",0)</f>
        <v>#REF!</v>
      </c>
      <c r="CY190" t="e">
        <f>IF(#REF!,"AAAAAH9+f2Y=",0)</f>
        <v>#REF!</v>
      </c>
      <c r="CZ190" t="e">
        <f>IF(#REF!,"AAAAAH9+f2c=",0)</f>
        <v>#REF!</v>
      </c>
      <c r="DA190" t="e">
        <f>IF(#REF!,"AAAAAH9+f2g=",0)</f>
        <v>#REF!</v>
      </c>
      <c r="DB190" t="e">
        <f>IF(#REF!,"AAAAAH9+f2k=",0)</f>
        <v>#REF!</v>
      </c>
      <c r="DC190" t="e">
        <f>IF(#REF!,"AAAAAH9+f2o=",0)</f>
        <v>#REF!</v>
      </c>
      <c r="DD190" t="e">
        <f>IF(#REF!,"AAAAAH9+f2s=",0)</f>
        <v>#REF!</v>
      </c>
      <c r="DE190" t="e">
        <f>IF(#REF!,"AAAAAH9+f2w=",0)</f>
        <v>#REF!</v>
      </c>
      <c r="DF190" t="e">
        <f>IF(#REF!,"AAAAAH9+f20=",0)</f>
        <v>#REF!</v>
      </c>
      <c r="DG190" t="e">
        <f>IF(#REF!,"AAAAAH9+f24=",0)</f>
        <v>#REF!</v>
      </c>
      <c r="DH190" t="e">
        <f>IF(#REF!,"AAAAAH9+f28=",0)</f>
        <v>#REF!</v>
      </c>
      <c r="DI190" t="e">
        <f>IF(#REF!,"AAAAAH9+f3A=",0)</f>
        <v>#REF!</v>
      </c>
      <c r="DJ190" t="e">
        <f>IF(#REF!,"AAAAAH9+f3E=",0)</f>
        <v>#REF!</v>
      </c>
      <c r="DK190" t="e">
        <f>IF(#REF!,"AAAAAH9+f3I=",0)</f>
        <v>#REF!</v>
      </c>
      <c r="DL190" t="e">
        <f>IF(#REF!,"AAAAAH9+f3M=",0)</f>
        <v>#REF!</v>
      </c>
      <c r="DM190" t="e">
        <f>IF(#REF!,"AAAAAH9+f3Q=",0)</f>
        <v>#REF!</v>
      </c>
      <c r="DN190" t="e">
        <f>IF(#REF!,"AAAAAH9+f3U=",0)</f>
        <v>#REF!</v>
      </c>
      <c r="DO190" t="e">
        <f>IF(#REF!,"AAAAAH9+f3Y=",0)</f>
        <v>#REF!</v>
      </c>
      <c r="DP190" t="e">
        <f>IF(#REF!,"AAAAAH9+f3c=",0)</f>
        <v>#REF!</v>
      </c>
      <c r="DQ190" t="e">
        <f>IF(#REF!,"AAAAAH9+f3g=",0)</f>
        <v>#REF!</v>
      </c>
      <c r="DR190" t="e">
        <f>IF(#REF!,"AAAAAH9+f3k=",0)</f>
        <v>#REF!</v>
      </c>
      <c r="DS190" t="e">
        <f>IF(#REF!,"AAAAAH9+f3o=",0)</f>
        <v>#REF!</v>
      </c>
      <c r="DT190" t="e">
        <f>IF(#REF!,"AAAAAH9+f3s=",0)</f>
        <v>#REF!</v>
      </c>
      <c r="DU190" t="e">
        <f>IF(#REF!,"AAAAAH9+f3w=",0)</f>
        <v>#REF!</v>
      </c>
      <c r="DV190" t="e">
        <f>IF(#REF!,"AAAAAH9+f30=",0)</f>
        <v>#REF!</v>
      </c>
      <c r="DW190" t="e">
        <f>IF(#REF!,"AAAAAH9+f34=",0)</f>
        <v>#REF!</v>
      </c>
      <c r="DX190" t="e">
        <f>IF(#REF!,"AAAAAH9+f38=",0)</f>
        <v>#REF!</v>
      </c>
      <c r="DY190" t="e">
        <f>IF(#REF!,"AAAAAH9+f4A=",0)</f>
        <v>#REF!</v>
      </c>
      <c r="DZ190" t="e">
        <f>IF(#REF!,"AAAAAH9+f4E=",0)</f>
        <v>#REF!</v>
      </c>
      <c r="EA190" t="e">
        <f>IF(#REF!,"AAAAAH9+f4I=",0)</f>
        <v>#REF!</v>
      </c>
      <c r="EB190" t="e">
        <f>IF(#REF!,"AAAAAH9+f4M=",0)</f>
        <v>#REF!</v>
      </c>
      <c r="EC190" t="e">
        <f>IF(#REF!,"AAAAAH9+f4Q=",0)</f>
        <v>#REF!</v>
      </c>
      <c r="ED190" t="e">
        <f>IF(#REF!,"AAAAAH9+f4U=",0)</f>
        <v>#REF!</v>
      </c>
      <c r="EE190" t="e">
        <f>IF(#REF!,"AAAAAH9+f4Y=",0)</f>
        <v>#REF!</v>
      </c>
      <c r="EF190" t="e">
        <f>IF(#REF!,"AAAAAH9+f4c=",0)</f>
        <v>#REF!</v>
      </c>
      <c r="EG190" t="e">
        <f>IF(#REF!,"AAAAAH9+f4g=",0)</f>
        <v>#REF!</v>
      </c>
      <c r="EH190" t="e">
        <f>IF(#REF!,"AAAAAH9+f4k=",0)</f>
        <v>#REF!</v>
      </c>
      <c r="EI190" t="e">
        <f>IF(#REF!,"AAAAAH9+f4o=",0)</f>
        <v>#REF!</v>
      </c>
      <c r="EJ190" t="e">
        <f>IF(#REF!,"AAAAAH9+f4s=",0)</f>
        <v>#REF!</v>
      </c>
      <c r="EK190" t="e">
        <f>IF(#REF!,"AAAAAH9+f4w=",0)</f>
        <v>#REF!</v>
      </c>
      <c r="EL190" t="e">
        <f>IF(#REF!,"AAAAAH9+f40=",0)</f>
        <v>#REF!</v>
      </c>
      <c r="EM190" t="e">
        <f>IF(#REF!,"AAAAAH9+f44=",0)</f>
        <v>#REF!</v>
      </c>
      <c r="EN190" t="e">
        <f>IF(#REF!,"AAAAAH9+f48=",0)</f>
        <v>#REF!</v>
      </c>
      <c r="EO190" t="e">
        <f>IF(#REF!,"AAAAAH9+f5A=",0)</f>
        <v>#REF!</v>
      </c>
      <c r="EP190" t="e">
        <f>IF(#REF!,"AAAAAH9+f5E=",0)</f>
        <v>#REF!</v>
      </c>
      <c r="EQ190" t="e">
        <f>IF(#REF!,"AAAAAH9+f5I=",0)</f>
        <v>#REF!</v>
      </c>
      <c r="ER190" t="e">
        <f>IF(#REF!,"AAAAAH9+f5M=",0)</f>
        <v>#REF!</v>
      </c>
      <c r="ES190" t="e">
        <f>IF(#REF!,"AAAAAH9+f5Q=",0)</f>
        <v>#REF!</v>
      </c>
      <c r="ET190" t="e">
        <f>IF(#REF!,"AAAAAH9+f5U=",0)</f>
        <v>#REF!</v>
      </c>
      <c r="EU190" t="e">
        <f>IF(#REF!,"AAAAAH9+f5Y=",0)</f>
        <v>#REF!</v>
      </c>
      <c r="EV190" t="e">
        <f>IF(#REF!,"AAAAAH9+f5c=",0)</f>
        <v>#REF!</v>
      </c>
      <c r="EW190" t="e">
        <f>IF(#REF!,"AAAAAH9+f5g=",0)</f>
        <v>#REF!</v>
      </c>
      <c r="EX190" t="e">
        <f>IF(#REF!,"AAAAAH9+f5k=",0)</f>
        <v>#REF!</v>
      </c>
      <c r="EY190" t="e">
        <f>IF(#REF!,"AAAAAH9+f5o=",0)</f>
        <v>#REF!</v>
      </c>
      <c r="EZ190" t="e">
        <f>IF(#REF!,"AAAAAH9+f5s=",0)</f>
        <v>#REF!</v>
      </c>
      <c r="FA190" t="e">
        <f>IF(#REF!,"AAAAAH9+f5w=",0)</f>
        <v>#REF!</v>
      </c>
      <c r="FB190" t="e">
        <f>IF(#REF!,"AAAAAH9+f50=",0)</f>
        <v>#REF!</v>
      </c>
      <c r="FC190" t="e">
        <f>IF(#REF!,"AAAAAH9+f54=",0)</f>
        <v>#REF!</v>
      </c>
      <c r="FD190" t="e">
        <f>IF(#REF!,"AAAAAH9+f58=",0)</f>
        <v>#REF!</v>
      </c>
      <c r="FE190" t="e">
        <f>IF(#REF!,"AAAAAH9+f6A=",0)</f>
        <v>#REF!</v>
      </c>
      <c r="FF190" t="e">
        <f>IF(#REF!,"AAAAAH9+f6E=",0)</f>
        <v>#REF!</v>
      </c>
      <c r="FG190" t="e">
        <f>IF(#REF!,"AAAAAH9+f6I=",0)</f>
        <v>#REF!</v>
      </c>
      <c r="FH190" t="e">
        <f>IF(#REF!,"AAAAAH9+f6M=",0)</f>
        <v>#REF!</v>
      </c>
      <c r="FI190" t="e">
        <f>IF(#REF!,"AAAAAH9+f6Q=",0)</f>
        <v>#REF!</v>
      </c>
      <c r="FJ190" t="e">
        <f>IF(#REF!,"AAAAAH9+f6U=",0)</f>
        <v>#REF!</v>
      </c>
      <c r="FK190" t="e">
        <f>IF(#REF!,"AAAAAH9+f6Y=",0)</f>
        <v>#REF!</v>
      </c>
      <c r="FL190" t="e">
        <f>IF(#REF!,"AAAAAH9+f6c=",0)</f>
        <v>#REF!</v>
      </c>
      <c r="FM190" t="e">
        <f>IF(#REF!,"AAAAAH9+f6g=",0)</f>
        <v>#REF!</v>
      </c>
      <c r="FN190" t="e">
        <f>IF(#REF!,"AAAAAH9+f6k=",0)</f>
        <v>#REF!</v>
      </c>
      <c r="FO190" t="e">
        <f>IF(#REF!,"AAAAAH9+f6o=",0)</f>
        <v>#REF!</v>
      </c>
      <c r="FP190" t="e">
        <f>IF(#REF!,"AAAAAH9+f6s=",0)</f>
        <v>#REF!</v>
      </c>
      <c r="FQ190" t="e">
        <f>IF(#REF!,"AAAAAH9+f6w=",0)</f>
        <v>#REF!</v>
      </c>
      <c r="FR190" t="e">
        <f>IF(#REF!,"AAAAAH9+f60=",0)</f>
        <v>#REF!</v>
      </c>
      <c r="FS190" t="e">
        <f>IF(#REF!,"AAAAAH9+f64=",0)</f>
        <v>#REF!</v>
      </c>
      <c r="FT190" t="e">
        <f>IF(#REF!,"AAAAAH9+f68=",0)</f>
        <v>#REF!</v>
      </c>
      <c r="FU190" t="e">
        <f>IF(#REF!,"AAAAAH9+f7A=",0)</f>
        <v>#REF!</v>
      </c>
      <c r="FV190" t="e">
        <f>IF(#REF!,"AAAAAH9+f7E=",0)</f>
        <v>#REF!</v>
      </c>
      <c r="FW190" t="e">
        <f>IF(#REF!,"AAAAAH9+f7I=",0)</f>
        <v>#REF!</v>
      </c>
      <c r="FX190" t="e">
        <f>IF(#REF!,"AAAAAH9+f7M=",0)</f>
        <v>#REF!</v>
      </c>
      <c r="FY190" t="e">
        <f>IF(#REF!,"AAAAAH9+f7Q=",0)</f>
        <v>#REF!</v>
      </c>
      <c r="FZ190" t="e">
        <f>IF(#REF!,"AAAAAH9+f7U=",0)</f>
        <v>#REF!</v>
      </c>
      <c r="GA190" t="e">
        <f>IF(#REF!,"AAAAAH9+f7Y=",0)</f>
        <v>#REF!</v>
      </c>
      <c r="GB190" t="e">
        <f>IF(#REF!,"AAAAAH9+f7c=",0)</f>
        <v>#REF!</v>
      </c>
      <c r="GC190" t="e">
        <f>IF(#REF!,"AAAAAH9+f7g=",0)</f>
        <v>#REF!</v>
      </c>
      <c r="GD190" t="e">
        <f>IF(#REF!,"AAAAAH9+f7k=",0)</f>
        <v>#REF!</v>
      </c>
      <c r="GE190" t="e">
        <f>IF(#REF!,"AAAAAH9+f7o=",0)</f>
        <v>#REF!</v>
      </c>
      <c r="GF190" t="e">
        <f>IF(#REF!,"AAAAAH9+f7s=",0)</f>
        <v>#REF!</v>
      </c>
      <c r="GG190" t="e">
        <f>IF(#REF!,"AAAAAH9+f7w=",0)</f>
        <v>#REF!</v>
      </c>
      <c r="GH190" t="e">
        <f>IF(#REF!,"AAAAAH9+f70=",0)</f>
        <v>#REF!</v>
      </c>
      <c r="GI190" t="e">
        <f>IF(#REF!,"AAAAAH9+f74=",0)</f>
        <v>#REF!</v>
      </c>
      <c r="GJ190" t="e">
        <f>IF(#REF!,"AAAAAH9+f78=",0)</f>
        <v>#REF!</v>
      </c>
      <c r="GK190" t="e">
        <f>IF(#REF!,"AAAAAH9+f8A=",0)</f>
        <v>#REF!</v>
      </c>
      <c r="GL190" t="e">
        <f>IF(#REF!,"AAAAAH9+f8E=",0)</f>
        <v>#REF!</v>
      </c>
      <c r="GM190" t="e">
        <f>IF(#REF!,"AAAAAH9+f8I=",0)</f>
        <v>#REF!</v>
      </c>
      <c r="GN190" t="e">
        <f>IF(#REF!,"AAAAAH9+f8M=",0)</f>
        <v>#REF!</v>
      </c>
      <c r="GO190" t="e">
        <f>IF(#REF!,"AAAAAH9+f8Q=",0)</f>
        <v>#REF!</v>
      </c>
      <c r="GP190" t="e">
        <f>IF(#REF!,"AAAAAH9+f8U=",0)</f>
        <v>#REF!</v>
      </c>
      <c r="GQ190" t="e">
        <f>IF(#REF!,"AAAAAH9+f8Y=",0)</f>
        <v>#REF!</v>
      </c>
      <c r="GR190" t="e">
        <f>IF(#REF!,"AAAAAH9+f8c=",0)</f>
        <v>#REF!</v>
      </c>
      <c r="GS190" t="e">
        <f>IF(#REF!,"AAAAAH9+f8g=",0)</f>
        <v>#REF!</v>
      </c>
      <c r="GT190" t="e">
        <f>IF(#REF!,"AAAAAH9+f8k=",0)</f>
        <v>#REF!</v>
      </c>
      <c r="GU190" t="e">
        <f>IF(#REF!,"AAAAAH9+f8o=",0)</f>
        <v>#REF!</v>
      </c>
      <c r="GV190" t="e">
        <f>IF(#REF!,"AAAAAH9+f8s=",0)</f>
        <v>#REF!</v>
      </c>
      <c r="GW190" t="e">
        <f>IF(#REF!,"AAAAAH9+f8w=",0)</f>
        <v>#REF!</v>
      </c>
      <c r="GX190" t="e">
        <f>IF(#REF!,"AAAAAH9+f80=",0)</f>
        <v>#REF!</v>
      </c>
      <c r="GY190" t="e">
        <f>IF(#REF!,"AAAAAH9+f84=",0)</f>
        <v>#REF!</v>
      </c>
      <c r="GZ190" t="e">
        <f>IF(#REF!,"AAAAAH9+f88=",0)</f>
        <v>#REF!</v>
      </c>
      <c r="HA190" t="e">
        <f>IF(#REF!,"AAAAAH9+f9A=",0)</f>
        <v>#REF!</v>
      </c>
      <c r="HB190" t="e">
        <f>IF(#REF!,"AAAAAH9+f9E=",0)</f>
        <v>#REF!</v>
      </c>
      <c r="HC190" t="e">
        <f>IF(#REF!,"AAAAAH9+f9I=",0)</f>
        <v>#REF!</v>
      </c>
      <c r="HD190" t="e">
        <f>IF(#REF!,"AAAAAH9+f9M=",0)</f>
        <v>#REF!</v>
      </c>
      <c r="HE190" t="e">
        <f>IF(#REF!,"AAAAAH9+f9Q=",0)</f>
        <v>#REF!</v>
      </c>
      <c r="HF190" t="e">
        <f>IF(#REF!,"AAAAAH9+f9U=",0)</f>
        <v>#REF!</v>
      </c>
      <c r="HG190" t="e">
        <f>IF(#REF!,"AAAAAH9+f9Y=",0)</f>
        <v>#REF!</v>
      </c>
      <c r="HH190" t="e">
        <f>IF(#REF!,"AAAAAH9+f9c=",0)</f>
        <v>#REF!</v>
      </c>
      <c r="HI190" t="e">
        <f>IF(#REF!,"AAAAAH9+f9g=",0)</f>
        <v>#REF!</v>
      </c>
      <c r="HJ190" t="e">
        <f>IF(#REF!,"AAAAAH9+f9k=",0)</f>
        <v>#REF!</v>
      </c>
      <c r="HK190" t="e">
        <f>IF(#REF!,"AAAAAH9+f9o=",0)</f>
        <v>#REF!</v>
      </c>
      <c r="HL190" t="e">
        <f>IF(#REF!,"AAAAAH9+f9s=",0)</f>
        <v>#REF!</v>
      </c>
      <c r="HM190" t="e">
        <f>IF(#REF!,"AAAAAH9+f9w=",0)</f>
        <v>#REF!</v>
      </c>
      <c r="HN190" t="e">
        <f>IF(#REF!,"AAAAAH9+f90=",0)</f>
        <v>#REF!</v>
      </c>
      <c r="HO190" t="e">
        <f>IF(#REF!,"AAAAAH9+f94=",0)</f>
        <v>#REF!</v>
      </c>
      <c r="HP190" t="e">
        <f>IF(#REF!,"AAAAAH9+f98=",0)</f>
        <v>#REF!</v>
      </c>
      <c r="HQ190" t="e">
        <f>IF(#REF!,"AAAAAH9+f+A=",0)</f>
        <v>#REF!</v>
      </c>
      <c r="HR190" t="e">
        <f>IF(#REF!,"AAAAAH9+f+E=",0)</f>
        <v>#REF!</v>
      </c>
      <c r="HS190" t="e">
        <f>IF(#REF!,"AAAAAH9+f+I=",0)</f>
        <v>#REF!</v>
      </c>
      <c r="HT190" t="e">
        <f>IF(#REF!,"AAAAAH9+f+M=",0)</f>
        <v>#REF!</v>
      </c>
      <c r="HU190" t="e">
        <f>IF(#REF!,"AAAAAH9+f+Q=",0)</f>
        <v>#REF!</v>
      </c>
      <c r="HV190" t="e">
        <f>IF(#REF!,"AAAAAH9+f+U=",0)</f>
        <v>#REF!</v>
      </c>
      <c r="HW190" t="e">
        <f>IF(#REF!,"AAAAAH9+f+Y=",0)</f>
        <v>#REF!</v>
      </c>
      <c r="HX190" t="e">
        <f>IF(#REF!,"AAAAAH9+f+c=",0)</f>
        <v>#REF!</v>
      </c>
      <c r="HY190" t="e">
        <f>IF(#REF!,"AAAAAH9+f+g=",0)</f>
        <v>#REF!</v>
      </c>
      <c r="HZ190" t="e">
        <f>IF(#REF!,"AAAAAH9+f+k=",0)</f>
        <v>#REF!</v>
      </c>
      <c r="IA190" t="e">
        <f>IF(#REF!,"AAAAAH9+f+o=",0)</f>
        <v>#REF!</v>
      </c>
      <c r="IB190" t="e">
        <f>IF(#REF!,"AAAAAH9+f+s=",0)</f>
        <v>#REF!</v>
      </c>
      <c r="IC190" t="e">
        <f>IF(#REF!,"AAAAAH9+f+w=",0)</f>
        <v>#REF!</v>
      </c>
      <c r="ID190" t="e">
        <f>IF(#REF!,"AAAAAH9+f+0=",0)</f>
        <v>#REF!</v>
      </c>
      <c r="IE190" t="e">
        <f>IF(#REF!,"AAAAAH9+f+4=",0)</f>
        <v>#REF!</v>
      </c>
      <c r="IF190" t="e">
        <f>IF(#REF!,"AAAAAH9+f+8=",0)</f>
        <v>#REF!</v>
      </c>
      <c r="IG190" t="e">
        <f>IF(#REF!,"AAAAAH9+f/A=",0)</f>
        <v>#REF!</v>
      </c>
      <c r="IH190" t="e">
        <f>IF(#REF!,"AAAAAH9+f/E=",0)</f>
        <v>#REF!</v>
      </c>
      <c r="II190" t="e">
        <f>IF(#REF!,"AAAAAH9+f/I=",0)</f>
        <v>#REF!</v>
      </c>
      <c r="IJ190" t="e">
        <f>IF(#REF!,"AAAAAH9+f/M=",0)</f>
        <v>#REF!</v>
      </c>
      <c r="IK190" t="e">
        <f>IF(#REF!,"AAAAAH9+f/Q=",0)</f>
        <v>#REF!</v>
      </c>
      <c r="IL190" t="e">
        <f>IF(#REF!,"AAAAAH9+f/U=",0)</f>
        <v>#REF!</v>
      </c>
      <c r="IM190" t="e">
        <f>IF(#REF!,"AAAAAH9+f/Y=",0)</f>
        <v>#REF!</v>
      </c>
      <c r="IN190" t="e">
        <f>IF(#REF!,"AAAAAH9+f/c=",0)</f>
        <v>#REF!</v>
      </c>
      <c r="IO190" t="e">
        <f>IF(#REF!,"AAAAAH9+f/g=",0)</f>
        <v>#REF!</v>
      </c>
      <c r="IP190" t="e">
        <f>IF(#REF!,"AAAAAH9+f/k=",0)</f>
        <v>#REF!</v>
      </c>
      <c r="IQ190" t="e">
        <f>IF(#REF!,"AAAAAH9+f/o=",0)</f>
        <v>#REF!</v>
      </c>
      <c r="IR190" t="e">
        <f>IF(#REF!,"AAAAAH9+f/s=",0)</f>
        <v>#REF!</v>
      </c>
      <c r="IS190" t="e">
        <f>IF(#REF!,"AAAAAH9+f/w=",0)</f>
        <v>#REF!</v>
      </c>
      <c r="IT190" t="e">
        <f>IF(#REF!,"AAAAAH9+f/0=",0)</f>
        <v>#REF!</v>
      </c>
      <c r="IU190" t="e">
        <f>IF(#REF!,"AAAAAH9+f/4=",0)</f>
        <v>#REF!</v>
      </c>
      <c r="IV190" t="e">
        <f>IF(#REF!,"AAAAAH9+f/8=",0)</f>
        <v>#REF!</v>
      </c>
    </row>
    <row r="191" spans="1:256">
      <c r="A191" t="e">
        <f>IF(#REF!,"AAAAAF+r2wA=",0)</f>
        <v>#REF!</v>
      </c>
      <c r="B191" t="e">
        <f>IF(#REF!,"AAAAAF+r2wE=",0)</f>
        <v>#REF!</v>
      </c>
      <c r="C191" t="e">
        <f>IF(#REF!,"AAAAAF+r2wI=",0)</f>
        <v>#REF!</v>
      </c>
      <c r="D191" t="e">
        <f>IF(#REF!,"AAAAAF+r2wM=",0)</f>
        <v>#REF!</v>
      </c>
      <c r="E191" t="e">
        <f>IF(#REF!,"AAAAAF+r2wQ=",0)</f>
        <v>#REF!</v>
      </c>
      <c r="F191" t="e">
        <f>IF(#REF!,"AAAAAF+r2wU=",0)</f>
        <v>#REF!</v>
      </c>
      <c r="G191" t="e">
        <f>IF(#REF!,"AAAAAF+r2wY=",0)</f>
        <v>#REF!</v>
      </c>
      <c r="H191" t="e">
        <f>IF(#REF!,"AAAAAF+r2wc=",0)</f>
        <v>#REF!</v>
      </c>
      <c r="I191" t="e">
        <f>IF(#REF!,"AAAAAF+r2wg=",0)</f>
        <v>#REF!</v>
      </c>
      <c r="J191" t="e">
        <f>IF(#REF!,"AAAAAF+r2wk=",0)</f>
        <v>#REF!</v>
      </c>
      <c r="K191" t="e">
        <f>IF(#REF!,"AAAAAF+r2wo=",0)</f>
        <v>#REF!</v>
      </c>
      <c r="L191" t="e">
        <f>IF(#REF!,"AAAAAF+r2ws=",0)</f>
        <v>#REF!</v>
      </c>
      <c r="M191" t="e">
        <f>IF(#REF!,"AAAAAF+r2ww=",0)</f>
        <v>#REF!</v>
      </c>
      <c r="N191" t="e">
        <f>IF(#REF!,"AAAAAF+r2w0=",0)</f>
        <v>#REF!</v>
      </c>
      <c r="O191" t="e">
        <f>IF(#REF!,"AAAAAF+r2w4=",0)</f>
        <v>#REF!</v>
      </c>
      <c r="P191" t="e">
        <f>IF(#REF!,"AAAAAF+r2w8=",0)</f>
        <v>#REF!</v>
      </c>
      <c r="Q191" t="e">
        <f>IF(#REF!,"AAAAAF+r2xA=",0)</f>
        <v>#REF!</v>
      </c>
      <c r="R191" t="e">
        <f>IF(#REF!,"AAAAAF+r2xE=",0)</f>
        <v>#REF!</v>
      </c>
      <c r="S191" t="e">
        <f>IF(#REF!,"AAAAAF+r2xI=",0)</f>
        <v>#REF!</v>
      </c>
      <c r="T191" t="e">
        <f>IF(#REF!,"AAAAAF+r2xM=",0)</f>
        <v>#REF!</v>
      </c>
      <c r="U191" t="e">
        <f>IF(#REF!,"AAAAAF+r2xQ=",0)</f>
        <v>#REF!</v>
      </c>
      <c r="V191" t="e">
        <f>IF(#REF!,"AAAAAF+r2xU=",0)</f>
        <v>#REF!</v>
      </c>
      <c r="W191" t="e">
        <f>IF(#REF!,"AAAAAF+r2xY=",0)</f>
        <v>#REF!</v>
      </c>
      <c r="X191" t="e">
        <f>IF(#REF!,"AAAAAF+r2xc=",0)</f>
        <v>#REF!</v>
      </c>
      <c r="Y191" t="e">
        <f>IF(#REF!,"AAAAAF+r2xg=",0)</f>
        <v>#REF!</v>
      </c>
      <c r="Z191" t="e">
        <f>IF(#REF!,"AAAAAF+r2xk=",0)</f>
        <v>#REF!</v>
      </c>
      <c r="AA191" t="e">
        <f>IF(#REF!,"AAAAAF+r2xo=",0)</f>
        <v>#REF!</v>
      </c>
      <c r="AB191" t="e">
        <f>IF(#REF!,"AAAAAF+r2xs=",0)</f>
        <v>#REF!</v>
      </c>
      <c r="AC191" t="e">
        <f>IF(#REF!,"AAAAAF+r2xw=",0)</f>
        <v>#REF!</v>
      </c>
      <c r="AD191" t="e">
        <f>IF(#REF!,"AAAAAF+r2x0=",0)</f>
        <v>#REF!</v>
      </c>
      <c r="AE191" t="e">
        <f>IF(#REF!,"AAAAAF+r2x4=",0)</f>
        <v>#REF!</v>
      </c>
      <c r="AF191" t="e">
        <f>IF(#REF!,"AAAAAF+r2x8=",0)</f>
        <v>#REF!</v>
      </c>
      <c r="AG191" t="e">
        <f>IF(#REF!,"AAAAAF+r2yA=",0)</f>
        <v>#REF!</v>
      </c>
      <c r="AH191" t="e">
        <f>IF(#REF!,"AAAAAF+r2yE=",0)</f>
        <v>#REF!</v>
      </c>
      <c r="AI191" t="e">
        <f>IF(#REF!,"AAAAAF+r2yI=",0)</f>
        <v>#REF!</v>
      </c>
      <c r="AJ191" t="e">
        <f>IF(#REF!,"AAAAAF+r2yM=",0)</f>
        <v>#REF!</v>
      </c>
      <c r="AK191" t="e">
        <f>IF(#REF!,"AAAAAF+r2yQ=",0)</f>
        <v>#REF!</v>
      </c>
      <c r="AL191" t="e">
        <f>IF(#REF!,"AAAAAF+r2yU=",0)</f>
        <v>#REF!</v>
      </c>
      <c r="AM191" t="e">
        <f>IF(#REF!,"AAAAAF+r2yY=",0)</f>
        <v>#REF!</v>
      </c>
      <c r="AN191" t="e">
        <f>IF(#REF!,"AAAAAF+r2yc=",0)</f>
        <v>#REF!</v>
      </c>
      <c r="AO191" t="e">
        <f>IF(#REF!,"AAAAAF+r2yg=",0)</f>
        <v>#REF!</v>
      </c>
      <c r="AP191" t="e">
        <f>IF(#REF!,"AAAAAF+r2yk=",0)</f>
        <v>#REF!</v>
      </c>
      <c r="AQ191" t="e">
        <f>IF(#REF!,"AAAAAF+r2yo=",0)</f>
        <v>#REF!</v>
      </c>
      <c r="AR191" t="e">
        <f>IF(#REF!,"AAAAAF+r2ys=",0)</f>
        <v>#REF!</v>
      </c>
      <c r="AS191" t="e">
        <f>IF(#REF!,"AAAAAF+r2yw=",0)</f>
        <v>#REF!</v>
      </c>
      <c r="AT191" t="e">
        <f>IF(#REF!,"AAAAAF+r2y0=",0)</f>
        <v>#REF!</v>
      </c>
      <c r="AU191" t="e">
        <f>IF(#REF!,"AAAAAF+r2y4=",0)</f>
        <v>#REF!</v>
      </c>
      <c r="AV191" t="e">
        <f>IF(#REF!,"AAAAAF+r2y8=",0)</f>
        <v>#REF!</v>
      </c>
      <c r="AW191" t="e">
        <f>IF(#REF!,"AAAAAF+r2zA=",0)</f>
        <v>#REF!</v>
      </c>
      <c r="AX191" t="e">
        <f>IF(#REF!,"AAAAAF+r2zE=",0)</f>
        <v>#REF!</v>
      </c>
      <c r="AY191" t="e">
        <f>IF(#REF!,"AAAAAF+r2zI=",0)</f>
        <v>#REF!</v>
      </c>
      <c r="AZ191" t="e">
        <f>IF(#REF!,"AAAAAF+r2zM=",0)</f>
        <v>#REF!</v>
      </c>
      <c r="BA191" t="e">
        <f>IF(#REF!,"AAAAAF+r2zQ=",0)</f>
        <v>#REF!</v>
      </c>
      <c r="BB191" t="e">
        <f>IF(#REF!,"AAAAAF+r2zU=",0)</f>
        <v>#REF!</v>
      </c>
      <c r="BC191" t="e">
        <f>IF(#REF!,"AAAAAF+r2zY=",0)</f>
        <v>#REF!</v>
      </c>
      <c r="BD191" t="e">
        <f>IF(#REF!,"AAAAAF+r2zc=",0)</f>
        <v>#REF!</v>
      </c>
      <c r="BE191" t="e">
        <f>IF(#REF!,"AAAAAF+r2zg=",0)</f>
        <v>#REF!</v>
      </c>
      <c r="BF191" t="e">
        <f>IF(#REF!,"AAAAAF+r2zk=",0)</f>
        <v>#REF!</v>
      </c>
      <c r="BG191" t="e">
        <f>IF(#REF!,"AAAAAF+r2zo=",0)</f>
        <v>#REF!</v>
      </c>
      <c r="BH191" t="e">
        <f>IF(#REF!,"AAAAAF+r2zs=",0)</f>
        <v>#REF!</v>
      </c>
      <c r="BI191" t="e">
        <f>IF(#REF!,"AAAAAF+r2zw=",0)</f>
        <v>#REF!</v>
      </c>
      <c r="BJ191" t="e">
        <f>IF(#REF!,"AAAAAF+r2z0=",0)</f>
        <v>#REF!</v>
      </c>
      <c r="BK191" t="e">
        <f>IF(#REF!,"AAAAAF+r2z4=",0)</f>
        <v>#REF!</v>
      </c>
      <c r="BL191" t="e">
        <f>IF(#REF!,"AAAAAF+r2z8=",0)</f>
        <v>#REF!</v>
      </c>
      <c r="BM191" t="e">
        <f>IF(#REF!,"AAAAAF+r20A=",0)</f>
        <v>#REF!</v>
      </c>
      <c r="BN191" t="e">
        <f>IF(#REF!,"AAAAAF+r20E=",0)</f>
        <v>#REF!</v>
      </c>
      <c r="BO191" t="e">
        <f>IF(#REF!,"AAAAAF+r20I=",0)</f>
        <v>#REF!</v>
      </c>
      <c r="BP191" t="e">
        <f>IF(#REF!,"AAAAAF+r20M=",0)</f>
        <v>#REF!</v>
      </c>
      <c r="BQ191" t="e">
        <f>IF(#REF!,"AAAAAF+r20Q=",0)</f>
        <v>#REF!</v>
      </c>
      <c r="BR191" t="e">
        <f>IF(#REF!,"AAAAAF+r20U=",0)</f>
        <v>#REF!</v>
      </c>
      <c r="BS191" t="e">
        <f>IF(#REF!,"AAAAAF+r20Y=",0)</f>
        <v>#REF!</v>
      </c>
      <c r="BT191" t="e">
        <f>IF(#REF!,"AAAAAF+r20c=",0)</f>
        <v>#REF!</v>
      </c>
      <c r="BU191" t="e">
        <f>IF(#REF!,"AAAAAF+r20g=",0)</f>
        <v>#REF!</v>
      </c>
      <c r="BV191" t="e">
        <f>IF(#REF!,"AAAAAF+r20k=",0)</f>
        <v>#REF!</v>
      </c>
      <c r="BW191" t="e">
        <f>IF(#REF!,"AAAAAF+r20o=",0)</f>
        <v>#REF!</v>
      </c>
      <c r="BX191" t="e">
        <f>IF(#REF!,"AAAAAF+r20s=",0)</f>
        <v>#REF!</v>
      </c>
      <c r="BY191" t="e">
        <f>IF(#REF!,"AAAAAF+r20w=",0)</f>
        <v>#REF!</v>
      </c>
      <c r="BZ191" t="e">
        <f>IF(#REF!,"AAAAAF+r200=",0)</f>
        <v>#REF!</v>
      </c>
      <c r="CA191" t="e">
        <f>IF(#REF!,"AAAAAF+r204=",0)</f>
        <v>#REF!</v>
      </c>
      <c r="CB191" t="e">
        <f>IF(#REF!,"AAAAAF+r208=",0)</f>
        <v>#REF!</v>
      </c>
      <c r="CC191" t="e">
        <f>IF(#REF!,"AAAAAF+r21A=",0)</f>
        <v>#REF!</v>
      </c>
      <c r="CD191" t="e">
        <f>IF(#REF!,"AAAAAF+r21E=",0)</f>
        <v>#REF!</v>
      </c>
      <c r="CE191" t="e">
        <f>IF(#REF!,"AAAAAF+r21I=",0)</f>
        <v>#REF!</v>
      </c>
      <c r="CF191" t="e">
        <f>IF(#REF!,"AAAAAF+r21M=",0)</f>
        <v>#REF!</v>
      </c>
      <c r="CG191" t="e">
        <f>IF(#REF!,"AAAAAF+r21Q=",0)</f>
        <v>#REF!</v>
      </c>
      <c r="CH191" t="e">
        <f>IF(#REF!,"AAAAAF+r21U=",0)</f>
        <v>#REF!</v>
      </c>
      <c r="CI191" t="e">
        <f>IF(#REF!,"AAAAAF+r21Y=",0)</f>
        <v>#REF!</v>
      </c>
      <c r="CJ191" t="e">
        <f>IF(#REF!,"AAAAAF+r21c=",0)</f>
        <v>#REF!</v>
      </c>
      <c r="CK191" t="e">
        <f>IF(#REF!,"AAAAAF+r21g=",0)</f>
        <v>#REF!</v>
      </c>
      <c r="CL191" t="e">
        <f>IF(#REF!,"AAAAAF+r21k=",0)</f>
        <v>#REF!</v>
      </c>
      <c r="CM191" t="e">
        <f>IF(#REF!,"AAAAAF+r21o=",0)</f>
        <v>#REF!</v>
      </c>
      <c r="CN191" t="e">
        <f>IF(#REF!,"AAAAAF+r21s=",0)</f>
        <v>#REF!</v>
      </c>
      <c r="CO191" t="e">
        <f>IF(#REF!,"AAAAAF+r21w=",0)</f>
        <v>#REF!</v>
      </c>
      <c r="CP191" t="e">
        <f>IF(#REF!,"AAAAAF+r210=",0)</f>
        <v>#REF!</v>
      </c>
      <c r="CQ191" t="e">
        <f>IF(#REF!,"AAAAAF+r214=",0)</f>
        <v>#REF!</v>
      </c>
      <c r="CR191" t="e">
        <f>IF(#REF!,"AAAAAF+r218=",0)</f>
        <v>#REF!</v>
      </c>
      <c r="CS191" t="e">
        <f>IF(#REF!,"AAAAAF+r22A=",0)</f>
        <v>#REF!</v>
      </c>
      <c r="CT191" t="e">
        <f>IF(#REF!,"AAAAAF+r22E=",0)</f>
        <v>#REF!</v>
      </c>
      <c r="CU191" t="e">
        <f>IF(#REF!,"AAAAAF+r22I=",0)</f>
        <v>#REF!</v>
      </c>
      <c r="CV191" t="e">
        <f>IF(#REF!,"AAAAAF+r22M=",0)</f>
        <v>#REF!</v>
      </c>
      <c r="CW191" t="e">
        <f>IF(#REF!,"AAAAAF+r22Q=",0)</f>
        <v>#REF!</v>
      </c>
      <c r="CX191" t="e">
        <f>IF(#REF!,"AAAAAF+r22U=",0)</f>
        <v>#REF!</v>
      </c>
      <c r="CY191" t="e">
        <f>IF(#REF!,"AAAAAF+r22Y=",0)</f>
        <v>#REF!</v>
      </c>
      <c r="CZ191" t="e">
        <f>IF(#REF!,"AAAAAF+r22c=",0)</f>
        <v>#REF!</v>
      </c>
      <c r="DA191" t="e">
        <f>IF(#REF!,"AAAAAF+r22g=",0)</f>
        <v>#REF!</v>
      </c>
      <c r="DB191" t="e">
        <f>IF(#REF!,"AAAAAF+r22k=",0)</f>
        <v>#REF!</v>
      </c>
      <c r="DC191" t="e">
        <f>IF(#REF!,"AAAAAF+r22o=",0)</f>
        <v>#REF!</v>
      </c>
      <c r="DD191" t="e">
        <f>IF(#REF!,"AAAAAF+r22s=",0)</f>
        <v>#REF!</v>
      </c>
      <c r="DE191" t="e">
        <f>IF(#REF!,"AAAAAF+r22w=",0)</f>
        <v>#REF!</v>
      </c>
      <c r="DF191" t="e">
        <f>IF(#REF!,"AAAAAF+r220=",0)</f>
        <v>#REF!</v>
      </c>
      <c r="DG191" t="e">
        <f>IF(#REF!,"AAAAAF+r224=",0)</f>
        <v>#REF!</v>
      </c>
      <c r="DH191" t="e">
        <f>IF(#REF!,"AAAAAF+r228=",0)</f>
        <v>#REF!</v>
      </c>
      <c r="DI191" t="e">
        <f>IF(#REF!,"AAAAAF+r23A=",0)</f>
        <v>#REF!</v>
      </c>
      <c r="DJ191" t="e">
        <f>IF(#REF!,"AAAAAF+r23E=",0)</f>
        <v>#REF!</v>
      </c>
      <c r="DK191" t="e">
        <f>IF(#REF!,"AAAAAF+r23I=",0)</f>
        <v>#REF!</v>
      </c>
      <c r="DL191" t="e">
        <f>IF(#REF!,"AAAAAF+r23M=",0)</f>
        <v>#REF!</v>
      </c>
      <c r="DM191" t="e">
        <f>IF(#REF!,"AAAAAF+r23Q=",0)</f>
        <v>#REF!</v>
      </c>
      <c r="DN191" t="e">
        <f>IF(#REF!,"AAAAAF+r23U=",0)</f>
        <v>#REF!</v>
      </c>
      <c r="DO191" t="e">
        <f>IF(#REF!,"AAAAAF+r23Y=",0)</f>
        <v>#REF!</v>
      </c>
      <c r="DP191" t="e">
        <f>IF(#REF!,"AAAAAF+r23c=",0)</f>
        <v>#REF!</v>
      </c>
      <c r="DQ191" t="e">
        <f>IF(#REF!,"AAAAAF+r23g=",0)</f>
        <v>#REF!</v>
      </c>
      <c r="DR191" t="e">
        <f>IF(#REF!,"AAAAAF+r23k=",0)</f>
        <v>#REF!</v>
      </c>
      <c r="DS191" t="e">
        <f>IF(#REF!,"AAAAAF+r23o=",0)</f>
        <v>#REF!</v>
      </c>
      <c r="DT191" t="e">
        <f>IF(#REF!,"AAAAAF+r23s=",0)</f>
        <v>#REF!</v>
      </c>
      <c r="DU191" t="e">
        <f>IF(#REF!,"AAAAAF+r23w=",0)</f>
        <v>#REF!</v>
      </c>
      <c r="DV191" t="e">
        <f>IF(#REF!,"AAAAAF+r230=",0)</f>
        <v>#REF!</v>
      </c>
      <c r="DW191" t="e">
        <f>IF(#REF!,"AAAAAF+r234=",0)</f>
        <v>#REF!</v>
      </c>
      <c r="DX191" t="e">
        <f>IF(#REF!,"AAAAAF+r238=",0)</f>
        <v>#REF!</v>
      </c>
      <c r="DY191" t="e">
        <f>IF(#REF!,"AAAAAF+r24A=",0)</f>
        <v>#REF!</v>
      </c>
      <c r="DZ191" t="e">
        <f>IF(#REF!,"AAAAAF+r24E=",0)</f>
        <v>#REF!</v>
      </c>
      <c r="EA191" t="e">
        <f>IF(#REF!,"AAAAAF+r24I=",0)</f>
        <v>#REF!</v>
      </c>
      <c r="EB191" t="e">
        <f>IF(#REF!,"AAAAAF+r24M=",0)</f>
        <v>#REF!</v>
      </c>
      <c r="EC191" t="e">
        <f>IF(#REF!,"AAAAAF+r24Q=",0)</f>
        <v>#REF!</v>
      </c>
      <c r="ED191" t="e">
        <f>IF(#REF!,"AAAAAF+r24U=",0)</f>
        <v>#REF!</v>
      </c>
      <c r="EE191" t="e">
        <f>IF(#REF!,"AAAAAF+r24Y=",0)</f>
        <v>#REF!</v>
      </c>
      <c r="EF191" t="e">
        <f>IF(#REF!,"AAAAAF+r24c=",0)</f>
        <v>#REF!</v>
      </c>
      <c r="EG191" t="e">
        <f>IF(#REF!,"AAAAAF+r24g=",0)</f>
        <v>#REF!</v>
      </c>
      <c r="EH191" t="e">
        <f>IF(#REF!,"AAAAAF+r24k=",0)</f>
        <v>#REF!</v>
      </c>
      <c r="EI191" t="e">
        <f>IF(#REF!,"AAAAAF+r24o=",0)</f>
        <v>#REF!</v>
      </c>
      <c r="EJ191" t="e">
        <f>IF(#REF!,"AAAAAF+r24s=",0)</f>
        <v>#REF!</v>
      </c>
      <c r="EK191" t="e">
        <f>IF(#REF!,"AAAAAF+r24w=",0)</f>
        <v>#REF!</v>
      </c>
      <c r="EL191" t="e">
        <f>IF(#REF!,"AAAAAF+r240=",0)</f>
        <v>#REF!</v>
      </c>
      <c r="EM191" t="e">
        <f>IF(#REF!,"AAAAAF+r244=",0)</f>
        <v>#REF!</v>
      </c>
      <c r="EN191" t="e">
        <f>IF(#REF!,"AAAAAF+r248=",0)</f>
        <v>#REF!</v>
      </c>
      <c r="EO191" t="e">
        <f>IF(#REF!,"AAAAAF+r25A=",0)</f>
        <v>#REF!</v>
      </c>
      <c r="EP191" t="e">
        <f>IF(#REF!,"AAAAAF+r25E=",0)</f>
        <v>#REF!</v>
      </c>
      <c r="EQ191" t="e">
        <f>IF(#REF!,"AAAAAF+r25I=",0)</f>
        <v>#REF!</v>
      </c>
      <c r="ER191" t="e">
        <f>IF(#REF!,"AAAAAF+r25M=",0)</f>
        <v>#REF!</v>
      </c>
      <c r="ES191" t="e">
        <f>IF(#REF!,"AAAAAF+r25Q=",0)</f>
        <v>#REF!</v>
      </c>
      <c r="ET191" t="e">
        <f>IF(#REF!,"AAAAAF+r25U=",0)</f>
        <v>#REF!</v>
      </c>
      <c r="EU191" t="e">
        <f>IF(#REF!,"AAAAAF+r25Y=",0)</f>
        <v>#REF!</v>
      </c>
      <c r="EV191" t="e">
        <f>IF(#REF!,"AAAAAF+r25c=",0)</f>
        <v>#REF!</v>
      </c>
      <c r="EW191" t="e">
        <f>IF(#REF!,"AAAAAF+r25g=",0)</f>
        <v>#REF!</v>
      </c>
      <c r="EX191" t="e">
        <f>IF(#REF!,"AAAAAF+r25k=",0)</f>
        <v>#REF!</v>
      </c>
      <c r="EY191" t="e">
        <f>IF(#REF!,"AAAAAF+r25o=",0)</f>
        <v>#REF!</v>
      </c>
      <c r="EZ191" t="e">
        <f>IF(#REF!,"AAAAAF+r25s=",0)</f>
        <v>#REF!</v>
      </c>
      <c r="FA191" t="e">
        <f>IF(#REF!,"AAAAAF+r25w=",0)</f>
        <v>#REF!</v>
      </c>
      <c r="FB191" t="e">
        <f>IF(#REF!,"AAAAAF+r250=",0)</f>
        <v>#REF!</v>
      </c>
      <c r="FC191" t="e">
        <f>IF(#REF!,"AAAAAF+r254=",0)</f>
        <v>#REF!</v>
      </c>
      <c r="FD191" t="e">
        <f>IF(#REF!,"AAAAAF+r258=",0)</f>
        <v>#REF!</v>
      </c>
      <c r="FE191" t="e">
        <f>IF(#REF!,"AAAAAF+r26A=",0)</f>
        <v>#REF!</v>
      </c>
      <c r="FF191" t="e">
        <f>IF(#REF!,"AAAAAF+r26E=",0)</f>
        <v>#REF!</v>
      </c>
      <c r="FG191" t="e">
        <f>IF(#REF!,"AAAAAF+r26I=",0)</f>
        <v>#REF!</v>
      </c>
      <c r="FH191" t="e">
        <f>IF(#REF!,"AAAAAF+r26M=",0)</f>
        <v>#REF!</v>
      </c>
      <c r="FI191" t="e">
        <f>IF(#REF!,"AAAAAF+r26Q=",0)</f>
        <v>#REF!</v>
      </c>
      <c r="FJ191" t="e">
        <f>IF(#REF!,"AAAAAF+r26U=",0)</f>
        <v>#REF!</v>
      </c>
      <c r="FK191" t="e">
        <f>IF(#REF!,"AAAAAF+r26Y=",0)</f>
        <v>#REF!</v>
      </c>
      <c r="FL191" t="e">
        <f>IF(#REF!,"AAAAAF+r26c=",0)</f>
        <v>#REF!</v>
      </c>
      <c r="FM191" t="e">
        <f>IF(#REF!,"AAAAAF+r26g=",0)</f>
        <v>#REF!</v>
      </c>
      <c r="FN191" t="e">
        <f>IF(#REF!,"AAAAAF+r26k=",0)</f>
        <v>#REF!</v>
      </c>
      <c r="FO191" t="e">
        <f>IF(#REF!,"AAAAAF+r26o=",0)</f>
        <v>#REF!</v>
      </c>
      <c r="FP191" t="e">
        <f>IF(#REF!,"AAAAAF+r26s=",0)</f>
        <v>#REF!</v>
      </c>
      <c r="FQ191" t="e">
        <f>IF(#REF!,"AAAAAF+r26w=",0)</f>
        <v>#REF!</v>
      </c>
      <c r="FR191" t="e">
        <f>IF(#REF!,"AAAAAF+r260=",0)</f>
        <v>#REF!</v>
      </c>
      <c r="FS191" t="e">
        <f>IF(#REF!,"AAAAAF+r264=",0)</f>
        <v>#REF!</v>
      </c>
      <c r="FT191" t="e">
        <f>IF(#REF!,"AAAAAF+r268=",0)</f>
        <v>#REF!</v>
      </c>
      <c r="FU191" t="e">
        <f>IF(#REF!,"AAAAAF+r27A=",0)</f>
        <v>#REF!</v>
      </c>
      <c r="FV191" t="e">
        <f>IF(#REF!,"AAAAAF+r27E=",0)</f>
        <v>#REF!</v>
      </c>
      <c r="FW191" t="e">
        <f>IF(#REF!,"AAAAAF+r27I=",0)</f>
        <v>#REF!</v>
      </c>
      <c r="FX191" t="e">
        <f>IF(#REF!,"AAAAAF+r27M=",0)</f>
        <v>#REF!</v>
      </c>
      <c r="FY191" t="e">
        <f>IF(#REF!,"AAAAAF+r27Q=",0)</f>
        <v>#REF!</v>
      </c>
      <c r="FZ191" t="e">
        <f>IF(#REF!,"AAAAAF+r27U=",0)</f>
        <v>#REF!</v>
      </c>
      <c r="GA191" t="e">
        <f>IF(#REF!,"AAAAAF+r27Y=",0)</f>
        <v>#REF!</v>
      </c>
      <c r="GB191" t="e">
        <f>IF(#REF!,"AAAAAF+r27c=",0)</f>
        <v>#REF!</v>
      </c>
      <c r="GC191" t="e">
        <f>IF(#REF!,"AAAAAF+r27g=",0)</f>
        <v>#REF!</v>
      </c>
      <c r="GD191" t="e">
        <f>IF(#REF!,"AAAAAF+r27k=",0)</f>
        <v>#REF!</v>
      </c>
      <c r="GE191" t="e">
        <f>IF(#REF!,"AAAAAF+r27o=",0)</f>
        <v>#REF!</v>
      </c>
      <c r="GF191" t="e">
        <f>IF(#REF!,"AAAAAF+r27s=",0)</f>
        <v>#REF!</v>
      </c>
      <c r="GG191" t="e">
        <f>IF(#REF!,"AAAAAF+r27w=",0)</f>
        <v>#REF!</v>
      </c>
      <c r="GH191" t="e">
        <f>IF(#REF!,"AAAAAF+r270=",0)</f>
        <v>#REF!</v>
      </c>
      <c r="GI191" t="e">
        <f>IF(#REF!,"AAAAAF+r274=",0)</f>
        <v>#REF!</v>
      </c>
      <c r="GJ191" t="e">
        <f>IF(#REF!,"AAAAAF+r278=",0)</f>
        <v>#REF!</v>
      </c>
      <c r="GK191" t="e">
        <f>IF(#REF!,"AAAAAF+r28A=",0)</f>
        <v>#REF!</v>
      </c>
      <c r="GL191" t="e">
        <f>IF(#REF!,"AAAAAF+r28E=",0)</f>
        <v>#REF!</v>
      </c>
      <c r="GM191" t="e">
        <f>IF(#REF!,"AAAAAF+r28I=",0)</f>
        <v>#REF!</v>
      </c>
      <c r="GN191" t="e">
        <f>IF(#REF!,"AAAAAF+r28M=",0)</f>
        <v>#REF!</v>
      </c>
      <c r="GO191" t="e">
        <f>IF(#REF!,"AAAAAF+r28Q=",0)</f>
        <v>#REF!</v>
      </c>
      <c r="GP191" t="e">
        <f>IF(#REF!,"AAAAAF+r28U=",0)</f>
        <v>#REF!</v>
      </c>
      <c r="GQ191" t="e">
        <f>IF(#REF!,"AAAAAF+r28Y=",0)</f>
        <v>#REF!</v>
      </c>
      <c r="GR191" t="e">
        <f>IF(#REF!,"AAAAAF+r28c=",0)</f>
        <v>#REF!</v>
      </c>
      <c r="GS191" t="e">
        <f>IF(#REF!,"AAAAAF+r28g=",0)</f>
        <v>#REF!</v>
      </c>
      <c r="GT191" t="e">
        <f>IF(#REF!,"AAAAAF+r28k=",0)</f>
        <v>#REF!</v>
      </c>
      <c r="GU191" t="e">
        <f>IF(#REF!,"AAAAAF+r28o=",0)</f>
        <v>#REF!</v>
      </c>
      <c r="GV191" t="e">
        <f>IF(#REF!,"AAAAAF+r28s=",0)</f>
        <v>#REF!</v>
      </c>
      <c r="GW191" t="e">
        <f>IF(#REF!,"AAAAAF+r28w=",0)</f>
        <v>#REF!</v>
      </c>
      <c r="GX191" t="e">
        <f>IF(#REF!,"AAAAAF+r280=",0)</f>
        <v>#REF!</v>
      </c>
      <c r="GY191" t="e">
        <f>IF(#REF!,"AAAAAF+r284=",0)</f>
        <v>#REF!</v>
      </c>
      <c r="GZ191" t="e">
        <f>IF(#REF!,"AAAAAF+r288=",0)</f>
        <v>#REF!</v>
      </c>
      <c r="HA191" t="e">
        <f>IF(#REF!,"AAAAAF+r29A=",0)</f>
        <v>#REF!</v>
      </c>
      <c r="HB191" t="e">
        <f>IF(#REF!,"AAAAAF+r29E=",0)</f>
        <v>#REF!</v>
      </c>
      <c r="HC191" t="e">
        <f>IF(#REF!,"AAAAAF+r29I=",0)</f>
        <v>#REF!</v>
      </c>
      <c r="HD191" t="e">
        <f>IF(#REF!,"AAAAAF+r29M=",0)</f>
        <v>#REF!</v>
      </c>
      <c r="HE191" t="e">
        <f>IF(#REF!,"AAAAAF+r29Q=",0)</f>
        <v>#REF!</v>
      </c>
      <c r="HF191" t="e">
        <f>IF(#REF!,"AAAAAF+r29U=",0)</f>
        <v>#REF!</v>
      </c>
      <c r="HG191" t="e">
        <f>IF(#REF!,"AAAAAF+r29Y=",0)</f>
        <v>#REF!</v>
      </c>
      <c r="HH191" t="e">
        <f>IF(#REF!,"AAAAAF+r29c=",0)</f>
        <v>#REF!</v>
      </c>
      <c r="HI191" t="e">
        <f>IF(#REF!,"AAAAAF+r29g=",0)</f>
        <v>#REF!</v>
      </c>
      <c r="HJ191" t="e">
        <f>IF(#REF!,"AAAAAF+r29k=",0)</f>
        <v>#REF!</v>
      </c>
      <c r="HK191" t="e">
        <f>IF(#REF!,"AAAAAF+r29o=",0)</f>
        <v>#REF!</v>
      </c>
      <c r="HL191" t="e">
        <f>IF(#REF!,"AAAAAF+r29s=",0)</f>
        <v>#REF!</v>
      </c>
      <c r="HM191" t="e">
        <f>IF(#REF!,"AAAAAF+r29w=",0)</f>
        <v>#REF!</v>
      </c>
      <c r="HN191" t="e">
        <f>IF(#REF!,"AAAAAF+r290=",0)</f>
        <v>#REF!</v>
      </c>
      <c r="HO191" t="e">
        <f>IF(#REF!,"AAAAAF+r294=",0)</f>
        <v>#REF!</v>
      </c>
      <c r="HP191" t="e">
        <f>IF(#REF!,"AAAAAF+r298=",0)</f>
        <v>#REF!</v>
      </c>
      <c r="HQ191" t="e">
        <f>IF(#REF!,"AAAAAF+r2+A=",0)</f>
        <v>#REF!</v>
      </c>
      <c r="HR191" t="e">
        <f>IF(#REF!,"AAAAAF+r2+E=",0)</f>
        <v>#REF!</v>
      </c>
      <c r="HS191" t="e">
        <f>IF(#REF!,"AAAAAF+r2+I=",0)</f>
        <v>#REF!</v>
      </c>
      <c r="HT191" t="e">
        <f>IF(#REF!,"AAAAAF+r2+M=",0)</f>
        <v>#REF!</v>
      </c>
      <c r="HU191" t="e">
        <f>IF(#REF!,"AAAAAF+r2+Q=",0)</f>
        <v>#REF!</v>
      </c>
      <c r="HV191" t="e">
        <f>IF(#REF!,"AAAAAF+r2+U=",0)</f>
        <v>#REF!</v>
      </c>
      <c r="HW191" t="e">
        <f>IF(#REF!,"AAAAAF+r2+Y=",0)</f>
        <v>#REF!</v>
      </c>
      <c r="HX191" t="e">
        <f>IF(#REF!,"AAAAAF+r2+c=",0)</f>
        <v>#REF!</v>
      </c>
      <c r="HY191" t="e">
        <f>IF(#REF!,"AAAAAF+r2+g=",0)</f>
        <v>#REF!</v>
      </c>
      <c r="HZ191" t="e">
        <f>IF(#REF!,"AAAAAF+r2+k=",0)</f>
        <v>#REF!</v>
      </c>
      <c r="IA191" t="e">
        <f>IF(#REF!,"AAAAAF+r2+o=",0)</f>
        <v>#REF!</v>
      </c>
      <c r="IB191" t="e">
        <f>IF(#REF!,"AAAAAF+r2+s=",0)</f>
        <v>#REF!</v>
      </c>
      <c r="IC191" t="e">
        <f>IF(#REF!,"AAAAAF+r2+w=",0)</f>
        <v>#REF!</v>
      </c>
      <c r="ID191" t="e">
        <f>IF(#REF!,"AAAAAF+r2+0=",0)</f>
        <v>#REF!</v>
      </c>
      <c r="IE191" t="e">
        <f>IF(#REF!,"AAAAAF+r2+4=",0)</f>
        <v>#REF!</v>
      </c>
      <c r="IF191" t="e">
        <f>IF(#REF!,"AAAAAF+r2+8=",0)</f>
        <v>#REF!</v>
      </c>
      <c r="IG191" t="e">
        <f>IF(#REF!,"AAAAAF+r2/A=",0)</f>
        <v>#REF!</v>
      </c>
      <c r="IH191" t="e">
        <f>IF(#REF!,"AAAAAF+r2/E=",0)</f>
        <v>#REF!</v>
      </c>
      <c r="II191" t="e">
        <f>IF(#REF!,"AAAAAF+r2/I=",0)</f>
        <v>#REF!</v>
      </c>
      <c r="IJ191" t="e">
        <f>IF(#REF!,"AAAAAF+r2/M=",0)</f>
        <v>#REF!</v>
      </c>
      <c r="IK191" t="e">
        <f>IF(#REF!,"AAAAAF+r2/Q=",0)</f>
        <v>#REF!</v>
      </c>
      <c r="IL191" t="e">
        <f>IF(#REF!,"AAAAAF+r2/U=",0)</f>
        <v>#REF!</v>
      </c>
      <c r="IM191" t="e">
        <f>IF(#REF!,"AAAAAF+r2/Y=",0)</f>
        <v>#REF!</v>
      </c>
      <c r="IN191" t="e">
        <f>IF(#REF!,"AAAAAF+r2/c=",0)</f>
        <v>#REF!</v>
      </c>
      <c r="IO191" t="e">
        <f>IF(#REF!,"AAAAAF+r2/g=",0)</f>
        <v>#REF!</v>
      </c>
      <c r="IP191" t="e">
        <f>IF(#REF!,"AAAAAF+r2/k=",0)</f>
        <v>#REF!</v>
      </c>
      <c r="IQ191" t="e">
        <f>IF(#REF!,"AAAAAF+r2/o=",0)</f>
        <v>#REF!</v>
      </c>
      <c r="IR191" t="e">
        <f>IF(#REF!,"AAAAAF+r2/s=",0)</f>
        <v>#REF!</v>
      </c>
      <c r="IS191" t="e">
        <f>IF(#REF!,"AAAAAF+r2/w=",0)</f>
        <v>#REF!</v>
      </c>
      <c r="IT191" t="e">
        <f>IF(#REF!,"AAAAAF+r2/0=",0)</f>
        <v>#REF!</v>
      </c>
      <c r="IU191" t="e">
        <f>IF(#REF!,"AAAAAF+r2/4=",0)</f>
        <v>#REF!</v>
      </c>
      <c r="IV191" t="e">
        <f>IF(#REF!,"AAAAAF+r2/8=",0)</f>
        <v>#REF!</v>
      </c>
    </row>
    <row r="192" spans="1:256">
      <c r="A192" t="e">
        <f>IF(#REF!,"AAAAAF/TXwA=",0)</f>
        <v>#REF!</v>
      </c>
      <c r="B192" t="e">
        <f>IF(#REF!,"AAAAAF/TXwE=",0)</f>
        <v>#REF!</v>
      </c>
      <c r="C192" t="e">
        <f>IF(#REF!,"AAAAAF/TXwI=",0)</f>
        <v>#REF!</v>
      </c>
      <c r="D192" t="e">
        <f>IF(#REF!,"AAAAAF/TXwM=",0)</f>
        <v>#REF!</v>
      </c>
      <c r="E192" t="e">
        <f>IF(#REF!,"AAAAAF/TXwQ=",0)</f>
        <v>#REF!</v>
      </c>
      <c r="F192" t="e">
        <f>IF(#REF!,"AAAAAF/TXwU=",0)</f>
        <v>#REF!</v>
      </c>
      <c r="G192" t="e">
        <f>IF(#REF!,"AAAAAF/TXwY=",0)</f>
        <v>#REF!</v>
      </c>
      <c r="H192" t="e">
        <f>IF(#REF!,"AAAAAF/TXwc=",0)</f>
        <v>#REF!</v>
      </c>
      <c r="I192" t="e">
        <f>IF(#REF!,"AAAAAF/TXwg=",0)</f>
        <v>#REF!</v>
      </c>
      <c r="J192" t="e">
        <f>IF(#REF!,"AAAAAF/TXwk=",0)</f>
        <v>#REF!</v>
      </c>
      <c r="K192" t="e">
        <f>IF(#REF!,"AAAAAF/TXwo=",0)</f>
        <v>#REF!</v>
      </c>
      <c r="L192" t="e">
        <f>IF(#REF!,"AAAAAF/TXws=",0)</f>
        <v>#REF!</v>
      </c>
      <c r="M192" t="e">
        <f>IF(#REF!,"AAAAAF/TXww=",0)</f>
        <v>#REF!</v>
      </c>
      <c r="N192" t="e">
        <f>IF(#REF!,"AAAAAF/TXw0=",0)</f>
        <v>#REF!</v>
      </c>
      <c r="O192" t="e">
        <f>IF(#REF!,"AAAAAF/TXw4=",0)</f>
        <v>#REF!</v>
      </c>
      <c r="P192" t="e">
        <f>IF(#REF!,"AAAAAF/TXw8=",0)</f>
        <v>#REF!</v>
      </c>
      <c r="Q192" t="e">
        <f>IF(#REF!,"AAAAAF/TXxA=",0)</f>
        <v>#REF!</v>
      </c>
      <c r="R192" t="e">
        <f>IF(#REF!,"AAAAAF/TXxE=",0)</f>
        <v>#REF!</v>
      </c>
      <c r="S192" t="e">
        <f>IF(#REF!,"AAAAAF/TXxI=",0)</f>
        <v>#REF!</v>
      </c>
      <c r="T192" t="e">
        <f>IF(#REF!,"AAAAAF/TXxM=",0)</f>
        <v>#REF!</v>
      </c>
      <c r="U192" t="e">
        <f>IF(#REF!,"AAAAAF/TXxQ=",0)</f>
        <v>#REF!</v>
      </c>
      <c r="V192" t="e">
        <f>IF(#REF!,"AAAAAF/TXxU=",0)</f>
        <v>#REF!</v>
      </c>
      <c r="W192" t="e">
        <f>IF(#REF!,"AAAAAF/TXxY=",0)</f>
        <v>#REF!</v>
      </c>
      <c r="X192" t="e">
        <f>IF(#REF!,"AAAAAF/TXxc=",0)</f>
        <v>#REF!</v>
      </c>
      <c r="Y192" t="e">
        <f>IF(#REF!,"AAAAAF/TXxg=",0)</f>
        <v>#REF!</v>
      </c>
      <c r="Z192" t="e">
        <f>IF(#REF!,"AAAAAF/TXxk=",0)</f>
        <v>#REF!</v>
      </c>
      <c r="AA192" t="e">
        <f>IF(#REF!,"AAAAAF/TXxo=",0)</f>
        <v>#REF!</v>
      </c>
      <c r="AB192" t="e">
        <f>IF(#REF!,"AAAAAF/TXxs=",0)</f>
        <v>#REF!</v>
      </c>
      <c r="AC192" t="e">
        <f>IF(#REF!,"AAAAAF/TXxw=",0)</f>
        <v>#REF!</v>
      </c>
      <c r="AD192" t="e">
        <f>IF(#REF!,"AAAAAF/TXx0=",0)</f>
        <v>#REF!</v>
      </c>
      <c r="AE192" t="e">
        <f>IF(#REF!,"AAAAAF/TXx4=",0)</f>
        <v>#REF!</v>
      </c>
      <c r="AF192" t="e">
        <f>IF(#REF!,"AAAAAF/TXx8=",0)</f>
        <v>#REF!</v>
      </c>
      <c r="AG192" t="e">
        <f>IF(#REF!,"AAAAAF/TXyA=",0)</f>
        <v>#REF!</v>
      </c>
      <c r="AH192" t="e">
        <f>IF(#REF!,"AAAAAF/TXyE=",0)</f>
        <v>#REF!</v>
      </c>
      <c r="AI192" t="e">
        <f>IF(#REF!,"AAAAAF/TXyI=",0)</f>
        <v>#REF!</v>
      </c>
      <c r="AJ192" t="e">
        <f>IF(#REF!,"AAAAAF/TXyM=",0)</f>
        <v>#REF!</v>
      </c>
      <c r="AK192" t="e">
        <f>IF(#REF!,"AAAAAF/TXyQ=",0)</f>
        <v>#REF!</v>
      </c>
      <c r="AL192" t="e">
        <f>IF(#REF!,"AAAAAF/TXyU=",0)</f>
        <v>#REF!</v>
      </c>
      <c r="AM192" t="e">
        <f>IF(#REF!,"AAAAAF/TXyY=",0)</f>
        <v>#REF!</v>
      </c>
      <c r="AN192" t="e">
        <f>IF(#REF!,"AAAAAF/TXyc=",0)</f>
        <v>#REF!</v>
      </c>
      <c r="AO192" t="e">
        <f>IF(#REF!,"AAAAAF/TXyg=",0)</f>
        <v>#REF!</v>
      </c>
      <c r="AP192" t="e">
        <f>IF(#REF!,"AAAAAF/TXyk=",0)</f>
        <v>#REF!</v>
      </c>
      <c r="AQ192" t="e">
        <f>IF(#REF!,"AAAAAF/TXyo=",0)</f>
        <v>#REF!</v>
      </c>
      <c r="AR192" t="e">
        <f>IF(#REF!,"AAAAAF/TXys=",0)</f>
        <v>#REF!</v>
      </c>
      <c r="AS192" t="e">
        <f>IF(#REF!,"AAAAAF/TXyw=",0)</f>
        <v>#REF!</v>
      </c>
      <c r="AT192" t="e">
        <f>IF(#REF!,"AAAAAF/TXy0=",0)</f>
        <v>#REF!</v>
      </c>
      <c r="AU192" t="e">
        <f>IF(#REF!,"AAAAAF/TXy4=",0)</f>
        <v>#REF!</v>
      </c>
      <c r="AV192" t="e">
        <f>IF(#REF!,"AAAAAF/TXy8=",0)</f>
        <v>#REF!</v>
      </c>
      <c r="AW192" t="e">
        <f>IF(#REF!,"AAAAAF/TXzA=",0)</f>
        <v>#REF!</v>
      </c>
      <c r="AX192" t="e">
        <f>IF(#REF!,"AAAAAF/TXzE=",0)</f>
        <v>#REF!</v>
      </c>
      <c r="AY192" t="e">
        <f>IF(#REF!,"AAAAAF/TXzI=",0)</f>
        <v>#REF!</v>
      </c>
      <c r="AZ192" t="e">
        <f>IF(#REF!,"AAAAAF/TXzM=",0)</f>
        <v>#REF!</v>
      </c>
      <c r="BA192" t="e">
        <f>IF(#REF!,"AAAAAF/TXzQ=",0)</f>
        <v>#REF!</v>
      </c>
      <c r="BB192" t="e">
        <f>IF(#REF!,"AAAAAF/TXzU=",0)</f>
        <v>#REF!</v>
      </c>
      <c r="BC192" t="e">
        <f>IF(#REF!,"AAAAAF/TXzY=",0)</f>
        <v>#REF!</v>
      </c>
      <c r="BD192" t="e">
        <f>IF(#REF!,"AAAAAF/TXzc=",0)</f>
        <v>#REF!</v>
      </c>
      <c r="BE192" t="e">
        <f>IF(#REF!,"AAAAAF/TXzg=",0)</f>
        <v>#REF!</v>
      </c>
      <c r="BF192" t="e">
        <f>IF(#REF!,"AAAAAF/TXzk=",0)</f>
        <v>#REF!</v>
      </c>
      <c r="BG192" t="e">
        <f>IF(#REF!,"AAAAAF/TXzo=",0)</f>
        <v>#REF!</v>
      </c>
      <c r="BH192" t="e">
        <f>IF(#REF!,"AAAAAF/TXzs=",0)</f>
        <v>#REF!</v>
      </c>
      <c r="BI192" t="e">
        <f>IF(#REF!,"AAAAAF/TXzw=",0)</f>
        <v>#REF!</v>
      </c>
      <c r="BJ192" t="e">
        <f>IF(#REF!,"AAAAAF/TXz0=",0)</f>
        <v>#REF!</v>
      </c>
      <c r="BK192" t="e">
        <f>IF(#REF!,"AAAAAF/TXz4=",0)</f>
        <v>#REF!</v>
      </c>
      <c r="BL192" t="e">
        <f>IF(#REF!,"AAAAAF/TXz8=",0)</f>
        <v>#REF!</v>
      </c>
      <c r="BM192" t="e">
        <f>IF(#REF!,"AAAAAF/TX0A=",0)</f>
        <v>#REF!</v>
      </c>
      <c r="BN192" t="e">
        <f>IF(#REF!,"AAAAAF/TX0E=",0)</f>
        <v>#REF!</v>
      </c>
      <c r="BO192" t="e">
        <f>IF(#REF!,"AAAAAF/TX0I=",0)</f>
        <v>#REF!</v>
      </c>
      <c r="BP192" t="e">
        <f>IF(#REF!,"AAAAAF/TX0M=",0)</f>
        <v>#REF!</v>
      </c>
      <c r="BQ192" t="e">
        <f>IF(#REF!,"AAAAAF/TX0Q=",0)</f>
        <v>#REF!</v>
      </c>
      <c r="BR192" t="e">
        <f>IF(#REF!,"AAAAAF/TX0U=",0)</f>
        <v>#REF!</v>
      </c>
      <c r="BS192" t="e">
        <f>IF(#REF!,"AAAAAF/TX0Y=",0)</f>
        <v>#REF!</v>
      </c>
      <c r="BT192" t="e">
        <f>IF(#REF!,"AAAAAF/TX0c=",0)</f>
        <v>#REF!</v>
      </c>
      <c r="BU192" t="e">
        <f>IF(#REF!,"AAAAAF/TX0g=",0)</f>
        <v>#REF!</v>
      </c>
      <c r="BV192" t="e">
        <f>IF(#REF!,"AAAAAF/TX0k=",0)</f>
        <v>#REF!</v>
      </c>
      <c r="BW192" t="e">
        <f>IF(#REF!,"AAAAAF/TX0o=",0)</f>
        <v>#REF!</v>
      </c>
      <c r="BX192" t="e">
        <f>IF(#REF!,"AAAAAF/TX0s=",0)</f>
        <v>#REF!</v>
      </c>
      <c r="BY192" t="e">
        <f>IF(#REF!,"AAAAAF/TX0w=",0)</f>
        <v>#REF!</v>
      </c>
      <c r="BZ192" t="e">
        <f>IF(#REF!,"AAAAAF/TX00=",0)</f>
        <v>#REF!</v>
      </c>
      <c r="CA192" t="e">
        <f>IF(#REF!,"AAAAAF/TX04=",0)</f>
        <v>#REF!</v>
      </c>
      <c r="CB192" t="e">
        <f>IF(#REF!,"AAAAAF/TX08=",0)</f>
        <v>#REF!</v>
      </c>
      <c r="CC192" t="e">
        <f>IF(#REF!,"AAAAAF/TX1A=",0)</f>
        <v>#REF!</v>
      </c>
      <c r="CD192" t="e">
        <f>IF(#REF!,"AAAAAF/TX1E=",0)</f>
        <v>#REF!</v>
      </c>
      <c r="CE192" t="e">
        <f>IF(#REF!,"AAAAAF/TX1I=",0)</f>
        <v>#REF!</v>
      </c>
      <c r="CF192" t="e">
        <f>IF(#REF!,"AAAAAF/TX1M=",0)</f>
        <v>#REF!</v>
      </c>
      <c r="CG192" t="e">
        <f>IF(#REF!,"AAAAAF/TX1Q=",0)</f>
        <v>#REF!</v>
      </c>
      <c r="CH192" t="e">
        <f>IF(#REF!,"AAAAAF/TX1U=",0)</f>
        <v>#REF!</v>
      </c>
      <c r="CI192" t="e">
        <f>IF(#REF!,"AAAAAF/TX1Y=",0)</f>
        <v>#REF!</v>
      </c>
      <c r="CJ192" t="e">
        <f>IF(#REF!,"AAAAAF/TX1c=",0)</f>
        <v>#REF!</v>
      </c>
      <c r="CK192" t="e">
        <f>IF(#REF!,"AAAAAF/TX1g=",0)</f>
        <v>#REF!</v>
      </c>
      <c r="CL192" t="e">
        <f>IF(#REF!,"AAAAAF/TX1k=",0)</f>
        <v>#REF!</v>
      </c>
      <c r="CM192" t="e">
        <f>IF(#REF!,"AAAAAF/TX1o=",0)</f>
        <v>#REF!</v>
      </c>
      <c r="CN192" t="e">
        <f>IF(#REF!,"AAAAAF/TX1s=",0)</f>
        <v>#REF!</v>
      </c>
      <c r="CO192" t="e">
        <f>IF(#REF!,"AAAAAF/TX1w=",0)</f>
        <v>#REF!</v>
      </c>
      <c r="CP192" t="e">
        <f>IF(#REF!,"AAAAAF/TX10=",0)</f>
        <v>#REF!</v>
      </c>
      <c r="CQ192" t="e">
        <f>IF(#REF!,"AAAAAF/TX14=",0)</f>
        <v>#REF!</v>
      </c>
      <c r="CR192" t="e">
        <f>IF(#REF!,"AAAAAF/TX18=",0)</f>
        <v>#REF!</v>
      </c>
      <c r="CS192" t="e">
        <f>IF(#REF!,"AAAAAF/TX2A=",0)</f>
        <v>#REF!</v>
      </c>
      <c r="CT192" t="e">
        <f>IF(#REF!,"AAAAAF/TX2E=",0)</f>
        <v>#REF!</v>
      </c>
      <c r="CU192" t="e">
        <f>IF(#REF!,"AAAAAF/TX2I=",0)</f>
        <v>#REF!</v>
      </c>
      <c r="CV192" t="e">
        <f>IF(#REF!,"AAAAAF/TX2M=",0)</f>
        <v>#REF!</v>
      </c>
      <c r="CW192" t="e">
        <f>IF(#REF!,"AAAAAF/TX2Q=",0)</f>
        <v>#REF!</v>
      </c>
      <c r="CX192" t="e">
        <f>IF(#REF!,"AAAAAF/TX2U=",0)</f>
        <v>#REF!</v>
      </c>
      <c r="CY192" t="e">
        <f>IF(#REF!,"AAAAAF/TX2Y=",0)</f>
        <v>#REF!</v>
      </c>
      <c r="CZ192" t="e">
        <f>IF(#REF!,"AAAAAF/TX2c=",0)</f>
        <v>#REF!</v>
      </c>
      <c r="DA192" t="e">
        <f>IF(#REF!,"AAAAAF/TX2g=",0)</f>
        <v>#REF!</v>
      </c>
      <c r="DB192" t="e">
        <f>IF(#REF!,"AAAAAF/TX2k=",0)</f>
        <v>#REF!</v>
      </c>
      <c r="DC192" t="e">
        <f>IF(#REF!,"AAAAAF/TX2o=",0)</f>
        <v>#REF!</v>
      </c>
      <c r="DD192" t="e">
        <f>IF(#REF!,"AAAAAF/TX2s=",0)</f>
        <v>#REF!</v>
      </c>
      <c r="DE192" t="e">
        <f>IF(#REF!,"AAAAAF/TX2w=",0)</f>
        <v>#REF!</v>
      </c>
      <c r="DF192" t="e">
        <f>IF(#REF!,"AAAAAF/TX20=",0)</f>
        <v>#REF!</v>
      </c>
      <c r="DG192" t="e">
        <f>IF(#REF!,"AAAAAF/TX24=",0)</f>
        <v>#REF!</v>
      </c>
      <c r="DH192" t="e">
        <f>IF(#REF!,"AAAAAF/TX28=",0)</f>
        <v>#REF!</v>
      </c>
      <c r="DI192" t="e">
        <f>IF(#REF!,"AAAAAF/TX3A=",0)</f>
        <v>#REF!</v>
      </c>
      <c r="DJ192" t="e">
        <f>IF(#REF!,"AAAAAF/TX3E=",0)</f>
        <v>#REF!</v>
      </c>
      <c r="DK192" t="e">
        <f>IF(#REF!,"AAAAAF/TX3I=",0)</f>
        <v>#REF!</v>
      </c>
      <c r="DL192" t="e">
        <f>IF(#REF!,"AAAAAF/TX3M=",0)</f>
        <v>#REF!</v>
      </c>
      <c r="DM192" t="e">
        <f>IF(#REF!,"AAAAAF/TX3Q=",0)</f>
        <v>#REF!</v>
      </c>
      <c r="DN192" t="e">
        <f>IF(#REF!,"AAAAAF/TX3U=",0)</f>
        <v>#REF!</v>
      </c>
      <c r="DO192" t="e">
        <f>IF(#REF!,"AAAAAF/TX3Y=",0)</f>
        <v>#REF!</v>
      </c>
      <c r="DP192" t="e">
        <f>IF(#REF!,"AAAAAF/TX3c=",0)</f>
        <v>#REF!</v>
      </c>
      <c r="DQ192" t="e">
        <f>IF(#REF!,"AAAAAF/TX3g=",0)</f>
        <v>#REF!</v>
      </c>
      <c r="DR192" t="e">
        <f>IF(#REF!,"AAAAAF/TX3k=",0)</f>
        <v>#REF!</v>
      </c>
      <c r="DS192" t="e">
        <f>IF(#REF!,"AAAAAF/TX3o=",0)</f>
        <v>#REF!</v>
      </c>
      <c r="DT192" t="e">
        <f>IF(#REF!,"AAAAAF/TX3s=",0)</f>
        <v>#REF!</v>
      </c>
      <c r="DU192" t="e">
        <f>IF(#REF!,"AAAAAF/TX3w=",0)</f>
        <v>#REF!</v>
      </c>
      <c r="DV192" t="e">
        <f>IF(#REF!,"AAAAAF/TX30=",0)</f>
        <v>#REF!</v>
      </c>
      <c r="DW192" t="e">
        <f>IF(#REF!,"AAAAAF/TX34=",0)</f>
        <v>#REF!</v>
      </c>
      <c r="DX192" t="e">
        <f>IF(#REF!,"AAAAAF/TX38=",0)</f>
        <v>#REF!</v>
      </c>
      <c r="DY192" t="e">
        <f>IF(#REF!,"AAAAAF/TX4A=",0)</f>
        <v>#REF!</v>
      </c>
      <c r="DZ192" t="e">
        <f>IF(#REF!,"AAAAAF/TX4E=",0)</f>
        <v>#REF!</v>
      </c>
      <c r="EA192" t="e">
        <f>IF(#REF!,"AAAAAF/TX4I=",0)</f>
        <v>#REF!</v>
      </c>
      <c r="EB192" t="e">
        <f>IF(#REF!,"AAAAAF/TX4M=",0)</f>
        <v>#REF!</v>
      </c>
      <c r="EC192" t="e">
        <f>IF(#REF!,"AAAAAF/TX4Q=",0)</f>
        <v>#REF!</v>
      </c>
      <c r="ED192" t="e">
        <f>IF(#REF!,"AAAAAF/TX4U=",0)</f>
        <v>#REF!</v>
      </c>
      <c r="EE192" t="e">
        <f>IF(#REF!,"AAAAAF/TX4Y=",0)</f>
        <v>#REF!</v>
      </c>
      <c r="EF192" t="e">
        <f>IF(#REF!,"AAAAAF/TX4c=",0)</f>
        <v>#REF!</v>
      </c>
      <c r="EG192" t="e">
        <f>IF(#REF!,"AAAAAF/TX4g=",0)</f>
        <v>#REF!</v>
      </c>
      <c r="EH192" t="e">
        <f>IF(#REF!,"AAAAAF/TX4k=",0)</f>
        <v>#REF!</v>
      </c>
      <c r="EI192" t="e">
        <f>IF(#REF!,"AAAAAF/TX4o=",0)</f>
        <v>#REF!</v>
      </c>
      <c r="EJ192" t="e">
        <f>IF(#REF!,"AAAAAF/TX4s=",0)</f>
        <v>#REF!</v>
      </c>
      <c r="EK192" t="e">
        <f>IF(#REF!,"AAAAAF/TX4w=",0)</f>
        <v>#REF!</v>
      </c>
      <c r="EL192" t="e">
        <f>IF(#REF!,"AAAAAF/TX40=",0)</f>
        <v>#REF!</v>
      </c>
      <c r="EM192" t="e">
        <f>IF(#REF!,"AAAAAF/TX44=",0)</f>
        <v>#REF!</v>
      </c>
      <c r="EN192" t="e">
        <f>IF(#REF!,"AAAAAF/TX48=",0)</f>
        <v>#REF!</v>
      </c>
      <c r="EO192" t="e">
        <f>IF(#REF!,"AAAAAF/TX5A=",0)</f>
        <v>#REF!</v>
      </c>
      <c r="EP192" t="e">
        <f>IF(#REF!,"AAAAAF/TX5E=",0)</f>
        <v>#REF!</v>
      </c>
      <c r="EQ192" t="e">
        <f>IF(#REF!,"AAAAAF/TX5I=",0)</f>
        <v>#REF!</v>
      </c>
      <c r="ER192" t="e">
        <f>IF(#REF!,"AAAAAF/TX5M=",0)</f>
        <v>#REF!</v>
      </c>
      <c r="ES192" t="e">
        <f>IF(#REF!,"AAAAAF/TX5Q=",0)</f>
        <v>#REF!</v>
      </c>
      <c r="ET192" t="e">
        <f>IF(#REF!,"AAAAAF/TX5U=",0)</f>
        <v>#REF!</v>
      </c>
      <c r="EU192" t="e">
        <f>IF(#REF!,"AAAAAF/TX5Y=",0)</f>
        <v>#REF!</v>
      </c>
      <c r="EV192" t="e">
        <f>IF(#REF!,"AAAAAF/TX5c=",0)</f>
        <v>#REF!</v>
      </c>
      <c r="EW192" t="e">
        <f>IF(#REF!,"AAAAAF/TX5g=",0)</f>
        <v>#REF!</v>
      </c>
      <c r="EX192" t="e">
        <f>IF(#REF!,"AAAAAF/TX5k=",0)</f>
        <v>#REF!</v>
      </c>
      <c r="EY192" t="e">
        <f>IF(#REF!,"AAAAAF/TX5o=",0)</f>
        <v>#REF!</v>
      </c>
      <c r="EZ192" t="e">
        <f>IF(#REF!,"AAAAAF/TX5s=",0)</f>
        <v>#REF!</v>
      </c>
      <c r="FA192" t="e">
        <f>IF(#REF!,"AAAAAF/TX5w=",0)</f>
        <v>#REF!</v>
      </c>
      <c r="FB192" t="e">
        <f>IF(#REF!,"AAAAAF/TX50=",0)</f>
        <v>#REF!</v>
      </c>
      <c r="FC192" t="e">
        <f>IF(#REF!,"AAAAAF/TX54=",0)</f>
        <v>#REF!</v>
      </c>
      <c r="FD192" t="e">
        <f>IF(#REF!,"AAAAAF/TX58=",0)</f>
        <v>#REF!</v>
      </c>
      <c r="FE192" t="e">
        <f>IF(#REF!,"AAAAAF/TX6A=",0)</f>
        <v>#REF!</v>
      </c>
      <c r="FF192" t="e">
        <f>IF(#REF!,"AAAAAF/TX6E=",0)</f>
        <v>#REF!</v>
      </c>
      <c r="FG192" t="e">
        <f>IF(#REF!,"AAAAAF/TX6I=",0)</f>
        <v>#REF!</v>
      </c>
      <c r="FH192" t="e">
        <f>IF(#REF!,"AAAAAF/TX6M=",0)</f>
        <v>#REF!</v>
      </c>
      <c r="FI192" t="e">
        <f>IF(#REF!,"AAAAAF/TX6Q=",0)</f>
        <v>#REF!</v>
      </c>
      <c r="FJ192" t="e">
        <f>IF(#REF!,"AAAAAF/TX6U=",0)</f>
        <v>#REF!</v>
      </c>
      <c r="FK192" t="e">
        <f>IF(#REF!,"AAAAAF/TX6Y=",0)</f>
        <v>#REF!</v>
      </c>
      <c r="FL192" t="e">
        <f>IF(#REF!,"AAAAAF/TX6c=",0)</f>
        <v>#REF!</v>
      </c>
      <c r="FM192" t="e">
        <f>IF(#REF!,"AAAAAF/TX6g=",0)</f>
        <v>#REF!</v>
      </c>
      <c r="FN192" t="e">
        <f>IF(#REF!,"AAAAAF/TX6k=",0)</f>
        <v>#REF!</v>
      </c>
      <c r="FO192" t="e">
        <f>IF(#REF!,"AAAAAF/TX6o=",0)</f>
        <v>#REF!</v>
      </c>
      <c r="FP192" t="e">
        <f>IF(#REF!,"AAAAAF/TX6s=",0)</f>
        <v>#REF!</v>
      </c>
      <c r="FQ192" t="e">
        <f>IF(#REF!,"AAAAAF/TX6w=",0)</f>
        <v>#REF!</v>
      </c>
      <c r="FR192" t="e">
        <f>IF(#REF!,"AAAAAF/TX60=",0)</f>
        <v>#REF!</v>
      </c>
      <c r="FS192" t="e">
        <f>IF(#REF!,"AAAAAF/TX64=",0)</f>
        <v>#REF!</v>
      </c>
      <c r="FT192" t="e">
        <f>IF(#REF!,"AAAAAF/TX68=",0)</f>
        <v>#REF!</v>
      </c>
      <c r="FU192" t="e">
        <f>IF(#REF!,"AAAAAF/TX7A=",0)</f>
        <v>#REF!</v>
      </c>
      <c r="FV192" t="e">
        <f>IF(#REF!,"AAAAAF/TX7E=",0)</f>
        <v>#REF!</v>
      </c>
      <c r="FW192" t="e">
        <f>IF(#REF!,"AAAAAF/TX7I=",0)</f>
        <v>#REF!</v>
      </c>
      <c r="FX192" t="e">
        <f>IF(#REF!,"AAAAAF/TX7M=",0)</f>
        <v>#REF!</v>
      </c>
      <c r="FY192" t="e">
        <f>IF(#REF!,"AAAAAF/TX7Q=",0)</f>
        <v>#REF!</v>
      </c>
      <c r="FZ192" t="e">
        <f>IF(#REF!,"AAAAAF/TX7U=",0)</f>
        <v>#REF!</v>
      </c>
      <c r="GA192" t="e">
        <f>IF(#REF!,"AAAAAF/TX7Y=",0)</f>
        <v>#REF!</v>
      </c>
      <c r="GB192" t="e">
        <f>IF(#REF!,"AAAAAF/TX7c=",0)</f>
        <v>#REF!</v>
      </c>
      <c r="GC192" t="e">
        <f>IF(#REF!,"AAAAAF/TX7g=",0)</f>
        <v>#REF!</v>
      </c>
      <c r="GD192" t="e">
        <f>IF(#REF!,"AAAAAF/TX7k=",0)</f>
        <v>#REF!</v>
      </c>
      <c r="GE192" t="e">
        <f>IF(#REF!,"AAAAAF/TX7o=",0)</f>
        <v>#REF!</v>
      </c>
      <c r="GF192" t="e">
        <f>IF(#REF!,"AAAAAF/TX7s=",0)</f>
        <v>#REF!</v>
      </c>
      <c r="GG192" t="e">
        <f>IF(#REF!,"AAAAAF/TX7w=",0)</f>
        <v>#REF!</v>
      </c>
      <c r="GH192" t="e">
        <f>IF(#REF!,"AAAAAF/TX70=",0)</f>
        <v>#REF!</v>
      </c>
      <c r="GI192" t="e">
        <f>IF(#REF!,"AAAAAF/TX74=",0)</f>
        <v>#REF!</v>
      </c>
      <c r="GJ192" t="e">
        <f>IF(#REF!,"AAAAAF/TX78=",0)</f>
        <v>#REF!</v>
      </c>
      <c r="GK192" t="e">
        <f>IF(#REF!,"AAAAAF/TX8A=",0)</f>
        <v>#REF!</v>
      </c>
      <c r="GL192" t="e">
        <f>IF(#REF!,"AAAAAF/TX8E=",0)</f>
        <v>#REF!</v>
      </c>
      <c r="GM192" t="e">
        <f>IF(#REF!,"AAAAAF/TX8I=",0)</f>
        <v>#REF!</v>
      </c>
      <c r="GN192" t="e">
        <f>IF(#REF!,"AAAAAF/TX8M=",0)</f>
        <v>#REF!</v>
      </c>
      <c r="GO192" t="e">
        <f>IF(#REF!,"AAAAAF/TX8Q=",0)</f>
        <v>#REF!</v>
      </c>
      <c r="GP192" t="e">
        <f>IF(#REF!,"AAAAAF/TX8U=",0)</f>
        <v>#REF!</v>
      </c>
      <c r="GQ192" t="e">
        <f>IF(#REF!,"AAAAAF/TX8Y=",0)</f>
        <v>#REF!</v>
      </c>
      <c r="GR192" t="e">
        <f>IF(#REF!,"AAAAAF/TX8c=",0)</f>
        <v>#REF!</v>
      </c>
      <c r="GS192" t="e">
        <f>IF(#REF!,"AAAAAF/TX8g=",0)</f>
        <v>#REF!</v>
      </c>
      <c r="GT192" t="e">
        <f>IF(#REF!,"AAAAAF/TX8k=",0)</f>
        <v>#REF!</v>
      </c>
      <c r="GU192" t="e">
        <f>IF(#REF!,"AAAAAF/TX8o=",0)</f>
        <v>#REF!</v>
      </c>
      <c r="GV192" t="e">
        <f>IF(#REF!,"AAAAAF/TX8s=",0)</f>
        <v>#REF!</v>
      </c>
      <c r="GW192" t="e">
        <f>IF(#REF!,"AAAAAF/TX8w=",0)</f>
        <v>#REF!</v>
      </c>
      <c r="GX192" t="e">
        <f>IF(#REF!,"AAAAAF/TX80=",0)</f>
        <v>#REF!</v>
      </c>
      <c r="GY192" t="e">
        <f>IF(#REF!,"AAAAAF/TX84=",0)</f>
        <v>#REF!</v>
      </c>
      <c r="GZ192" t="e">
        <f>IF(#REF!,"AAAAAF/TX88=",0)</f>
        <v>#REF!</v>
      </c>
      <c r="HA192" t="e">
        <f>IF(#REF!,"AAAAAF/TX9A=",0)</f>
        <v>#REF!</v>
      </c>
      <c r="HB192" t="e">
        <f>IF(#REF!,"AAAAAF/TX9E=",0)</f>
        <v>#REF!</v>
      </c>
      <c r="HC192" t="e">
        <f>IF(#REF!,"AAAAAF/TX9I=",0)</f>
        <v>#REF!</v>
      </c>
      <c r="HD192" t="e">
        <f>IF(#REF!,"AAAAAF/TX9M=",0)</f>
        <v>#REF!</v>
      </c>
      <c r="HE192" t="e">
        <f>IF(#REF!,"AAAAAF/TX9Q=",0)</f>
        <v>#REF!</v>
      </c>
      <c r="HF192" t="e">
        <f>IF(#REF!,"AAAAAF/TX9U=",0)</f>
        <v>#REF!</v>
      </c>
      <c r="HG192" t="e">
        <f>IF(#REF!,"AAAAAF/TX9Y=",0)</f>
        <v>#REF!</v>
      </c>
      <c r="HH192" t="e">
        <f>IF(#REF!,"AAAAAF/TX9c=",0)</f>
        <v>#REF!</v>
      </c>
      <c r="HI192" t="e">
        <f>IF(#REF!,"AAAAAF/TX9g=",0)</f>
        <v>#REF!</v>
      </c>
      <c r="HJ192" t="e">
        <f>IF(#REF!,"AAAAAF/TX9k=",0)</f>
        <v>#REF!</v>
      </c>
      <c r="HK192" t="e">
        <f>IF(#REF!,"AAAAAF/TX9o=",0)</f>
        <v>#REF!</v>
      </c>
      <c r="HL192" t="e">
        <f>IF(#REF!,"AAAAAF/TX9s=",0)</f>
        <v>#REF!</v>
      </c>
      <c r="HM192" t="e">
        <f>IF(#REF!,"AAAAAF/TX9w=",0)</f>
        <v>#REF!</v>
      </c>
      <c r="HN192" t="e">
        <f>IF(#REF!,"AAAAAF/TX90=",0)</f>
        <v>#REF!</v>
      </c>
      <c r="HO192" t="e">
        <f>IF(#REF!,"AAAAAF/TX94=",0)</f>
        <v>#REF!</v>
      </c>
      <c r="HP192" t="e">
        <f>IF(#REF!,"AAAAAF/TX98=",0)</f>
        <v>#REF!</v>
      </c>
      <c r="HQ192" t="e">
        <f>IF(#REF!,"AAAAAF/TX+A=",0)</f>
        <v>#REF!</v>
      </c>
      <c r="HR192" t="e">
        <f>IF(#REF!,"AAAAAF/TX+E=",0)</f>
        <v>#REF!</v>
      </c>
      <c r="HS192" t="e">
        <f>IF(#REF!,"AAAAAF/TX+I=",0)</f>
        <v>#REF!</v>
      </c>
      <c r="HT192" t="e">
        <f>IF(#REF!,"AAAAAF/TX+M=",0)</f>
        <v>#REF!</v>
      </c>
      <c r="HU192" t="e">
        <f>IF(#REF!,"AAAAAF/TX+Q=",0)</f>
        <v>#REF!</v>
      </c>
      <c r="HV192" t="e">
        <f>IF(#REF!,"AAAAAF/TX+U=",0)</f>
        <v>#REF!</v>
      </c>
      <c r="HW192" t="e">
        <f>IF(#REF!,"AAAAAF/TX+Y=",0)</f>
        <v>#REF!</v>
      </c>
      <c r="HX192" t="e">
        <f>IF(#REF!,"AAAAAF/TX+c=",0)</f>
        <v>#REF!</v>
      </c>
      <c r="HY192" t="e">
        <f>IF(#REF!,"AAAAAF/TX+g=",0)</f>
        <v>#REF!</v>
      </c>
      <c r="HZ192" t="e">
        <f>IF(#REF!,"AAAAAF/TX+k=",0)</f>
        <v>#REF!</v>
      </c>
      <c r="IA192" t="e">
        <f>IF(#REF!,"AAAAAF/TX+o=",0)</f>
        <v>#REF!</v>
      </c>
      <c r="IB192" t="e">
        <f>IF(#REF!,"AAAAAF/TX+s=",0)</f>
        <v>#REF!</v>
      </c>
      <c r="IC192" t="e">
        <f>IF(#REF!,"AAAAAF/TX+w=",0)</f>
        <v>#REF!</v>
      </c>
      <c r="ID192" t="e">
        <f>IF(#REF!,"AAAAAF/TX+0=",0)</f>
        <v>#REF!</v>
      </c>
      <c r="IE192" t="e">
        <f>IF(#REF!,"AAAAAF/TX+4=",0)</f>
        <v>#REF!</v>
      </c>
      <c r="IF192" t="e">
        <f>IF(#REF!,"AAAAAF/TX+8=",0)</f>
        <v>#REF!</v>
      </c>
      <c r="IG192" t="e">
        <f>IF(#REF!,"AAAAAF/TX/A=",0)</f>
        <v>#REF!</v>
      </c>
      <c r="IH192" t="e">
        <f>IF(#REF!,"AAAAAF/TX/E=",0)</f>
        <v>#REF!</v>
      </c>
      <c r="II192" t="e">
        <f>IF(#REF!,"AAAAAF/TX/I=",0)</f>
        <v>#REF!</v>
      </c>
      <c r="IJ192" t="e">
        <f>IF(#REF!,"AAAAAF/TX/M=",0)</f>
        <v>#REF!</v>
      </c>
      <c r="IK192" t="e">
        <f>IF(#REF!,"AAAAAF/TX/Q=",0)</f>
        <v>#REF!</v>
      </c>
      <c r="IL192" t="e">
        <f>IF(#REF!,"AAAAAF/TX/U=",0)</f>
        <v>#REF!</v>
      </c>
      <c r="IM192" t="e">
        <f>IF(#REF!,"AAAAAF/TX/Y=",0)</f>
        <v>#REF!</v>
      </c>
      <c r="IN192" t="e">
        <f>IF(#REF!,"AAAAAF/TX/c=",0)</f>
        <v>#REF!</v>
      </c>
      <c r="IO192" t="e">
        <f>IF(#REF!,"AAAAAF/TX/g=",0)</f>
        <v>#REF!</v>
      </c>
      <c r="IP192" t="e">
        <f>IF(#REF!,"AAAAAF/TX/k=",0)</f>
        <v>#REF!</v>
      </c>
      <c r="IQ192" t="e">
        <f>IF(#REF!,"AAAAAF/TX/o=",0)</f>
        <v>#REF!</v>
      </c>
      <c r="IR192" t="e">
        <f>IF(#REF!,"AAAAAF/TX/s=",0)</f>
        <v>#REF!</v>
      </c>
      <c r="IS192" t="e">
        <f>IF(#REF!,"AAAAAF/TX/w=",0)</f>
        <v>#REF!</v>
      </c>
      <c r="IT192" t="e">
        <f>IF(#REF!,"AAAAAF/TX/0=",0)</f>
        <v>#REF!</v>
      </c>
      <c r="IU192" t="e">
        <f>IF(#REF!,"AAAAAF/TX/4=",0)</f>
        <v>#REF!</v>
      </c>
      <c r="IV192" t="e">
        <f>IF(#REF!,"AAAAAF/TX/8=",0)</f>
        <v>#REF!</v>
      </c>
    </row>
    <row r="193" spans="1:256">
      <c r="A193" t="e">
        <f>IF(#REF!,"AAAAAH/v/gA=",0)</f>
        <v>#REF!</v>
      </c>
      <c r="B193" t="e">
        <f>IF(#REF!,"AAAAAH/v/gE=",0)</f>
        <v>#REF!</v>
      </c>
      <c r="C193" t="e">
        <f>IF(#REF!,"AAAAAH/v/gI=",0)</f>
        <v>#REF!</v>
      </c>
      <c r="D193" t="e">
        <f>IF(#REF!,"AAAAAH/v/gM=",0)</f>
        <v>#REF!</v>
      </c>
      <c r="E193" t="e">
        <f>IF(#REF!,"AAAAAH/v/gQ=",0)</f>
        <v>#REF!</v>
      </c>
      <c r="F193" t="e">
        <f>IF(#REF!,"AAAAAH/v/gU=",0)</f>
        <v>#REF!</v>
      </c>
      <c r="G193" t="e">
        <f>IF(#REF!,"AAAAAH/v/gY=",0)</f>
        <v>#REF!</v>
      </c>
      <c r="H193" t="e">
        <f>IF(#REF!,"AAAAAH/v/gc=",0)</f>
        <v>#REF!</v>
      </c>
      <c r="I193" t="e">
        <f>IF(#REF!,"AAAAAH/v/gg=",0)</f>
        <v>#REF!</v>
      </c>
      <c r="J193" t="e">
        <f>IF(#REF!,"AAAAAH/v/gk=",0)</f>
        <v>#REF!</v>
      </c>
      <c r="K193" t="e">
        <f>IF(#REF!,"AAAAAH/v/go=",0)</f>
        <v>#REF!</v>
      </c>
      <c r="L193" t="e">
        <f>IF(#REF!,"AAAAAH/v/gs=",0)</f>
        <v>#REF!</v>
      </c>
      <c r="M193" t="e">
        <f>IF(#REF!,"AAAAAH/v/gw=",0)</f>
        <v>#REF!</v>
      </c>
      <c r="N193" t="e">
        <f>IF(#REF!,"AAAAAH/v/g0=",0)</f>
        <v>#REF!</v>
      </c>
      <c r="O193" t="e">
        <f>IF(#REF!,"AAAAAH/v/g4=",0)</f>
        <v>#REF!</v>
      </c>
      <c r="P193" t="e">
        <f>IF(#REF!,"AAAAAH/v/g8=",0)</f>
        <v>#REF!</v>
      </c>
      <c r="Q193" t="e">
        <f>IF(#REF!,"AAAAAH/v/hA=",0)</f>
        <v>#REF!</v>
      </c>
      <c r="R193" t="e">
        <f>IF(#REF!,"AAAAAH/v/hE=",0)</f>
        <v>#REF!</v>
      </c>
      <c r="S193" t="e">
        <f>IF(#REF!,"AAAAAH/v/hI=",0)</f>
        <v>#REF!</v>
      </c>
      <c r="T193" t="e">
        <f>IF(#REF!,"AAAAAH/v/hM=",0)</f>
        <v>#REF!</v>
      </c>
      <c r="U193" t="e">
        <f>IF(#REF!,"AAAAAH/v/hQ=",0)</f>
        <v>#REF!</v>
      </c>
      <c r="V193" t="e">
        <f>IF(#REF!,"AAAAAH/v/hU=",0)</f>
        <v>#REF!</v>
      </c>
      <c r="W193" t="e">
        <f>IF(#REF!,"AAAAAH/v/hY=",0)</f>
        <v>#REF!</v>
      </c>
      <c r="X193" t="e">
        <f>IF(#REF!,"AAAAAH/v/hc=",0)</f>
        <v>#REF!</v>
      </c>
      <c r="Y193" t="e">
        <f>IF(#REF!,"AAAAAH/v/hg=",0)</f>
        <v>#REF!</v>
      </c>
      <c r="Z193" t="e">
        <f>IF(#REF!,"AAAAAH/v/hk=",0)</f>
        <v>#REF!</v>
      </c>
      <c r="AA193" t="e">
        <f>IF(#REF!,"AAAAAH/v/ho=",0)</f>
        <v>#REF!</v>
      </c>
      <c r="AB193" t="e">
        <f>IF(#REF!,"AAAAAH/v/hs=",0)</f>
        <v>#REF!</v>
      </c>
      <c r="AC193" t="e">
        <f>IF(#REF!,"AAAAAH/v/hw=",0)</f>
        <v>#REF!</v>
      </c>
      <c r="AD193" t="e">
        <f>IF(#REF!,"AAAAAH/v/h0=",0)</f>
        <v>#REF!</v>
      </c>
      <c r="AE193" t="e">
        <f>IF(#REF!,"AAAAAH/v/h4=",0)</f>
        <v>#REF!</v>
      </c>
      <c r="AF193" t="e">
        <f>IF(#REF!,"AAAAAH/v/h8=",0)</f>
        <v>#REF!</v>
      </c>
      <c r="AG193" t="e">
        <f>IF(#REF!,"AAAAAH/v/iA=",0)</f>
        <v>#REF!</v>
      </c>
      <c r="AH193" t="e">
        <f>IF(#REF!,"AAAAAH/v/iE=",0)</f>
        <v>#REF!</v>
      </c>
      <c r="AI193" t="e">
        <f>IF(#REF!,"AAAAAH/v/iI=",0)</f>
        <v>#REF!</v>
      </c>
      <c r="AJ193" t="e">
        <f>IF(#REF!,"AAAAAH/v/iM=",0)</f>
        <v>#REF!</v>
      </c>
      <c r="AK193" t="e">
        <f>IF(#REF!,"AAAAAH/v/iQ=",0)</f>
        <v>#REF!</v>
      </c>
      <c r="AL193" t="e">
        <f>IF(#REF!,"AAAAAH/v/iU=",0)</f>
        <v>#REF!</v>
      </c>
      <c r="AM193" t="e">
        <f>IF(#REF!,"AAAAAH/v/iY=",0)</f>
        <v>#REF!</v>
      </c>
      <c r="AN193" t="e">
        <f>IF(#REF!,"AAAAAH/v/ic=",0)</f>
        <v>#REF!</v>
      </c>
      <c r="AO193" t="e">
        <f>IF(#REF!,"AAAAAH/v/ig=",0)</f>
        <v>#REF!</v>
      </c>
      <c r="AP193" t="e">
        <f>IF(#REF!,"AAAAAH/v/ik=",0)</f>
        <v>#REF!</v>
      </c>
      <c r="AQ193" t="e">
        <f>IF(#REF!,"AAAAAH/v/io=",0)</f>
        <v>#REF!</v>
      </c>
      <c r="AR193" t="e">
        <f>IF(#REF!,"AAAAAH/v/is=",0)</f>
        <v>#REF!</v>
      </c>
      <c r="AS193" t="e">
        <f>IF(#REF!,"AAAAAH/v/iw=",0)</f>
        <v>#REF!</v>
      </c>
      <c r="AT193" t="e">
        <f>IF(#REF!,"AAAAAH/v/i0=",0)</f>
        <v>#REF!</v>
      </c>
      <c r="AU193" t="e">
        <f>IF(#REF!,"AAAAAH/v/i4=",0)</f>
        <v>#REF!</v>
      </c>
      <c r="AV193" t="e">
        <f>IF(#REF!,"AAAAAH/v/i8=",0)</f>
        <v>#REF!</v>
      </c>
      <c r="AW193" t="e">
        <f>IF(#REF!,"AAAAAH/v/jA=",0)</f>
        <v>#REF!</v>
      </c>
      <c r="AX193" t="e">
        <f>IF(#REF!,"AAAAAH/v/jE=",0)</f>
        <v>#REF!</v>
      </c>
      <c r="AY193" t="e">
        <f>IF(#REF!,"AAAAAH/v/jI=",0)</f>
        <v>#REF!</v>
      </c>
      <c r="AZ193" t="e">
        <f>IF(#REF!,"AAAAAH/v/jM=",0)</f>
        <v>#REF!</v>
      </c>
      <c r="BA193" t="e">
        <f>IF(#REF!,"AAAAAH/v/jQ=",0)</f>
        <v>#REF!</v>
      </c>
      <c r="BB193" t="e">
        <f>IF(#REF!,"AAAAAH/v/jU=",0)</f>
        <v>#REF!</v>
      </c>
      <c r="BC193" t="e">
        <f>IF(#REF!,"AAAAAH/v/jY=",0)</f>
        <v>#REF!</v>
      </c>
      <c r="BD193" t="e">
        <f>IF(#REF!,"AAAAAH/v/jc=",0)</f>
        <v>#REF!</v>
      </c>
      <c r="BE193" t="e">
        <f>IF(#REF!,"AAAAAH/v/jg=",0)</f>
        <v>#REF!</v>
      </c>
      <c r="BF193" t="e">
        <f>IF(#REF!,"AAAAAH/v/jk=",0)</f>
        <v>#REF!</v>
      </c>
      <c r="BG193" t="e">
        <f>IF(#REF!,"AAAAAH/v/jo=",0)</f>
        <v>#REF!</v>
      </c>
      <c r="BH193" t="e">
        <f>IF(#REF!,"AAAAAH/v/js=",0)</f>
        <v>#REF!</v>
      </c>
      <c r="BI193" t="e">
        <f>IF(#REF!,"AAAAAH/v/jw=",0)</f>
        <v>#REF!</v>
      </c>
      <c r="BJ193" t="e">
        <f>IF(#REF!,"AAAAAH/v/j0=",0)</f>
        <v>#REF!</v>
      </c>
      <c r="BK193" t="e">
        <f>IF(#REF!,"AAAAAH/v/j4=",0)</f>
        <v>#REF!</v>
      </c>
      <c r="BL193" t="e">
        <f>IF(#REF!,"AAAAAH/v/j8=",0)</f>
        <v>#REF!</v>
      </c>
      <c r="BM193" t="e">
        <f>IF(#REF!,"AAAAAH/v/kA=",0)</f>
        <v>#REF!</v>
      </c>
      <c r="BN193" t="e">
        <f>IF(#REF!,"AAAAAH/v/kE=",0)</f>
        <v>#REF!</v>
      </c>
      <c r="BO193" t="e">
        <f>IF(#REF!,"AAAAAH/v/kI=",0)</f>
        <v>#REF!</v>
      </c>
      <c r="BP193" t="e">
        <f>IF(#REF!,"AAAAAH/v/kM=",0)</f>
        <v>#REF!</v>
      </c>
      <c r="BQ193" t="e">
        <f>IF(#REF!,"AAAAAH/v/kQ=",0)</f>
        <v>#REF!</v>
      </c>
      <c r="BR193" t="e">
        <f>IF(#REF!,"AAAAAH/v/kU=",0)</f>
        <v>#REF!</v>
      </c>
      <c r="BS193" t="e">
        <f>IF(#REF!,"AAAAAH/v/kY=",0)</f>
        <v>#REF!</v>
      </c>
      <c r="BT193" t="e">
        <f>IF(#REF!,"AAAAAH/v/kc=",0)</f>
        <v>#REF!</v>
      </c>
      <c r="BU193" t="e">
        <f>IF(#REF!,"AAAAAH/v/kg=",0)</f>
        <v>#REF!</v>
      </c>
      <c r="BV193" t="e">
        <f>IF(#REF!,"AAAAAH/v/kk=",0)</f>
        <v>#REF!</v>
      </c>
      <c r="BW193" t="e">
        <f>IF(#REF!,"AAAAAH/v/ko=",0)</f>
        <v>#REF!</v>
      </c>
      <c r="BX193" t="e">
        <f>IF(#REF!,"AAAAAH/v/ks=",0)</f>
        <v>#REF!</v>
      </c>
      <c r="BY193" t="e">
        <f>IF(#REF!,"AAAAAH/v/kw=",0)</f>
        <v>#REF!</v>
      </c>
      <c r="BZ193" t="e">
        <f>IF(#REF!,"AAAAAH/v/k0=",0)</f>
        <v>#REF!</v>
      </c>
      <c r="CA193" t="e">
        <f>IF(#REF!,"AAAAAH/v/k4=",0)</f>
        <v>#REF!</v>
      </c>
      <c r="CB193" t="e">
        <f>IF(#REF!,"AAAAAH/v/k8=",0)</f>
        <v>#REF!</v>
      </c>
      <c r="CC193" t="e">
        <f>IF(#REF!,"AAAAAH/v/lA=",0)</f>
        <v>#REF!</v>
      </c>
      <c r="CD193" t="e">
        <f>IF(#REF!,"AAAAAH/v/lE=",0)</f>
        <v>#REF!</v>
      </c>
      <c r="CE193" t="e">
        <f>IF(#REF!,"AAAAAH/v/lI=",0)</f>
        <v>#REF!</v>
      </c>
      <c r="CF193" t="e">
        <f>IF(#REF!,"AAAAAH/v/lM=",0)</f>
        <v>#REF!</v>
      </c>
      <c r="CG193" t="e">
        <f>IF(#REF!,"AAAAAH/v/lQ=",0)</f>
        <v>#REF!</v>
      </c>
      <c r="CH193" t="e">
        <f>IF(#REF!,"AAAAAH/v/lU=",0)</f>
        <v>#REF!</v>
      </c>
      <c r="CI193" t="e">
        <f>IF(#REF!,"AAAAAH/v/lY=",0)</f>
        <v>#REF!</v>
      </c>
      <c r="CJ193" t="e">
        <f>IF(#REF!,"AAAAAH/v/lc=",0)</f>
        <v>#REF!</v>
      </c>
      <c r="CK193" t="e">
        <f>IF(#REF!,"AAAAAH/v/lg=",0)</f>
        <v>#REF!</v>
      </c>
      <c r="CL193" t="e">
        <f>IF(#REF!,"AAAAAH/v/lk=",0)</f>
        <v>#REF!</v>
      </c>
      <c r="CM193" t="e">
        <f>IF(#REF!,"AAAAAH/v/lo=",0)</f>
        <v>#REF!</v>
      </c>
      <c r="CN193" t="e">
        <f>IF(#REF!,"AAAAAH/v/ls=",0)</f>
        <v>#REF!</v>
      </c>
      <c r="CO193" t="e">
        <f>IF(#REF!,"AAAAAH/v/lw=",0)</f>
        <v>#REF!</v>
      </c>
      <c r="CP193" t="e">
        <f>IF(#REF!,"AAAAAH/v/l0=",0)</f>
        <v>#REF!</v>
      </c>
      <c r="CQ193" t="e">
        <f>IF(#REF!,"AAAAAH/v/l4=",0)</f>
        <v>#REF!</v>
      </c>
      <c r="CR193" t="e">
        <f>IF(#REF!,"AAAAAH/v/l8=",0)</f>
        <v>#REF!</v>
      </c>
      <c r="CS193" t="e">
        <f>IF(#REF!,"AAAAAH/v/mA=",0)</f>
        <v>#REF!</v>
      </c>
      <c r="CT193" t="e">
        <f>IF(#REF!,"AAAAAH/v/mE=",0)</f>
        <v>#REF!</v>
      </c>
      <c r="CU193" t="e">
        <f>IF(#REF!,"AAAAAH/v/mI=",0)</f>
        <v>#REF!</v>
      </c>
      <c r="CV193" t="e">
        <f>IF(#REF!,"AAAAAH/v/mM=",0)</f>
        <v>#REF!</v>
      </c>
      <c r="CW193" t="e">
        <f>IF(#REF!,"AAAAAH/v/mQ=",0)</f>
        <v>#REF!</v>
      </c>
      <c r="CX193" t="e">
        <f>IF(#REF!,"AAAAAH/v/mU=",0)</f>
        <v>#REF!</v>
      </c>
      <c r="CY193" t="e">
        <f>IF(#REF!,"AAAAAH/v/mY=",0)</f>
        <v>#REF!</v>
      </c>
      <c r="CZ193" t="e">
        <f>IF(#REF!,"AAAAAH/v/mc=",0)</f>
        <v>#REF!</v>
      </c>
      <c r="DA193" t="e">
        <f>IF(#REF!,"AAAAAH/v/mg=",0)</f>
        <v>#REF!</v>
      </c>
      <c r="DB193" t="e">
        <f>IF(#REF!,"AAAAAH/v/mk=",0)</f>
        <v>#REF!</v>
      </c>
      <c r="DC193" t="e">
        <f>IF(#REF!,"AAAAAH/v/mo=",0)</f>
        <v>#REF!</v>
      </c>
      <c r="DD193" t="e">
        <f>IF(#REF!,"AAAAAH/v/ms=",0)</f>
        <v>#REF!</v>
      </c>
      <c r="DE193" t="e">
        <f>IF(#REF!,"AAAAAH/v/mw=",0)</f>
        <v>#REF!</v>
      </c>
      <c r="DF193" t="e">
        <f>IF(#REF!,"AAAAAH/v/m0=",0)</f>
        <v>#REF!</v>
      </c>
      <c r="DG193" t="e">
        <f>IF(#REF!,"AAAAAH/v/m4=",0)</f>
        <v>#REF!</v>
      </c>
      <c r="DH193" t="e">
        <f>IF(#REF!,"AAAAAH/v/m8=",0)</f>
        <v>#REF!</v>
      </c>
      <c r="DI193" t="e">
        <f>IF(#REF!,"AAAAAH/v/nA=",0)</f>
        <v>#REF!</v>
      </c>
      <c r="DJ193" t="e">
        <f>IF(#REF!,"AAAAAH/v/nE=",0)</f>
        <v>#REF!</v>
      </c>
      <c r="DK193" t="e">
        <f>IF(#REF!,"AAAAAH/v/nI=",0)</f>
        <v>#REF!</v>
      </c>
      <c r="DL193" t="e">
        <f>IF(#REF!,"AAAAAH/v/nM=",0)</f>
        <v>#REF!</v>
      </c>
      <c r="DM193" t="e">
        <f>IF(#REF!,"AAAAAH/v/nQ=",0)</f>
        <v>#REF!</v>
      </c>
      <c r="DN193" t="e">
        <f>IF(#REF!,"AAAAAH/v/nU=",0)</f>
        <v>#REF!</v>
      </c>
      <c r="DO193" t="e">
        <f>IF(#REF!,"AAAAAH/v/nY=",0)</f>
        <v>#REF!</v>
      </c>
      <c r="DP193" t="e">
        <f>IF(#REF!,"AAAAAH/v/nc=",0)</f>
        <v>#REF!</v>
      </c>
      <c r="DQ193" t="e">
        <f>IF(#REF!,"AAAAAH/v/ng=",0)</f>
        <v>#REF!</v>
      </c>
      <c r="DR193" t="e">
        <f>IF(#REF!,"AAAAAH/v/nk=",0)</f>
        <v>#REF!</v>
      </c>
      <c r="DS193" t="e">
        <f>IF(#REF!,"AAAAAH/v/no=",0)</f>
        <v>#REF!</v>
      </c>
      <c r="DT193" t="e">
        <f>IF(#REF!,"AAAAAH/v/ns=",0)</f>
        <v>#REF!</v>
      </c>
      <c r="DU193" t="e">
        <f>IF(#REF!,"AAAAAH/v/nw=",0)</f>
        <v>#REF!</v>
      </c>
      <c r="DV193" t="e">
        <f>IF(#REF!,"AAAAAH/v/n0=",0)</f>
        <v>#REF!</v>
      </c>
      <c r="DW193" t="e">
        <f>IF(#REF!,"AAAAAH/v/n4=",0)</f>
        <v>#REF!</v>
      </c>
      <c r="DX193" t="e">
        <f>IF(#REF!,"AAAAAH/v/n8=",0)</f>
        <v>#REF!</v>
      </c>
      <c r="DY193" t="e">
        <f>IF(#REF!,"AAAAAH/v/oA=",0)</f>
        <v>#REF!</v>
      </c>
      <c r="DZ193" t="e">
        <f>IF(#REF!,"AAAAAH/v/oE=",0)</f>
        <v>#REF!</v>
      </c>
      <c r="EA193" t="e">
        <f>IF(#REF!,"AAAAAH/v/oI=",0)</f>
        <v>#REF!</v>
      </c>
      <c r="EB193" t="e">
        <f>IF(#REF!,"AAAAAH/v/oM=",0)</f>
        <v>#REF!</v>
      </c>
      <c r="EC193" t="e">
        <f>IF(#REF!,"AAAAAH/v/oQ=",0)</f>
        <v>#REF!</v>
      </c>
      <c r="ED193" t="e">
        <f>IF(#REF!,"AAAAAH/v/oU=",0)</f>
        <v>#REF!</v>
      </c>
      <c r="EE193" t="e">
        <f>IF(#REF!,"AAAAAH/v/oY=",0)</f>
        <v>#REF!</v>
      </c>
      <c r="EF193" t="e">
        <f>IF(#REF!,"AAAAAH/v/oc=",0)</f>
        <v>#REF!</v>
      </c>
      <c r="EG193" t="e">
        <f>IF(#REF!,"AAAAAH/v/og=",0)</f>
        <v>#REF!</v>
      </c>
      <c r="EH193" t="e">
        <f>IF(#REF!,"AAAAAH/v/ok=",0)</f>
        <v>#REF!</v>
      </c>
      <c r="EI193" t="e">
        <f>IF(#REF!,"AAAAAH/v/oo=",0)</f>
        <v>#REF!</v>
      </c>
      <c r="EJ193" t="e">
        <f>IF(#REF!,"AAAAAH/v/os=",0)</f>
        <v>#REF!</v>
      </c>
      <c r="EK193" t="e">
        <f>IF(#REF!,"AAAAAH/v/ow=",0)</f>
        <v>#REF!</v>
      </c>
      <c r="EL193" t="e">
        <f>IF(#REF!,"AAAAAH/v/o0=",0)</f>
        <v>#REF!</v>
      </c>
      <c r="EM193" t="e">
        <f>IF(#REF!,"AAAAAH/v/o4=",0)</f>
        <v>#REF!</v>
      </c>
      <c r="EN193" t="e">
        <f>IF(#REF!,"AAAAAH/v/o8=",0)</f>
        <v>#REF!</v>
      </c>
      <c r="EO193" t="e">
        <f>IF(#REF!,"AAAAAH/v/pA=",0)</f>
        <v>#REF!</v>
      </c>
      <c r="EP193" t="e">
        <f>IF(#REF!,"AAAAAH/v/pE=",0)</f>
        <v>#REF!</v>
      </c>
      <c r="EQ193" t="e">
        <f>IF(#REF!,"AAAAAH/v/pI=",0)</f>
        <v>#REF!</v>
      </c>
      <c r="ER193" t="e">
        <f>IF(#REF!,"AAAAAH/v/pM=",0)</f>
        <v>#REF!</v>
      </c>
      <c r="ES193" t="e">
        <f>IF(#REF!,"AAAAAH/v/pQ=",0)</f>
        <v>#REF!</v>
      </c>
      <c r="ET193" t="e">
        <f>IF(#REF!,"AAAAAH/v/pU=",0)</f>
        <v>#REF!</v>
      </c>
      <c r="EU193" t="e">
        <f>IF(#REF!,"AAAAAH/v/pY=",0)</f>
        <v>#REF!</v>
      </c>
      <c r="EV193" t="e">
        <f>IF(#REF!,"AAAAAH/v/pc=",0)</f>
        <v>#REF!</v>
      </c>
      <c r="EW193" t="e">
        <f>IF(#REF!,"AAAAAH/v/pg=",0)</f>
        <v>#REF!</v>
      </c>
      <c r="EX193" t="e">
        <f>IF(#REF!,"AAAAAH/v/pk=",0)</f>
        <v>#REF!</v>
      </c>
      <c r="EY193" t="e">
        <f>IF(#REF!,"AAAAAH/v/po=",0)</f>
        <v>#REF!</v>
      </c>
      <c r="EZ193" t="e">
        <f>IF(#REF!,"AAAAAH/v/ps=",0)</f>
        <v>#REF!</v>
      </c>
      <c r="FA193" t="e">
        <f>IF(#REF!,"AAAAAH/v/pw=",0)</f>
        <v>#REF!</v>
      </c>
      <c r="FB193" t="e">
        <f>IF(#REF!,"AAAAAH/v/p0=",0)</f>
        <v>#REF!</v>
      </c>
      <c r="FC193" t="e">
        <f>IF(#REF!,"AAAAAH/v/p4=",0)</f>
        <v>#REF!</v>
      </c>
      <c r="FD193" t="e">
        <f>IF(#REF!,"AAAAAH/v/p8=",0)</f>
        <v>#REF!</v>
      </c>
      <c r="FE193" t="e">
        <f>IF(#REF!,"AAAAAH/v/qA=",0)</f>
        <v>#REF!</v>
      </c>
      <c r="FF193" t="e">
        <f>IF(#REF!,"AAAAAH/v/qE=",0)</f>
        <v>#REF!</v>
      </c>
      <c r="FG193" t="e">
        <f>IF(#REF!,"AAAAAH/v/qI=",0)</f>
        <v>#REF!</v>
      </c>
      <c r="FH193" t="e">
        <f>IF(#REF!,"AAAAAH/v/qM=",0)</f>
        <v>#REF!</v>
      </c>
      <c r="FI193" t="e">
        <f>IF(#REF!,"AAAAAH/v/qQ=",0)</f>
        <v>#REF!</v>
      </c>
      <c r="FJ193" t="e">
        <f>IF(#REF!,"AAAAAH/v/qU=",0)</f>
        <v>#REF!</v>
      </c>
      <c r="FK193" t="e">
        <f>IF(#REF!,"AAAAAH/v/qY=",0)</f>
        <v>#REF!</v>
      </c>
      <c r="FL193" t="e">
        <f>IF(#REF!,"AAAAAH/v/qc=",0)</f>
        <v>#REF!</v>
      </c>
      <c r="FM193" t="e">
        <f>IF(#REF!,"AAAAAH/v/qg=",0)</f>
        <v>#REF!</v>
      </c>
      <c r="FN193" t="e">
        <f>IF(#REF!,"AAAAAH/v/qk=",0)</f>
        <v>#REF!</v>
      </c>
      <c r="FO193" t="e">
        <f>IF(#REF!,"AAAAAH/v/qo=",0)</f>
        <v>#REF!</v>
      </c>
      <c r="FP193" t="e">
        <f>IF(#REF!,"AAAAAH/v/qs=",0)</f>
        <v>#REF!</v>
      </c>
      <c r="FQ193" t="e">
        <f>IF(#REF!,"AAAAAH/v/qw=",0)</f>
        <v>#REF!</v>
      </c>
      <c r="FR193" t="e">
        <f>IF(#REF!,"AAAAAH/v/q0=",0)</f>
        <v>#REF!</v>
      </c>
      <c r="FS193" t="e">
        <f>IF(#REF!,"AAAAAH/v/q4=",0)</f>
        <v>#REF!</v>
      </c>
      <c r="FT193" t="e">
        <f>IF(#REF!,"AAAAAH/v/q8=",0)</f>
        <v>#REF!</v>
      </c>
      <c r="FU193" t="e">
        <f>IF(#REF!,"AAAAAH/v/rA=",0)</f>
        <v>#REF!</v>
      </c>
      <c r="FV193" t="e">
        <f>IF(#REF!,"AAAAAH/v/rE=",0)</f>
        <v>#REF!</v>
      </c>
      <c r="FW193" t="e">
        <f>IF(#REF!,"AAAAAH/v/rI=",0)</f>
        <v>#REF!</v>
      </c>
      <c r="FX193" t="e">
        <f>IF(#REF!,"AAAAAH/v/rM=",0)</f>
        <v>#REF!</v>
      </c>
      <c r="FY193" t="e">
        <f>IF(#REF!,"AAAAAH/v/rQ=",0)</f>
        <v>#REF!</v>
      </c>
      <c r="FZ193" t="e">
        <f>IF(#REF!,"AAAAAH/v/rU=",0)</f>
        <v>#REF!</v>
      </c>
      <c r="GA193" t="e">
        <f>IF(#REF!,"AAAAAH/v/rY=",0)</f>
        <v>#REF!</v>
      </c>
      <c r="GB193" t="e">
        <f>IF(#REF!,"AAAAAH/v/rc=",0)</f>
        <v>#REF!</v>
      </c>
      <c r="GC193" t="e">
        <f>IF(#REF!,"AAAAAH/v/rg=",0)</f>
        <v>#REF!</v>
      </c>
      <c r="GD193" t="e">
        <f>IF(#REF!,"AAAAAH/v/rk=",0)</f>
        <v>#REF!</v>
      </c>
      <c r="GE193" t="e">
        <f>IF(#REF!,"AAAAAH/v/ro=",0)</f>
        <v>#REF!</v>
      </c>
      <c r="GF193" t="e">
        <f>IF(#REF!,"AAAAAH/v/rs=",0)</f>
        <v>#REF!</v>
      </c>
      <c r="GG193" t="e">
        <f>IF(#REF!,"AAAAAH/v/rw=",0)</f>
        <v>#REF!</v>
      </c>
      <c r="GH193" t="e">
        <f>IF(#REF!,"AAAAAH/v/r0=",0)</f>
        <v>#REF!</v>
      </c>
      <c r="GI193" t="e">
        <f>IF(#REF!,"AAAAAH/v/r4=",0)</f>
        <v>#REF!</v>
      </c>
      <c r="GJ193" t="e">
        <f>IF(#REF!,"AAAAAH/v/r8=",0)</f>
        <v>#REF!</v>
      </c>
      <c r="GK193" t="e">
        <f>IF(#REF!,"AAAAAH/v/sA=",0)</f>
        <v>#REF!</v>
      </c>
      <c r="GL193" t="e">
        <f>IF(#REF!,"AAAAAH/v/sE=",0)</f>
        <v>#REF!</v>
      </c>
      <c r="GM193" t="e">
        <f>IF(#REF!,"AAAAAH/v/sI=",0)</f>
        <v>#REF!</v>
      </c>
      <c r="GN193" t="e">
        <f>IF(#REF!,"AAAAAH/v/sM=",0)</f>
        <v>#REF!</v>
      </c>
      <c r="GO193" t="e">
        <f>IF(#REF!,"AAAAAH/v/sQ=",0)</f>
        <v>#REF!</v>
      </c>
      <c r="GP193" t="e">
        <f>IF(#REF!,"AAAAAH/v/sU=",0)</f>
        <v>#REF!</v>
      </c>
      <c r="GQ193" t="e">
        <f>IF(#REF!,"AAAAAH/v/sY=",0)</f>
        <v>#REF!</v>
      </c>
      <c r="GR193" t="e">
        <f>IF(#REF!,"AAAAAH/v/sc=",0)</f>
        <v>#REF!</v>
      </c>
      <c r="GS193" t="e">
        <f>IF(#REF!,"AAAAAH/v/sg=",0)</f>
        <v>#REF!</v>
      </c>
      <c r="GT193" t="e">
        <f>IF(#REF!,"AAAAAH/v/sk=",0)</f>
        <v>#REF!</v>
      </c>
      <c r="GU193" t="e">
        <f>IF(#REF!,"AAAAAH/v/so=",0)</f>
        <v>#REF!</v>
      </c>
      <c r="GV193" t="e">
        <f>IF(#REF!,"AAAAAH/v/ss=",0)</f>
        <v>#REF!</v>
      </c>
      <c r="GW193" t="e">
        <f>IF(#REF!,"AAAAAH/v/sw=",0)</f>
        <v>#REF!</v>
      </c>
      <c r="GX193" t="e">
        <f>IF(#REF!,"AAAAAH/v/s0=",0)</f>
        <v>#REF!</v>
      </c>
      <c r="GY193" t="e">
        <f>IF(#REF!,"AAAAAH/v/s4=",0)</f>
        <v>#REF!</v>
      </c>
      <c r="GZ193" t="e">
        <f>IF(#REF!,"AAAAAH/v/s8=",0)</f>
        <v>#REF!</v>
      </c>
      <c r="HA193" t="e">
        <f>IF(#REF!,"AAAAAH/v/tA=",0)</f>
        <v>#REF!</v>
      </c>
      <c r="HB193" t="e">
        <f>IF(#REF!,"AAAAAH/v/tE=",0)</f>
        <v>#REF!</v>
      </c>
      <c r="HC193" t="e">
        <f>IF(#REF!,"AAAAAH/v/tI=",0)</f>
        <v>#REF!</v>
      </c>
      <c r="HD193" t="e">
        <f>IF(#REF!,"AAAAAH/v/tM=",0)</f>
        <v>#REF!</v>
      </c>
      <c r="HE193" t="e">
        <f>IF(#REF!,"AAAAAH/v/tQ=",0)</f>
        <v>#REF!</v>
      </c>
      <c r="HF193" t="e">
        <f>IF(#REF!,"AAAAAH/v/tU=",0)</f>
        <v>#REF!</v>
      </c>
      <c r="HG193" t="e">
        <f>IF(#REF!,"AAAAAH/v/tY=",0)</f>
        <v>#REF!</v>
      </c>
      <c r="HH193" t="e">
        <f>IF(#REF!,"AAAAAH/v/tc=",0)</f>
        <v>#REF!</v>
      </c>
      <c r="HI193" t="e">
        <f>IF(#REF!,"AAAAAH/v/tg=",0)</f>
        <v>#REF!</v>
      </c>
      <c r="HJ193" t="e">
        <f>IF(#REF!,"AAAAAH/v/tk=",0)</f>
        <v>#REF!</v>
      </c>
      <c r="HK193" t="e">
        <f>IF(#REF!,"AAAAAH/v/to=",0)</f>
        <v>#REF!</v>
      </c>
      <c r="HL193" t="e">
        <f>IF(#REF!,"AAAAAH/v/ts=",0)</f>
        <v>#REF!</v>
      </c>
      <c r="HM193" t="e">
        <f>IF(#REF!,"AAAAAH/v/tw=",0)</f>
        <v>#REF!</v>
      </c>
      <c r="HN193" t="e">
        <f>IF(#REF!,"AAAAAH/v/t0=",0)</f>
        <v>#REF!</v>
      </c>
      <c r="HO193" t="e">
        <f>IF(#REF!,"AAAAAH/v/t4=",0)</f>
        <v>#REF!</v>
      </c>
      <c r="HP193" t="e">
        <f>IF(#REF!,"AAAAAH/v/t8=",0)</f>
        <v>#REF!</v>
      </c>
      <c r="HQ193" t="e">
        <f>IF(#REF!,"AAAAAH/v/uA=",0)</f>
        <v>#REF!</v>
      </c>
      <c r="HR193" t="e">
        <f>IF(#REF!,"AAAAAH/v/uE=",0)</f>
        <v>#REF!</v>
      </c>
      <c r="HS193" t="e">
        <f>IF(#REF!,"AAAAAH/v/uI=",0)</f>
        <v>#REF!</v>
      </c>
      <c r="HT193" t="e">
        <f>IF(#REF!,"AAAAAH/v/uM=",0)</f>
        <v>#REF!</v>
      </c>
      <c r="HU193" t="e">
        <f>IF(#REF!,"AAAAAH/v/uQ=",0)</f>
        <v>#REF!</v>
      </c>
      <c r="HV193" t="e">
        <f>IF(#REF!,"AAAAAH/v/uU=",0)</f>
        <v>#REF!</v>
      </c>
      <c r="HW193" t="e">
        <f>IF(#REF!,"AAAAAH/v/uY=",0)</f>
        <v>#REF!</v>
      </c>
      <c r="HX193" t="e">
        <f>IF(#REF!,"AAAAAH/v/uc=",0)</f>
        <v>#REF!</v>
      </c>
      <c r="HY193" t="e">
        <f>IF(#REF!,"AAAAAH/v/ug=",0)</f>
        <v>#REF!</v>
      </c>
      <c r="HZ193" t="e">
        <f>IF(#REF!,"AAAAAH/v/uk=",0)</f>
        <v>#REF!</v>
      </c>
      <c r="IA193" t="e">
        <f>IF(#REF!,"AAAAAH/v/uo=",0)</f>
        <v>#REF!</v>
      </c>
      <c r="IB193" t="e">
        <f>IF(#REF!,"AAAAAH/v/us=",0)</f>
        <v>#REF!</v>
      </c>
      <c r="IC193" t="e">
        <f>IF(#REF!,"AAAAAH/v/uw=",0)</f>
        <v>#REF!</v>
      </c>
      <c r="ID193" t="e">
        <f>IF(#REF!,"AAAAAH/v/u0=",0)</f>
        <v>#REF!</v>
      </c>
      <c r="IE193" t="e">
        <f>IF(#REF!,"AAAAAH/v/u4=",0)</f>
        <v>#REF!</v>
      </c>
      <c r="IF193" t="e">
        <f>IF(#REF!,"AAAAAH/v/u8=",0)</f>
        <v>#REF!</v>
      </c>
      <c r="IG193" t="e">
        <f>IF(#REF!,"AAAAAH/v/vA=",0)</f>
        <v>#REF!</v>
      </c>
      <c r="IH193" t="e">
        <f>IF(#REF!,"AAAAAH/v/vE=",0)</f>
        <v>#REF!</v>
      </c>
      <c r="II193" t="e">
        <f>IF(#REF!,"AAAAAH/v/vI=",0)</f>
        <v>#REF!</v>
      </c>
      <c r="IJ193" t="e">
        <f>IF(#REF!,"AAAAAH/v/vM=",0)</f>
        <v>#REF!</v>
      </c>
      <c r="IK193" t="e">
        <f>IF(#REF!,"AAAAAH/v/vQ=",0)</f>
        <v>#REF!</v>
      </c>
      <c r="IL193" t="e">
        <f>IF(#REF!,"AAAAAH/v/vU=",0)</f>
        <v>#REF!</v>
      </c>
      <c r="IM193" t="e">
        <f>IF(#REF!,"AAAAAH/v/vY=",0)</f>
        <v>#REF!</v>
      </c>
      <c r="IN193" t="e">
        <f>IF(#REF!,"AAAAAH/v/vc=",0)</f>
        <v>#REF!</v>
      </c>
      <c r="IO193" t="e">
        <f>IF(#REF!,"AAAAAH/v/vg=",0)</f>
        <v>#REF!</v>
      </c>
      <c r="IP193" t="e">
        <f>IF(#REF!,"AAAAAH/v/vk=",0)</f>
        <v>#REF!</v>
      </c>
      <c r="IQ193" t="e">
        <f>IF(#REF!,"AAAAAH/v/vo=",0)</f>
        <v>#REF!</v>
      </c>
      <c r="IR193" t="e">
        <f>IF(#REF!,"AAAAAH/v/vs=",0)</f>
        <v>#REF!</v>
      </c>
      <c r="IS193" t="e">
        <f>IF(#REF!,"AAAAAH/v/vw=",0)</f>
        <v>#REF!</v>
      </c>
      <c r="IT193" t="e">
        <f>IF(#REF!,"AAAAAH/v/v0=",0)</f>
        <v>#REF!</v>
      </c>
      <c r="IU193" t="e">
        <f>IF(#REF!,"AAAAAH/v/v4=",0)</f>
        <v>#REF!</v>
      </c>
      <c r="IV193" t="e">
        <f>IF(#REF!,"AAAAAH/v/v8=",0)</f>
        <v>#REF!</v>
      </c>
    </row>
    <row r="194" spans="1:256">
      <c r="A194" t="e">
        <f>IF(#REF!,"AAAAAG9r9wA=",0)</f>
        <v>#REF!</v>
      </c>
      <c r="B194" t="e">
        <f>IF(#REF!,"AAAAAG9r9wE=",0)</f>
        <v>#REF!</v>
      </c>
      <c r="C194" t="e">
        <f>IF(#REF!,"AAAAAG9r9wI=",0)</f>
        <v>#REF!</v>
      </c>
      <c r="D194" t="e">
        <f>IF(#REF!,"AAAAAG9r9wM=",0)</f>
        <v>#REF!</v>
      </c>
      <c r="E194" t="e">
        <f>IF(#REF!,"AAAAAG9r9wQ=",0)</f>
        <v>#REF!</v>
      </c>
      <c r="F194" t="e">
        <f>IF(#REF!,"AAAAAG9r9wU=",0)</f>
        <v>#REF!</v>
      </c>
      <c r="G194" t="e">
        <f>IF(#REF!,"AAAAAG9r9wY=",0)</f>
        <v>#REF!</v>
      </c>
      <c r="H194" t="e">
        <f>IF(#REF!,"AAAAAG9r9wc=",0)</f>
        <v>#REF!</v>
      </c>
      <c r="I194" t="e">
        <f>IF(#REF!,"AAAAAG9r9wg=",0)</f>
        <v>#REF!</v>
      </c>
      <c r="J194" t="e">
        <f>IF(#REF!,"AAAAAG9r9wk=",0)</f>
        <v>#REF!</v>
      </c>
      <c r="K194" t="e">
        <f>IF(#REF!,"AAAAAG9r9wo=",0)</f>
        <v>#REF!</v>
      </c>
      <c r="L194" t="e">
        <f>IF(#REF!,"AAAAAG9r9ws=",0)</f>
        <v>#REF!</v>
      </c>
      <c r="M194" t="e">
        <f>IF(#REF!,"AAAAAG9r9ww=",0)</f>
        <v>#REF!</v>
      </c>
      <c r="N194" t="e">
        <f>IF(#REF!,"AAAAAG9r9w0=",0)</f>
        <v>#REF!</v>
      </c>
      <c r="O194" t="e">
        <f>IF(#REF!,"AAAAAG9r9w4=",0)</f>
        <v>#REF!</v>
      </c>
      <c r="P194" t="e">
        <f>IF(#REF!,"AAAAAG9r9w8=",0)</f>
        <v>#REF!</v>
      </c>
      <c r="Q194" t="e">
        <f>IF(#REF!,"AAAAAG9r9xA=",0)</f>
        <v>#REF!</v>
      </c>
      <c r="R194" t="e">
        <f>IF(#REF!,"AAAAAG9r9xE=",0)</f>
        <v>#REF!</v>
      </c>
      <c r="S194" t="e">
        <f>IF(#REF!,"AAAAAG9r9xI=",0)</f>
        <v>#REF!</v>
      </c>
      <c r="T194" t="e">
        <f>IF(#REF!,"AAAAAG9r9xM=",0)</f>
        <v>#REF!</v>
      </c>
      <c r="U194" t="e">
        <f>IF(#REF!,"AAAAAG9r9xQ=",0)</f>
        <v>#REF!</v>
      </c>
      <c r="V194" t="e">
        <f>IF(#REF!,"AAAAAG9r9xU=",0)</f>
        <v>#REF!</v>
      </c>
      <c r="W194" t="e">
        <f>IF(#REF!,"AAAAAG9r9xY=",0)</f>
        <v>#REF!</v>
      </c>
      <c r="X194" t="e">
        <f>IF(#REF!,"AAAAAG9r9xc=",0)</f>
        <v>#REF!</v>
      </c>
      <c r="Y194" t="e">
        <f>IF(#REF!,"AAAAAG9r9xg=",0)</f>
        <v>#REF!</v>
      </c>
      <c r="Z194" t="e">
        <f>IF(#REF!,"AAAAAG9r9xk=",0)</f>
        <v>#REF!</v>
      </c>
      <c r="AA194" t="e">
        <f>IF(#REF!,"AAAAAG9r9xo=",0)</f>
        <v>#REF!</v>
      </c>
      <c r="AB194" t="e">
        <f>IF(#REF!,"AAAAAG9r9xs=",0)</f>
        <v>#REF!</v>
      </c>
      <c r="AC194" t="e">
        <f>IF(#REF!,"AAAAAG9r9xw=",0)</f>
        <v>#REF!</v>
      </c>
      <c r="AD194" t="e">
        <f>IF(#REF!,"AAAAAG9r9x0=",0)</f>
        <v>#REF!</v>
      </c>
      <c r="AE194" t="e">
        <f>IF(#REF!,"AAAAAG9r9x4=",0)</f>
        <v>#REF!</v>
      </c>
      <c r="AF194" t="e">
        <f>IF(#REF!,"AAAAAG9r9x8=",0)</f>
        <v>#REF!</v>
      </c>
      <c r="AG194" t="e">
        <f>IF(#REF!,"AAAAAG9r9yA=",0)</f>
        <v>#REF!</v>
      </c>
      <c r="AH194" t="e">
        <f>IF(#REF!,"AAAAAG9r9yE=",0)</f>
        <v>#REF!</v>
      </c>
      <c r="AI194" t="e">
        <f>IF(#REF!,"AAAAAG9r9yI=",0)</f>
        <v>#REF!</v>
      </c>
      <c r="AJ194" t="e">
        <f>IF(#REF!,"AAAAAG9r9yM=",0)</f>
        <v>#REF!</v>
      </c>
      <c r="AK194" t="e">
        <f>IF(#REF!,"AAAAAG9r9yQ=",0)</f>
        <v>#REF!</v>
      </c>
      <c r="AL194" t="e">
        <f>IF(#REF!,"AAAAAG9r9yU=",0)</f>
        <v>#REF!</v>
      </c>
      <c r="AM194" t="e">
        <f>IF(#REF!,"AAAAAG9r9yY=",0)</f>
        <v>#REF!</v>
      </c>
      <c r="AN194" t="e">
        <f>IF(#REF!,"AAAAAG9r9yc=",0)</f>
        <v>#REF!</v>
      </c>
      <c r="AO194" t="e">
        <f>IF(#REF!,"AAAAAG9r9yg=",0)</f>
        <v>#REF!</v>
      </c>
      <c r="AP194" t="e">
        <f>IF(#REF!,"AAAAAG9r9yk=",0)</f>
        <v>#REF!</v>
      </c>
      <c r="AQ194" t="e">
        <f>IF(#REF!,"AAAAAG9r9yo=",0)</f>
        <v>#REF!</v>
      </c>
      <c r="AR194" t="e">
        <f>IF(#REF!,"AAAAAG9r9ys=",0)</f>
        <v>#REF!</v>
      </c>
      <c r="AS194" t="e">
        <f>IF(#REF!,"AAAAAG9r9yw=",0)</f>
        <v>#REF!</v>
      </c>
      <c r="AT194" t="e">
        <f>IF(#REF!,"AAAAAG9r9y0=",0)</f>
        <v>#REF!</v>
      </c>
      <c r="AU194" t="e">
        <f>IF(#REF!,"AAAAAG9r9y4=",0)</f>
        <v>#REF!</v>
      </c>
      <c r="AV194" t="e">
        <f>IF(#REF!,"AAAAAG9r9y8=",0)</f>
        <v>#REF!</v>
      </c>
      <c r="AW194" t="e">
        <f>IF(#REF!,"AAAAAG9r9zA=",0)</f>
        <v>#REF!</v>
      </c>
      <c r="AX194" t="e">
        <f>IF(#REF!,"AAAAAG9r9zE=",0)</f>
        <v>#REF!</v>
      </c>
      <c r="AY194" t="e">
        <f>IF(#REF!,"AAAAAG9r9zI=",0)</f>
        <v>#REF!</v>
      </c>
      <c r="AZ194" t="e">
        <f>IF(#REF!,"AAAAAG9r9zM=",0)</f>
        <v>#REF!</v>
      </c>
      <c r="BA194" t="e">
        <f>IF(#REF!,"AAAAAG9r9zQ=",0)</f>
        <v>#REF!</v>
      </c>
      <c r="BB194" t="e">
        <f>IF(#REF!,"AAAAAG9r9zU=",0)</f>
        <v>#REF!</v>
      </c>
      <c r="BC194" t="e">
        <f>IF(#REF!,"AAAAAG9r9zY=",0)</f>
        <v>#REF!</v>
      </c>
      <c r="BD194" t="e">
        <f>IF(#REF!,"AAAAAG9r9zc=",0)</f>
        <v>#REF!</v>
      </c>
      <c r="BE194" t="e">
        <f>IF(#REF!,"AAAAAG9r9zg=",0)</f>
        <v>#REF!</v>
      </c>
      <c r="BF194" t="e">
        <f>IF(#REF!,"AAAAAG9r9zk=",0)</f>
        <v>#REF!</v>
      </c>
      <c r="BG194" t="e">
        <f>IF(#REF!,"AAAAAG9r9zo=",0)</f>
        <v>#REF!</v>
      </c>
      <c r="BH194" t="e">
        <f>IF(#REF!,"AAAAAG9r9zs=",0)</f>
        <v>#REF!</v>
      </c>
      <c r="BI194" t="e">
        <f>IF(#REF!,"AAAAAG9r9zw=",0)</f>
        <v>#REF!</v>
      </c>
      <c r="BJ194" t="e">
        <f>IF(#REF!,"AAAAAG9r9z0=",0)</f>
        <v>#REF!</v>
      </c>
      <c r="BK194" t="e">
        <f>IF(#REF!,"AAAAAG9r9z4=",0)</f>
        <v>#REF!</v>
      </c>
      <c r="BL194" t="e">
        <f>IF(#REF!,"AAAAAG9r9z8=",0)</f>
        <v>#REF!</v>
      </c>
      <c r="BM194" t="e">
        <f>IF(#REF!,"AAAAAG9r90A=",0)</f>
        <v>#REF!</v>
      </c>
      <c r="BN194" t="e">
        <f>IF(#REF!,"AAAAAG9r90E=",0)</f>
        <v>#REF!</v>
      </c>
      <c r="BO194" t="e">
        <f>IF(#REF!,"AAAAAG9r90I=",0)</f>
        <v>#REF!</v>
      </c>
      <c r="BP194" t="e">
        <f>IF(#REF!,"AAAAAG9r90M=",0)</f>
        <v>#REF!</v>
      </c>
      <c r="BQ194" t="e">
        <f>IF(#REF!,"AAAAAG9r90Q=",0)</f>
        <v>#REF!</v>
      </c>
      <c r="BR194" t="e">
        <f>IF(#REF!,"AAAAAG9r90U=",0)</f>
        <v>#REF!</v>
      </c>
      <c r="BS194" t="e">
        <f>IF(#REF!,"AAAAAG9r90Y=",0)</f>
        <v>#REF!</v>
      </c>
      <c r="BT194" t="e">
        <f>IF(#REF!,"AAAAAG9r90c=",0)</f>
        <v>#REF!</v>
      </c>
      <c r="BU194" t="e">
        <f>IF(#REF!,"AAAAAG9r90g=",0)</f>
        <v>#REF!</v>
      </c>
      <c r="BV194" t="e">
        <f>IF(#REF!,"AAAAAG9r90k=",0)</f>
        <v>#REF!</v>
      </c>
      <c r="BW194" t="e">
        <f>IF(#REF!,"AAAAAG9r90o=",0)</f>
        <v>#REF!</v>
      </c>
      <c r="BX194" t="e">
        <f>IF(#REF!,"AAAAAG9r90s=",0)</f>
        <v>#REF!</v>
      </c>
      <c r="BY194" t="e">
        <f>IF(#REF!,"AAAAAG9r90w=",0)</f>
        <v>#REF!</v>
      </c>
      <c r="BZ194" t="e">
        <f>IF(#REF!,"AAAAAG9r900=",0)</f>
        <v>#REF!</v>
      </c>
      <c r="CA194" t="e">
        <f>IF(#REF!,"AAAAAG9r904=",0)</f>
        <v>#REF!</v>
      </c>
      <c r="CB194" t="e">
        <f>IF(#REF!,"AAAAAG9r908=",0)</f>
        <v>#REF!</v>
      </c>
      <c r="CC194" t="e">
        <f>IF(#REF!,"AAAAAG9r91A=",0)</f>
        <v>#REF!</v>
      </c>
      <c r="CD194" t="e">
        <f>IF(#REF!,"AAAAAG9r91E=",0)</f>
        <v>#REF!</v>
      </c>
      <c r="CE194" t="e">
        <f>IF(#REF!,"AAAAAG9r91I=",0)</f>
        <v>#REF!</v>
      </c>
      <c r="CF194" t="e">
        <f>IF(#REF!,"AAAAAG9r91M=",0)</f>
        <v>#REF!</v>
      </c>
      <c r="CG194" t="e">
        <f>IF(#REF!,"AAAAAG9r91Q=",0)</f>
        <v>#REF!</v>
      </c>
      <c r="CH194" t="e">
        <f>IF(#REF!,"AAAAAG9r91U=",0)</f>
        <v>#REF!</v>
      </c>
      <c r="CI194" t="e">
        <f>IF(#REF!,"AAAAAG9r91Y=",0)</f>
        <v>#REF!</v>
      </c>
      <c r="CJ194" t="e">
        <f>IF(#REF!,"AAAAAG9r91c=",0)</f>
        <v>#REF!</v>
      </c>
      <c r="CK194" t="e">
        <f>IF(#REF!,"AAAAAG9r91g=",0)</f>
        <v>#REF!</v>
      </c>
      <c r="CL194" t="e">
        <f>IF(#REF!,"AAAAAG9r91k=",0)</f>
        <v>#REF!</v>
      </c>
      <c r="CM194" t="e">
        <f>IF(#REF!,"AAAAAG9r91o=",0)</f>
        <v>#REF!</v>
      </c>
      <c r="CN194" t="e">
        <f>IF(#REF!,"AAAAAG9r91s=",0)</f>
        <v>#REF!</v>
      </c>
      <c r="CO194" t="e">
        <f>IF(#REF!,"AAAAAG9r91w=",0)</f>
        <v>#REF!</v>
      </c>
      <c r="CP194" t="e">
        <f>IF(#REF!,"AAAAAG9r910=",0)</f>
        <v>#REF!</v>
      </c>
      <c r="CQ194" t="e">
        <f>IF(#REF!,"AAAAAG9r914=",0)</f>
        <v>#REF!</v>
      </c>
      <c r="CR194" t="e">
        <f>IF(#REF!,"AAAAAG9r918=",0)</f>
        <v>#REF!</v>
      </c>
      <c r="CS194" t="e">
        <f>IF(#REF!,"AAAAAG9r92A=",0)</f>
        <v>#REF!</v>
      </c>
      <c r="CT194" t="e">
        <f>IF(#REF!,"AAAAAG9r92E=",0)</f>
        <v>#REF!</v>
      </c>
      <c r="CU194" t="e">
        <f>IF(#REF!,"AAAAAG9r92I=",0)</f>
        <v>#REF!</v>
      </c>
      <c r="CV194" t="e">
        <f>IF(#REF!,"AAAAAG9r92M=",0)</f>
        <v>#REF!</v>
      </c>
      <c r="CW194" t="e">
        <f>IF(#REF!,"AAAAAG9r92Q=",0)</f>
        <v>#REF!</v>
      </c>
      <c r="CX194" t="e">
        <f>IF(#REF!,"AAAAAG9r92U=",0)</f>
        <v>#REF!</v>
      </c>
      <c r="CY194" t="e">
        <f>IF(#REF!,"AAAAAG9r92Y=",0)</f>
        <v>#REF!</v>
      </c>
      <c r="CZ194" t="e">
        <f>IF(#REF!,"AAAAAG9r92c=",0)</f>
        <v>#REF!</v>
      </c>
      <c r="DA194" t="e">
        <f>IF(#REF!,"AAAAAG9r92g=",0)</f>
        <v>#REF!</v>
      </c>
      <c r="DB194" t="e">
        <f>IF(#REF!,"AAAAAG9r92k=",0)</f>
        <v>#REF!</v>
      </c>
      <c r="DC194" t="e">
        <f>IF(#REF!,"AAAAAG9r92o=",0)</f>
        <v>#REF!</v>
      </c>
      <c r="DD194" t="e">
        <f>IF(#REF!,"AAAAAG9r92s=",0)</f>
        <v>#REF!</v>
      </c>
      <c r="DE194" t="e">
        <f>IF(#REF!,"AAAAAG9r92w=",0)</f>
        <v>#REF!</v>
      </c>
      <c r="DF194" t="e">
        <f>IF(#REF!,"AAAAAG9r920=",0)</f>
        <v>#REF!</v>
      </c>
      <c r="DG194" t="e">
        <f>IF(#REF!,"AAAAAG9r924=",0)</f>
        <v>#REF!</v>
      </c>
      <c r="DH194" t="e">
        <f>IF(#REF!,"AAAAAG9r928=",0)</f>
        <v>#REF!</v>
      </c>
      <c r="DI194" t="e">
        <f>IF(#REF!,"AAAAAG9r93A=",0)</f>
        <v>#REF!</v>
      </c>
      <c r="DJ194" t="e">
        <f>IF(#REF!,"AAAAAG9r93E=",0)</f>
        <v>#REF!</v>
      </c>
      <c r="DK194" t="e">
        <f>IF(#REF!,"AAAAAG9r93I=",0)</f>
        <v>#REF!</v>
      </c>
      <c r="DL194" t="e">
        <f>IF(#REF!,"AAAAAG9r93M=",0)</f>
        <v>#REF!</v>
      </c>
      <c r="DM194" t="e">
        <f>IF(#REF!,"AAAAAG9r93Q=",0)</f>
        <v>#REF!</v>
      </c>
      <c r="DN194" t="e">
        <f>IF(#REF!,"AAAAAG9r93U=",0)</f>
        <v>#REF!</v>
      </c>
      <c r="DO194" t="e">
        <f>IF(#REF!,"AAAAAG9r93Y=",0)</f>
        <v>#REF!</v>
      </c>
      <c r="DP194" t="e">
        <f>IF(#REF!,"AAAAAG9r93c=",0)</f>
        <v>#REF!</v>
      </c>
      <c r="DQ194" t="e">
        <f>IF(#REF!,"AAAAAG9r93g=",0)</f>
        <v>#REF!</v>
      </c>
      <c r="DR194" t="e">
        <f>IF(#REF!,"AAAAAG9r93k=",0)</f>
        <v>#REF!</v>
      </c>
      <c r="DS194" t="e">
        <f>IF(#REF!,"AAAAAG9r93o=",0)</f>
        <v>#REF!</v>
      </c>
      <c r="DT194" t="e">
        <f>IF(#REF!,"AAAAAG9r93s=",0)</f>
        <v>#REF!</v>
      </c>
      <c r="DU194" t="e">
        <f>IF(#REF!,"AAAAAG9r93w=",0)</f>
        <v>#REF!</v>
      </c>
      <c r="DV194" t="e">
        <f>IF(#REF!,"AAAAAG9r930=",0)</f>
        <v>#REF!</v>
      </c>
      <c r="DW194" t="e">
        <f>IF(#REF!,"AAAAAG9r934=",0)</f>
        <v>#REF!</v>
      </c>
      <c r="DX194" t="e">
        <f>IF(#REF!,"AAAAAG9r938=",0)</f>
        <v>#REF!</v>
      </c>
      <c r="DY194" t="e">
        <f>IF(#REF!,"AAAAAG9r94A=",0)</f>
        <v>#REF!</v>
      </c>
      <c r="DZ194" t="e">
        <f>IF(#REF!,"AAAAAG9r94E=",0)</f>
        <v>#REF!</v>
      </c>
      <c r="EA194" t="e">
        <f>IF(#REF!,"AAAAAG9r94I=",0)</f>
        <v>#REF!</v>
      </c>
      <c r="EB194" t="e">
        <f>IF(#REF!,"AAAAAG9r94M=",0)</f>
        <v>#REF!</v>
      </c>
      <c r="EC194" t="e">
        <f>IF(#REF!,"AAAAAG9r94Q=",0)</f>
        <v>#REF!</v>
      </c>
      <c r="ED194" t="e">
        <f>IF(#REF!,"AAAAAG9r94U=",0)</f>
        <v>#REF!</v>
      </c>
      <c r="EE194" t="e">
        <f>IF(#REF!,"AAAAAG9r94Y=",0)</f>
        <v>#REF!</v>
      </c>
      <c r="EF194" t="e">
        <f>IF(#REF!,"AAAAAG9r94c=",0)</f>
        <v>#REF!</v>
      </c>
      <c r="EG194" t="e">
        <f>IF(#REF!,"AAAAAG9r94g=",0)</f>
        <v>#REF!</v>
      </c>
      <c r="EH194" t="e">
        <f>IF(#REF!,"AAAAAG9r94k=",0)</f>
        <v>#REF!</v>
      </c>
      <c r="EI194" t="e">
        <f>IF(#REF!,"AAAAAG9r94o=",0)</f>
        <v>#REF!</v>
      </c>
      <c r="EJ194" t="e">
        <f>IF(#REF!,"AAAAAG9r94s=",0)</f>
        <v>#REF!</v>
      </c>
      <c r="EK194" t="e">
        <f>IF(#REF!,"AAAAAG9r94w=",0)</f>
        <v>#REF!</v>
      </c>
      <c r="EL194" t="e">
        <f>IF(#REF!,"AAAAAG9r940=",0)</f>
        <v>#REF!</v>
      </c>
      <c r="EM194" t="e">
        <f>IF(#REF!,"AAAAAG9r944=",0)</f>
        <v>#REF!</v>
      </c>
      <c r="EN194" t="e">
        <f>IF(#REF!,"AAAAAG9r948=",0)</f>
        <v>#REF!</v>
      </c>
      <c r="EO194" t="e">
        <f>IF(#REF!,"AAAAAG9r95A=",0)</f>
        <v>#REF!</v>
      </c>
      <c r="EP194" t="e">
        <f>IF(#REF!,"AAAAAG9r95E=",0)</f>
        <v>#REF!</v>
      </c>
      <c r="EQ194" t="e">
        <f>IF(#REF!,"AAAAAG9r95I=",0)</f>
        <v>#REF!</v>
      </c>
      <c r="ER194" t="e">
        <f>IF(#REF!,"AAAAAG9r95M=",0)</f>
        <v>#REF!</v>
      </c>
      <c r="ES194" t="e">
        <f>IF(#REF!,"AAAAAG9r95Q=",0)</f>
        <v>#REF!</v>
      </c>
      <c r="ET194" t="e">
        <f>IF(#REF!,"AAAAAG9r95U=",0)</f>
        <v>#REF!</v>
      </c>
      <c r="EU194" t="e">
        <f>IF(#REF!,"AAAAAG9r95Y=",0)</f>
        <v>#REF!</v>
      </c>
      <c r="EV194" t="e">
        <f>IF(#REF!,"AAAAAG9r95c=",0)</f>
        <v>#REF!</v>
      </c>
      <c r="EW194" t="e">
        <f>IF(#REF!,"AAAAAG9r95g=",0)</f>
        <v>#REF!</v>
      </c>
      <c r="EX194" t="e">
        <f>IF(#REF!,"AAAAAG9r95k=",0)</f>
        <v>#REF!</v>
      </c>
      <c r="EY194" t="e">
        <f>IF(#REF!,"AAAAAG9r95o=",0)</f>
        <v>#REF!</v>
      </c>
      <c r="EZ194" t="e">
        <f>IF(#REF!,"AAAAAG9r95s=",0)</f>
        <v>#REF!</v>
      </c>
      <c r="FA194" t="e">
        <f>IF(#REF!,"AAAAAG9r95w=",0)</f>
        <v>#REF!</v>
      </c>
      <c r="FB194" t="e">
        <f>IF(#REF!,"AAAAAG9r950=",0)</f>
        <v>#REF!</v>
      </c>
      <c r="FC194" t="e">
        <f>IF(#REF!,"AAAAAG9r954=",0)</f>
        <v>#REF!</v>
      </c>
      <c r="FD194" t="e">
        <f>IF(#REF!,"AAAAAG9r958=",0)</f>
        <v>#REF!</v>
      </c>
      <c r="FE194" t="e">
        <f>IF(#REF!,"AAAAAG9r96A=",0)</f>
        <v>#REF!</v>
      </c>
      <c r="FF194" t="e">
        <f>IF(#REF!,"AAAAAG9r96E=",0)</f>
        <v>#REF!</v>
      </c>
      <c r="FG194" t="e">
        <f>IF(#REF!,"AAAAAG9r96I=",0)</f>
        <v>#REF!</v>
      </c>
      <c r="FH194" t="e">
        <f>IF(#REF!,"AAAAAG9r96M=",0)</f>
        <v>#REF!</v>
      </c>
      <c r="FI194" t="e">
        <f>IF(#REF!,"AAAAAG9r96Q=",0)</f>
        <v>#REF!</v>
      </c>
      <c r="FJ194" t="e">
        <f>IF(#REF!,"AAAAAG9r96U=",0)</f>
        <v>#REF!</v>
      </c>
      <c r="FK194" t="e">
        <f>IF(#REF!,"AAAAAG9r96Y=",0)</f>
        <v>#REF!</v>
      </c>
      <c r="FL194" t="e">
        <f>IF(#REF!,"AAAAAG9r96c=",0)</f>
        <v>#REF!</v>
      </c>
      <c r="FM194" t="e">
        <f>IF(#REF!,"AAAAAG9r96g=",0)</f>
        <v>#REF!</v>
      </c>
      <c r="FN194" t="e">
        <f>IF(#REF!,"AAAAAG9r96k=",0)</f>
        <v>#REF!</v>
      </c>
      <c r="FO194" t="e">
        <f>IF(#REF!,"AAAAAG9r96o=",0)</f>
        <v>#REF!</v>
      </c>
      <c r="FP194" t="e">
        <f>IF(#REF!,"AAAAAG9r96s=",0)</f>
        <v>#REF!</v>
      </c>
      <c r="FQ194" t="e">
        <f>IF(#REF!,"AAAAAG9r96w=",0)</f>
        <v>#REF!</v>
      </c>
      <c r="FR194" t="e">
        <f>IF(#REF!,"AAAAAG9r960=",0)</f>
        <v>#REF!</v>
      </c>
      <c r="FS194" t="e">
        <f>IF(#REF!,"AAAAAG9r964=",0)</f>
        <v>#REF!</v>
      </c>
      <c r="FT194" t="e">
        <f>IF(#REF!,"AAAAAG9r968=",0)</f>
        <v>#REF!</v>
      </c>
      <c r="FU194" t="e">
        <f>IF(#REF!,"AAAAAG9r97A=",0)</f>
        <v>#REF!</v>
      </c>
      <c r="FV194" t="e">
        <f>IF(#REF!,"AAAAAG9r97E=",0)</f>
        <v>#REF!</v>
      </c>
      <c r="FW194" t="e">
        <f>IF(#REF!,"AAAAAG9r97I=",0)</f>
        <v>#REF!</v>
      </c>
      <c r="FX194" t="e">
        <f>IF(#REF!,"AAAAAG9r97M=",0)</f>
        <v>#REF!</v>
      </c>
      <c r="FY194" t="e">
        <f>IF(#REF!,"AAAAAG9r97Q=",0)</f>
        <v>#REF!</v>
      </c>
      <c r="FZ194" t="e">
        <f>IF(#REF!,"AAAAAG9r97U=",0)</f>
        <v>#REF!</v>
      </c>
      <c r="GA194" t="e">
        <f>IF(#REF!,"AAAAAG9r97Y=",0)</f>
        <v>#REF!</v>
      </c>
      <c r="GB194" t="e">
        <f>IF(#REF!,"AAAAAG9r97c=",0)</f>
        <v>#REF!</v>
      </c>
      <c r="GC194" t="e">
        <f>IF(#REF!,"AAAAAG9r97g=",0)</f>
        <v>#REF!</v>
      </c>
      <c r="GD194" t="e">
        <f>IF(#REF!,"AAAAAG9r97k=",0)</f>
        <v>#REF!</v>
      </c>
      <c r="GE194" t="e">
        <f>IF(#REF!,"AAAAAG9r97o=",0)</f>
        <v>#REF!</v>
      </c>
      <c r="GF194" t="e">
        <f>IF(#REF!,"AAAAAG9r97s=",0)</f>
        <v>#REF!</v>
      </c>
      <c r="GG194" t="e">
        <f>IF(#REF!,"AAAAAG9r97w=",0)</f>
        <v>#REF!</v>
      </c>
      <c r="GH194" t="e">
        <f>IF(#REF!,"AAAAAG9r970=",0)</f>
        <v>#REF!</v>
      </c>
      <c r="GI194" t="e">
        <f>IF(#REF!,"AAAAAG9r974=",0)</f>
        <v>#REF!</v>
      </c>
      <c r="GJ194" t="e">
        <f>IF(#REF!,"AAAAAG9r978=",0)</f>
        <v>#REF!</v>
      </c>
      <c r="GK194" t="e">
        <f>IF(#REF!,"AAAAAG9r98A=",0)</f>
        <v>#REF!</v>
      </c>
      <c r="GL194" t="e">
        <f>IF(#REF!,"AAAAAG9r98E=",0)</f>
        <v>#REF!</v>
      </c>
      <c r="GM194" t="e">
        <f>IF(#REF!,"AAAAAG9r98I=",0)</f>
        <v>#REF!</v>
      </c>
      <c r="GN194" t="e">
        <f>IF(#REF!,"AAAAAG9r98M=",0)</f>
        <v>#REF!</v>
      </c>
      <c r="GO194" t="e">
        <f>IF(#REF!,"AAAAAG9r98Q=",0)</f>
        <v>#REF!</v>
      </c>
      <c r="GP194" t="e">
        <f>IF(#REF!,"AAAAAG9r98U=",0)</f>
        <v>#REF!</v>
      </c>
      <c r="GQ194" t="e">
        <f>IF(#REF!,"AAAAAG9r98Y=",0)</f>
        <v>#REF!</v>
      </c>
      <c r="GR194" t="e">
        <f>IF(#REF!,"AAAAAG9r98c=",0)</f>
        <v>#REF!</v>
      </c>
      <c r="GS194" t="e">
        <f>IF(#REF!,"AAAAAG9r98g=",0)</f>
        <v>#REF!</v>
      </c>
      <c r="GT194" t="e">
        <f>IF(#REF!,"AAAAAG9r98k=",0)</f>
        <v>#REF!</v>
      </c>
      <c r="GU194" t="e">
        <f>IF(#REF!,"AAAAAG9r98o=",0)</f>
        <v>#REF!</v>
      </c>
      <c r="GV194" t="e">
        <f>IF(#REF!,"AAAAAG9r98s=",0)</f>
        <v>#REF!</v>
      </c>
      <c r="GW194" t="e">
        <f>IF(#REF!,"AAAAAG9r98w=",0)</f>
        <v>#REF!</v>
      </c>
      <c r="GX194" t="e">
        <f>IF(#REF!,"AAAAAG9r980=",0)</f>
        <v>#REF!</v>
      </c>
      <c r="GY194" t="e">
        <f>IF(#REF!,"AAAAAG9r984=",0)</f>
        <v>#REF!</v>
      </c>
      <c r="GZ194" t="e">
        <f>IF(#REF!,"AAAAAG9r988=",0)</f>
        <v>#REF!</v>
      </c>
      <c r="HA194" t="e">
        <f>IF(#REF!,"AAAAAG9r99A=",0)</f>
        <v>#REF!</v>
      </c>
      <c r="HB194" t="e">
        <f>IF(#REF!,"AAAAAG9r99E=",0)</f>
        <v>#REF!</v>
      </c>
      <c r="HC194" t="e">
        <f>IF(#REF!,"AAAAAG9r99I=",0)</f>
        <v>#REF!</v>
      </c>
      <c r="HD194" t="e">
        <f>IF(#REF!,"AAAAAG9r99M=",0)</f>
        <v>#REF!</v>
      </c>
      <c r="HE194" t="e">
        <f>IF(#REF!,"AAAAAG9r99Q=",0)</f>
        <v>#REF!</v>
      </c>
      <c r="HF194" t="e">
        <f>IF(#REF!,"AAAAAG9r99U=",0)</f>
        <v>#REF!</v>
      </c>
      <c r="HG194" t="e">
        <f>IF(#REF!,"AAAAAG9r99Y=",0)</f>
        <v>#REF!</v>
      </c>
      <c r="HH194" t="e">
        <f>IF(#REF!,"AAAAAG9r99c=",0)</f>
        <v>#REF!</v>
      </c>
      <c r="HI194" t="e">
        <f>IF(#REF!,"AAAAAG9r99g=",0)</f>
        <v>#REF!</v>
      </c>
      <c r="HJ194" t="e">
        <f>IF(#REF!,"AAAAAG9r99k=",0)</f>
        <v>#REF!</v>
      </c>
      <c r="HK194" t="e">
        <f>IF(#REF!,"AAAAAG9r99o=",0)</f>
        <v>#REF!</v>
      </c>
      <c r="HL194" t="e">
        <f>IF(#REF!,"AAAAAG9r99s=",0)</f>
        <v>#REF!</v>
      </c>
      <c r="HM194" t="e">
        <f>IF(#REF!,"AAAAAG9r99w=",0)</f>
        <v>#REF!</v>
      </c>
      <c r="HN194" t="e">
        <f>IF(#REF!,"AAAAAG9r990=",0)</f>
        <v>#REF!</v>
      </c>
      <c r="HO194" t="e">
        <f>IF(#REF!,"AAAAAG9r994=",0)</f>
        <v>#REF!</v>
      </c>
      <c r="HP194" t="e">
        <f>IF(#REF!,"AAAAAG9r998=",0)</f>
        <v>#REF!</v>
      </c>
      <c r="HQ194" t="e">
        <f>IF(#REF!,"AAAAAG9r9+A=",0)</f>
        <v>#REF!</v>
      </c>
      <c r="HR194" t="e">
        <f>IF(#REF!,"AAAAAG9r9+E=",0)</f>
        <v>#REF!</v>
      </c>
      <c r="HS194" t="e">
        <f>IF(#REF!,"AAAAAG9r9+I=",0)</f>
        <v>#REF!</v>
      </c>
      <c r="HT194" t="e">
        <f>IF(#REF!,"AAAAAG9r9+M=",0)</f>
        <v>#REF!</v>
      </c>
      <c r="HU194" t="e">
        <f>IF(#REF!,"AAAAAG9r9+Q=",0)</f>
        <v>#REF!</v>
      </c>
      <c r="HV194" t="e">
        <f>IF(#REF!,"AAAAAG9r9+U=",0)</f>
        <v>#REF!</v>
      </c>
      <c r="HW194" t="e">
        <f>IF(#REF!,"AAAAAG9r9+Y=",0)</f>
        <v>#REF!</v>
      </c>
      <c r="HX194" t="e">
        <f>IF(#REF!,"AAAAAG9r9+c=",0)</f>
        <v>#REF!</v>
      </c>
      <c r="HY194" t="e">
        <f>IF(#REF!,"AAAAAG9r9+g=",0)</f>
        <v>#REF!</v>
      </c>
      <c r="HZ194" t="e">
        <f>IF(#REF!,"AAAAAG9r9+k=",0)</f>
        <v>#REF!</v>
      </c>
      <c r="IA194" t="e">
        <f>IF(#REF!,"AAAAAG9r9+o=",0)</f>
        <v>#REF!</v>
      </c>
      <c r="IB194" t="e">
        <f>IF(#REF!,"AAAAAG9r9+s=",0)</f>
        <v>#REF!</v>
      </c>
      <c r="IC194" t="e">
        <f>IF(#REF!,"AAAAAG9r9+w=",0)</f>
        <v>#REF!</v>
      </c>
      <c r="ID194" t="e">
        <f>IF(#REF!,"AAAAAG9r9+0=",0)</f>
        <v>#REF!</v>
      </c>
      <c r="IE194" t="e">
        <f>IF(#REF!,"AAAAAG9r9+4=",0)</f>
        <v>#REF!</v>
      </c>
      <c r="IF194" t="e">
        <f>IF(#REF!,"AAAAAG9r9+8=",0)</f>
        <v>#REF!</v>
      </c>
      <c r="IG194" t="e">
        <f>IF(#REF!,"AAAAAG9r9/A=",0)</f>
        <v>#REF!</v>
      </c>
      <c r="IH194" t="e">
        <f>IF(#REF!,"AAAAAG9r9/E=",0)</f>
        <v>#REF!</v>
      </c>
      <c r="II194" t="e">
        <f>IF(#REF!,"AAAAAG9r9/I=",0)</f>
        <v>#REF!</v>
      </c>
      <c r="IJ194" t="e">
        <f>IF(#REF!,"AAAAAG9r9/M=",0)</f>
        <v>#REF!</v>
      </c>
      <c r="IK194" t="e">
        <f>IF(#REF!,"AAAAAG9r9/Q=",0)</f>
        <v>#REF!</v>
      </c>
      <c r="IL194" t="e">
        <f>IF(#REF!,"AAAAAG9r9/U=",0)</f>
        <v>#REF!</v>
      </c>
      <c r="IM194" t="e">
        <f>IF(#REF!,"AAAAAG9r9/Y=",0)</f>
        <v>#REF!</v>
      </c>
      <c r="IN194" t="e">
        <f>IF(#REF!,"AAAAAG9r9/c=",0)</f>
        <v>#REF!</v>
      </c>
      <c r="IO194" t="e">
        <f>IF(#REF!,"AAAAAG9r9/g=",0)</f>
        <v>#REF!</v>
      </c>
      <c r="IP194" t="e">
        <f>IF(#REF!,"AAAAAG9r9/k=",0)</f>
        <v>#REF!</v>
      </c>
      <c r="IQ194" t="e">
        <f>IF(#REF!,"AAAAAG9r9/o=",0)</f>
        <v>#REF!</v>
      </c>
      <c r="IR194" t="e">
        <f>IF(#REF!,"AAAAAG9r9/s=",0)</f>
        <v>#REF!</v>
      </c>
      <c r="IS194" t="e">
        <f>IF(#REF!,"AAAAAG9r9/w=",0)</f>
        <v>#REF!</v>
      </c>
      <c r="IT194" t="e">
        <f>IF(#REF!,"AAAAAG9r9/0=",0)</f>
        <v>#REF!</v>
      </c>
      <c r="IU194" t="e">
        <f>IF(#REF!,"AAAAAG9r9/4=",0)</f>
        <v>#REF!</v>
      </c>
      <c r="IV194" t="e">
        <f>IF(#REF!,"AAAAAG9r9/8=",0)</f>
        <v>#REF!</v>
      </c>
    </row>
    <row r="195" spans="1:256">
      <c r="A195" t="e">
        <f>IF(#REF!,"AAAAAHvtnwA=",0)</f>
        <v>#REF!</v>
      </c>
      <c r="B195" t="e">
        <f>IF(#REF!,"AAAAAHvtnwE=",0)</f>
        <v>#REF!</v>
      </c>
      <c r="C195" t="e">
        <f>IF(#REF!,"AAAAAHvtnwI=",0)</f>
        <v>#REF!</v>
      </c>
      <c r="D195" t="e">
        <f>IF(#REF!,"AAAAAHvtnwM=",0)</f>
        <v>#REF!</v>
      </c>
      <c r="E195" t="e">
        <f>IF(#REF!,"AAAAAHvtnwQ=",0)</f>
        <v>#REF!</v>
      </c>
      <c r="F195" t="e">
        <f>IF(#REF!,"AAAAAHvtnwU=",0)</f>
        <v>#REF!</v>
      </c>
      <c r="G195" t="e">
        <f>IF(#REF!,"AAAAAHvtnwY=",0)</f>
        <v>#REF!</v>
      </c>
      <c r="H195" t="e">
        <f>IF(#REF!,"AAAAAHvtnwc=",0)</f>
        <v>#REF!</v>
      </c>
      <c r="I195" t="e">
        <f>IF(#REF!,"AAAAAHvtnwg=",0)</f>
        <v>#REF!</v>
      </c>
      <c r="J195" t="e">
        <f>IF(#REF!,"AAAAAHvtnwk=",0)</f>
        <v>#REF!</v>
      </c>
      <c r="K195" t="e">
        <f>IF(#REF!,"AAAAAHvtnwo=",0)</f>
        <v>#REF!</v>
      </c>
      <c r="L195" t="e">
        <f>IF(#REF!,"AAAAAHvtnws=",0)</f>
        <v>#REF!</v>
      </c>
      <c r="M195" t="e">
        <f>IF(#REF!,"AAAAAHvtnww=",0)</f>
        <v>#REF!</v>
      </c>
      <c r="N195" t="e">
        <f>IF(#REF!,"AAAAAHvtnw0=",0)</f>
        <v>#REF!</v>
      </c>
      <c r="O195" t="e">
        <f>IF(#REF!,"AAAAAHvtnw4=",0)</f>
        <v>#REF!</v>
      </c>
      <c r="P195" t="e">
        <f>IF(#REF!,"AAAAAHvtnw8=",0)</f>
        <v>#REF!</v>
      </c>
      <c r="Q195" t="e">
        <f>IF(#REF!,"AAAAAHvtnxA=",0)</f>
        <v>#REF!</v>
      </c>
      <c r="R195" t="e">
        <f>IF(#REF!,"AAAAAHvtnxE=",0)</f>
        <v>#REF!</v>
      </c>
      <c r="S195" t="e">
        <f>IF(#REF!,"AAAAAHvtnxI=",0)</f>
        <v>#REF!</v>
      </c>
      <c r="T195" t="e">
        <f>IF(#REF!,"AAAAAHvtnxM=",0)</f>
        <v>#REF!</v>
      </c>
      <c r="U195" t="e">
        <f>IF(#REF!,"AAAAAHvtnxQ=",0)</f>
        <v>#REF!</v>
      </c>
      <c r="V195" t="e">
        <f>IF(#REF!,"AAAAAHvtnxU=",0)</f>
        <v>#REF!</v>
      </c>
      <c r="W195" t="e">
        <f>IF(#REF!,"AAAAAHvtnxY=",0)</f>
        <v>#REF!</v>
      </c>
      <c r="X195" t="e">
        <f>IF(#REF!,"AAAAAHvtnxc=",0)</f>
        <v>#REF!</v>
      </c>
      <c r="Y195" t="e">
        <f>IF(#REF!,"AAAAAHvtnxg=",0)</f>
        <v>#REF!</v>
      </c>
      <c r="Z195" t="e">
        <f>IF(#REF!,"AAAAAHvtnxk=",0)</f>
        <v>#REF!</v>
      </c>
      <c r="AA195" t="e">
        <f>IF(#REF!,"AAAAAHvtnxo=",0)</f>
        <v>#REF!</v>
      </c>
      <c r="AB195" t="e">
        <f>IF(#REF!,"AAAAAHvtnxs=",0)</f>
        <v>#REF!</v>
      </c>
      <c r="AC195" t="e">
        <f>IF(#REF!,"AAAAAHvtnxw=",0)</f>
        <v>#REF!</v>
      </c>
      <c r="AD195" t="e">
        <f>IF(#REF!,"AAAAAHvtnx0=",0)</f>
        <v>#REF!</v>
      </c>
      <c r="AE195" t="e">
        <f>IF(#REF!,"AAAAAHvtnx4=",0)</f>
        <v>#REF!</v>
      </c>
      <c r="AF195" t="e">
        <f>IF(#REF!,"AAAAAHvtnx8=",0)</f>
        <v>#REF!</v>
      </c>
      <c r="AG195" t="e">
        <f>IF(#REF!,"AAAAAHvtnyA=",0)</f>
        <v>#REF!</v>
      </c>
      <c r="AH195" t="e">
        <f>IF(#REF!,"AAAAAHvtnyE=",0)</f>
        <v>#REF!</v>
      </c>
      <c r="AI195" t="e">
        <f>IF(#REF!,"AAAAAHvtnyI=",0)</f>
        <v>#REF!</v>
      </c>
      <c r="AJ195" t="e">
        <f>IF(#REF!,"AAAAAHvtnyM=",0)</f>
        <v>#REF!</v>
      </c>
      <c r="AK195" t="e">
        <f>IF(#REF!,"AAAAAHvtnyQ=",0)</f>
        <v>#REF!</v>
      </c>
      <c r="AL195" t="e">
        <f>IF(#REF!,"AAAAAHvtnyU=",0)</f>
        <v>#REF!</v>
      </c>
      <c r="AM195" t="e">
        <f>IF(#REF!,"AAAAAHvtnyY=",0)</f>
        <v>#REF!</v>
      </c>
      <c r="AN195" t="e">
        <f>IF(#REF!,"AAAAAHvtnyc=",0)</f>
        <v>#REF!</v>
      </c>
      <c r="AO195" t="e">
        <f>IF(#REF!,"AAAAAHvtnyg=",0)</f>
        <v>#REF!</v>
      </c>
      <c r="AP195" t="e">
        <f>IF(#REF!,"AAAAAHvtnyk=",0)</f>
        <v>#REF!</v>
      </c>
      <c r="AQ195" t="e">
        <f>IF(#REF!,"AAAAAHvtnyo=",0)</f>
        <v>#REF!</v>
      </c>
      <c r="AR195" t="e">
        <f>IF(#REF!,"AAAAAHvtnys=",0)</f>
        <v>#REF!</v>
      </c>
      <c r="AS195" t="e">
        <f>IF(#REF!,"AAAAAHvtnyw=",0)</f>
        <v>#REF!</v>
      </c>
      <c r="AT195" t="e">
        <f>IF(#REF!,"AAAAAHvtny0=",0)</f>
        <v>#REF!</v>
      </c>
      <c r="AU195" t="e">
        <f>IF(#REF!,"AAAAAHvtny4=",0)</f>
        <v>#REF!</v>
      </c>
      <c r="AV195" t="e">
        <f>IF(#REF!,"AAAAAHvtny8=",0)</f>
        <v>#REF!</v>
      </c>
      <c r="AW195" t="e">
        <f>IF(#REF!,"AAAAAHvtnzA=",0)</f>
        <v>#REF!</v>
      </c>
      <c r="AX195" t="e">
        <f>IF(#REF!,"AAAAAHvtnzE=",0)</f>
        <v>#REF!</v>
      </c>
      <c r="AY195" t="e">
        <f>IF(#REF!,"AAAAAHvtnzI=",0)</f>
        <v>#REF!</v>
      </c>
      <c r="AZ195" t="e">
        <f>IF(#REF!,"AAAAAHvtnzM=",0)</f>
        <v>#REF!</v>
      </c>
      <c r="BA195" t="e">
        <f>IF(#REF!,"AAAAAHvtnzQ=",0)</f>
        <v>#REF!</v>
      </c>
      <c r="BB195" t="e">
        <f>IF(#REF!,"AAAAAHvtnzU=",0)</f>
        <v>#REF!</v>
      </c>
      <c r="BC195" t="e">
        <f>IF(#REF!,"AAAAAHvtnzY=",0)</f>
        <v>#REF!</v>
      </c>
      <c r="BD195" t="e">
        <f>IF(#REF!,"AAAAAHvtnzc=",0)</f>
        <v>#REF!</v>
      </c>
      <c r="BE195" t="e">
        <f>IF(#REF!,"AAAAAHvtnzg=",0)</f>
        <v>#REF!</v>
      </c>
      <c r="BF195" t="e">
        <f>IF(#REF!,"AAAAAHvtnzk=",0)</f>
        <v>#REF!</v>
      </c>
      <c r="BG195" t="e">
        <f>IF(#REF!,"AAAAAHvtnzo=",0)</f>
        <v>#REF!</v>
      </c>
      <c r="BH195" t="e">
        <f>IF(#REF!,"AAAAAHvtnzs=",0)</f>
        <v>#REF!</v>
      </c>
      <c r="BI195" t="e">
        <f>IF(#REF!,"AAAAAHvtnzw=",0)</f>
        <v>#REF!</v>
      </c>
      <c r="BJ195" t="e">
        <f>IF(#REF!,"AAAAAHvtnz0=",0)</f>
        <v>#REF!</v>
      </c>
      <c r="BK195" t="e">
        <f>IF(#REF!,"AAAAAHvtnz4=",0)</f>
        <v>#REF!</v>
      </c>
      <c r="BL195" t="e">
        <f>IF(#REF!,"AAAAAHvtnz8=",0)</f>
        <v>#REF!</v>
      </c>
      <c r="BM195" t="e">
        <f>IF(#REF!,"AAAAAHvtn0A=",0)</f>
        <v>#REF!</v>
      </c>
      <c r="BN195" t="e">
        <f>IF(#REF!,"AAAAAHvtn0E=",0)</f>
        <v>#REF!</v>
      </c>
      <c r="BO195" t="e">
        <f>IF(#REF!,"AAAAAHvtn0I=",0)</f>
        <v>#REF!</v>
      </c>
      <c r="BP195" t="e">
        <f>IF(#REF!,"AAAAAHvtn0M=",0)</f>
        <v>#REF!</v>
      </c>
      <c r="BQ195" t="e">
        <f>IF(#REF!,"AAAAAHvtn0Q=",0)</f>
        <v>#REF!</v>
      </c>
      <c r="BR195" t="e">
        <f>IF(#REF!,"AAAAAHvtn0U=",0)</f>
        <v>#REF!</v>
      </c>
      <c r="BS195" t="e">
        <f>IF(#REF!,"AAAAAHvtn0Y=",0)</f>
        <v>#REF!</v>
      </c>
      <c r="BT195" t="e">
        <f>IF(#REF!,"AAAAAHvtn0c=",0)</f>
        <v>#REF!</v>
      </c>
      <c r="BU195" t="e">
        <f>IF(#REF!,"AAAAAHvtn0g=",0)</f>
        <v>#REF!</v>
      </c>
      <c r="BV195" t="e">
        <f>IF(#REF!,"AAAAAHvtn0k=",0)</f>
        <v>#REF!</v>
      </c>
      <c r="BW195" t="e">
        <f>IF(#REF!,"AAAAAHvtn0o=",0)</f>
        <v>#REF!</v>
      </c>
      <c r="BX195" t="e">
        <f>IF(#REF!,"AAAAAHvtn0s=",0)</f>
        <v>#REF!</v>
      </c>
      <c r="BY195" t="e">
        <f>IF(#REF!,"AAAAAHvtn0w=",0)</f>
        <v>#REF!</v>
      </c>
      <c r="BZ195" t="e">
        <f>IF(#REF!,"AAAAAHvtn00=",0)</f>
        <v>#REF!</v>
      </c>
      <c r="CA195" t="e">
        <f>IF(#REF!,"AAAAAHvtn04=",0)</f>
        <v>#REF!</v>
      </c>
      <c r="CB195" t="e">
        <f>IF(#REF!,"AAAAAHvtn08=",0)</f>
        <v>#REF!</v>
      </c>
      <c r="CC195" t="e">
        <f>IF(#REF!,"AAAAAHvtn1A=",0)</f>
        <v>#REF!</v>
      </c>
      <c r="CD195" t="e">
        <f>IF(#REF!,"AAAAAHvtn1E=",0)</f>
        <v>#REF!</v>
      </c>
      <c r="CE195" t="e">
        <f>IF(#REF!,"AAAAAHvtn1I=",0)</f>
        <v>#REF!</v>
      </c>
      <c r="CF195" t="e">
        <f>IF(#REF!,"AAAAAHvtn1M=",0)</f>
        <v>#REF!</v>
      </c>
      <c r="CG195" t="e">
        <f>IF(#REF!,"AAAAAHvtn1Q=",0)</f>
        <v>#REF!</v>
      </c>
      <c r="CH195" t="e">
        <f>IF(#REF!,"AAAAAHvtn1U=",0)</f>
        <v>#REF!</v>
      </c>
      <c r="CI195" t="e">
        <f>IF(#REF!,"AAAAAHvtn1Y=",0)</f>
        <v>#REF!</v>
      </c>
      <c r="CJ195" t="e">
        <f>IF(#REF!,"AAAAAHvtn1c=",0)</f>
        <v>#REF!</v>
      </c>
      <c r="CK195" t="e">
        <f>IF(#REF!,"AAAAAHvtn1g=",0)</f>
        <v>#REF!</v>
      </c>
      <c r="CL195" t="e">
        <f>IF(#REF!,"AAAAAHvtn1k=",0)</f>
        <v>#REF!</v>
      </c>
      <c r="CM195" t="e">
        <f>IF(#REF!,"AAAAAHvtn1o=",0)</f>
        <v>#REF!</v>
      </c>
      <c r="CN195" t="e">
        <f>IF(#REF!,"AAAAAHvtn1s=",0)</f>
        <v>#REF!</v>
      </c>
      <c r="CO195" t="e">
        <f>IF(#REF!,"AAAAAHvtn1w=",0)</f>
        <v>#REF!</v>
      </c>
      <c r="CP195" t="e">
        <f>IF(#REF!,"AAAAAHvtn10=",0)</f>
        <v>#REF!</v>
      </c>
      <c r="CQ195" t="e">
        <f>IF(#REF!,"AAAAAHvtn14=",0)</f>
        <v>#REF!</v>
      </c>
      <c r="CR195" t="e">
        <f>IF(#REF!,"AAAAAHvtn18=",0)</f>
        <v>#REF!</v>
      </c>
      <c r="CS195" t="e">
        <f>IF(#REF!,"AAAAAHvtn2A=",0)</f>
        <v>#REF!</v>
      </c>
      <c r="CT195" t="e">
        <f>IF(#REF!,"AAAAAHvtn2E=",0)</f>
        <v>#REF!</v>
      </c>
      <c r="CU195" t="e">
        <f>IF(#REF!,"AAAAAHvtn2I=",0)</f>
        <v>#REF!</v>
      </c>
      <c r="CV195" t="e">
        <f>IF(#REF!,"AAAAAHvtn2M=",0)</f>
        <v>#REF!</v>
      </c>
      <c r="CW195" t="e">
        <f>IF(#REF!,"AAAAAHvtn2Q=",0)</f>
        <v>#REF!</v>
      </c>
      <c r="CX195" t="e">
        <f>IF(#REF!,"AAAAAHvtn2U=",0)</f>
        <v>#REF!</v>
      </c>
      <c r="CY195" t="e">
        <f>IF(#REF!,"AAAAAHvtn2Y=",0)</f>
        <v>#REF!</v>
      </c>
      <c r="CZ195" t="e">
        <f>IF(#REF!,"AAAAAHvtn2c=",0)</f>
        <v>#REF!</v>
      </c>
      <c r="DA195" t="e">
        <f>IF(#REF!,"AAAAAHvtn2g=",0)</f>
        <v>#REF!</v>
      </c>
      <c r="DB195" t="e">
        <f>IF(#REF!,"AAAAAHvtn2k=",0)</f>
        <v>#REF!</v>
      </c>
      <c r="DC195" t="e">
        <f>IF(#REF!,"AAAAAHvtn2o=",0)</f>
        <v>#REF!</v>
      </c>
      <c r="DD195" t="e">
        <f>IF(#REF!,"AAAAAHvtn2s=",0)</f>
        <v>#REF!</v>
      </c>
      <c r="DE195" t="e">
        <f>IF(#REF!,"AAAAAHvtn2w=",0)</f>
        <v>#REF!</v>
      </c>
      <c r="DF195" t="e">
        <f>IF(#REF!,"AAAAAHvtn20=",0)</f>
        <v>#REF!</v>
      </c>
      <c r="DG195" t="e">
        <f>IF(#REF!,"AAAAAHvtn24=",0)</f>
        <v>#REF!</v>
      </c>
      <c r="DH195" t="e">
        <f>IF(#REF!,"AAAAAHvtn28=",0)</f>
        <v>#REF!</v>
      </c>
      <c r="DI195" t="e">
        <f>IF(#REF!,"AAAAAHvtn3A=",0)</f>
        <v>#REF!</v>
      </c>
      <c r="DJ195" t="e">
        <f>IF(#REF!,"AAAAAHvtn3E=",0)</f>
        <v>#REF!</v>
      </c>
      <c r="DK195" t="e">
        <f>IF(#REF!,"AAAAAHvtn3I=",0)</f>
        <v>#REF!</v>
      </c>
      <c r="DL195" t="e">
        <f>IF(#REF!,"AAAAAHvtn3M=",0)</f>
        <v>#REF!</v>
      </c>
      <c r="DM195" t="e">
        <f>IF(#REF!,"AAAAAHvtn3Q=",0)</f>
        <v>#REF!</v>
      </c>
      <c r="DN195" t="e">
        <f>IF(#REF!,"AAAAAHvtn3U=",0)</f>
        <v>#REF!</v>
      </c>
      <c r="DO195" t="e">
        <f>IF(#REF!,"AAAAAHvtn3Y=",0)</f>
        <v>#REF!</v>
      </c>
      <c r="DP195" t="e">
        <f>IF(#REF!,"AAAAAHvtn3c=",0)</f>
        <v>#REF!</v>
      </c>
      <c r="DQ195" t="e">
        <f>IF(#REF!,"AAAAAHvtn3g=",0)</f>
        <v>#REF!</v>
      </c>
      <c r="DR195" t="e">
        <f>IF(#REF!,"AAAAAHvtn3k=",0)</f>
        <v>#REF!</v>
      </c>
      <c r="DS195" t="e">
        <f>IF(#REF!,"AAAAAHvtn3o=",0)</f>
        <v>#REF!</v>
      </c>
      <c r="DT195" t="e">
        <f>IF(#REF!,"AAAAAHvtn3s=",0)</f>
        <v>#REF!</v>
      </c>
      <c r="DU195" t="e">
        <f>IF(#REF!,"AAAAAHvtn3w=",0)</f>
        <v>#REF!</v>
      </c>
      <c r="DV195" t="e">
        <f>IF(#REF!,"AAAAAHvtn30=",0)</f>
        <v>#REF!</v>
      </c>
      <c r="DW195" t="e">
        <f>IF(#REF!,"AAAAAHvtn34=",0)</f>
        <v>#REF!</v>
      </c>
      <c r="DX195" t="e">
        <f>IF(#REF!,"AAAAAHvtn38=",0)</f>
        <v>#REF!</v>
      </c>
      <c r="DY195" t="e">
        <f>IF(#REF!,"AAAAAHvtn4A=",0)</f>
        <v>#REF!</v>
      </c>
      <c r="DZ195" t="e">
        <f>IF(#REF!,"AAAAAHvtn4E=",0)</f>
        <v>#REF!</v>
      </c>
      <c r="EA195" t="e">
        <f>IF(#REF!,"AAAAAHvtn4I=",0)</f>
        <v>#REF!</v>
      </c>
      <c r="EB195" t="e">
        <f>IF(#REF!,"AAAAAHvtn4M=",0)</f>
        <v>#REF!</v>
      </c>
      <c r="EC195" t="e">
        <f>IF(#REF!,"AAAAAHvtn4Q=",0)</f>
        <v>#REF!</v>
      </c>
      <c r="ED195" t="e">
        <f>IF(#REF!,"AAAAAHvtn4U=",0)</f>
        <v>#REF!</v>
      </c>
      <c r="EE195" t="e">
        <f>IF(#REF!,"AAAAAHvtn4Y=",0)</f>
        <v>#REF!</v>
      </c>
      <c r="EF195" t="e">
        <f>IF(#REF!,"AAAAAHvtn4c=",0)</f>
        <v>#REF!</v>
      </c>
      <c r="EG195" t="e">
        <f>IF(#REF!,"AAAAAHvtn4g=",0)</f>
        <v>#REF!</v>
      </c>
      <c r="EH195" t="e">
        <f>IF(#REF!,"AAAAAHvtn4k=",0)</f>
        <v>#REF!</v>
      </c>
      <c r="EI195" t="e">
        <f>IF(#REF!,"AAAAAHvtn4o=",0)</f>
        <v>#REF!</v>
      </c>
      <c r="EJ195" t="e">
        <f>IF(#REF!,"AAAAAHvtn4s=",0)</f>
        <v>#REF!</v>
      </c>
      <c r="EK195" t="e">
        <f>IF(#REF!,"AAAAAHvtn4w=",0)</f>
        <v>#REF!</v>
      </c>
      <c r="EL195" t="e">
        <f>IF(#REF!,"AAAAAHvtn40=",0)</f>
        <v>#REF!</v>
      </c>
      <c r="EM195" t="e">
        <f>IF(#REF!,"AAAAAHvtn44=",0)</f>
        <v>#REF!</v>
      </c>
      <c r="EN195" t="e">
        <f>IF(#REF!,"AAAAAHvtn48=",0)</f>
        <v>#REF!</v>
      </c>
      <c r="EO195" t="e">
        <f>IF(#REF!,"AAAAAHvtn5A=",0)</f>
        <v>#REF!</v>
      </c>
      <c r="EP195" t="e">
        <f>IF(#REF!,"AAAAAHvtn5E=",0)</f>
        <v>#REF!</v>
      </c>
      <c r="EQ195" t="e">
        <f>IF(#REF!,"AAAAAHvtn5I=",0)</f>
        <v>#REF!</v>
      </c>
      <c r="ER195" t="e">
        <f>IF(#REF!,"AAAAAHvtn5M=",0)</f>
        <v>#REF!</v>
      </c>
      <c r="ES195" t="e">
        <f>IF(#REF!,"AAAAAHvtn5Q=",0)</f>
        <v>#REF!</v>
      </c>
      <c r="ET195" t="e">
        <f>IF(#REF!,"AAAAAHvtn5U=",0)</f>
        <v>#REF!</v>
      </c>
      <c r="EU195" t="e">
        <f>IF(#REF!,"AAAAAHvtn5Y=",0)</f>
        <v>#REF!</v>
      </c>
      <c r="EV195" t="e">
        <f>IF(#REF!,"AAAAAHvtn5c=",0)</f>
        <v>#REF!</v>
      </c>
      <c r="EW195" t="e">
        <f>IF(#REF!,"AAAAAHvtn5g=",0)</f>
        <v>#REF!</v>
      </c>
      <c r="EX195" t="e">
        <f>IF(#REF!,"AAAAAHvtn5k=",0)</f>
        <v>#REF!</v>
      </c>
      <c r="EY195" t="e">
        <f>IF(#REF!,"AAAAAHvtn5o=",0)</f>
        <v>#REF!</v>
      </c>
      <c r="EZ195" t="e">
        <f>IF(#REF!,"AAAAAHvtn5s=",0)</f>
        <v>#REF!</v>
      </c>
      <c r="FA195" t="e">
        <f>IF(#REF!,"AAAAAHvtn5w=",0)</f>
        <v>#REF!</v>
      </c>
      <c r="FB195" t="e">
        <f>IF(#REF!,"AAAAAHvtn50=",0)</f>
        <v>#REF!</v>
      </c>
      <c r="FC195" t="e">
        <f>IF(#REF!,"AAAAAHvtn54=",0)</f>
        <v>#REF!</v>
      </c>
      <c r="FD195" t="e">
        <f>IF(#REF!,"AAAAAHvtn58=",0)</f>
        <v>#REF!</v>
      </c>
      <c r="FE195" t="e">
        <f>IF(#REF!,"AAAAAHvtn6A=",0)</f>
        <v>#REF!</v>
      </c>
      <c r="FF195" t="e">
        <f>IF(#REF!,"AAAAAHvtn6E=",0)</f>
        <v>#REF!</v>
      </c>
      <c r="FG195" t="e">
        <f>IF(#REF!,"AAAAAHvtn6I=",0)</f>
        <v>#REF!</v>
      </c>
      <c r="FH195" t="e">
        <f>IF(#REF!,"AAAAAHvtn6M=",0)</f>
        <v>#REF!</v>
      </c>
      <c r="FI195" t="e">
        <f>IF(#REF!,"AAAAAHvtn6Q=",0)</f>
        <v>#REF!</v>
      </c>
      <c r="FJ195" t="e">
        <f>IF(#REF!,"AAAAAHvtn6U=",0)</f>
        <v>#REF!</v>
      </c>
      <c r="FK195" t="e">
        <f>IF(#REF!,"AAAAAHvtn6Y=",0)</f>
        <v>#REF!</v>
      </c>
      <c r="FL195" t="e">
        <f>IF(#REF!,"AAAAAHvtn6c=",0)</f>
        <v>#REF!</v>
      </c>
      <c r="FM195" t="e">
        <f>IF(#REF!,"AAAAAHvtn6g=",0)</f>
        <v>#REF!</v>
      </c>
      <c r="FN195" t="e">
        <f>IF(#REF!,"AAAAAHvtn6k=",0)</f>
        <v>#REF!</v>
      </c>
      <c r="FO195" t="e">
        <f>IF(#REF!,"AAAAAHvtn6o=",0)</f>
        <v>#REF!</v>
      </c>
      <c r="FP195" t="e">
        <f>IF(#REF!,"AAAAAHvtn6s=",0)</f>
        <v>#REF!</v>
      </c>
      <c r="FQ195" t="e">
        <f>IF(#REF!,"AAAAAHvtn6w=",0)</f>
        <v>#REF!</v>
      </c>
      <c r="FR195" t="e">
        <f>IF(#REF!,"AAAAAHvtn60=",0)</f>
        <v>#REF!</v>
      </c>
      <c r="FS195" t="e">
        <f>IF(#REF!,"AAAAAHvtn64=",0)</f>
        <v>#REF!</v>
      </c>
      <c r="FT195" t="e">
        <f>IF(#REF!,"AAAAAHvtn68=",0)</f>
        <v>#REF!</v>
      </c>
      <c r="FU195" t="e">
        <f>IF(#REF!,"AAAAAHvtn7A=",0)</f>
        <v>#REF!</v>
      </c>
      <c r="FV195" t="e">
        <f>IF(#REF!,"AAAAAHvtn7E=",0)</f>
        <v>#REF!</v>
      </c>
      <c r="FW195" t="e">
        <f>IF(#REF!,"AAAAAHvtn7I=",0)</f>
        <v>#REF!</v>
      </c>
      <c r="FX195" t="e">
        <f>IF(#REF!,"AAAAAHvtn7M=",0)</f>
        <v>#REF!</v>
      </c>
      <c r="FY195" t="e">
        <f>IF(#REF!,"AAAAAHvtn7Q=",0)</f>
        <v>#REF!</v>
      </c>
      <c r="FZ195" t="e">
        <f>IF(#REF!,"AAAAAHvtn7U=",0)</f>
        <v>#REF!</v>
      </c>
      <c r="GA195" t="e">
        <f>IF(#REF!,"AAAAAHvtn7Y=",0)</f>
        <v>#REF!</v>
      </c>
      <c r="GB195" t="e">
        <f>IF(#REF!,"AAAAAHvtn7c=",0)</f>
        <v>#REF!</v>
      </c>
      <c r="GC195" t="e">
        <f>IF(#REF!,"AAAAAHvtn7g=",0)</f>
        <v>#REF!</v>
      </c>
      <c r="GD195" t="e">
        <f>IF(#REF!,"AAAAAHvtn7k=",0)</f>
        <v>#REF!</v>
      </c>
      <c r="GE195" t="e">
        <f>IF(#REF!,"AAAAAHvtn7o=",0)</f>
        <v>#REF!</v>
      </c>
      <c r="GF195" t="e">
        <f>IF(#REF!,"AAAAAHvtn7s=",0)</f>
        <v>#REF!</v>
      </c>
      <c r="GG195" t="e">
        <f>IF(#REF!,"AAAAAHvtn7w=",0)</f>
        <v>#REF!</v>
      </c>
      <c r="GH195" t="e">
        <f>IF(#REF!,"AAAAAHvtn70=",0)</f>
        <v>#REF!</v>
      </c>
      <c r="GI195" t="e">
        <f>IF(#REF!,"AAAAAHvtn74=",0)</f>
        <v>#REF!</v>
      </c>
      <c r="GJ195" t="e">
        <f>IF(#REF!,"AAAAAHvtn78=",0)</f>
        <v>#REF!</v>
      </c>
      <c r="GK195" t="e">
        <f>IF(#REF!,"AAAAAHvtn8A=",0)</f>
        <v>#REF!</v>
      </c>
      <c r="GL195" t="e">
        <f>IF(#REF!,"AAAAAHvtn8E=",0)</f>
        <v>#REF!</v>
      </c>
      <c r="GM195" t="e">
        <f>IF(#REF!,"AAAAAHvtn8I=",0)</f>
        <v>#REF!</v>
      </c>
      <c r="GN195" t="e">
        <f>IF(#REF!,"AAAAAHvtn8M=",0)</f>
        <v>#REF!</v>
      </c>
      <c r="GO195" t="e">
        <f>IF(#REF!,"AAAAAHvtn8Q=",0)</f>
        <v>#REF!</v>
      </c>
      <c r="GP195" t="e">
        <f>IF(#REF!,"AAAAAHvtn8U=",0)</f>
        <v>#REF!</v>
      </c>
      <c r="GQ195" t="e">
        <f>IF(#REF!,"AAAAAHvtn8Y=",0)</f>
        <v>#REF!</v>
      </c>
      <c r="GR195" t="e">
        <f>IF(#REF!,"AAAAAHvtn8c=",0)</f>
        <v>#REF!</v>
      </c>
      <c r="GS195" t="e">
        <f>IF(#REF!,"AAAAAHvtn8g=",0)</f>
        <v>#REF!</v>
      </c>
      <c r="GT195" t="e">
        <f>IF(#REF!,"AAAAAHvtn8k=",0)</f>
        <v>#REF!</v>
      </c>
      <c r="GU195" t="e">
        <f>IF(#REF!,"AAAAAHvtn8o=",0)</f>
        <v>#REF!</v>
      </c>
      <c r="GV195" t="e">
        <f>IF(#REF!,"AAAAAHvtn8s=",0)</f>
        <v>#REF!</v>
      </c>
      <c r="GW195" t="e">
        <f>IF(#REF!,"AAAAAHvtn8w=",0)</f>
        <v>#REF!</v>
      </c>
      <c r="GX195" t="e">
        <f>IF(#REF!,"AAAAAHvtn80=",0)</f>
        <v>#REF!</v>
      </c>
      <c r="GY195" t="e">
        <f>IF(#REF!,"AAAAAHvtn84=",0)</f>
        <v>#REF!</v>
      </c>
      <c r="GZ195" t="e">
        <f>IF(#REF!,"AAAAAHvtn88=",0)</f>
        <v>#REF!</v>
      </c>
      <c r="HA195" t="e">
        <f>IF(#REF!,"AAAAAHvtn9A=",0)</f>
        <v>#REF!</v>
      </c>
      <c r="HB195" t="e">
        <f>IF(#REF!,"AAAAAHvtn9E=",0)</f>
        <v>#REF!</v>
      </c>
      <c r="HC195" t="e">
        <f>IF(#REF!,"AAAAAHvtn9I=",0)</f>
        <v>#REF!</v>
      </c>
      <c r="HD195" t="e">
        <f>IF(#REF!,"AAAAAHvtn9M=",0)</f>
        <v>#REF!</v>
      </c>
      <c r="HE195" t="e">
        <f>IF(#REF!,"AAAAAHvtn9Q=",0)</f>
        <v>#REF!</v>
      </c>
      <c r="HF195" t="e">
        <f>IF(#REF!,"AAAAAHvtn9U=",0)</f>
        <v>#REF!</v>
      </c>
      <c r="HG195" t="e">
        <f>IF(#REF!,"AAAAAHvtn9Y=",0)</f>
        <v>#REF!</v>
      </c>
      <c r="HH195" t="e">
        <f>IF(#REF!,"AAAAAHvtn9c=",0)</f>
        <v>#REF!</v>
      </c>
      <c r="HI195" t="e">
        <f>IF(#REF!,"AAAAAHvtn9g=",0)</f>
        <v>#REF!</v>
      </c>
      <c r="HJ195" t="e">
        <f>IF(#REF!,"AAAAAHvtn9k=",0)</f>
        <v>#REF!</v>
      </c>
      <c r="HK195" t="e">
        <f>IF(#REF!,"AAAAAHvtn9o=",0)</f>
        <v>#REF!</v>
      </c>
      <c r="HL195" t="e">
        <f>IF(#REF!,"AAAAAHvtn9s=",0)</f>
        <v>#REF!</v>
      </c>
      <c r="HM195" t="e">
        <f>IF(#REF!,"AAAAAHvtn9w=",0)</f>
        <v>#REF!</v>
      </c>
      <c r="HN195" t="e">
        <f>IF(#REF!,"AAAAAHvtn90=",0)</f>
        <v>#REF!</v>
      </c>
      <c r="HO195" t="e">
        <f>IF(#REF!,"AAAAAHvtn94=",0)</f>
        <v>#REF!</v>
      </c>
      <c r="HP195" t="e">
        <f>IF(#REF!,"AAAAAHvtn98=",0)</f>
        <v>#REF!</v>
      </c>
      <c r="HQ195" t="e">
        <f>IF(#REF!,"AAAAAHvtn+A=",0)</f>
        <v>#REF!</v>
      </c>
      <c r="HR195" t="e">
        <f>IF(#REF!,"AAAAAHvtn+E=",0)</f>
        <v>#REF!</v>
      </c>
      <c r="HS195" t="e">
        <f>IF(#REF!,"AAAAAHvtn+I=",0)</f>
        <v>#REF!</v>
      </c>
      <c r="HT195" t="e">
        <f>IF(#REF!,"AAAAAHvtn+M=",0)</f>
        <v>#REF!</v>
      </c>
      <c r="HU195" t="e">
        <f>IF(#REF!,"AAAAAHvtn+Q=",0)</f>
        <v>#REF!</v>
      </c>
      <c r="HV195" t="e">
        <f>IF(#REF!,"AAAAAHvtn+U=",0)</f>
        <v>#REF!</v>
      </c>
      <c r="HW195" t="e">
        <f>IF(#REF!,"AAAAAHvtn+Y=",0)</f>
        <v>#REF!</v>
      </c>
      <c r="HX195" t="e">
        <f>IF(#REF!,"AAAAAHvtn+c=",0)</f>
        <v>#REF!</v>
      </c>
      <c r="HY195" t="e">
        <f>IF(#REF!,"AAAAAHvtn+g=",0)</f>
        <v>#REF!</v>
      </c>
      <c r="HZ195" t="e">
        <f>IF(#REF!,"AAAAAHvtn+k=",0)</f>
        <v>#REF!</v>
      </c>
      <c r="IA195" t="e">
        <f>IF(#REF!,"AAAAAHvtn+o=",0)</f>
        <v>#REF!</v>
      </c>
      <c r="IB195" t="e">
        <f>IF(#REF!,"AAAAAHvtn+s=",0)</f>
        <v>#REF!</v>
      </c>
      <c r="IC195" t="e">
        <f>IF(#REF!,"AAAAAHvtn+w=",0)</f>
        <v>#REF!</v>
      </c>
      <c r="ID195" t="e">
        <f>IF(#REF!,"AAAAAHvtn+0=",0)</f>
        <v>#REF!</v>
      </c>
      <c r="IE195" t="e">
        <f>IF(#REF!,"AAAAAHvtn+4=",0)</f>
        <v>#REF!</v>
      </c>
      <c r="IF195" t="e">
        <f>IF(#REF!,"AAAAAHvtn+8=",0)</f>
        <v>#REF!</v>
      </c>
      <c r="IG195" t="e">
        <f>IF(#REF!,"AAAAAHvtn/A=",0)</f>
        <v>#REF!</v>
      </c>
      <c r="IH195" t="e">
        <f>IF(#REF!,"AAAAAHvtn/E=",0)</f>
        <v>#REF!</v>
      </c>
      <c r="II195" t="e">
        <f>IF(#REF!,"AAAAAHvtn/I=",0)</f>
        <v>#REF!</v>
      </c>
      <c r="IJ195" t="e">
        <f>IF(#REF!,"AAAAAHvtn/M=",0)</f>
        <v>#REF!</v>
      </c>
      <c r="IK195" t="e">
        <f>IF(#REF!,"AAAAAHvtn/Q=",0)</f>
        <v>#REF!</v>
      </c>
      <c r="IL195" t="e">
        <f>IF(#REF!,"AAAAAHvtn/U=",0)</f>
        <v>#REF!</v>
      </c>
      <c r="IM195" t="e">
        <f>IF(#REF!,"AAAAAHvtn/Y=",0)</f>
        <v>#REF!</v>
      </c>
      <c r="IN195" t="e">
        <f>IF(#REF!,"AAAAAHvtn/c=",0)</f>
        <v>#REF!</v>
      </c>
      <c r="IO195" t="e">
        <f>IF(#REF!,"AAAAAHvtn/g=",0)</f>
        <v>#REF!</v>
      </c>
      <c r="IP195" t="e">
        <f>IF(#REF!,"AAAAAHvtn/k=",0)</f>
        <v>#REF!</v>
      </c>
      <c r="IQ195" t="e">
        <f>IF(#REF!,"AAAAAHvtn/o=",0)</f>
        <v>#REF!</v>
      </c>
      <c r="IR195" t="e">
        <f>IF(#REF!,"AAAAAHvtn/s=",0)</f>
        <v>#REF!</v>
      </c>
      <c r="IS195" t="e">
        <f>IF(#REF!,"AAAAAHvtn/w=",0)</f>
        <v>#REF!</v>
      </c>
      <c r="IT195" t="e">
        <f>IF(#REF!,"AAAAAHvtn/0=",0)</f>
        <v>#REF!</v>
      </c>
      <c r="IU195" t="e">
        <f>IF(#REF!,"AAAAAHvtn/4=",0)</f>
        <v>#REF!</v>
      </c>
      <c r="IV195" t="e">
        <f>IF(#REF!,"AAAAAHvtn/8=",0)</f>
        <v>#REF!</v>
      </c>
    </row>
    <row r="196" spans="1:256">
      <c r="A196" t="e">
        <f>IF(#REF!,"AAAAAEfe+wA=",0)</f>
        <v>#REF!</v>
      </c>
      <c r="B196" t="e">
        <f>IF(#REF!,"AAAAAEfe+wE=",0)</f>
        <v>#REF!</v>
      </c>
      <c r="C196" t="e">
        <f>IF(#REF!,"AAAAAEfe+wI=",0)</f>
        <v>#REF!</v>
      </c>
      <c r="D196" t="e">
        <f>IF(#REF!,"AAAAAEfe+wM=",0)</f>
        <v>#REF!</v>
      </c>
      <c r="E196" t="e">
        <f>IF(#REF!,"AAAAAEfe+wQ=",0)</f>
        <v>#REF!</v>
      </c>
      <c r="F196" t="e">
        <f>IF(#REF!,"AAAAAEfe+wU=",0)</f>
        <v>#REF!</v>
      </c>
      <c r="G196" t="e">
        <f>IF(#REF!,"AAAAAEfe+wY=",0)</f>
        <v>#REF!</v>
      </c>
      <c r="H196" t="e">
        <f>IF(#REF!,"AAAAAEfe+wc=",0)</f>
        <v>#REF!</v>
      </c>
      <c r="I196" t="e">
        <f>IF(#REF!,"AAAAAEfe+wg=",0)</f>
        <v>#REF!</v>
      </c>
      <c r="J196" t="e">
        <f>IF(#REF!,"AAAAAEfe+wk=",0)</f>
        <v>#REF!</v>
      </c>
      <c r="K196" t="e">
        <f>IF(#REF!,"AAAAAEfe+wo=",0)</f>
        <v>#REF!</v>
      </c>
      <c r="L196" t="e">
        <f>IF(#REF!,"AAAAAEfe+ws=",0)</f>
        <v>#REF!</v>
      </c>
      <c r="M196" t="e">
        <f>IF(#REF!,"AAAAAEfe+ww=",0)</f>
        <v>#REF!</v>
      </c>
      <c r="N196" t="e">
        <f>IF(#REF!,"AAAAAEfe+w0=",0)</f>
        <v>#REF!</v>
      </c>
      <c r="O196" t="e">
        <f>IF(#REF!,"AAAAAEfe+w4=",0)</f>
        <v>#REF!</v>
      </c>
      <c r="P196" t="e">
        <f>IF(#REF!,"AAAAAEfe+w8=",0)</f>
        <v>#REF!</v>
      </c>
      <c r="Q196" t="e">
        <f>IF(#REF!,"AAAAAEfe+xA=",0)</f>
        <v>#REF!</v>
      </c>
      <c r="R196" t="e">
        <f>IF(#REF!,"AAAAAEfe+xE=",0)</f>
        <v>#REF!</v>
      </c>
      <c r="S196" t="e">
        <f>IF(#REF!,"AAAAAEfe+xI=",0)</f>
        <v>#REF!</v>
      </c>
      <c r="T196" t="e">
        <f>IF(#REF!,"AAAAAEfe+xM=",0)</f>
        <v>#REF!</v>
      </c>
      <c r="U196" t="e">
        <f>IF(#REF!,"AAAAAEfe+xQ=",0)</f>
        <v>#REF!</v>
      </c>
      <c r="V196" t="e">
        <f>IF(#REF!,"AAAAAEfe+xU=",0)</f>
        <v>#REF!</v>
      </c>
      <c r="W196" t="e">
        <f>IF(#REF!,"AAAAAEfe+xY=",0)</f>
        <v>#REF!</v>
      </c>
      <c r="X196" t="e">
        <f>IF(#REF!,"AAAAAEfe+xc=",0)</f>
        <v>#REF!</v>
      </c>
      <c r="Y196" t="e">
        <f>IF(#REF!,"AAAAAEfe+xg=",0)</f>
        <v>#REF!</v>
      </c>
      <c r="Z196" t="e">
        <f>IF(#REF!,"AAAAAEfe+xk=",0)</f>
        <v>#REF!</v>
      </c>
      <c r="AA196" t="e">
        <f>IF(#REF!,"AAAAAEfe+xo=",0)</f>
        <v>#REF!</v>
      </c>
      <c r="AB196" t="e">
        <f>IF(#REF!,"AAAAAEfe+xs=",0)</f>
        <v>#REF!</v>
      </c>
      <c r="AC196" t="e">
        <f>IF(#REF!,"AAAAAEfe+xw=",0)</f>
        <v>#REF!</v>
      </c>
      <c r="AD196" t="e">
        <f>IF(#REF!,"AAAAAEfe+x0=",0)</f>
        <v>#REF!</v>
      </c>
      <c r="AE196" t="e">
        <f>IF(#REF!,"AAAAAEfe+x4=",0)</f>
        <v>#REF!</v>
      </c>
      <c r="AF196" t="e">
        <f>IF(#REF!,"AAAAAEfe+x8=",0)</f>
        <v>#REF!</v>
      </c>
      <c r="AG196" t="e">
        <f>IF(#REF!,"AAAAAEfe+yA=",0)</f>
        <v>#REF!</v>
      </c>
      <c r="AH196" t="e">
        <f>IF(#REF!,"AAAAAEfe+yE=",0)</f>
        <v>#REF!</v>
      </c>
      <c r="AI196" t="e">
        <f>IF(#REF!,"AAAAAEfe+yI=",0)</f>
        <v>#REF!</v>
      </c>
      <c r="AJ196" t="e">
        <f>IF(#REF!,"AAAAAEfe+yM=",0)</f>
        <v>#REF!</v>
      </c>
      <c r="AK196" t="e">
        <f>IF(#REF!,"AAAAAEfe+yQ=",0)</f>
        <v>#REF!</v>
      </c>
      <c r="AL196" t="e">
        <f>IF(#REF!,"AAAAAEfe+yU=",0)</f>
        <v>#REF!</v>
      </c>
      <c r="AM196" t="e">
        <f>IF(#REF!,"AAAAAEfe+yY=",0)</f>
        <v>#REF!</v>
      </c>
      <c r="AN196" t="e">
        <f>IF(#REF!,"AAAAAEfe+yc=",0)</f>
        <v>#REF!</v>
      </c>
      <c r="AO196" t="e">
        <f>IF(#REF!,"AAAAAEfe+yg=",0)</f>
        <v>#REF!</v>
      </c>
      <c r="AP196" t="e">
        <f>IF(#REF!,"AAAAAEfe+yk=",0)</f>
        <v>#REF!</v>
      </c>
      <c r="AQ196" t="e">
        <f>IF(#REF!,"AAAAAEfe+yo=",0)</f>
        <v>#REF!</v>
      </c>
      <c r="AR196" t="e">
        <f>IF(#REF!,"AAAAAEfe+ys=",0)</f>
        <v>#REF!</v>
      </c>
      <c r="AS196" t="e">
        <f>IF(#REF!,"AAAAAEfe+yw=",0)</f>
        <v>#REF!</v>
      </c>
      <c r="AT196" t="e">
        <f>IF(#REF!,"AAAAAEfe+y0=",0)</f>
        <v>#REF!</v>
      </c>
      <c r="AU196" t="e">
        <f>IF(#REF!,"AAAAAEfe+y4=",0)</f>
        <v>#REF!</v>
      </c>
      <c r="AV196" t="e">
        <f>IF(#REF!,"AAAAAEfe+y8=",0)</f>
        <v>#REF!</v>
      </c>
      <c r="AW196" t="e">
        <f>IF(#REF!,"AAAAAEfe+zA=",0)</f>
        <v>#REF!</v>
      </c>
      <c r="AX196" t="e">
        <f>IF(#REF!,"AAAAAEfe+zE=",0)</f>
        <v>#REF!</v>
      </c>
      <c r="AY196" t="e">
        <f>IF(#REF!,"AAAAAEfe+zI=",0)</f>
        <v>#REF!</v>
      </c>
      <c r="AZ196" t="e">
        <f>IF(#REF!,"AAAAAEfe+zM=",0)</f>
        <v>#REF!</v>
      </c>
      <c r="BA196" t="e">
        <f>IF(#REF!,"AAAAAEfe+zQ=",0)</f>
        <v>#REF!</v>
      </c>
      <c r="BB196" t="e">
        <f>IF(#REF!,"AAAAAEfe+zU=",0)</f>
        <v>#REF!</v>
      </c>
      <c r="BC196" t="e">
        <f>IF(#REF!,"AAAAAEfe+zY=",0)</f>
        <v>#REF!</v>
      </c>
      <c r="BD196" t="e">
        <f>IF(#REF!,"AAAAAEfe+zc=",0)</f>
        <v>#REF!</v>
      </c>
      <c r="BE196" t="e">
        <f>IF(#REF!,"AAAAAEfe+zg=",0)</f>
        <v>#REF!</v>
      </c>
      <c r="BF196" t="e">
        <f>IF(#REF!,"AAAAAEfe+zk=",0)</f>
        <v>#REF!</v>
      </c>
      <c r="BG196" t="e">
        <f>IF(#REF!,"AAAAAEfe+zo=",0)</f>
        <v>#REF!</v>
      </c>
      <c r="BH196" t="e">
        <f>IF(#REF!,"AAAAAEfe+zs=",0)</f>
        <v>#REF!</v>
      </c>
      <c r="BI196" t="e">
        <f>IF(#REF!,"AAAAAEfe+zw=",0)</f>
        <v>#REF!</v>
      </c>
      <c r="BJ196" t="e">
        <f>IF(#REF!,"AAAAAEfe+z0=",0)</f>
        <v>#REF!</v>
      </c>
      <c r="BK196" t="e">
        <f>IF(#REF!,"AAAAAEfe+z4=",0)</f>
        <v>#REF!</v>
      </c>
      <c r="BL196" t="e">
        <f>IF(#REF!,"AAAAAEfe+z8=",0)</f>
        <v>#REF!</v>
      </c>
      <c r="BM196" t="e">
        <f>IF(#REF!,"AAAAAEfe+0A=",0)</f>
        <v>#REF!</v>
      </c>
      <c r="BN196" t="e">
        <f>IF(#REF!,"AAAAAEfe+0E=",0)</f>
        <v>#REF!</v>
      </c>
      <c r="BO196" t="e">
        <f>IF(#REF!,"AAAAAEfe+0I=",0)</f>
        <v>#REF!</v>
      </c>
      <c r="BP196" t="e">
        <f>IF(#REF!,"AAAAAEfe+0M=",0)</f>
        <v>#REF!</v>
      </c>
      <c r="BQ196" t="e">
        <f>IF(#REF!,"AAAAAEfe+0Q=",0)</f>
        <v>#REF!</v>
      </c>
      <c r="BR196" t="e">
        <f>IF(#REF!,"AAAAAEfe+0U=",0)</f>
        <v>#REF!</v>
      </c>
      <c r="BS196" t="e">
        <f>IF(#REF!,"AAAAAEfe+0Y=",0)</f>
        <v>#REF!</v>
      </c>
      <c r="BT196" t="e">
        <f>IF(#REF!,"AAAAAEfe+0c=",0)</f>
        <v>#REF!</v>
      </c>
      <c r="BU196" t="e">
        <f>IF(#REF!,"AAAAAEfe+0g=",0)</f>
        <v>#REF!</v>
      </c>
      <c r="BV196" t="e">
        <f>IF(#REF!,"AAAAAEfe+0k=",0)</f>
        <v>#REF!</v>
      </c>
      <c r="BW196" t="e">
        <f>IF(#REF!,"AAAAAEfe+0o=",0)</f>
        <v>#REF!</v>
      </c>
      <c r="BX196" t="e">
        <f>IF(#REF!,"AAAAAEfe+0s=",0)</f>
        <v>#REF!</v>
      </c>
      <c r="BY196" t="e">
        <f>IF(#REF!,"AAAAAEfe+0w=",0)</f>
        <v>#REF!</v>
      </c>
      <c r="BZ196" t="e">
        <f>IF(#REF!,"AAAAAEfe+00=",0)</f>
        <v>#REF!</v>
      </c>
      <c r="CA196" t="e">
        <f>IF(#REF!,"AAAAAEfe+04=",0)</f>
        <v>#REF!</v>
      </c>
      <c r="CB196" t="e">
        <f>IF(#REF!,"AAAAAEfe+08=",0)</f>
        <v>#REF!</v>
      </c>
      <c r="CC196" t="e">
        <f>IF(#REF!,"AAAAAEfe+1A=",0)</f>
        <v>#REF!</v>
      </c>
      <c r="CD196" t="e">
        <f>IF(#REF!,"AAAAAEfe+1E=",0)</f>
        <v>#REF!</v>
      </c>
      <c r="CE196" t="e">
        <f>IF(#REF!,"AAAAAEfe+1I=",0)</f>
        <v>#REF!</v>
      </c>
      <c r="CF196" t="e">
        <f>IF(#REF!,"AAAAAEfe+1M=",0)</f>
        <v>#REF!</v>
      </c>
      <c r="CG196" t="e">
        <f>IF(#REF!,"AAAAAEfe+1Q=",0)</f>
        <v>#REF!</v>
      </c>
      <c r="CH196" t="e">
        <f>IF(#REF!,"AAAAAEfe+1U=",0)</f>
        <v>#REF!</v>
      </c>
      <c r="CI196" t="e">
        <f>IF(#REF!,"AAAAAEfe+1Y=",0)</f>
        <v>#REF!</v>
      </c>
      <c r="CJ196" t="e">
        <f>IF(#REF!,"AAAAAEfe+1c=",0)</f>
        <v>#REF!</v>
      </c>
      <c r="CK196" t="e">
        <f>IF(#REF!,"AAAAAEfe+1g=",0)</f>
        <v>#REF!</v>
      </c>
      <c r="CL196" t="e">
        <f>IF(#REF!,"AAAAAEfe+1k=",0)</f>
        <v>#REF!</v>
      </c>
      <c r="CM196" t="e">
        <f>IF(#REF!,"AAAAAEfe+1o=",0)</f>
        <v>#REF!</v>
      </c>
      <c r="CN196" t="e">
        <f>IF(#REF!,"AAAAAEfe+1s=",0)</f>
        <v>#REF!</v>
      </c>
      <c r="CO196" t="e">
        <f>IF(#REF!,"AAAAAEfe+1w=",0)</f>
        <v>#REF!</v>
      </c>
      <c r="CP196" t="e">
        <f>IF(#REF!,"AAAAAEfe+10=",0)</f>
        <v>#REF!</v>
      </c>
      <c r="CQ196" t="e">
        <f>IF(#REF!,"AAAAAEfe+14=",0)</f>
        <v>#REF!</v>
      </c>
      <c r="CR196" t="e">
        <f>IF(#REF!,"AAAAAEfe+18=",0)</f>
        <v>#REF!</v>
      </c>
      <c r="CS196" t="e">
        <f>IF(#REF!,"AAAAAEfe+2A=",0)</f>
        <v>#REF!</v>
      </c>
      <c r="CT196" t="e">
        <f>IF(#REF!,"AAAAAEfe+2E=",0)</f>
        <v>#REF!</v>
      </c>
      <c r="CU196" t="e">
        <f>IF(#REF!,"AAAAAEfe+2I=",0)</f>
        <v>#REF!</v>
      </c>
      <c r="CV196" t="e">
        <f>IF(#REF!,"AAAAAEfe+2M=",0)</f>
        <v>#REF!</v>
      </c>
      <c r="CW196" t="e">
        <f>IF(#REF!,"AAAAAEfe+2Q=",0)</f>
        <v>#REF!</v>
      </c>
      <c r="CX196" t="e">
        <f>IF(#REF!,"AAAAAEfe+2U=",0)</f>
        <v>#REF!</v>
      </c>
      <c r="CY196" t="e">
        <f>IF(#REF!,"AAAAAEfe+2Y=",0)</f>
        <v>#REF!</v>
      </c>
      <c r="CZ196" t="e">
        <f>IF(#REF!,"AAAAAEfe+2c=",0)</f>
        <v>#REF!</v>
      </c>
      <c r="DA196" t="e">
        <f>IF(#REF!,"AAAAAEfe+2g=",0)</f>
        <v>#REF!</v>
      </c>
      <c r="DB196" t="e">
        <f>IF(#REF!,"AAAAAEfe+2k=",0)</f>
        <v>#REF!</v>
      </c>
      <c r="DC196" t="e">
        <f>IF(#REF!,"AAAAAEfe+2o=",0)</f>
        <v>#REF!</v>
      </c>
      <c r="DD196" t="e">
        <f>IF(#REF!,"AAAAAEfe+2s=",0)</f>
        <v>#REF!</v>
      </c>
      <c r="DE196" t="e">
        <f>IF(#REF!,"AAAAAEfe+2w=",0)</f>
        <v>#REF!</v>
      </c>
      <c r="DF196" t="e">
        <f>IF(#REF!,"AAAAAEfe+20=",0)</f>
        <v>#REF!</v>
      </c>
      <c r="DG196" t="e">
        <f>IF(#REF!,"AAAAAEfe+24=",0)</f>
        <v>#REF!</v>
      </c>
      <c r="DH196" t="e">
        <f>IF(#REF!,"AAAAAEfe+28=",0)</f>
        <v>#REF!</v>
      </c>
      <c r="DI196" t="e">
        <f>IF(#REF!,"AAAAAEfe+3A=",0)</f>
        <v>#REF!</v>
      </c>
      <c r="DJ196" t="e">
        <f>IF(#REF!,"AAAAAEfe+3E=",0)</f>
        <v>#REF!</v>
      </c>
      <c r="DK196" t="e">
        <f>IF(#REF!,"AAAAAEfe+3I=",0)</f>
        <v>#REF!</v>
      </c>
      <c r="DL196" t="e">
        <f>IF(#REF!,"AAAAAEfe+3M=",0)</f>
        <v>#REF!</v>
      </c>
      <c r="DM196" t="e">
        <f>IF(#REF!,"AAAAAEfe+3Q=",0)</f>
        <v>#REF!</v>
      </c>
      <c r="DN196" t="e">
        <f>IF(#REF!,"AAAAAEfe+3U=",0)</f>
        <v>#REF!</v>
      </c>
      <c r="DO196" t="e">
        <f>IF(#REF!,"AAAAAEfe+3Y=",0)</f>
        <v>#REF!</v>
      </c>
      <c r="DP196" t="e">
        <f>IF(#REF!,"AAAAAEfe+3c=",0)</f>
        <v>#REF!</v>
      </c>
      <c r="DQ196" t="e">
        <f>IF(#REF!,"AAAAAEfe+3g=",0)</f>
        <v>#REF!</v>
      </c>
      <c r="DR196" t="e">
        <f>IF(#REF!,"AAAAAEfe+3k=",0)</f>
        <v>#REF!</v>
      </c>
      <c r="DS196" t="e">
        <f>IF(#REF!,"AAAAAEfe+3o=",0)</f>
        <v>#REF!</v>
      </c>
      <c r="DT196" t="e">
        <f>IF(#REF!,"AAAAAEfe+3s=",0)</f>
        <v>#REF!</v>
      </c>
      <c r="DU196" t="e">
        <f>IF(#REF!,"AAAAAEfe+3w=",0)</f>
        <v>#REF!</v>
      </c>
      <c r="DV196" t="e">
        <f>IF(#REF!,"AAAAAEfe+30=",0)</f>
        <v>#REF!</v>
      </c>
      <c r="DW196" t="e">
        <f>IF(#REF!,"AAAAAEfe+34=",0)</f>
        <v>#REF!</v>
      </c>
      <c r="DX196" t="e">
        <f>IF(#REF!,"AAAAAEfe+38=",0)</f>
        <v>#REF!</v>
      </c>
      <c r="DY196" t="e">
        <f>IF(#REF!,"AAAAAEfe+4A=",0)</f>
        <v>#REF!</v>
      </c>
      <c r="DZ196" t="e">
        <f>IF(#REF!,"AAAAAEfe+4E=",0)</f>
        <v>#REF!</v>
      </c>
      <c r="EA196" t="e">
        <f>IF(#REF!,"AAAAAEfe+4I=",0)</f>
        <v>#REF!</v>
      </c>
      <c r="EB196" t="e">
        <f>IF(#REF!,"AAAAAEfe+4M=",0)</f>
        <v>#REF!</v>
      </c>
      <c r="EC196" t="e">
        <f>IF(#REF!,"AAAAAEfe+4Q=",0)</f>
        <v>#REF!</v>
      </c>
      <c r="ED196" t="e">
        <f>IF(#REF!,"AAAAAEfe+4U=",0)</f>
        <v>#REF!</v>
      </c>
      <c r="EE196" t="e">
        <f>IF(#REF!,"AAAAAEfe+4Y=",0)</f>
        <v>#REF!</v>
      </c>
      <c r="EF196" t="e">
        <f>IF(#REF!,"AAAAAEfe+4c=",0)</f>
        <v>#REF!</v>
      </c>
      <c r="EG196" t="e">
        <f>IF(#REF!,"AAAAAEfe+4g=",0)</f>
        <v>#REF!</v>
      </c>
      <c r="EH196" t="e">
        <f>IF(#REF!,"AAAAAEfe+4k=",0)</f>
        <v>#REF!</v>
      </c>
      <c r="EI196" t="e">
        <f>IF(#REF!,"AAAAAEfe+4o=",0)</f>
        <v>#REF!</v>
      </c>
      <c r="EJ196" t="e">
        <f>IF(#REF!,"AAAAAEfe+4s=",0)</f>
        <v>#REF!</v>
      </c>
      <c r="EK196" t="e">
        <f>IF(#REF!,"AAAAAEfe+4w=",0)</f>
        <v>#REF!</v>
      </c>
      <c r="EL196" t="e">
        <f>IF(#REF!,"AAAAAEfe+40=",0)</f>
        <v>#REF!</v>
      </c>
      <c r="EM196" t="e">
        <f>IF(#REF!,"AAAAAEfe+44=",0)</f>
        <v>#REF!</v>
      </c>
      <c r="EN196" t="e">
        <f>IF(#REF!,"AAAAAEfe+48=",0)</f>
        <v>#REF!</v>
      </c>
      <c r="EO196" t="e">
        <f>IF(#REF!,"AAAAAEfe+5A=",0)</f>
        <v>#REF!</v>
      </c>
      <c r="EP196" t="e">
        <f>IF(#REF!,"AAAAAEfe+5E=",0)</f>
        <v>#REF!</v>
      </c>
      <c r="EQ196" t="e">
        <f>IF(#REF!,"AAAAAEfe+5I=",0)</f>
        <v>#REF!</v>
      </c>
      <c r="ER196" t="e">
        <f>IF(#REF!,"AAAAAEfe+5M=",0)</f>
        <v>#REF!</v>
      </c>
      <c r="ES196" t="e">
        <f>IF(#REF!,"AAAAAEfe+5Q=",0)</f>
        <v>#REF!</v>
      </c>
      <c r="ET196" t="e">
        <f>IF(#REF!,"AAAAAEfe+5U=",0)</f>
        <v>#REF!</v>
      </c>
      <c r="EU196" t="e">
        <f>IF(#REF!,"AAAAAEfe+5Y=",0)</f>
        <v>#REF!</v>
      </c>
      <c r="EV196" t="e">
        <f>IF(#REF!,"AAAAAEfe+5c=",0)</f>
        <v>#REF!</v>
      </c>
      <c r="EW196" t="e">
        <f>IF(#REF!,"AAAAAEfe+5g=",0)</f>
        <v>#REF!</v>
      </c>
      <c r="EX196" t="e">
        <f>IF(#REF!,"AAAAAEfe+5k=",0)</f>
        <v>#REF!</v>
      </c>
      <c r="EY196" t="e">
        <f>IF(#REF!,"AAAAAEfe+5o=",0)</f>
        <v>#REF!</v>
      </c>
      <c r="EZ196" t="e">
        <f>IF(#REF!,"AAAAAEfe+5s=",0)</f>
        <v>#REF!</v>
      </c>
      <c r="FA196" t="e">
        <f>IF(#REF!,"AAAAAEfe+5w=",0)</f>
        <v>#REF!</v>
      </c>
      <c r="FB196" t="e">
        <f>IF(#REF!,"AAAAAEfe+50=",0)</f>
        <v>#REF!</v>
      </c>
      <c r="FC196" t="e">
        <f>IF(#REF!,"AAAAAEfe+54=",0)</f>
        <v>#REF!</v>
      </c>
      <c r="FD196" t="e">
        <f>IF(#REF!,"AAAAAEfe+58=",0)</f>
        <v>#REF!</v>
      </c>
      <c r="FE196" t="e">
        <f>IF(#REF!,"AAAAAEfe+6A=",0)</f>
        <v>#REF!</v>
      </c>
      <c r="FF196" t="e">
        <f>IF(#REF!,"AAAAAEfe+6E=",0)</f>
        <v>#REF!</v>
      </c>
      <c r="FG196" t="e">
        <f>IF(#REF!,"AAAAAEfe+6I=",0)</f>
        <v>#REF!</v>
      </c>
      <c r="FH196" t="e">
        <f>IF(#REF!,"AAAAAEfe+6M=",0)</f>
        <v>#REF!</v>
      </c>
      <c r="FI196" t="e">
        <f>IF(#REF!,"AAAAAEfe+6Q=",0)</f>
        <v>#REF!</v>
      </c>
      <c r="FJ196" t="e">
        <f>IF(#REF!,"AAAAAEfe+6U=",0)</f>
        <v>#REF!</v>
      </c>
      <c r="FK196" t="e">
        <f>IF(#REF!,"AAAAAEfe+6Y=",0)</f>
        <v>#REF!</v>
      </c>
      <c r="FL196" t="e">
        <f>IF(#REF!,"AAAAAEfe+6c=",0)</f>
        <v>#REF!</v>
      </c>
      <c r="FM196" t="e">
        <f>IF(#REF!,"AAAAAEfe+6g=",0)</f>
        <v>#REF!</v>
      </c>
      <c r="FN196" t="e">
        <f>IF(#REF!,"AAAAAEfe+6k=",0)</f>
        <v>#REF!</v>
      </c>
      <c r="FO196" t="e">
        <f>IF(#REF!,"AAAAAEfe+6o=",0)</f>
        <v>#REF!</v>
      </c>
      <c r="FP196" t="e">
        <f>IF(#REF!,"AAAAAEfe+6s=",0)</f>
        <v>#REF!</v>
      </c>
      <c r="FQ196" t="e">
        <f>IF(#REF!,"AAAAAEfe+6w=",0)</f>
        <v>#REF!</v>
      </c>
      <c r="FR196" t="e">
        <f>IF(#REF!,"AAAAAEfe+60=",0)</f>
        <v>#REF!</v>
      </c>
      <c r="FS196" t="e">
        <f>IF(#REF!,"AAAAAEfe+64=",0)</f>
        <v>#REF!</v>
      </c>
      <c r="FT196" t="e">
        <f>IF(#REF!,"AAAAAEfe+68=",0)</f>
        <v>#REF!</v>
      </c>
      <c r="FU196" t="e">
        <f>IF(#REF!,"AAAAAEfe+7A=",0)</f>
        <v>#REF!</v>
      </c>
      <c r="FV196" t="e">
        <f>IF(#REF!,"AAAAAEfe+7E=",0)</f>
        <v>#REF!</v>
      </c>
      <c r="FW196" t="e">
        <f>IF(#REF!,"AAAAAEfe+7I=",0)</f>
        <v>#REF!</v>
      </c>
      <c r="FX196" t="e">
        <f>IF(#REF!,"AAAAAEfe+7M=",0)</f>
        <v>#REF!</v>
      </c>
      <c r="FY196" t="e">
        <f>IF(#REF!,"AAAAAEfe+7Q=",0)</f>
        <v>#REF!</v>
      </c>
      <c r="FZ196" t="e">
        <f>IF(#REF!,"AAAAAEfe+7U=",0)</f>
        <v>#REF!</v>
      </c>
      <c r="GA196" t="e">
        <f>IF(#REF!,"AAAAAEfe+7Y=",0)</f>
        <v>#REF!</v>
      </c>
      <c r="GB196" t="e">
        <f>IF(#REF!,"AAAAAEfe+7c=",0)</f>
        <v>#REF!</v>
      </c>
      <c r="GC196" t="e">
        <f>IF(#REF!,"AAAAAEfe+7g=",0)</f>
        <v>#REF!</v>
      </c>
      <c r="GD196" t="e">
        <f>IF(#REF!,"AAAAAEfe+7k=",0)</f>
        <v>#REF!</v>
      </c>
      <c r="GE196" t="e">
        <f>IF(#REF!,"AAAAAEfe+7o=",0)</f>
        <v>#REF!</v>
      </c>
      <c r="GF196" t="e">
        <f>IF(#REF!,"AAAAAEfe+7s=",0)</f>
        <v>#REF!</v>
      </c>
      <c r="GG196" t="e">
        <f>IF(#REF!,"AAAAAEfe+7w=",0)</f>
        <v>#REF!</v>
      </c>
      <c r="GH196" t="e">
        <f>IF(#REF!,"AAAAAEfe+70=",0)</f>
        <v>#REF!</v>
      </c>
      <c r="GI196" t="e">
        <f>IF(#REF!,"AAAAAEfe+74=",0)</f>
        <v>#REF!</v>
      </c>
      <c r="GJ196" t="e">
        <f>IF(#REF!,"AAAAAEfe+78=",0)</f>
        <v>#REF!</v>
      </c>
      <c r="GK196" t="e">
        <f>IF(#REF!,"AAAAAEfe+8A=",0)</f>
        <v>#REF!</v>
      </c>
      <c r="GL196" t="e">
        <f>IF(#REF!,"AAAAAEfe+8E=",0)</f>
        <v>#REF!</v>
      </c>
      <c r="GM196" t="e">
        <f>IF(#REF!,"AAAAAEfe+8I=",0)</f>
        <v>#REF!</v>
      </c>
      <c r="GN196" t="e">
        <f>IF(#REF!,"AAAAAEfe+8M=",0)</f>
        <v>#REF!</v>
      </c>
      <c r="GO196" t="e">
        <f>IF(#REF!,"AAAAAEfe+8Q=",0)</f>
        <v>#REF!</v>
      </c>
      <c r="GP196" t="e">
        <f>IF(#REF!,"AAAAAEfe+8U=",0)</f>
        <v>#REF!</v>
      </c>
      <c r="GQ196" t="e">
        <f>IF(#REF!,"AAAAAEfe+8Y=",0)</f>
        <v>#REF!</v>
      </c>
      <c r="GR196" t="e">
        <f>IF(#REF!,"AAAAAEfe+8c=",0)</f>
        <v>#REF!</v>
      </c>
      <c r="GS196" t="e">
        <f>IF(#REF!,"AAAAAEfe+8g=",0)</f>
        <v>#REF!</v>
      </c>
      <c r="GT196" t="e">
        <f>IF(#REF!,"AAAAAEfe+8k=",0)</f>
        <v>#REF!</v>
      </c>
      <c r="GU196" t="e">
        <f>IF(#REF!,"AAAAAEfe+8o=",0)</f>
        <v>#REF!</v>
      </c>
      <c r="GV196" t="e">
        <f>IF(#REF!,"AAAAAEfe+8s=",0)</f>
        <v>#REF!</v>
      </c>
      <c r="GW196" t="e">
        <f>IF(#REF!,"AAAAAEfe+8w=",0)</f>
        <v>#REF!</v>
      </c>
      <c r="GX196" t="e">
        <f>IF(#REF!,"AAAAAEfe+80=",0)</f>
        <v>#REF!</v>
      </c>
      <c r="GY196" t="e">
        <f>IF(#REF!,"AAAAAEfe+84=",0)</f>
        <v>#REF!</v>
      </c>
      <c r="GZ196" t="e">
        <f>IF(#REF!,"AAAAAEfe+88=",0)</f>
        <v>#REF!</v>
      </c>
      <c r="HA196" t="e">
        <f>IF(#REF!,"AAAAAEfe+9A=",0)</f>
        <v>#REF!</v>
      </c>
      <c r="HB196" t="e">
        <f>IF(#REF!,"AAAAAEfe+9E=",0)</f>
        <v>#REF!</v>
      </c>
      <c r="HC196" t="e">
        <f>IF(#REF!,"AAAAAEfe+9I=",0)</f>
        <v>#REF!</v>
      </c>
      <c r="HD196" t="e">
        <f>IF(#REF!,"AAAAAEfe+9M=",0)</f>
        <v>#REF!</v>
      </c>
      <c r="HE196" t="e">
        <f>IF(#REF!,"AAAAAEfe+9Q=",0)</f>
        <v>#REF!</v>
      </c>
      <c r="HF196" t="e">
        <f>IF(#REF!,"AAAAAEfe+9U=",0)</f>
        <v>#REF!</v>
      </c>
      <c r="HG196" t="e">
        <f>IF(#REF!,"AAAAAEfe+9Y=",0)</f>
        <v>#REF!</v>
      </c>
      <c r="HH196" t="e">
        <f>IF(#REF!,"AAAAAEfe+9c=",0)</f>
        <v>#REF!</v>
      </c>
      <c r="HI196" t="e">
        <f>IF(#REF!,"AAAAAEfe+9g=",0)</f>
        <v>#REF!</v>
      </c>
      <c r="HJ196" t="e">
        <f>IF(#REF!,"AAAAAEfe+9k=",0)</f>
        <v>#REF!</v>
      </c>
      <c r="HK196" t="e">
        <f>IF(#REF!,"AAAAAEfe+9o=",0)</f>
        <v>#REF!</v>
      </c>
      <c r="HL196" t="e">
        <f>IF(#REF!,"AAAAAEfe+9s=",0)</f>
        <v>#REF!</v>
      </c>
      <c r="HM196" t="e">
        <f>IF(#REF!,"AAAAAEfe+9w=",0)</f>
        <v>#REF!</v>
      </c>
      <c r="HN196" t="e">
        <f>IF(#REF!,"AAAAAEfe+90=",0)</f>
        <v>#REF!</v>
      </c>
      <c r="HO196" t="e">
        <f>IF(#REF!,"AAAAAEfe+94=",0)</f>
        <v>#REF!</v>
      </c>
      <c r="HP196" t="e">
        <f>IF(#REF!,"AAAAAEfe+98=",0)</f>
        <v>#REF!</v>
      </c>
      <c r="HQ196" t="e">
        <f>IF(#REF!,"AAAAAEfe++A=",0)</f>
        <v>#REF!</v>
      </c>
      <c r="HR196" t="e">
        <f>IF(#REF!,"AAAAAEfe++E=",0)</f>
        <v>#REF!</v>
      </c>
      <c r="HS196" t="e">
        <f>IF(#REF!,"AAAAAEfe++I=",0)</f>
        <v>#REF!</v>
      </c>
      <c r="HT196" t="e">
        <f>IF(#REF!,"AAAAAEfe++M=",0)</f>
        <v>#REF!</v>
      </c>
      <c r="HU196" t="e">
        <f>IF(#REF!,"AAAAAEfe++Q=",0)</f>
        <v>#REF!</v>
      </c>
      <c r="HV196" t="e">
        <f>IF(#REF!,"AAAAAEfe++U=",0)</f>
        <v>#REF!</v>
      </c>
      <c r="HW196" t="e">
        <f>IF(#REF!,"AAAAAEfe++Y=",0)</f>
        <v>#REF!</v>
      </c>
      <c r="HX196" t="e">
        <f>IF(#REF!,"AAAAAEfe++c=",0)</f>
        <v>#REF!</v>
      </c>
      <c r="HY196" t="e">
        <f>IF(#REF!,"AAAAAEfe++g=",0)</f>
        <v>#REF!</v>
      </c>
      <c r="HZ196" t="e">
        <f>IF(#REF!,"AAAAAEfe++k=",0)</f>
        <v>#REF!</v>
      </c>
      <c r="IA196" t="e">
        <f>IF(#REF!,"AAAAAEfe++o=",0)</f>
        <v>#REF!</v>
      </c>
      <c r="IB196" t="e">
        <f>IF(#REF!,"AAAAAEfe++s=",0)</f>
        <v>#REF!</v>
      </c>
      <c r="IC196" t="e">
        <f>IF(#REF!,"AAAAAEfe++w=",0)</f>
        <v>#REF!</v>
      </c>
      <c r="ID196" t="e">
        <f>IF(#REF!,"AAAAAEfe++0=",0)</f>
        <v>#REF!</v>
      </c>
      <c r="IE196" t="e">
        <f>IF(#REF!,"AAAAAEfe++4=",0)</f>
        <v>#REF!</v>
      </c>
      <c r="IF196" t="e">
        <f>IF(#REF!,"AAAAAEfe++8=",0)</f>
        <v>#REF!</v>
      </c>
      <c r="IG196" t="e">
        <f>IF(#REF!,"AAAAAEfe+/A=",0)</f>
        <v>#REF!</v>
      </c>
      <c r="IH196" t="e">
        <f>IF(#REF!,"AAAAAEfe+/E=",0)</f>
        <v>#REF!</v>
      </c>
      <c r="II196" t="e">
        <f>IF(#REF!,"AAAAAEfe+/I=",0)</f>
        <v>#REF!</v>
      </c>
      <c r="IJ196" t="e">
        <f>IF(#REF!,"AAAAAEfe+/M=",0)</f>
        <v>#REF!</v>
      </c>
      <c r="IK196" t="e">
        <f>IF(#REF!,"AAAAAEfe+/Q=",0)</f>
        <v>#REF!</v>
      </c>
      <c r="IL196" t="e">
        <f>IF(#REF!,"AAAAAEfe+/U=",0)</f>
        <v>#REF!</v>
      </c>
      <c r="IM196" t="e">
        <f>IF(#REF!,"AAAAAEfe+/Y=",0)</f>
        <v>#REF!</v>
      </c>
      <c r="IN196" t="e">
        <f>IF(#REF!,"AAAAAEfe+/c=",0)</f>
        <v>#REF!</v>
      </c>
      <c r="IO196" t="e">
        <f>IF(#REF!,"AAAAAEfe+/g=",0)</f>
        <v>#REF!</v>
      </c>
      <c r="IP196" t="e">
        <f>IF(#REF!,"AAAAAEfe+/k=",0)</f>
        <v>#REF!</v>
      </c>
      <c r="IQ196" t="e">
        <f>IF(#REF!,"AAAAAEfe+/o=",0)</f>
        <v>#REF!</v>
      </c>
      <c r="IR196" t="e">
        <f>IF(#REF!,"AAAAAEfe+/s=",0)</f>
        <v>#REF!</v>
      </c>
      <c r="IS196" t="e">
        <f>IF(#REF!,"AAAAAEfe+/w=",0)</f>
        <v>#REF!</v>
      </c>
      <c r="IT196" t="e">
        <f>IF(#REF!,"AAAAAEfe+/0=",0)</f>
        <v>#REF!</v>
      </c>
      <c r="IU196" t="e">
        <f>IF(#REF!,"AAAAAEfe+/4=",0)</f>
        <v>#REF!</v>
      </c>
      <c r="IV196" t="e">
        <f>IF(#REF!,"AAAAAEfe+/8=",0)</f>
        <v>#REF!</v>
      </c>
    </row>
    <row r="197" spans="1:256">
      <c r="A197" t="e">
        <f>IF(#REF!,"AAAAAHON2wA=",0)</f>
        <v>#REF!</v>
      </c>
      <c r="B197" t="e">
        <f>IF(#REF!,"AAAAAHON2wE=",0)</f>
        <v>#REF!</v>
      </c>
      <c r="C197" t="e">
        <f>IF(#REF!,"AAAAAHON2wI=",0)</f>
        <v>#REF!</v>
      </c>
      <c r="D197" t="e">
        <f>IF(#REF!,"AAAAAHON2wM=",0)</f>
        <v>#REF!</v>
      </c>
      <c r="E197" t="e">
        <f>IF(#REF!,"AAAAAHON2wQ=",0)</f>
        <v>#REF!</v>
      </c>
      <c r="F197" t="e">
        <f>IF(#REF!,"AAAAAHON2wU=",0)</f>
        <v>#REF!</v>
      </c>
      <c r="G197" t="e">
        <f>IF(#REF!,"AAAAAHON2wY=",0)</f>
        <v>#REF!</v>
      </c>
      <c r="H197" t="e">
        <f>IF(#REF!,"AAAAAHON2wc=",0)</f>
        <v>#REF!</v>
      </c>
      <c r="I197" t="e">
        <f>IF(#REF!,"AAAAAHON2wg=",0)</f>
        <v>#REF!</v>
      </c>
      <c r="J197" t="e">
        <f>IF(#REF!,"AAAAAHON2wk=",0)</f>
        <v>#REF!</v>
      </c>
      <c r="K197" t="e">
        <f>IF(#REF!,"AAAAAHON2wo=",0)</f>
        <v>#REF!</v>
      </c>
      <c r="L197" t="e">
        <f>IF(#REF!,"AAAAAHON2ws=",0)</f>
        <v>#REF!</v>
      </c>
      <c r="M197" t="e">
        <f>IF(#REF!,"AAAAAHON2ww=",0)</f>
        <v>#REF!</v>
      </c>
      <c r="N197" t="e">
        <f>IF(#REF!,"AAAAAHON2w0=",0)</f>
        <v>#REF!</v>
      </c>
      <c r="O197" t="e">
        <f>IF(#REF!,"AAAAAHON2w4=",0)</f>
        <v>#REF!</v>
      </c>
      <c r="P197" t="e">
        <f>IF(#REF!,"AAAAAHON2w8=",0)</f>
        <v>#REF!</v>
      </c>
      <c r="Q197" t="e">
        <f>IF(#REF!,"AAAAAHON2xA=",0)</f>
        <v>#REF!</v>
      </c>
      <c r="R197" t="e">
        <f>IF(#REF!,"AAAAAHON2xE=",0)</f>
        <v>#REF!</v>
      </c>
      <c r="S197" t="e">
        <f>IF(#REF!,"AAAAAHON2xI=",0)</f>
        <v>#REF!</v>
      </c>
      <c r="T197" t="e">
        <f>IF(#REF!,"AAAAAHON2xM=",0)</f>
        <v>#REF!</v>
      </c>
      <c r="U197" t="e">
        <f>IF(#REF!,"AAAAAHON2xQ=",0)</f>
        <v>#REF!</v>
      </c>
      <c r="V197" t="e">
        <f>IF(#REF!,"AAAAAHON2xU=",0)</f>
        <v>#REF!</v>
      </c>
      <c r="W197" t="e">
        <f>IF(#REF!,"AAAAAHON2xY=",0)</f>
        <v>#REF!</v>
      </c>
      <c r="X197" t="e">
        <f>IF(#REF!,"AAAAAHON2xc=",0)</f>
        <v>#REF!</v>
      </c>
      <c r="Y197" t="e">
        <f>IF(#REF!,"AAAAAHON2xg=",0)</f>
        <v>#REF!</v>
      </c>
      <c r="Z197" t="e">
        <f>IF(#REF!,"AAAAAHON2xk=",0)</f>
        <v>#REF!</v>
      </c>
      <c r="AA197" t="e">
        <f>IF(#REF!,"AAAAAHON2xo=",0)</f>
        <v>#REF!</v>
      </c>
      <c r="AB197" t="e">
        <f>IF(#REF!,"AAAAAHON2xs=",0)</f>
        <v>#REF!</v>
      </c>
      <c r="AC197" t="e">
        <f>IF(#REF!,"AAAAAHON2xw=",0)</f>
        <v>#REF!</v>
      </c>
      <c r="AD197" t="e">
        <f>IF(#REF!,"AAAAAHON2x0=",0)</f>
        <v>#REF!</v>
      </c>
      <c r="AE197" t="e">
        <f>IF(#REF!,"AAAAAHON2x4=",0)</f>
        <v>#REF!</v>
      </c>
      <c r="AF197" t="e">
        <f>IF(#REF!,"AAAAAHON2x8=",0)</f>
        <v>#REF!</v>
      </c>
      <c r="AG197" t="e">
        <f>IF(#REF!,"AAAAAHON2yA=",0)</f>
        <v>#REF!</v>
      </c>
      <c r="AH197" t="e">
        <f>IF(#REF!,"AAAAAHON2yE=",0)</f>
        <v>#REF!</v>
      </c>
      <c r="AI197" t="e">
        <f>IF(#REF!,"AAAAAHON2yI=",0)</f>
        <v>#REF!</v>
      </c>
      <c r="AJ197" t="e">
        <f>IF(#REF!,"AAAAAHON2yM=",0)</f>
        <v>#REF!</v>
      </c>
      <c r="AK197" t="e">
        <f>IF(#REF!,"AAAAAHON2yQ=",0)</f>
        <v>#REF!</v>
      </c>
      <c r="AL197" t="e">
        <f>IF(#REF!,"AAAAAHON2yU=",0)</f>
        <v>#REF!</v>
      </c>
      <c r="AM197" t="e">
        <f>IF(#REF!,"AAAAAHON2yY=",0)</f>
        <v>#REF!</v>
      </c>
      <c r="AN197" t="e">
        <f>IF(#REF!,"AAAAAHON2yc=",0)</f>
        <v>#REF!</v>
      </c>
      <c r="AO197" t="e">
        <f>IF(#REF!,"AAAAAHON2yg=",0)</f>
        <v>#REF!</v>
      </c>
      <c r="AP197" t="e">
        <f>IF(#REF!,"AAAAAHON2yk=",0)</f>
        <v>#REF!</v>
      </c>
      <c r="AQ197" t="e">
        <f>IF(#REF!,"AAAAAHON2yo=",0)</f>
        <v>#REF!</v>
      </c>
      <c r="AR197" t="e">
        <f>IF(#REF!,"AAAAAHON2ys=",0)</f>
        <v>#REF!</v>
      </c>
      <c r="AS197" t="e">
        <f>IF(#REF!,"AAAAAHON2yw=",0)</f>
        <v>#REF!</v>
      </c>
      <c r="AT197" t="e">
        <f>IF(#REF!,"AAAAAHON2y0=",0)</f>
        <v>#REF!</v>
      </c>
      <c r="AU197" t="e">
        <f>IF(#REF!,"AAAAAHON2y4=",0)</f>
        <v>#REF!</v>
      </c>
      <c r="AV197" t="e">
        <f>IF(#REF!,"AAAAAHON2y8=",0)</f>
        <v>#REF!</v>
      </c>
      <c r="AW197" t="e">
        <f>IF(#REF!,"AAAAAHON2zA=",0)</f>
        <v>#REF!</v>
      </c>
      <c r="AX197" t="e">
        <f>IF(#REF!,"AAAAAHON2zE=",0)</f>
        <v>#REF!</v>
      </c>
      <c r="AY197" t="e">
        <f>IF(#REF!,"AAAAAHON2zI=",0)</f>
        <v>#REF!</v>
      </c>
      <c r="AZ197" t="e">
        <f>IF(#REF!,"AAAAAHON2zM=",0)</f>
        <v>#REF!</v>
      </c>
      <c r="BA197" t="e">
        <f>IF(#REF!,"AAAAAHON2zQ=",0)</f>
        <v>#REF!</v>
      </c>
      <c r="BB197" t="e">
        <f>IF(#REF!,"AAAAAHON2zU=",0)</f>
        <v>#REF!</v>
      </c>
      <c r="BC197" t="e">
        <f>IF(#REF!,"AAAAAHON2zY=",0)</f>
        <v>#REF!</v>
      </c>
      <c r="BD197" t="e">
        <f>IF(#REF!,"AAAAAHON2zc=",0)</f>
        <v>#REF!</v>
      </c>
      <c r="BE197" t="e">
        <f>IF(#REF!,"AAAAAHON2zg=",0)</f>
        <v>#REF!</v>
      </c>
      <c r="BF197" t="e">
        <f>IF(#REF!,"AAAAAHON2zk=",0)</f>
        <v>#REF!</v>
      </c>
      <c r="BG197" t="e">
        <f>IF(#REF!,"AAAAAHON2zo=",0)</f>
        <v>#REF!</v>
      </c>
      <c r="BH197" t="e">
        <f>IF(#REF!,"AAAAAHON2zs=",0)</f>
        <v>#REF!</v>
      </c>
      <c r="BI197" t="e">
        <f>IF(#REF!,"AAAAAHON2zw=",0)</f>
        <v>#REF!</v>
      </c>
      <c r="BJ197" t="e">
        <f>IF(#REF!,"AAAAAHON2z0=",0)</f>
        <v>#REF!</v>
      </c>
      <c r="BK197" t="e">
        <f>IF(#REF!,"AAAAAHON2z4=",0)</f>
        <v>#REF!</v>
      </c>
      <c r="BL197" t="e">
        <f>IF(#REF!,"AAAAAHON2z8=",0)</f>
        <v>#REF!</v>
      </c>
      <c r="BM197" t="e">
        <f>IF(#REF!,"AAAAAHON20A=",0)</f>
        <v>#REF!</v>
      </c>
      <c r="BN197" t="e">
        <f>IF(#REF!,"AAAAAHON20E=",0)</f>
        <v>#REF!</v>
      </c>
      <c r="BO197" t="e">
        <f>IF(#REF!,"AAAAAHON20I=",0)</f>
        <v>#REF!</v>
      </c>
      <c r="BP197" t="e">
        <f>IF(#REF!,"AAAAAHON20M=",0)</f>
        <v>#REF!</v>
      </c>
      <c r="BQ197" t="e">
        <f>IF(#REF!,"AAAAAHON20Q=",0)</f>
        <v>#REF!</v>
      </c>
      <c r="BR197" t="e">
        <f>IF(#REF!,"AAAAAHON20U=",0)</f>
        <v>#REF!</v>
      </c>
      <c r="BS197" t="e">
        <f>IF(#REF!,"AAAAAHON20Y=",0)</f>
        <v>#REF!</v>
      </c>
      <c r="BT197" t="e">
        <f>IF(#REF!,"AAAAAHON20c=",0)</f>
        <v>#REF!</v>
      </c>
      <c r="BU197" t="e">
        <f>IF(#REF!,"AAAAAHON20g=",0)</f>
        <v>#REF!</v>
      </c>
      <c r="BV197" t="e">
        <f>IF(#REF!,"AAAAAHON20k=",0)</f>
        <v>#REF!</v>
      </c>
      <c r="BW197" t="e">
        <f>IF(#REF!,"AAAAAHON20o=",0)</f>
        <v>#REF!</v>
      </c>
      <c r="BX197" t="e">
        <f>IF(#REF!,"AAAAAHON20s=",0)</f>
        <v>#REF!</v>
      </c>
      <c r="BY197" t="e">
        <f>IF(#REF!,"AAAAAHON20w=",0)</f>
        <v>#REF!</v>
      </c>
      <c r="BZ197" t="e">
        <f>IF(#REF!,"AAAAAHON200=",0)</f>
        <v>#REF!</v>
      </c>
      <c r="CA197" t="e">
        <f>IF(#REF!,"AAAAAHON204=",0)</f>
        <v>#REF!</v>
      </c>
      <c r="CB197" t="e">
        <f>IF(#REF!,"AAAAAHON208=",0)</f>
        <v>#REF!</v>
      </c>
      <c r="CC197" t="e">
        <f>IF(#REF!,"AAAAAHON21A=",0)</f>
        <v>#REF!</v>
      </c>
      <c r="CD197" t="e">
        <f>IF(#REF!,"AAAAAHON21E=",0)</f>
        <v>#REF!</v>
      </c>
      <c r="CE197" t="e">
        <f>IF(#REF!,"AAAAAHON21I=",0)</f>
        <v>#REF!</v>
      </c>
      <c r="CF197" t="e">
        <f>IF(#REF!,"AAAAAHON21M=",0)</f>
        <v>#REF!</v>
      </c>
      <c r="CG197" t="e">
        <f>IF(#REF!,"AAAAAHON21Q=",0)</f>
        <v>#REF!</v>
      </c>
      <c r="CH197" t="e">
        <f>IF(#REF!,"AAAAAHON21U=",0)</f>
        <v>#REF!</v>
      </c>
      <c r="CI197" t="e">
        <f>IF(#REF!,"AAAAAHON21Y=",0)</f>
        <v>#REF!</v>
      </c>
      <c r="CJ197" t="e">
        <f>IF(#REF!,"AAAAAHON21c=",0)</f>
        <v>#REF!</v>
      </c>
      <c r="CK197" t="e">
        <f>IF(#REF!,"AAAAAHON21g=",0)</f>
        <v>#REF!</v>
      </c>
      <c r="CL197" t="e">
        <f>IF(#REF!,"AAAAAHON21k=",0)</f>
        <v>#REF!</v>
      </c>
      <c r="CM197" t="e">
        <f>IF(#REF!,"AAAAAHON21o=",0)</f>
        <v>#REF!</v>
      </c>
      <c r="CN197" t="e">
        <f>IF(#REF!,"AAAAAHON21s=",0)</f>
        <v>#REF!</v>
      </c>
      <c r="CO197" t="e">
        <f>IF(#REF!,"AAAAAHON21w=",0)</f>
        <v>#REF!</v>
      </c>
      <c r="CP197" t="e">
        <f>IF(#REF!,"AAAAAHON210=",0)</f>
        <v>#REF!</v>
      </c>
      <c r="CQ197" t="e">
        <f>IF(#REF!,"AAAAAHON214=",0)</f>
        <v>#REF!</v>
      </c>
      <c r="CR197" t="e">
        <f>IF(#REF!,"AAAAAHON218=",0)</f>
        <v>#REF!</v>
      </c>
      <c r="CS197" t="e">
        <f>IF(#REF!,"AAAAAHON22A=",0)</f>
        <v>#REF!</v>
      </c>
      <c r="CT197" t="e">
        <f>IF(#REF!,"AAAAAHON22E=",0)</f>
        <v>#REF!</v>
      </c>
      <c r="CU197" t="e">
        <f>IF(#REF!,"AAAAAHON22I=",0)</f>
        <v>#REF!</v>
      </c>
      <c r="CV197" t="e">
        <f>IF(#REF!,"AAAAAHON22M=",0)</f>
        <v>#REF!</v>
      </c>
      <c r="CW197" t="e">
        <f>IF(#REF!,"AAAAAHON22Q=",0)</f>
        <v>#REF!</v>
      </c>
      <c r="CX197" t="e">
        <f>IF(#REF!,"AAAAAHON22U=",0)</f>
        <v>#REF!</v>
      </c>
      <c r="CY197" t="e">
        <f>IF(#REF!,"AAAAAHON22Y=",0)</f>
        <v>#REF!</v>
      </c>
      <c r="CZ197" t="e">
        <f>IF(#REF!,"AAAAAHON22c=",0)</f>
        <v>#REF!</v>
      </c>
      <c r="DA197" t="e">
        <f>IF(#REF!,"AAAAAHON22g=",0)</f>
        <v>#REF!</v>
      </c>
      <c r="DB197" t="e">
        <f>IF(#REF!,"AAAAAHON22k=",0)</f>
        <v>#REF!</v>
      </c>
      <c r="DC197" t="e">
        <f>IF(#REF!,"AAAAAHON22o=",0)</f>
        <v>#REF!</v>
      </c>
      <c r="DD197" t="e">
        <f>IF(#REF!,"AAAAAHON22s=",0)</f>
        <v>#REF!</v>
      </c>
      <c r="DE197" t="e">
        <f>IF(#REF!,"AAAAAHON22w=",0)</f>
        <v>#REF!</v>
      </c>
      <c r="DF197" t="e">
        <f>IF(#REF!,"AAAAAHON220=",0)</f>
        <v>#REF!</v>
      </c>
      <c r="DG197" t="e">
        <f>IF(#REF!,"AAAAAHON224=",0)</f>
        <v>#REF!</v>
      </c>
      <c r="DH197" t="e">
        <f>IF(#REF!,"AAAAAHON228=",0)</f>
        <v>#REF!</v>
      </c>
      <c r="DI197" t="e">
        <f>IF(#REF!,"AAAAAHON23A=",0)</f>
        <v>#REF!</v>
      </c>
      <c r="DJ197" t="e">
        <f>IF(#REF!,"AAAAAHON23E=",0)</f>
        <v>#REF!</v>
      </c>
      <c r="DK197" t="e">
        <f>IF(#REF!,"AAAAAHON23I=",0)</f>
        <v>#REF!</v>
      </c>
      <c r="DL197" t="e">
        <f>IF(#REF!,"AAAAAHON23M=",0)</f>
        <v>#REF!</v>
      </c>
      <c r="DM197" t="e">
        <f>IF(#REF!,"AAAAAHON23Q=",0)</f>
        <v>#REF!</v>
      </c>
      <c r="DN197" t="e">
        <f>IF(#REF!,"AAAAAHON23U=",0)</f>
        <v>#REF!</v>
      </c>
      <c r="DO197" t="e">
        <f>IF(#REF!,"AAAAAHON23Y=",0)</f>
        <v>#REF!</v>
      </c>
      <c r="DP197" t="e">
        <f>IF(#REF!,"AAAAAHON23c=",0)</f>
        <v>#REF!</v>
      </c>
      <c r="DQ197" t="e">
        <f>IF(#REF!,"AAAAAHON23g=",0)</f>
        <v>#REF!</v>
      </c>
      <c r="DR197" t="e">
        <f>IF(#REF!,"AAAAAHON23k=",0)</f>
        <v>#REF!</v>
      </c>
      <c r="DS197" t="e">
        <f>IF(#REF!,"AAAAAHON23o=",0)</f>
        <v>#REF!</v>
      </c>
      <c r="DT197" t="e">
        <f>IF(#REF!,"AAAAAHON23s=",0)</f>
        <v>#REF!</v>
      </c>
      <c r="DU197" t="e">
        <f>IF(#REF!,"AAAAAHON23w=",0)</f>
        <v>#REF!</v>
      </c>
      <c r="DV197" t="e">
        <f>IF(#REF!,"AAAAAHON230=",0)</f>
        <v>#REF!</v>
      </c>
      <c r="DW197" t="e">
        <f>IF(#REF!,"AAAAAHON234=",0)</f>
        <v>#REF!</v>
      </c>
      <c r="DX197" t="e">
        <f>IF(#REF!,"AAAAAHON238=",0)</f>
        <v>#REF!</v>
      </c>
      <c r="DY197" t="e">
        <f>IF(#REF!,"AAAAAHON24A=",0)</f>
        <v>#REF!</v>
      </c>
      <c r="DZ197" t="e">
        <f>IF(#REF!,"AAAAAHON24E=",0)</f>
        <v>#REF!</v>
      </c>
      <c r="EA197" t="e">
        <f>IF(#REF!,"AAAAAHON24I=",0)</f>
        <v>#REF!</v>
      </c>
      <c r="EB197" t="e">
        <f>IF(#REF!,"AAAAAHON24M=",0)</f>
        <v>#REF!</v>
      </c>
      <c r="EC197" t="e">
        <f>IF(#REF!,"AAAAAHON24Q=",0)</f>
        <v>#REF!</v>
      </c>
      <c r="ED197" t="e">
        <f>IF(#REF!,"AAAAAHON24U=",0)</f>
        <v>#REF!</v>
      </c>
      <c r="EE197" t="e">
        <f>IF(#REF!,"AAAAAHON24Y=",0)</f>
        <v>#REF!</v>
      </c>
      <c r="EF197" t="e">
        <f>IF(#REF!,"AAAAAHON24c=",0)</f>
        <v>#REF!</v>
      </c>
      <c r="EG197" t="e">
        <f>IF(#REF!,"AAAAAHON24g=",0)</f>
        <v>#REF!</v>
      </c>
      <c r="EH197" t="e">
        <f>IF(#REF!,"AAAAAHON24k=",0)</f>
        <v>#REF!</v>
      </c>
      <c r="EI197" t="e">
        <f>IF(#REF!,"AAAAAHON24o=",0)</f>
        <v>#REF!</v>
      </c>
      <c r="EJ197" t="e">
        <f>IF(#REF!,"AAAAAHON24s=",0)</f>
        <v>#REF!</v>
      </c>
      <c r="EK197" t="e">
        <f>IF(#REF!,"AAAAAHON24w=",0)</f>
        <v>#REF!</v>
      </c>
      <c r="EL197" t="e">
        <f>IF(#REF!,"AAAAAHON240=",0)</f>
        <v>#REF!</v>
      </c>
      <c r="EM197" t="e">
        <f>IF(#REF!,"AAAAAHON244=",0)</f>
        <v>#REF!</v>
      </c>
      <c r="EN197" t="e">
        <f>IF(#REF!,"AAAAAHON248=",0)</f>
        <v>#REF!</v>
      </c>
      <c r="EO197" t="e">
        <f>IF(#REF!,"AAAAAHON25A=",0)</f>
        <v>#REF!</v>
      </c>
      <c r="EP197" t="e">
        <f>IF(#REF!,"AAAAAHON25E=",0)</f>
        <v>#REF!</v>
      </c>
      <c r="EQ197" t="e">
        <f>IF(#REF!,"AAAAAHON25I=",0)</f>
        <v>#REF!</v>
      </c>
      <c r="ER197" t="e">
        <f>IF(#REF!,"AAAAAHON25M=",0)</f>
        <v>#REF!</v>
      </c>
      <c r="ES197" t="e">
        <f>IF(#REF!,"AAAAAHON25Q=",0)</f>
        <v>#REF!</v>
      </c>
      <c r="ET197" t="e">
        <f>IF(#REF!,"AAAAAHON25U=",0)</f>
        <v>#REF!</v>
      </c>
      <c r="EU197" t="e">
        <f>IF(#REF!,"AAAAAHON25Y=",0)</f>
        <v>#REF!</v>
      </c>
      <c r="EV197" t="e">
        <f>IF(#REF!,"AAAAAHON25c=",0)</f>
        <v>#REF!</v>
      </c>
      <c r="EW197" t="e">
        <f>IF(#REF!,"AAAAAHON25g=",0)</f>
        <v>#REF!</v>
      </c>
      <c r="EX197" t="e">
        <f>IF(#REF!,"AAAAAHON25k=",0)</f>
        <v>#REF!</v>
      </c>
      <c r="EY197" t="e">
        <f>IF(#REF!,"AAAAAHON25o=",0)</f>
        <v>#REF!</v>
      </c>
      <c r="EZ197" t="e">
        <f>IF(#REF!,"AAAAAHON25s=",0)</f>
        <v>#REF!</v>
      </c>
      <c r="FA197" t="e">
        <f>IF(#REF!,"AAAAAHON25w=",0)</f>
        <v>#REF!</v>
      </c>
      <c r="FB197" t="e">
        <f>IF(#REF!,"AAAAAHON250=",0)</f>
        <v>#REF!</v>
      </c>
      <c r="FC197" t="e">
        <f>IF(#REF!,"AAAAAHON254=",0)</f>
        <v>#REF!</v>
      </c>
      <c r="FD197" t="e">
        <f>IF(#REF!,"AAAAAHON258=",0)</f>
        <v>#REF!</v>
      </c>
      <c r="FE197" t="e">
        <f>IF(#REF!,"AAAAAHON26A=",0)</f>
        <v>#REF!</v>
      </c>
      <c r="FF197" t="e">
        <f>IF(#REF!,"AAAAAHON26E=",0)</f>
        <v>#REF!</v>
      </c>
      <c r="FG197" t="e">
        <f>IF(#REF!,"AAAAAHON26I=",0)</f>
        <v>#REF!</v>
      </c>
      <c r="FH197" t="e">
        <f>IF(#REF!,"AAAAAHON26M=",0)</f>
        <v>#REF!</v>
      </c>
      <c r="FI197" t="e">
        <f>IF(#REF!,"AAAAAHON26Q=",0)</f>
        <v>#REF!</v>
      </c>
      <c r="FJ197" t="e">
        <f>IF(#REF!,"AAAAAHON26U=",0)</f>
        <v>#REF!</v>
      </c>
      <c r="FK197" t="e">
        <f>IF(#REF!,"AAAAAHON26Y=",0)</f>
        <v>#REF!</v>
      </c>
      <c r="FL197" t="e">
        <f>IF(#REF!,"AAAAAHON26c=",0)</f>
        <v>#REF!</v>
      </c>
      <c r="FM197" t="e">
        <f>IF(#REF!,"AAAAAHON26g=",0)</f>
        <v>#REF!</v>
      </c>
      <c r="FN197" t="e">
        <f>IF(#REF!,"AAAAAHON26k=",0)</f>
        <v>#REF!</v>
      </c>
      <c r="FO197" t="e">
        <f>IF(#REF!,"AAAAAHON26o=",0)</f>
        <v>#REF!</v>
      </c>
      <c r="FP197" t="e">
        <f>IF(#REF!,"AAAAAHON26s=",0)</f>
        <v>#REF!</v>
      </c>
      <c r="FQ197" t="e">
        <f>IF(#REF!,"AAAAAHON26w=",0)</f>
        <v>#REF!</v>
      </c>
      <c r="FR197" t="e">
        <f>IF(#REF!,"AAAAAHON260=",0)</f>
        <v>#REF!</v>
      </c>
      <c r="FS197" t="e">
        <f>IF(#REF!,"AAAAAHON264=",0)</f>
        <v>#REF!</v>
      </c>
      <c r="FT197" t="e">
        <f>IF(#REF!,"AAAAAHON268=",0)</f>
        <v>#REF!</v>
      </c>
      <c r="FU197" t="e">
        <f>IF(#REF!,"AAAAAHON27A=",0)</f>
        <v>#REF!</v>
      </c>
      <c r="FV197" t="e">
        <f>IF(#REF!,"AAAAAHON27E=",0)</f>
        <v>#REF!</v>
      </c>
      <c r="FW197" t="e">
        <f>IF(#REF!,"AAAAAHON27I=",0)</f>
        <v>#REF!</v>
      </c>
      <c r="FX197" t="e">
        <f>IF(#REF!,"AAAAAHON27M=",0)</f>
        <v>#REF!</v>
      </c>
      <c r="FY197" t="e">
        <f>IF(#REF!,"AAAAAHON27Q=",0)</f>
        <v>#REF!</v>
      </c>
      <c r="FZ197" t="e">
        <f>IF(#REF!,"AAAAAHON27U=",0)</f>
        <v>#REF!</v>
      </c>
      <c r="GA197" t="e">
        <f>IF(#REF!,"AAAAAHON27Y=",0)</f>
        <v>#REF!</v>
      </c>
      <c r="GB197" t="e">
        <f>IF(#REF!,"AAAAAHON27c=",0)</f>
        <v>#REF!</v>
      </c>
      <c r="GC197" t="e">
        <f>IF(#REF!,"AAAAAHON27g=",0)</f>
        <v>#REF!</v>
      </c>
      <c r="GD197" t="e">
        <f>IF(#REF!,"AAAAAHON27k=",0)</f>
        <v>#REF!</v>
      </c>
      <c r="GE197" t="e">
        <f>IF(#REF!,"AAAAAHON27o=",0)</f>
        <v>#REF!</v>
      </c>
      <c r="GF197" t="e">
        <f>IF(#REF!,"AAAAAHON27s=",0)</f>
        <v>#REF!</v>
      </c>
      <c r="GG197" t="e">
        <f>IF(#REF!,"AAAAAHON27w=",0)</f>
        <v>#REF!</v>
      </c>
      <c r="GH197" t="e">
        <f>IF(#REF!,"AAAAAHON270=",0)</f>
        <v>#REF!</v>
      </c>
      <c r="GI197" t="e">
        <f>IF(#REF!,"AAAAAHON274=",0)</f>
        <v>#REF!</v>
      </c>
      <c r="GJ197" t="e">
        <f>IF(#REF!,"AAAAAHON278=",0)</f>
        <v>#REF!</v>
      </c>
      <c r="GK197" t="e">
        <f>IF(#REF!,"AAAAAHON28A=",0)</f>
        <v>#REF!</v>
      </c>
      <c r="GL197" t="e">
        <f>IF(#REF!,"AAAAAHON28E=",0)</f>
        <v>#REF!</v>
      </c>
      <c r="GM197" t="e">
        <f>IF(#REF!,"AAAAAHON28I=",0)</f>
        <v>#REF!</v>
      </c>
      <c r="GN197" t="e">
        <f>IF(#REF!,"AAAAAHON28M=",0)</f>
        <v>#REF!</v>
      </c>
      <c r="GO197" t="e">
        <f>IF(#REF!,"AAAAAHON28Q=",0)</f>
        <v>#REF!</v>
      </c>
      <c r="GP197" t="e">
        <f>IF(#REF!,"AAAAAHON28U=",0)</f>
        <v>#REF!</v>
      </c>
      <c r="GQ197" t="e">
        <f>IF(#REF!,"AAAAAHON28Y=",0)</f>
        <v>#REF!</v>
      </c>
      <c r="GR197" t="e">
        <f>IF(#REF!,"AAAAAHON28c=",0)</f>
        <v>#REF!</v>
      </c>
      <c r="GS197" t="e">
        <f>IF(#REF!,"AAAAAHON28g=",0)</f>
        <v>#REF!</v>
      </c>
      <c r="GT197" t="e">
        <f>IF(#REF!,"AAAAAHON28k=",0)</f>
        <v>#REF!</v>
      </c>
      <c r="GU197" t="e">
        <f>IF(#REF!,"AAAAAHON28o=",0)</f>
        <v>#REF!</v>
      </c>
      <c r="GV197" t="e">
        <f>IF(#REF!,"AAAAAHON28s=",0)</f>
        <v>#REF!</v>
      </c>
      <c r="GW197" t="e">
        <f>IF(#REF!,"AAAAAHON28w=",0)</f>
        <v>#REF!</v>
      </c>
      <c r="GX197" t="e">
        <f>IF(#REF!,"AAAAAHON280=",0)</f>
        <v>#REF!</v>
      </c>
      <c r="GY197" t="e">
        <f>IF(#REF!,"AAAAAHON284=",0)</f>
        <v>#REF!</v>
      </c>
      <c r="GZ197" t="e">
        <f>IF(#REF!,"AAAAAHON288=",0)</f>
        <v>#REF!</v>
      </c>
      <c r="HA197" t="e">
        <f>IF(#REF!,"AAAAAHON29A=",0)</f>
        <v>#REF!</v>
      </c>
      <c r="HB197" t="e">
        <f>IF(#REF!,"AAAAAHON29E=",0)</f>
        <v>#REF!</v>
      </c>
      <c r="HC197" t="e">
        <f>IF(#REF!,"AAAAAHON29I=",0)</f>
        <v>#REF!</v>
      </c>
      <c r="HD197" t="e">
        <f>IF(#REF!,"AAAAAHON29M=",0)</f>
        <v>#REF!</v>
      </c>
      <c r="HE197" t="e">
        <f>IF(#REF!,"AAAAAHON29Q=",0)</f>
        <v>#REF!</v>
      </c>
      <c r="HF197" t="e">
        <f>IF(#REF!,"AAAAAHON29U=",0)</f>
        <v>#REF!</v>
      </c>
      <c r="HG197" t="e">
        <f>IF(#REF!,"AAAAAHON29Y=",0)</f>
        <v>#REF!</v>
      </c>
      <c r="HH197" t="e">
        <f>IF(#REF!,"AAAAAHON29c=",0)</f>
        <v>#REF!</v>
      </c>
      <c r="HI197" t="e">
        <f>IF(#REF!,"AAAAAHON29g=",0)</f>
        <v>#REF!</v>
      </c>
      <c r="HJ197" t="e">
        <f>IF(#REF!,"AAAAAHON29k=",0)</f>
        <v>#REF!</v>
      </c>
      <c r="HK197" t="e">
        <f>IF(#REF!,"AAAAAHON29o=",0)</f>
        <v>#REF!</v>
      </c>
      <c r="HL197" t="e">
        <f>IF(#REF!,"AAAAAHON29s=",0)</f>
        <v>#REF!</v>
      </c>
      <c r="HM197" t="e">
        <f>IF(#REF!,"AAAAAHON29w=",0)</f>
        <v>#REF!</v>
      </c>
      <c r="HN197" t="e">
        <f>IF(#REF!,"AAAAAHON290=",0)</f>
        <v>#REF!</v>
      </c>
      <c r="HO197" t="e">
        <f>IF(#REF!,"AAAAAHON294=",0)</f>
        <v>#REF!</v>
      </c>
      <c r="HP197" t="e">
        <f>IF(#REF!,"AAAAAHON298=",0)</f>
        <v>#REF!</v>
      </c>
      <c r="HQ197" t="e">
        <f>IF(#REF!,"AAAAAHON2+A=",0)</f>
        <v>#REF!</v>
      </c>
      <c r="HR197" t="e">
        <f>IF(#REF!,"AAAAAHON2+E=",0)</f>
        <v>#REF!</v>
      </c>
      <c r="HS197" t="e">
        <f>IF(#REF!,"AAAAAHON2+I=",0)</f>
        <v>#REF!</v>
      </c>
      <c r="HT197" t="e">
        <f>IF(#REF!,"AAAAAHON2+M=",0)</f>
        <v>#REF!</v>
      </c>
      <c r="HU197" t="e">
        <f>IF(#REF!,"AAAAAHON2+Q=",0)</f>
        <v>#REF!</v>
      </c>
      <c r="HV197" t="e">
        <f>IF(#REF!,"AAAAAHON2+U=",0)</f>
        <v>#REF!</v>
      </c>
      <c r="HW197" t="e">
        <f>IF(#REF!,"AAAAAHON2+Y=",0)</f>
        <v>#REF!</v>
      </c>
      <c r="HX197" t="e">
        <f>IF(#REF!,"AAAAAHON2+c=",0)</f>
        <v>#REF!</v>
      </c>
      <c r="HY197" t="e">
        <f>IF(#REF!,"AAAAAHON2+g=",0)</f>
        <v>#REF!</v>
      </c>
      <c r="HZ197" t="e">
        <f>IF(#REF!,"AAAAAHON2+k=",0)</f>
        <v>#REF!</v>
      </c>
      <c r="IA197" t="e">
        <f>IF(#REF!,"AAAAAHON2+o=",0)</f>
        <v>#REF!</v>
      </c>
      <c r="IB197" t="e">
        <f>IF(#REF!,"AAAAAHON2+s=",0)</f>
        <v>#REF!</v>
      </c>
      <c r="IC197" t="e">
        <f>IF(#REF!,"AAAAAHON2+w=",0)</f>
        <v>#REF!</v>
      </c>
      <c r="ID197" t="e">
        <f>IF(#REF!,"AAAAAHON2+0=",0)</f>
        <v>#REF!</v>
      </c>
      <c r="IE197" t="e">
        <f>IF(#REF!,"AAAAAHON2+4=",0)</f>
        <v>#REF!</v>
      </c>
      <c r="IF197" t="e">
        <f>IF(#REF!,"AAAAAHON2+8=",0)</f>
        <v>#REF!</v>
      </c>
      <c r="IG197" t="e">
        <f>IF(#REF!,"AAAAAHON2/A=",0)</f>
        <v>#REF!</v>
      </c>
      <c r="IH197" t="e">
        <f>IF(#REF!,"AAAAAHON2/E=",0)</f>
        <v>#REF!</v>
      </c>
      <c r="II197" t="e">
        <f>IF(#REF!,"AAAAAHON2/I=",0)</f>
        <v>#REF!</v>
      </c>
      <c r="IJ197" t="e">
        <f>IF(#REF!,"AAAAAHON2/M=",0)</f>
        <v>#REF!</v>
      </c>
      <c r="IK197" t="e">
        <f>IF(#REF!,"AAAAAHON2/Q=",0)</f>
        <v>#REF!</v>
      </c>
      <c r="IL197" t="e">
        <f>IF(#REF!,"AAAAAHON2/U=",0)</f>
        <v>#REF!</v>
      </c>
      <c r="IM197" t="e">
        <f>IF(#REF!,"AAAAAHON2/Y=",0)</f>
        <v>#REF!</v>
      </c>
      <c r="IN197" t="e">
        <f>IF(#REF!,"AAAAAHON2/c=",0)</f>
        <v>#REF!</v>
      </c>
      <c r="IO197" t="e">
        <f>IF(#REF!,"AAAAAHON2/g=",0)</f>
        <v>#REF!</v>
      </c>
      <c r="IP197" t="e">
        <f>IF(#REF!,"AAAAAHON2/k=",0)</f>
        <v>#REF!</v>
      </c>
      <c r="IQ197" t="e">
        <f>IF(#REF!,"AAAAAHON2/o=",0)</f>
        <v>#REF!</v>
      </c>
      <c r="IR197" t="e">
        <f>IF(#REF!,"AAAAAHON2/s=",0)</f>
        <v>#REF!</v>
      </c>
      <c r="IS197" t="e">
        <f>IF(#REF!,"AAAAAHON2/w=",0)</f>
        <v>#REF!</v>
      </c>
      <c r="IT197" t="e">
        <f>IF(#REF!,"AAAAAHON2/0=",0)</f>
        <v>#REF!</v>
      </c>
      <c r="IU197" t="e">
        <f>IF(#REF!,"AAAAAHON2/4=",0)</f>
        <v>#REF!</v>
      </c>
      <c r="IV197" t="e">
        <f>IF(#REF!,"AAAAAHON2/8=",0)</f>
        <v>#REF!</v>
      </c>
    </row>
    <row r="198" spans="1:256">
      <c r="A198" t="e">
        <f>IF(#REF!,"AAAAAD9f/gA=",0)</f>
        <v>#REF!</v>
      </c>
      <c r="B198" t="e">
        <f>IF(#REF!,"AAAAAD9f/gE=",0)</f>
        <v>#REF!</v>
      </c>
      <c r="C198" t="e">
        <f>IF(#REF!,"AAAAAD9f/gI=",0)</f>
        <v>#REF!</v>
      </c>
      <c r="D198" t="e">
        <f>IF(#REF!,"AAAAAD9f/gM=",0)</f>
        <v>#REF!</v>
      </c>
      <c r="E198" t="e">
        <f>IF(#REF!,"AAAAAD9f/gQ=",0)</f>
        <v>#REF!</v>
      </c>
      <c r="F198" t="e">
        <f>IF(#REF!,"AAAAAD9f/gU=",0)</f>
        <v>#REF!</v>
      </c>
      <c r="G198" t="e">
        <f>IF(#REF!,"AAAAAD9f/gY=",0)</f>
        <v>#REF!</v>
      </c>
      <c r="H198" t="e">
        <f>IF(#REF!,"AAAAAD9f/gc=",0)</f>
        <v>#REF!</v>
      </c>
      <c r="I198" t="e">
        <f>IF(#REF!,"AAAAAD9f/gg=",0)</f>
        <v>#REF!</v>
      </c>
      <c r="J198" t="e">
        <f>IF(#REF!,"AAAAAD9f/gk=",0)</f>
        <v>#REF!</v>
      </c>
      <c r="K198" t="e">
        <f>IF(#REF!,"AAAAAD9f/go=",0)</f>
        <v>#REF!</v>
      </c>
      <c r="L198" t="e">
        <f>IF(#REF!,"AAAAAD9f/gs=",0)</f>
        <v>#REF!</v>
      </c>
      <c r="M198" t="e">
        <f>IF(#REF!,"AAAAAD9f/gw=",0)</f>
        <v>#REF!</v>
      </c>
      <c r="N198" t="e">
        <f>IF(#REF!,"AAAAAD9f/g0=",0)</f>
        <v>#REF!</v>
      </c>
      <c r="O198" t="e">
        <f>IF(#REF!,"AAAAAD9f/g4=",0)</f>
        <v>#REF!</v>
      </c>
      <c r="P198" t="e">
        <f>IF(#REF!,"AAAAAD9f/g8=",0)</f>
        <v>#REF!</v>
      </c>
      <c r="Q198" t="e">
        <f>IF(#REF!,"AAAAAD9f/hA=",0)</f>
        <v>#REF!</v>
      </c>
      <c r="R198" t="e">
        <f>IF(#REF!,"AAAAAD9f/hE=",0)</f>
        <v>#REF!</v>
      </c>
      <c r="S198" t="e">
        <f>IF(#REF!,"AAAAAD9f/hI=",0)</f>
        <v>#REF!</v>
      </c>
      <c r="T198" t="e">
        <f>IF(#REF!,"AAAAAD9f/hM=",0)</f>
        <v>#REF!</v>
      </c>
      <c r="U198" t="e">
        <f>IF(#REF!,"AAAAAD9f/hQ=",0)</f>
        <v>#REF!</v>
      </c>
      <c r="V198" t="e">
        <f>IF(#REF!,"AAAAAD9f/hU=",0)</f>
        <v>#REF!</v>
      </c>
      <c r="W198" t="e">
        <f>IF(#REF!,"AAAAAD9f/hY=",0)</f>
        <v>#REF!</v>
      </c>
      <c r="X198" t="e">
        <f>IF(#REF!,"AAAAAD9f/hc=",0)</f>
        <v>#REF!</v>
      </c>
      <c r="Y198" t="e">
        <f>IF(#REF!,"AAAAAD9f/hg=",0)</f>
        <v>#REF!</v>
      </c>
      <c r="Z198" t="e">
        <f>IF(#REF!,"AAAAAD9f/hk=",0)</f>
        <v>#REF!</v>
      </c>
      <c r="AA198" t="e">
        <f>IF(#REF!,"AAAAAD9f/ho=",0)</f>
        <v>#REF!</v>
      </c>
      <c r="AB198" t="e">
        <f>IF(#REF!,"AAAAAD9f/hs=",0)</f>
        <v>#REF!</v>
      </c>
      <c r="AC198" t="e">
        <f>IF(#REF!,"AAAAAD9f/hw=",0)</f>
        <v>#REF!</v>
      </c>
      <c r="AD198" t="e">
        <f>IF(#REF!,"AAAAAD9f/h0=",0)</f>
        <v>#REF!</v>
      </c>
      <c r="AE198" t="e">
        <f>IF(#REF!,"AAAAAD9f/h4=",0)</f>
        <v>#REF!</v>
      </c>
      <c r="AF198" t="e">
        <f>IF(#REF!,"AAAAAD9f/h8=",0)</f>
        <v>#REF!</v>
      </c>
      <c r="AG198" t="e">
        <f>IF(#REF!,"AAAAAD9f/iA=",0)</f>
        <v>#REF!</v>
      </c>
      <c r="AH198" t="e">
        <f>IF(#REF!,"AAAAAD9f/iE=",0)</f>
        <v>#REF!</v>
      </c>
      <c r="AI198" t="e">
        <f>IF(#REF!,"AAAAAD9f/iI=",0)</f>
        <v>#REF!</v>
      </c>
      <c r="AJ198" t="e">
        <f>IF(#REF!,"AAAAAD9f/iM=",0)</f>
        <v>#REF!</v>
      </c>
      <c r="AK198" t="e">
        <f>IF(#REF!,"AAAAAD9f/iQ=",0)</f>
        <v>#REF!</v>
      </c>
      <c r="AL198" t="e">
        <f>IF(#REF!,"AAAAAD9f/iU=",0)</f>
        <v>#REF!</v>
      </c>
      <c r="AM198" t="e">
        <f>IF(#REF!,"AAAAAD9f/iY=",0)</f>
        <v>#REF!</v>
      </c>
      <c r="AN198" t="e">
        <f>IF(#REF!,"AAAAAD9f/ic=",0)</f>
        <v>#REF!</v>
      </c>
      <c r="AO198" t="e">
        <f>IF(#REF!,"AAAAAD9f/ig=",0)</f>
        <v>#REF!</v>
      </c>
      <c r="AP198" t="e">
        <f>IF(#REF!,"AAAAAD9f/ik=",0)</f>
        <v>#REF!</v>
      </c>
      <c r="AQ198" t="e">
        <f>IF(#REF!,"AAAAAD9f/io=",0)</f>
        <v>#REF!</v>
      </c>
      <c r="AR198" t="e">
        <f>IF(#REF!,"AAAAAD9f/is=",0)</f>
        <v>#REF!</v>
      </c>
      <c r="AS198" t="e">
        <f>IF(#REF!,"AAAAAD9f/iw=",0)</f>
        <v>#REF!</v>
      </c>
      <c r="AT198" t="e">
        <f>IF(#REF!,"AAAAAD9f/i0=",0)</f>
        <v>#REF!</v>
      </c>
      <c r="AU198" t="e">
        <f>IF(#REF!,"AAAAAD9f/i4=",0)</f>
        <v>#REF!</v>
      </c>
      <c r="AV198" t="e">
        <f>IF(#REF!,"AAAAAD9f/i8=",0)</f>
        <v>#REF!</v>
      </c>
      <c r="AW198" t="e">
        <f>IF(#REF!,"AAAAAD9f/jA=",0)</f>
        <v>#REF!</v>
      </c>
      <c r="AX198" t="e">
        <f>IF(#REF!,"AAAAAD9f/jE=",0)</f>
        <v>#REF!</v>
      </c>
      <c r="AY198" t="e">
        <f>IF(#REF!,"AAAAAD9f/jI=",0)</f>
        <v>#REF!</v>
      </c>
      <c r="AZ198" t="e">
        <f>IF(#REF!,"AAAAAD9f/jM=",0)</f>
        <v>#REF!</v>
      </c>
      <c r="BA198" t="e">
        <f>IF(#REF!,"AAAAAD9f/jQ=",0)</f>
        <v>#REF!</v>
      </c>
      <c r="BB198" t="e">
        <f>IF(#REF!,"AAAAAD9f/jU=",0)</f>
        <v>#REF!</v>
      </c>
      <c r="BC198" t="e">
        <f>IF(#REF!,"AAAAAD9f/jY=",0)</f>
        <v>#REF!</v>
      </c>
      <c r="BD198" t="e">
        <f>IF(#REF!,"AAAAAD9f/jc=",0)</f>
        <v>#REF!</v>
      </c>
      <c r="BE198" t="e">
        <f>IF(#REF!,"AAAAAD9f/jg=",0)</f>
        <v>#REF!</v>
      </c>
      <c r="BF198" t="e">
        <f>IF(#REF!,"AAAAAD9f/jk=",0)</f>
        <v>#REF!</v>
      </c>
      <c r="BG198" t="e">
        <f>IF(#REF!,"AAAAAD9f/jo=",0)</f>
        <v>#REF!</v>
      </c>
      <c r="BH198" t="e">
        <f>IF(#REF!,"AAAAAD9f/js=",0)</f>
        <v>#REF!</v>
      </c>
      <c r="BI198" t="e">
        <f>IF(#REF!,"AAAAAD9f/jw=",0)</f>
        <v>#REF!</v>
      </c>
      <c r="BJ198" t="e">
        <f>IF(#REF!,"AAAAAD9f/j0=",0)</f>
        <v>#REF!</v>
      </c>
      <c r="BK198" t="e">
        <f>IF(#REF!,"AAAAAD9f/j4=",0)</f>
        <v>#REF!</v>
      </c>
      <c r="BL198" t="e">
        <f>IF(#REF!,"AAAAAD9f/j8=",0)</f>
        <v>#REF!</v>
      </c>
      <c r="BM198" t="e">
        <f>IF(#REF!,"AAAAAD9f/kA=",0)</f>
        <v>#REF!</v>
      </c>
      <c r="BN198" t="e">
        <f>IF(#REF!,"AAAAAD9f/kE=",0)</f>
        <v>#REF!</v>
      </c>
      <c r="BO198" t="e">
        <f>IF(#REF!,"AAAAAD9f/kI=",0)</f>
        <v>#REF!</v>
      </c>
      <c r="BP198" t="e">
        <f>IF(#REF!,"AAAAAD9f/kM=",0)</f>
        <v>#REF!</v>
      </c>
      <c r="BQ198" t="e">
        <f>IF(#REF!,"AAAAAD9f/kQ=",0)</f>
        <v>#REF!</v>
      </c>
      <c r="BR198" t="e">
        <f>IF(#REF!,"AAAAAD9f/kU=",0)</f>
        <v>#REF!</v>
      </c>
      <c r="BS198" t="e">
        <f>IF(#REF!,"AAAAAD9f/kY=",0)</f>
        <v>#REF!</v>
      </c>
      <c r="BT198" t="e">
        <f>IF(#REF!,"AAAAAD9f/kc=",0)</f>
        <v>#REF!</v>
      </c>
      <c r="BU198" t="e">
        <f>IF(#REF!,"AAAAAD9f/kg=",0)</f>
        <v>#REF!</v>
      </c>
      <c r="BV198" t="e">
        <f>IF(#REF!,"AAAAAD9f/kk=",0)</f>
        <v>#REF!</v>
      </c>
      <c r="BW198" t="e">
        <f>IF(#REF!,"AAAAAD9f/ko=",0)</f>
        <v>#REF!</v>
      </c>
      <c r="BX198" t="e">
        <f>IF(#REF!,"AAAAAD9f/ks=",0)</f>
        <v>#REF!</v>
      </c>
      <c r="BY198" t="e">
        <f>IF(#REF!,"AAAAAD9f/kw=",0)</f>
        <v>#REF!</v>
      </c>
      <c r="BZ198" t="e">
        <f>IF(#REF!,"AAAAAD9f/k0=",0)</f>
        <v>#REF!</v>
      </c>
      <c r="CA198" t="e">
        <f>IF(#REF!,"AAAAAD9f/k4=",0)</f>
        <v>#REF!</v>
      </c>
      <c r="CB198" t="e">
        <f>IF(#REF!,"AAAAAD9f/k8=",0)</f>
        <v>#REF!</v>
      </c>
      <c r="CC198" t="e">
        <f>IF(#REF!,"AAAAAD9f/lA=",0)</f>
        <v>#REF!</v>
      </c>
      <c r="CD198" t="e">
        <f>IF(#REF!,"AAAAAD9f/lE=",0)</f>
        <v>#REF!</v>
      </c>
      <c r="CE198" t="e">
        <f>IF(#REF!,"AAAAAD9f/lI=",0)</f>
        <v>#REF!</v>
      </c>
      <c r="CF198" t="e">
        <f>IF(#REF!,"AAAAAD9f/lM=",0)</f>
        <v>#REF!</v>
      </c>
      <c r="CG198" t="e">
        <f>IF(#REF!,"AAAAAD9f/lQ=",0)</f>
        <v>#REF!</v>
      </c>
      <c r="CH198" t="e">
        <f>IF(#REF!,"AAAAAD9f/lU=",0)</f>
        <v>#REF!</v>
      </c>
      <c r="CI198" t="e">
        <f>IF(#REF!,"AAAAAD9f/lY=",0)</f>
        <v>#REF!</v>
      </c>
      <c r="CJ198" t="e">
        <f>IF(#REF!,"AAAAAD9f/lc=",0)</f>
        <v>#REF!</v>
      </c>
      <c r="CK198" t="e">
        <f>IF(#REF!,"AAAAAD9f/lg=",0)</f>
        <v>#REF!</v>
      </c>
      <c r="CL198" t="e">
        <f>IF(#REF!,"AAAAAD9f/lk=",0)</f>
        <v>#REF!</v>
      </c>
      <c r="CM198" t="e">
        <f>IF(#REF!,"AAAAAD9f/lo=",0)</f>
        <v>#REF!</v>
      </c>
      <c r="CN198" t="e">
        <f>IF(#REF!,"AAAAAD9f/ls=",0)</f>
        <v>#REF!</v>
      </c>
      <c r="CO198" t="e">
        <f>IF(#REF!,"AAAAAD9f/lw=",0)</f>
        <v>#REF!</v>
      </c>
      <c r="CP198" t="e">
        <f>IF(#REF!,"AAAAAD9f/l0=",0)</f>
        <v>#REF!</v>
      </c>
      <c r="CQ198" t="e">
        <f>IF(#REF!,"AAAAAD9f/l4=",0)</f>
        <v>#REF!</v>
      </c>
      <c r="CR198" t="e">
        <f>IF(#REF!,"AAAAAD9f/l8=",0)</f>
        <v>#REF!</v>
      </c>
      <c r="CS198" t="e">
        <f>IF(#REF!,"AAAAAD9f/mA=",0)</f>
        <v>#REF!</v>
      </c>
      <c r="CT198" t="e">
        <f>IF(#REF!,"AAAAAD9f/mE=",0)</f>
        <v>#REF!</v>
      </c>
      <c r="CU198" t="e">
        <f>IF(#REF!,"AAAAAD9f/mI=",0)</f>
        <v>#REF!</v>
      </c>
      <c r="CV198" t="e">
        <f>IF(#REF!,"AAAAAD9f/mM=",0)</f>
        <v>#REF!</v>
      </c>
      <c r="CW198" t="e">
        <f>IF(#REF!,"AAAAAD9f/mQ=",0)</f>
        <v>#REF!</v>
      </c>
      <c r="CX198" t="e">
        <f>IF(#REF!,"AAAAAD9f/mU=",0)</f>
        <v>#REF!</v>
      </c>
      <c r="CY198" t="e">
        <f>IF(#REF!,"AAAAAD9f/mY=",0)</f>
        <v>#REF!</v>
      </c>
      <c r="CZ198" t="e">
        <f>IF(#REF!,"AAAAAD9f/mc=",0)</f>
        <v>#REF!</v>
      </c>
      <c r="DA198" t="e">
        <f>IF(#REF!,"AAAAAD9f/mg=",0)</f>
        <v>#REF!</v>
      </c>
      <c r="DB198" t="e">
        <f>IF(#REF!,"AAAAAD9f/mk=",0)</f>
        <v>#REF!</v>
      </c>
      <c r="DC198" t="e">
        <f>IF(#REF!,"AAAAAD9f/mo=",0)</f>
        <v>#REF!</v>
      </c>
      <c r="DD198" t="e">
        <f>IF(#REF!,"AAAAAD9f/ms=",0)</f>
        <v>#REF!</v>
      </c>
      <c r="DE198" t="e">
        <f>IF(#REF!,"AAAAAD9f/mw=",0)</f>
        <v>#REF!</v>
      </c>
      <c r="DF198" t="e">
        <f>IF(#REF!,"AAAAAD9f/m0=",0)</f>
        <v>#REF!</v>
      </c>
      <c r="DG198" t="e">
        <f>IF(#REF!,"AAAAAD9f/m4=",0)</f>
        <v>#REF!</v>
      </c>
      <c r="DH198" t="e">
        <f>IF(#REF!,"AAAAAD9f/m8=",0)</f>
        <v>#REF!</v>
      </c>
      <c r="DI198" t="e">
        <f>IF(#REF!,"AAAAAD9f/nA=",0)</f>
        <v>#REF!</v>
      </c>
      <c r="DJ198" t="e">
        <f>IF(#REF!,"AAAAAD9f/nE=",0)</f>
        <v>#REF!</v>
      </c>
      <c r="DK198" t="e">
        <f>IF(#REF!,"AAAAAD9f/nI=",0)</f>
        <v>#REF!</v>
      </c>
      <c r="DL198" t="e">
        <f>IF(#REF!,"AAAAAD9f/nM=",0)</f>
        <v>#REF!</v>
      </c>
      <c r="DM198" t="e">
        <f>IF(#REF!,"AAAAAD9f/nQ=",0)</f>
        <v>#REF!</v>
      </c>
      <c r="DN198" t="e">
        <f>IF(#REF!,"AAAAAD9f/nU=",0)</f>
        <v>#REF!</v>
      </c>
      <c r="DO198" t="e">
        <f>IF(#REF!,"AAAAAD9f/nY=",0)</f>
        <v>#REF!</v>
      </c>
      <c r="DP198" t="e">
        <f>IF(#REF!,"AAAAAD9f/nc=",0)</f>
        <v>#REF!</v>
      </c>
      <c r="DQ198" t="e">
        <f>IF(#REF!,"AAAAAD9f/ng=",0)</f>
        <v>#REF!</v>
      </c>
      <c r="DR198" t="e">
        <f>IF(#REF!,"AAAAAD9f/nk=",0)</f>
        <v>#REF!</v>
      </c>
      <c r="DS198" t="e">
        <f>IF(#REF!,"AAAAAD9f/no=",0)</f>
        <v>#REF!</v>
      </c>
      <c r="DT198" t="e">
        <f>IF(#REF!,"AAAAAD9f/ns=",0)</f>
        <v>#REF!</v>
      </c>
      <c r="DU198" t="e">
        <f>IF(#REF!,"AAAAAD9f/nw=",0)</f>
        <v>#REF!</v>
      </c>
      <c r="DV198" t="e">
        <f>IF(#REF!,"AAAAAD9f/n0=",0)</f>
        <v>#REF!</v>
      </c>
      <c r="DW198" t="e">
        <f>IF(#REF!,"AAAAAD9f/n4=",0)</f>
        <v>#REF!</v>
      </c>
      <c r="DX198" t="e">
        <f>IF(#REF!,"AAAAAD9f/n8=",0)</f>
        <v>#REF!</v>
      </c>
      <c r="DY198" t="e">
        <f>IF(#REF!,"AAAAAD9f/oA=",0)</f>
        <v>#REF!</v>
      </c>
      <c r="DZ198" t="e">
        <f>IF(#REF!,"AAAAAD9f/oE=",0)</f>
        <v>#REF!</v>
      </c>
      <c r="EA198" t="e">
        <f>IF(#REF!,"AAAAAD9f/oI=",0)</f>
        <v>#REF!</v>
      </c>
      <c r="EB198" t="e">
        <f>IF(#REF!,"AAAAAD9f/oM=",0)</f>
        <v>#REF!</v>
      </c>
      <c r="EC198" t="e">
        <f>IF(#REF!,"AAAAAD9f/oQ=",0)</f>
        <v>#REF!</v>
      </c>
      <c r="ED198" t="e">
        <f>IF(#REF!,"AAAAAD9f/oU=",0)</f>
        <v>#REF!</v>
      </c>
      <c r="EE198" t="e">
        <f>IF(#REF!,"AAAAAD9f/oY=",0)</f>
        <v>#REF!</v>
      </c>
      <c r="EF198" t="e">
        <f>IF(#REF!,"AAAAAD9f/oc=",0)</f>
        <v>#REF!</v>
      </c>
      <c r="EG198" t="e">
        <f>IF(#REF!,"AAAAAD9f/og=",0)</f>
        <v>#REF!</v>
      </c>
      <c r="EH198" t="e">
        <f>IF(#REF!,"AAAAAD9f/ok=",0)</f>
        <v>#REF!</v>
      </c>
      <c r="EI198" t="e">
        <f>IF(#REF!,"AAAAAD9f/oo=",0)</f>
        <v>#REF!</v>
      </c>
      <c r="EJ198" t="e">
        <f>IF(#REF!,"AAAAAD9f/os=",0)</f>
        <v>#REF!</v>
      </c>
      <c r="EK198" t="e">
        <f>IF(#REF!,"AAAAAD9f/ow=",0)</f>
        <v>#REF!</v>
      </c>
      <c r="EL198" t="e">
        <f>IF(#REF!,"AAAAAD9f/o0=",0)</f>
        <v>#REF!</v>
      </c>
      <c r="EM198" t="e">
        <f>IF(#REF!,"AAAAAD9f/o4=",0)</f>
        <v>#REF!</v>
      </c>
      <c r="EN198" t="e">
        <f>IF(#REF!,"AAAAAD9f/o8=",0)</f>
        <v>#REF!</v>
      </c>
      <c r="EO198" t="e">
        <f>IF(#REF!,"AAAAAD9f/pA=",0)</f>
        <v>#REF!</v>
      </c>
      <c r="EP198" t="e">
        <f>IF(#REF!,"AAAAAD9f/pE=",0)</f>
        <v>#REF!</v>
      </c>
      <c r="EQ198" t="e">
        <f>IF(#REF!,"AAAAAD9f/pI=",0)</f>
        <v>#REF!</v>
      </c>
      <c r="ER198" t="e">
        <f>IF(#REF!,"AAAAAD9f/pM=",0)</f>
        <v>#REF!</v>
      </c>
      <c r="ES198" t="e">
        <f>IF(#REF!,"AAAAAD9f/pQ=",0)</f>
        <v>#REF!</v>
      </c>
      <c r="ET198" t="e">
        <f>IF(#REF!,"AAAAAD9f/pU=",0)</f>
        <v>#REF!</v>
      </c>
      <c r="EU198" t="e">
        <f>IF(#REF!,"AAAAAD9f/pY=",0)</f>
        <v>#REF!</v>
      </c>
      <c r="EV198" t="e">
        <f>IF(#REF!,"AAAAAD9f/pc=",0)</f>
        <v>#REF!</v>
      </c>
      <c r="EW198" t="e">
        <f>IF(#REF!,"AAAAAD9f/pg=",0)</f>
        <v>#REF!</v>
      </c>
      <c r="EX198" t="e">
        <f>IF(#REF!,"AAAAAD9f/pk=",0)</f>
        <v>#REF!</v>
      </c>
      <c r="EY198" t="e">
        <f>IF(#REF!,"AAAAAD9f/po=",0)</f>
        <v>#REF!</v>
      </c>
      <c r="EZ198" t="e">
        <f>IF(#REF!,"AAAAAD9f/ps=",0)</f>
        <v>#REF!</v>
      </c>
      <c r="FA198" t="e">
        <f>IF(#REF!,"AAAAAD9f/pw=",0)</f>
        <v>#REF!</v>
      </c>
      <c r="FB198" t="e">
        <f>IF(#REF!,"AAAAAD9f/p0=",0)</f>
        <v>#REF!</v>
      </c>
      <c r="FC198" t="e">
        <f>IF(#REF!,"AAAAAD9f/p4=",0)</f>
        <v>#REF!</v>
      </c>
      <c r="FD198" t="e">
        <f>IF(#REF!,"AAAAAD9f/p8=",0)</f>
        <v>#REF!</v>
      </c>
      <c r="FE198" t="e">
        <f>IF(#REF!,"AAAAAD9f/qA=",0)</f>
        <v>#REF!</v>
      </c>
      <c r="FF198" t="e">
        <f>IF(#REF!,"AAAAAD9f/qE=",0)</f>
        <v>#REF!</v>
      </c>
      <c r="FG198" t="e">
        <f>IF(#REF!,"AAAAAD9f/qI=",0)</f>
        <v>#REF!</v>
      </c>
      <c r="FH198" t="e">
        <f>IF(#REF!,"AAAAAD9f/qM=",0)</f>
        <v>#REF!</v>
      </c>
      <c r="FI198" t="e">
        <f>IF(#REF!,"AAAAAD9f/qQ=",0)</f>
        <v>#REF!</v>
      </c>
      <c r="FJ198" t="e">
        <f>IF(#REF!,"AAAAAD9f/qU=",0)</f>
        <v>#REF!</v>
      </c>
      <c r="FK198" t="e">
        <f>IF(#REF!,"AAAAAD9f/qY=",0)</f>
        <v>#REF!</v>
      </c>
      <c r="FL198" t="e">
        <f>IF(#REF!,"AAAAAD9f/qc=",0)</f>
        <v>#REF!</v>
      </c>
      <c r="FM198" t="e">
        <f>IF(#REF!,"AAAAAD9f/qg=",0)</f>
        <v>#REF!</v>
      </c>
      <c r="FN198" t="e">
        <f>IF(#REF!,"AAAAAD9f/qk=",0)</f>
        <v>#REF!</v>
      </c>
      <c r="FO198" t="e">
        <f>IF(#REF!,"AAAAAD9f/qo=",0)</f>
        <v>#REF!</v>
      </c>
      <c r="FP198" t="e">
        <f>IF(#REF!,"AAAAAD9f/qs=",0)</f>
        <v>#REF!</v>
      </c>
      <c r="FQ198" t="e">
        <f>IF(#REF!,"AAAAAD9f/qw=",0)</f>
        <v>#REF!</v>
      </c>
      <c r="FR198" t="e">
        <f>IF(#REF!,"AAAAAD9f/q0=",0)</f>
        <v>#REF!</v>
      </c>
      <c r="FS198" t="e">
        <f>IF(#REF!,"AAAAAD9f/q4=",0)</f>
        <v>#REF!</v>
      </c>
      <c r="FT198" t="e">
        <f>IF(#REF!,"AAAAAD9f/q8=",0)</f>
        <v>#REF!</v>
      </c>
      <c r="FU198" t="e">
        <f>IF(#REF!,"AAAAAD9f/rA=",0)</f>
        <v>#REF!</v>
      </c>
      <c r="FV198" t="e">
        <f>IF(#REF!,"AAAAAD9f/rE=",0)</f>
        <v>#REF!</v>
      </c>
      <c r="FW198" t="e">
        <f>IF(#REF!,"AAAAAD9f/rI=",0)</f>
        <v>#REF!</v>
      </c>
      <c r="FX198" t="e">
        <f>IF(#REF!,"AAAAAD9f/rM=",0)</f>
        <v>#REF!</v>
      </c>
      <c r="FY198" t="e">
        <f>IF(#REF!,"AAAAAD9f/rQ=",0)</f>
        <v>#REF!</v>
      </c>
      <c r="FZ198" t="e">
        <f>IF(#REF!,"AAAAAD9f/rU=",0)</f>
        <v>#REF!</v>
      </c>
      <c r="GA198" t="e">
        <f>IF(#REF!,"AAAAAD9f/rY=",0)</f>
        <v>#REF!</v>
      </c>
      <c r="GB198" t="e">
        <f>IF(#REF!,"AAAAAD9f/rc=",0)</f>
        <v>#REF!</v>
      </c>
      <c r="GC198" t="e">
        <f>IF(#REF!,"AAAAAD9f/rg=",0)</f>
        <v>#REF!</v>
      </c>
      <c r="GD198" t="e">
        <f>IF(#REF!,"AAAAAD9f/rk=",0)</f>
        <v>#REF!</v>
      </c>
      <c r="GE198" t="e">
        <f>IF(#REF!,"AAAAAD9f/ro=",0)</f>
        <v>#REF!</v>
      </c>
      <c r="GF198" t="e">
        <f>IF(#REF!,"AAAAAD9f/rs=",0)</f>
        <v>#REF!</v>
      </c>
      <c r="GG198" t="e">
        <f>IF(#REF!,"AAAAAD9f/rw=",0)</f>
        <v>#REF!</v>
      </c>
      <c r="GH198" t="e">
        <f>IF(#REF!,"AAAAAD9f/r0=",0)</f>
        <v>#REF!</v>
      </c>
      <c r="GI198" t="e">
        <f>IF(#REF!,"AAAAAD9f/r4=",0)</f>
        <v>#REF!</v>
      </c>
      <c r="GJ198" t="e">
        <f>IF(#REF!,"AAAAAD9f/r8=",0)</f>
        <v>#REF!</v>
      </c>
      <c r="GK198" t="e">
        <f>IF(#REF!,"AAAAAD9f/sA=",0)</f>
        <v>#REF!</v>
      </c>
      <c r="GL198" t="e">
        <f>IF(#REF!,"AAAAAD9f/sE=",0)</f>
        <v>#REF!</v>
      </c>
      <c r="GM198" t="e">
        <f>IF(#REF!,"AAAAAD9f/sI=",0)</f>
        <v>#REF!</v>
      </c>
      <c r="GN198" t="e">
        <f>IF(#REF!,"AAAAAD9f/sM=",0)</f>
        <v>#REF!</v>
      </c>
      <c r="GO198" t="e">
        <f>IF(#REF!,"AAAAAD9f/sQ=",0)</f>
        <v>#REF!</v>
      </c>
      <c r="GP198" t="e">
        <f>IF(#REF!,"AAAAAD9f/sU=",0)</f>
        <v>#REF!</v>
      </c>
      <c r="GQ198" t="e">
        <f>IF(#REF!,"AAAAAD9f/sY=",0)</f>
        <v>#REF!</v>
      </c>
      <c r="GR198" t="e">
        <f>IF(#REF!,"AAAAAD9f/sc=",0)</f>
        <v>#REF!</v>
      </c>
      <c r="GS198" t="e">
        <f>IF(#REF!,"AAAAAD9f/sg=",0)</f>
        <v>#REF!</v>
      </c>
      <c r="GT198" t="e">
        <f>IF(#REF!,"AAAAAD9f/sk=",0)</f>
        <v>#REF!</v>
      </c>
      <c r="GU198" t="e">
        <f>IF(#REF!,"AAAAAD9f/so=",0)</f>
        <v>#REF!</v>
      </c>
      <c r="GV198" t="e">
        <f>IF(#REF!,"AAAAAD9f/ss=",0)</f>
        <v>#REF!</v>
      </c>
      <c r="GW198" t="e">
        <f>IF(#REF!,"AAAAAD9f/sw=",0)</f>
        <v>#REF!</v>
      </c>
      <c r="GX198" t="e">
        <f>IF(#REF!,"AAAAAD9f/s0=",0)</f>
        <v>#REF!</v>
      </c>
      <c r="GY198" t="e">
        <f>IF(#REF!,"AAAAAD9f/s4=",0)</f>
        <v>#REF!</v>
      </c>
      <c r="GZ198" t="e">
        <f>IF(#REF!,"AAAAAD9f/s8=",0)</f>
        <v>#REF!</v>
      </c>
      <c r="HA198" t="e">
        <f>IF(#REF!,"AAAAAD9f/tA=",0)</f>
        <v>#REF!</v>
      </c>
      <c r="HB198" t="e">
        <f>IF(#REF!,"AAAAAD9f/tE=",0)</f>
        <v>#REF!</v>
      </c>
      <c r="HC198" t="e">
        <f>IF(#REF!,"AAAAAD9f/tI=",0)</f>
        <v>#REF!</v>
      </c>
      <c r="HD198" t="e">
        <f>IF(#REF!,"AAAAAD9f/tM=",0)</f>
        <v>#REF!</v>
      </c>
      <c r="HE198" t="e">
        <f>IF(#REF!,"AAAAAD9f/tQ=",0)</f>
        <v>#REF!</v>
      </c>
      <c r="HF198" t="e">
        <f>IF(#REF!,"AAAAAD9f/tU=",0)</f>
        <v>#REF!</v>
      </c>
      <c r="HG198" t="e">
        <f>IF(#REF!,"AAAAAD9f/tY=",0)</f>
        <v>#REF!</v>
      </c>
      <c r="HH198" t="e">
        <f>IF(#REF!,"AAAAAD9f/tc=",0)</f>
        <v>#REF!</v>
      </c>
      <c r="HI198" t="e">
        <f>IF(#REF!,"AAAAAD9f/tg=",0)</f>
        <v>#REF!</v>
      </c>
      <c r="HJ198" t="e">
        <f>IF(#REF!,"AAAAAD9f/tk=",0)</f>
        <v>#REF!</v>
      </c>
      <c r="HK198" t="e">
        <f>IF(#REF!,"AAAAAD9f/to=",0)</f>
        <v>#REF!</v>
      </c>
      <c r="HL198" t="e">
        <f>IF(#REF!,"AAAAAD9f/ts=",0)</f>
        <v>#REF!</v>
      </c>
      <c r="HM198" t="e">
        <f>IF(#REF!,"AAAAAD9f/tw=",0)</f>
        <v>#REF!</v>
      </c>
      <c r="HN198" t="e">
        <f>IF(#REF!,"AAAAAD9f/t0=",0)</f>
        <v>#REF!</v>
      </c>
      <c r="HO198" t="e">
        <f>IF(#REF!,"AAAAAD9f/t4=",0)</f>
        <v>#REF!</v>
      </c>
      <c r="HP198" t="e">
        <f>IF(#REF!,"AAAAAD9f/t8=",0)</f>
        <v>#REF!</v>
      </c>
      <c r="HQ198" t="e">
        <f>IF(#REF!,"AAAAAD9f/uA=",0)</f>
        <v>#REF!</v>
      </c>
      <c r="HR198" t="e">
        <f>IF(#REF!,"AAAAAD9f/uE=",0)</f>
        <v>#REF!</v>
      </c>
      <c r="HS198" t="e">
        <f>IF(#REF!,"AAAAAD9f/uI=",0)</f>
        <v>#REF!</v>
      </c>
      <c r="HT198" t="e">
        <f>IF(#REF!,"AAAAAD9f/uM=",0)</f>
        <v>#REF!</v>
      </c>
      <c r="HU198" t="e">
        <f>IF(#REF!,"AAAAAD9f/uQ=",0)</f>
        <v>#REF!</v>
      </c>
      <c r="HV198" t="e">
        <f>IF(#REF!,"AAAAAD9f/uU=",0)</f>
        <v>#REF!</v>
      </c>
      <c r="HW198" t="e">
        <f>IF(#REF!,"AAAAAD9f/uY=",0)</f>
        <v>#REF!</v>
      </c>
      <c r="HX198" t="e">
        <f>IF(#REF!,"AAAAAD9f/uc=",0)</f>
        <v>#REF!</v>
      </c>
      <c r="HY198" t="e">
        <f>IF(#REF!,"AAAAAD9f/ug=",0)</f>
        <v>#REF!</v>
      </c>
      <c r="HZ198" t="e">
        <f>IF(#REF!,"AAAAAD9f/uk=",0)</f>
        <v>#REF!</v>
      </c>
      <c r="IA198" t="e">
        <f>IF(#REF!,"AAAAAD9f/uo=",0)</f>
        <v>#REF!</v>
      </c>
      <c r="IB198" t="e">
        <f>IF(#REF!,"AAAAAD9f/us=",0)</f>
        <v>#REF!</v>
      </c>
      <c r="IC198" t="e">
        <f>IF(#REF!,"AAAAAD9f/uw=",0)</f>
        <v>#REF!</v>
      </c>
      <c r="ID198" t="e">
        <f>IF(#REF!,"AAAAAD9f/u0=",0)</f>
        <v>#REF!</v>
      </c>
      <c r="IE198" t="e">
        <f>IF(#REF!,"AAAAAD9f/u4=",0)</f>
        <v>#REF!</v>
      </c>
      <c r="IF198" t="e">
        <f>IF(#REF!,"AAAAAD9f/u8=",0)</f>
        <v>#REF!</v>
      </c>
      <c r="IG198" t="e">
        <f>IF(#REF!,"AAAAAD9f/vA=",0)</f>
        <v>#REF!</v>
      </c>
      <c r="IH198" t="e">
        <f>IF(#REF!,"AAAAAD9f/vE=",0)</f>
        <v>#REF!</v>
      </c>
      <c r="II198" t="e">
        <f>IF(#REF!,"AAAAAD9f/vI=",0)</f>
        <v>#REF!</v>
      </c>
      <c r="IJ198" t="e">
        <f>IF(#REF!,"AAAAAD9f/vM=",0)</f>
        <v>#REF!</v>
      </c>
      <c r="IK198" t="e">
        <f>IF(#REF!,"AAAAAD9f/vQ=",0)</f>
        <v>#REF!</v>
      </c>
      <c r="IL198" t="e">
        <f>IF(#REF!,"AAAAAD9f/vU=",0)</f>
        <v>#REF!</v>
      </c>
      <c r="IM198" t="e">
        <f>IF(#REF!,"AAAAAD9f/vY=",0)</f>
        <v>#REF!</v>
      </c>
      <c r="IN198" t="e">
        <f>IF(#REF!,"AAAAAD9f/vc=",0)</f>
        <v>#REF!</v>
      </c>
      <c r="IO198" t="e">
        <f>IF(#REF!,"AAAAAD9f/vg=",0)</f>
        <v>#REF!</v>
      </c>
      <c r="IP198" t="e">
        <f>IF(#REF!,"AAAAAD9f/vk=",0)</f>
        <v>#REF!</v>
      </c>
      <c r="IQ198" t="e">
        <f>IF(#REF!,"AAAAAD9f/vo=",0)</f>
        <v>#REF!</v>
      </c>
      <c r="IR198" t="e">
        <f>IF(#REF!,"AAAAAD9f/vs=",0)</f>
        <v>#REF!</v>
      </c>
      <c r="IS198" t="e">
        <f>IF(#REF!,"AAAAAD9f/vw=",0)</f>
        <v>#REF!</v>
      </c>
      <c r="IT198" t="e">
        <f>IF(#REF!,"AAAAAD9f/v0=",0)</f>
        <v>#REF!</v>
      </c>
      <c r="IU198" t="e">
        <f>IF(#REF!,"AAAAAD9f/v4=",0)</f>
        <v>#REF!</v>
      </c>
      <c r="IV198" t="e">
        <f>IF(#REF!,"AAAAAD9f/v8=",0)</f>
        <v>#REF!</v>
      </c>
    </row>
    <row r="199" spans="1:256">
      <c r="A199" t="e">
        <f>IF(#REF!,"AAAAAD9u3gA=",0)</f>
        <v>#REF!</v>
      </c>
      <c r="B199" t="e">
        <f>IF(#REF!,"AAAAAD9u3gE=",0)</f>
        <v>#REF!</v>
      </c>
      <c r="C199" t="e">
        <f>IF(#REF!,"AAAAAD9u3gI=",0)</f>
        <v>#REF!</v>
      </c>
      <c r="D199" t="e">
        <f>IF(#REF!,"AAAAAD9u3gM=",0)</f>
        <v>#REF!</v>
      </c>
      <c r="E199" t="e">
        <f>IF(#REF!,"AAAAAD9u3gQ=",0)</f>
        <v>#REF!</v>
      </c>
      <c r="F199" t="e">
        <f>IF(#REF!,"AAAAAD9u3gU=",0)</f>
        <v>#REF!</v>
      </c>
      <c r="G199" t="e">
        <f>IF(#REF!,"AAAAAD9u3gY=",0)</f>
        <v>#REF!</v>
      </c>
      <c r="H199" t="e">
        <f>IF(#REF!,"AAAAAD9u3gc=",0)</f>
        <v>#REF!</v>
      </c>
      <c r="I199" t="e">
        <f>IF(#REF!,"AAAAAD9u3gg=",0)</f>
        <v>#REF!</v>
      </c>
      <c r="J199" t="e">
        <f>IF(#REF!,"AAAAAD9u3gk=",0)</f>
        <v>#REF!</v>
      </c>
      <c r="K199" t="e">
        <f>IF(#REF!,"AAAAAD9u3go=",0)</f>
        <v>#REF!</v>
      </c>
      <c r="L199" t="e">
        <f>IF(#REF!,"AAAAAD9u3gs=",0)</f>
        <v>#REF!</v>
      </c>
      <c r="M199" t="e">
        <f>IF(#REF!,"AAAAAD9u3gw=",0)</f>
        <v>#REF!</v>
      </c>
      <c r="N199" t="e">
        <f>IF(#REF!,"AAAAAD9u3g0=",0)</f>
        <v>#REF!</v>
      </c>
      <c r="O199" t="e">
        <f>IF(#REF!,"AAAAAD9u3g4=",0)</f>
        <v>#REF!</v>
      </c>
      <c r="P199" t="e">
        <f>IF(#REF!,"AAAAAD9u3g8=",0)</f>
        <v>#REF!</v>
      </c>
      <c r="Q199" t="e">
        <f>IF(#REF!,"AAAAAD9u3hA=",0)</f>
        <v>#REF!</v>
      </c>
      <c r="R199" t="e">
        <f>IF(#REF!,"AAAAAD9u3hE=",0)</f>
        <v>#REF!</v>
      </c>
      <c r="S199" t="e">
        <f>IF(#REF!,"AAAAAD9u3hI=",0)</f>
        <v>#REF!</v>
      </c>
      <c r="T199" t="e">
        <f>IF(#REF!,"AAAAAD9u3hM=",0)</f>
        <v>#REF!</v>
      </c>
      <c r="U199" t="e">
        <f>IF(#REF!,"AAAAAD9u3hQ=",0)</f>
        <v>#REF!</v>
      </c>
      <c r="V199" t="e">
        <f>IF(#REF!,"AAAAAD9u3hU=",0)</f>
        <v>#REF!</v>
      </c>
      <c r="W199" t="e">
        <f>IF(#REF!,"AAAAAD9u3hY=",0)</f>
        <v>#REF!</v>
      </c>
      <c r="X199" t="e">
        <f>IF(#REF!,"AAAAAD9u3hc=",0)</f>
        <v>#REF!</v>
      </c>
      <c r="Y199" t="e">
        <f>IF(#REF!,"AAAAAD9u3hg=",0)</f>
        <v>#REF!</v>
      </c>
      <c r="Z199" t="e">
        <f>IF(#REF!,"AAAAAD9u3hk=",0)</f>
        <v>#REF!</v>
      </c>
      <c r="AA199" t="e">
        <f>IF(#REF!,"AAAAAD9u3ho=",0)</f>
        <v>#REF!</v>
      </c>
      <c r="AB199" t="e">
        <f>IF(#REF!,"AAAAAD9u3hs=",0)</f>
        <v>#REF!</v>
      </c>
      <c r="AC199" t="e">
        <f>IF(#REF!,"AAAAAD9u3hw=",0)</f>
        <v>#REF!</v>
      </c>
      <c r="AD199" t="e">
        <f>IF(#REF!,"AAAAAD9u3h0=",0)</f>
        <v>#REF!</v>
      </c>
      <c r="AE199" t="e">
        <f>IF(#REF!,"AAAAAD9u3h4=",0)</f>
        <v>#REF!</v>
      </c>
      <c r="AF199" t="e">
        <f>IF(#REF!,"AAAAAD9u3h8=",0)</f>
        <v>#REF!</v>
      </c>
      <c r="AG199" t="e">
        <f>IF(#REF!,"AAAAAD9u3iA=",0)</f>
        <v>#REF!</v>
      </c>
      <c r="AH199" t="e">
        <f>IF(#REF!,"AAAAAD9u3iE=",0)</f>
        <v>#REF!</v>
      </c>
      <c r="AI199" t="e">
        <f>IF(#REF!,"AAAAAD9u3iI=",0)</f>
        <v>#REF!</v>
      </c>
      <c r="AJ199" t="e">
        <f>IF(#REF!,"AAAAAD9u3iM=",0)</f>
        <v>#REF!</v>
      </c>
      <c r="AK199" t="e">
        <f>IF(#REF!,"AAAAAD9u3iQ=",0)</f>
        <v>#REF!</v>
      </c>
      <c r="AL199" t="e">
        <f>IF(#REF!,"AAAAAD9u3iU=",0)</f>
        <v>#REF!</v>
      </c>
      <c r="AM199" t="e">
        <f>IF(#REF!,"AAAAAD9u3iY=",0)</f>
        <v>#REF!</v>
      </c>
      <c r="AN199" t="e">
        <f>IF(#REF!,"AAAAAD9u3ic=",0)</f>
        <v>#REF!</v>
      </c>
      <c r="AO199" t="e">
        <f>IF(#REF!,"AAAAAD9u3ig=",0)</f>
        <v>#REF!</v>
      </c>
      <c r="AP199" t="e">
        <f>IF(#REF!,"AAAAAD9u3ik=",0)</f>
        <v>#REF!</v>
      </c>
      <c r="AQ199" t="e">
        <f>IF(#REF!,"AAAAAD9u3io=",0)</f>
        <v>#REF!</v>
      </c>
      <c r="AR199" t="e">
        <f>IF(#REF!,"AAAAAD9u3is=",0)</f>
        <v>#REF!</v>
      </c>
      <c r="AS199" t="e">
        <f>IF(#REF!,"AAAAAD9u3iw=",0)</f>
        <v>#REF!</v>
      </c>
      <c r="AT199" t="e">
        <f>IF(#REF!,"AAAAAD9u3i0=",0)</f>
        <v>#REF!</v>
      </c>
      <c r="AU199" t="e">
        <f>IF(#REF!,"AAAAAD9u3i4=",0)</f>
        <v>#REF!</v>
      </c>
      <c r="AV199" t="e">
        <f>IF(#REF!,"AAAAAD9u3i8=",0)</f>
        <v>#REF!</v>
      </c>
      <c r="AW199" t="e">
        <f>IF(#REF!,"AAAAAD9u3jA=",0)</f>
        <v>#REF!</v>
      </c>
      <c r="AX199" t="e">
        <f>IF(#REF!,"AAAAAD9u3jE=",0)</f>
        <v>#REF!</v>
      </c>
      <c r="AY199" t="e">
        <f>IF(#REF!,"AAAAAD9u3jI=",0)</f>
        <v>#REF!</v>
      </c>
      <c r="AZ199" t="e">
        <f>IF(#REF!,"AAAAAD9u3jM=",0)</f>
        <v>#REF!</v>
      </c>
      <c r="BA199" t="e">
        <f>IF(#REF!,"AAAAAD9u3jQ=",0)</f>
        <v>#REF!</v>
      </c>
      <c r="BB199" t="e">
        <f>IF(#REF!,"AAAAAD9u3jU=",0)</f>
        <v>#REF!</v>
      </c>
      <c r="BC199" t="e">
        <f>IF(#REF!,"AAAAAD9u3jY=",0)</f>
        <v>#REF!</v>
      </c>
      <c r="BD199" t="e">
        <f>IF(#REF!,"AAAAAD9u3jc=",0)</f>
        <v>#REF!</v>
      </c>
      <c r="BE199" t="e">
        <f>IF(#REF!,"AAAAAD9u3jg=",0)</f>
        <v>#REF!</v>
      </c>
      <c r="BF199" t="e">
        <f>IF(#REF!,"AAAAAD9u3jk=",0)</f>
        <v>#REF!</v>
      </c>
      <c r="BG199" t="e">
        <f>IF(#REF!,"AAAAAD9u3jo=",0)</f>
        <v>#REF!</v>
      </c>
      <c r="BH199" t="e">
        <f>IF(#REF!,"AAAAAD9u3js=",0)</f>
        <v>#REF!</v>
      </c>
      <c r="BI199" t="e">
        <f>IF(#REF!,"AAAAAD9u3jw=",0)</f>
        <v>#REF!</v>
      </c>
      <c r="BJ199" t="e">
        <f>IF(#REF!,"AAAAAD9u3j0=",0)</f>
        <v>#REF!</v>
      </c>
      <c r="BK199" t="e">
        <f>IF(#REF!,"AAAAAD9u3j4=",0)</f>
        <v>#REF!</v>
      </c>
      <c r="BL199" t="e">
        <f>IF(#REF!,"AAAAAD9u3j8=",0)</f>
        <v>#REF!</v>
      </c>
      <c r="BM199" t="e">
        <f>IF(#REF!,"AAAAAD9u3kA=",0)</f>
        <v>#REF!</v>
      </c>
      <c r="BN199" t="e">
        <f>IF(#REF!,"AAAAAD9u3kE=",0)</f>
        <v>#REF!</v>
      </c>
      <c r="BO199" t="e">
        <f>IF(#REF!,"AAAAAD9u3kI=",0)</f>
        <v>#REF!</v>
      </c>
      <c r="BP199" t="e">
        <f>IF(#REF!,"AAAAAD9u3kM=",0)</f>
        <v>#REF!</v>
      </c>
      <c r="BQ199" t="e">
        <f>IF(#REF!,"AAAAAD9u3kQ=",0)</f>
        <v>#REF!</v>
      </c>
      <c r="BR199" t="e">
        <f>IF(#REF!,"AAAAAD9u3kU=",0)</f>
        <v>#REF!</v>
      </c>
      <c r="BS199" t="e">
        <f>IF(#REF!,"AAAAAD9u3kY=",0)</f>
        <v>#REF!</v>
      </c>
      <c r="BT199" t="e">
        <f>IF(#REF!,"AAAAAD9u3kc=",0)</f>
        <v>#REF!</v>
      </c>
      <c r="BU199" t="e">
        <f>IF(#REF!,"AAAAAD9u3kg=",0)</f>
        <v>#REF!</v>
      </c>
      <c r="BV199" t="e">
        <f>IF(#REF!,"AAAAAD9u3kk=",0)</f>
        <v>#REF!</v>
      </c>
      <c r="BW199" t="e">
        <f>IF(#REF!,"AAAAAD9u3ko=",0)</f>
        <v>#REF!</v>
      </c>
      <c r="BX199" t="e">
        <f>IF(#REF!,"AAAAAD9u3ks=",0)</f>
        <v>#REF!</v>
      </c>
      <c r="BY199" t="e">
        <f>IF(#REF!,"AAAAAD9u3kw=",0)</f>
        <v>#REF!</v>
      </c>
      <c r="BZ199" t="e">
        <f>IF(#REF!,"AAAAAD9u3k0=",0)</f>
        <v>#REF!</v>
      </c>
      <c r="CA199" t="e">
        <f>IF(#REF!,"AAAAAD9u3k4=",0)</f>
        <v>#REF!</v>
      </c>
      <c r="CB199" t="e">
        <f>IF(#REF!,"AAAAAD9u3k8=",0)</f>
        <v>#REF!</v>
      </c>
      <c r="CC199" t="e">
        <f>IF(#REF!,"AAAAAD9u3lA=",0)</f>
        <v>#REF!</v>
      </c>
      <c r="CD199" t="e">
        <f>IF(#REF!,"AAAAAD9u3lE=",0)</f>
        <v>#REF!</v>
      </c>
      <c r="CE199" t="e">
        <f>IF(#REF!,"AAAAAD9u3lI=",0)</f>
        <v>#REF!</v>
      </c>
      <c r="CF199" t="e">
        <f>IF(#REF!,"AAAAAD9u3lM=",0)</f>
        <v>#REF!</v>
      </c>
      <c r="CG199" t="e">
        <f>IF(#REF!,"AAAAAD9u3lQ=",0)</f>
        <v>#REF!</v>
      </c>
      <c r="CH199" t="e">
        <f>IF(#REF!,"AAAAAD9u3lU=",0)</f>
        <v>#REF!</v>
      </c>
      <c r="CI199" t="e">
        <f>IF(#REF!,"AAAAAD9u3lY=",0)</f>
        <v>#REF!</v>
      </c>
      <c r="CJ199" t="e">
        <f>IF(#REF!,"AAAAAD9u3lc=",0)</f>
        <v>#REF!</v>
      </c>
      <c r="CK199" t="e">
        <f>IF(#REF!,"AAAAAD9u3lg=",0)</f>
        <v>#REF!</v>
      </c>
      <c r="CL199" t="e">
        <f>IF(#REF!,"AAAAAD9u3lk=",0)</f>
        <v>#REF!</v>
      </c>
      <c r="CM199" t="e">
        <f>IF(#REF!,"AAAAAD9u3lo=",0)</f>
        <v>#REF!</v>
      </c>
      <c r="CN199" t="e">
        <f>IF(#REF!,"AAAAAD9u3ls=",0)</f>
        <v>#REF!</v>
      </c>
      <c r="CO199" t="e">
        <f>IF(#REF!,"AAAAAD9u3lw=",0)</f>
        <v>#REF!</v>
      </c>
      <c r="CP199" t="e">
        <f>IF(#REF!,"AAAAAD9u3l0=",0)</f>
        <v>#REF!</v>
      </c>
      <c r="CQ199" t="e">
        <f>IF(#REF!,"AAAAAD9u3l4=",0)</f>
        <v>#REF!</v>
      </c>
      <c r="CR199" t="e">
        <f>IF(#REF!,"AAAAAD9u3l8=",0)</f>
        <v>#REF!</v>
      </c>
      <c r="CS199" t="e">
        <f>IF(#REF!,"AAAAAD9u3mA=",0)</f>
        <v>#REF!</v>
      </c>
      <c r="CT199" t="e">
        <f>IF(#REF!,"AAAAAD9u3mE=",0)</f>
        <v>#REF!</v>
      </c>
      <c r="CU199" t="e">
        <f>IF(#REF!,"AAAAAD9u3mI=",0)</f>
        <v>#REF!</v>
      </c>
      <c r="CV199" t="e">
        <f>IF(#REF!,"AAAAAD9u3mM=",0)</f>
        <v>#REF!</v>
      </c>
      <c r="CW199" t="e">
        <f>IF(#REF!,"AAAAAD9u3mQ=",0)</f>
        <v>#REF!</v>
      </c>
      <c r="CX199" t="e">
        <f>IF(#REF!,"AAAAAD9u3mU=",0)</f>
        <v>#REF!</v>
      </c>
      <c r="CY199" t="e">
        <f>IF(#REF!,"AAAAAD9u3mY=",0)</f>
        <v>#REF!</v>
      </c>
      <c r="CZ199" t="e">
        <f>IF(#REF!,"AAAAAD9u3mc=",0)</f>
        <v>#REF!</v>
      </c>
      <c r="DA199" t="e">
        <f>IF(#REF!,"AAAAAD9u3mg=",0)</f>
        <v>#REF!</v>
      </c>
      <c r="DB199" t="e">
        <f>IF(#REF!,"AAAAAD9u3mk=",0)</f>
        <v>#REF!</v>
      </c>
      <c r="DC199" t="e">
        <f>IF(#REF!,"AAAAAD9u3mo=",0)</f>
        <v>#REF!</v>
      </c>
      <c r="DD199" t="e">
        <f>IF(#REF!,"AAAAAD9u3ms=",0)</f>
        <v>#REF!</v>
      </c>
      <c r="DE199" t="e">
        <f>IF(#REF!,"AAAAAD9u3mw=",0)</f>
        <v>#REF!</v>
      </c>
      <c r="DF199" t="e">
        <f>IF(#REF!,"AAAAAD9u3m0=",0)</f>
        <v>#REF!</v>
      </c>
      <c r="DG199" t="e">
        <f>IF(#REF!,"AAAAAD9u3m4=",0)</f>
        <v>#REF!</v>
      </c>
      <c r="DH199" t="e">
        <f>IF(#REF!,"AAAAAD9u3m8=",0)</f>
        <v>#REF!</v>
      </c>
      <c r="DI199" t="e">
        <f>IF(#REF!,"AAAAAD9u3nA=",0)</f>
        <v>#REF!</v>
      </c>
      <c r="DJ199" t="e">
        <f>IF(#REF!,"AAAAAD9u3nE=",0)</f>
        <v>#REF!</v>
      </c>
      <c r="DK199" t="e">
        <f>IF(#REF!,"AAAAAD9u3nI=",0)</f>
        <v>#REF!</v>
      </c>
      <c r="DL199" t="e">
        <f>IF(#REF!,"AAAAAD9u3nM=",0)</f>
        <v>#REF!</v>
      </c>
      <c r="DM199" t="e">
        <f>IF(#REF!,"AAAAAD9u3nQ=",0)</f>
        <v>#REF!</v>
      </c>
      <c r="DN199" t="e">
        <f>IF(#REF!,"AAAAAD9u3nU=",0)</f>
        <v>#REF!</v>
      </c>
      <c r="DO199" t="e">
        <f>IF(#REF!,"AAAAAD9u3nY=",0)</f>
        <v>#REF!</v>
      </c>
      <c r="DP199" t="e">
        <f>IF(#REF!,"AAAAAD9u3nc=",0)</f>
        <v>#REF!</v>
      </c>
      <c r="DQ199" t="e">
        <f>IF(#REF!,"AAAAAD9u3ng=",0)</f>
        <v>#REF!</v>
      </c>
      <c r="DR199" t="e">
        <f>IF(#REF!,"AAAAAD9u3nk=",0)</f>
        <v>#REF!</v>
      </c>
      <c r="DS199" t="e">
        <f>IF(#REF!,"AAAAAD9u3no=",0)</f>
        <v>#REF!</v>
      </c>
      <c r="DT199" t="e">
        <f>IF(#REF!,"AAAAAD9u3ns=",0)</f>
        <v>#REF!</v>
      </c>
      <c r="DU199" t="e">
        <f>IF(#REF!,"AAAAAD9u3nw=",0)</f>
        <v>#REF!</v>
      </c>
      <c r="DV199" t="e">
        <f>IF(#REF!,"AAAAAD9u3n0=",0)</f>
        <v>#REF!</v>
      </c>
      <c r="DW199" t="e">
        <f>IF(#REF!,"AAAAAD9u3n4=",0)</f>
        <v>#REF!</v>
      </c>
      <c r="DX199" t="e">
        <f>IF(#REF!,"AAAAAD9u3n8=",0)</f>
        <v>#REF!</v>
      </c>
      <c r="DY199" t="e">
        <f>IF(#REF!,"AAAAAD9u3oA=",0)</f>
        <v>#REF!</v>
      </c>
      <c r="DZ199" t="e">
        <f>IF(#REF!,"AAAAAD9u3oE=",0)</f>
        <v>#REF!</v>
      </c>
      <c r="EA199" t="e">
        <f>IF(#REF!,"AAAAAD9u3oI=",0)</f>
        <v>#REF!</v>
      </c>
      <c r="EB199" t="e">
        <f>IF(#REF!,"AAAAAD9u3oM=",0)</f>
        <v>#REF!</v>
      </c>
      <c r="EC199" t="e">
        <f>IF(#REF!,"AAAAAD9u3oQ=",0)</f>
        <v>#REF!</v>
      </c>
      <c r="ED199" t="e">
        <f>IF(#REF!,"AAAAAD9u3oU=",0)</f>
        <v>#REF!</v>
      </c>
      <c r="EE199" t="e">
        <f>IF(#REF!,"AAAAAD9u3oY=",0)</f>
        <v>#REF!</v>
      </c>
      <c r="EF199" t="e">
        <f>IF(#REF!,"AAAAAD9u3oc=",0)</f>
        <v>#REF!</v>
      </c>
      <c r="EG199" t="e">
        <f>IF(#REF!,"AAAAAD9u3og=",0)</f>
        <v>#REF!</v>
      </c>
      <c r="EH199" t="e">
        <f>IF(#REF!,"AAAAAD9u3ok=",0)</f>
        <v>#REF!</v>
      </c>
      <c r="EI199" t="e">
        <f>IF(#REF!,"AAAAAD9u3oo=",0)</f>
        <v>#REF!</v>
      </c>
      <c r="EJ199" t="e">
        <f>IF(#REF!,"AAAAAD9u3os=",0)</f>
        <v>#REF!</v>
      </c>
      <c r="EK199" t="e">
        <f>IF(#REF!,"AAAAAD9u3ow=",0)</f>
        <v>#REF!</v>
      </c>
      <c r="EL199" t="e">
        <f>IF(#REF!,"AAAAAD9u3o0=",0)</f>
        <v>#REF!</v>
      </c>
      <c r="EM199" t="e">
        <f>IF(#REF!,"AAAAAD9u3o4=",0)</f>
        <v>#REF!</v>
      </c>
      <c r="EN199" t="e">
        <f>IF(#REF!,"AAAAAD9u3o8=",0)</f>
        <v>#REF!</v>
      </c>
      <c r="EO199" t="e">
        <f>IF(#REF!,"AAAAAD9u3pA=",0)</f>
        <v>#REF!</v>
      </c>
      <c r="EP199" t="e">
        <f>IF(#REF!,"AAAAAD9u3pE=",0)</f>
        <v>#REF!</v>
      </c>
      <c r="EQ199" t="e">
        <f>IF(#REF!,"AAAAAD9u3pI=",0)</f>
        <v>#REF!</v>
      </c>
      <c r="ER199" t="e">
        <f>IF(#REF!,"AAAAAD9u3pM=",0)</f>
        <v>#REF!</v>
      </c>
      <c r="ES199" t="e">
        <f>IF(#REF!,"AAAAAD9u3pQ=",0)</f>
        <v>#REF!</v>
      </c>
      <c r="ET199" t="e">
        <f>IF(#REF!,"AAAAAD9u3pU=",0)</f>
        <v>#REF!</v>
      </c>
      <c r="EU199" t="e">
        <f>IF(#REF!,"AAAAAD9u3pY=",0)</f>
        <v>#REF!</v>
      </c>
      <c r="EV199" t="e">
        <f>IF(#REF!,"AAAAAD9u3pc=",0)</f>
        <v>#REF!</v>
      </c>
      <c r="EW199" t="e">
        <f>IF(#REF!,"AAAAAD9u3pg=",0)</f>
        <v>#REF!</v>
      </c>
      <c r="EX199" t="e">
        <f>IF(#REF!,"AAAAAD9u3pk=",0)</f>
        <v>#REF!</v>
      </c>
      <c r="EY199" t="e">
        <f>IF(#REF!,"AAAAAD9u3po=",0)</f>
        <v>#REF!</v>
      </c>
      <c r="EZ199" t="e">
        <f>IF(#REF!,"AAAAAD9u3ps=",0)</f>
        <v>#REF!</v>
      </c>
      <c r="FA199" t="e">
        <f>IF(#REF!,"AAAAAD9u3pw=",0)</f>
        <v>#REF!</v>
      </c>
      <c r="FB199" t="e">
        <f>IF(#REF!,"AAAAAD9u3p0=",0)</f>
        <v>#REF!</v>
      </c>
      <c r="FC199" t="e">
        <f>IF(#REF!,"AAAAAD9u3p4=",0)</f>
        <v>#REF!</v>
      </c>
      <c r="FD199" t="e">
        <f>IF(#REF!,"AAAAAD9u3p8=",0)</f>
        <v>#REF!</v>
      </c>
      <c r="FE199" t="e">
        <f>IF(#REF!,"AAAAAD9u3qA=",0)</f>
        <v>#REF!</v>
      </c>
      <c r="FF199" t="e">
        <f>IF(#REF!,"AAAAAD9u3qE=",0)</f>
        <v>#REF!</v>
      </c>
      <c r="FG199" t="e">
        <f>IF(#REF!,"AAAAAD9u3qI=",0)</f>
        <v>#REF!</v>
      </c>
      <c r="FH199" t="e">
        <f>IF(#REF!,"AAAAAD9u3qM=",0)</f>
        <v>#REF!</v>
      </c>
      <c r="FI199" t="e">
        <f>IF(#REF!,"AAAAAD9u3qQ=",0)</f>
        <v>#REF!</v>
      </c>
      <c r="FJ199" t="e">
        <f>IF(#REF!,"AAAAAD9u3qU=",0)</f>
        <v>#REF!</v>
      </c>
      <c r="FK199" t="e">
        <f>IF(#REF!,"AAAAAD9u3qY=",0)</f>
        <v>#REF!</v>
      </c>
      <c r="FL199" t="e">
        <f>IF(#REF!,"AAAAAD9u3qc=",0)</f>
        <v>#REF!</v>
      </c>
      <c r="FM199" t="e">
        <f>IF(#REF!,"AAAAAD9u3qg=",0)</f>
        <v>#REF!</v>
      </c>
      <c r="FN199" t="e">
        <f>IF(#REF!,"AAAAAD9u3qk=",0)</f>
        <v>#REF!</v>
      </c>
      <c r="FO199" t="e">
        <f>IF(#REF!,"AAAAAD9u3qo=",0)</f>
        <v>#REF!</v>
      </c>
      <c r="FP199" t="e">
        <f>IF(#REF!,"AAAAAD9u3qs=",0)</f>
        <v>#REF!</v>
      </c>
      <c r="FQ199" t="e">
        <f>IF(#REF!,"AAAAAD9u3qw=",0)</f>
        <v>#REF!</v>
      </c>
      <c r="FR199" t="e">
        <f>IF(#REF!,"AAAAAD9u3q0=",0)</f>
        <v>#REF!</v>
      </c>
      <c r="FS199" t="e">
        <f>IF(#REF!,"AAAAAD9u3q4=",0)</f>
        <v>#REF!</v>
      </c>
      <c r="FT199" t="e">
        <f>IF(#REF!,"AAAAAD9u3q8=",0)</f>
        <v>#REF!</v>
      </c>
      <c r="FU199" t="e">
        <f>IF(#REF!,"AAAAAD9u3rA=",0)</f>
        <v>#REF!</v>
      </c>
      <c r="FV199" t="e">
        <f>IF(#REF!,"AAAAAD9u3rE=",0)</f>
        <v>#REF!</v>
      </c>
      <c r="FW199" t="e">
        <f>IF(#REF!,"AAAAAD9u3rI=",0)</f>
        <v>#REF!</v>
      </c>
      <c r="FX199" t="e">
        <f>IF(#REF!,"AAAAAD9u3rM=",0)</f>
        <v>#REF!</v>
      </c>
      <c r="FY199" t="e">
        <f>IF(#REF!,"AAAAAD9u3rQ=",0)</f>
        <v>#REF!</v>
      </c>
      <c r="FZ199" t="e">
        <f>IF(#REF!,"AAAAAD9u3rU=",0)</f>
        <v>#REF!</v>
      </c>
      <c r="GA199" t="e">
        <f>IF(#REF!,"AAAAAD9u3rY=",0)</f>
        <v>#REF!</v>
      </c>
      <c r="GB199" t="e">
        <f>IF(#REF!,"AAAAAD9u3rc=",0)</f>
        <v>#REF!</v>
      </c>
      <c r="GC199" t="e">
        <f>IF(#REF!,"AAAAAD9u3rg=",0)</f>
        <v>#REF!</v>
      </c>
      <c r="GD199" t="e">
        <f>IF(#REF!,"AAAAAD9u3rk=",0)</f>
        <v>#REF!</v>
      </c>
      <c r="GE199" t="e">
        <f>IF(#REF!,"AAAAAD9u3ro=",0)</f>
        <v>#REF!</v>
      </c>
      <c r="GF199" t="e">
        <f>IF(#REF!,"AAAAAD9u3rs=",0)</f>
        <v>#REF!</v>
      </c>
      <c r="GG199" t="e">
        <f>IF(#REF!,"AAAAAD9u3rw=",0)</f>
        <v>#REF!</v>
      </c>
      <c r="GH199" t="e">
        <f>IF(#REF!,"AAAAAD9u3r0=",0)</f>
        <v>#REF!</v>
      </c>
      <c r="GI199" t="e">
        <f>IF(#REF!,"AAAAAD9u3r4=",0)</f>
        <v>#REF!</v>
      </c>
      <c r="GJ199" t="e">
        <f>IF(#REF!,"AAAAAD9u3r8=",0)</f>
        <v>#REF!</v>
      </c>
      <c r="GK199" t="e">
        <f>IF(#REF!,"AAAAAD9u3sA=",0)</f>
        <v>#REF!</v>
      </c>
      <c r="GL199" t="e">
        <f>IF(#REF!,"AAAAAD9u3sE=",0)</f>
        <v>#REF!</v>
      </c>
      <c r="GM199" t="e">
        <f>IF(#REF!,"AAAAAD9u3sI=",0)</f>
        <v>#REF!</v>
      </c>
      <c r="GN199" t="e">
        <f>IF(#REF!,"AAAAAD9u3sM=",0)</f>
        <v>#REF!</v>
      </c>
      <c r="GO199" t="e">
        <f>IF(#REF!,"AAAAAD9u3sQ=",0)</f>
        <v>#REF!</v>
      </c>
      <c r="GP199" t="e">
        <f>IF(#REF!,"AAAAAD9u3sU=",0)</f>
        <v>#REF!</v>
      </c>
      <c r="GQ199" t="e">
        <f>IF(#REF!,"AAAAAD9u3sY=",0)</f>
        <v>#REF!</v>
      </c>
      <c r="GR199" t="e">
        <f>IF(#REF!,"AAAAAD9u3sc=",0)</f>
        <v>#REF!</v>
      </c>
      <c r="GS199" t="e">
        <f>IF(#REF!,"AAAAAD9u3sg=",0)</f>
        <v>#REF!</v>
      </c>
      <c r="GT199" t="e">
        <f>IF(#REF!,"AAAAAD9u3sk=",0)</f>
        <v>#REF!</v>
      </c>
      <c r="GU199" t="e">
        <f>IF(#REF!,"AAAAAD9u3so=",0)</f>
        <v>#REF!</v>
      </c>
      <c r="GV199" t="e">
        <f>IF(#REF!,"AAAAAD9u3ss=",0)</f>
        <v>#REF!</v>
      </c>
      <c r="GW199" t="e">
        <f>IF(#REF!,"AAAAAD9u3sw=",0)</f>
        <v>#REF!</v>
      </c>
      <c r="GX199" t="e">
        <f>IF(#REF!,"AAAAAD9u3s0=",0)</f>
        <v>#REF!</v>
      </c>
      <c r="GY199" t="e">
        <f>IF(#REF!,"AAAAAD9u3s4=",0)</f>
        <v>#REF!</v>
      </c>
      <c r="GZ199" t="e">
        <f>IF(#REF!,"AAAAAD9u3s8=",0)</f>
        <v>#REF!</v>
      </c>
      <c r="HA199" t="e">
        <f>IF(#REF!,"AAAAAD9u3tA=",0)</f>
        <v>#REF!</v>
      </c>
      <c r="HB199" t="e">
        <f>IF(#REF!,"AAAAAD9u3tE=",0)</f>
        <v>#REF!</v>
      </c>
      <c r="HC199" t="e">
        <f>IF(#REF!,"AAAAAD9u3tI=",0)</f>
        <v>#REF!</v>
      </c>
      <c r="HD199" t="e">
        <f>IF(#REF!,"AAAAAD9u3tM=",0)</f>
        <v>#REF!</v>
      </c>
      <c r="HE199" t="e">
        <f>IF(#REF!,"AAAAAD9u3tQ=",0)</f>
        <v>#REF!</v>
      </c>
      <c r="HF199" t="e">
        <f>IF(#REF!,"AAAAAD9u3tU=",0)</f>
        <v>#REF!</v>
      </c>
      <c r="HG199" t="e">
        <f>IF(#REF!,"AAAAAD9u3tY=",0)</f>
        <v>#REF!</v>
      </c>
      <c r="HH199" t="e">
        <f>IF(#REF!,"AAAAAD9u3tc=",0)</f>
        <v>#REF!</v>
      </c>
      <c r="HI199" t="e">
        <f>IF(#REF!,"AAAAAD9u3tg=",0)</f>
        <v>#REF!</v>
      </c>
      <c r="HJ199" t="e">
        <f>IF(#REF!,"AAAAAD9u3tk=",0)</f>
        <v>#REF!</v>
      </c>
      <c r="HK199" t="e">
        <f>IF(#REF!,"AAAAAD9u3to=",0)</f>
        <v>#REF!</v>
      </c>
      <c r="HL199" t="e">
        <f>IF(#REF!,"AAAAAD9u3ts=",0)</f>
        <v>#REF!</v>
      </c>
      <c r="HM199" t="e">
        <f>IF(#REF!,"AAAAAD9u3tw=",0)</f>
        <v>#REF!</v>
      </c>
      <c r="HN199" t="e">
        <f>IF(#REF!,"AAAAAD9u3t0=",0)</f>
        <v>#REF!</v>
      </c>
      <c r="HO199" t="e">
        <f>IF(#REF!,"AAAAAD9u3t4=",0)</f>
        <v>#REF!</v>
      </c>
      <c r="HP199" t="e">
        <f>IF(#REF!,"AAAAAD9u3t8=",0)</f>
        <v>#REF!</v>
      </c>
      <c r="HQ199" t="e">
        <f>IF(#REF!,"AAAAAD9u3uA=",0)</f>
        <v>#REF!</v>
      </c>
      <c r="HR199" t="e">
        <f>IF(#REF!,"AAAAAD9u3uE=",0)</f>
        <v>#REF!</v>
      </c>
      <c r="HS199" t="e">
        <f>IF(#REF!,"AAAAAD9u3uI=",0)</f>
        <v>#REF!</v>
      </c>
      <c r="HT199" t="e">
        <f>IF(#REF!,"AAAAAD9u3uM=",0)</f>
        <v>#REF!</v>
      </c>
      <c r="HU199" t="e">
        <f>IF(#REF!,"AAAAAD9u3uQ=",0)</f>
        <v>#REF!</v>
      </c>
      <c r="HV199" t="e">
        <f>IF(#REF!,"AAAAAD9u3uU=",0)</f>
        <v>#REF!</v>
      </c>
      <c r="HW199" t="e">
        <f>IF(#REF!,"AAAAAD9u3uY=",0)</f>
        <v>#REF!</v>
      </c>
      <c r="HX199" t="e">
        <f>IF(#REF!,"AAAAAD9u3uc=",0)</f>
        <v>#REF!</v>
      </c>
      <c r="HY199" t="e">
        <f>IF(#REF!,"AAAAAD9u3ug=",0)</f>
        <v>#REF!</v>
      </c>
      <c r="HZ199" t="e">
        <f>IF(#REF!,"AAAAAD9u3uk=",0)</f>
        <v>#REF!</v>
      </c>
      <c r="IA199" t="e">
        <f>IF(#REF!,"AAAAAD9u3uo=",0)</f>
        <v>#REF!</v>
      </c>
      <c r="IB199" t="e">
        <f>IF(#REF!,"AAAAAD9u3us=",0)</f>
        <v>#REF!</v>
      </c>
      <c r="IC199" t="e">
        <f>IF(#REF!,"AAAAAD9u3uw=",0)</f>
        <v>#REF!</v>
      </c>
      <c r="ID199" t="e">
        <f>IF(#REF!,"AAAAAD9u3u0=",0)</f>
        <v>#REF!</v>
      </c>
      <c r="IE199" t="e">
        <f>IF(#REF!,"AAAAAD9u3u4=",0)</f>
        <v>#REF!</v>
      </c>
      <c r="IF199" t="e">
        <f>IF(#REF!,"AAAAAD9u3u8=",0)</f>
        <v>#REF!</v>
      </c>
      <c r="IG199" t="e">
        <f>IF(#REF!,"AAAAAD9u3vA=",0)</f>
        <v>#REF!</v>
      </c>
      <c r="IH199" t="e">
        <f>IF(#REF!,"AAAAAD9u3vE=",0)</f>
        <v>#REF!</v>
      </c>
      <c r="II199" t="e">
        <f>IF(#REF!,"AAAAAD9u3vI=",0)</f>
        <v>#REF!</v>
      </c>
      <c r="IJ199" t="e">
        <f>IF(#REF!,"AAAAAD9u3vM=",0)</f>
        <v>#REF!</v>
      </c>
      <c r="IK199" t="e">
        <f>IF(#REF!,"AAAAAD9u3vQ=",0)</f>
        <v>#REF!</v>
      </c>
      <c r="IL199" t="e">
        <f>IF(#REF!,"AAAAAD9u3vU=",0)</f>
        <v>#REF!</v>
      </c>
      <c r="IM199" t="e">
        <f>IF(#REF!,"AAAAAD9u3vY=",0)</f>
        <v>#REF!</v>
      </c>
      <c r="IN199" t="e">
        <f>IF(#REF!,"AAAAAD9u3vc=",0)</f>
        <v>#REF!</v>
      </c>
      <c r="IO199" t="e">
        <f>IF(#REF!,"AAAAAD9u3vg=",0)</f>
        <v>#REF!</v>
      </c>
      <c r="IP199" t="e">
        <f>IF(#REF!,"AAAAAD9u3vk=",0)</f>
        <v>#REF!</v>
      </c>
      <c r="IQ199" t="e">
        <f>IF(#REF!,"AAAAAD9u3vo=",0)</f>
        <v>#REF!</v>
      </c>
      <c r="IR199" t="e">
        <f>IF(#REF!,"AAAAAD9u3vs=",0)</f>
        <v>#REF!</v>
      </c>
      <c r="IS199" t="e">
        <f>IF(#REF!,"AAAAAD9u3vw=",0)</f>
        <v>#REF!</v>
      </c>
      <c r="IT199" t="e">
        <f>IF(#REF!,"AAAAAD9u3v0=",0)</f>
        <v>#REF!</v>
      </c>
      <c r="IU199" t="e">
        <f>IF(#REF!,"AAAAAD9u3v4=",0)</f>
        <v>#REF!</v>
      </c>
      <c r="IV199" t="e">
        <f>IF(#REF!,"AAAAAD9u3v8=",0)</f>
        <v>#REF!</v>
      </c>
    </row>
    <row r="200" spans="1:256">
      <c r="A200" t="e">
        <f>IF(#REF!,"AAAAAH57nwA=",0)</f>
        <v>#REF!</v>
      </c>
      <c r="B200" t="e">
        <f>IF(#REF!,"AAAAAH57nwE=",0)</f>
        <v>#REF!</v>
      </c>
      <c r="C200" t="e">
        <f>IF(#REF!,"AAAAAH57nwI=",0)</f>
        <v>#REF!</v>
      </c>
      <c r="D200" t="e">
        <f>IF(#REF!,"AAAAAH57nwM=",0)</f>
        <v>#REF!</v>
      </c>
      <c r="E200" t="e">
        <f>IF(#REF!,"AAAAAH57nwQ=",0)</f>
        <v>#REF!</v>
      </c>
      <c r="F200" t="e">
        <f>IF(#REF!,"AAAAAH57nwU=",0)</f>
        <v>#REF!</v>
      </c>
      <c r="G200" t="e">
        <f>IF(#REF!,"AAAAAH57nwY=",0)</f>
        <v>#REF!</v>
      </c>
      <c r="H200" t="e">
        <f>IF(#REF!,"AAAAAH57nwc=",0)</f>
        <v>#REF!</v>
      </c>
      <c r="I200" t="e">
        <f>IF(#REF!,"AAAAAH57nwg=",0)</f>
        <v>#REF!</v>
      </c>
      <c r="J200" t="e">
        <f>IF(#REF!,"AAAAAH57nwk=",0)</f>
        <v>#REF!</v>
      </c>
      <c r="K200" t="e">
        <f>IF(#REF!,"AAAAAH57nwo=",0)</f>
        <v>#REF!</v>
      </c>
      <c r="L200" t="e">
        <f>IF(#REF!,"AAAAAH57nws=",0)</f>
        <v>#REF!</v>
      </c>
      <c r="M200" t="e">
        <f>IF(#REF!,"AAAAAH57nww=",0)</f>
        <v>#REF!</v>
      </c>
      <c r="N200" t="e">
        <f>IF(#REF!,"AAAAAH57nw0=",0)</f>
        <v>#REF!</v>
      </c>
      <c r="O200" t="e">
        <f>IF(#REF!,"AAAAAH57nw4=",0)</f>
        <v>#REF!</v>
      </c>
      <c r="P200" t="e">
        <f>IF(#REF!,"AAAAAH57nw8=",0)</f>
        <v>#REF!</v>
      </c>
      <c r="Q200" t="e">
        <f>IF(#REF!,"AAAAAH57nxA=",0)</f>
        <v>#REF!</v>
      </c>
      <c r="R200" t="e">
        <f>IF(#REF!,"AAAAAH57nxE=",0)</f>
        <v>#REF!</v>
      </c>
      <c r="S200" t="e">
        <f>IF(#REF!,"AAAAAH57nxI=",0)</f>
        <v>#REF!</v>
      </c>
      <c r="T200" t="e">
        <f>IF(#REF!,"AAAAAH57nxM=",0)</f>
        <v>#REF!</v>
      </c>
      <c r="U200" t="e">
        <f>IF(#REF!,"AAAAAH57nxQ=",0)</f>
        <v>#REF!</v>
      </c>
      <c r="V200" t="e">
        <f>IF(#REF!,"AAAAAH57nxU=",0)</f>
        <v>#REF!</v>
      </c>
      <c r="W200" t="e">
        <f>IF(#REF!,"AAAAAH57nxY=",0)</f>
        <v>#REF!</v>
      </c>
      <c r="X200" t="e">
        <f>IF(#REF!,"AAAAAH57nxc=",0)</f>
        <v>#REF!</v>
      </c>
      <c r="Y200" t="e">
        <f>IF(#REF!,"AAAAAH57nxg=",0)</f>
        <v>#REF!</v>
      </c>
      <c r="Z200" t="e">
        <f>IF(#REF!,"AAAAAH57nxk=",0)</f>
        <v>#REF!</v>
      </c>
      <c r="AA200" t="e">
        <f>IF(#REF!,"AAAAAH57nxo=",0)</f>
        <v>#REF!</v>
      </c>
      <c r="AB200" t="e">
        <f>IF(#REF!,"AAAAAH57nxs=",0)</f>
        <v>#REF!</v>
      </c>
      <c r="AC200" t="e">
        <f>IF(#REF!,"AAAAAH57nxw=",0)</f>
        <v>#REF!</v>
      </c>
      <c r="AD200" t="e">
        <f>IF(#REF!,"AAAAAH57nx0=",0)</f>
        <v>#REF!</v>
      </c>
      <c r="AE200" t="e">
        <f>IF(#REF!,"AAAAAH57nx4=",0)</f>
        <v>#REF!</v>
      </c>
      <c r="AF200" t="e">
        <f>IF(#REF!,"AAAAAH57nx8=",0)</f>
        <v>#REF!</v>
      </c>
      <c r="AG200" t="e">
        <f>IF(#REF!,"AAAAAH57nyA=",0)</f>
        <v>#REF!</v>
      </c>
      <c r="AH200" t="e">
        <f>IF(#REF!,"AAAAAH57nyE=",0)</f>
        <v>#REF!</v>
      </c>
      <c r="AI200" t="e">
        <f>IF(#REF!,"AAAAAH57nyI=",0)</f>
        <v>#REF!</v>
      </c>
      <c r="AJ200" t="e">
        <f>IF(#REF!,"AAAAAH57nyM=",0)</f>
        <v>#REF!</v>
      </c>
      <c r="AK200" t="e">
        <f>IF(#REF!,"AAAAAH57nyQ=",0)</f>
        <v>#REF!</v>
      </c>
      <c r="AL200" t="e">
        <f>IF(#REF!,"AAAAAH57nyU=",0)</f>
        <v>#REF!</v>
      </c>
      <c r="AM200" t="e">
        <f>IF(#REF!,"AAAAAH57nyY=",0)</f>
        <v>#REF!</v>
      </c>
      <c r="AN200" t="e">
        <f>IF(#REF!,"AAAAAH57nyc=",0)</f>
        <v>#REF!</v>
      </c>
      <c r="AO200" t="e">
        <f>IF(#REF!,"AAAAAH57nyg=",0)</f>
        <v>#REF!</v>
      </c>
      <c r="AP200" t="e">
        <f>IF(#REF!,"AAAAAH57nyk=",0)</f>
        <v>#REF!</v>
      </c>
      <c r="AQ200" t="e">
        <f>IF(#REF!,"AAAAAH57nyo=",0)</f>
        <v>#REF!</v>
      </c>
      <c r="AR200" t="e">
        <f>IF(#REF!,"AAAAAH57nys=",0)</f>
        <v>#REF!</v>
      </c>
      <c r="AS200" t="e">
        <f>IF(#REF!,"AAAAAH57nyw=",0)</f>
        <v>#REF!</v>
      </c>
      <c r="AT200" t="e">
        <f>IF(#REF!,"AAAAAH57ny0=",0)</f>
        <v>#REF!</v>
      </c>
      <c r="AU200" t="e">
        <f>IF(#REF!,"AAAAAH57ny4=",0)</f>
        <v>#REF!</v>
      </c>
      <c r="AV200" t="e">
        <f>IF(#REF!,"AAAAAH57ny8=",0)</f>
        <v>#REF!</v>
      </c>
      <c r="AW200" t="e">
        <f>IF(#REF!,"AAAAAH57nzA=",0)</f>
        <v>#REF!</v>
      </c>
      <c r="AX200" t="e">
        <f>IF(#REF!,"AAAAAH57nzE=",0)</f>
        <v>#REF!</v>
      </c>
      <c r="AY200" t="e">
        <f>IF(#REF!,"AAAAAH57nzI=",0)</f>
        <v>#REF!</v>
      </c>
      <c r="AZ200" t="e">
        <f>IF(#REF!,"AAAAAH57nzM=",0)</f>
        <v>#REF!</v>
      </c>
      <c r="BA200" t="e">
        <f>IF(#REF!,"AAAAAH57nzQ=",0)</f>
        <v>#REF!</v>
      </c>
      <c r="BB200" t="e">
        <f>IF(#REF!,"AAAAAH57nzU=",0)</f>
        <v>#REF!</v>
      </c>
      <c r="BC200" t="e">
        <f>IF(#REF!,"AAAAAH57nzY=",0)</f>
        <v>#REF!</v>
      </c>
      <c r="BD200" t="e">
        <f>IF(#REF!,"AAAAAH57nzc=",0)</f>
        <v>#REF!</v>
      </c>
      <c r="BE200" t="e">
        <f>IF(#REF!,"AAAAAH57nzg=",0)</f>
        <v>#REF!</v>
      </c>
      <c r="BF200" t="e">
        <f>IF(#REF!,"AAAAAH57nzk=",0)</f>
        <v>#REF!</v>
      </c>
      <c r="BG200" t="e">
        <f>IF(#REF!,"AAAAAH57nzo=",0)</f>
        <v>#REF!</v>
      </c>
      <c r="BH200" t="e">
        <f>IF(#REF!,"AAAAAH57nzs=",0)</f>
        <v>#REF!</v>
      </c>
      <c r="BI200" t="e">
        <f>IF(#REF!,"AAAAAH57nzw=",0)</f>
        <v>#REF!</v>
      </c>
      <c r="BJ200" t="e">
        <f>IF(#REF!,"AAAAAH57nz0=",0)</f>
        <v>#REF!</v>
      </c>
      <c r="BK200" t="e">
        <f>IF(#REF!,"AAAAAH57nz4=",0)</f>
        <v>#REF!</v>
      </c>
      <c r="BL200" t="e">
        <f>IF(#REF!,"AAAAAH57nz8=",0)</f>
        <v>#REF!</v>
      </c>
      <c r="BM200" t="e">
        <f>IF(#REF!,"AAAAAH57n0A=",0)</f>
        <v>#REF!</v>
      </c>
      <c r="BN200" t="e">
        <f>IF(#REF!,"AAAAAH57n0E=",0)</f>
        <v>#REF!</v>
      </c>
      <c r="BO200" t="e">
        <f>IF(#REF!,"AAAAAH57n0I=",0)</f>
        <v>#REF!</v>
      </c>
      <c r="BP200" t="e">
        <f>IF(#REF!,"AAAAAH57n0M=",0)</f>
        <v>#REF!</v>
      </c>
      <c r="BQ200" t="e">
        <f>IF(#REF!,"AAAAAH57n0Q=",0)</f>
        <v>#REF!</v>
      </c>
      <c r="BR200" t="e">
        <f>IF(#REF!,"AAAAAH57n0U=",0)</f>
        <v>#REF!</v>
      </c>
      <c r="BS200" t="e">
        <f>IF(#REF!,"AAAAAH57n0Y=",0)</f>
        <v>#REF!</v>
      </c>
      <c r="BT200" t="e">
        <f>IF(#REF!,"AAAAAH57n0c=",0)</f>
        <v>#REF!</v>
      </c>
      <c r="BU200" t="e">
        <f>IF(#REF!,"AAAAAH57n0g=",0)</f>
        <v>#REF!</v>
      </c>
      <c r="BV200" t="e">
        <f>IF(#REF!,"AAAAAH57n0k=",0)</f>
        <v>#REF!</v>
      </c>
      <c r="BW200" t="e">
        <f>IF(#REF!,"AAAAAH57n0o=",0)</f>
        <v>#REF!</v>
      </c>
      <c r="BX200" t="e">
        <f>IF(#REF!,"AAAAAH57n0s=",0)</f>
        <v>#REF!</v>
      </c>
      <c r="BY200" t="e">
        <f>IF(#REF!,"AAAAAH57n0w=",0)</f>
        <v>#REF!</v>
      </c>
      <c r="BZ200" t="e">
        <f>IF(#REF!,"AAAAAH57n00=",0)</f>
        <v>#REF!</v>
      </c>
      <c r="CA200" t="e">
        <f>IF(#REF!,"AAAAAH57n04=",0)</f>
        <v>#REF!</v>
      </c>
      <c r="CB200" t="e">
        <f>IF(#REF!,"AAAAAH57n08=",0)</f>
        <v>#REF!</v>
      </c>
      <c r="CC200" t="e">
        <f>IF(#REF!,"AAAAAH57n1A=",0)</f>
        <v>#REF!</v>
      </c>
      <c r="CD200" t="e">
        <f>IF(#REF!,"AAAAAH57n1E=",0)</f>
        <v>#REF!</v>
      </c>
      <c r="CE200" t="e">
        <f>IF(#REF!,"AAAAAH57n1I=",0)</f>
        <v>#REF!</v>
      </c>
      <c r="CF200" t="e">
        <f>IF(#REF!,"AAAAAH57n1M=",0)</f>
        <v>#REF!</v>
      </c>
      <c r="CG200" t="e">
        <f>IF(#REF!,"AAAAAH57n1Q=",0)</f>
        <v>#REF!</v>
      </c>
      <c r="CH200" t="e">
        <f>IF(#REF!,"AAAAAH57n1U=",0)</f>
        <v>#REF!</v>
      </c>
      <c r="CI200" t="e">
        <f>IF(#REF!,"AAAAAH57n1Y=",0)</f>
        <v>#REF!</v>
      </c>
      <c r="CJ200" t="e">
        <f>IF(#REF!,"AAAAAH57n1c=",0)</f>
        <v>#REF!</v>
      </c>
      <c r="CK200" t="e">
        <f>IF(#REF!,"AAAAAH57n1g=",0)</f>
        <v>#REF!</v>
      </c>
      <c r="CL200" t="e">
        <f>IF(#REF!,"AAAAAH57n1k=",0)</f>
        <v>#REF!</v>
      </c>
      <c r="CM200" t="e">
        <f>IF(#REF!,"AAAAAH57n1o=",0)</f>
        <v>#REF!</v>
      </c>
      <c r="CN200" t="e">
        <f>IF(#REF!,"AAAAAH57n1s=",0)</f>
        <v>#REF!</v>
      </c>
      <c r="CO200" t="e">
        <f>IF(#REF!,"AAAAAH57n1w=",0)</f>
        <v>#REF!</v>
      </c>
      <c r="CP200" t="e">
        <f>IF(#REF!,"AAAAAH57n10=",0)</f>
        <v>#REF!</v>
      </c>
      <c r="CQ200" t="e">
        <f>IF(#REF!,"AAAAAH57n14=",0)</f>
        <v>#REF!</v>
      </c>
      <c r="CR200" t="e">
        <f>IF(#REF!,"AAAAAH57n18=",0)</f>
        <v>#REF!</v>
      </c>
      <c r="CS200" t="e">
        <f>IF(#REF!,"AAAAAH57n2A=",0)</f>
        <v>#REF!</v>
      </c>
      <c r="CT200" t="e">
        <f>IF(#REF!,"AAAAAH57n2E=",0)</f>
        <v>#REF!</v>
      </c>
      <c r="CU200" t="e">
        <f>IF(#REF!,"AAAAAH57n2I=",0)</f>
        <v>#REF!</v>
      </c>
      <c r="CV200" t="e">
        <f>IF(#REF!,"AAAAAH57n2M=",0)</f>
        <v>#REF!</v>
      </c>
      <c r="CW200" t="e">
        <f>IF(#REF!,"AAAAAH57n2Q=",0)</f>
        <v>#REF!</v>
      </c>
      <c r="CX200" t="e">
        <f>IF(#REF!,"AAAAAH57n2U=",0)</f>
        <v>#REF!</v>
      </c>
      <c r="CY200" t="e">
        <f>IF(#REF!,"AAAAAH57n2Y=",0)</f>
        <v>#REF!</v>
      </c>
      <c r="CZ200" t="e">
        <f>IF(#REF!,"AAAAAH57n2c=",0)</f>
        <v>#REF!</v>
      </c>
      <c r="DA200" t="e">
        <f>IF(#REF!,"AAAAAH57n2g=",0)</f>
        <v>#REF!</v>
      </c>
      <c r="DB200" t="e">
        <f>IF(#REF!,"AAAAAH57n2k=",0)</f>
        <v>#REF!</v>
      </c>
      <c r="DC200" t="e">
        <f>IF(#REF!,"AAAAAH57n2o=",0)</f>
        <v>#REF!</v>
      </c>
      <c r="DD200" t="e">
        <f>IF(#REF!,"AAAAAH57n2s=",0)</f>
        <v>#REF!</v>
      </c>
      <c r="DE200" t="e">
        <f>IF(#REF!,"AAAAAH57n2w=",0)</f>
        <v>#REF!</v>
      </c>
      <c r="DF200" t="e">
        <f>IF(#REF!,"AAAAAH57n20=",0)</f>
        <v>#REF!</v>
      </c>
      <c r="DG200" t="e">
        <f>IF(#REF!,"AAAAAH57n24=",0)</f>
        <v>#REF!</v>
      </c>
      <c r="DH200" t="e">
        <f>IF(#REF!,"AAAAAH57n28=",0)</f>
        <v>#REF!</v>
      </c>
      <c r="DI200" t="e">
        <f>IF(#REF!,"AAAAAH57n3A=",0)</f>
        <v>#REF!</v>
      </c>
      <c r="DJ200" t="e">
        <f>IF(#REF!,"AAAAAH57n3E=",0)</f>
        <v>#REF!</v>
      </c>
      <c r="DK200" t="e">
        <f>IF(#REF!,"AAAAAH57n3I=",0)</f>
        <v>#REF!</v>
      </c>
      <c r="DL200" t="e">
        <f>IF(#REF!,"AAAAAH57n3M=",0)</f>
        <v>#REF!</v>
      </c>
      <c r="DM200" t="e">
        <f>IF(#REF!,"AAAAAH57n3Q=",0)</f>
        <v>#REF!</v>
      </c>
      <c r="DN200" t="e">
        <f>IF(#REF!,"AAAAAH57n3U=",0)</f>
        <v>#REF!</v>
      </c>
      <c r="DO200" t="e">
        <f>IF(#REF!,"AAAAAH57n3Y=",0)</f>
        <v>#REF!</v>
      </c>
      <c r="DP200" t="e">
        <f>IF(#REF!,"AAAAAH57n3c=",0)</f>
        <v>#REF!</v>
      </c>
      <c r="DQ200" t="e">
        <f>IF(#REF!,"AAAAAH57n3g=",0)</f>
        <v>#REF!</v>
      </c>
      <c r="DR200" t="e">
        <f>IF(#REF!,"AAAAAH57n3k=",0)</f>
        <v>#REF!</v>
      </c>
      <c r="DS200" t="e">
        <f>IF(#REF!,"AAAAAH57n3o=",0)</f>
        <v>#REF!</v>
      </c>
      <c r="DT200" t="e">
        <f>IF(#REF!,"AAAAAH57n3s=",0)</f>
        <v>#REF!</v>
      </c>
      <c r="DU200" t="e">
        <f>IF(#REF!,"AAAAAH57n3w=",0)</f>
        <v>#REF!</v>
      </c>
      <c r="DV200" t="e">
        <f>IF(#REF!,"AAAAAH57n30=",0)</f>
        <v>#REF!</v>
      </c>
      <c r="DW200" t="e">
        <f>IF(#REF!,"AAAAAH57n34=",0)</f>
        <v>#REF!</v>
      </c>
      <c r="DX200" t="e">
        <f>IF(#REF!,"AAAAAH57n38=",0)</f>
        <v>#REF!</v>
      </c>
      <c r="DY200" t="e">
        <f>IF(#REF!,"AAAAAH57n4A=",0)</f>
        <v>#REF!</v>
      </c>
      <c r="DZ200" t="e">
        <f>IF(#REF!,"AAAAAH57n4E=",0)</f>
        <v>#REF!</v>
      </c>
      <c r="EA200" t="e">
        <f>IF(#REF!,"AAAAAH57n4I=",0)</f>
        <v>#REF!</v>
      </c>
      <c r="EB200" t="e">
        <f>IF(#REF!,"AAAAAH57n4M=",0)</f>
        <v>#REF!</v>
      </c>
      <c r="EC200" t="e">
        <f>IF(#REF!,"AAAAAH57n4Q=",0)</f>
        <v>#REF!</v>
      </c>
      <c r="ED200" t="e">
        <f>IF(#REF!,"AAAAAH57n4U=",0)</f>
        <v>#REF!</v>
      </c>
      <c r="EE200" t="e">
        <f>IF(#REF!,"AAAAAH57n4Y=",0)</f>
        <v>#REF!</v>
      </c>
      <c r="EF200" t="e">
        <f>IF(#REF!,"AAAAAH57n4c=",0)</f>
        <v>#REF!</v>
      </c>
      <c r="EG200" t="e">
        <f>IF(#REF!,"AAAAAH57n4g=",0)</f>
        <v>#REF!</v>
      </c>
      <c r="EH200" t="e">
        <f>IF(#REF!,"AAAAAH57n4k=",0)</f>
        <v>#REF!</v>
      </c>
      <c r="EI200" t="e">
        <f>IF(#REF!,"AAAAAH57n4o=",0)</f>
        <v>#REF!</v>
      </c>
      <c r="EJ200" t="e">
        <f>IF(#REF!,"AAAAAH57n4s=",0)</f>
        <v>#REF!</v>
      </c>
      <c r="EK200" t="e">
        <f>IF(#REF!,"AAAAAH57n4w=",0)</f>
        <v>#REF!</v>
      </c>
      <c r="EL200" t="e">
        <f>IF(#REF!,"AAAAAH57n40=",0)</f>
        <v>#REF!</v>
      </c>
      <c r="EM200" t="e">
        <f>IF(#REF!,"AAAAAH57n44=",0)</f>
        <v>#REF!</v>
      </c>
      <c r="EN200" t="e">
        <f>IF(#REF!,"AAAAAH57n48=",0)</f>
        <v>#REF!</v>
      </c>
      <c r="EO200" t="e">
        <f>IF(#REF!,"AAAAAH57n5A=",0)</f>
        <v>#REF!</v>
      </c>
      <c r="EP200" t="e">
        <f>IF(#REF!,"AAAAAH57n5E=",0)</f>
        <v>#REF!</v>
      </c>
      <c r="EQ200" t="e">
        <f>IF(#REF!,"AAAAAH57n5I=",0)</f>
        <v>#REF!</v>
      </c>
      <c r="ER200" t="e">
        <f>IF(#REF!,"AAAAAH57n5M=",0)</f>
        <v>#REF!</v>
      </c>
      <c r="ES200" t="e">
        <f>IF(#REF!,"AAAAAH57n5Q=",0)</f>
        <v>#REF!</v>
      </c>
      <c r="ET200" t="e">
        <f>IF(#REF!,"AAAAAH57n5U=",0)</f>
        <v>#REF!</v>
      </c>
      <c r="EU200" t="e">
        <f>IF(#REF!,"AAAAAH57n5Y=",0)</f>
        <v>#REF!</v>
      </c>
      <c r="EV200" t="e">
        <f>IF(#REF!,"AAAAAH57n5c=",0)</f>
        <v>#REF!</v>
      </c>
      <c r="EW200" t="e">
        <f>IF(#REF!,"AAAAAH57n5g=",0)</f>
        <v>#REF!</v>
      </c>
      <c r="EX200" t="e">
        <f>IF(#REF!,"AAAAAH57n5k=",0)</f>
        <v>#REF!</v>
      </c>
      <c r="EY200" t="e">
        <f>IF(#REF!,"AAAAAH57n5o=",0)</f>
        <v>#REF!</v>
      </c>
      <c r="EZ200" t="e">
        <f>IF(#REF!,"AAAAAH57n5s=",0)</f>
        <v>#REF!</v>
      </c>
      <c r="FA200" t="e">
        <f>IF(#REF!,"AAAAAH57n5w=",0)</f>
        <v>#REF!</v>
      </c>
      <c r="FB200" t="e">
        <f>IF(#REF!,"AAAAAH57n50=",0)</f>
        <v>#REF!</v>
      </c>
      <c r="FC200" t="e">
        <f>IF(#REF!,"AAAAAH57n54=",0)</f>
        <v>#REF!</v>
      </c>
      <c r="FD200" t="e">
        <f>IF(#REF!,"AAAAAH57n58=",0)</f>
        <v>#REF!</v>
      </c>
      <c r="FE200" t="e">
        <f>IF(#REF!,"AAAAAH57n6A=",0)</f>
        <v>#REF!</v>
      </c>
      <c r="FF200" t="e">
        <f>IF(#REF!,"AAAAAH57n6E=",0)</f>
        <v>#REF!</v>
      </c>
      <c r="FG200" t="e">
        <f>IF(#REF!,"AAAAAH57n6I=",0)</f>
        <v>#REF!</v>
      </c>
      <c r="FH200" t="e">
        <f>IF(#REF!,"AAAAAH57n6M=",0)</f>
        <v>#REF!</v>
      </c>
      <c r="FI200" t="e">
        <f>IF(#REF!,"AAAAAH57n6Q=",0)</f>
        <v>#REF!</v>
      </c>
      <c r="FJ200" t="e">
        <f>IF(#REF!,"AAAAAH57n6U=",0)</f>
        <v>#REF!</v>
      </c>
      <c r="FK200" t="e">
        <f>IF(#REF!,"AAAAAH57n6Y=",0)</f>
        <v>#REF!</v>
      </c>
      <c r="FL200" t="e">
        <f>IF(#REF!,"AAAAAH57n6c=",0)</f>
        <v>#REF!</v>
      </c>
      <c r="FM200" t="e">
        <f>IF(#REF!,"AAAAAH57n6g=",0)</f>
        <v>#REF!</v>
      </c>
      <c r="FN200" t="e">
        <f>IF(#REF!,"AAAAAH57n6k=",0)</f>
        <v>#REF!</v>
      </c>
      <c r="FO200" t="e">
        <f>IF(#REF!,"AAAAAH57n6o=",0)</f>
        <v>#REF!</v>
      </c>
      <c r="FP200" t="e">
        <f>IF(#REF!,"AAAAAH57n6s=",0)</f>
        <v>#REF!</v>
      </c>
      <c r="FQ200" t="e">
        <f>IF(#REF!,"AAAAAH57n6w=",0)</f>
        <v>#REF!</v>
      </c>
      <c r="FR200" t="e">
        <f>IF(#REF!,"AAAAAH57n60=",0)</f>
        <v>#REF!</v>
      </c>
      <c r="FS200" t="e">
        <f>IF(#REF!,"AAAAAH57n64=",0)</f>
        <v>#REF!</v>
      </c>
      <c r="FT200" t="e">
        <f>IF(#REF!,"AAAAAH57n68=",0)</f>
        <v>#REF!</v>
      </c>
      <c r="FU200" t="e">
        <f>IF(#REF!,"AAAAAH57n7A=",0)</f>
        <v>#REF!</v>
      </c>
      <c r="FV200" t="e">
        <f>IF(#REF!,"AAAAAH57n7E=",0)</f>
        <v>#REF!</v>
      </c>
      <c r="FW200" t="e">
        <f>IF(#REF!,"AAAAAH57n7I=",0)</f>
        <v>#REF!</v>
      </c>
      <c r="FX200" t="e">
        <f>IF(#REF!,"AAAAAH57n7M=",0)</f>
        <v>#REF!</v>
      </c>
      <c r="FY200" t="e">
        <f>IF(#REF!,"AAAAAH57n7Q=",0)</f>
        <v>#REF!</v>
      </c>
      <c r="FZ200" t="e">
        <f>IF(#REF!,"AAAAAH57n7U=",0)</f>
        <v>#REF!</v>
      </c>
      <c r="GA200" t="e">
        <f>IF(#REF!,"AAAAAH57n7Y=",0)</f>
        <v>#REF!</v>
      </c>
      <c r="GB200" t="e">
        <f>IF(#REF!,"AAAAAH57n7c=",0)</f>
        <v>#REF!</v>
      </c>
      <c r="GC200" t="e">
        <f>IF(#REF!,"AAAAAH57n7g=",0)</f>
        <v>#REF!</v>
      </c>
      <c r="GD200" t="e">
        <f>IF(#REF!,"AAAAAH57n7k=",0)</f>
        <v>#REF!</v>
      </c>
      <c r="GE200" t="e">
        <f>IF(#REF!,"AAAAAH57n7o=",0)</f>
        <v>#REF!</v>
      </c>
      <c r="GF200" t="e">
        <f>IF(#REF!,"AAAAAH57n7s=",0)</f>
        <v>#REF!</v>
      </c>
      <c r="GG200" t="e">
        <f>IF(#REF!,"AAAAAH57n7w=",0)</f>
        <v>#REF!</v>
      </c>
      <c r="GH200" t="e">
        <f>IF(#REF!,"AAAAAH57n70=",0)</f>
        <v>#REF!</v>
      </c>
      <c r="GI200" t="e">
        <f>IF(#REF!,"AAAAAH57n74=",0)</f>
        <v>#REF!</v>
      </c>
      <c r="GJ200" t="e">
        <f>IF(#REF!,"AAAAAH57n78=",0)</f>
        <v>#REF!</v>
      </c>
      <c r="GK200" t="e">
        <f>IF(#REF!,"AAAAAH57n8A=",0)</f>
        <v>#REF!</v>
      </c>
      <c r="GL200" t="e">
        <f>IF(#REF!,"AAAAAH57n8E=",0)</f>
        <v>#REF!</v>
      </c>
      <c r="GM200" t="e">
        <f>IF(#REF!,"AAAAAH57n8I=",0)</f>
        <v>#REF!</v>
      </c>
      <c r="GN200" t="e">
        <f>IF(#REF!,"AAAAAH57n8M=",0)</f>
        <v>#REF!</v>
      </c>
      <c r="GO200" t="e">
        <f>IF(#REF!,"AAAAAH57n8Q=",0)</f>
        <v>#REF!</v>
      </c>
      <c r="GP200" t="e">
        <f>IF(#REF!,"AAAAAH57n8U=",0)</f>
        <v>#REF!</v>
      </c>
      <c r="GQ200" t="e">
        <f>IF(#REF!,"AAAAAH57n8Y=",0)</f>
        <v>#REF!</v>
      </c>
      <c r="GR200" t="e">
        <f>IF(#REF!,"AAAAAH57n8c=",0)</f>
        <v>#REF!</v>
      </c>
      <c r="GS200" t="e">
        <f>IF(#REF!,"AAAAAH57n8g=",0)</f>
        <v>#REF!</v>
      </c>
      <c r="GT200" t="e">
        <f>IF(#REF!,"AAAAAH57n8k=",0)</f>
        <v>#REF!</v>
      </c>
      <c r="GU200" t="e">
        <f>IF(#REF!,"AAAAAH57n8o=",0)</f>
        <v>#REF!</v>
      </c>
      <c r="GV200" t="e">
        <f>IF(#REF!,"AAAAAH57n8s=",0)</f>
        <v>#REF!</v>
      </c>
      <c r="GW200" t="e">
        <f>IF(#REF!,"AAAAAH57n8w=",0)</f>
        <v>#REF!</v>
      </c>
      <c r="GX200" t="e">
        <f>IF(#REF!,"AAAAAH57n80=",0)</f>
        <v>#REF!</v>
      </c>
      <c r="GY200" t="e">
        <f>IF(#REF!,"AAAAAH57n84=",0)</f>
        <v>#REF!</v>
      </c>
      <c r="GZ200" t="e">
        <f>IF(#REF!,"AAAAAH57n88=",0)</f>
        <v>#REF!</v>
      </c>
      <c r="HA200" t="e">
        <f>IF(#REF!,"AAAAAH57n9A=",0)</f>
        <v>#REF!</v>
      </c>
      <c r="HB200" t="e">
        <f>IF(#REF!,"AAAAAH57n9E=",0)</f>
        <v>#REF!</v>
      </c>
      <c r="HC200" t="e">
        <f>IF(#REF!,"AAAAAH57n9I=",0)</f>
        <v>#REF!</v>
      </c>
      <c r="HD200" t="e">
        <f>IF(#REF!,"AAAAAH57n9M=",0)</f>
        <v>#REF!</v>
      </c>
      <c r="HE200" t="e">
        <f>IF(#REF!,"AAAAAH57n9Q=",0)</f>
        <v>#REF!</v>
      </c>
      <c r="HF200" t="e">
        <f>IF(#REF!,"AAAAAH57n9U=",0)</f>
        <v>#REF!</v>
      </c>
      <c r="HG200" t="e">
        <f>IF(#REF!,"AAAAAH57n9Y=",0)</f>
        <v>#REF!</v>
      </c>
      <c r="HH200" t="e">
        <f>IF(#REF!,"AAAAAH57n9c=",0)</f>
        <v>#REF!</v>
      </c>
      <c r="HI200" t="e">
        <f>IF(#REF!,"AAAAAH57n9g=",0)</f>
        <v>#REF!</v>
      </c>
      <c r="HJ200" t="e">
        <f>IF(#REF!,"AAAAAH57n9k=",0)</f>
        <v>#REF!</v>
      </c>
      <c r="HK200" t="e">
        <f>IF(#REF!,"AAAAAH57n9o=",0)</f>
        <v>#REF!</v>
      </c>
      <c r="HL200" t="e">
        <f>IF(#REF!,"AAAAAH57n9s=",0)</f>
        <v>#REF!</v>
      </c>
      <c r="HM200" t="e">
        <f>IF(#REF!,"AAAAAH57n9w=",0)</f>
        <v>#REF!</v>
      </c>
      <c r="HN200" t="e">
        <f>IF(#REF!,"AAAAAH57n90=",0)</f>
        <v>#REF!</v>
      </c>
      <c r="HO200" t="e">
        <f>IF(#REF!,"AAAAAH57n94=",0)</f>
        <v>#REF!</v>
      </c>
      <c r="HP200" t="e">
        <f>IF(#REF!,"AAAAAH57n98=",0)</f>
        <v>#REF!</v>
      </c>
      <c r="HQ200" t="e">
        <f>IF(#REF!,"AAAAAH57n+A=",0)</f>
        <v>#REF!</v>
      </c>
      <c r="HR200" t="e">
        <f>IF(#REF!,"AAAAAH57n+E=",0)</f>
        <v>#REF!</v>
      </c>
      <c r="HS200" t="e">
        <f>IF(#REF!,"AAAAAH57n+I=",0)</f>
        <v>#REF!</v>
      </c>
      <c r="HT200" t="e">
        <f>IF(#REF!,"AAAAAH57n+M=",0)</f>
        <v>#REF!</v>
      </c>
      <c r="HU200" t="e">
        <f>IF(#REF!,"AAAAAH57n+Q=",0)</f>
        <v>#REF!</v>
      </c>
      <c r="HV200" t="e">
        <f>IF(#REF!,"AAAAAH57n+U=",0)</f>
        <v>#REF!</v>
      </c>
      <c r="HW200" t="e">
        <f>IF(#REF!,"AAAAAH57n+Y=",0)</f>
        <v>#REF!</v>
      </c>
      <c r="HX200" t="e">
        <f>IF(#REF!,"AAAAAH57n+c=",0)</f>
        <v>#REF!</v>
      </c>
      <c r="HY200" t="e">
        <f>IF(#REF!,"AAAAAH57n+g=",0)</f>
        <v>#REF!</v>
      </c>
      <c r="HZ200" t="e">
        <f>IF(#REF!,"AAAAAH57n+k=",0)</f>
        <v>#REF!</v>
      </c>
      <c r="IA200" t="e">
        <f>IF(#REF!,"AAAAAH57n+o=",0)</f>
        <v>#REF!</v>
      </c>
      <c r="IB200" t="e">
        <f>IF(#REF!,"AAAAAH57n+s=",0)</f>
        <v>#REF!</v>
      </c>
      <c r="IC200" t="e">
        <f>IF(#REF!,"AAAAAH57n+w=",0)</f>
        <v>#REF!</v>
      </c>
      <c r="ID200" t="e">
        <f>IF(#REF!,"AAAAAH57n+0=",0)</f>
        <v>#REF!</v>
      </c>
      <c r="IE200" t="e">
        <f>IF(#REF!,"AAAAAH57n+4=",0)</f>
        <v>#REF!</v>
      </c>
      <c r="IF200" t="e">
        <f>IF(#REF!,"AAAAAH57n+8=",0)</f>
        <v>#REF!</v>
      </c>
      <c r="IG200" t="e">
        <f>IF(#REF!,"AAAAAH57n/A=",0)</f>
        <v>#REF!</v>
      </c>
      <c r="IH200" t="e">
        <f>IF(#REF!,"AAAAAH57n/E=",0)</f>
        <v>#REF!</v>
      </c>
      <c r="II200" t="e">
        <f>IF(#REF!,"AAAAAH57n/I=",0)</f>
        <v>#REF!</v>
      </c>
      <c r="IJ200" t="e">
        <f>IF(#REF!,"AAAAAH57n/M=",0)</f>
        <v>#REF!</v>
      </c>
      <c r="IK200" t="e">
        <f>IF(#REF!,"AAAAAH57n/Q=",0)</f>
        <v>#REF!</v>
      </c>
      <c r="IL200" t="e">
        <f>IF(#REF!,"AAAAAH57n/U=",0)</f>
        <v>#REF!</v>
      </c>
      <c r="IM200" t="e">
        <f>IF(#REF!,"AAAAAH57n/Y=",0)</f>
        <v>#REF!</v>
      </c>
      <c r="IN200" t="e">
        <f>IF(#REF!,"AAAAAH57n/c=",0)</f>
        <v>#REF!</v>
      </c>
      <c r="IO200" t="e">
        <f>IF(#REF!,"AAAAAH57n/g=",0)</f>
        <v>#REF!</v>
      </c>
      <c r="IP200" t="e">
        <f>IF(#REF!,"AAAAAH57n/k=",0)</f>
        <v>#REF!</v>
      </c>
      <c r="IQ200" t="e">
        <f>IF(#REF!,"AAAAAH57n/o=",0)</f>
        <v>#REF!</v>
      </c>
      <c r="IR200" t="e">
        <f>IF(#REF!,"AAAAAH57n/s=",0)</f>
        <v>#REF!</v>
      </c>
      <c r="IS200" t="e">
        <f>IF(#REF!,"AAAAAH57n/w=",0)</f>
        <v>#REF!</v>
      </c>
      <c r="IT200" t="e">
        <f>IF(#REF!,"AAAAAH57n/0=",0)</f>
        <v>#REF!</v>
      </c>
      <c r="IU200" t="e">
        <f>IF(#REF!,"AAAAAH57n/4=",0)</f>
        <v>#REF!</v>
      </c>
      <c r="IV200" t="e">
        <f>IF(#REF!,"AAAAAH57n/8=",0)</f>
        <v>#REF!</v>
      </c>
    </row>
    <row r="201" spans="1:256">
      <c r="A201" t="e">
        <f>IF(#REF!,"AAAAAF9snwA=",0)</f>
        <v>#REF!</v>
      </c>
      <c r="B201" t="e">
        <f>IF(#REF!,"AAAAAF9snwE=",0)</f>
        <v>#REF!</v>
      </c>
      <c r="C201" t="e">
        <f>IF(#REF!,"AAAAAF9snwI=",0)</f>
        <v>#REF!</v>
      </c>
      <c r="D201" t="e">
        <f>IF(#REF!,"AAAAAF9snwM=",0)</f>
        <v>#REF!</v>
      </c>
      <c r="E201" t="e">
        <f>IF(#REF!,"AAAAAF9snwQ=",0)</f>
        <v>#REF!</v>
      </c>
      <c r="F201" t="e">
        <f>IF(#REF!,"AAAAAF9snwU=",0)</f>
        <v>#REF!</v>
      </c>
      <c r="G201" t="e">
        <f>IF(#REF!,"AAAAAF9snwY=",0)</f>
        <v>#REF!</v>
      </c>
      <c r="H201" t="e">
        <f>IF(#REF!,"AAAAAF9snwc=",0)</f>
        <v>#REF!</v>
      </c>
      <c r="I201" t="e">
        <f>IF(#REF!,"AAAAAF9snwg=",0)</f>
        <v>#REF!</v>
      </c>
      <c r="J201" t="e">
        <f>IF(#REF!,"AAAAAF9snwk=",0)</f>
        <v>#REF!</v>
      </c>
      <c r="K201" t="e">
        <f>IF(#REF!,"AAAAAF9snwo=",0)</f>
        <v>#REF!</v>
      </c>
      <c r="L201" t="e">
        <f>IF(#REF!,"AAAAAF9snws=",0)</f>
        <v>#REF!</v>
      </c>
      <c r="M201" t="e">
        <f>IF(#REF!,"AAAAAF9snww=",0)</f>
        <v>#REF!</v>
      </c>
      <c r="N201" t="e">
        <f>IF(#REF!,"AAAAAF9snw0=",0)</f>
        <v>#REF!</v>
      </c>
      <c r="O201" t="e">
        <f>IF(#REF!,"AAAAAF9snw4=",0)</f>
        <v>#REF!</v>
      </c>
      <c r="P201" t="e">
        <f>IF(#REF!,"AAAAAF9snw8=",0)</f>
        <v>#REF!</v>
      </c>
      <c r="Q201" t="e">
        <f>IF(#REF!,"AAAAAF9snxA=",0)</f>
        <v>#REF!</v>
      </c>
      <c r="R201" t="e">
        <f>IF(#REF!,"AAAAAF9snxE=",0)</f>
        <v>#REF!</v>
      </c>
      <c r="S201" t="e">
        <f>IF(#REF!,"AAAAAF9snxI=",0)</f>
        <v>#REF!</v>
      </c>
      <c r="T201" t="e">
        <f>IF(#REF!,"AAAAAF9snxM=",0)</f>
        <v>#REF!</v>
      </c>
      <c r="U201" t="e">
        <f>IF(#REF!,"AAAAAF9snxQ=",0)</f>
        <v>#REF!</v>
      </c>
      <c r="V201" t="e">
        <f>IF(#REF!,"AAAAAF9snxU=",0)</f>
        <v>#REF!</v>
      </c>
      <c r="W201" t="e">
        <f>IF(#REF!,"AAAAAF9snxY=",0)</f>
        <v>#REF!</v>
      </c>
      <c r="X201" t="e">
        <f>IF(#REF!,"AAAAAF9snxc=",0)</f>
        <v>#REF!</v>
      </c>
      <c r="Y201" t="e">
        <f>IF(#REF!,"AAAAAF9snxg=",0)</f>
        <v>#REF!</v>
      </c>
      <c r="Z201" t="e">
        <f>IF(#REF!,"AAAAAF9snxk=",0)</f>
        <v>#REF!</v>
      </c>
      <c r="AA201" t="e">
        <f>IF(#REF!,"AAAAAF9snxo=",0)</f>
        <v>#REF!</v>
      </c>
      <c r="AB201" t="e">
        <f>IF(#REF!,"AAAAAF9snxs=",0)</f>
        <v>#REF!</v>
      </c>
      <c r="AC201" t="e">
        <f>IF(#REF!,"AAAAAF9snxw=",0)</f>
        <v>#REF!</v>
      </c>
      <c r="AD201" t="e">
        <f>IF(#REF!,"AAAAAF9snx0=",0)</f>
        <v>#REF!</v>
      </c>
      <c r="AE201" t="e">
        <f>IF(#REF!,"AAAAAF9snx4=",0)</f>
        <v>#REF!</v>
      </c>
      <c r="AF201" t="e">
        <f>IF(#REF!,"AAAAAF9snx8=",0)</f>
        <v>#REF!</v>
      </c>
      <c r="AG201" t="e">
        <f>IF(#REF!,"AAAAAF9snyA=",0)</f>
        <v>#REF!</v>
      </c>
      <c r="AH201" t="e">
        <f>IF(#REF!,"AAAAAF9snyE=",0)</f>
        <v>#REF!</v>
      </c>
      <c r="AI201" t="e">
        <f>IF(#REF!,"AAAAAF9snyI=",0)</f>
        <v>#REF!</v>
      </c>
      <c r="AJ201" t="e">
        <f>IF(#REF!,"AAAAAF9snyM=",0)</f>
        <v>#REF!</v>
      </c>
      <c r="AK201" t="e">
        <f>IF(#REF!,"AAAAAF9snyQ=",0)</f>
        <v>#REF!</v>
      </c>
      <c r="AL201" t="e">
        <f>IF(#REF!,"AAAAAF9snyU=",0)</f>
        <v>#REF!</v>
      </c>
      <c r="AM201" t="e">
        <f>IF(#REF!,"AAAAAF9snyY=",0)</f>
        <v>#REF!</v>
      </c>
      <c r="AN201" t="e">
        <f>IF(#REF!,"AAAAAF9snyc=",0)</f>
        <v>#REF!</v>
      </c>
      <c r="AO201" t="e">
        <f>IF(#REF!,"AAAAAF9snyg=",0)</f>
        <v>#REF!</v>
      </c>
      <c r="AP201" t="e">
        <f>IF(#REF!,"AAAAAF9snyk=",0)</f>
        <v>#REF!</v>
      </c>
      <c r="AQ201" t="e">
        <f>IF(#REF!,"AAAAAF9snyo=",0)</f>
        <v>#REF!</v>
      </c>
      <c r="AR201" t="e">
        <f>IF(#REF!,"AAAAAF9snys=",0)</f>
        <v>#REF!</v>
      </c>
      <c r="AS201" t="e">
        <f>IF(#REF!,"AAAAAF9snyw=",0)</f>
        <v>#REF!</v>
      </c>
      <c r="AT201" t="e">
        <f>IF(#REF!,"AAAAAF9sny0=",0)</f>
        <v>#REF!</v>
      </c>
      <c r="AU201" t="e">
        <f>IF(#REF!,"AAAAAF9sny4=",0)</f>
        <v>#REF!</v>
      </c>
      <c r="AV201" t="e">
        <f>IF(#REF!,"AAAAAF9sny8=",0)</f>
        <v>#REF!</v>
      </c>
      <c r="AW201" t="e">
        <f>IF(#REF!,"AAAAAF9snzA=",0)</f>
        <v>#REF!</v>
      </c>
      <c r="AX201" t="e">
        <f>IF(#REF!,"AAAAAF9snzE=",0)</f>
        <v>#REF!</v>
      </c>
      <c r="AY201" t="e">
        <f>IF(#REF!,"AAAAAF9snzI=",0)</f>
        <v>#REF!</v>
      </c>
      <c r="AZ201" t="e">
        <f>IF(#REF!,"AAAAAF9snzM=",0)</f>
        <v>#REF!</v>
      </c>
      <c r="BA201" t="e">
        <f>IF(#REF!,"AAAAAF9snzQ=",0)</f>
        <v>#REF!</v>
      </c>
      <c r="BB201" t="e">
        <f>IF(#REF!,"AAAAAF9snzU=",0)</f>
        <v>#REF!</v>
      </c>
      <c r="BC201" t="e">
        <f>IF(#REF!,"AAAAAF9snzY=",0)</f>
        <v>#REF!</v>
      </c>
      <c r="BD201" t="e">
        <f>IF(#REF!,"AAAAAF9snzc=",0)</f>
        <v>#REF!</v>
      </c>
      <c r="BE201" t="e">
        <f>IF(#REF!,"AAAAAF9snzg=",0)</f>
        <v>#REF!</v>
      </c>
      <c r="BF201" t="e">
        <f>IF(#REF!,"AAAAAF9snzk=",0)</f>
        <v>#REF!</v>
      </c>
      <c r="BG201" t="e">
        <f>IF(#REF!,"AAAAAF9snzo=",0)</f>
        <v>#REF!</v>
      </c>
      <c r="BH201" t="e">
        <f>IF(#REF!,"AAAAAF9snzs=",0)</f>
        <v>#REF!</v>
      </c>
      <c r="BI201" t="e">
        <f>IF(#REF!,"AAAAAF9snzw=",0)</f>
        <v>#REF!</v>
      </c>
      <c r="BJ201" t="e">
        <f>IF(#REF!,"AAAAAF9snz0=",0)</f>
        <v>#REF!</v>
      </c>
      <c r="BK201" t="e">
        <f>IF(#REF!,"AAAAAF9snz4=",0)</f>
        <v>#REF!</v>
      </c>
      <c r="BL201" t="e">
        <f>IF(#REF!,"AAAAAF9snz8=",0)</f>
        <v>#REF!</v>
      </c>
      <c r="BM201" t="e">
        <f>IF(#REF!,"AAAAAF9sn0A=",0)</f>
        <v>#REF!</v>
      </c>
      <c r="BN201" t="e">
        <f>IF(#REF!,"AAAAAF9sn0E=",0)</f>
        <v>#REF!</v>
      </c>
      <c r="BO201" t="e">
        <f>IF(#REF!,"AAAAAF9sn0I=",0)</f>
        <v>#REF!</v>
      </c>
      <c r="BP201" t="e">
        <f>IF(#REF!,"AAAAAF9sn0M=",0)</f>
        <v>#REF!</v>
      </c>
      <c r="BQ201" t="e">
        <f>IF(#REF!,"AAAAAF9sn0Q=",0)</f>
        <v>#REF!</v>
      </c>
      <c r="BR201" t="e">
        <f>IF(#REF!,"AAAAAF9sn0U=",0)</f>
        <v>#REF!</v>
      </c>
      <c r="BS201" t="e">
        <f>IF(#REF!,"AAAAAF9sn0Y=",0)</f>
        <v>#REF!</v>
      </c>
      <c r="BT201" t="e">
        <f>IF(#REF!,"AAAAAF9sn0c=",0)</f>
        <v>#REF!</v>
      </c>
      <c r="BU201" t="e">
        <f>IF(#REF!,"AAAAAF9sn0g=",0)</f>
        <v>#REF!</v>
      </c>
      <c r="BV201" t="e">
        <f>IF(#REF!,"AAAAAF9sn0k=",0)</f>
        <v>#REF!</v>
      </c>
      <c r="BW201" t="e">
        <f>IF(#REF!,"AAAAAF9sn0o=",0)</f>
        <v>#REF!</v>
      </c>
      <c r="BX201" t="e">
        <f>IF(#REF!,"AAAAAF9sn0s=",0)</f>
        <v>#REF!</v>
      </c>
      <c r="BY201" t="e">
        <f>IF(#REF!,"AAAAAF9sn0w=",0)</f>
        <v>#REF!</v>
      </c>
      <c r="BZ201" t="e">
        <f>IF(#REF!,"AAAAAF9sn00=",0)</f>
        <v>#REF!</v>
      </c>
      <c r="CA201" t="e">
        <f>IF(#REF!,"AAAAAF9sn04=",0)</f>
        <v>#REF!</v>
      </c>
      <c r="CB201" t="e">
        <f>IF(#REF!,"AAAAAF9sn08=",0)</f>
        <v>#REF!</v>
      </c>
      <c r="CC201" t="e">
        <f>IF(#REF!,"AAAAAF9sn1A=",0)</f>
        <v>#REF!</v>
      </c>
      <c r="CD201" t="e">
        <f>IF(#REF!,"AAAAAF9sn1E=",0)</f>
        <v>#REF!</v>
      </c>
      <c r="CE201" t="e">
        <f>IF(#REF!,"AAAAAF9sn1I=",0)</f>
        <v>#REF!</v>
      </c>
      <c r="CF201" t="e">
        <f>IF(#REF!,"AAAAAF9sn1M=",0)</f>
        <v>#REF!</v>
      </c>
      <c r="CG201" t="e">
        <f>IF(#REF!,"AAAAAF9sn1Q=",0)</f>
        <v>#REF!</v>
      </c>
      <c r="CH201" t="e">
        <f>IF(#REF!,"AAAAAF9sn1U=",0)</f>
        <v>#REF!</v>
      </c>
      <c r="CI201" t="e">
        <f>IF(#REF!,"AAAAAF9sn1Y=",0)</f>
        <v>#REF!</v>
      </c>
      <c r="CJ201" t="e">
        <f>IF(#REF!,"AAAAAF9sn1c=",0)</f>
        <v>#REF!</v>
      </c>
      <c r="CK201" t="e">
        <f>IF(#REF!,"AAAAAF9sn1g=",0)</f>
        <v>#REF!</v>
      </c>
      <c r="CL201" t="e">
        <f>IF(#REF!,"AAAAAF9sn1k=",0)</f>
        <v>#REF!</v>
      </c>
      <c r="CM201" t="e">
        <f>IF(#REF!,"AAAAAF9sn1o=",0)</f>
        <v>#REF!</v>
      </c>
      <c r="CN201" t="e">
        <f>IF(#REF!,"AAAAAF9sn1s=",0)</f>
        <v>#REF!</v>
      </c>
      <c r="CO201" t="e">
        <f>IF(#REF!,"AAAAAF9sn1w=",0)</f>
        <v>#REF!</v>
      </c>
      <c r="CP201" t="e">
        <f>IF(#REF!,"AAAAAF9sn10=",0)</f>
        <v>#REF!</v>
      </c>
      <c r="CQ201" t="e">
        <f>IF(#REF!,"AAAAAF9sn14=",0)</f>
        <v>#REF!</v>
      </c>
      <c r="CR201" t="e">
        <f>IF(#REF!,"AAAAAF9sn18=",0)</f>
        <v>#REF!</v>
      </c>
      <c r="CS201" t="e">
        <f>IF(#REF!,"AAAAAF9sn2A=",0)</f>
        <v>#REF!</v>
      </c>
      <c r="CT201" t="e">
        <f>IF(#REF!,"AAAAAF9sn2E=",0)</f>
        <v>#REF!</v>
      </c>
      <c r="CU201" t="e">
        <f>IF(#REF!,"AAAAAF9sn2I=",0)</f>
        <v>#REF!</v>
      </c>
      <c r="CV201" t="e">
        <f>IF(#REF!,"AAAAAF9sn2M=",0)</f>
        <v>#REF!</v>
      </c>
      <c r="CW201" t="e">
        <f>IF(#REF!,"AAAAAF9sn2Q=",0)</f>
        <v>#REF!</v>
      </c>
      <c r="CX201" t="e">
        <f>IF(#REF!,"AAAAAF9sn2U=",0)</f>
        <v>#REF!</v>
      </c>
      <c r="CY201" t="e">
        <f>IF(#REF!,"AAAAAF9sn2Y=",0)</f>
        <v>#REF!</v>
      </c>
      <c r="CZ201" t="e">
        <f>IF(#REF!,"AAAAAF9sn2c=",0)</f>
        <v>#REF!</v>
      </c>
      <c r="DA201" t="e">
        <f>IF(#REF!,"AAAAAF9sn2g=",0)</f>
        <v>#REF!</v>
      </c>
      <c r="DB201" t="e">
        <f>IF(#REF!,"AAAAAF9sn2k=",0)</f>
        <v>#REF!</v>
      </c>
      <c r="DC201" t="e">
        <f>IF(#REF!,"AAAAAF9sn2o=",0)</f>
        <v>#REF!</v>
      </c>
      <c r="DD201" t="e">
        <f>IF(#REF!,"AAAAAF9sn2s=",0)</f>
        <v>#REF!</v>
      </c>
      <c r="DE201" t="e">
        <f>IF(#REF!,"AAAAAF9sn2w=",0)</f>
        <v>#REF!</v>
      </c>
      <c r="DF201" t="e">
        <f>IF(#REF!,"AAAAAF9sn20=",0)</f>
        <v>#REF!</v>
      </c>
      <c r="DG201" t="e">
        <f>IF(#REF!,"AAAAAF9sn24=",0)</f>
        <v>#REF!</v>
      </c>
      <c r="DH201" t="e">
        <f>IF(#REF!,"AAAAAF9sn28=",0)</f>
        <v>#REF!</v>
      </c>
      <c r="DI201" t="e">
        <f>IF(#REF!,"AAAAAF9sn3A=",0)</f>
        <v>#REF!</v>
      </c>
      <c r="DJ201" t="e">
        <f>IF(#REF!,"AAAAAF9sn3E=",0)</f>
        <v>#REF!</v>
      </c>
      <c r="DK201" t="e">
        <f>IF(#REF!,"AAAAAF9sn3I=",0)</f>
        <v>#REF!</v>
      </c>
      <c r="DL201" t="e">
        <f>IF(#REF!,"AAAAAF9sn3M=",0)</f>
        <v>#REF!</v>
      </c>
      <c r="DM201" t="e">
        <f>IF(#REF!,"AAAAAF9sn3Q=",0)</f>
        <v>#REF!</v>
      </c>
      <c r="DN201" t="e">
        <f>IF(#REF!,"AAAAAF9sn3U=",0)</f>
        <v>#REF!</v>
      </c>
      <c r="DO201" t="e">
        <f>IF(#REF!,"AAAAAF9sn3Y=",0)</f>
        <v>#REF!</v>
      </c>
      <c r="DP201" t="e">
        <f>IF(#REF!,"AAAAAF9sn3c=",0)</f>
        <v>#REF!</v>
      </c>
      <c r="DQ201" t="e">
        <f>IF(#REF!,"AAAAAF9sn3g=",0)</f>
        <v>#REF!</v>
      </c>
      <c r="DR201" t="e">
        <f>IF(#REF!,"AAAAAF9sn3k=",0)</f>
        <v>#REF!</v>
      </c>
      <c r="DS201" t="e">
        <f>IF(#REF!,"AAAAAF9sn3o=",0)</f>
        <v>#REF!</v>
      </c>
      <c r="DT201" t="e">
        <f>IF(#REF!,"AAAAAF9sn3s=",0)</f>
        <v>#REF!</v>
      </c>
      <c r="DU201" t="e">
        <f>IF(#REF!,"AAAAAF9sn3w=",0)</f>
        <v>#REF!</v>
      </c>
      <c r="DV201" t="e">
        <f>IF(#REF!,"AAAAAF9sn30=",0)</f>
        <v>#REF!</v>
      </c>
      <c r="DW201" t="e">
        <f>IF(#REF!,"AAAAAF9sn34=",0)</f>
        <v>#REF!</v>
      </c>
      <c r="DX201" t="e">
        <f>IF(#REF!,"AAAAAF9sn38=",0)</f>
        <v>#REF!</v>
      </c>
      <c r="DY201" t="e">
        <f>IF(#REF!,"AAAAAF9sn4A=",0)</f>
        <v>#REF!</v>
      </c>
      <c r="DZ201" t="e">
        <f>IF(#REF!,"AAAAAF9sn4E=",0)</f>
        <v>#REF!</v>
      </c>
      <c r="EA201" t="e">
        <f>IF(#REF!,"AAAAAF9sn4I=",0)</f>
        <v>#REF!</v>
      </c>
      <c r="EB201" t="e">
        <f>IF(#REF!,"AAAAAF9sn4M=",0)</f>
        <v>#REF!</v>
      </c>
      <c r="EC201" t="e">
        <f>IF(#REF!,"AAAAAF9sn4Q=",0)</f>
        <v>#REF!</v>
      </c>
      <c r="ED201" t="e">
        <f>IF(#REF!,"AAAAAF9sn4U=",0)</f>
        <v>#REF!</v>
      </c>
      <c r="EE201" t="e">
        <f>IF(#REF!,"AAAAAF9sn4Y=",0)</f>
        <v>#REF!</v>
      </c>
      <c r="EF201" t="e">
        <f>IF(#REF!,"AAAAAF9sn4c=",0)</f>
        <v>#REF!</v>
      </c>
      <c r="EG201" t="e">
        <f>IF(#REF!,"AAAAAF9sn4g=",0)</f>
        <v>#REF!</v>
      </c>
      <c r="EH201" t="e">
        <f>IF(#REF!,"AAAAAF9sn4k=",0)</f>
        <v>#REF!</v>
      </c>
      <c r="EI201" t="e">
        <f>IF(#REF!,"AAAAAF9sn4o=",0)</f>
        <v>#REF!</v>
      </c>
      <c r="EJ201" t="e">
        <f>IF(#REF!,"AAAAAF9sn4s=",0)</f>
        <v>#REF!</v>
      </c>
      <c r="EK201" t="e">
        <f>IF(#REF!,"AAAAAF9sn4w=",0)</f>
        <v>#REF!</v>
      </c>
      <c r="EL201" t="e">
        <f>IF(#REF!,"AAAAAF9sn40=",0)</f>
        <v>#REF!</v>
      </c>
      <c r="EM201" t="e">
        <f>IF(#REF!,"AAAAAF9sn44=",0)</f>
        <v>#REF!</v>
      </c>
      <c r="EN201" t="e">
        <f>IF(#REF!,"AAAAAF9sn48=",0)</f>
        <v>#REF!</v>
      </c>
      <c r="EO201" t="e">
        <f>IF(#REF!,"AAAAAF9sn5A=",0)</f>
        <v>#REF!</v>
      </c>
      <c r="EP201" t="e">
        <f>IF(#REF!,"AAAAAF9sn5E=",0)</f>
        <v>#REF!</v>
      </c>
      <c r="EQ201" t="e">
        <f>IF(#REF!,"AAAAAF9sn5I=",0)</f>
        <v>#REF!</v>
      </c>
      <c r="ER201" t="e">
        <f>IF(#REF!,"AAAAAF9sn5M=",0)</f>
        <v>#REF!</v>
      </c>
      <c r="ES201" t="e">
        <f>IF(#REF!,"AAAAAF9sn5Q=",0)</f>
        <v>#REF!</v>
      </c>
      <c r="ET201" t="e">
        <f>IF(#REF!,"AAAAAF9sn5U=",0)</f>
        <v>#REF!</v>
      </c>
      <c r="EU201" t="e">
        <f>IF(#REF!,"AAAAAF9sn5Y=",0)</f>
        <v>#REF!</v>
      </c>
      <c r="EV201" t="e">
        <f>IF(#REF!,"AAAAAF9sn5c=",0)</f>
        <v>#REF!</v>
      </c>
      <c r="EW201" t="e">
        <f>IF(#REF!,"AAAAAF9sn5g=",0)</f>
        <v>#REF!</v>
      </c>
      <c r="EX201" t="e">
        <f>IF(#REF!,"AAAAAF9sn5k=",0)</f>
        <v>#REF!</v>
      </c>
      <c r="EY201" t="e">
        <f>IF(#REF!,"AAAAAF9sn5o=",0)</f>
        <v>#REF!</v>
      </c>
      <c r="EZ201" t="e">
        <f>IF(#REF!,"AAAAAF9sn5s=",0)</f>
        <v>#REF!</v>
      </c>
      <c r="FA201" t="e">
        <f>IF(#REF!,"AAAAAF9sn5w=",0)</f>
        <v>#REF!</v>
      </c>
      <c r="FB201" t="e">
        <f>IF(#REF!,"AAAAAF9sn50=",0)</f>
        <v>#REF!</v>
      </c>
      <c r="FC201" t="e">
        <f>IF(#REF!,"AAAAAF9sn54=",0)</f>
        <v>#REF!</v>
      </c>
      <c r="FD201" t="e">
        <f>IF(#REF!,"AAAAAF9sn58=",0)</f>
        <v>#REF!</v>
      </c>
      <c r="FE201" t="e">
        <f>IF(#REF!,"AAAAAF9sn6A=",0)</f>
        <v>#REF!</v>
      </c>
      <c r="FF201" t="e">
        <f>IF(#REF!,"AAAAAF9sn6E=",0)</f>
        <v>#REF!</v>
      </c>
      <c r="FG201" t="e">
        <f>IF(#REF!,"AAAAAF9sn6I=",0)</f>
        <v>#REF!</v>
      </c>
      <c r="FH201" t="e">
        <f>IF(#REF!,"AAAAAF9sn6M=",0)</f>
        <v>#REF!</v>
      </c>
      <c r="FI201" t="e">
        <f>IF(#REF!,"AAAAAF9sn6Q=",0)</f>
        <v>#REF!</v>
      </c>
      <c r="FJ201" t="e">
        <f>IF(#REF!,"AAAAAF9sn6U=",0)</f>
        <v>#REF!</v>
      </c>
      <c r="FK201" t="e">
        <f>IF(#REF!,"AAAAAF9sn6Y=",0)</f>
        <v>#REF!</v>
      </c>
      <c r="FL201" t="e">
        <f>IF(#REF!,"AAAAAF9sn6c=",0)</f>
        <v>#REF!</v>
      </c>
      <c r="FM201" t="e">
        <f>IF(#REF!,"AAAAAF9sn6g=",0)</f>
        <v>#REF!</v>
      </c>
      <c r="FN201" t="e">
        <f>IF(#REF!,"AAAAAF9sn6k=",0)</f>
        <v>#REF!</v>
      </c>
      <c r="FO201" t="e">
        <f>IF(#REF!,"AAAAAF9sn6o=",0)</f>
        <v>#REF!</v>
      </c>
      <c r="FP201" t="e">
        <f>IF(#REF!,"AAAAAF9sn6s=",0)</f>
        <v>#REF!</v>
      </c>
      <c r="FQ201" t="e">
        <f>IF(#REF!,"AAAAAF9sn6w=",0)</f>
        <v>#REF!</v>
      </c>
      <c r="FR201" t="e">
        <f>IF(#REF!,"AAAAAF9sn60=",0)</f>
        <v>#REF!</v>
      </c>
      <c r="FS201" t="e">
        <f>IF(#REF!,"AAAAAF9sn64=",0)</f>
        <v>#REF!</v>
      </c>
      <c r="FT201" t="e">
        <f>IF(#REF!,"AAAAAF9sn68=",0)</f>
        <v>#REF!</v>
      </c>
      <c r="FU201" t="e">
        <f>IF(#REF!,"AAAAAF9sn7A=",0)</f>
        <v>#REF!</v>
      </c>
      <c r="FV201" t="e">
        <f>IF(#REF!,"AAAAAF9sn7E=",0)</f>
        <v>#REF!</v>
      </c>
      <c r="FW201" t="e">
        <f>IF(#REF!,"AAAAAF9sn7I=",0)</f>
        <v>#REF!</v>
      </c>
      <c r="FX201" t="e">
        <f>IF(#REF!,"AAAAAF9sn7M=",0)</f>
        <v>#REF!</v>
      </c>
      <c r="FY201" t="e">
        <f>IF(#REF!,"AAAAAF9sn7Q=",0)</f>
        <v>#REF!</v>
      </c>
      <c r="FZ201" t="e">
        <f>IF(#REF!,"AAAAAF9sn7U=",0)</f>
        <v>#REF!</v>
      </c>
      <c r="GA201" t="e">
        <f>IF(#REF!,"AAAAAF9sn7Y=",0)</f>
        <v>#REF!</v>
      </c>
      <c r="GB201" t="e">
        <f>IF(#REF!,"AAAAAF9sn7c=",0)</f>
        <v>#REF!</v>
      </c>
      <c r="GC201" t="e">
        <f>IF(#REF!,"AAAAAF9sn7g=",0)</f>
        <v>#REF!</v>
      </c>
      <c r="GD201" t="e">
        <f>IF(#REF!,"AAAAAF9sn7k=",0)</f>
        <v>#REF!</v>
      </c>
      <c r="GE201" t="e">
        <f>IF(#REF!,"AAAAAF9sn7o=",0)</f>
        <v>#REF!</v>
      </c>
      <c r="GF201" t="e">
        <f>IF(#REF!,"AAAAAF9sn7s=",0)</f>
        <v>#REF!</v>
      </c>
      <c r="GG201" t="e">
        <f>IF(#REF!,"AAAAAF9sn7w=",0)</f>
        <v>#REF!</v>
      </c>
      <c r="GH201" t="e">
        <f>IF(#REF!,"AAAAAF9sn70=",0)</f>
        <v>#REF!</v>
      </c>
      <c r="GI201" t="e">
        <f>IF(#REF!,"AAAAAF9sn74=",0)</f>
        <v>#REF!</v>
      </c>
      <c r="GJ201" t="e">
        <f>IF(#REF!,"AAAAAF9sn78=",0)</f>
        <v>#REF!</v>
      </c>
      <c r="GK201" t="e">
        <f>IF(#REF!,"AAAAAF9sn8A=",0)</f>
        <v>#REF!</v>
      </c>
      <c r="GL201" t="e">
        <f>IF(#REF!,"AAAAAF9sn8E=",0)</f>
        <v>#REF!</v>
      </c>
      <c r="GM201" t="e">
        <f>IF(#REF!,"AAAAAF9sn8I=",0)</f>
        <v>#REF!</v>
      </c>
      <c r="GN201" t="e">
        <f>IF(#REF!,"AAAAAF9sn8M=",0)</f>
        <v>#REF!</v>
      </c>
      <c r="GO201" t="e">
        <f>IF(#REF!,"AAAAAF9sn8Q=",0)</f>
        <v>#REF!</v>
      </c>
      <c r="GP201" t="e">
        <f>IF(#REF!,"AAAAAF9sn8U=",0)</f>
        <v>#REF!</v>
      </c>
      <c r="GQ201" t="e">
        <f>IF(#REF!,"AAAAAF9sn8Y=",0)</f>
        <v>#REF!</v>
      </c>
      <c r="GR201" t="e">
        <f>IF(#REF!,"AAAAAF9sn8c=",0)</f>
        <v>#REF!</v>
      </c>
      <c r="GS201" t="e">
        <f>IF(#REF!,"AAAAAF9sn8g=",0)</f>
        <v>#REF!</v>
      </c>
      <c r="GT201" t="e">
        <f>IF(#REF!,"AAAAAF9sn8k=",0)</f>
        <v>#REF!</v>
      </c>
      <c r="GU201" t="e">
        <f>IF(#REF!,"AAAAAF9sn8o=",0)</f>
        <v>#REF!</v>
      </c>
      <c r="GV201" t="e">
        <f>IF(#REF!,"AAAAAF9sn8s=",0)</f>
        <v>#REF!</v>
      </c>
      <c r="GW201" t="e">
        <f>IF(#REF!,"AAAAAF9sn8w=",0)</f>
        <v>#REF!</v>
      </c>
      <c r="GX201" t="e">
        <f>IF(#REF!,"AAAAAF9sn80=",0)</f>
        <v>#REF!</v>
      </c>
      <c r="GY201" t="e">
        <f>IF(#REF!,"AAAAAF9sn84=",0)</f>
        <v>#REF!</v>
      </c>
      <c r="GZ201" t="e">
        <f>IF(#REF!,"AAAAAF9sn88=",0)</f>
        <v>#REF!</v>
      </c>
      <c r="HA201" t="e">
        <f>IF(#REF!,"AAAAAF9sn9A=",0)</f>
        <v>#REF!</v>
      </c>
      <c r="HB201" t="e">
        <f>IF(#REF!,"AAAAAF9sn9E=",0)</f>
        <v>#REF!</v>
      </c>
      <c r="HC201" t="e">
        <f>IF(#REF!,"AAAAAF9sn9I=",0)</f>
        <v>#REF!</v>
      </c>
      <c r="HD201" t="e">
        <f>IF(#REF!,"AAAAAF9sn9M=",0)</f>
        <v>#REF!</v>
      </c>
      <c r="HE201" t="e">
        <f>IF(#REF!,"AAAAAF9sn9Q=",0)</f>
        <v>#REF!</v>
      </c>
      <c r="HF201" t="e">
        <f>IF(#REF!,"AAAAAF9sn9U=",0)</f>
        <v>#REF!</v>
      </c>
      <c r="HG201" t="e">
        <f>IF(#REF!,"AAAAAF9sn9Y=",0)</f>
        <v>#REF!</v>
      </c>
      <c r="HH201" t="e">
        <f>IF(#REF!,"AAAAAF9sn9c=",0)</f>
        <v>#REF!</v>
      </c>
      <c r="HI201" t="e">
        <f>IF(#REF!,"AAAAAF9sn9g=",0)</f>
        <v>#REF!</v>
      </c>
      <c r="HJ201" t="e">
        <f>IF(#REF!,"AAAAAF9sn9k=",0)</f>
        <v>#REF!</v>
      </c>
      <c r="HK201" t="e">
        <f>IF(#REF!,"AAAAAF9sn9o=",0)</f>
        <v>#REF!</v>
      </c>
      <c r="HL201" t="e">
        <f>IF(#REF!,"AAAAAF9sn9s=",0)</f>
        <v>#REF!</v>
      </c>
      <c r="HM201" t="e">
        <f>IF(#REF!,"AAAAAF9sn9w=",0)</f>
        <v>#REF!</v>
      </c>
      <c r="HN201" t="e">
        <f>IF(#REF!,"AAAAAF9sn90=",0)</f>
        <v>#REF!</v>
      </c>
      <c r="HO201" t="e">
        <f>IF(#REF!,"AAAAAF9sn94=",0)</f>
        <v>#REF!</v>
      </c>
      <c r="HP201" t="e">
        <f>IF(#REF!,"AAAAAF9sn98=",0)</f>
        <v>#REF!</v>
      </c>
      <c r="HQ201" t="e">
        <f>IF(#REF!,"AAAAAF9sn+A=",0)</f>
        <v>#REF!</v>
      </c>
      <c r="HR201" t="e">
        <f>IF(#REF!,"AAAAAF9sn+E=",0)</f>
        <v>#REF!</v>
      </c>
      <c r="HS201" t="e">
        <f>IF(#REF!,"AAAAAF9sn+I=",0)</f>
        <v>#REF!</v>
      </c>
      <c r="HT201" t="e">
        <f>IF(#REF!,"AAAAAF9sn+M=",0)</f>
        <v>#REF!</v>
      </c>
      <c r="HU201" t="e">
        <f>IF(#REF!,"AAAAAF9sn+Q=",0)</f>
        <v>#REF!</v>
      </c>
      <c r="HV201" t="e">
        <f>IF(#REF!,"AAAAAF9sn+U=",0)</f>
        <v>#REF!</v>
      </c>
      <c r="HW201" t="e">
        <f>IF(#REF!,"AAAAAF9sn+Y=",0)</f>
        <v>#REF!</v>
      </c>
      <c r="HX201" t="e">
        <f>IF(#REF!,"AAAAAF9sn+c=",0)</f>
        <v>#REF!</v>
      </c>
      <c r="HY201" t="e">
        <f>IF(#REF!,"AAAAAF9sn+g=",0)</f>
        <v>#REF!</v>
      </c>
      <c r="HZ201" t="e">
        <f>IF(#REF!,"AAAAAF9sn+k=",0)</f>
        <v>#REF!</v>
      </c>
      <c r="IA201" t="e">
        <f>IF(#REF!,"AAAAAF9sn+o=",0)</f>
        <v>#REF!</v>
      </c>
      <c r="IB201" t="e">
        <f>IF(#REF!,"AAAAAF9sn+s=",0)</f>
        <v>#REF!</v>
      </c>
      <c r="IC201" t="e">
        <f>IF(#REF!,"AAAAAF9sn+w=",0)</f>
        <v>#REF!</v>
      </c>
      <c r="ID201" t="e">
        <f>IF(#REF!,"AAAAAF9sn+0=",0)</f>
        <v>#REF!</v>
      </c>
      <c r="IE201" t="e">
        <f>IF(#REF!,"AAAAAF9sn+4=",0)</f>
        <v>#REF!</v>
      </c>
      <c r="IF201" t="e">
        <f>IF(#REF!,"AAAAAF9sn+8=",0)</f>
        <v>#REF!</v>
      </c>
      <c r="IG201" t="e">
        <f>IF(#REF!,"AAAAAF9sn/A=",0)</f>
        <v>#REF!</v>
      </c>
      <c r="IH201" t="e">
        <f>IF(#REF!,"AAAAAF9sn/E=",0)</f>
        <v>#REF!</v>
      </c>
      <c r="II201" t="e">
        <f>IF(#REF!,"AAAAAF9sn/I=",0)</f>
        <v>#REF!</v>
      </c>
      <c r="IJ201" t="e">
        <f>IF(#REF!,"AAAAAF9sn/M=",0)</f>
        <v>#REF!</v>
      </c>
      <c r="IK201" t="e">
        <f>IF(#REF!,"AAAAAF9sn/Q=",0)</f>
        <v>#REF!</v>
      </c>
      <c r="IL201" t="e">
        <f>IF(#REF!,"AAAAAF9sn/U=",0)</f>
        <v>#REF!</v>
      </c>
      <c r="IM201" t="e">
        <f>IF(#REF!,"AAAAAF9sn/Y=",0)</f>
        <v>#REF!</v>
      </c>
      <c r="IN201" t="e">
        <f>IF(#REF!,"AAAAAF9sn/c=",0)</f>
        <v>#REF!</v>
      </c>
      <c r="IO201" t="e">
        <f>IF(#REF!,"AAAAAF9sn/g=",0)</f>
        <v>#REF!</v>
      </c>
      <c r="IP201" t="e">
        <f>IF(#REF!,"AAAAAF9sn/k=",0)</f>
        <v>#REF!</v>
      </c>
      <c r="IQ201" t="e">
        <f>IF(#REF!,"AAAAAF9sn/o=",0)</f>
        <v>#REF!</v>
      </c>
      <c r="IR201" t="e">
        <f>IF(#REF!,"AAAAAF9sn/s=",0)</f>
        <v>#REF!</v>
      </c>
      <c r="IS201" t="e">
        <f>IF(#REF!,"AAAAAF9sn/w=",0)</f>
        <v>#REF!</v>
      </c>
      <c r="IT201" t="e">
        <f>IF(#REF!,"AAAAAF9sn/0=",0)</f>
        <v>#REF!</v>
      </c>
      <c r="IU201" t="e">
        <f>IF(#REF!,"AAAAAF9sn/4=",0)</f>
        <v>#REF!</v>
      </c>
      <c r="IV201" t="e">
        <f>IF(#REF!,"AAAAAF9sn/8=",0)</f>
        <v>#REF!</v>
      </c>
    </row>
    <row r="202" spans="1:256">
      <c r="A202" t="e">
        <f>IF(#REF!,"AAAAAGay/QA=",0)</f>
        <v>#REF!</v>
      </c>
      <c r="B202" t="e">
        <f>IF(#REF!,"AAAAAGay/QE=",0)</f>
        <v>#REF!</v>
      </c>
      <c r="C202" t="e">
        <f>IF(#REF!,"AAAAAGay/QI=",0)</f>
        <v>#REF!</v>
      </c>
      <c r="D202" t="e">
        <f>IF(#REF!,"AAAAAGay/QM=",0)</f>
        <v>#REF!</v>
      </c>
      <c r="E202" t="e">
        <f>IF(#REF!,"AAAAAGay/QQ=",0)</f>
        <v>#REF!</v>
      </c>
      <c r="F202" t="e">
        <f>IF(#REF!,"AAAAAGay/QU=",0)</f>
        <v>#REF!</v>
      </c>
      <c r="G202" t="e">
        <f>IF(#REF!,"AAAAAGay/QY=",0)</f>
        <v>#REF!</v>
      </c>
      <c r="H202" t="e">
        <f>IF(#REF!,"AAAAAGay/Qc=",0)</f>
        <v>#REF!</v>
      </c>
      <c r="I202" t="e">
        <f>IF(#REF!,"AAAAAGay/Qg=",0)</f>
        <v>#REF!</v>
      </c>
      <c r="J202" t="e">
        <f>IF(#REF!,"AAAAAGay/Qk=",0)</f>
        <v>#REF!</v>
      </c>
      <c r="K202" t="e">
        <f>IF(#REF!,"AAAAAGay/Qo=",0)</f>
        <v>#REF!</v>
      </c>
      <c r="L202" t="e">
        <f>IF(#REF!,"AAAAAGay/Qs=",0)</f>
        <v>#REF!</v>
      </c>
      <c r="M202" t="e">
        <f>IF(#REF!,"AAAAAGay/Qw=",0)</f>
        <v>#REF!</v>
      </c>
      <c r="N202" t="e">
        <f>IF(#REF!,"AAAAAGay/Q0=",0)</f>
        <v>#REF!</v>
      </c>
      <c r="O202" t="e">
        <f>IF(#REF!,"AAAAAGay/Q4=",0)</f>
        <v>#REF!</v>
      </c>
      <c r="P202" t="e">
        <f>IF(#REF!,"AAAAAGay/Q8=",0)</f>
        <v>#REF!</v>
      </c>
      <c r="Q202" t="e">
        <f>IF(#REF!,"AAAAAGay/RA=",0)</f>
        <v>#REF!</v>
      </c>
      <c r="R202" t="e">
        <f>IF(#REF!,"AAAAAGay/RE=",0)</f>
        <v>#REF!</v>
      </c>
      <c r="S202" t="e">
        <f>IF(#REF!,"AAAAAGay/RI=",0)</f>
        <v>#REF!</v>
      </c>
      <c r="T202" t="e">
        <f>IF(#REF!,"AAAAAGay/RM=",0)</f>
        <v>#REF!</v>
      </c>
      <c r="U202" t="e">
        <f>IF(#REF!,"AAAAAGay/RQ=",0)</f>
        <v>#REF!</v>
      </c>
      <c r="V202" t="e">
        <f>IF(#REF!,"AAAAAGay/RU=",0)</f>
        <v>#REF!</v>
      </c>
      <c r="W202" t="e">
        <f>IF(#REF!,"AAAAAGay/RY=",0)</f>
        <v>#REF!</v>
      </c>
      <c r="X202" t="e">
        <f>IF(#REF!,"AAAAAGay/Rc=",0)</f>
        <v>#REF!</v>
      </c>
      <c r="Y202" t="e">
        <f>IF(#REF!,"AAAAAGay/Rg=",0)</f>
        <v>#REF!</v>
      </c>
      <c r="Z202" t="e">
        <f>IF(#REF!,"AAAAAGay/Rk=",0)</f>
        <v>#REF!</v>
      </c>
      <c r="AA202" t="e">
        <f>IF(#REF!,"AAAAAGay/Ro=",0)</f>
        <v>#REF!</v>
      </c>
      <c r="AB202" t="e">
        <f>IF(#REF!,"AAAAAGay/Rs=",0)</f>
        <v>#REF!</v>
      </c>
      <c r="AC202" t="e">
        <f>IF(#REF!,"AAAAAGay/Rw=",0)</f>
        <v>#REF!</v>
      </c>
      <c r="AD202" t="e">
        <f>IF(#REF!,"AAAAAGay/R0=",0)</f>
        <v>#REF!</v>
      </c>
      <c r="AE202" t="e">
        <f>IF(#REF!,"AAAAAGay/R4=",0)</f>
        <v>#REF!</v>
      </c>
      <c r="AF202" t="e">
        <f>IF(#REF!,"AAAAAGay/R8=",0)</f>
        <v>#REF!</v>
      </c>
      <c r="AG202" t="e">
        <f>IF(#REF!,"AAAAAGay/SA=",0)</f>
        <v>#REF!</v>
      </c>
      <c r="AH202" t="e">
        <f>IF(#REF!,"AAAAAGay/SE=",0)</f>
        <v>#REF!</v>
      </c>
      <c r="AI202" t="e">
        <f>IF(#REF!,"AAAAAGay/SI=",0)</f>
        <v>#REF!</v>
      </c>
      <c r="AJ202" t="e">
        <f>IF(#REF!,"AAAAAGay/SM=",0)</f>
        <v>#REF!</v>
      </c>
      <c r="AK202" t="e">
        <f>IF(#REF!,"AAAAAGay/SQ=",0)</f>
        <v>#REF!</v>
      </c>
      <c r="AL202" t="e">
        <f>IF(#REF!,"AAAAAGay/SU=",0)</f>
        <v>#REF!</v>
      </c>
      <c r="AM202" t="e">
        <f>IF(#REF!,"AAAAAGay/SY=",0)</f>
        <v>#REF!</v>
      </c>
      <c r="AN202" t="e">
        <f>IF(#REF!,"AAAAAGay/Sc=",0)</f>
        <v>#REF!</v>
      </c>
      <c r="AO202" t="e">
        <f>IF(#REF!,"AAAAAGay/Sg=",0)</f>
        <v>#REF!</v>
      </c>
      <c r="AP202" t="e">
        <f>IF(#REF!,"AAAAAGay/Sk=",0)</f>
        <v>#REF!</v>
      </c>
      <c r="AQ202" t="e">
        <f>IF(#REF!,"AAAAAGay/So=",0)</f>
        <v>#REF!</v>
      </c>
      <c r="AR202" t="e">
        <f>IF(#REF!,"AAAAAGay/Ss=",0)</f>
        <v>#REF!</v>
      </c>
      <c r="AS202" t="e">
        <f>IF(#REF!,"AAAAAGay/Sw=",0)</f>
        <v>#REF!</v>
      </c>
      <c r="AT202" t="e">
        <f>IF(#REF!,"AAAAAGay/S0=",0)</f>
        <v>#REF!</v>
      </c>
      <c r="AU202" t="e">
        <f>IF(#REF!,"AAAAAGay/S4=",0)</f>
        <v>#REF!</v>
      </c>
      <c r="AV202" t="e">
        <f>IF(#REF!,"AAAAAGay/S8=",0)</f>
        <v>#REF!</v>
      </c>
      <c r="AW202" t="e">
        <f>IF(#REF!,"AAAAAGay/TA=",0)</f>
        <v>#REF!</v>
      </c>
      <c r="AX202" t="e">
        <f>IF(#REF!,"AAAAAGay/TE=",0)</f>
        <v>#REF!</v>
      </c>
      <c r="AY202" t="e">
        <f>IF(#REF!,"AAAAAGay/TI=",0)</f>
        <v>#REF!</v>
      </c>
      <c r="AZ202" t="e">
        <f>IF(#REF!,"AAAAAGay/TM=",0)</f>
        <v>#REF!</v>
      </c>
      <c r="BA202" t="e">
        <f>IF(#REF!,"AAAAAGay/TQ=",0)</f>
        <v>#REF!</v>
      </c>
      <c r="BB202" t="e">
        <f>IF(#REF!,"AAAAAGay/TU=",0)</f>
        <v>#REF!</v>
      </c>
      <c r="BC202" t="e">
        <f>IF(#REF!,"AAAAAGay/TY=",0)</f>
        <v>#REF!</v>
      </c>
      <c r="BD202" t="e">
        <f>IF(#REF!,"AAAAAGay/Tc=",0)</f>
        <v>#REF!</v>
      </c>
      <c r="BE202" t="e">
        <f>IF(#REF!,"AAAAAGay/Tg=",0)</f>
        <v>#REF!</v>
      </c>
      <c r="BF202" t="e">
        <f>IF(#REF!,"AAAAAGay/Tk=",0)</f>
        <v>#REF!</v>
      </c>
      <c r="BG202" t="e">
        <f>IF(#REF!,"AAAAAGay/To=",0)</f>
        <v>#REF!</v>
      </c>
      <c r="BH202" t="e">
        <f>IF(#REF!,"AAAAAGay/Ts=",0)</f>
        <v>#REF!</v>
      </c>
      <c r="BI202" t="e">
        <f>IF(#REF!,"AAAAAGay/Tw=",0)</f>
        <v>#REF!</v>
      </c>
      <c r="BJ202" t="e">
        <f>IF(#REF!,"AAAAAGay/T0=",0)</f>
        <v>#REF!</v>
      </c>
      <c r="BK202" t="e">
        <f>IF(#REF!,"AAAAAGay/T4=",0)</f>
        <v>#REF!</v>
      </c>
      <c r="BL202" t="e">
        <f>IF(#REF!,"AAAAAGay/T8=",0)</f>
        <v>#REF!</v>
      </c>
      <c r="BM202" t="e">
        <f>IF(#REF!,"AAAAAGay/UA=",0)</f>
        <v>#REF!</v>
      </c>
      <c r="BN202" t="e">
        <f>IF(#REF!,"AAAAAGay/UE=",0)</f>
        <v>#REF!</v>
      </c>
      <c r="BO202" t="e">
        <f>IF(#REF!,"AAAAAGay/UI=",0)</f>
        <v>#REF!</v>
      </c>
      <c r="BP202" t="e">
        <f>IF(#REF!,"AAAAAGay/UM=",0)</f>
        <v>#REF!</v>
      </c>
      <c r="BQ202" t="e">
        <f>IF(#REF!,"AAAAAGay/UQ=",0)</f>
        <v>#REF!</v>
      </c>
      <c r="BR202" t="e">
        <f>IF(#REF!,"AAAAAGay/UU=",0)</f>
        <v>#REF!</v>
      </c>
      <c r="BS202" t="e">
        <f>IF(#REF!,"AAAAAGay/UY=",0)</f>
        <v>#REF!</v>
      </c>
      <c r="BT202" t="e">
        <f>IF(#REF!,"AAAAAGay/Uc=",0)</f>
        <v>#REF!</v>
      </c>
      <c r="BU202" t="e">
        <f>IF(#REF!,"AAAAAGay/Ug=",0)</f>
        <v>#REF!</v>
      </c>
      <c r="BV202" t="e">
        <f>IF(#REF!,"AAAAAGay/Uk=",0)</f>
        <v>#REF!</v>
      </c>
      <c r="BW202" t="e">
        <f>IF(#REF!,"AAAAAGay/Uo=",0)</f>
        <v>#REF!</v>
      </c>
      <c r="BX202" t="e">
        <f>IF(#REF!,"AAAAAGay/Us=",0)</f>
        <v>#REF!</v>
      </c>
      <c r="BY202" t="e">
        <f>IF(#REF!,"AAAAAGay/Uw=",0)</f>
        <v>#REF!</v>
      </c>
      <c r="BZ202" t="e">
        <f>IF(#REF!,"AAAAAGay/U0=",0)</f>
        <v>#REF!</v>
      </c>
      <c r="CA202" t="e">
        <f>IF(#REF!,"AAAAAGay/U4=",0)</f>
        <v>#REF!</v>
      </c>
      <c r="CB202" t="e">
        <f>IF(#REF!,"AAAAAGay/U8=",0)</f>
        <v>#REF!</v>
      </c>
      <c r="CC202" t="e">
        <f>IF(#REF!,"AAAAAGay/VA=",0)</f>
        <v>#REF!</v>
      </c>
      <c r="CD202" t="e">
        <f>IF(#REF!,"AAAAAGay/VE=",0)</f>
        <v>#REF!</v>
      </c>
      <c r="CE202" t="e">
        <f>IF(#REF!,"AAAAAGay/VI=",0)</f>
        <v>#REF!</v>
      </c>
      <c r="CF202" t="e">
        <f>IF(#REF!,"AAAAAGay/VM=",0)</f>
        <v>#REF!</v>
      </c>
      <c r="CG202" t="e">
        <f>IF(#REF!,"AAAAAGay/VQ=",0)</f>
        <v>#REF!</v>
      </c>
      <c r="CH202" t="e">
        <f>IF(#REF!,"AAAAAGay/VU=",0)</f>
        <v>#REF!</v>
      </c>
      <c r="CI202" t="e">
        <f>IF(#REF!,"AAAAAGay/VY=",0)</f>
        <v>#REF!</v>
      </c>
      <c r="CJ202" t="e">
        <f>IF(#REF!,"AAAAAGay/Vc=",0)</f>
        <v>#REF!</v>
      </c>
      <c r="CK202" t="e">
        <f>IF(#REF!,"AAAAAGay/Vg=",0)</f>
        <v>#REF!</v>
      </c>
      <c r="CL202" t="e">
        <f>IF(#REF!,"AAAAAGay/Vk=",0)</f>
        <v>#REF!</v>
      </c>
      <c r="CM202" t="e">
        <f>IF(#REF!,"AAAAAGay/Vo=",0)</f>
        <v>#REF!</v>
      </c>
      <c r="CN202" t="e">
        <f>IF(#REF!,"AAAAAGay/Vs=",0)</f>
        <v>#REF!</v>
      </c>
      <c r="CO202" t="e">
        <f>IF(#REF!,"AAAAAGay/Vw=",0)</f>
        <v>#REF!</v>
      </c>
      <c r="CP202" t="e">
        <f>IF(#REF!,"AAAAAGay/V0=",0)</f>
        <v>#REF!</v>
      </c>
      <c r="CQ202" t="e">
        <f>IF(#REF!,"AAAAAGay/V4=",0)</f>
        <v>#REF!</v>
      </c>
      <c r="CR202" t="e">
        <f>IF(#REF!,"AAAAAGay/V8=",0)</f>
        <v>#REF!</v>
      </c>
      <c r="CS202" t="e">
        <f>IF(#REF!,"AAAAAGay/WA=",0)</f>
        <v>#REF!</v>
      </c>
      <c r="CT202" t="e">
        <f>IF(#REF!,"AAAAAGay/WE=",0)</f>
        <v>#REF!</v>
      </c>
      <c r="CU202" t="e">
        <f>IF(#REF!,"AAAAAGay/WI=",0)</f>
        <v>#REF!</v>
      </c>
      <c r="CV202" t="e">
        <f>IF(#REF!,"AAAAAGay/WM=",0)</f>
        <v>#REF!</v>
      </c>
      <c r="CW202" t="e">
        <f>IF(#REF!,"AAAAAGay/WQ=",0)</f>
        <v>#REF!</v>
      </c>
      <c r="CX202" t="e">
        <f>IF(#REF!,"AAAAAGay/WU=",0)</f>
        <v>#REF!</v>
      </c>
      <c r="CY202" t="e">
        <f>IF(#REF!,"AAAAAGay/WY=",0)</f>
        <v>#REF!</v>
      </c>
      <c r="CZ202" t="e">
        <f>IF(#REF!,"AAAAAGay/Wc=",0)</f>
        <v>#REF!</v>
      </c>
      <c r="DA202" t="e">
        <f>IF(#REF!,"AAAAAGay/Wg=",0)</f>
        <v>#REF!</v>
      </c>
      <c r="DB202" t="e">
        <f>IF(#REF!,"AAAAAGay/Wk=",0)</f>
        <v>#REF!</v>
      </c>
      <c r="DC202" t="e">
        <f>IF(#REF!,"AAAAAGay/Wo=",0)</f>
        <v>#REF!</v>
      </c>
      <c r="DD202" t="e">
        <f>IF(#REF!,"AAAAAGay/Ws=",0)</f>
        <v>#REF!</v>
      </c>
      <c r="DE202" t="e">
        <f>IF(#REF!,"AAAAAGay/Ww=",0)</f>
        <v>#REF!</v>
      </c>
      <c r="DF202" t="e">
        <f>IF(#REF!,"AAAAAGay/W0=",0)</f>
        <v>#REF!</v>
      </c>
      <c r="DG202" t="e">
        <f>IF(#REF!,"AAAAAGay/W4=",0)</f>
        <v>#REF!</v>
      </c>
      <c r="DH202" t="e">
        <f>IF(#REF!,"AAAAAGay/W8=",0)</f>
        <v>#REF!</v>
      </c>
      <c r="DI202" t="e">
        <f>IF(#REF!,"AAAAAGay/XA=",0)</f>
        <v>#REF!</v>
      </c>
      <c r="DJ202" t="e">
        <f>IF(#REF!,"AAAAAGay/XE=",0)</f>
        <v>#REF!</v>
      </c>
      <c r="DK202" t="e">
        <f>IF(#REF!,"AAAAAGay/XI=",0)</f>
        <v>#REF!</v>
      </c>
      <c r="DL202" t="e">
        <f>IF(#REF!,"AAAAAGay/XM=",0)</f>
        <v>#REF!</v>
      </c>
      <c r="DM202" t="e">
        <f>IF(#REF!,"AAAAAGay/XQ=",0)</f>
        <v>#REF!</v>
      </c>
      <c r="DN202" t="e">
        <f>IF(#REF!,"AAAAAGay/XU=",0)</f>
        <v>#REF!</v>
      </c>
      <c r="DO202" t="e">
        <f>IF(#REF!,"AAAAAGay/XY=",0)</f>
        <v>#REF!</v>
      </c>
      <c r="DP202" t="e">
        <f>IF(#REF!,"AAAAAGay/Xc=",0)</f>
        <v>#REF!</v>
      </c>
      <c r="DQ202" t="e">
        <f>IF(#REF!,"AAAAAGay/Xg=",0)</f>
        <v>#REF!</v>
      </c>
      <c r="DR202" t="e">
        <f>IF(#REF!,"AAAAAGay/Xk=",0)</f>
        <v>#REF!</v>
      </c>
      <c r="DS202" t="e">
        <f>IF(#REF!,"AAAAAGay/Xo=",0)</f>
        <v>#REF!</v>
      </c>
      <c r="DT202" t="e">
        <f>IF(#REF!,"AAAAAGay/Xs=",0)</f>
        <v>#REF!</v>
      </c>
      <c r="DU202" t="e">
        <f>IF(#REF!,"AAAAAGay/Xw=",0)</f>
        <v>#REF!</v>
      </c>
      <c r="DV202" t="e">
        <f>IF(#REF!,"AAAAAGay/X0=",0)</f>
        <v>#REF!</v>
      </c>
      <c r="DW202" t="e">
        <f>IF(#REF!,"AAAAAGay/X4=",0)</f>
        <v>#REF!</v>
      </c>
      <c r="DX202" t="e">
        <f>IF(#REF!,"AAAAAGay/X8=",0)</f>
        <v>#REF!</v>
      </c>
      <c r="DY202" t="e">
        <f>IF(#REF!,"AAAAAGay/YA=",0)</f>
        <v>#REF!</v>
      </c>
      <c r="DZ202" t="e">
        <f>IF(#REF!,"AAAAAGay/YE=",0)</f>
        <v>#REF!</v>
      </c>
      <c r="EA202" t="e">
        <f>IF(#REF!,"AAAAAGay/YI=",0)</f>
        <v>#REF!</v>
      </c>
      <c r="EB202" t="e">
        <f>IF(#REF!,"AAAAAGay/YM=",0)</f>
        <v>#REF!</v>
      </c>
      <c r="EC202" t="e">
        <f>IF(#REF!,"AAAAAGay/YQ=",0)</f>
        <v>#REF!</v>
      </c>
      <c r="ED202" t="e">
        <f>IF(#REF!,"AAAAAGay/YU=",0)</f>
        <v>#REF!</v>
      </c>
      <c r="EE202" t="e">
        <f>IF(#REF!,"AAAAAGay/YY=",0)</f>
        <v>#REF!</v>
      </c>
      <c r="EF202" t="e">
        <f>IF(#REF!,"AAAAAGay/Yc=",0)</f>
        <v>#REF!</v>
      </c>
      <c r="EG202" t="e">
        <f>IF(#REF!,"AAAAAGay/Yg=",0)</f>
        <v>#REF!</v>
      </c>
      <c r="EH202" t="e">
        <f>IF(#REF!,"AAAAAGay/Yk=",0)</f>
        <v>#REF!</v>
      </c>
      <c r="EI202" t="e">
        <f>IF(#REF!,"AAAAAGay/Yo=",0)</f>
        <v>#REF!</v>
      </c>
      <c r="EJ202" t="e">
        <f>IF(#REF!,"AAAAAGay/Ys=",0)</f>
        <v>#REF!</v>
      </c>
      <c r="EK202" t="e">
        <f>IF(#REF!,"AAAAAGay/Yw=",0)</f>
        <v>#REF!</v>
      </c>
      <c r="EL202" t="e">
        <f>IF(#REF!,"AAAAAGay/Y0=",0)</f>
        <v>#REF!</v>
      </c>
      <c r="EM202" t="e">
        <f>IF(#REF!,"AAAAAGay/Y4=",0)</f>
        <v>#REF!</v>
      </c>
      <c r="EN202" t="e">
        <f>IF(#REF!,"AAAAAGay/Y8=",0)</f>
        <v>#REF!</v>
      </c>
      <c r="EO202" t="e">
        <f>IF(#REF!,"AAAAAGay/ZA=",0)</f>
        <v>#REF!</v>
      </c>
      <c r="EP202" t="e">
        <f>IF(#REF!,"AAAAAGay/ZE=",0)</f>
        <v>#REF!</v>
      </c>
      <c r="EQ202" t="e">
        <f>IF(#REF!,"AAAAAGay/ZI=",0)</f>
        <v>#REF!</v>
      </c>
      <c r="ER202" t="e">
        <f>IF(#REF!,"AAAAAGay/ZM=",0)</f>
        <v>#REF!</v>
      </c>
      <c r="ES202" t="e">
        <f>IF(#REF!,"AAAAAGay/ZQ=",0)</f>
        <v>#REF!</v>
      </c>
      <c r="ET202" t="e">
        <f>IF(#REF!,"AAAAAGay/ZU=",0)</f>
        <v>#REF!</v>
      </c>
      <c r="EU202" t="e">
        <f>IF(#REF!,"AAAAAGay/ZY=",0)</f>
        <v>#REF!</v>
      </c>
      <c r="EV202" t="e">
        <f>IF(#REF!,"AAAAAGay/Zc=",0)</f>
        <v>#REF!</v>
      </c>
      <c r="EW202" t="e">
        <f>IF(#REF!,"AAAAAGay/Zg=",0)</f>
        <v>#REF!</v>
      </c>
      <c r="EX202" t="e">
        <f>IF(#REF!,"AAAAAGay/Zk=",0)</f>
        <v>#REF!</v>
      </c>
      <c r="EY202" t="e">
        <f>IF(#REF!,"AAAAAGay/Zo=",0)</f>
        <v>#REF!</v>
      </c>
      <c r="EZ202" t="e">
        <f>IF(#REF!,"AAAAAGay/Zs=",0)</f>
        <v>#REF!</v>
      </c>
      <c r="FA202" t="e">
        <f>IF(#REF!,"AAAAAGay/Zw=",0)</f>
        <v>#REF!</v>
      </c>
      <c r="FB202" t="e">
        <f>IF(#REF!,"AAAAAGay/Z0=",0)</f>
        <v>#REF!</v>
      </c>
      <c r="FC202" t="e">
        <f>IF(#REF!,"AAAAAGay/Z4=",0)</f>
        <v>#REF!</v>
      </c>
      <c r="FD202" t="e">
        <f>IF(#REF!,"AAAAAGay/Z8=",0)</f>
        <v>#REF!</v>
      </c>
      <c r="FE202" t="e">
        <f>IF(#REF!,"AAAAAGay/aA=",0)</f>
        <v>#REF!</v>
      </c>
      <c r="FF202" t="e">
        <f>IF(#REF!,"AAAAAGay/aE=",0)</f>
        <v>#REF!</v>
      </c>
      <c r="FG202" t="e">
        <f>IF(#REF!,"AAAAAGay/aI=",0)</f>
        <v>#REF!</v>
      </c>
      <c r="FH202" t="e">
        <f>IF(#REF!,"AAAAAGay/aM=",0)</f>
        <v>#REF!</v>
      </c>
      <c r="FI202" t="e">
        <f>IF(#REF!,"AAAAAGay/aQ=",0)</f>
        <v>#REF!</v>
      </c>
      <c r="FJ202" t="e">
        <f>IF(#REF!,"AAAAAGay/aU=",0)</f>
        <v>#REF!</v>
      </c>
      <c r="FK202" t="e">
        <f>IF(#REF!,"AAAAAGay/aY=",0)</f>
        <v>#REF!</v>
      </c>
      <c r="FL202" t="e">
        <f>IF(#REF!,"AAAAAGay/ac=",0)</f>
        <v>#REF!</v>
      </c>
      <c r="FM202" t="e">
        <f>IF(#REF!,"AAAAAGay/ag=",0)</f>
        <v>#REF!</v>
      </c>
      <c r="FN202" t="e">
        <f>IF(#REF!,"AAAAAGay/ak=",0)</f>
        <v>#REF!</v>
      </c>
      <c r="FO202" t="e">
        <f>IF(#REF!,"AAAAAGay/ao=",0)</f>
        <v>#REF!</v>
      </c>
      <c r="FP202" t="e">
        <f>IF(#REF!,"AAAAAGay/as=",0)</f>
        <v>#REF!</v>
      </c>
      <c r="FQ202" t="e">
        <f>IF(#REF!,"AAAAAGay/aw=",0)</f>
        <v>#REF!</v>
      </c>
      <c r="FR202" t="e">
        <f>IF(#REF!,"AAAAAGay/a0=",0)</f>
        <v>#REF!</v>
      </c>
      <c r="FS202" t="e">
        <f>IF(#REF!,"AAAAAGay/a4=",0)</f>
        <v>#REF!</v>
      </c>
      <c r="FT202" t="e">
        <f>IF(#REF!,"AAAAAGay/a8=",0)</f>
        <v>#REF!</v>
      </c>
      <c r="FU202" t="e">
        <f>IF(#REF!,"AAAAAGay/bA=",0)</f>
        <v>#REF!</v>
      </c>
      <c r="FV202" t="e">
        <f>IF(#REF!,"AAAAAGay/bE=",0)</f>
        <v>#REF!</v>
      </c>
      <c r="FW202" t="e">
        <f>IF(#REF!,"AAAAAGay/bI=",0)</f>
        <v>#REF!</v>
      </c>
      <c r="FX202" t="e">
        <f>IF(#REF!,"AAAAAGay/bM=",0)</f>
        <v>#REF!</v>
      </c>
      <c r="FY202" t="e">
        <f>IF(#REF!,"AAAAAGay/bQ=",0)</f>
        <v>#REF!</v>
      </c>
      <c r="FZ202" t="e">
        <f>IF(#REF!,"AAAAAGay/bU=",0)</f>
        <v>#REF!</v>
      </c>
      <c r="GA202" t="e">
        <f>IF(#REF!,"AAAAAGay/bY=",0)</f>
        <v>#REF!</v>
      </c>
      <c r="GB202" t="e">
        <f>IF(#REF!,"AAAAAGay/bc=",0)</f>
        <v>#REF!</v>
      </c>
      <c r="GC202" t="e">
        <f>IF(#REF!,"AAAAAGay/bg=",0)</f>
        <v>#REF!</v>
      </c>
      <c r="GD202" t="e">
        <f>IF(#REF!,"AAAAAGay/bk=",0)</f>
        <v>#REF!</v>
      </c>
      <c r="GE202" t="e">
        <f>IF(#REF!,"AAAAAGay/bo=",0)</f>
        <v>#REF!</v>
      </c>
      <c r="GF202" t="e">
        <f>IF(#REF!,"AAAAAGay/bs=",0)</f>
        <v>#REF!</v>
      </c>
      <c r="GG202" t="e">
        <f>IF(#REF!,"AAAAAGay/bw=",0)</f>
        <v>#REF!</v>
      </c>
      <c r="GH202" t="e">
        <f>IF(#REF!,"AAAAAGay/b0=",0)</f>
        <v>#REF!</v>
      </c>
      <c r="GI202" t="e">
        <f>IF(#REF!,"AAAAAGay/b4=",0)</f>
        <v>#REF!</v>
      </c>
      <c r="GJ202" t="e">
        <f>IF(#REF!,"AAAAAGay/b8=",0)</f>
        <v>#REF!</v>
      </c>
      <c r="GK202" t="e">
        <f>IF(#REF!,"AAAAAGay/cA=",0)</f>
        <v>#REF!</v>
      </c>
      <c r="GL202" t="e">
        <f>IF(#REF!,"AAAAAGay/cE=",0)</f>
        <v>#REF!</v>
      </c>
      <c r="GM202" t="e">
        <f>IF(#REF!,"AAAAAGay/cI=",0)</f>
        <v>#REF!</v>
      </c>
      <c r="GN202" t="e">
        <f>IF(#REF!,"AAAAAGay/cM=",0)</f>
        <v>#REF!</v>
      </c>
      <c r="GO202" t="e">
        <f>IF(#REF!,"AAAAAGay/cQ=",0)</f>
        <v>#REF!</v>
      </c>
      <c r="GP202" t="e">
        <f>IF(#REF!,"AAAAAGay/cU=",0)</f>
        <v>#REF!</v>
      </c>
      <c r="GQ202" t="e">
        <f>IF(#REF!,"AAAAAGay/cY=",0)</f>
        <v>#REF!</v>
      </c>
      <c r="GR202" t="e">
        <f>IF(#REF!,"AAAAAGay/cc=",0)</f>
        <v>#REF!</v>
      </c>
      <c r="GS202" t="e">
        <f>IF(#REF!,"AAAAAGay/cg=",0)</f>
        <v>#REF!</v>
      </c>
      <c r="GT202" t="e">
        <f>IF(#REF!,"AAAAAGay/ck=",0)</f>
        <v>#REF!</v>
      </c>
      <c r="GU202" t="e">
        <f>IF(#REF!,"AAAAAGay/co=",0)</f>
        <v>#REF!</v>
      </c>
      <c r="GV202" t="e">
        <f>IF(#REF!,"AAAAAGay/cs=",0)</f>
        <v>#REF!</v>
      </c>
      <c r="GW202" t="e">
        <f>IF(#REF!,"AAAAAGay/cw=",0)</f>
        <v>#REF!</v>
      </c>
      <c r="GX202" t="e">
        <f>IF(#REF!,"AAAAAGay/c0=",0)</f>
        <v>#REF!</v>
      </c>
      <c r="GY202" t="e">
        <f>IF(#REF!,"AAAAAGay/c4=",0)</f>
        <v>#REF!</v>
      </c>
      <c r="GZ202" t="e">
        <f>IF(#REF!,"AAAAAGay/c8=",0)</f>
        <v>#REF!</v>
      </c>
      <c r="HA202" t="e">
        <f>IF(#REF!,"AAAAAGay/dA=",0)</f>
        <v>#REF!</v>
      </c>
      <c r="HB202" t="e">
        <f>IF(#REF!,"AAAAAGay/dE=",0)</f>
        <v>#REF!</v>
      </c>
      <c r="HC202" t="e">
        <f>IF(#REF!,"AAAAAGay/dI=",0)</f>
        <v>#REF!</v>
      </c>
      <c r="HD202" t="e">
        <f>IF(#REF!,"AAAAAGay/dM=",0)</f>
        <v>#REF!</v>
      </c>
      <c r="HE202" t="e">
        <f>IF(#REF!,"AAAAAGay/dQ=",0)</f>
        <v>#REF!</v>
      </c>
      <c r="HF202" t="e">
        <f>IF(#REF!,"AAAAAGay/dU=",0)</f>
        <v>#REF!</v>
      </c>
      <c r="HG202" t="e">
        <f>IF(#REF!,"AAAAAGay/dY=",0)</f>
        <v>#REF!</v>
      </c>
      <c r="HH202" t="e">
        <f>IF(#REF!,"AAAAAGay/dc=",0)</f>
        <v>#REF!</v>
      </c>
      <c r="HI202" t="e">
        <f>IF(#REF!,"AAAAAGay/dg=",0)</f>
        <v>#REF!</v>
      </c>
      <c r="HJ202" t="e">
        <f>IF(#REF!,"AAAAAGay/dk=",0)</f>
        <v>#REF!</v>
      </c>
      <c r="HK202" t="e">
        <f>IF(#REF!,"AAAAAGay/do=",0)</f>
        <v>#REF!</v>
      </c>
      <c r="HL202" t="e">
        <f>IF(#REF!,"AAAAAGay/ds=",0)</f>
        <v>#REF!</v>
      </c>
      <c r="HM202" t="e">
        <f>IF(#REF!,"AAAAAGay/dw=",0)</f>
        <v>#REF!</v>
      </c>
      <c r="HN202" t="e">
        <f>IF(#REF!,"AAAAAGay/d0=",0)</f>
        <v>#REF!</v>
      </c>
      <c r="HO202" t="e">
        <f>IF(#REF!,"AAAAAGay/d4=",0)</f>
        <v>#REF!</v>
      </c>
      <c r="HP202" t="e">
        <f>IF(#REF!,"AAAAAGay/d8=",0)</f>
        <v>#REF!</v>
      </c>
      <c r="HQ202" t="e">
        <f>IF(#REF!,"AAAAAGay/eA=",0)</f>
        <v>#REF!</v>
      </c>
      <c r="HR202" t="e">
        <f>IF(#REF!,"AAAAAGay/eE=",0)</f>
        <v>#REF!</v>
      </c>
      <c r="HS202" t="e">
        <f>IF(#REF!,"AAAAAGay/eI=",0)</f>
        <v>#REF!</v>
      </c>
      <c r="HT202" t="e">
        <f>IF(#REF!,"AAAAAGay/eM=",0)</f>
        <v>#REF!</v>
      </c>
      <c r="HU202" t="e">
        <f>IF(#REF!,"AAAAAGay/eQ=",0)</f>
        <v>#REF!</v>
      </c>
      <c r="HV202" t="e">
        <f>IF(#REF!,"AAAAAGay/eU=",0)</f>
        <v>#REF!</v>
      </c>
      <c r="HW202" t="e">
        <f>IF(#REF!,"AAAAAGay/eY=",0)</f>
        <v>#REF!</v>
      </c>
      <c r="HX202" t="e">
        <f>IF(#REF!,"AAAAAGay/ec=",0)</f>
        <v>#REF!</v>
      </c>
      <c r="HY202" t="e">
        <f>IF(#REF!,"AAAAAGay/eg=",0)</f>
        <v>#REF!</v>
      </c>
      <c r="HZ202" t="e">
        <f>IF(#REF!,"AAAAAGay/ek=",0)</f>
        <v>#REF!</v>
      </c>
      <c r="IA202" t="e">
        <f>IF(#REF!,"AAAAAGay/eo=",0)</f>
        <v>#REF!</v>
      </c>
      <c r="IB202" t="e">
        <f>IF(#REF!,"AAAAAGay/es=",0)</f>
        <v>#REF!</v>
      </c>
      <c r="IC202" t="e">
        <f>IF(#REF!,"AAAAAGay/ew=",0)</f>
        <v>#REF!</v>
      </c>
      <c r="ID202" t="e">
        <f>IF(#REF!,"AAAAAGay/e0=",0)</f>
        <v>#REF!</v>
      </c>
      <c r="IE202" t="e">
        <f>IF(#REF!,"AAAAAGay/e4=",0)</f>
        <v>#REF!</v>
      </c>
      <c r="IF202" t="e">
        <f>IF(#REF!,"AAAAAGay/e8=",0)</f>
        <v>#REF!</v>
      </c>
      <c r="IG202" t="e">
        <f>IF(#REF!,"AAAAAGay/fA=",0)</f>
        <v>#REF!</v>
      </c>
      <c r="IH202" t="e">
        <f>IF(#REF!,"AAAAAGay/fE=",0)</f>
        <v>#REF!</v>
      </c>
      <c r="II202" t="e">
        <f>IF(#REF!,"AAAAAGay/fI=",0)</f>
        <v>#REF!</v>
      </c>
      <c r="IJ202" t="e">
        <f>IF(#REF!,"AAAAAGay/fM=",0)</f>
        <v>#REF!</v>
      </c>
      <c r="IK202" t="e">
        <f>IF(#REF!,"AAAAAGay/fQ=",0)</f>
        <v>#REF!</v>
      </c>
      <c r="IL202" t="e">
        <f>IF(#REF!,"AAAAAGay/fU=",0)</f>
        <v>#REF!</v>
      </c>
      <c r="IM202" t="e">
        <f>IF(#REF!,"AAAAAGay/fY=",0)</f>
        <v>#REF!</v>
      </c>
      <c r="IN202" t="e">
        <f>IF(#REF!,"AAAAAGay/fc=",0)</f>
        <v>#REF!</v>
      </c>
      <c r="IO202" t="e">
        <f>IF(#REF!,"AAAAAGay/fg=",0)</f>
        <v>#REF!</v>
      </c>
      <c r="IP202" t="e">
        <f>IF(#REF!,"AAAAAGay/fk=",0)</f>
        <v>#REF!</v>
      </c>
      <c r="IQ202" t="e">
        <f>IF(#REF!,"AAAAAGay/fo=",0)</f>
        <v>#REF!</v>
      </c>
      <c r="IR202" t="e">
        <f>IF(#REF!,"AAAAAGay/fs=",0)</f>
        <v>#REF!</v>
      </c>
      <c r="IS202" t="e">
        <f>IF(#REF!,"AAAAAGay/fw=",0)</f>
        <v>#REF!</v>
      </c>
      <c r="IT202" t="e">
        <f>IF(#REF!,"AAAAAGay/f0=",0)</f>
        <v>#REF!</v>
      </c>
      <c r="IU202" t="e">
        <f>IF(#REF!,"AAAAAGay/f4=",0)</f>
        <v>#REF!</v>
      </c>
      <c r="IV202" t="e">
        <f>IF(#REF!,"AAAAAGay/f8=",0)</f>
        <v>#REF!</v>
      </c>
    </row>
    <row r="203" spans="1:256">
      <c r="A203" t="e">
        <f>IF(#REF!,"AAAAAHZ9/QA=",0)</f>
        <v>#REF!</v>
      </c>
      <c r="B203" t="e">
        <f>IF(#REF!,"AAAAAHZ9/QE=",0)</f>
        <v>#REF!</v>
      </c>
      <c r="C203" t="e">
        <f>IF(#REF!,"AAAAAHZ9/QI=",0)</f>
        <v>#REF!</v>
      </c>
      <c r="D203" t="e">
        <f>IF(#REF!,"AAAAAHZ9/QM=",0)</f>
        <v>#REF!</v>
      </c>
      <c r="E203" t="e">
        <f>IF(#REF!,"AAAAAHZ9/QQ=",0)</f>
        <v>#REF!</v>
      </c>
      <c r="F203" t="e">
        <f>IF(#REF!,"AAAAAHZ9/QU=",0)</f>
        <v>#REF!</v>
      </c>
      <c r="G203" t="e">
        <f>IF(#REF!,"AAAAAHZ9/QY=",0)</f>
        <v>#REF!</v>
      </c>
      <c r="H203" t="e">
        <f>IF(#REF!,"AAAAAHZ9/Qc=",0)</f>
        <v>#REF!</v>
      </c>
      <c r="I203" t="e">
        <f>IF(#REF!,"AAAAAHZ9/Qg=",0)</f>
        <v>#REF!</v>
      </c>
      <c r="J203" t="e">
        <f>IF(#REF!,"AAAAAHZ9/Qk=",0)</f>
        <v>#REF!</v>
      </c>
      <c r="K203" t="e">
        <f>IF(#REF!,"AAAAAHZ9/Qo=",0)</f>
        <v>#REF!</v>
      </c>
      <c r="L203" t="e">
        <f>IF(#REF!,"AAAAAHZ9/Qs=",0)</f>
        <v>#REF!</v>
      </c>
      <c r="M203" t="e">
        <f>IF(#REF!,"AAAAAHZ9/Qw=",0)</f>
        <v>#REF!</v>
      </c>
      <c r="N203" t="e">
        <f>IF(#REF!,"AAAAAHZ9/Q0=",0)</f>
        <v>#REF!</v>
      </c>
      <c r="O203" t="e">
        <f>IF(#REF!,"AAAAAHZ9/Q4=",0)</f>
        <v>#REF!</v>
      </c>
      <c r="P203" t="e">
        <f>IF(#REF!,"AAAAAHZ9/Q8=",0)</f>
        <v>#REF!</v>
      </c>
      <c r="Q203" t="e">
        <f>IF(#REF!,"AAAAAHZ9/RA=",0)</f>
        <v>#REF!</v>
      </c>
      <c r="R203" t="e">
        <f>IF(#REF!,"AAAAAHZ9/RE=",0)</f>
        <v>#REF!</v>
      </c>
      <c r="S203" t="e">
        <f>IF(#REF!,"AAAAAHZ9/RI=",0)</f>
        <v>#REF!</v>
      </c>
      <c r="T203" t="e">
        <f>IF(#REF!,"AAAAAHZ9/RM=",0)</f>
        <v>#REF!</v>
      </c>
      <c r="U203" t="e">
        <f>IF(#REF!,"AAAAAHZ9/RQ=",0)</f>
        <v>#REF!</v>
      </c>
      <c r="V203" t="e">
        <f>IF(#REF!,"AAAAAHZ9/RU=",0)</f>
        <v>#REF!</v>
      </c>
      <c r="W203" t="e">
        <f>IF(#REF!,"AAAAAHZ9/RY=",0)</f>
        <v>#REF!</v>
      </c>
      <c r="X203" t="e">
        <f>IF(#REF!,"AAAAAHZ9/Rc=",0)</f>
        <v>#REF!</v>
      </c>
      <c r="Y203" t="e">
        <f>IF(#REF!,"AAAAAHZ9/Rg=",0)</f>
        <v>#REF!</v>
      </c>
      <c r="Z203" t="e">
        <f>IF(#REF!,"AAAAAHZ9/Rk=",0)</f>
        <v>#REF!</v>
      </c>
      <c r="AA203" t="e">
        <f>IF(#REF!,"AAAAAHZ9/Ro=",0)</f>
        <v>#REF!</v>
      </c>
      <c r="AB203" t="e">
        <f>IF(#REF!,"AAAAAHZ9/Rs=",0)</f>
        <v>#REF!</v>
      </c>
      <c r="AC203" t="e">
        <f>IF(#REF!,"AAAAAHZ9/Rw=",0)</f>
        <v>#REF!</v>
      </c>
      <c r="AD203" t="e">
        <f>IF(#REF!,"AAAAAHZ9/R0=",0)</f>
        <v>#REF!</v>
      </c>
      <c r="AE203" t="e">
        <f>IF(#REF!,"AAAAAHZ9/R4=",0)</f>
        <v>#REF!</v>
      </c>
      <c r="AF203" t="e">
        <f>IF(#REF!,"AAAAAHZ9/R8=",0)</f>
        <v>#REF!</v>
      </c>
      <c r="AG203" t="e">
        <f>IF(#REF!,"AAAAAHZ9/SA=",0)</f>
        <v>#REF!</v>
      </c>
      <c r="AH203" t="e">
        <f>IF(#REF!,"AAAAAHZ9/SE=",0)</f>
        <v>#REF!</v>
      </c>
      <c r="AI203" t="e">
        <f>IF(#REF!,"AAAAAHZ9/SI=",0)</f>
        <v>#REF!</v>
      </c>
      <c r="AJ203" t="e">
        <f>IF(#REF!,"AAAAAHZ9/SM=",0)</f>
        <v>#REF!</v>
      </c>
      <c r="AK203" t="e">
        <f>IF(#REF!,"AAAAAHZ9/SQ=",0)</f>
        <v>#REF!</v>
      </c>
      <c r="AL203" t="e">
        <f>IF(#REF!,"AAAAAHZ9/SU=",0)</f>
        <v>#REF!</v>
      </c>
      <c r="AM203" t="e">
        <f>IF(#REF!,"AAAAAHZ9/SY=",0)</f>
        <v>#REF!</v>
      </c>
      <c r="AN203" t="e">
        <f>IF(#REF!,"AAAAAHZ9/Sc=",0)</f>
        <v>#REF!</v>
      </c>
      <c r="AO203" t="e">
        <f>IF(#REF!,"AAAAAHZ9/Sg=",0)</f>
        <v>#REF!</v>
      </c>
      <c r="AP203" t="e">
        <f>IF(#REF!,"AAAAAHZ9/Sk=",0)</f>
        <v>#REF!</v>
      </c>
      <c r="AQ203" t="e">
        <f>IF(#REF!,"AAAAAHZ9/So=",0)</f>
        <v>#REF!</v>
      </c>
      <c r="AR203" t="e">
        <f>IF(#REF!,"AAAAAHZ9/Ss=",0)</f>
        <v>#REF!</v>
      </c>
      <c r="AS203" t="e">
        <f>IF(#REF!,"AAAAAHZ9/Sw=",0)</f>
        <v>#REF!</v>
      </c>
      <c r="AT203" t="e">
        <f>IF(#REF!,"AAAAAHZ9/S0=",0)</f>
        <v>#REF!</v>
      </c>
      <c r="AU203" t="e">
        <f>IF(#REF!,"AAAAAHZ9/S4=",0)</f>
        <v>#REF!</v>
      </c>
      <c r="AV203" t="e">
        <f>IF(#REF!,"AAAAAHZ9/S8=",0)</f>
        <v>#REF!</v>
      </c>
      <c r="AW203" t="e">
        <f>IF(#REF!,"AAAAAHZ9/TA=",0)</f>
        <v>#REF!</v>
      </c>
      <c r="AX203" t="e">
        <f>IF(#REF!,"AAAAAHZ9/TE=",0)</f>
        <v>#REF!</v>
      </c>
      <c r="AY203" t="e">
        <f>IF(#REF!,"AAAAAHZ9/TI=",0)</f>
        <v>#REF!</v>
      </c>
      <c r="AZ203" t="e">
        <f>IF(#REF!,"AAAAAHZ9/TM=",0)</f>
        <v>#REF!</v>
      </c>
      <c r="BA203" t="e">
        <f>IF(#REF!,"AAAAAHZ9/TQ=",0)</f>
        <v>#REF!</v>
      </c>
      <c r="BB203" t="e">
        <f>IF(#REF!,"AAAAAHZ9/TU=",0)</f>
        <v>#REF!</v>
      </c>
      <c r="BC203" t="e">
        <f>IF(#REF!,"AAAAAHZ9/TY=",0)</f>
        <v>#REF!</v>
      </c>
      <c r="BD203" t="e">
        <f>IF(#REF!,"AAAAAHZ9/Tc=",0)</f>
        <v>#REF!</v>
      </c>
      <c r="BE203" t="e">
        <f>IF(#REF!,"AAAAAHZ9/Tg=",0)</f>
        <v>#REF!</v>
      </c>
      <c r="BF203" t="e">
        <f>IF(#REF!,"AAAAAHZ9/Tk=",0)</f>
        <v>#REF!</v>
      </c>
      <c r="BG203" t="e">
        <f>IF(#REF!,"AAAAAHZ9/To=",0)</f>
        <v>#REF!</v>
      </c>
      <c r="BH203" t="e">
        <f>IF(#REF!,"AAAAAHZ9/Ts=",0)</f>
        <v>#REF!</v>
      </c>
      <c r="BI203" t="e">
        <f>IF(#REF!,"AAAAAHZ9/Tw=",0)</f>
        <v>#REF!</v>
      </c>
      <c r="BJ203" t="e">
        <f>IF(#REF!,"AAAAAHZ9/T0=",0)</f>
        <v>#REF!</v>
      </c>
      <c r="BK203" t="e">
        <f>IF(#REF!,"AAAAAHZ9/T4=",0)</f>
        <v>#REF!</v>
      </c>
      <c r="BL203" t="e">
        <f>IF(#REF!,"AAAAAHZ9/T8=",0)</f>
        <v>#REF!</v>
      </c>
      <c r="BM203" t="e">
        <f>IF(#REF!,"AAAAAHZ9/UA=",0)</f>
        <v>#REF!</v>
      </c>
      <c r="BN203" t="e">
        <f>IF(#REF!,"AAAAAHZ9/UE=",0)</f>
        <v>#REF!</v>
      </c>
      <c r="BO203" t="e">
        <f>IF(#REF!,"AAAAAHZ9/UI=",0)</f>
        <v>#REF!</v>
      </c>
      <c r="BP203" t="e">
        <f>IF(#REF!,"AAAAAHZ9/UM=",0)</f>
        <v>#REF!</v>
      </c>
      <c r="BQ203" t="e">
        <f>IF(#REF!,"AAAAAHZ9/UQ=",0)</f>
        <v>#REF!</v>
      </c>
      <c r="BR203" t="e">
        <f>IF(#REF!,"AAAAAHZ9/UU=",0)</f>
        <v>#REF!</v>
      </c>
      <c r="BS203" t="e">
        <f>IF(#REF!,"AAAAAHZ9/UY=",0)</f>
        <v>#REF!</v>
      </c>
      <c r="BT203" t="e">
        <f>IF(#REF!,"AAAAAHZ9/Uc=",0)</f>
        <v>#REF!</v>
      </c>
      <c r="BU203" t="e">
        <f>IF(#REF!,"AAAAAHZ9/Ug=",0)</f>
        <v>#REF!</v>
      </c>
      <c r="BV203" t="e">
        <f>IF(#REF!,"AAAAAHZ9/Uk=",0)</f>
        <v>#REF!</v>
      </c>
      <c r="BW203" t="e">
        <f>IF(#REF!,"AAAAAHZ9/Uo=",0)</f>
        <v>#REF!</v>
      </c>
      <c r="BX203" t="e">
        <f>IF(#REF!,"AAAAAHZ9/Us=",0)</f>
        <v>#REF!</v>
      </c>
      <c r="BY203" t="e">
        <f>IF(#REF!,"AAAAAHZ9/Uw=",0)</f>
        <v>#REF!</v>
      </c>
      <c r="BZ203" t="e">
        <f>IF(#REF!,"AAAAAHZ9/U0=",0)</f>
        <v>#REF!</v>
      </c>
      <c r="CA203" t="e">
        <f>IF(#REF!,"AAAAAHZ9/U4=",0)</f>
        <v>#REF!</v>
      </c>
      <c r="CB203" t="e">
        <f>IF(#REF!,"AAAAAHZ9/U8=",0)</f>
        <v>#REF!</v>
      </c>
      <c r="CC203" t="e">
        <f>IF(#REF!,"AAAAAHZ9/VA=",0)</f>
        <v>#REF!</v>
      </c>
      <c r="CD203" t="e">
        <f>IF(#REF!,"AAAAAHZ9/VE=",0)</f>
        <v>#REF!</v>
      </c>
      <c r="CE203" t="e">
        <f>IF(#REF!,"AAAAAHZ9/VI=",0)</f>
        <v>#REF!</v>
      </c>
      <c r="CF203" t="e">
        <f>IF(#REF!,"AAAAAHZ9/VM=",0)</f>
        <v>#REF!</v>
      </c>
      <c r="CG203" t="e">
        <f>IF(#REF!,"AAAAAHZ9/VQ=",0)</f>
        <v>#REF!</v>
      </c>
      <c r="CH203" t="e">
        <f>IF(#REF!,"AAAAAHZ9/VU=",0)</f>
        <v>#REF!</v>
      </c>
      <c r="CI203" t="e">
        <f>IF(#REF!,"AAAAAHZ9/VY=",0)</f>
        <v>#REF!</v>
      </c>
      <c r="CJ203" t="e">
        <f>IF(#REF!,"AAAAAHZ9/Vc=",0)</f>
        <v>#REF!</v>
      </c>
      <c r="CK203" t="e">
        <f>IF(#REF!,"AAAAAHZ9/Vg=",0)</f>
        <v>#REF!</v>
      </c>
      <c r="CL203" t="e">
        <f>IF(#REF!,"AAAAAHZ9/Vk=",0)</f>
        <v>#REF!</v>
      </c>
      <c r="CM203" t="e">
        <f>IF(#REF!,"AAAAAHZ9/Vo=",0)</f>
        <v>#REF!</v>
      </c>
      <c r="CN203" t="e">
        <f>IF(#REF!,"AAAAAHZ9/Vs=",0)</f>
        <v>#REF!</v>
      </c>
      <c r="CO203" t="e">
        <f>IF(#REF!,"AAAAAHZ9/Vw=",0)</f>
        <v>#REF!</v>
      </c>
      <c r="CP203" t="e">
        <f>IF(#REF!,"AAAAAHZ9/V0=",0)</f>
        <v>#REF!</v>
      </c>
      <c r="CQ203" t="e">
        <f>IF(#REF!,"AAAAAHZ9/V4=",0)</f>
        <v>#REF!</v>
      </c>
      <c r="CR203" t="e">
        <f>IF(#REF!,"AAAAAHZ9/V8=",0)</f>
        <v>#REF!</v>
      </c>
      <c r="CS203" t="e">
        <f>IF(#REF!,"AAAAAHZ9/WA=",0)</f>
        <v>#REF!</v>
      </c>
      <c r="CT203" t="e">
        <f>IF(#REF!,"AAAAAHZ9/WE=",0)</f>
        <v>#REF!</v>
      </c>
      <c r="CU203" t="e">
        <f>IF(#REF!,"AAAAAHZ9/WI=",0)</f>
        <v>#REF!</v>
      </c>
      <c r="CV203" t="e">
        <f>IF(#REF!,"AAAAAHZ9/WM=",0)</f>
        <v>#REF!</v>
      </c>
      <c r="CW203" t="e">
        <f>IF(#REF!,"AAAAAHZ9/WQ=",0)</f>
        <v>#REF!</v>
      </c>
      <c r="CX203" t="e">
        <f>IF(#REF!,"AAAAAHZ9/WU=",0)</f>
        <v>#REF!</v>
      </c>
      <c r="CY203" t="e">
        <f>IF(#REF!,"AAAAAHZ9/WY=",0)</f>
        <v>#REF!</v>
      </c>
      <c r="CZ203" t="e">
        <f>IF(#REF!,"AAAAAHZ9/Wc=",0)</f>
        <v>#REF!</v>
      </c>
      <c r="DA203" t="e">
        <f>IF(#REF!,"AAAAAHZ9/Wg=",0)</f>
        <v>#REF!</v>
      </c>
      <c r="DB203" t="e">
        <f>IF(#REF!,"AAAAAHZ9/Wk=",0)</f>
        <v>#REF!</v>
      </c>
      <c r="DC203" t="e">
        <f>IF(#REF!,"AAAAAHZ9/Wo=",0)</f>
        <v>#REF!</v>
      </c>
      <c r="DD203" t="e">
        <f>IF(#REF!,"AAAAAHZ9/Ws=",0)</f>
        <v>#REF!</v>
      </c>
      <c r="DE203" t="e">
        <f>IF(#REF!,"AAAAAHZ9/Ww=",0)</f>
        <v>#REF!</v>
      </c>
      <c r="DF203" t="e">
        <f>IF(#REF!,"AAAAAHZ9/W0=",0)</f>
        <v>#REF!</v>
      </c>
      <c r="DG203" t="e">
        <f>IF(#REF!,"AAAAAHZ9/W4=",0)</f>
        <v>#REF!</v>
      </c>
      <c r="DH203" t="e">
        <f>IF(#REF!,"AAAAAHZ9/W8=",0)</f>
        <v>#REF!</v>
      </c>
      <c r="DI203" t="e">
        <f>IF(#REF!,"AAAAAHZ9/XA=",0)</f>
        <v>#REF!</v>
      </c>
      <c r="DJ203" t="e">
        <f>IF(#REF!,"AAAAAHZ9/XE=",0)</f>
        <v>#REF!</v>
      </c>
      <c r="DK203" t="e">
        <f>IF(#REF!,"AAAAAHZ9/XI=",0)</f>
        <v>#REF!</v>
      </c>
      <c r="DL203" t="e">
        <f>IF(#REF!,"AAAAAHZ9/XM=",0)</f>
        <v>#REF!</v>
      </c>
      <c r="DM203" t="e">
        <f>IF(#REF!,"AAAAAHZ9/XQ=",0)</f>
        <v>#REF!</v>
      </c>
      <c r="DN203" t="e">
        <f>IF(#REF!,"AAAAAHZ9/XU=",0)</f>
        <v>#REF!</v>
      </c>
      <c r="DO203" t="e">
        <f>IF(#REF!,"AAAAAHZ9/XY=",0)</f>
        <v>#REF!</v>
      </c>
      <c r="DP203" t="e">
        <f>IF(#REF!,"AAAAAHZ9/Xc=",0)</f>
        <v>#REF!</v>
      </c>
      <c r="DQ203" t="e">
        <f>IF(#REF!,"AAAAAHZ9/Xg=",0)</f>
        <v>#REF!</v>
      </c>
      <c r="DR203" t="e">
        <f>IF(#REF!,"AAAAAHZ9/Xk=",0)</f>
        <v>#REF!</v>
      </c>
      <c r="DS203" t="e">
        <f>IF(#REF!,"AAAAAHZ9/Xo=",0)</f>
        <v>#REF!</v>
      </c>
      <c r="DT203" t="e">
        <f>IF(#REF!,"AAAAAHZ9/Xs=",0)</f>
        <v>#REF!</v>
      </c>
      <c r="DU203" t="e">
        <f>IF(#REF!,"AAAAAHZ9/Xw=",0)</f>
        <v>#REF!</v>
      </c>
      <c r="DV203" t="e">
        <f>IF(#REF!,"AAAAAHZ9/X0=",0)</f>
        <v>#REF!</v>
      </c>
      <c r="DW203" t="e">
        <f>IF(#REF!,"AAAAAHZ9/X4=",0)</f>
        <v>#REF!</v>
      </c>
      <c r="DX203" t="e">
        <f>IF(#REF!,"AAAAAHZ9/X8=",0)</f>
        <v>#REF!</v>
      </c>
      <c r="DY203" t="e">
        <f>IF(#REF!,"AAAAAHZ9/YA=",0)</f>
        <v>#REF!</v>
      </c>
      <c r="DZ203" t="e">
        <f>IF(#REF!,"AAAAAHZ9/YE=",0)</f>
        <v>#REF!</v>
      </c>
      <c r="EA203" t="e">
        <f>IF(#REF!,"AAAAAHZ9/YI=",0)</f>
        <v>#REF!</v>
      </c>
      <c r="EB203" t="e">
        <f>IF(#REF!,"AAAAAHZ9/YM=",0)</f>
        <v>#REF!</v>
      </c>
      <c r="EC203" t="e">
        <f>IF(#REF!,"AAAAAHZ9/YQ=",0)</f>
        <v>#REF!</v>
      </c>
      <c r="ED203" t="e">
        <f>IF(#REF!,"AAAAAHZ9/YU=",0)</f>
        <v>#REF!</v>
      </c>
      <c r="EE203" t="e">
        <f>IF(#REF!,"AAAAAHZ9/YY=",0)</f>
        <v>#REF!</v>
      </c>
      <c r="EF203" t="e">
        <f>IF(#REF!,"AAAAAHZ9/Yc=",0)</f>
        <v>#REF!</v>
      </c>
      <c r="EG203" t="e">
        <f>IF(#REF!,"AAAAAHZ9/Yg=",0)</f>
        <v>#REF!</v>
      </c>
      <c r="EH203" t="e">
        <f>IF(#REF!,"AAAAAHZ9/Yk=",0)</f>
        <v>#REF!</v>
      </c>
      <c r="EI203" t="e">
        <f>IF(#REF!,"AAAAAHZ9/Yo=",0)</f>
        <v>#REF!</v>
      </c>
      <c r="EJ203" t="e">
        <f>IF(#REF!,"AAAAAHZ9/Ys=",0)</f>
        <v>#REF!</v>
      </c>
      <c r="EK203" t="e">
        <f>IF(#REF!,"AAAAAHZ9/Yw=",0)</f>
        <v>#REF!</v>
      </c>
      <c r="EL203" t="e">
        <f>IF(#REF!,"AAAAAHZ9/Y0=",0)</f>
        <v>#REF!</v>
      </c>
      <c r="EM203" t="e">
        <f>IF(#REF!,"AAAAAHZ9/Y4=",0)</f>
        <v>#REF!</v>
      </c>
      <c r="EN203" t="e">
        <f>IF(#REF!,"AAAAAHZ9/Y8=",0)</f>
        <v>#REF!</v>
      </c>
      <c r="EO203" t="e">
        <f>IF(#REF!,"AAAAAHZ9/ZA=",0)</f>
        <v>#REF!</v>
      </c>
      <c r="EP203" t="e">
        <f>IF(#REF!,"AAAAAHZ9/ZE=",0)</f>
        <v>#REF!</v>
      </c>
      <c r="EQ203" t="e">
        <f>IF(#REF!,"AAAAAHZ9/ZI=",0)</f>
        <v>#REF!</v>
      </c>
      <c r="ER203" t="e">
        <f>IF(#REF!,"AAAAAHZ9/ZM=",0)</f>
        <v>#REF!</v>
      </c>
      <c r="ES203" t="e">
        <f>IF(#REF!,"AAAAAHZ9/ZQ=",0)</f>
        <v>#REF!</v>
      </c>
      <c r="ET203" t="e">
        <f>IF(#REF!,"AAAAAHZ9/ZU=",0)</f>
        <v>#REF!</v>
      </c>
      <c r="EU203" t="e">
        <f>IF(#REF!,"AAAAAHZ9/ZY=",0)</f>
        <v>#REF!</v>
      </c>
      <c r="EV203" t="e">
        <f>IF(#REF!,"AAAAAHZ9/Zc=",0)</f>
        <v>#REF!</v>
      </c>
      <c r="EW203" t="e">
        <f>IF(#REF!,"AAAAAHZ9/Zg=",0)</f>
        <v>#REF!</v>
      </c>
      <c r="EX203" t="e">
        <f>IF(#REF!,"AAAAAHZ9/Zk=",0)</f>
        <v>#REF!</v>
      </c>
      <c r="EY203" t="e">
        <f>IF(#REF!,"AAAAAHZ9/Zo=",0)</f>
        <v>#REF!</v>
      </c>
      <c r="EZ203" t="e">
        <f>IF(#REF!,"AAAAAHZ9/Zs=",0)</f>
        <v>#REF!</v>
      </c>
      <c r="FA203" t="e">
        <f>IF(#REF!,"AAAAAHZ9/Zw=",0)</f>
        <v>#REF!</v>
      </c>
      <c r="FB203" t="e">
        <f>IF(#REF!,"AAAAAHZ9/Z0=",0)</f>
        <v>#REF!</v>
      </c>
      <c r="FC203" t="e">
        <f>IF(#REF!,"AAAAAHZ9/Z4=",0)</f>
        <v>#REF!</v>
      </c>
      <c r="FD203" t="e">
        <f>IF(#REF!,"AAAAAHZ9/Z8=",0)</f>
        <v>#REF!</v>
      </c>
      <c r="FE203" t="e">
        <f>IF(#REF!,"AAAAAHZ9/aA=",0)</f>
        <v>#REF!</v>
      </c>
      <c r="FF203" t="e">
        <f>IF(#REF!,"AAAAAHZ9/aE=",0)</f>
        <v>#REF!</v>
      </c>
      <c r="FG203" t="e">
        <f>IF(#REF!,"AAAAAHZ9/aI=",0)</f>
        <v>#REF!</v>
      </c>
      <c r="FH203" t="e">
        <f>IF(#REF!,"AAAAAHZ9/aM=",0)</f>
        <v>#REF!</v>
      </c>
      <c r="FI203" t="e">
        <f>IF(#REF!,"AAAAAHZ9/aQ=",0)</f>
        <v>#REF!</v>
      </c>
      <c r="FJ203" t="e">
        <f>IF(#REF!,"AAAAAHZ9/aU=",0)</f>
        <v>#REF!</v>
      </c>
      <c r="FK203" t="e">
        <f>IF(#REF!,"AAAAAHZ9/aY=",0)</f>
        <v>#REF!</v>
      </c>
      <c r="FL203" t="e">
        <f>IF(#REF!,"AAAAAHZ9/ac=",0)</f>
        <v>#REF!</v>
      </c>
      <c r="FM203" t="e">
        <f>IF(#REF!,"AAAAAHZ9/ag=",0)</f>
        <v>#REF!</v>
      </c>
      <c r="FN203" t="e">
        <f>IF(#REF!,"AAAAAHZ9/ak=",0)</f>
        <v>#REF!</v>
      </c>
      <c r="FO203" t="e">
        <f>IF(#REF!,"AAAAAHZ9/ao=",0)</f>
        <v>#REF!</v>
      </c>
      <c r="FP203" t="e">
        <f>IF(#REF!,"AAAAAHZ9/as=",0)</f>
        <v>#REF!</v>
      </c>
      <c r="FQ203" t="e">
        <f>IF(#REF!,"AAAAAHZ9/aw=",0)</f>
        <v>#REF!</v>
      </c>
      <c r="FR203" t="e">
        <f>IF(#REF!,"AAAAAHZ9/a0=",0)</f>
        <v>#REF!</v>
      </c>
      <c r="FS203" t="e">
        <f>IF(#REF!,"AAAAAHZ9/a4=",0)</f>
        <v>#REF!</v>
      </c>
      <c r="FT203" t="e">
        <f>IF(#REF!,"AAAAAHZ9/a8=",0)</f>
        <v>#REF!</v>
      </c>
      <c r="FU203" t="e">
        <f>IF(#REF!,"AAAAAHZ9/bA=",0)</f>
        <v>#REF!</v>
      </c>
      <c r="FV203" t="e">
        <f>IF(#REF!,"AAAAAHZ9/bE=",0)</f>
        <v>#REF!</v>
      </c>
      <c r="FW203" t="e">
        <f>IF(#REF!,"AAAAAHZ9/bI=",0)</f>
        <v>#REF!</v>
      </c>
      <c r="FX203" t="e">
        <f>IF(#REF!,"AAAAAHZ9/bM=",0)</f>
        <v>#REF!</v>
      </c>
      <c r="FY203" t="e">
        <f>IF(#REF!,"AAAAAHZ9/bQ=",0)</f>
        <v>#REF!</v>
      </c>
      <c r="FZ203" t="e">
        <f>IF(#REF!,"AAAAAHZ9/bU=",0)</f>
        <v>#REF!</v>
      </c>
      <c r="GA203" t="e">
        <f>IF(#REF!,"AAAAAHZ9/bY=",0)</f>
        <v>#REF!</v>
      </c>
      <c r="GB203" t="e">
        <f>IF(#REF!,"AAAAAHZ9/bc=",0)</f>
        <v>#REF!</v>
      </c>
      <c r="GC203" t="e">
        <f>IF(#REF!,"AAAAAHZ9/bg=",0)</f>
        <v>#REF!</v>
      </c>
      <c r="GD203" t="e">
        <f>IF(#REF!,"AAAAAHZ9/bk=",0)</f>
        <v>#REF!</v>
      </c>
      <c r="GE203" t="e">
        <f>IF(#REF!,"AAAAAHZ9/bo=",0)</f>
        <v>#REF!</v>
      </c>
      <c r="GF203" t="e">
        <f>IF(#REF!,"AAAAAHZ9/bs=",0)</f>
        <v>#REF!</v>
      </c>
      <c r="GG203" t="e">
        <f>IF(#REF!,"AAAAAHZ9/bw=",0)</f>
        <v>#REF!</v>
      </c>
      <c r="GH203" t="e">
        <f>IF(#REF!,"AAAAAHZ9/b0=",0)</f>
        <v>#REF!</v>
      </c>
      <c r="GI203" t="e">
        <f>IF(#REF!,"AAAAAHZ9/b4=",0)</f>
        <v>#REF!</v>
      </c>
      <c r="GJ203" t="e">
        <f>IF(#REF!,"AAAAAHZ9/b8=",0)</f>
        <v>#REF!</v>
      </c>
      <c r="GK203" t="e">
        <f>IF(#REF!,"AAAAAHZ9/cA=",0)</f>
        <v>#REF!</v>
      </c>
      <c r="GL203" t="e">
        <f>IF(#REF!,"AAAAAHZ9/cE=",0)</f>
        <v>#REF!</v>
      </c>
      <c r="GM203" t="e">
        <f>IF(#REF!,"AAAAAHZ9/cI=",0)</f>
        <v>#REF!</v>
      </c>
      <c r="GN203" t="e">
        <f>IF(#REF!,"AAAAAHZ9/cM=",0)</f>
        <v>#REF!</v>
      </c>
      <c r="GO203" t="e">
        <f>IF(#REF!,"AAAAAHZ9/cQ=",0)</f>
        <v>#REF!</v>
      </c>
      <c r="GP203" t="e">
        <f>IF(#REF!,"AAAAAHZ9/cU=",0)</f>
        <v>#REF!</v>
      </c>
      <c r="GQ203" t="e">
        <f>IF(#REF!,"AAAAAHZ9/cY=",0)</f>
        <v>#REF!</v>
      </c>
      <c r="GR203" t="e">
        <f>IF(#REF!,"AAAAAHZ9/cc=",0)</f>
        <v>#REF!</v>
      </c>
      <c r="GS203" t="e">
        <f>IF(#REF!,"AAAAAHZ9/cg=",0)</f>
        <v>#REF!</v>
      </c>
      <c r="GT203" t="e">
        <f>IF(#REF!,"AAAAAHZ9/ck=",0)</f>
        <v>#REF!</v>
      </c>
      <c r="GU203" t="e">
        <f>IF(#REF!,"AAAAAHZ9/co=",0)</f>
        <v>#REF!</v>
      </c>
      <c r="GV203" t="e">
        <f>IF(#REF!,"AAAAAHZ9/cs=",0)</f>
        <v>#REF!</v>
      </c>
      <c r="GW203" t="e">
        <f>IF(#REF!,"AAAAAHZ9/cw=",0)</f>
        <v>#REF!</v>
      </c>
      <c r="GX203" t="e">
        <f>IF(#REF!,"AAAAAHZ9/c0=",0)</f>
        <v>#REF!</v>
      </c>
      <c r="GY203" t="e">
        <f>IF(#REF!,"AAAAAHZ9/c4=",0)</f>
        <v>#REF!</v>
      </c>
      <c r="GZ203" t="e">
        <f>IF(#REF!,"AAAAAHZ9/c8=",0)</f>
        <v>#REF!</v>
      </c>
      <c r="HA203" t="e">
        <f>IF(#REF!,"AAAAAHZ9/dA=",0)</f>
        <v>#REF!</v>
      </c>
      <c r="HB203" t="e">
        <f>IF(#REF!,"AAAAAHZ9/dE=",0)</f>
        <v>#REF!</v>
      </c>
      <c r="HC203" t="e">
        <f>IF(#REF!,"AAAAAHZ9/dI=",0)</f>
        <v>#REF!</v>
      </c>
      <c r="HD203" t="e">
        <f>IF(#REF!,"AAAAAHZ9/dM=",0)</f>
        <v>#REF!</v>
      </c>
      <c r="HE203" t="e">
        <f>IF(#REF!,"AAAAAHZ9/dQ=",0)</f>
        <v>#REF!</v>
      </c>
      <c r="HF203" t="e">
        <f>IF(#REF!,"AAAAAHZ9/dU=",0)</f>
        <v>#REF!</v>
      </c>
      <c r="HG203" t="e">
        <f>IF(#REF!,"AAAAAHZ9/dY=",0)</f>
        <v>#REF!</v>
      </c>
      <c r="HH203" t="e">
        <f>IF(#REF!,"AAAAAHZ9/dc=",0)</f>
        <v>#REF!</v>
      </c>
      <c r="HI203" t="e">
        <f>IF(#REF!,"AAAAAHZ9/dg=",0)</f>
        <v>#REF!</v>
      </c>
      <c r="HJ203" t="e">
        <f>IF(#REF!,"AAAAAHZ9/dk=",0)</f>
        <v>#REF!</v>
      </c>
      <c r="HK203" t="e">
        <f>IF(#REF!,"AAAAAHZ9/do=",0)</f>
        <v>#REF!</v>
      </c>
      <c r="HL203" t="e">
        <f>IF(#REF!,"AAAAAHZ9/ds=",0)</f>
        <v>#REF!</v>
      </c>
      <c r="HM203" t="e">
        <f>IF(#REF!,"AAAAAHZ9/dw=",0)</f>
        <v>#REF!</v>
      </c>
      <c r="HN203" t="e">
        <f>IF(#REF!,"AAAAAHZ9/d0=",0)</f>
        <v>#REF!</v>
      </c>
      <c r="HO203" t="e">
        <f>IF(#REF!,"AAAAAHZ9/d4=",0)</f>
        <v>#REF!</v>
      </c>
      <c r="HP203" t="e">
        <f>IF(#REF!,"AAAAAHZ9/d8=",0)</f>
        <v>#REF!</v>
      </c>
      <c r="HQ203" t="e">
        <f>IF(#REF!,"AAAAAHZ9/eA=",0)</f>
        <v>#REF!</v>
      </c>
      <c r="HR203" t="e">
        <f>IF(#REF!,"AAAAAHZ9/eE=",0)</f>
        <v>#REF!</v>
      </c>
      <c r="HS203" t="e">
        <f>IF(#REF!,"AAAAAHZ9/eI=",0)</f>
        <v>#REF!</v>
      </c>
      <c r="HT203" t="e">
        <f>IF(#REF!,"AAAAAHZ9/eM=",0)</f>
        <v>#REF!</v>
      </c>
      <c r="HU203" t="e">
        <f>IF(#REF!,"AAAAAHZ9/eQ=",0)</f>
        <v>#REF!</v>
      </c>
      <c r="HV203" t="e">
        <f>IF(#REF!,"AAAAAHZ9/eU=",0)</f>
        <v>#REF!</v>
      </c>
      <c r="HW203" t="e">
        <f>IF(#REF!,"AAAAAHZ9/eY=",0)</f>
        <v>#REF!</v>
      </c>
      <c r="HX203" t="e">
        <f>IF(#REF!,"AAAAAHZ9/ec=",0)</f>
        <v>#REF!</v>
      </c>
      <c r="HY203" t="e">
        <f>IF(#REF!,"AAAAAHZ9/eg=",0)</f>
        <v>#REF!</v>
      </c>
      <c r="HZ203" t="e">
        <f>IF(#REF!,"AAAAAHZ9/ek=",0)</f>
        <v>#REF!</v>
      </c>
      <c r="IA203" t="e">
        <f>IF(#REF!,"AAAAAHZ9/eo=",0)</f>
        <v>#REF!</v>
      </c>
      <c r="IB203" t="e">
        <f>IF(#REF!,"AAAAAHZ9/es=",0)</f>
        <v>#REF!</v>
      </c>
      <c r="IC203" t="e">
        <f>IF(#REF!,"AAAAAHZ9/ew=",0)</f>
        <v>#REF!</v>
      </c>
      <c r="ID203" t="e">
        <f>IF(#REF!,"AAAAAHZ9/e0=",0)</f>
        <v>#REF!</v>
      </c>
      <c r="IE203" t="e">
        <f>IF(#REF!,"AAAAAHZ9/e4=",0)</f>
        <v>#REF!</v>
      </c>
      <c r="IF203" t="e">
        <f>IF(#REF!,"AAAAAHZ9/e8=",0)</f>
        <v>#REF!</v>
      </c>
      <c r="IG203" t="e">
        <f>IF(#REF!,"AAAAAHZ9/fA=",0)</f>
        <v>#REF!</v>
      </c>
      <c r="IH203" t="e">
        <f>IF(#REF!,"AAAAAHZ9/fE=",0)</f>
        <v>#REF!</v>
      </c>
      <c r="II203" t="e">
        <f>IF(#REF!,"AAAAAHZ9/fI=",0)</f>
        <v>#REF!</v>
      </c>
      <c r="IJ203" t="e">
        <f>IF(#REF!,"AAAAAHZ9/fM=",0)</f>
        <v>#REF!</v>
      </c>
      <c r="IK203" t="e">
        <f>IF(#REF!,"AAAAAHZ9/fQ=",0)</f>
        <v>#REF!</v>
      </c>
      <c r="IL203" t="e">
        <f>IF(#REF!,"AAAAAHZ9/fU=",0)</f>
        <v>#REF!</v>
      </c>
      <c r="IM203" t="e">
        <f>IF(#REF!,"AAAAAHZ9/fY=",0)</f>
        <v>#REF!</v>
      </c>
      <c r="IN203" t="e">
        <f>IF(#REF!,"AAAAAHZ9/fc=",0)</f>
        <v>#REF!</v>
      </c>
      <c r="IO203" t="e">
        <f>IF(#REF!,"AAAAAHZ9/fg=",0)</f>
        <v>#REF!</v>
      </c>
      <c r="IP203" t="e">
        <f>IF(#REF!,"AAAAAHZ9/fk=",0)</f>
        <v>#REF!</v>
      </c>
      <c r="IQ203" t="e">
        <f>IF(#REF!,"AAAAAHZ9/fo=",0)</f>
        <v>#REF!</v>
      </c>
      <c r="IR203" t="e">
        <f>IF(#REF!,"AAAAAHZ9/fs=",0)</f>
        <v>#REF!</v>
      </c>
      <c r="IS203" t="e">
        <f>IF(#REF!,"AAAAAHZ9/fw=",0)</f>
        <v>#REF!</v>
      </c>
      <c r="IT203" t="e">
        <f>IF(#REF!,"AAAAAHZ9/f0=",0)</f>
        <v>#REF!</v>
      </c>
      <c r="IU203" t="e">
        <f>IF(#REF!,"AAAAAHZ9/f4=",0)</f>
        <v>#REF!</v>
      </c>
      <c r="IV203" t="e">
        <f>IF(#REF!,"AAAAAHZ9/f8=",0)</f>
        <v>#REF!</v>
      </c>
    </row>
    <row r="204" spans="1:256">
      <c r="A204" t="e">
        <f>IF(#REF!,"AAAAAH/f4wA=",0)</f>
        <v>#REF!</v>
      </c>
      <c r="B204" t="e">
        <f>IF(#REF!,"AAAAAH/f4wE=",0)</f>
        <v>#REF!</v>
      </c>
      <c r="C204" t="e">
        <f>IF(#REF!,"AAAAAH/f4wI=",0)</f>
        <v>#REF!</v>
      </c>
      <c r="D204" t="e">
        <f>IF(#REF!,"AAAAAH/f4wM=",0)</f>
        <v>#REF!</v>
      </c>
      <c r="E204" t="e">
        <f>IF(#REF!,"AAAAAH/f4wQ=",0)</f>
        <v>#REF!</v>
      </c>
      <c r="F204" t="e">
        <f>IF(#REF!,"AAAAAH/f4wU=",0)</f>
        <v>#REF!</v>
      </c>
      <c r="G204" t="e">
        <f>IF(#REF!,"AAAAAH/f4wY=",0)</f>
        <v>#REF!</v>
      </c>
      <c r="H204" t="e">
        <f>IF(#REF!,"AAAAAH/f4wc=",0)</f>
        <v>#REF!</v>
      </c>
      <c r="I204" t="e">
        <f>IF(#REF!,"AAAAAH/f4wg=",0)</f>
        <v>#REF!</v>
      </c>
      <c r="J204" t="e">
        <f>IF(#REF!,"AAAAAH/f4wk=",0)</f>
        <v>#REF!</v>
      </c>
      <c r="K204" t="e">
        <f>IF(#REF!,"AAAAAH/f4wo=",0)</f>
        <v>#REF!</v>
      </c>
      <c r="L204" t="e">
        <f>IF(#REF!,"AAAAAH/f4ws=",0)</f>
        <v>#REF!</v>
      </c>
      <c r="M204" t="e">
        <f>IF(#REF!,"AAAAAH/f4ww=",0)</f>
        <v>#REF!</v>
      </c>
      <c r="N204" t="e">
        <f>IF(#REF!,"AAAAAH/f4w0=",0)</f>
        <v>#REF!</v>
      </c>
      <c r="O204" t="e">
        <f>IF(#REF!,"AAAAAH/f4w4=",0)</f>
        <v>#REF!</v>
      </c>
      <c r="P204" t="e">
        <f>IF(#REF!,"AAAAAH/f4w8=",0)</f>
        <v>#REF!</v>
      </c>
      <c r="Q204" t="e">
        <f>IF(#REF!,"AAAAAH/f4xA=",0)</f>
        <v>#REF!</v>
      </c>
      <c r="R204" t="e">
        <f>IF(#REF!,"AAAAAH/f4xE=",0)</f>
        <v>#REF!</v>
      </c>
      <c r="S204" t="e">
        <f>IF(#REF!,"AAAAAH/f4xI=",0)</f>
        <v>#REF!</v>
      </c>
      <c r="T204" t="e">
        <f>IF(#REF!,"AAAAAH/f4xM=",0)</f>
        <v>#REF!</v>
      </c>
      <c r="U204" t="e">
        <f>IF(#REF!,"AAAAAH/f4xQ=",0)</f>
        <v>#REF!</v>
      </c>
      <c r="V204" t="e">
        <f>IF(#REF!,"AAAAAH/f4xU=",0)</f>
        <v>#REF!</v>
      </c>
      <c r="W204" t="e">
        <f>IF(#REF!,"AAAAAH/f4xY=",0)</f>
        <v>#REF!</v>
      </c>
      <c r="X204" t="e">
        <f>IF(#REF!,"AAAAAH/f4xc=",0)</f>
        <v>#REF!</v>
      </c>
      <c r="Y204" t="e">
        <f>IF(#REF!,"AAAAAH/f4xg=",0)</f>
        <v>#REF!</v>
      </c>
      <c r="Z204" t="e">
        <f>IF(#REF!,"AAAAAH/f4xk=",0)</f>
        <v>#REF!</v>
      </c>
      <c r="AA204" t="e">
        <f>IF(#REF!,"AAAAAH/f4xo=",0)</f>
        <v>#REF!</v>
      </c>
      <c r="AB204" t="e">
        <f>IF(#REF!,"AAAAAH/f4xs=",0)</f>
        <v>#REF!</v>
      </c>
      <c r="AC204" t="e">
        <f>IF(#REF!,"AAAAAH/f4xw=",0)</f>
        <v>#REF!</v>
      </c>
      <c r="AD204" t="e">
        <f>IF(#REF!,"AAAAAH/f4x0=",0)</f>
        <v>#REF!</v>
      </c>
      <c r="AE204" t="e">
        <f>IF(#REF!,"AAAAAH/f4x4=",0)</f>
        <v>#REF!</v>
      </c>
      <c r="AF204" t="e">
        <f>IF(#REF!,"AAAAAH/f4x8=",0)</f>
        <v>#REF!</v>
      </c>
      <c r="AG204" t="e">
        <f>IF(#REF!,"AAAAAH/f4yA=",0)</f>
        <v>#REF!</v>
      </c>
      <c r="AH204" t="e">
        <f>IF(#REF!,"AAAAAH/f4yE=",0)</f>
        <v>#REF!</v>
      </c>
      <c r="AI204" t="e">
        <f>IF(#REF!,"AAAAAH/f4yI=",0)</f>
        <v>#REF!</v>
      </c>
      <c r="AJ204" t="e">
        <f>IF(#REF!,"AAAAAH/f4yM=",0)</f>
        <v>#REF!</v>
      </c>
      <c r="AK204" t="e">
        <f>IF(#REF!,"AAAAAH/f4yQ=",0)</f>
        <v>#REF!</v>
      </c>
      <c r="AL204" t="e">
        <f>IF(#REF!,"AAAAAH/f4yU=",0)</f>
        <v>#REF!</v>
      </c>
      <c r="AM204" t="e">
        <f>IF(#REF!,"AAAAAH/f4yY=",0)</f>
        <v>#REF!</v>
      </c>
      <c r="AN204" t="e">
        <f>IF(#REF!,"AAAAAH/f4yc=",0)</f>
        <v>#REF!</v>
      </c>
      <c r="AO204" t="e">
        <f>IF(#REF!,"AAAAAH/f4yg=",0)</f>
        <v>#REF!</v>
      </c>
      <c r="AP204" t="e">
        <f>IF(#REF!,"AAAAAH/f4yk=",0)</f>
        <v>#REF!</v>
      </c>
      <c r="AQ204" t="e">
        <f>IF(#REF!,"AAAAAH/f4yo=",0)</f>
        <v>#REF!</v>
      </c>
      <c r="AR204" t="e">
        <f>IF(#REF!,"AAAAAH/f4ys=",0)</f>
        <v>#REF!</v>
      </c>
      <c r="AS204" t="e">
        <f>IF(#REF!,"AAAAAH/f4yw=",0)</f>
        <v>#REF!</v>
      </c>
      <c r="AT204" t="e">
        <f>IF(#REF!,"AAAAAH/f4y0=",0)</f>
        <v>#REF!</v>
      </c>
      <c r="AU204" t="e">
        <f>IF(#REF!,"AAAAAH/f4y4=",0)</f>
        <v>#REF!</v>
      </c>
      <c r="AV204" t="e">
        <f>IF(#REF!,"AAAAAH/f4y8=",0)</f>
        <v>#REF!</v>
      </c>
      <c r="AW204" t="e">
        <f>IF(#REF!,"AAAAAH/f4zA=",0)</f>
        <v>#REF!</v>
      </c>
      <c r="AX204" t="e">
        <f>IF(#REF!,"AAAAAH/f4zE=",0)</f>
        <v>#REF!</v>
      </c>
      <c r="AY204" t="e">
        <f>IF(#REF!,"AAAAAH/f4zI=",0)</f>
        <v>#REF!</v>
      </c>
      <c r="AZ204" t="e">
        <f>IF(#REF!,"AAAAAH/f4zM=",0)</f>
        <v>#REF!</v>
      </c>
      <c r="BA204" t="e">
        <f>IF(#REF!,"AAAAAH/f4zQ=",0)</f>
        <v>#REF!</v>
      </c>
      <c r="BB204" t="e">
        <f>IF(#REF!,"AAAAAH/f4zU=",0)</f>
        <v>#REF!</v>
      </c>
      <c r="BC204" t="e">
        <f>IF(#REF!,"AAAAAH/f4zY=",0)</f>
        <v>#REF!</v>
      </c>
      <c r="BD204" t="e">
        <f>IF(#REF!,"AAAAAH/f4zc=",0)</f>
        <v>#REF!</v>
      </c>
      <c r="BE204" t="e">
        <f>IF(#REF!,"AAAAAH/f4zg=",0)</f>
        <v>#REF!</v>
      </c>
      <c r="BF204" t="e">
        <f>IF(#REF!,"AAAAAH/f4zk=",0)</f>
        <v>#REF!</v>
      </c>
      <c r="BG204" t="e">
        <f>IF(#REF!,"AAAAAH/f4zo=",0)</f>
        <v>#REF!</v>
      </c>
      <c r="BH204" t="e">
        <f>IF(#REF!,"AAAAAH/f4zs=",0)</f>
        <v>#REF!</v>
      </c>
      <c r="BI204" t="e">
        <f>IF(#REF!,"AAAAAH/f4zw=",0)</f>
        <v>#REF!</v>
      </c>
      <c r="BJ204" t="e">
        <f>IF(#REF!,"AAAAAH/f4z0=",0)</f>
        <v>#REF!</v>
      </c>
      <c r="BK204" t="e">
        <f>IF(#REF!,"AAAAAH/f4z4=",0)</f>
        <v>#REF!</v>
      </c>
      <c r="BL204" t="e">
        <f>IF(#REF!,"AAAAAH/f4z8=",0)</f>
        <v>#REF!</v>
      </c>
      <c r="BM204" t="e">
        <f>IF(#REF!,"AAAAAH/f40A=",0)</f>
        <v>#REF!</v>
      </c>
      <c r="BN204" t="e">
        <f>IF(#REF!,"AAAAAH/f40E=",0)</f>
        <v>#REF!</v>
      </c>
      <c r="BO204" t="e">
        <f>IF(#REF!,"AAAAAH/f40I=",0)</f>
        <v>#REF!</v>
      </c>
      <c r="BP204" t="e">
        <f>IF(#REF!,"AAAAAH/f40M=",0)</f>
        <v>#REF!</v>
      </c>
      <c r="BQ204" t="e">
        <f>IF(#REF!,"AAAAAH/f40Q=",0)</f>
        <v>#REF!</v>
      </c>
      <c r="BR204" t="e">
        <f>IF(#REF!,"AAAAAH/f40U=",0)</f>
        <v>#REF!</v>
      </c>
      <c r="BS204" t="e">
        <f>IF(#REF!,"AAAAAH/f40Y=",0)</f>
        <v>#REF!</v>
      </c>
      <c r="BT204" t="e">
        <f>IF(#REF!,"AAAAAH/f40c=",0)</f>
        <v>#REF!</v>
      </c>
      <c r="BU204" t="e">
        <f>IF(#REF!,"AAAAAH/f40g=",0)</f>
        <v>#REF!</v>
      </c>
      <c r="BV204" t="e">
        <f>IF(#REF!,"AAAAAH/f40k=",0)</f>
        <v>#REF!</v>
      </c>
      <c r="BW204" t="e">
        <f>IF(#REF!,"AAAAAH/f40o=",0)</f>
        <v>#REF!</v>
      </c>
      <c r="BX204" t="e">
        <f>IF(#REF!,"AAAAAH/f40s=",0)</f>
        <v>#REF!</v>
      </c>
      <c r="BY204" t="e">
        <f>IF(#REF!,"AAAAAH/f40w=",0)</f>
        <v>#REF!</v>
      </c>
      <c r="BZ204" t="e">
        <f>IF(#REF!,"AAAAAH/f400=",0)</f>
        <v>#REF!</v>
      </c>
      <c r="CA204" t="e">
        <f>IF(#REF!,"AAAAAH/f404=",0)</f>
        <v>#REF!</v>
      </c>
      <c r="CB204" t="e">
        <f>IF(#REF!,"AAAAAH/f408=",0)</f>
        <v>#REF!</v>
      </c>
      <c r="CC204" t="e">
        <f>IF(#REF!,"AAAAAH/f41A=",0)</f>
        <v>#REF!</v>
      </c>
      <c r="CD204" t="e">
        <f>IF(#REF!,"AAAAAH/f41E=",0)</f>
        <v>#REF!</v>
      </c>
      <c r="CE204" t="e">
        <f>IF(#REF!,"AAAAAH/f41I=",0)</f>
        <v>#REF!</v>
      </c>
      <c r="CF204" t="e">
        <f>IF(#REF!,"AAAAAH/f41M=",0)</f>
        <v>#REF!</v>
      </c>
      <c r="CG204" t="e">
        <f>IF(#REF!,"AAAAAH/f41Q=",0)</f>
        <v>#REF!</v>
      </c>
      <c r="CH204" t="e">
        <f>IF(#REF!,"AAAAAH/f41U=",0)</f>
        <v>#REF!</v>
      </c>
      <c r="CI204" t="e">
        <f>IF(#REF!,"AAAAAH/f41Y=",0)</f>
        <v>#REF!</v>
      </c>
      <c r="CJ204" t="e">
        <f>IF(#REF!,"AAAAAH/f41c=",0)</f>
        <v>#REF!</v>
      </c>
      <c r="CK204" t="e">
        <f>IF(#REF!,"AAAAAH/f41g=",0)</f>
        <v>#REF!</v>
      </c>
      <c r="CL204" t="e">
        <f>IF(#REF!,"AAAAAH/f41k=",0)</f>
        <v>#REF!</v>
      </c>
      <c r="CM204" t="e">
        <f>IF(#REF!,"AAAAAH/f41o=",0)</f>
        <v>#REF!</v>
      </c>
      <c r="CN204" t="e">
        <f>IF(#REF!,"AAAAAH/f41s=",0)</f>
        <v>#REF!</v>
      </c>
      <c r="CO204" t="e">
        <f>IF(#REF!,"AAAAAH/f41w=",0)</f>
        <v>#REF!</v>
      </c>
      <c r="CP204" t="e">
        <f>IF(#REF!,"AAAAAH/f410=",0)</f>
        <v>#REF!</v>
      </c>
      <c r="CQ204" t="e">
        <f>IF(#REF!,"AAAAAH/f414=",0)</f>
        <v>#REF!</v>
      </c>
      <c r="CR204" t="e">
        <f>IF(#REF!,"AAAAAH/f418=",0)</f>
        <v>#REF!</v>
      </c>
      <c r="CS204" t="e">
        <f>IF(#REF!,"AAAAAH/f42A=",0)</f>
        <v>#REF!</v>
      </c>
      <c r="CT204" t="e">
        <f>IF(#REF!,"AAAAAH/f42E=",0)</f>
        <v>#REF!</v>
      </c>
      <c r="CU204" t="e">
        <f>IF(#REF!,"AAAAAH/f42I=",0)</f>
        <v>#REF!</v>
      </c>
      <c r="CV204" t="e">
        <f>IF(#REF!,"AAAAAH/f42M=",0)</f>
        <v>#REF!</v>
      </c>
      <c r="CW204" t="e">
        <f>IF(#REF!,"AAAAAH/f42Q=",0)</f>
        <v>#REF!</v>
      </c>
      <c r="CX204" t="e">
        <f>IF(#REF!,"AAAAAH/f42U=",0)</f>
        <v>#REF!</v>
      </c>
      <c r="CY204" t="e">
        <f>IF(#REF!,"AAAAAH/f42Y=",0)</f>
        <v>#REF!</v>
      </c>
      <c r="CZ204" t="e">
        <f>IF(#REF!,"AAAAAH/f42c=",0)</f>
        <v>#REF!</v>
      </c>
      <c r="DA204" t="e">
        <f>IF(#REF!,"AAAAAH/f42g=",0)</f>
        <v>#REF!</v>
      </c>
      <c r="DB204" t="e">
        <f>IF(#REF!,"AAAAAH/f42k=",0)</f>
        <v>#REF!</v>
      </c>
      <c r="DC204" t="e">
        <f>IF(#REF!,"AAAAAH/f42o=",0)</f>
        <v>#REF!</v>
      </c>
      <c r="DD204" t="e">
        <f>IF(#REF!,"AAAAAH/f42s=",0)</f>
        <v>#REF!</v>
      </c>
      <c r="DE204" t="e">
        <f>IF(#REF!,"AAAAAH/f42w=",0)</f>
        <v>#REF!</v>
      </c>
      <c r="DF204" t="e">
        <f>IF(#REF!,"AAAAAH/f420=",0)</f>
        <v>#REF!</v>
      </c>
      <c r="DG204" t="e">
        <f>IF(#REF!,"AAAAAH/f424=",0)</f>
        <v>#REF!</v>
      </c>
      <c r="DH204" t="e">
        <f>IF(#REF!,"AAAAAH/f428=",0)</f>
        <v>#REF!</v>
      </c>
      <c r="DI204" t="e">
        <f>IF(#REF!,"AAAAAH/f43A=",0)</f>
        <v>#REF!</v>
      </c>
      <c r="DJ204" t="e">
        <f>IF(#REF!,"AAAAAH/f43E=",0)</f>
        <v>#REF!</v>
      </c>
      <c r="DK204" t="e">
        <f>IF(#REF!,"AAAAAH/f43I=",0)</f>
        <v>#REF!</v>
      </c>
      <c r="DL204" t="e">
        <f>IF(#REF!,"AAAAAH/f43M=",0)</f>
        <v>#REF!</v>
      </c>
      <c r="DM204" t="e">
        <f>IF(#REF!,"AAAAAH/f43Q=",0)</f>
        <v>#REF!</v>
      </c>
      <c r="DN204" t="e">
        <f>IF(#REF!,"AAAAAH/f43U=",0)</f>
        <v>#REF!</v>
      </c>
      <c r="DO204" t="e">
        <f>IF(#REF!,"AAAAAH/f43Y=",0)</f>
        <v>#REF!</v>
      </c>
      <c r="DP204" t="e">
        <f>IF(#REF!,"AAAAAH/f43c=",0)</f>
        <v>#REF!</v>
      </c>
      <c r="DQ204" t="e">
        <f>IF(#REF!,"AAAAAH/f43g=",0)</f>
        <v>#REF!</v>
      </c>
      <c r="DR204" t="e">
        <f>IF(#REF!,"AAAAAH/f43k=",0)</f>
        <v>#REF!</v>
      </c>
      <c r="DS204" t="e">
        <f>IF(#REF!,"AAAAAH/f43o=",0)</f>
        <v>#REF!</v>
      </c>
      <c r="DT204" t="e">
        <f>IF(#REF!,"AAAAAH/f43s=",0)</f>
        <v>#REF!</v>
      </c>
      <c r="DU204" t="e">
        <f>IF(#REF!,"AAAAAH/f43w=",0)</f>
        <v>#REF!</v>
      </c>
      <c r="DV204" t="e">
        <f>IF(#REF!,"AAAAAH/f430=",0)</f>
        <v>#REF!</v>
      </c>
      <c r="DW204" t="e">
        <f>IF(#REF!,"AAAAAH/f434=",0)</f>
        <v>#REF!</v>
      </c>
      <c r="DX204" t="e">
        <f>IF(#REF!,"AAAAAH/f438=",0)</f>
        <v>#REF!</v>
      </c>
      <c r="DY204" t="e">
        <f>IF(#REF!,"AAAAAH/f44A=",0)</f>
        <v>#REF!</v>
      </c>
      <c r="DZ204" t="e">
        <f>IF(#REF!,"AAAAAH/f44E=",0)</f>
        <v>#REF!</v>
      </c>
      <c r="EA204" t="e">
        <f>IF(#REF!,"AAAAAH/f44I=",0)</f>
        <v>#REF!</v>
      </c>
      <c r="EB204" t="e">
        <f>IF(#REF!,"AAAAAH/f44M=",0)</f>
        <v>#REF!</v>
      </c>
      <c r="EC204" t="e">
        <f>IF(#REF!,"AAAAAH/f44Q=",0)</f>
        <v>#REF!</v>
      </c>
      <c r="ED204" t="e">
        <f>IF(#REF!,"AAAAAH/f44U=",0)</f>
        <v>#REF!</v>
      </c>
      <c r="EE204" t="e">
        <f>IF(#REF!,"AAAAAH/f44Y=",0)</f>
        <v>#REF!</v>
      </c>
      <c r="EF204" t="e">
        <f>IF(#REF!,"AAAAAH/f44c=",0)</f>
        <v>#REF!</v>
      </c>
      <c r="EG204" t="e">
        <f>IF(#REF!,"AAAAAH/f44g=",0)</f>
        <v>#REF!</v>
      </c>
      <c r="EH204" t="e">
        <f>IF(#REF!,"AAAAAH/f44k=",0)</f>
        <v>#REF!</v>
      </c>
      <c r="EI204" t="e">
        <f>IF(#REF!,"AAAAAH/f44o=",0)</f>
        <v>#REF!</v>
      </c>
      <c r="EJ204" t="e">
        <f>IF(#REF!,"AAAAAH/f44s=",0)</f>
        <v>#REF!</v>
      </c>
      <c r="EK204" t="e">
        <f>IF(#REF!,"AAAAAH/f44w=",0)</f>
        <v>#REF!</v>
      </c>
      <c r="EL204" t="e">
        <f>IF(#REF!,"AAAAAH/f440=",0)</f>
        <v>#REF!</v>
      </c>
      <c r="EM204" t="e">
        <f>IF(#REF!,"AAAAAH/f444=",0)</f>
        <v>#REF!</v>
      </c>
      <c r="EN204" t="e">
        <f>IF(#REF!,"AAAAAH/f448=",0)</f>
        <v>#REF!</v>
      </c>
      <c r="EO204" t="e">
        <f>IF(#REF!,"AAAAAH/f45A=",0)</f>
        <v>#REF!</v>
      </c>
      <c r="EP204" t="e">
        <f>IF(#REF!,"AAAAAH/f45E=",0)</f>
        <v>#REF!</v>
      </c>
      <c r="EQ204" t="e">
        <f>IF(#REF!,"AAAAAH/f45I=",0)</f>
        <v>#REF!</v>
      </c>
      <c r="ER204" t="e">
        <f>IF(#REF!,"AAAAAH/f45M=",0)</f>
        <v>#REF!</v>
      </c>
      <c r="ES204" t="e">
        <f>IF(#REF!,"AAAAAH/f45Q=",0)</f>
        <v>#REF!</v>
      </c>
      <c r="ET204" t="e">
        <f>IF(#REF!,"AAAAAH/f45U=",0)</f>
        <v>#REF!</v>
      </c>
      <c r="EU204" t="e">
        <f>IF(#REF!,"AAAAAH/f45Y=",0)</f>
        <v>#REF!</v>
      </c>
      <c r="EV204" t="e">
        <f>IF(#REF!,"AAAAAH/f45c=",0)</f>
        <v>#REF!</v>
      </c>
      <c r="EW204" t="e">
        <f>IF(#REF!,"AAAAAH/f45g=",0)</f>
        <v>#REF!</v>
      </c>
      <c r="EX204" t="e">
        <f>IF(#REF!,"AAAAAH/f45k=",0)</f>
        <v>#REF!</v>
      </c>
      <c r="EY204" t="e">
        <f>IF(#REF!,"AAAAAH/f45o=",0)</f>
        <v>#REF!</v>
      </c>
      <c r="EZ204" t="e">
        <f>IF(#REF!,"AAAAAH/f45s=",0)</f>
        <v>#REF!</v>
      </c>
      <c r="FA204" t="e">
        <f>IF(#REF!,"AAAAAH/f45w=",0)</f>
        <v>#REF!</v>
      </c>
      <c r="FB204" t="e">
        <f>IF(#REF!,"AAAAAH/f450=",0)</f>
        <v>#REF!</v>
      </c>
      <c r="FC204" t="e">
        <f>IF(#REF!,"AAAAAH/f454=",0)</f>
        <v>#REF!</v>
      </c>
      <c r="FD204" t="e">
        <f>IF(#REF!,"AAAAAH/f458=",0)</f>
        <v>#REF!</v>
      </c>
      <c r="FE204" t="e">
        <f>IF(#REF!,"AAAAAH/f46A=",0)</f>
        <v>#REF!</v>
      </c>
      <c r="FF204" t="e">
        <f>IF(#REF!,"AAAAAH/f46E=",0)</f>
        <v>#REF!</v>
      </c>
      <c r="FG204" t="e">
        <f>IF(#REF!,"AAAAAH/f46I=",0)</f>
        <v>#REF!</v>
      </c>
      <c r="FH204" t="e">
        <f>IF(#REF!,"AAAAAH/f46M=",0)</f>
        <v>#REF!</v>
      </c>
      <c r="FI204" t="e">
        <f>IF(#REF!,"AAAAAH/f46Q=",0)</f>
        <v>#REF!</v>
      </c>
      <c r="FJ204" t="e">
        <f>IF(#REF!,"AAAAAH/f46U=",0)</f>
        <v>#REF!</v>
      </c>
      <c r="FK204" t="e">
        <f>IF(#REF!,"AAAAAH/f46Y=",0)</f>
        <v>#REF!</v>
      </c>
      <c r="FL204" t="e">
        <f>IF(#REF!,"AAAAAH/f46c=",0)</f>
        <v>#REF!</v>
      </c>
      <c r="FM204" t="e">
        <f>IF(#REF!,"AAAAAH/f46g=",0)</f>
        <v>#REF!</v>
      </c>
      <c r="FN204" t="e">
        <f>IF(#REF!,"AAAAAH/f46k=",0)</f>
        <v>#REF!</v>
      </c>
      <c r="FO204" t="e">
        <f>IF(#REF!,"AAAAAH/f46o=",0)</f>
        <v>#REF!</v>
      </c>
      <c r="FP204" t="e">
        <f>IF(#REF!,"AAAAAH/f46s=",0)</f>
        <v>#REF!</v>
      </c>
      <c r="FQ204" t="e">
        <f>IF(#REF!,"AAAAAH/f46w=",0)</f>
        <v>#REF!</v>
      </c>
      <c r="FR204" t="e">
        <f>IF(#REF!,"AAAAAH/f460=",0)</f>
        <v>#REF!</v>
      </c>
      <c r="FS204" t="e">
        <f>IF(#REF!,"AAAAAH/f464=",0)</f>
        <v>#REF!</v>
      </c>
      <c r="FT204" t="e">
        <f>IF(#REF!,"AAAAAH/f468=",0)</f>
        <v>#REF!</v>
      </c>
      <c r="FU204" t="e">
        <f>IF(#REF!,"AAAAAH/f47A=",0)</f>
        <v>#REF!</v>
      </c>
      <c r="FV204" t="e">
        <f>IF(#REF!,"AAAAAH/f47E=",0)</f>
        <v>#REF!</v>
      </c>
      <c r="FW204" t="e">
        <f>IF(#REF!,"AAAAAH/f47I=",0)</f>
        <v>#REF!</v>
      </c>
      <c r="FX204" t="e">
        <f>IF(#REF!,"AAAAAH/f47M=",0)</f>
        <v>#REF!</v>
      </c>
      <c r="FY204" t="e">
        <f>IF(#REF!,"AAAAAH/f47Q=",0)</f>
        <v>#REF!</v>
      </c>
      <c r="FZ204" t="e">
        <f>IF(#REF!,"AAAAAH/f47U=",0)</f>
        <v>#REF!</v>
      </c>
      <c r="GA204" t="e">
        <f>IF(#REF!,"AAAAAH/f47Y=",0)</f>
        <v>#REF!</v>
      </c>
      <c r="GB204" t="e">
        <f>IF(#REF!,"AAAAAH/f47c=",0)</f>
        <v>#REF!</v>
      </c>
      <c r="GC204" t="e">
        <f>IF(#REF!,"AAAAAH/f47g=",0)</f>
        <v>#REF!</v>
      </c>
      <c r="GD204" t="e">
        <f>IF(#REF!,"AAAAAH/f47k=",0)</f>
        <v>#REF!</v>
      </c>
      <c r="GE204" t="e">
        <f>IF(#REF!,"AAAAAH/f47o=",0)</f>
        <v>#REF!</v>
      </c>
      <c r="GF204" t="e">
        <f>IF(#REF!,"AAAAAH/f47s=",0)</f>
        <v>#REF!</v>
      </c>
      <c r="GG204" t="e">
        <f>IF(#REF!,"AAAAAH/f47w=",0)</f>
        <v>#REF!</v>
      </c>
      <c r="GH204" t="e">
        <f>IF(#REF!,"AAAAAH/f470=",0)</f>
        <v>#REF!</v>
      </c>
      <c r="GI204" t="e">
        <f>IF(#REF!,"AAAAAH/f474=",0)</f>
        <v>#REF!</v>
      </c>
      <c r="GJ204" t="e">
        <f>IF(#REF!,"AAAAAH/f478=",0)</f>
        <v>#REF!</v>
      </c>
      <c r="GK204" t="e">
        <f>IF(#REF!,"AAAAAH/f48A=",0)</f>
        <v>#REF!</v>
      </c>
      <c r="GL204" t="e">
        <f>IF(#REF!,"AAAAAH/f48E=",0)</f>
        <v>#REF!</v>
      </c>
      <c r="GM204" t="e">
        <f>IF(#REF!,"AAAAAH/f48I=",0)</f>
        <v>#REF!</v>
      </c>
      <c r="GN204" t="e">
        <f>IF(#REF!,"AAAAAH/f48M=",0)</f>
        <v>#REF!</v>
      </c>
      <c r="GO204" t="e">
        <f>IF(#REF!,"AAAAAH/f48Q=",0)</f>
        <v>#REF!</v>
      </c>
      <c r="GP204" t="e">
        <f>IF(#REF!,"AAAAAH/f48U=",0)</f>
        <v>#REF!</v>
      </c>
      <c r="GQ204" t="e">
        <f>IF(#REF!,"AAAAAH/f48Y=",0)</f>
        <v>#REF!</v>
      </c>
      <c r="GR204" t="e">
        <f>IF(#REF!,"AAAAAH/f48c=",0)</f>
        <v>#REF!</v>
      </c>
      <c r="GS204" t="e">
        <f>IF(#REF!,"AAAAAH/f48g=",0)</f>
        <v>#REF!</v>
      </c>
      <c r="GT204" t="e">
        <f>IF(#REF!,"AAAAAH/f48k=",0)</f>
        <v>#REF!</v>
      </c>
      <c r="GU204" t="e">
        <f>IF(#REF!,"AAAAAH/f48o=",0)</f>
        <v>#REF!</v>
      </c>
      <c r="GV204" t="e">
        <f>IF(#REF!,"AAAAAH/f48s=",0)</f>
        <v>#REF!</v>
      </c>
      <c r="GW204" t="e">
        <f>IF(#REF!,"AAAAAH/f48w=",0)</f>
        <v>#REF!</v>
      </c>
      <c r="GX204" t="e">
        <f>IF(#REF!,"AAAAAH/f480=",0)</f>
        <v>#REF!</v>
      </c>
      <c r="GY204" t="e">
        <f>IF(#REF!,"AAAAAH/f484=",0)</f>
        <v>#REF!</v>
      </c>
      <c r="GZ204" t="e">
        <f>IF(#REF!,"AAAAAH/f488=",0)</f>
        <v>#REF!</v>
      </c>
      <c r="HA204" t="e">
        <f>IF(#REF!,"AAAAAH/f49A=",0)</f>
        <v>#REF!</v>
      </c>
      <c r="HB204" t="e">
        <f>IF(#REF!,"AAAAAH/f49E=",0)</f>
        <v>#REF!</v>
      </c>
      <c r="HC204" t="e">
        <f>IF(#REF!,"AAAAAH/f49I=",0)</f>
        <v>#REF!</v>
      </c>
      <c r="HD204" t="e">
        <f>IF(#REF!,"AAAAAH/f49M=",0)</f>
        <v>#REF!</v>
      </c>
      <c r="HE204" t="e">
        <f>IF(#REF!,"AAAAAH/f49Q=",0)</f>
        <v>#REF!</v>
      </c>
      <c r="HF204" t="e">
        <f>IF(#REF!,"AAAAAH/f49U=",0)</f>
        <v>#REF!</v>
      </c>
      <c r="HG204" t="e">
        <f>IF(#REF!,"AAAAAH/f49Y=",0)</f>
        <v>#REF!</v>
      </c>
      <c r="HH204" t="e">
        <f>IF(#REF!,"AAAAAH/f49c=",0)</f>
        <v>#REF!</v>
      </c>
      <c r="HI204" t="e">
        <f>IF(#REF!,"AAAAAH/f49g=",0)</f>
        <v>#REF!</v>
      </c>
      <c r="HJ204" t="e">
        <f>IF(#REF!,"AAAAAH/f49k=",0)</f>
        <v>#REF!</v>
      </c>
      <c r="HK204" t="e">
        <f>IF(#REF!,"AAAAAH/f49o=",0)</f>
        <v>#REF!</v>
      </c>
      <c r="HL204" t="e">
        <f>IF(#REF!,"AAAAAH/f49s=",0)</f>
        <v>#REF!</v>
      </c>
      <c r="HM204" t="e">
        <f>IF(#REF!,"AAAAAH/f49w=",0)</f>
        <v>#REF!</v>
      </c>
      <c r="HN204" t="e">
        <f>IF(#REF!,"AAAAAH/f490=",0)</f>
        <v>#REF!</v>
      </c>
      <c r="HO204" t="e">
        <f>IF(#REF!,"AAAAAH/f494=",0)</f>
        <v>#REF!</v>
      </c>
      <c r="HP204" t="e">
        <f>IF(#REF!,"AAAAAH/f498=",0)</f>
        <v>#REF!</v>
      </c>
      <c r="HQ204" t="e">
        <f>IF(#REF!,"AAAAAH/f4+A=",0)</f>
        <v>#REF!</v>
      </c>
      <c r="HR204" t="e">
        <f>IF(#REF!,"AAAAAH/f4+E=",0)</f>
        <v>#REF!</v>
      </c>
      <c r="HS204" t="e">
        <f>IF(#REF!,"AAAAAH/f4+I=",0)</f>
        <v>#REF!</v>
      </c>
      <c r="HT204" t="e">
        <f>IF(#REF!,"AAAAAH/f4+M=",0)</f>
        <v>#REF!</v>
      </c>
      <c r="HU204" t="e">
        <f>IF(#REF!,"AAAAAH/f4+Q=",0)</f>
        <v>#REF!</v>
      </c>
      <c r="HV204" t="e">
        <f>IF(#REF!,"AAAAAH/f4+U=",0)</f>
        <v>#REF!</v>
      </c>
      <c r="HW204" t="e">
        <f>IF(#REF!,"AAAAAH/f4+Y=",0)</f>
        <v>#REF!</v>
      </c>
      <c r="HX204" t="e">
        <f>IF(#REF!,"AAAAAH/f4+c=",0)</f>
        <v>#REF!</v>
      </c>
      <c r="HY204" t="e">
        <f>IF(#REF!,"AAAAAH/f4+g=",0)</f>
        <v>#REF!</v>
      </c>
      <c r="HZ204" t="e">
        <f>IF(#REF!,"AAAAAH/f4+k=",0)</f>
        <v>#REF!</v>
      </c>
      <c r="IA204" t="e">
        <f>IF(#REF!,"AAAAAH/f4+o=",0)</f>
        <v>#REF!</v>
      </c>
      <c r="IB204" t="e">
        <f>IF(#REF!,"AAAAAH/f4+s=",0)</f>
        <v>#REF!</v>
      </c>
      <c r="IC204" t="e">
        <f>IF(#REF!,"AAAAAH/f4+w=",0)</f>
        <v>#REF!</v>
      </c>
      <c r="ID204" t="e">
        <f>IF(#REF!,"AAAAAH/f4+0=",0)</f>
        <v>#REF!</v>
      </c>
      <c r="IE204" t="e">
        <f>IF(#REF!,"AAAAAH/f4+4=",0)</f>
        <v>#REF!</v>
      </c>
      <c r="IF204" t="e">
        <f>IF(#REF!,"AAAAAH/f4+8=",0)</f>
        <v>#REF!</v>
      </c>
      <c r="IG204" t="e">
        <f>IF(#REF!,"AAAAAH/f4/A=",0)</f>
        <v>#REF!</v>
      </c>
      <c r="IH204" t="e">
        <f>IF(#REF!,"AAAAAH/f4/E=",0)</f>
        <v>#REF!</v>
      </c>
      <c r="II204" t="e">
        <f>IF(#REF!,"AAAAAH/f4/I=",0)</f>
        <v>#REF!</v>
      </c>
      <c r="IJ204" t="e">
        <f>IF(#REF!,"AAAAAH/f4/M=",0)</f>
        <v>#REF!</v>
      </c>
      <c r="IK204" t="e">
        <f>IF(#REF!,"AAAAAH/f4/Q=",0)</f>
        <v>#REF!</v>
      </c>
      <c r="IL204" t="e">
        <f>IF(#REF!,"AAAAAH/f4/U=",0)</f>
        <v>#REF!</v>
      </c>
      <c r="IM204" t="e">
        <f>IF(#REF!,"AAAAAH/f4/Y=",0)</f>
        <v>#REF!</v>
      </c>
      <c r="IN204" t="e">
        <f>IF(#REF!,"AAAAAH/f4/c=",0)</f>
        <v>#REF!</v>
      </c>
      <c r="IO204" t="e">
        <f>IF(#REF!,"AAAAAH/f4/g=",0)</f>
        <v>#REF!</v>
      </c>
      <c r="IP204" t="e">
        <f>IF(#REF!,"AAAAAH/f4/k=",0)</f>
        <v>#REF!</v>
      </c>
      <c r="IQ204" t="e">
        <f>IF(#REF!,"AAAAAH/f4/o=",0)</f>
        <v>#REF!</v>
      </c>
      <c r="IR204" t="e">
        <f>IF(#REF!,"AAAAAH/f4/s=",0)</f>
        <v>#REF!</v>
      </c>
      <c r="IS204" t="e">
        <f>IF(#REF!,"AAAAAH/f4/w=",0)</f>
        <v>#REF!</v>
      </c>
      <c r="IT204" t="e">
        <f>IF(#REF!,"AAAAAH/f4/0=",0)</f>
        <v>#REF!</v>
      </c>
      <c r="IU204" t="e">
        <f>IF(#REF!,"AAAAAH/f4/4=",0)</f>
        <v>#REF!</v>
      </c>
      <c r="IV204" t="e">
        <f>IF(#REF!,"AAAAAH/f4/8=",0)</f>
        <v>#REF!</v>
      </c>
    </row>
    <row r="205" spans="1:256">
      <c r="A205" t="e">
        <f>IF(#REF!,"AAAAAHf/vgA=",0)</f>
        <v>#REF!</v>
      </c>
      <c r="B205" t="e">
        <f>IF(#REF!,"AAAAAHf/vgE=",0)</f>
        <v>#REF!</v>
      </c>
      <c r="C205" t="e">
        <f>IF(#REF!,"AAAAAHf/vgI=",0)</f>
        <v>#REF!</v>
      </c>
      <c r="D205" t="e">
        <f>IF(#REF!,"AAAAAHf/vgM=",0)</f>
        <v>#REF!</v>
      </c>
      <c r="E205" t="e">
        <f>IF(#REF!,"AAAAAHf/vgQ=",0)</f>
        <v>#REF!</v>
      </c>
      <c r="F205" t="e">
        <f>IF(#REF!,"AAAAAHf/vgU=",0)</f>
        <v>#REF!</v>
      </c>
      <c r="G205" t="e">
        <f>IF(#REF!,"AAAAAHf/vgY=",0)</f>
        <v>#REF!</v>
      </c>
      <c r="H205" t="e">
        <f>IF(#REF!,"AAAAAHf/vgc=",0)</f>
        <v>#REF!</v>
      </c>
      <c r="I205" t="e">
        <f>IF(#REF!,"AAAAAHf/vgg=",0)</f>
        <v>#REF!</v>
      </c>
      <c r="J205" t="e">
        <f>IF(#REF!,"AAAAAHf/vgk=",0)</f>
        <v>#REF!</v>
      </c>
      <c r="K205" t="e">
        <f>IF(#REF!,"AAAAAHf/vgo=",0)</f>
        <v>#REF!</v>
      </c>
      <c r="L205" t="e">
        <f>IF(#REF!,"AAAAAHf/vgs=",0)</f>
        <v>#REF!</v>
      </c>
      <c r="M205" t="e">
        <f>IF(#REF!,"AAAAAHf/vgw=",0)</f>
        <v>#REF!</v>
      </c>
      <c r="N205" t="e">
        <f>IF(#REF!,"AAAAAHf/vg0=",0)</f>
        <v>#REF!</v>
      </c>
      <c r="O205" t="e">
        <f>IF(#REF!,"AAAAAHf/vg4=",0)</f>
        <v>#REF!</v>
      </c>
      <c r="P205" t="e">
        <f>IF(#REF!,"AAAAAHf/vg8=",0)</f>
        <v>#REF!</v>
      </c>
      <c r="Q205" t="e">
        <f>IF(#REF!,"AAAAAHf/vhA=",0)</f>
        <v>#REF!</v>
      </c>
      <c r="R205" t="e">
        <f>IF(#REF!,"AAAAAHf/vhE=",0)</f>
        <v>#REF!</v>
      </c>
      <c r="S205" t="e">
        <f>IF(#REF!,"AAAAAHf/vhI=",0)</f>
        <v>#REF!</v>
      </c>
      <c r="T205" t="e">
        <f>IF(#REF!,"AAAAAHf/vhM=",0)</f>
        <v>#REF!</v>
      </c>
      <c r="U205" t="e">
        <f>IF(#REF!,"AAAAAHf/vhQ=",0)</f>
        <v>#REF!</v>
      </c>
      <c r="V205" t="e">
        <f>IF(#REF!,"AAAAAHf/vhU=",0)</f>
        <v>#REF!</v>
      </c>
      <c r="W205" t="e">
        <f>IF(#REF!,"AAAAAHf/vhY=",0)</f>
        <v>#REF!</v>
      </c>
      <c r="X205" t="e">
        <f>IF(#REF!,"AAAAAHf/vhc=",0)</f>
        <v>#REF!</v>
      </c>
      <c r="Y205" t="e">
        <f>IF(#REF!,"AAAAAHf/vhg=",0)</f>
        <v>#REF!</v>
      </c>
      <c r="Z205" t="e">
        <f>IF(#REF!,"AAAAAHf/vhk=",0)</f>
        <v>#REF!</v>
      </c>
      <c r="AA205" t="e">
        <f>IF(#REF!,"AAAAAHf/vho=",0)</f>
        <v>#REF!</v>
      </c>
      <c r="AB205" t="e">
        <f>IF(#REF!,"AAAAAHf/vhs=",0)</f>
        <v>#REF!</v>
      </c>
      <c r="AC205" t="e">
        <f>IF(#REF!,"AAAAAHf/vhw=",0)</f>
        <v>#REF!</v>
      </c>
      <c r="AD205" t="e">
        <f>IF(#REF!,"AAAAAHf/vh0=",0)</f>
        <v>#REF!</v>
      </c>
      <c r="AE205" t="e">
        <f>IF(#REF!,"AAAAAHf/vh4=",0)</f>
        <v>#REF!</v>
      </c>
      <c r="AF205" t="e">
        <f>IF(#REF!,"AAAAAHf/vh8=",0)</f>
        <v>#REF!</v>
      </c>
      <c r="AG205" t="e">
        <f>IF(#REF!,"AAAAAHf/viA=",0)</f>
        <v>#REF!</v>
      </c>
      <c r="AH205" t="e">
        <f>IF(#REF!,"AAAAAHf/viE=",0)</f>
        <v>#REF!</v>
      </c>
      <c r="AI205" t="e">
        <f>IF(#REF!,"AAAAAHf/viI=",0)</f>
        <v>#REF!</v>
      </c>
      <c r="AJ205" t="e">
        <f>IF(#REF!,"AAAAAHf/viM=",0)</f>
        <v>#REF!</v>
      </c>
      <c r="AK205" t="e">
        <f>IF(#REF!,"AAAAAHf/viQ=",0)</f>
        <v>#REF!</v>
      </c>
      <c r="AL205" t="e">
        <f>IF(#REF!,"AAAAAHf/viU=",0)</f>
        <v>#REF!</v>
      </c>
      <c r="AM205" t="e">
        <f>IF(#REF!,"AAAAAHf/viY=",0)</f>
        <v>#REF!</v>
      </c>
      <c r="AN205" t="e">
        <f>IF(#REF!,"AAAAAHf/vic=",0)</f>
        <v>#REF!</v>
      </c>
      <c r="AO205" t="e">
        <f>IF(#REF!,"AAAAAHf/vig=",0)</f>
        <v>#REF!</v>
      </c>
      <c r="AP205" t="e">
        <f>IF(#REF!,"AAAAAHf/vik=",0)</f>
        <v>#REF!</v>
      </c>
      <c r="AQ205" t="e">
        <f>IF(#REF!,"AAAAAHf/vio=",0)</f>
        <v>#REF!</v>
      </c>
      <c r="AR205" t="e">
        <f>IF(#REF!,"AAAAAHf/vis=",0)</f>
        <v>#REF!</v>
      </c>
      <c r="AS205" t="e">
        <f>IF(#REF!,"AAAAAHf/viw=",0)</f>
        <v>#REF!</v>
      </c>
      <c r="AT205" t="e">
        <f>IF(#REF!,"AAAAAHf/vi0=",0)</f>
        <v>#REF!</v>
      </c>
      <c r="AU205" t="e">
        <f>IF(#REF!,"AAAAAHf/vi4=",0)</f>
        <v>#REF!</v>
      </c>
      <c r="AV205" t="e">
        <f>IF(#REF!,"AAAAAHf/vi8=",0)</f>
        <v>#REF!</v>
      </c>
      <c r="AW205" t="e">
        <f>IF(#REF!,"AAAAAHf/vjA=",0)</f>
        <v>#REF!</v>
      </c>
      <c r="AX205" t="e">
        <f>IF(#REF!,"AAAAAHf/vjE=",0)</f>
        <v>#REF!</v>
      </c>
      <c r="AY205" t="e">
        <f>IF(#REF!,"AAAAAHf/vjI=",0)</f>
        <v>#REF!</v>
      </c>
      <c r="AZ205" t="e">
        <f>IF(#REF!,"AAAAAHf/vjM=",0)</f>
        <v>#REF!</v>
      </c>
      <c r="BA205" t="e">
        <f>IF(#REF!,"AAAAAHf/vjQ=",0)</f>
        <v>#REF!</v>
      </c>
      <c r="BB205" t="e">
        <f>IF(#REF!,"AAAAAHf/vjU=",0)</f>
        <v>#REF!</v>
      </c>
      <c r="BC205" t="e">
        <f>IF(#REF!,"AAAAAHf/vjY=",0)</f>
        <v>#REF!</v>
      </c>
      <c r="BD205" t="e">
        <f>IF(#REF!,"AAAAAHf/vjc=",0)</f>
        <v>#REF!</v>
      </c>
      <c r="BE205" t="e">
        <f>IF(#REF!,"AAAAAHf/vjg=",0)</f>
        <v>#REF!</v>
      </c>
      <c r="BF205" t="e">
        <f>IF(#REF!,"AAAAAHf/vjk=",0)</f>
        <v>#REF!</v>
      </c>
      <c r="BG205" t="e">
        <f>IF(#REF!,"AAAAAHf/vjo=",0)</f>
        <v>#REF!</v>
      </c>
      <c r="BH205" t="e">
        <f>IF(#REF!,"AAAAAHf/vjs=",0)</f>
        <v>#REF!</v>
      </c>
      <c r="BI205" t="e">
        <f>IF(#REF!,"AAAAAHf/vjw=",0)</f>
        <v>#REF!</v>
      </c>
      <c r="BJ205" t="e">
        <f>IF(#REF!,"AAAAAHf/vj0=",0)</f>
        <v>#REF!</v>
      </c>
      <c r="BK205" t="e">
        <f>IF(#REF!,"AAAAAHf/vj4=",0)</f>
        <v>#REF!</v>
      </c>
      <c r="BL205" t="e">
        <f>IF(#REF!,"AAAAAHf/vj8=",0)</f>
        <v>#REF!</v>
      </c>
      <c r="BM205" t="e">
        <f>IF(#REF!,"AAAAAHf/vkA=",0)</f>
        <v>#REF!</v>
      </c>
      <c r="BN205" t="e">
        <f>IF(#REF!,"AAAAAHf/vkE=",0)</f>
        <v>#REF!</v>
      </c>
      <c r="BO205" t="e">
        <f>IF(#REF!,"AAAAAHf/vkI=",0)</f>
        <v>#REF!</v>
      </c>
      <c r="BP205" t="e">
        <f>IF(#REF!,"AAAAAHf/vkM=",0)</f>
        <v>#REF!</v>
      </c>
      <c r="BQ205" t="e">
        <f>IF(#REF!,"AAAAAHf/vkQ=",0)</f>
        <v>#REF!</v>
      </c>
      <c r="BR205" t="e">
        <f>IF(#REF!,"AAAAAHf/vkU=",0)</f>
        <v>#REF!</v>
      </c>
      <c r="BS205" t="e">
        <f>IF(#REF!,"AAAAAHf/vkY=",0)</f>
        <v>#REF!</v>
      </c>
      <c r="BT205" t="e">
        <f>IF(#REF!,"AAAAAHf/vkc=",0)</f>
        <v>#REF!</v>
      </c>
      <c r="BU205" t="e">
        <f>IF(#REF!,"AAAAAHf/vkg=",0)</f>
        <v>#REF!</v>
      </c>
      <c r="BV205" t="e">
        <f>IF(#REF!,"AAAAAHf/vkk=",0)</f>
        <v>#REF!</v>
      </c>
      <c r="BW205" t="e">
        <f>IF(#REF!,"AAAAAHf/vko=",0)</f>
        <v>#REF!</v>
      </c>
      <c r="BX205" t="e">
        <f>IF(#REF!,"AAAAAHf/vks=",0)</f>
        <v>#REF!</v>
      </c>
      <c r="BY205" t="e">
        <f>IF(#REF!,"AAAAAHf/vkw=",0)</f>
        <v>#REF!</v>
      </c>
      <c r="BZ205" t="e">
        <f>IF(#REF!,"AAAAAHf/vk0=",0)</f>
        <v>#REF!</v>
      </c>
      <c r="CA205" t="e">
        <f>IF(#REF!,"AAAAAHf/vk4=",0)</f>
        <v>#REF!</v>
      </c>
      <c r="CB205" t="e">
        <f>IF(#REF!,"AAAAAHf/vk8=",0)</f>
        <v>#REF!</v>
      </c>
      <c r="CC205" t="e">
        <f>IF(#REF!,"AAAAAHf/vlA=",0)</f>
        <v>#REF!</v>
      </c>
      <c r="CD205" t="e">
        <f>IF(#REF!,"AAAAAHf/vlE=",0)</f>
        <v>#REF!</v>
      </c>
      <c r="CE205" t="e">
        <f>IF(#REF!,"AAAAAHf/vlI=",0)</f>
        <v>#REF!</v>
      </c>
      <c r="CF205" t="e">
        <f>IF(#REF!,"AAAAAHf/vlM=",0)</f>
        <v>#REF!</v>
      </c>
      <c r="CG205" t="e">
        <f>IF(#REF!,"AAAAAHf/vlQ=",0)</f>
        <v>#REF!</v>
      </c>
      <c r="CH205" t="e">
        <f>IF(#REF!,"AAAAAHf/vlU=",0)</f>
        <v>#REF!</v>
      </c>
      <c r="CI205" t="e">
        <f>IF(#REF!,"AAAAAHf/vlY=",0)</f>
        <v>#REF!</v>
      </c>
      <c r="CJ205" t="e">
        <f>IF(#REF!,"AAAAAHf/vlc=",0)</f>
        <v>#REF!</v>
      </c>
      <c r="CK205" t="e">
        <f>IF(#REF!,"AAAAAHf/vlg=",0)</f>
        <v>#REF!</v>
      </c>
      <c r="CL205" t="e">
        <f>IF(#REF!,"AAAAAHf/vlk=",0)</f>
        <v>#REF!</v>
      </c>
      <c r="CM205" t="e">
        <f>IF(#REF!,"AAAAAHf/vlo=",0)</f>
        <v>#REF!</v>
      </c>
      <c r="CN205" t="e">
        <f>IF(#REF!,"AAAAAHf/vls=",0)</f>
        <v>#REF!</v>
      </c>
      <c r="CO205" t="e">
        <f>IF(#REF!,"AAAAAHf/vlw=",0)</f>
        <v>#REF!</v>
      </c>
      <c r="CP205" t="e">
        <f>IF(#REF!,"AAAAAHf/vl0=",0)</f>
        <v>#REF!</v>
      </c>
      <c r="CQ205" t="e">
        <f>IF(#REF!,"AAAAAHf/vl4=",0)</f>
        <v>#REF!</v>
      </c>
      <c r="CR205" t="e">
        <f>IF(#REF!,"AAAAAHf/vl8=",0)</f>
        <v>#REF!</v>
      </c>
      <c r="CS205" t="e">
        <f>IF(#REF!,"AAAAAHf/vmA=",0)</f>
        <v>#REF!</v>
      </c>
      <c r="CT205" t="e">
        <f>IF(#REF!,"AAAAAHf/vmE=",0)</f>
        <v>#REF!</v>
      </c>
      <c r="CU205" t="e">
        <f>IF(#REF!,"AAAAAHf/vmI=",0)</f>
        <v>#REF!</v>
      </c>
      <c r="CV205" t="e">
        <f>IF(#REF!,"AAAAAHf/vmM=",0)</f>
        <v>#REF!</v>
      </c>
      <c r="CW205" t="e">
        <f>IF(#REF!,"AAAAAHf/vmQ=",0)</f>
        <v>#REF!</v>
      </c>
      <c r="CX205" t="e">
        <f>IF(#REF!,"AAAAAHf/vmU=",0)</f>
        <v>#REF!</v>
      </c>
      <c r="CY205" t="e">
        <f>IF(#REF!,"AAAAAHf/vmY=",0)</f>
        <v>#REF!</v>
      </c>
      <c r="CZ205" t="e">
        <f>IF(#REF!,"AAAAAHf/vmc=",0)</f>
        <v>#REF!</v>
      </c>
      <c r="DA205" t="e">
        <f>IF(#REF!,"AAAAAHf/vmg=",0)</f>
        <v>#REF!</v>
      </c>
      <c r="DB205" t="e">
        <f>IF(#REF!,"AAAAAHf/vmk=",0)</f>
        <v>#REF!</v>
      </c>
      <c r="DC205" t="e">
        <f>IF(#REF!,"AAAAAHf/vmo=",0)</f>
        <v>#REF!</v>
      </c>
      <c r="DD205" t="e">
        <f>IF(#REF!,"AAAAAHf/vms=",0)</f>
        <v>#REF!</v>
      </c>
      <c r="DE205" t="e">
        <f>IF(#REF!,"AAAAAHf/vmw=",0)</f>
        <v>#REF!</v>
      </c>
      <c r="DF205" t="e">
        <f>IF(#REF!,"AAAAAHf/vm0=",0)</f>
        <v>#REF!</v>
      </c>
      <c r="DG205" t="e">
        <f>IF(#REF!,"AAAAAHf/vm4=",0)</f>
        <v>#REF!</v>
      </c>
      <c r="DH205" t="e">
        <f>IF(#REF!,"AAAAAHf/vm8=",0)</f>
        <v>#REF!</v>
      </c>
      <c r="DI205" t="e">
        <f>IF(#REF!,"AAAAAHf/vnA=",0)</f>
        <v>#REF!</v>
      </c>
      <c r="DJ205" t="e">
        <f>IF(#REF!,"AAAAAHf/vnE=",0)</f>
        <v>#REF!</v>
      </c>
      <c r="DK205" t="e">
        <f>IF(#REF!,"AAAAAHf/vnI=",0)</f>
        <v>#REF!</v>
      </c>
      <c r="DL205" t="e">
        <f>IF(#REF!,"AAAAAHf/vnM=",0)</f>
        <v>#REF!</v>
      </c>
      <c r="DM205" t="e">
        <f>IF(#REF!,"AAAAAHf/vnQ=",0)</f>
        <v>#REF!</v>
      </c>
      <c r="DN205" t="e">
        <f>IF(#REF!,"AAAAAHf/vnU=",0)</f>
        <v>#REF!</v>
      </c>
      <c r="DO205" t="e">
        <f>IF(#REF!,"AAAAAHf/vnY=",0)</f>
        <v>#REF!</v>
      </c>
      <c r="DP205" t="e">
        <f>IF(#REF!,"AAAAAHf/vnc=",0)</f>
        <v>#REF!</v>
      </c>
      <c r="DQ205" t="e">
        <f>IF(#REF!,"AAAAAHf/vng=",0)</f>
        <v>#REF!</v>
      </c>
      <c r="DR205" t="e">
        <f>IF(#REF!,"AAAAAHf/vnk=",0)</f>
        <v>#REF!</v>
      </c>
      <c r="DS205" t="e">
        <f>IF(#REF!,"AAAAAHf/vno=",0)</f>
        <v>#REF!</v>
      </c>
      <c r="DT205" t="e">
        <f>IF(#REF!,"AAAAAHf/vns=",0)</f>
        <v>#REF!</v>
      </c>
      <c r="DU205" t="e">
        <f>IF(#REF!,"AAAAAHf/vnw=",0)</f>
        <v>#REF!</v>
      </c>
      <c r="DV205" t="e">
        <f>IF(#REF!,"AAAAAHf/vn0=",0)</f>
        <v>#REF!</v>
      </c>
      <c r="DW205" t="e">
        <f>IF(#REF!,"AAAAAHf/vn4=",0)</f>
        <v>#REF!</v>
      </c>
      <c r="DX205" t="e">
        <f>IF(#REF!,"AAAAAHf/vn8=",0)</f>
        <v>#REF!</v>
      </c>
      <c r="DY205" t="e">
        <f>IF(#REF!,"AAAAAHf/voA=",0)</f>
        <v>#REF!</v>
      </c>
      <c r="DZ205" t="e">
        <f>IF(#REF!,"AAAAAHf/voE=",0)</f>
        <v>#REF!</v>
      </c>
      <c r="EA205" t="e">
        <f>IF(#REF!,"AAAAAHf/voI=",0)</f>
        <v>#REF!</v>
      </c>
      <c r="EB205" t="e">
        <f>IF(#REF!,"AAAAAHf/voM=",0)</f>
        <v>#REF!</v>
      </c>
      <c r="EC205" t="e">
        <f>IF(#REF!,"AAAAAHf/voQ=",0)</f>
        <v>#REF!</v>
      </c>
      <c r="ED205" t="e">
        <f>IF(#REF!,"AAAAAHf/voU=",0)</f>
        <v>#REF!</v>
      </c>
      <c r="EE205" t="e">
        <f>IF(#REF!,"AAAAAHf/voY=",0)</f>
        <v>#REF!</v>
      </c>
      <c r="EF205" t="e">
        <f>IF(#REF!,"AAAAAHf/voc=",0)</f>
        <v>#REF!</v>
      </c>
      <c r="EG205" t="e">
        <f>IF(#REF!,"AAAAAHf/vog=",0)</f>
        <v>#REF!</v>
      </c>
      <c r="EH205" t="e">
        <f>IF(#REF!,"AAAAAHf/vok=",0)</f>
        <v>#REF!</v>
      </c>
      <c r="EI205" t="e">
        <f>IF(#REF!,"AAAAAHf/voo=",0)</f>
        <v>#REF!</v>
      </c>
      <c r="EJ205" t="e">
        <f>IF(#REF!,"AAAAAHf/vos=",0)</f>
        <v>#REF!</v>
      </c>
      <c r="EK205" t="e">
        <f>IF(#REF!,"AAAAAHf/vow=",0)</f>
        <v>#REF!</v>
      </c>
      <c r="EL205" t="e">
        <f>IF(#REF!,"AAAAAHf/vo0=",0)</f>
        <v>#REF!</v>
      </c>
      <c r="EM205" t="e">
        <f>IF(#REF!,"AAAAAHf/vo4=",0)</f>
        <v>#REF!</v>
      </c>
      <c r="EN205" t="e">
        <f>IF(#REF!,"AAAAAHf/vo8=",0)</f>
        <v>#REF!</v>
      </c>
      <c r="EO205" t="e">
        <f>IF(#REF!,"AAAAAHf/vpA=",0)</f>
        <v>#REF!</v>
      </c>
      <c r="EP205" t="e">
        <f>IF(#REF!,"AAAAAHf/vpE=",0)</f>
        <v>#REF!</v>
      </c>
      <c r="EQ205" t="e">
        <f>IF(#REF!,"AAAAAHf/vpI=",0)</f>
        <v>#REF!</v>
      </c>
      <c r="ER205" t="e">
        <f>IF(#REF!,"AAAAAHf/vpM=",0)</f>
        <v>#REF!</v>
      </c>
      <c r="ES205" t="e">
        <f>IF(#REF!,"AAAAAHf/vpQ=",0)</f>
        <v>#REF!</v>
      </c>
      <c r="ET205" t="e">
        <f>IF(#REF!,"AAAAAHf/vpU=",0)</f>
        <v>#REF!</v>
      </c>
      <c r="EU205" t="e">
        <f>IF(#REF!,"AAAAAHf/vpY=",0)</f>
        <v>#REF!</v>
      </c>
      <c r="EV205" t="e">
        <f>IF(#REF!,"AAAAAHf/vpc=",0)</f>
        <v>#REF!</v>
      </c>
      <c r="EW205" t="e">
        <f>IF(#REF!,"AAAAAHf/vpg=",0)</f>
        <v>#REF!</v>
      </c>
      <c r="EX205" t="e">
        <f>IF(#REF!,"AAAAAHf/vpk=",0)</f>
        <v>#REF!</v>
      </c>
      <c r="EY205" t="e">
        <f>IF(#REF!,"AAAAAHf/vpo=",0)</f>
        <v>#REF!</v>
      </c>
      <c r="EZ205" t="e">
        <f>IF(#REF!,"AAAAAHf/vps=",0)</f>
        <v>#REF!</v>
      </c>
      <c r="FA205" t="e">
        <f>IF(#REF!,"AAAAAHf/vpw=",0)</f>
        <v>#REF!</v>
      </c>
      <c r="FB205" t="e">
        <f>IF(#REF!,"AAAAAHf/vp0=",0)</f>
        <v>#REF!</v>
      </c>
      <c r="FC205" t="e">
        <f>IF(#REF!,"AAAAAHf/vp4=",0)</f>
        <v>#REF!</v>
      </c>
      <c r="FD205" t="e">
        <f>IF(#REF!,"AAAAAHf/vp8=",0)</f>
        <v>#REF!</v>
      </c>
      <c r="FE205" t="e">
        <f>IF(#REF!,"AAAAAHf/vqA=",0)</f>
        <v>#REF!</v>
      </c>
      <c r="FF205" t="e">
        <f>IF(#REF!,"AAAAAHf/vqE=",0)</f>
        <v>#REF!</v>
      </c>
      <c r="FG205" t="e">
        <f>IF(#REF!,"AAAAAHf/vqI=",0)</f>
        <v>#REF!</v>
      </c>
      <c r="FH205" t="e">
        <f>IF(#REF!,"AAAAAHf/vqM=",0)</f>
        <v>#REF!</v>
      </c>
      <c r="FI205" t="e">
        <f>IF(#REF!,"AAAAAHf/vqQ=",0)</f>
        <v>#REF!</v>
      </c>
      <c r="FJ205" t="e">
        <f>IF(#REF!,"AAAAAHf/vqU=",0)</f>
        <v>#REF!</v>
      </c>
      <c r="FK205" t="e">
        <f>IF(#REF!,"AAAAAHf/vqY=",0)</f>
        <v>#REF!</v>
      </c>
      <c r="FL205" t="e">
        <f>IF(#REF!,"AAAAAHf/vqc=",0)</f>
        <v>#REF!</v>
      </c>
      <c r="FM205" t="e">
        <f>IF(#REF!,"AAAAAHf/vqg=",0)</f>
        <v>#REF!</v>
      </c>
      <c r="FN205" t="e">
        <f>IF(#REF!,"AAAAAHf/vqk=",0)</f>
        <v>#REF!</v>
      </c>
      <c r="FO205" t="e">
        <f>IF(#REF!,"AAAAAHf/vqo=",0)</f>
        <v>#REF!</v>
      </c>
      <c r="FP205" t="e">
        <f>IF(#REF!,"AAAAAHf/vqs=",0)</f>
        <v>#REF!</v>
      </c>
      <c r="FQ205" t="e">
        <f>IF(#REF!,"AAAAAHf/vqw=",0)</f>
        <v>#REF!</v>
      </c>
      <c r="FR205" t="e">
        <f>IF(#REF!,"AAAAAHf/vq0=",0)</f>
        <v>#REF!</v>
      </c>
      <c r="FS205" t="e">
        <f>IF(#REF!,"AAAAAHf/vq4=",0)</f>
        <v>#REF!</v>
      </c>
      <c r="FT205" t="e">
        <f>IF(#REF!,"AAAAAHf/vq8=",0)</f>
        <v>#REF!</v>
      </c>
      <c r="FU205" t="e">
        <f>IF(#REF!,"AAAAAHf/vrA=",0)</f>
        <v>#REF!</v>
      </c>
      <c r="FV205" t="e">
        <f>IF(#REF!,"AAAAAHf/vrE=",0)</f>
        <v>#REF!</v>
      </c>
      <c r="FW205" t="e">
        <f>IF(#REF!,"AAAAAHf/vrI=",0)</f>
        <v>#REF!</v>
      </c>
      <c r="FX205" t="e">
        <f>IF(#REF!,"AAAAAHf/vrM=",0)</f>
        <v>#REF!</v>
      </c>
      <c r="FY205" t="e">
        <f>IF(#REF!,"AAAAAHf/vrQ=",0)</f>
        <v>#REF!</v>
      </c>
      <c r="FZ205" t="e">
        <f>IF(#REF!,"AAAAAHf/vrU=",0)</f>
        <v>#REF!</v>
      </c>
      <c r="GA205" t="e">
        <f>IF(#REF!,"AAAAAHf/vrY=",0)</f>
        <v>#REF!</v>
      </c>
      <c r="GB205" t="e">
        <f>IF(#REF!,"AAAAAHf/vrc=",0)</f>
        <v>#REF!</v>
      </c>
      <c r="GC205" t="e">
        <f>IF(#REF!,"AAAAAHf/vrg=",0)</f>
        <v>#REF!</v>
      </c>
      <c r="GD205" t="e">
        <f>IF(#REF!,"AAAAAHf/vrk=",0)</f>
        <v>#REF!</v>
      </c>
      <c r="GE205" t="e">
        <f>IF(#REF!,"AAAAAHf/vro=",0)</f>
        <v>#REF!</v>
      </c>
      <c r="GF205" t="e">
        <f>IF(#REF!,"AAAAAHf/vrs=",0)</f>
        <v>#REF!</v>
      </c>
      <c r="GG205" t="e">
        <f>IF(#REF!,"AAAAAHf/vrw=",0)</f>
        <v>#REF!</v>
      </c>
      <c r="GH205" t="e">
        <f>IF(#REF!,"AAAAAHf/vr0=",0)</f>
        <v>#REF!</v>
      </c>
      <c r="GI205" t="e">
        <f>IF(#REF!,"AAAAAHf/vr4=",0)</f>
        <v>#REF!</v>
      </c>
      <c r="GJ205" t="e">
        <f>IF(#REF!,"AAAAAHf/vr8=",0)</f>
        <v>#REF!</v>
      </c>
      <c r="GK205" t="e">
        <f>IF(#REF!,"AAAAAHf/vsA=",0)</f>
        <v>#REF!</v>
      </c>
      <c r="GL205" t="e">
        <f>IF(#REF!,"AAAAAHf/vsE=",0)</f>
        <v>#REF!</v>
      </c>
      <c r="GM205" t="e">
        <f>IF(#REF!,"AAAAAHf/vsI=",0)</f>
        <v>#REF!</v>
      </c>
      <c r="GN205" t="e">
        <f>IF(#REF!,"AAAAAHf/vsM=",0)</f>
        <v>#REF!</v>
      </c>
      <c r="GO205" t="e">
        <f>IF(#REF!,"AAAAAHf/vsQ=",0)</f>
        <v>#REF!</v>
      </c>
      <c r="GP205" t="e">
        <f>IF(#REF!,"AAAAAHf/vsU=",0)</f>
        <v>#REF!</v>
      </c>
      <c r="GQ205" t="e">
        <f>IF(#REF!,"AAAAAHf/vsY=",0)</f>
        <v>#REF!</v>
      </c>
      <c r="GR205" t="e">
        <f>IF(#REF!,"AAAAAHf/vsc=",0)</f>
        <v>#REF!</v>
      </c>
      <c r="GS205" t="e">
        <f>IF(#REF!,"AAAAAHf/vsg=",0)</f>
        <v>#REF!</v>
      </c>
      <c r="GT205" t="e">
        <f>IF(#REF!,"AAAAAHf/vsk=",0)</f>
        <v>#REF!</v>
      </c>
      <c r="GU205" t="e">
        <f>IF(#REF!,"AAAAAHf/vso=",0)</f>
        <v>#REF!</v>
      </c>
      <c r="GV205" t="e">
        <f>IF(#REF!,"AAAAAHf/vss=",0)</f>
        <v>#REF!</v>
      </c>
      <c r="GW205" t="e">
        <f>IF(#REF!,"AAAAAHf/vsw=",0)</f>
        <v>#REF!</v>
      </c>
      <c r="GX205" t="e">
        <f>IF(#REF!,"AAAAAHf/vs0=",0)</f>
        <v>#REF!</v>
      </c>
      <c r="GY205" t="e">
        <f>IF(#REF!,"AAAAAHf/vs4=",0)</f>
        <v>#REF!</v>
      </c>
      <c r="GZ205" t="e">
        <f>IF(#REF!,"AAAAAHf/vs8=",0)</f>
        <v>#REF!</v>
      </c>
      <c r="HA205" t="e">
        <f>IF(#REF!,"AAAAAHf/vtA=",0)</f>
        <v>#REF!</v>
      </c>
      <c r="HB205" t="e">
        <f>IF(#REF!,"AAAAAHf/vtE=",0)</f>
        <v>#REF!</v>
      </c>
      <c r="HC205" t="e">
        <f>IF(#REF!,"AAAAAHf/vtI=",0)</f>
        <v>#REF!</v>
      </c>
      <c r="HD205" t="e">
        <f>IF(#REF!,"AAAAAHf/vtM=",0)</f>
        <v>#REF!</v>
      </c>
      <c r="HE205" t="e">
        <f>IF(#REF!,"AAAAAHf/vtQ=",0)</f>
        <v>#REF!</v>
      </c>
      <c r="HF205" t="e">
        <f>IF(#REF!,"AAAAAHf/vtU=",0)</f>
        <v>#REF!</v>
      </c>
      <c r="HG205" t="e">
        <f>IF(#REF!,"AAAAAHf/vtY=",0)</f>
        <v>#REF!</v>
      </c>
      <c r="HH205" t="e">
        <f>IF(#REF!,"AAAAAHf/vtc=",0)</f>
        <v>#REF!</v>
      </c>
      <c r="HI205" t="e">
        <f>IF(#REF!,"AAAAAHf/vtg=",0)</f>
        <v>#REF!</v>
      </c>
      <c r="HJ205" t="e">
        <f>IF(#REF!,"AAAAAHf/vtk=",0)</f>
        <v>#REF!</v>
      </c>
      <c r="HK205" t="e">
        <f>IF(#REF!,"AAAAAHf/vto=",0)</f>
        <v>#REF!</v>
      </c>
      <c r="HL205" t="e">
        <f>IF(#REF!,"AAAAAHf/vts=",0)</f>
        <v>#REF!</v>
      </c>
      <c r="HM205" t="e">
        <f>IF(#REF!,"AAAAAHf/vtw=",0)</f>
        <v>#REF!</v>
      </c>
      <c r="HN205" t="e">
        <f>IF(#REF!,"AAAAAHf/vt0=",0)</f>
        <v>#REF!</v>
      </c>
      <c r="HO205" t="e">
        <f>IF(#REF!,"AAAAAHf/vt4=",0)</f>
        <v>#REF!</v>
      </c>
      <c r="HP205" t="e">
        <f>IF(#REF!,"AAAAAHf/vt8=",0)</f>
        <v>#REF!</v>
      </c>
      <c r="HQ205" t="e">
        <f>IF(#REF!,"AAAAAHf/vuA=",0)</f>
        <v>#REF!</v>
      </c>
      <c r="HR205" t="e">
        <f>IF(#REF!,"AAAAAHf/vuE=",0)</f>
        <v>#REF!</v>
      </c>
      <c r="HS205" t="e">
        <f>IF(#REF!,"AAAAAHf/vuI=",0)</f>
        <v>#REF!</v>
      </c>
      <c r="HT205" t="e">
        <f>IF(#REF!,"AAAAAHf/vuM=",0)</f>
        <v>#REF!</v>
      </c>
      <c r="HU205" t="e">
        <f>IF(#REF!,"AAAAAHf/vuQ=",0)</f>
        <v>#REF!</v>
      </c>
      <c r="HV205" t="e">
        <f>IF(#REF!,"AAAAAHf/vuU=",0)</f>
        <v>#REF!</v>
      </c>
      <c r="HW205" t="e">
        <f>IF(#REF!,"AAAAAHf/vuY=",0)</f>
        <v>#REF!</v>
      </c>
      <c r="HX205" t="e">
        <f>IF(#REF!,"AAAAAHf/vuc=",0)</f>
        <v>#REF!</v>
      </c>
      <c r="HY205" t="e">
        <f>IF(#REF!,"AAAAAHf/vug=",0)</f>
        <v>#REF!</v>
      </c>
      <c r="HZ205" t="e">
        <f>IF(#REF!,"AAAAAHf/vuk=",0)</f>
        <v>#REF!</v>
      </c>
      <c r="IA205" t="e">
        <f>IF(#REF!,"AAAAAHf/vuo=",0)</f>
        <v>#REF!</v>
      </c>
      <c r="IB205" t="e">
        <f>IF(#REF!,"AAAAAHf/vus=",0)</f>
        <v>#REF!</v>
      </c>
      <c r="IC205" t="e">
        <f>IF(#REF!,"AAAAAHf/vuw=",0)</f>
        <v>#REF!</v>
      </c>
      <c r="ID205" t="e">
        <f>IF(#REF!,"AAAAAHf/vu0=",0)</f>
        <v>#REF!</v>
      </c>
      <c r="IE205" t="e">
        <f>IF(#REF!,"AAAAAHf/vu4=",0)</f>
        <v>#REF!</v>
      </c>
      <c r="IF205" t="e">
        <f>IF(#REF!,"AAAAAHf/vu8=",0)</f>
        <v>#REF!</v>
      </c>
      <c r="IG205" t="e">
        <f>IF(#REF!,"AAAAAHf/vvA=",0)</f>
        <v>#REF!</v>
      </c>
      <c r="IH205" t="e">
        <f>IF(#REF!,"AAAAAHf/vvE=",0)</f>
        <v>#REF!</v>
      </c>
      <c r="II205" t="e">
        <f>IF(#REF!,"AAAAAHf/vvI=",0)</f>
        <v>#REF!</v>
      </c>
      <c r="IJ205" t="e">
        <f>IF(#REF!,"AAAAAHf/vvM=",0)</f>
        <v>#REF!</v>
      </c>
      <c r="IK205" t="e">
        <f>IF(#REF!,"AAAAAHf/vvQ=",0)</f>
        <v>#REF!</v>
      </c>
      <c r="IL205" t="e">
        <f>IF(#REF!,"AAAAAHf/vvU=",0)</f>
        <v>#REF!</v>
      </c>
      <c r="IM205" t="e">
        <f>IF(#REF!,"AAAAAHf/vvY=",0)</f>
        <v>#REF!</v>
      </c>
      <c r="IN205" t="e">
        <f>IF(#REF!,"AAAAAHf/vvc=",0)</f>
        <v>#REF!</v>
      </c>
      <c r="IO205" t="e">
        <f>IF(#REF!,"AAAAAHf/vvg=",0)</f>
        <v>#REF!</v>
      </c>
      <c r="IP205" t="e">
        <f>IF(#REF!,"AAAAAHf/vvk=",0)</f>
        <v>#REF!</v>
      </c>
      <c r="IQ205" t="e">
        <f>IF(#REF!,"AAAAAHf/vvo=",0)</f>
        <v>#REF!</v>
      </c>
      <c r="IR205" t="e">
        <f>IF(#REF!,"AAAAAHf/vvs=",0)</f>
        <v>#REF!</v>
      </c>
      <c r="IS205" t="e">
        <f>IF(#REF!,"AAAAAHf/vvw=",0)</f>
        <v>#REF!</v>
      </c>
      <c r="IT205" t="e">
        <f>IF(#REF!,"AAAAAHf/vv0=",0)</f>
        <v>#REF!</v>
      </c>
      <c r="IU205" t="e">
        <f>IF(#REF!,"AAAAAHf/vv4=",0)</f>
        <v>#REF!</v>
      </c>
      <c r="IV205" t="e">
        <f>IF(#REF!,"AAAAAHf/vv8=",0)</f>
        <v>#REF!</v>
      </c>
    </row>
    <row r="206" spans="1:256">
      <c r="A206" t="e">
        <f>IF(#REF!,"AAAAAEvPfwA=",0)</f>
        <v>#REF!</v>
      </c>
      <c r="B206" t="e">
        <f>IF(#REF!,"AAAAAEvPfwE=",0)</f>
        <v>#REF!</v>
      </c>
      <c r="C206" t="e">
        <f>IF(#REF!,"AAAAAEvPfwI=",0)</f>
        <v>#REF!</v>
      </c>
      <c r="D206" t="e">
        <f>IF(#REF!,"AAAAAEvPfwM=",0)</f>
        <v>#REF!</v>
      </c>
      <c r="E206" t="e">
        <f>IF(#REF!,"AAAAAEvPfwQ=",0)</f>
        <v>#REF!</v>
      </c>
      <c r="F206" t="e">
        <f>IF(#REF!,"AAAAAEvPfwU=",0)</f>
        <v>#REF!</v>
      </c>
      <c r="G206" t="e">
        <f>IF(#REF!,"AAAAAEvPfwY=",0)</f>
        <v>#REF!</v>
      </c>
      <c r="H206" t="e">
        <f>IF(#REF!,"AAAAAEvPfwc=",0)</f>
        <v>#REF!</v>
      </c>
      <c r="I206" t="e">
        <f>IF(#REF!,"AAAAAEvPfwg=",0)</f>
        <v>#REF!</v>
      </c>
      <c r="J206" t="e">
        <f>IF(#REF!,"AAAAAEvPfwk=",0)</f>
        <v>#REF!</v>
      </c>
      <c r="K206" t="e">
        <f>IF(#REF!,"AAAAAEvPfwo=",0)</f>
        <v>#REF!</v>
      </c>
      <c r="L206" t="e">
        <f>IF(#REF!,"AAAAAEvPfws=",0)</f>
        <v>#REF!</v>
      </c>
      <c r="M206" t="e">
        <f>IF(#REF!,"AAAAAEvPfww=",0)</f>
        <v>#REF!</v>
      </c>
      <c r="N206" t="e">
        <f>IF(#REF!,"AAAAAEvPfw0=",0)</f>
        <v>#REF!</v>
      </c>
      <c r="O206" t="e">
        <f>IF(#REF!,"AAAAAEvPfw4=",0)</f>
        <v>#REF!</v>
      </c>
      <c r="P206" t="e">
        <f>IF(#REF!,"AAAAAEvPfw8=",0)</f>
        <v>#REF!</v>
      </c>
      <c r="Q206" t="e">
        <f>IF(#REF!,"AAAAAEvPfxA=",0)</f>
        <v>#REF!</v>
      </c>
      <c r="R206" t="e">
        <f>IF(#REF!,"AAAAAEvPfxE=",0)</f>
        <v>#REF!</v>
      </c>
      <c r="S206" t="e">
        <f>IF(#REF!,"AAAAAEvPfxI=",0)</f>
        <v>#REF!</v>
      </c>
      <c r="T206" t="e">
        <f>IF(#REF!,"AAAAAEvPfxM=",0)</f>
        <v>#REF!</v>
      </c>
      <c r="U206" t="e">
        <f>IF(#REF!,"AAAAAEvPfxQ=",0)</f>
        <v>#REF!</v>
      </c>
      <c r="V206" t="e">
        <f>IF(#REF!,"AAAAAEvPfxU=",0)</f>
        <v>#REF!</v>
      </c>
      <c r="W206" t="e">
        <f>IF(#REF!,"AAAAAEvPfxY=",0)</f>
        <v>#REF!</v>
      </c>
      <c r="X206" t="e">
        <f>IF(#REF!,"AAAAAEvPfxc=",0)</f>
        <v>#REF!</v>
      </c>
      <c r="Y206" t="e">
        <f>IF(#REF!,"AAAAAEvPfxg=",0)</f>
        <v>#REF!</v>
      </c>
      <c r="Z206" t="e">
        <f>IF(#REF!,"AAAAAEvPfxk=",0)</f>
        <v>#REF!</v>
      </c>
      <c r="AA206" t="e">
        <f>IF(#REF!,"AAAAAEvPfxo=",0)</f>
        <v>#REF!</v>
      </c>
      <c r="AB206" t="e">
        <f>IF(#REF!,"AAAAAEvPfxs=",0)</f>
        <v>#REF!</v>
      </c>
      <c r="AC206" t="e">
        <f>IF(#REF!,"AAAAAEvPfxw=",0)</f>
        <v>#REF!</v>
      </c>
      <c r="AD206" t="e">
        <f>IF(#REF!,"AAAAAEvPfx0=",0)</f>
        <v>#REF!</v>
      </c>
      <c r="AE206" t="e">
        <f>IF(#REF!,"AAAAAEvPfx4=",0)</f>
        <v>#REF!</v>
      </c>
      <c r="AF206" t="e">
        <f>IF(#REF!,"AAAAAEvPfx8=",0)</f>
        <v>#REF!</v>
      </c>
      <c r="AG206" t="e">
        <f>IF(#REF!,"AAAAAEvPfyA=",0)</f>
        <v>#REF!</v>
      </c>
      <c r="AH206" t="e">
        <f>IF(#REF!,"AAAAAEvPfyE=",0)</f>
        <v>#REF!</v>
      </c>
      <c r="AI206" t="e">
        <f>IF(#REF!,"AAAAAEvPfyI=",0)</f>
        <v>#REF!</v>
      </c>
      <c r="AJ206" t="e">
        <f>IF(#REF!,"AAAAAEvPfyM=",0)</f>
        <v>#REF!</v>
      </c>
      <c r="AK206" t="e">
        <f>IF(#REF!,"AAAAAEvPfyQ=",0)</f>
        <v>#REF!</v>
      </c>
      <c r="AL206" t="e">
        <f>IF(#REF!,"AAAAAEvPfyU=",0)</f>
        <v>#REF!</v>
      </c>
      <c r="AM206" t="e">
        <f>IF(#REF!,"AAAAAEvPfyY=",0)</f>
        <v>#REF!</v>
      </c>
      <c r="AN206" t="e">
        <f>IF(#REF!,"AAAAAEvPfyc=",0)</f>
        <v>#REF!</v>
      </c>
      <c r="AO206" t="e">
        <f>IF(#REF!,"AAAAAEvPfyg=",0)</f>
        <v>#REF!</v>
      </c>
      <c r="AP206" t="e">
        <f>IF(#REF!,"AAAAAEvPfyk=",0)</f>
        <v>#REF!</v>
      </c>
      <c r="AQ206" t="e">
        <f>IF(#REF!,"AAAAAEvPfyo=",0)</f>
        <v>#REF!</v>
      </c>
      <c r="AR206" t="e">
        <f>IF(#REF!,"AAAAAEvPfys=",0)</f>
        <v>#REF!</v>
      </c>
      <c r="AS206" t="e">
        <f>IF(#REF!,"AAAAAEvPfyw=",0)</f>
        <v>#REF!</v>
      </c>
      <c r="AT206" t="e">
        <f>IF(#REF!,"AAAAAEvPfy0=",0)</f>
        <v>#REF!</v>
      </c>
      <c r="AU206" t="e">
        <f>IF(#REF!,"AAAAAEvPfy4=",0)</f>
        <v>#REF!</v>
      </c>
      <c r="AV206" t="e">
        <f>IF(#REF!,"AAAAAEvPfy8=",0)</f>
        <v>#REF!</v>
      </c>
      <c r="AW206" t="e">
        <f>IF(#REF!,"AAAAAEvPfzA=",0)</f>
        <v>#REF!</v>
      </c>
      <c r="AX206" t="e">
        <f>IF(#REF!,"AAAAAEvPfzE=",0)</f>
        <v>#REF!</v>
      </c>
      <c r="AY206" t="e">
        <f>IF(#REF!,"AAAAAEvPfzI=",0)</f>
        <v>#REF!</v>
      </c>
      <c r="AZ206" t="e">
        <f>IF(#REF!,"AAAAAEvPfzM=",0)</f>
        <v>#REF!</v>
      </c>
      <c r="BA206" t="e">
        <f>IF(#REF!,"AAAAAEvPfzQ=",0)</f>
        <v>#REF!</v>
      </c>
      <c r="BB206" t="e">
        <f>IF(#REF!,"AAAAAEvPfzU=",0)</f>
        <v>#REF!</v>
      </c>
      <c r="BC206" t="e">
        <f>IF(#REF!,"AAAAAEvPfzY=",0)</f>
        <v>#REF!</v>
      </c>
      <c r="BD206" t="e">
        <f>IF(#REF!,"AAAAAEvPfzc=",0)</f>
        <v>#REF!</v>
      </c>
      <c r="BE206" t="e">
        <f>IF(#REF!,"AAAAAEvPfzg=",0)</f>
        <v>#REF!</v>
      </c>
      <c r="BF206" t="e">
        <f>IF(#REF!,"AAAAAEvPfzk=",0)</f>
        <v>#REF!</v>
      </c>
      <c r="BG206" t="e">
        <f>IF(#REF!,"AAAAAEvPfzo=",0)</f>
        <v>#REF!</v>
      </c>
      <c r="BH206" t="e">
        <f>IF(#REF!,"AAAAAEvPfzs=",0)</f>
        <v>#REF!</v>
      </c>
      <c r="BI206" t="e">
        <f>IF(#REF!,"AAAAAEvPfzw=",0)</f>
        <v>#REF!</v>
      </c>
      <c r="BJ206" t="e">
        <f>IF(#REF!,"AAAAAEvPfz0=",0)</f>
        <v>#REF!</v>
      </c>
      <c r="BK206" t="e">
        <f>IF(#REF!,"AAAAAEvPfz4=",0)</f>
        <v>#REF!</v>
      </c>
      <c r="BL206" t="e">
        <f>IF(#REF!,"AAAAAEvPfz8=",0)</f>
        <v>#REF!</v>
      </c>
      <c r="BM206" t="e">
        <f>IF(#REF!,"AAAAAEvPf0A=",0)</f>
        <v>#REF!</v>
      </c>
      <c r="BN206" t="e">
        <f>IF(#REF!,"AAAAAEvPf0E=",0)</f>
        <v>#REF!</v>
      </c>
      <c r="BO206" t="e">
        <f>IF(#REF!,"AAAAAEvPf0I=",0)</f>
        <v>#REF!</v>
      </c>
      <c r="BP206" t="e">
        <f>IF(#REF!,"AAAAAEvPf0M=",0)</f>
        <v>#REF!</v>
      </c>
      <c r="BQ206" t="e">
        <f>IF(#REF!,"AAAAAEvPf0Q=",0)</f>
        <v>#REF!</v>
      </c>
      <c r="BR206" t="e">
        <f>IF(#REF!,"AAAAAEvPf0U=",0)</f>
        <v>#REF!</v>
      </c>
      <c r="BS206" t="e">
        <f>IF(#REF!,"AAAAAEvPf0Y=",0)</f>
        <v>#REF!</v>
      </c>
      <c r="BT206" t="e">
        <f>IF(#REF!,"AAAAAEvPf0c=",0)</f>
        <v>#REF!</v>
      </c>
      <c r="BU206" t="e">
        <f>IF(#REF!,"AAAAAEvPf0g=",0)</f>
        <v>#REF!</v>
      </c>
      <c r="BV206" t="e">
        <f>IF(#REF!,"AAAAAEvPf0k=",0)</f>
        <v>#REF!</v>
      </c>
      <c r="BW206" t="e">
        <f>IF(#REF!,"AAAAAEvPf0o=",0)</f>
        <v>#REF!</v>
      </c>
      <c r="BX206" t="e">
        <f>IF(#REF!,"AAAAAEvPf0s=",0)</f>
        <v>#REF!</v>
      </c>
      <c r="BY206" t="e">
        <f>IF(#REF!,"AAAAAEvPf0w=",0)</f>
        <v>#REF!</v>
      </c>
      <c r="BZ206" t="e">
        <f>IF(#REF!,"AAAAAEvPf00=",0)</f>
        <v>#REF!</v>
      </c>
      <c r="CA206" t="e">
        <f>IF(#REF!,"AAAAAEvPf04=",0)</f>
        <v>#REF!</v>
      </c>
      <c r="CB206" t="e">
        <f>IF(#REF!,"AAAAAEvPf08=",0)</f>
        <v>#REF!</v>
      </c>
      <c r="CC206" t="e">
        <f>IF(#REF!,"AAAAAEvPf1A=",0)</f>
        <v>#REF!</v>
      </c>
      <c r="CD206" t="e">
        <f>IF(#REF!,"AAAAAEvPf1E=",0)</f>
        <v>#REF!</v>
      </c>
      <c r="CE206" t="e">
        <f>IF(#REF!,"AAAAAEvPf1I=",0)</f>
        <v>#REF!</v>
      </c>
      <c r="CF206" t="e">
        <f>IF(#REF!,"AAAAAEvPf1M=",0)</f>
        <v>#REF!</v>
      </c>
      <c r="CG206" t="e">
        <f>IF(#REF!,"AAAAAEvPf1Q=",0)</f>
        <v>#REF!</v>
      </c>
      <c r="CH206" t="e">
        <f>IF(#REF!,"AAAAAEvPf1U=",0)</f>
        <v>#REF!</v>
      </c>
      <c r="CI206" t="e">
        <f>IF(#REF!,"AAAAAEvPf1Y=",0)</f>
        <v>#REF!</v>
      </c>
      <c r="CJ206" t="e">
        <f>IF(#REF!,"AAAAAEvPf1c=",0)</f>
        <v>#REF!</v>
      </c>
      <c r="CK206" t="e">
        <f>IF(#REF!,"AAAAAEvPf1g=",0)</f>
        <v>#REF!</v>
      </c>
      <c r="CL206" t="e">
        <f>IF(#REF!,"AAAAAEvPf1k=",0)</f>
        <v>#REF!</v>
      </c>
      <c r="CM206" t="e">
        <f>IF(#REF!,"AAAAAEvPf1o=",0)</f>
        <v>#REF!</v>
      </c>
      <c r="CN206" t="e">
        <f>IF(#REF!,"AAAAAEvPf1s=",0)</f>
        <v>#REF!</v>
      </c>
      <c r="CO206" t="e">
        <f>IF(#REF!,"AAAAAEvPf1w=",0)</f>
        <v>#REF!</v>
      </c>
      <c r="CP206" t="e">
        <f>IF(#REF!,"AAAAAEvPf10=",0)</f>
        <v>#REF!</v>
      </c>
      <c r="CQ206" t="e">
        <f>IF(#REF!,"AAAAAEvPf14=",0)</f>
        <v>#REF!</v>
      </c>
      <c r="CR206" t="e">
        <f>IF(#REF!,"AAAAAEvPf18=",0)</f>
        <v>#REF!</v>
      </c>
      <c r="CS206" t="e">
        <f>IF(#REF!,"AAAAAEvPf2A=",0)</f>
        <v>#REF!</v>
      </c>
      <c r="CT206" t="e">
        <f>IF(#REF!,"AAAAAEvPf2E=",0)</f>
        <v>#REF!</v>
      </c>
      <c r="CU206" t="e">
        <f>IF(#REF!,"AAAAAEvPf2I=",0)</f>
        <v>#REF!</v>
      </c>
      <c r="CV206" t="e">
        <f>IF(#REF!,"AAAAAEvPf2M=",0)</f>
        <v>#REF!</v>
      </c>
      <c r="CW206" t="e">
        <f>IF(#REF!,"AAAAAEvPf2Q=",0)</f>
        <v>#REF!</v>
      </c>
      <c r="CX206" t="e">
        <f>IF(#REF!,"AAAAAEvPf2U=",0)</f>
        <v>#REF!</v>
      </c>
      <c r="CY206" t="e">
        <f>IF(#REF!,"AAAAAEvPf2Y=",0)</f>
        <v>#REF!</v>
      </c>
      <c r="CZ206" t="e">
        <f>IF(#REF!,"AAAAAEvPf2c=",0)</f>
        <v>#REF!</v>
      </c>
      <c r="DA206" t="e">
        <f>IF(#REF!,"AAAAAEvPf2g=",0)</f>
        <v>#REF!</v>
      </c>
      <c r="DB206" t="e">
        <f>IF(#REF!,"AAAAAEvPf2k=",0)</f>
        <v>#REF!</v>
      </c>
      <c r="DC206" t="e">
        <f>IF(#REF!,"AAAAAEvPf2o=",0)</f>
        <v>#REF!</v>
      </c>
      <c r="DD206" t="e">
        <f>IF(#REF!,"AAAAAEvPf2s=",0)</f>
        <v>#REF!</v>
      </c>
      <c r="DE206" t="e">
        <f>IF(#REF!,"AAAAAEvPf2w=",0)</f>
        <v>#REF!</v>
      </c>
      <c r="DF206" t="e">
        <f>IF(#REF!,"AAAAAEvPf20=",0)</f>
        <v>#REF!</v>
      </c>
      <c r="DG206" t="e">
        <f>IF(#REF!,"AAAAAEvPf24=",0)</f>
        <v>#REF!</v>
      </c>
      <c r="DH206" t="e">
        <f>IF(#REF!,"AAAAAEvPf28=",0)</f>
        <v>#REF!</v>
      </c>
      <c r="DI206" t="e">
        <f>IF(#REF!,"AAAAAEvPf3A=",0)</f>
        <v>#REF!</v>
      </c>
      <c r="DJ206" t="e">
        <f>IF(#REF!,"AAAAAEvPf3E=",0)</f>
        <v>#REF!</v>
      </c>
      <c r="DK206" t="e">
        <f>IF(#REF!,"AAAAAEvPf3I=",0)</f>
        <v>#REF!</v>
      </c>
      <c r="DL206" t="e">
        <f>IF(#REF!,"AAAAAEvPf3M=",0)</f>
        <v>#REF!</v>
      </c>
      <c r="DM206" t="e">
        <f>IF(#REF!,"AAAAAEvPf3Q=",0)</f>
        <v>#REF!</v>
      </c>
      <c r="DN206" t="e">
        <f>IF(#REF!,"AAAAAEvPf3U=",0)</f>
        <v>#REF!</v>
      </c>
      <c r="DO206" t="e">
        <f>IF(#REF!,"AAAAAEvPf3Y=",0)</f>
        <v>#REF!</v>
      </c>
      <c r="DP206" t="e">
        <f>IF(#REF!,"AAAAAEvPf3c=",0)</f>
        <v>#REF!</v>
      </c>
      <c r="DQ206" t="e">
        <f>IF(#REF!,"AAAAAEvPf3g=",0)</f>
        <v>#REF!</v>
      </c>
      <c r="DR206" t="e">
        <f>IF(#REF!,"AAAAAEvPf3k=",0)</f>
        <v>#REF!</v>
      </c>
      <c r="DS206" t="e">
        <f>IF(#REF!,"AAAAAEvPf3o=",0)</f>
        <v>#REF!</v>
      </c>
      <c r="DT206" t="e">
        <f>IF(#REF!,"AAAAAEvPf3s=",0)</f>
        <v>#REF!</v>
      </c>
      <c r="DU206" t="e">
        <f>IF(#REF!,"AAAAAEvPf3w=",0)</f>
        <v>#REF!</v>
      </c>
      <c r="DV206" t="e">
        <f>IF(#REF!,"AAAAAEvPf30=",0)</f>
        <v>#REF!</v>
      </c>
      <c r="DW206" t="e">
        <f>IF(#REF!,"AAAAAEvPf34=",0)</f>
        <v>#REF!</v>
      </c>
      <c r="DX206" t="e">
        <f>IF(#REF!,"AAAAAEvPf38=",0)</f>
        <v>#REF!</v>
      </c>
      <c r="DY206" t="e">
        <f>IF(#REF!,"AAAAAEvPf4A=",0)</f>
        <v>#REF!</v>
      </c>
      <c r="DZ206" t="e">
        <f>IF(#REF!,"AAAAAEvPf4E=",0)</f>
        <v>#REF!</v>
      </c>
      <c r="EA206" t="e">
        <f>IF(#REF!,"AAAAAEvPf4I=",0)</f>
        <v>#REF!</v>
      </c>
      <c r="EB206" t="e">
        <f>IF(#REF!,"AAAAAEvPf4M=",0)</f>
        <v>#REF!</v>
      </c>
      <c r="EC206" t="e">
        <f>IF(#REF!,"AAAAAEvPf4Q=",0)</f>
        <v>#REF!</v>
      </c>
      <c r="ED206" t="e">
        <f>IF(#REF!,"AAAAAEvPf4U=",0)</f>
        <v>#REF!</v>
      </c>
      <c r="EE206" t="e">
        <f>IF(#REF!,"AAAAAEvPf4Y=",0)</f>
        <v>#REF!</v>
      </c>
      <c r="EF206" t="e">
        <f>IF(#REF!,"AAAAAEvPf4c=",0)</f>
        <v>#REF!</v>
      </c>
      <c r="EG206" t="e">
        <f>IF(#REF!,"AAAAAEvPf4g=",0)</f>
        <v>#REF!</v>
      </c>
      <c r="EH206" t="e">
        <f>IF(#REF!,"AAAAAEvPf4k=",0)</f>
        <v>#REF!</v>
      </c>
      <c r="EI206" t="e">
        <f>IF(#REF!,"AAAAAEvPf4o=",0)</f>
        <v>#REF!</v>
      </c>
      <c r="EJ206" t="e">
        <f>IF(#REF!,"AAAAAEvPf4s=",0)</f>
        <v>#REF!</v>
      </c>
      <c r="EK206" t="e">
        <f>IF(#REF!,"AAAAAEvPf4w=",0)</f>
        <v>#REF!</v>
      </c>
      <c r="EL206" t="e">
        <f>IF(#REF!,"AAAAAEvPf40=",0)</f>
        <v>#REF!</v>
      </c>
      <c r="EM206" t="e">
        <f>IF(#REF!,"AAAAAEvPf44=",0)</f>
        <v>#REF!</v>
      </c>
      <c r="EN206" t="e">
        <f>IF(#REF!,"AAAAAEvPf48=",0)</f>
        <v>#REF!</v>
      </c>
      <c r="EO206" t="e">
        <f>IF(#REF!,"AAAAAEvPf5A=",0)</f>
        <v>#REF!</v>
      </c>
      <c r="EP206" t="e">
        <f>IF(#REF!,"AAAAAEvPf5E=",0)</f>
        <v>#REF!</v>
      </c>
      <c r="EQ206" t="e">
        <f>IF(#REF!,"AAAAAEvPf5I=",0)</f>
        <v>#REF!</v>
      </c>
      <c r="ER206" t="e">
        <f>IF(#REF!,"AAAAAEvPf5M=",0)</f>
        <v>#REF!</v>
      </c>
      <c r="ES206" t="e">
        <f>IF(#REF!,"AAAAAEvPf5Q=",0)</f>
        <v>#REF!</v>
      </c>
      <c r="ET206" t="e">
        <f>IF(#REF!,"AAAAAEvPf5U=",0)</f>
        <v>#REF!</v>
      </c>
      <c r="EU206" t="e">
        <f>IF(#REF!,"AAAAAEvPf5Y=",0)</f>
        <v>#REF!</v>
      </c>
      <c r="EV206" t="e">
        <f>IF(#REF!,"AAAAAEvPf5c=",0)</f>
        <v>#REF!</v>
      </c>
      <c r="EW206" t="e">
        <f>IF(#REF!,"AAAAAEvPf5g=",0)</f>
        <v>#REF!</v>
      </c>
      <c r="EX206" t="e">
        <f>IF(#REF!,"AAAAAEvPf5k=",0)</f>
        <v>#REF!</v>
      </c>
      <c r="EY206" t="e">
        <f>IF(#REF!,"AAAAAEvPf5o=",0)</f>
        <v>#REF!</v>
      </c>
      <c r="EZ206" t="e">
        <f>IF(#REF!,"AAAAAEvPf5s=",0)</f>
        <v>#REF!</v>
      </c>
      <c r="FA206" t="e">
        <f>IF(#REF!,"AAAAAEvPf5w=",0)</f>
        <v>#REF!</v>
      </c>
      <c r="FB206" t="e">
        <f>IF(#REF!,"AAAAAEvPf50=",0)</f>
        <v>#REF!</v>
      </c>
      <c r="FC206" t="e">
        <f>IF(#REF!,"AAAAAEvPf54=",0)</f>
        <v>#REF!</v>
      </c>
      <c r="FD206" t="e">
        <f>IF(#REF!,"AAAAAEvPf58=",0)</f>
        <v>#REF!</v>
      </c>
      <c r="FE206" t="e">
        <f>IF(#REF!,"AAAAAEvPf6A=",0)</f>
        <v>#REF!</v>
      </c>
      <c r="FF206" t="e">
        <f>IF(#REF!,"AAAAAEvPf6E=",0)</f>
        <v>#REF!</v>
      </c>
      <c r="FG206" t="e">
        <f>IF(#REF!,"AAAAAEvPf6I=",0)</f>
        <v>#REF!</v>
      </c>
      <c r="FH206" t="e">
        <f>IF(#REF!,"AAAAAEvPf6M=",0)</f>
        <v>#REF!</v>
      </c>
      <c r="FI206" t="e">
        <f>IF(#REF!,"AAAAAEvPf6Q=",0)</f>
        <v>#REF!</v>
      </c>
      <c r="FJ206" t="e">
        <f>IF(#REF!,"AAAAAEvPf6U=",0)</f>
        <v>#REF!</v>
      </c>
      <c r="FK206" t="e">
        <f>IF(#REF!,"AAAAAEvPf6Y=",0)</f>
        <v>#REF!</v>
      </c>
      <c r="FL206" t="e">
        <f>IF(#REF!,"AAAAAEvPf6c=",0)</f>
        <v>#REF!</v>
      </c>
      <c r="FM206" t="e">
        <f>IF(#REF!,"AAAAAEvPf6g=",0)</f>
        <v>#REF!</v>
      </c>
      <c r="FN206" t="e">
        <f>IF(#REF!,"AAAAAEvPf6k=",0)</f>
        <v>#REF!</v>
      </c>
      <c r="FO206" t="e">
        <f>IF(#REF!,"AAAAAEvPf6o=",0)</f>
        <v>#REF!</v>
      </c>
      <c r="FP206" t="e">
        <f>IF(#REF!,"AAAAAEvPf6s=",0)</f>
        <v>#REF!</v>
      </c>
      <c r="FQ206" t="e">
        <f>IF(#REF!,"AAAAAEvPf6w=",0)</f>
        <v>#REF!</v>
      </c>
      <c r="FR206" t="e">
        <f>IF(#REF!,"AAAAAEvPf60=",0)</f>
        <v>#REF!</v>
      </c>
      <c r="FS206" t="e">
        <f>IF(#REF!,"AAAAAEvPf64=",0)</f>
        <v>#REF!</v>
      </c>
      <c r="FT206" t="e">
        <f>IF(#REF!,"AAAAAEvPf68=",0)</f>
        <v>#REF!</v>
      </c>
      <c r="FU206" t="e">
        <f>IF(#REF!,"AAAAAEvPf7A=",0)</f>
        <v>#REF!</v>
      </c>
      <c r="FV206" t="e">
        <f>IF(#REF!,"AAAAAEvPf7E=",0)</f>
        <v>#REF!</v>
      </c>
      <c r="FW206" t="e">
        <f>IF(#REF!,"AAAAAEvPf7I=",0)</f>
        <v>#REF!</v>
      </c>
      <c r="FX206" t="e">
        <f>IF(#REF!,"AAAAAEvPf7M=",0)</f>
        <v>#REF!</v>
      </c>
      <c r="FY206" t="e">
        <f>IF(#REF!,"AAAAAEvPf7Q=",0)</f>
        <v>#REF!</v>
      </c>
      <c r="FZ206" t="e">
        <f>IF(#REF!,"AAAAAEvPf7U=",0)</f>
        <v>#REF!</v>
      </c>
      <c r="GA206" t="e">
        <f>IF(#REF!,"AAAAAEvPf7Y=",0)</f>
        <v>#REF!</v>
      </c>
      <c r="GB206" t="e">
        <f>IF(#REF!,"AAAAAEvPf7c=",0)</f>
        <v>#REF!</v>
      </c>
      <c r="GC206" t="e">
        <f>IF(#REF!,"AAAAAEvPf7g=",0)</f>
        <v>#REF!</v>
      </c>
      <c r="GD206" t="e">
        <f>IF(#REF!,"AAAAAEvPf7k=",0)</f>
        <v>#REF!</v>
      </c>
      <c r="GE206" t="e">
        <f>IF(#REF!,"AAAAAEvPf7o=",0)</f>
        <v>#REF!</v>
      </c>
      <c r="GF206" t="e">
        <f>IF(#REF!,"AAAAAEvPf7s=",0)</f>
        <v>#REF!</v>
      </c>
      <c r="GG206" t="e">
        <f>IF(#REF!,"AAAAAEvPf7w=",0)</f>
        <v>#REF!</v>
      </c>
      <c r="GH206" t="e">
        <f>IF(#REF!,"AAAAAEvPf70=",0)</f>
        <v>#REF!</v>
      </c>
      <c r="GI206" t="e">
        <f>IF(#REF!,"AAAAAEvPf74=",0)</f>
        <v>#REF!</v>
      </c>
      <c r="GJ206" t="e">
        <f>IF(#REF!,"AAAAAEvPf78=",0)</f>
        <v>#REF!</v>
      </c>
      <c r="GK206" t="e">
        <f>IF(#REF!,"AAAAAEvPf8A=",0)</f>
        <v>#REF!</v>
      </c>
      <c r="GL206" t="e">
        <f>IF(#REF!,"AAAAAEvPf8E=",0)</f>
        <v>#REF!</v>
      </c>
      <c r="GM206" t="e">
        <f>IF(#REF!,"AAAAAEvPf8I=",0)</f>
        <v>#REF!</v>
      </c>
      <c r="GN206" t="e">
        <f>IF(#REF!,"AAAAAEvPf8M=",0)</f>
        <v>#REF!</v>
      </c>
      <c r="GO206" t="e">
        <f>IF(#REF!,"AAAAAEvPf8Q=",0)</f>
        <v>#REF!</v>
      </c>
      <c r="GP206" t="e">
        <f>IF(#REF!,"AAAAAEvPf8U=",0)</f>
        <v>#REF!</v>
      </c>
      <c r="GQ206" t="e">
        <f>IF(#REF!,"AAAAAEvPf8Y=",0)</f>
        <v>#REF!</v>
      </c>
      <c r="GR206" t="e">
        <f>IF(#REF!,"AAAAAEvPf8c=",0)</f>
        <v>#REF!</v>
      </c>
      <c r="GS206" t="e">
        <f>IF(#REF!,"AAAAAEvPf8g=",0)</f>
        <v>#REF!</v>
      </c>
      <c r="GT206" t="e">
        <f>IF(#REF!,"AAAAAEvPf8k=",0)</f>
        <v>#REF!</v>
      </c>
      <c r="GU206" t="e">
        <f>IF(#REF!,"AAAAAEvPf8o=",0)</f>
        <v>#REF!</v>
      </c>
      <c r="GV206" t="e">
        <f>IF(#REF!,"AAAAAEvPf8s=",0)</f>
        <v>#REF!</v>
      </c>
      <c r="GW206" t="e">
        <f>IF(#REF!,"AAAAAEvPf8w=",0)</f>
        <v>#REF!</v>
      </c>
      <c r="GX206" t="e">
        <f>IF(#REF!,"AAAAAEvPf80=",0)</f>
        <v>#REF!</v>
      </c>
      <c r="GY206" t="e">
        <f>IF(#REF!,"AAAAAEvPf84=",0)</f>
        <v>#REF!</v>
      </c>
      <c r="GZ206" t="e">
        <f>IF(#REF!,"AAAAAEvPf88=",0)</f>
        <v>#REF!</v>
      </c>
      <c r="HA206" t="e">
        <f>IF(#REF!,"AAAAAEvPf9A=",0)</f>
        <v>#REF!</v>
      </c>
      <c r="HB206" t="e">
        <f>IF(#REF!,"AAAAAEvPf9E=",0)</f>
        <v>#REF!</v>
      </c>
      <c r="HC206" t="e">
        <f>IF(#REF!,"AAAAAEvPf9I=",0)</f>
        <v>#REF!</v>
      </c>
      <c r="HD206" t="e">
        <f>IF(#REF!,"AAAAAEvPf9M=",0)</f>
        <v>#REF!</v>
      </c>
      <c r="HE206" t="e">
        <f>IF(#REF!,"AAAAAEvPf9Q=",0)</f>
        <v>#REF!</v>
      </c>
      <c r="HF206" t="e">
        <f>IF(#REF!,"AAAAAEvPf9U=",0)</f>
        <v>#REF!</v>
      </c>
      <c r="HG206" t="e">
        <f>IF(#REF!,"AAAAAEvPf9Y=",0)</f>
        <v>#REF!</v>
      </c>
      <c r="HH206" t="e">
        <f>IF(#REF!,"AAAAAEvPf9c=",0)</f>
        <v>#REF!</v>
      </c>
      <c r="HI206" t="e">
        <f>IF(#REF!,"AAAAAEvPf9g=",0)</f>
        <v>#REF!</v>
      </c>
      <c r="HJ206" t="e">
        <f>IF(#REF!,"AAAAAEvPf9k=",0)</f>
        <v>#REF!</v>
      </c>
      <c r="HK206" t="e">
        <f>IF(#REF!,"AAAAAEvPf9o=",0)</f>
        <v>#REF!</v>
      </c>
      <c r="HL206" t="e">
        <f>IF(#REF!,"AAAAAEvPf9s=",0)</f>
        <v>#REF!</v>
      </c>
      <c r="HM206" t="e">
        <f>IF(#REF!,"AAAAAEvPf9w=",0)</f>
        <v>#REF!</v>
      </c>
      <c r="HN206" t="e">
        <f>IF(#REF!,"AAAAAEvPf90=",0)</f>
        <v>#REF!</v>
      </c>
      <c r="HO206" t="e">
        <f>IF(#REF!,"AAAAAEvPf94=",0)</f>
        <v>#REF!</v>
      </c>
      <c r="HP206" t="e">
        <f>IF(#REF!,"AAAAAEvPf98=",0)</f>
        <v>#REF!</v>
      </c>
      <c r="HQ206" t="e">
        <f>IF(#REF!,"AAAAAEvPf+A=",0)</f>
        <v>#REF!</v>
      </c>
      <c r="HR206" t="e">
        <f>IF(#REF!,"AAAAAEvPf+E=",0)</f>
        <v>#REF!</v>
      </c>
      <c r="HS206" t="e">
        <f>IF(#REF!,"AAAAAEvPf+I=",0)</f>
        <v>#REF!</v>
      </c>
      <c r="HT206" t="e">
        <f>IF(#REF!,"AAAAAEvPf+M=",0)</f>
        <v>#REF!</v>
      </c>
      <c r="HU206" t="e">
        <f>IF(#REF!,"AAAAAEvPf+Q=",0)</f>
        <v>#REF!</v>
      </c>
      <c r="HV206" t="e">
        <f>IF(#REF!,"AAAAAEvPf+U=",0)</f>
        <v>#REF!</v>
      </c>
      <c r="HW206" t="e">
        <f>IF(#REF!,"AAAAAEvPf+Y=",0)</f>
        <v>#REF!</v>
      </c>
      <c r="HX206" t="e">
        <f>IF(#REF!,"AAAAAEvPf+c=",0)</f>
        <v>#REF!</v>
      </c>
      <c r="HY206" t="e">
        <f>IF(#REF!,"AAAAAEvPf+g=",0)</f>
        <v>#REF!</v>
      </c>
      <c r="HZ206" t="e">
        <f>IF(#REF!,"AAAAAEvPf+k=",0)</f>
        <v>#REF!</v>
      </c>
      <c r="IA206" t="e">
        <f>IF(#REF!,"AAAAAEvPf+o=",0)</f>
        <v>#REF!</v>
      </c>
      <c r="IB206" t="e">
        <f>IF(#REF!,"AAAAAEvPf+s=",0)</f>
        <v>#REF!</v>
      </c>
      <c r="IC206" t="e">
        <f>IF(#REF!,"AAAAAEvPf+w=",0)</f>
        <v>#REF!</v>
      </c>
      <c r="ID206" t="e">
        <f>IF(#REF!,"AAAAAEvPf+0=",0)</f>
        <v>#REF!</v>
      </c>
      <c r="IE206" t="e">
        <f>IF(#REF!,"AAAAAEvPf+4=",0)</f>
        <v>#REF!</v>
      </c>
      <c r="IF206" t="e">
        <f>IF(#REF!,"AAAAAEvPf+8=",0)</f>
        <v>#REF!</v>
      </c>
      <c r="IG206" t="e">
        <f>IF(#REF!,"AAAAAEvPf/A=",0)</f>
        <v>#REF!</v>
      </c>
      <c r="IH206" t="e">
        <f>IF(#REF!,"AAAAAEvPf/E=",0)</f>
        <v>#REF!</v>
      </c>
      <c r="II206" t="e">
        <f>IF(#REF!,"AAAAAEvPf/I=",0)</f>
        <v>#REF!</v>
      </c>
      <c r="IJ206" t="e">
        <f>IF(#REF!,"AAAAAEvPf/M=",0)</f>
        <v>#REF!</v>
      </c>
      <c r="IK206" t="e">
        <f>IF(#REF!,"AAAAAEvPf/Q=",0)</f>
        <v>#REF!</v>
      </c>
      <c r="IL206" t="e">
        <f>IF(#REF!,"AAAAAEvPf/U=",0)</f>
        <v>#REF!</v>
      </c>
      <c r="IM206" t="e">
        <f>IF(#REF!,"AAAAAEvPf/Y=",0)</f>
        <v>#REF!</v>
      </c>
      <c r="IN206" t="e">
        <f>IF(#REF!,"AAAAAEvPf/c=",0)</f>
        <v>#REF!</v>
      </c>
      <c r="IO206" t="e">
        <f>IF(#REF!,"AAAAAEvPf/g=",0)</f>
        <v>#REF!</v>
      </c>
      <c r="IP206" t="e">
        <f>IF(#REF!,"AAAAAEvPf/k=",0)</f>
        <v>#REF!</v>
      </c>
      <c r="IQ206" t="e">
        <f>IF(#REF!,"AAAAAEvPf/o=",0)</f>
        <v>#REF!</v>
      </c>
      <c r="IR206" t="e">
        <f>IF(#REF!,"AAAAAEvPf/s=",0)</f>
        <v>#REF!</v>
      </c>
      <c r="IS206" t="e">
        <f>IF(#REF!,"AAAAAEvPf/w=",0)</f>
        <v>#REF!</v>
      </c>
      <c r="IT206" t="e">
        <f>IF(#REF!,"AAAAAEvPf/0=",0)</f>
        <v>#REF!</v>
      </c>
      <c r="IU206" t="e">
        <f>IF(#REF!,"AAAAAEvPf/4=",0)</f>
        <v>#REF!</v>
      </c>
      <c r="IV206" t="e">
        <f>IF(#REF!,"AAAAAEvPf/8=",0)</f>
        <v>#REF!</v>
      </c>
    </row>
    <row r="207" spans="1:256">
      <c r="A207" t="e">
        <f>IF(#REF!,"AAAAAG//9wA=",0)</f>
        <v>#REF!</v>
      </c>
      <c r="B207" t="e">
        <f>IF(#REF!,"AAAAAG//9wE=",0)</f>
        <v>#REF!</v>
      </c>
      <c r="C207" t="e">
        <f>IF(#REF!,"AAAAAG//9wI=",0)</f>
        <v>#REF!</v>
      </c>
      <c r="D207" t="e">
        <f>IF(#REF!,"AAAAAG//9wM=",0)</f>
        <v>#REF!</v>
      </c>
      <c r="E207" t="e">
        <f>IF(#REF!,"AAAAAG//9wQ=",0)</f>
        <v>#REF!</v>
      </c>
      <c r="F207" t="e">
        <f>IF(#REF!,"AAAAAG//9wU=",0)</f>
        <v>#REF!</v>
      </c>
      <c r="G207" t="e">
        <f>IF(#REF!,"AAAAAG//9wY=",0)</f>
        <v>#REF!</v>
      </c>
      <c r="H207" t="e">
        <f>IF(#REF!,"AAAAAG//9wc=",0)</f>
        <v>#REF!</v>
      </c>
      <c r="I207" t="e">
        <f>IF(#REF!,"AAAAAG//9wg=",0)</f>
        <v>#REF!</v>
      </c>
      <c r="J207" t="e">
        <f>IF(#REF!,"AAAAAG//9wk=",0)</f>
        <v>#REF!</v>
      </c>
      <c r="K207" t="e">
        <f>IF(#REF!,"AAAAAG//9wo=",0)</f>
        <v>#REF!</v>
      </c>
      <c r="L207" t="e">
        <f>IF(#REF!,"AAAAAG//9ws=",0)</f>
        <v>#REF!</v>
      </c>
      <c r="M207" t="e">
        <f>IF(#REF!,"AAAAAG//9ww=",0)</f>
        <v>#REF!</v>
      </c>
      <c r="N207" t="e">
        <f>IF(#REF!,"AAAAAG//9w0=",0)</f>
        <v>#REF!</v>
      </c>
      <c r="O207" t="e">
        <f>IF(#REF!,"AAAAAG//9w4=",0)</f>
        <v>#REF!</v>
      </c>
      <c r="P207" t="e">
        <f>IF(#REF!,"AAAAAG//9w8=",0)</f>
        <v>#REF!</v>
      </c>
      <c r="Q207" t="e">
        <f>IF(#REF!,"AAAAAG//9xA=",0)</f>
        <v>#REF!</v>
      </c>
      <c r="R207" t="e">
        <f>IF(#REF!,"AAAAAG//9xE=",0)</f>
        <v>#REF!</v>
      </c>
      <c r="S207" t="e">
        <f>IF(#REF!,"AAAAAG//9xI=",0)</f>
        <v>#REF!</v>
      </c>
      <c r="T207" t="e">
        <f>IF(#REF!,"AAAAAG//9xM=",0)</f>
        <v>#REF!</v>
      </c>
      <c r="U207" t="e">
        <f>IF(#REF!,"AAAAAG//9xQ=",0)</f>
        <v>#REF!</v>
      </c>
      <c r="V207" t="e">
        <f>IF(#REF!,"AAAAAG//9xU=",0)</f>
        <v>#REF!</v>
      </c>
      <c r="W207" t="e">
        <f>IF(#REF!,"AAAAAG//9xY=",0)</f>
        <v>#REF!</v>
      </c>
      <c r="X207" t="e">
        <f>IF(#REF!,"AAAAAG//9xc=",0)</f>
        <v>#REF!</v>
      </c>
      <c r="Y207" t="e">
        <f>IF(#REF!,"AAAAAG//9xg=",0)</f>
        <v>#REF!</v>
      </c>
      <c r="Z207" t="e">
        <f>IF(#REF!,"AAAAAG//9xk=",0)</f>
        <v>#REF!</v>
      </c>
      <c r="AA207" t="e">
        <f>IF(#REF!,"AAAAAG//9xo=",0)</f>
        <v>#REF!</v>
      </c>
      <c r="AB207" t="e">
        <f>IF(#REF!,"AAAAAG//9xs=",0)</f>
        <v>#REF!</v>
      </c>
      <c r="AC207" t="e">
        <f>IF(#REF!,"AAAAAG//9xw=",0)</f>
        <v>#REF!</v>
      </c>
      <c r="AD207" t="e">
        <f>IF(#REF!,"AAAAAG//9x0=",0)</f>
        <v>#REF!</v>
      </c>
      <c r="AE207" t="e">
        <f>IF(#REF!,"AAAAAG//9x4=",0)</f>
        <v>#REF!</v>
      </c>
      <c r="AF207" t="e">
        <f>IF(#REF!,"AAAAAG//9x8=",0)</f>
        <v>#REF!</v>
      </c>
      <c r="AG207" t="e">
        <f>IF(#REF!,"AAAAAG//9yA=",0)</f>
        <v>#REF!</v>
      </c>
      <c r="AH207" t="e">
        <f>IF(#REF!,"AAAAAG//9yE=",0)</f>
        <v>#REF!</v>
      </c>
      <c r="AI207" t="e">
        <f>IF(#REF!,"AAAAAG//9yI=",0)</f>
        <v>#REF!</v>
      </c>
      <c r="AJ207" t="e">
        <f>IF(#REF!,"AAAAAG//9yM=",0)</f>
        <v>#REF!</v>
      </c>
      <c r="AK207" t="e">
        <f>IF(#REF!,"AAAAAG//9yQ=",0)</f>
        <v>#REF!</v>
      </c>
      <c r="AL207" t="e">
        <f>IF(#REF!,"AAAAAG//9yU=",0)</f>
        <v>#REF!</v>
      </c>
      <c r="AM207" t="e">
        <f>IF(#REF!,"AAAAAG//9yY=",0)</f>
        <v>#REF!</v>
      </c>
      <c r="AN207" t="e">
        <f>IF(#REF!,"AAAAAG//9yc=",0)</f>
        <v>#REF!</v>
      </c>
      <c r="AO207" t="e">
        <f>IF(#REF!,"AAAAAG//9yg=",0)</f>
        <v>#REF!</v>
      </c>
      <c r="AP207" t="e">
        <f>IF(#REF!,"AAAAAG//9yk=",0)</f>
        <v>#REF!</v>
      </c>
      <c r="AQ207" t="e">
        <f>IF(#REF!,"AAAAAG//9yo=",0)</f>
        <v>#REF!</v>
      </c>
      <c r="AR207" t="e">
        <f>IF(#REF!,"AAAAAG//9ys=",0)</f>
        <v>#REF!</v>
      </c>
      <c r="AS207" t="e">
        <f>IF(#REF!,"AAAAAG//9yw=",0)</f>
        <v>#REF!</v>
      </c>
      <c r="AT207" t="e">
        <f>IF(#REF!,"AAAAAG//9y0=",0)</f>
        <v>#REF!</v>
      </c>
      <c r="AU207" t="e">
        <f>IF(#REF!,"AAAAAG//9y4=",0)</f>
        <v>#REF!</v>
      </c>
      <c r="AV207" t="e">
        <f>IF(#REF!,"AAAAAG//9y8=",0)</f>
        <v>#REF!</v>
      </c>
      <c r="AW207" t="e">
        <f>IF(#REF!,"AAAAAG//9zA=",0)</f>
        <v>#REF!</v>
      </c>
      <c r="AX207" t="e">
        <f>IF(#REF!,"AAAAAG//9zE=",0)</f>
        <v>#REF!</v>
      </c>
      <c r="AY207" t="e">
        <f>IF(#REF!,"AAAAAG//9zI=",0)</f>
        <v>#REF!</v>
      </c>
      <c r="AZ207" t="e">
        <f>IF(#REF!,"AAAAAG//9zM=",0)</f>
        <v>#REF!</v>
      </c>
      <c r="BA207" t="e">
        <f>IF(#REF!,"AAAAAG//9zQ=",0)</f>
        <v>#REF!</v>
      </c>
      <c r="BB207" t="e">
        <f>IF(#REF!,"AAAAAG//9zU=",0)</f>
        <v>#REF!</v>
      </c>
      <c r="BC207" t="e">
        <f>IF(#REF!,"AAAAAG//9zY=",0)</f>
        <v>#REF!</v>
      </c>
      <c r="BD207" t="e">
        <f>IF(#REF!,"AAAAAG//9zc=",0)</f>
        <v>#REF!</v>
      </c>
      <c r="BE207" t="e">
        <f>IF(#REF!,"AAAAAG//9zg=",0)</f>
        <v>#REF!</v>
      </c>
      <c r="BF207" t="e">
        <f>IF(#REF!,"AAAAAG//9zk=",0)</f>
        <v>#REF!</v>
      </c>
      <c r="BG207" t="e">
        <f>IF(#REF!,"AAAAAG//9zo=",0)</f>
        <v>#REF!</v>
      </c>
      <c r="BH207" t="e">
        <f>IF(#REF!,"AAAAAG//9zs=",0)</f>
        <v>#REF!</v>
      </c>
      <c r="BI207" t="e">
        <f>IF(#REF!,"AAAAAG//9zw=",0)</f>
        <v>#REF!</v>
      </c>
      <c r="BJ207" t="e">
        <f>IF(#REF!,"AAAAAG//9z0=",0)</f>
        <v>#REF!</v>
      </c>
      <c r="BK207" t="e">
        <f>IF(#REF!,"AAAAAG//9z4=",0)</f>
        <v>#REF!</v>
      </c>
      <c r="BL207" t="e">
        <f>IF(#REF!,"AAAAAG//9z8=",0)</f>
        <v>#REF!</v>
      </c>
      <c r="BM207" t="e">
        <f>IF(#REF!,"AAAAAG//90A=",0)</f>
        <v>#REF!</v>
      </c>
      <c r="BN207" t="e">
        <f>IF(#REF!,"AAAAAG//90E=",0)</f>
        <v>#REF!</v>
      </c>
      <c r="BO207" t="e">
        <f>IF(#REF!,"AAAAAG//90I=",0)</f>
        <v>#REF!</v>
      </c>
      <c r="BP207" t="e">
        <f>IF(#REF!,"AAAAAG//90M=",0)</f>
        <v>#REF!</v>
      </c>
      <c r="BQ207" t="e">
        <f>IF(#REF!,"AAAAAG//90Q=",0)</f>
        <v>#REF!</v>
      </c>
      <c r="BR207" t="e">
        <f>IF(#REF!,"AAAAAG//90U=",0)</f>
        <v>#REF!</v>
      </c>
      <c r="BS207" t="e">
        <f>IF(#REF!,"AAAAAG//90Y=",0)</f>
        <v>#REF!</v>
      </c>
      <c r="BT207" t="e">
        <f>IF(#REF!,"AAAAAG//90c=",0)</f>
        <v>#REF!</v>
      </c>
      <c r="BU207" t="e">
        <f>IF(#REF!,"AAAAAG//90g=",0)</f>
        <v>#REF!</v>
      </c>
      <c r="BV207" t="e">
        <f>IF(#REF!,"AAAAAG//90k=",0)</f>
        <v>#REF!</v>
      </c>
      <c r="BW207" t="e">
        <f>IF(#REF!,"AAAAAG//90o=",0)</f>
        <v>#REF!</v>
      </c>
      <c r="BX207" t="e">
        <f>IF(#REF!,"AAAAAG//90s=",0)</f>
        <v>#REF!</v>
      </c>
      <c r="BY207" t="e">
        <f>IF(#REF!,"AAAAAG//90w=",0)</f>
        <v>#REF!</v>
      </c>
      <c r="BZ207" t="e">
        <f>IF(#REF!,"AAAAAG//900=",0)</f>
        <v>#REF!</v>
      </c>
      <c r="CA207" t="e">
        <f>IF(#REF!,"AAAAAG//904=",0)</f>
        <v>#REF!</v>
      </c>
      <c r="CB207" t="e">
        <f>IF(#REF!,"AAAAAG//908=",0)</f>
        <v>#REF!</v>
      </c>
      <c r="CC207" t="e">
        <f>IF(#REF!,"AAAAAG//91A=",0)</f>
        <v>#REF!</v>
      </c>
      <c r="CD207" t="e">
        <f>IF(#REF!,"AAAAAG//91E=",0)</f>
        <v>#REF!</v>
      </c>
      <c r="CE207" t="e">
        <f>IF(#REF!,"AAAAAG//91I=",0)</f>
        <v>#REF!</v>
      </c>
      <c r="CF207" t="e">
        <f>IF(#REF!,"AAAAAG//91M=",0)</f>
        <v>#REF!</v>
      </c>
      <c r="CG207" t="e">
        <f>IF(#REF!,"AAAAAG//91Q=",0)</f>
        <v>#REF!</v>
      </c>
      <c r="CH207" t="e">
        <f>IF(#REF!,"AAAAAG//91U=",0)</f>
        <v>#REF!</v>
      </c>
      <c r="CI207" t="e">
        <f>IF(#REF!,"AAAAAG//91Y=",0)</f>
        <v>#REF!</v>
      </c>
      <c r="CJ207" t="e">
        <f>IF(#REF!,"AAAAAG//91c=",0)</f>
        <v>#REF!</v>
      </c>
      <c r="CK207" t="e">
        <f>IF(#REF!,"AAAAAG//91g=",0)</f>
        <v>#REF!</v>
      </c>
      <c r="CL207" t="e">
        <f>IF(#REF!,"AAAAAG//91k=",0)</f>
        <v>#REF!</v>
      </c>
      <c r="CM207" t="e">
        <f>IF(#REF!,"AAAAAG//91o=",0)</f>
        <v>#REF!</v>
      </c>
      <c r="CN207" t="e">
        <f>IF(#REF!,"AAAAAG//91s=",0)</f>
        <v>#REF!</v>
      </c>
      <c r="CO207" t="e">
        <f>IF(#REF!,"AAAAAG//91w=",0)</f>
        <v>#REF!</v>
      </c>
      <c r="CP207" t="e">
        <f>IF(#REF!,"AAAAAG//910=",0)</f>
        <v>#REF!</v>
      </c>
      <c r="CQ207" t="e">
        <f>IF(#REF!,"AAAAAG//914=",0)</f>
        <v>#REF!</v>
      </c>
      <c r="CR207" t="e">
        <f>IF(#REF!,"AAAAAG//918=",0)</f>
        <v>#REF!</v>
      </c>
      <c r="CS207" t="e">
        <f>IF(#REF!,"AAAAAG//92A=",0)</f>
        <v>#REF!</v>
      </c>
      <c r="CT207" t="e">
        <f>IF(#REF!,"AAAAAG//92E=",0)</f>
        <v>#REF!</v>
      </c>
      <c r="CU207" t="e">
        <f>IF(#REF!,"AAAAAG//92I=",0)</f>
        <v>#REF!</v>
      </c>
      <c r="CV207" t="e">
        <f>IF(#REF!,"AAAAAG//92M=",0)</f>
        <v>#REF!</v>
      </c>
      <c r="CW207" t="e">
        <f>IF(#REF!,"AAAAAG//92Q=",0)</f>
        <v>#REF!</v>
      </c>
      <c r="CX207" t="e">
        <f>IF(#REF!,"AAAAAG//92U=",0)</f>
        <v>#REF!</v>
      </c>
      <c r="CY207" t="e">
        <f>IF(#REF!,"AAAAAG//92Y=",0)</f>
        <v>#REF!</v>
      </c>
      <c r="CZ207" t="e">
        <f>IF(#REF!,"AAAAAG//92c=",0)</f>
        <v>#REF!</v>
      </c>
      <c r="DA207" t="e">
        <f>IF(#REF!,"AAAAAG//92g=",0)</f>
        <v>#REF!</v>
      </c>
      <c r="DB207" t="e">
        <f>IF(#REF!,"AAAAAG//92k=",0)</f>
        <v>#REF!</v>
      </c>
      <c r="DC207" t="e">
        <f>IF(#REF!,"AAAAAG//92o=",0)</f>
        <v>#REF!</v>
      </c>
      <c r="DD207" t="e">
        <f>IF(#REF!,"AAAAAG//92s=",0)</f>
        <v>#REF!</v>
      </c>
      <c r="DE207" t="e">
        <f>IF(#REF!,"AAAAAG//92w=",0)</f>
        <v>#REF!</v>
      </c>
      <c r="DF207" t="e">
        <f>IF(#REF!,"AAAAAG//920=",0)</f>
        <v>#REF!</v>
      </c>
      <c r="DG207" t="e">
        <f>IF(#REF!,"AAAAAG//924=",0)</f>
        <v>#REF!</v>
      </c>
      <c r="DH207" t="e">
        <f>IF(#REF!,"AAAAAG//928=",0)</f>
        <v>#REF!</v>
      </c>
      <c r="DI207" t="e">
        <f>IF(#REF!,"AAAAAG//93A=",0)</f>
        <v>#REF!</v>
      </c>
      <c r="DJ207" t="e">
        <f>IF(#REF!,"AAAAAG//93E=",0)</f>
        <v>#REF!</v>
      </c>
      <c r="DK207" t="e">
        <f>IF(#REF!,"AAAAAG//93I=",0)</f>
        <v>#REF!</v>
      </c>
      <c r="DL207" t="e">
        <f>IF(#REF!,"AAAAAG//93M=",0)</f>
        <v>#REF!</v>
      </c>
      <c r="DM207" t="e">
        <f>IF(#REF!,"AAAAAG//93Q=",0)</f>
        <v>#REF!</v>
      </c>
      <c r="DN207" t="e">
        <f>IF(#REF!,"AAAAAG//93U=",0)</f>
        <v>#REF!</v>
      </c>
      <c r="DO207" t="e">
        <f>IF(#REF!,"AAAAAG//93Y=",0)</f>
        <v>#REF!</v>
      </c>
      <c r="DP207" t="e">
        <f>IF(#REF!,"AAAAAG//93c=",0)</f>
        <v>#REF!</v>
      </c>
      <c r="DQ207" t="e">
        <f>IF(#REF!,"AAAAAG//93g=",0)</f>
        <v>#REF!</v>
      </c>
      <c r="DR207" t="e">
        <f>IF(#REF!,"AAAAAG//93k=",0)</f>
        <v>#REF!</v>
      </c>
      <c r="DS207" t="e">
        <f>IF(#REF!,"AAAAAG//93o=",0)</f>
        <v>#REF!</v>
      </c>
      <c r="DT207" t="e">
        <f>IF(#REF!,"AAAAAG//93s=",0)</f>
        <v>#REF!</v>
      </c>
      <c r="DU207" t="e">
        <f>IF(#REF!,"AAAAAG//93w=",0)</f>
        <v>#REF!</v>
      </c>
      <c r="DV207" t="e">
        <f>IF(#REF!,"AAAAAG//930=",0)</f>
        <v>#REF!</v>
      </c>
      <c r="DW207" t="e">
        <f>IF(#REF!,"AAAAAG//934=",0)</f>
        <v>#REF!</v>
      </c>
      <c r="DX207" t="e">
        <f>IF(#REF!,"AAAAAG//938=",0)</f>
        <v>#REF!</v>
      </c>
      <c r="DY207" t="e">
        <f>IF(#REF!,"AAAAAG//94A=",0)</f>
        <v>#REF!</v>
      </c>
      <c r="DZ207" t="e">
        <f>IF(#REF!,"AAAAAG//94E=",0)</f>
        <v>#REF!</v>
      </c>
      <c r="EA207" t="e">
        <f>IF(#REF!,"AAAAAG//94I=",0)</f>
        <v>#REF!</v>
      </c>
      <c r="EB207" t="e">
        <f>IF(#REF!,"AAAAAG//94M=",0)</f>
        <v>#REF!</v>
      </c>
      <c r="EC207" t="e">
        <f>IF(#REF!,"AAAAAG//94Q=",0)</f>
        <v>#REF!</v>
      </c>
      <c r="ED207" t="e">
        <f>IF(#REF!,"AAAAAG//94U=",0)</f>
        <v>#REF!</v>
      </c>
      <c r="EE207" t="e">
        <f>IF(#REF!,"AAAAAG//94Y=",0)</f>
        <v>#REF!</v>
      </c>
      <c r="EF207" t="e">
        <f>IF(#REF!,"AAAAAG//94c=",0)</f>
        <v>#REF!</v>
      </c>
      <c r="EG207" t="e">
        <f>IF(#REF!,"AAAAAG//94g=",0)</f>
        <v>#REF!</v>
      </c>
      <c r="EH207" t="e">
        <f>IF(#REF!,"AAAAAG//94k=",0)</f>
        <v>#REF!</v>
      </c>
      <c r="EI207" t="e">
        <f>IF(#REF!,"AAAAAG//94o=",0)</f>
        <v>#REF!</v>
      </c>
      <c r="EJ207" t="e">
        <f>IF(#REF!,"AAAAAG//94s=",0)</f>
        <v>#REF!</v>
      </c>
      <c r="EK207" t="e">
        <f>IF(#REF!,"AAAAAG//94w=",0)</f>
        <v>#REF!</v>
      </c>
      <c r="EL207" t="e">
        <f>IF(#REF!,"AAAAAG//940=",0)</f>
        <v>#REF!</v>
      </c>
      <c r="EM207" t="e">
        <f>IF(#REF!,"AAAAAG//944=",0)</f>
        <v>#REF!</v>
      </c>
      <c r="EN207" t="e">
        <f>IF(#REF!,"AAAAAG//948=",0)</f>
        <v>#REF!</v>
      </c>
      <c r="EO207" t="e">
        <f>IF(#REF!,"AAAAAG//95A=",0)</f>
        <v>#REF!</v>
      </c>
      <c r="EP207" t="e">
        <f>IF(#REF!,"AAAAAG//95E=",0)</f>
        <v>#REF!</v>
      </c>
      <c r="EQ207" t="e">
        <f>IF(#REF!,"AAAAAG//95I=",0)</f>
        <v>#REF!</v>
      </c>
      <c r="ER207" t="e">
        <f>IF(#REF!,"AAAAAG//95M=",0)</f>
        <v>#REF!</v>
      </c>
      <c r="ES207" t="e">
        <f>IF(#REF!,"AAAAAG//95Q=",0)</f>
        <v>#REF!</v>
      </c>
      <c r="ET207" t="e">
        <f>IF(#REF!,"AAAAAG//95U=",0)</f>
        <v>#REF!</v>
      </c>
      <c r="EU207" t="e">
        <f>IF(#REF!,"AAAAAG//95Y=",0)</f>
        <v>#REF!</v>
      </c>
      <c r="EV207" t="e">
        <f>IF(#REF!,"AAAAAG//95c=",0)</f>
        <v>#REF!</v>
      </c>
      <c r="EW207" t="e">
        <f>IF(#REF!,"AAAAAG//95g=",0)</f>
        <v>#REF!</v>
      </c>
      <c r="EX207" t="e">
        <f>IF(#REF!,"AAAAAG//95k=",0)</f>
        <v>#REF!</v>
      </c>
      <c r="EY207" t="e">
        <f>IF(#REF!,"AAAAAG//95o=",0)</f>
        <v>#REF!</v>
      </c>
      <c r="EZ207" t="e">
        <f>IF(#REF!,"AAAAAG//95s=",0)</f>
        <v>#REF!</v>
      </c>
      <c r="FA207" t="e">
        <f>IF(#REF!,"AAAAAG//95w=",0)</f>
        <v>#REF!</v>
      </c>
      <c r="FB207" t="e">
        <f>IF(#REF!,"AAAAAG//950=",0)</f>
        <v>#REF!</v>
      </c>
      <c r="FC207" t="e">
        <f>IF(#REF!,"AAAAAG//954=",0)</f>
        <v>#REF!</v>
      </c>
      <c r="FD207" t="e">
        <f>IF(#REF!,"AAAAAG//958=",0)</f>
        <v>#REF!</v>
      </c>
      <c r="FE207" t="e">
        <f>IF(#REF!,"AAAAAG//96A=",0)</f>
        <v>#REF!</v>
      </c>
      <c r="FF207" t="e">
        <f>IF(#REF!,"AAAAAG//96E=",0)</f>
        <v>#REF!</v>
      </c>
      <c r="FG207" t="e">
        <f>IF(#REF!,"AAAAAG//96I=",0)</f>
        <v>#REF!</v>
      </c>
      <c r="FH207" t="e">
        <f>IF(#REF!,"AAAAAG//96M=",0)</f>
        <v>#REF!</v>
      </c>
      <c r="FI207" t="e">
        <f>IF(#REF!,"AAAAAG//96Q=",0)</f>
        <v>#REF!</v>
      </c>
      <c r="FJ207" t="e">
        <f>IF(#REF!,"AAAAAG//96U=",0)</f>
        <v>#REF!</v>
      </c>
      <c r="FK207" t="e">
        <f>IF(#REF!,"AAAAAG//96Y=",0)</f>
        <v>#REF!</v>
      </c>
      <c r="FL207" t="e">
        <f>IF(#REF!,"AAAAAG//96c=",0)</f>
        <v>#REF!</v>
      </c>
      <c r="FM207" t="e">
        <f>IF(#REF!,"AAAAAG//96g=",0)</f>
        <v>#REF!</v>
      </c>
      <c r="FN207" t="e">
        <f>IF(#REF!,"AAAAAG//96k=",0)</f>
        <v>#REF!</v>
      </c>
      <c r="FO207" t="e">
        <f>IF(#REF!,"AAAAAG//96o=",0)</f>
        <v>#REF!</v>
      </c>
      <c r="FP207" t="e">
        <f>IF(#REF!,"AAAAAG//96s=",0)</f>
        <v>#REF!</v>
      </c>
      <c r="FQ207" t="e">
        <f>IF(#REF!,"AAAAAG//96w=",0)</f>
        <v>#REF!</v>
      </c>
      <c r="FR207" t="e">
        <f>IF(#REF!,"AAAAAG//960=",0)</f>
        <v>#REF!</v>
      </c>
      <c r="FS207" t="e">
        <f>IF(#REF!,"AAAAAG//964=",0)</f>
        <v>#REF!</v>
      </c>
      <c r="FT207" t="e">
        <f>IF(#REF!,"AAAAAG//968=",0)</f>
        <v>#REF!</v>
      </c>
      <c r="FU207" t="e">
        <f>IF(#REF!,"AAAAAG//97A=",0)</f>
        <v>#REF!</v>
      </c>
      <c r="FV207" t="e">
        <f>IF(#REF!,"AAAAAG//97E=",0)</f>
        <v>#REF!</v>
      </c>
      <c r="FW207" t="e">
        <f>IF(#REF!,"AAAAAG//97I=",0)</f>
        <v>#REF!</v>
      </c>
      <c r="FX207" t="e">
        <f>IF(#REF!,"AAAAAG//97M=",0)</f>
        <v>#REF!</v>
      </c>
      <c r="FY207" t="e">
        <f>IF(#REF!,"AAAAAG//97Q=",0)</f>
        <v>#REF!</v>
      </c>
      <c r="FZ207" t="e">
        <f>IF(#REF!,"AAAAAG//97U=",0)</f>
        <v>#REF!</v>
      </c>
      <c r="GA207" t="e">
        <f>IF(#REF!,"AAAAAG//97Y=",0)</f>
        <v>#REF!</v>
      </c>
      <c r="GB207" t="e">
        <f>IF(#REF!,"AAAAAG//97c=",0)</f>
        <v>#REF!</v>
      </c>
      <c r="GC207" t="e">
        <f>IF(#REF!,"AAAAAG//97g=",0)</f>
        <v>#REF!</v>
      </c>
      <c r="GD207" t="e">
        <f>IF(#REF!,"AAAAAG//97k=",0)</f>
        <v>#REF!</v>
      </c>
      <c r="GE207" t="e">
        <f>IF(#REF!,"AAAAAG//97o=",0)</f>
        <v>#REF!</v>
      </c>
      <c r="GF207" t="e">
        <f>IF(#REF!,"AAAAAG//97s=",0)</f>
        <v>#REF!</v>
      </c>
      <c r="GG207" t="e">
        <f>IF(#REF!,"AAAAAG//97w=",0)</f>
        <v>#REF!</v>
      </c>
      <c r="GH207" t="e">
        <f>IF(#REF!,"AAAAAG//970=",0)</f>
        <v>#REF!</v>
      </c>
      <c r="GI207" t="e">
        <f>IF(#REF!,"AAAAAG//974=",0)</f>
        <v>#REF!</v>
      </c>
      <c r="GJ207" t="e">
        <f>IF(#REF!,"AAAAAG//978=",0)</f>
        <v>#REF!</v>
      </c>
      <c r="GK207" t="e">
        <f>IF(#REF!,"AAAAAG//98A=",0)</f>
        <v>#REF!</v>
      </c>
      <c r="GL207" t="e">
        <f>IF(#REF!,"AAAAAG//98E=",0)</f>
        <v>#REF!</v>
      </c>
      <c r="GM207" t="e">
        <f>IF(#REF!,"AAAAAG//98I=",0)</f>
        <v>#REF!</v>
      </c>
      <c r="GN207" t="e">
        <f>IF(#REF!,"AAAAAG//98M=",0)</f>
        <v>#REF!</v>
      </c>
      <c r="GO207" t="e">
        <f>IF(#REF!,"AAAAAG//98Q=",0)</f>
        <v>#REF!</v>
      </c>
      <c r="GP207" t="e">
        <f>IF(#REF!,"AAAAAG//98U=",0)</f>
        <v>#REF!</v>
      </c>
      <c r="GQ207" t="e">
        <f>IF(#REF!,"AAAAAG//98Y=",0)</f>
        <v>#REF!</v>
      </c>
      <c r="GR207" t="e">
        <f>IF(#REF!,"AAAAAG//98c=",0)</f>
        <v>#REF!</v>
      </c>
      <c r="GS207" t="e">
        <f>IF(#REF!,"AAAAAG//98g=",0)</f>
        <v>#REF!</v>
      </c>
      <c r="GT207" t="e">
        <f>IF(#REF!,"AAAAAG//98k=",0)</f>
        <v>#REF!</v>
      </c>
      <c r="GU207" t="e">
        <f>IF(#REF!,"AAAAAG//98o=",0)</f>
        <v>#REF!</v>
      </c>
      <c r="GV207" t="e">
        <f>IF(#REF!,"AAAAAG//98s=",0)</f>
        <v>#REF!</v>
      </c>
      <c r="GW207" t="e">
        <f>IF(#REF!,"AAAAAG//98w=",0)</f>
        <v>#REF!</v>
      </c>
      <c r="GX207" t="e">
        <f>IF(#REF!,"AAAAAG//980=",0)</f>
        <v>#REF!</v>
      </c>
      <c r="GY207" t="e">
        <f>IF(#REF!,"AAAAAG//984=",0)</f>
        <v>#REF!</v>
      </c>
      <c r="GZ207" t="e">
        <f>IF(#REF!,"AAAAAG//988=",0)</f>
        <v>#REF!</v>
      </c>
      <c r="HA207" t="e">
        <f>IF(#REF!,"AAAAAG//99A=",0)</f>
        <v>#REF!</v>
      </c>
      <c r="HB207" t="e">
        <f>IF(#REF!,"AAAAAG//99E=",0)</f>
        <v>#REF!</v>
      </c>
      <c r="HC207" t="e">
        <f>IF(#REF!,"AAAAAG//99I=",0)</f>
        <v>#REF!</v>
      </c>
      <c r="HD207" t="e">
        <f>IF(#REF!,"AAAAAG//99M=",0)</f>
        <v>#REF!</v>
      </c>
      <c r="HE207" t="e">
        <f>IF(#REF!,"AAAAAG//99Q=",0)</f>
        <v>#REF!</v>
      </c>
      <c r="HF207" t="e">
        <f>IF(#REF!,"AAAAAG//99U=",0)</f>
        <v>#REF!</v>
      </c>
      <c r="HG207" t="e">
        <f>IF(#REF!,"AAAAAG//99Y=",0)</f>
        <v>#REF!</v>
      </c>
      <c r="HH207" t="e">
        <f>IF(#REF!,"AAAAAG//99c=",0)</f>
        <v>#REF!</v>
      </c>
      <c r="HI207" t="e">
        <f>IF(#REF!,"AAAAAG//99g=",0)</f>
        <v>#REF!</v>
      </c>
      <c r="HJ207" t="e">
        <f>IF(#REF!,"AAAAAG//99k=",0)</f>
        <v>#REF!</v>
      </c>
      <c r="HK207" t="e">
        <f>IF(#REF!,"AAAAAG//99o=",0)</f>
        <v>#REF!</v>
      </c>
      <c r="HL207" t="e">
        <f>IF(#REF!,"AAAAAG//99s=",0)</f>
        <v>#REF!</v>
      </c>
      <c r="HM207" t="e">
        <f>IF(#REF!,"AAAAAG//99w=",0)</f>
        <v>#REF!</v>
      </c>
      <c r="HN207" t="e">
        <f>IF(#REF!,"AAAAAG//990=",0)</f>
        <v>#REF!</v>
      </c>
      <c r="HO207" t="e">
        <f>IF(#REF!,"AAAAAG//994=",0)</f>
        <v>#REF!</v>
      </c>
      <c r="HP207" t="e">
        <f>IF(#REF!,"AAAAAG//998=",0)</f>
        <v>#REF!</v>
      </c>
      <c r="HQ207" t="e">
        <f>IF(#REF!,"AAAAAG//9+A=",0)</f>
        <v>#REF!</v>
      </c>
      <c r="HR207" t="e">
        <f>IF(#REF!,"AAAAAG//9+E=",0)</f>
        <v>#REF!</v>
      </c>
      <c r="HS207" t="e">
        <f>IF(#REF!,"AAAAAG//9+I=",0)</f>
        <v>#REF!</v>
      </c>
      <c r="HT207" t="e">
        <f>IF(#REF!,"AAAAAG//9+M=",0)</f>
        <v>#REF!</v>
      </c>
      <c r="HU207" t="e">
        <f>IF(#REF!,"AAAAAG//9+Q=",0)</f>
        <v>#REF!</v>
      </c>
      <c r="HV207" t="e">
        <f>IF(#REF!,"AAAAAG//9+U=",0)</f>
        <v>#REF!</v>
      </c>
      <c r="HW207" t="e">
        <f>IF(#REF!,"AAAAAG//9+Y=",0)</f>
        <v>#REF!</v>
      </c>
      <c r="HX207" t="e">
        <f>IF(#REF!,"AAAAAG//9+c=",0)</f>
        <v>#REF!</v>
      </c>
      <c r="HY207" t="e">
        <f>IF(#REF!,"AAAAAG//9+g=",0)</f>
        <v>#REF!</v>
      </c>
      <c r="HZ207" t="e">
        <f>IF(#REF!,"AAAAAG//9+k=",0)</f>
        <v>#REF!</v>
      </c>
      <c r="IA207" t="e">
        <f>IF(#REF!,"AAAAAG//9+o=",0)</f>
        <v>#REF!</v>
      </c>
      <c r="IB207" t="e">
        <f>IF(#REF!,"AAAAAG//9+s=",0)</f>
        <v>#REF!</v>
      </c>
      <c r="IC207" t="e">
        <f>IF(#REF!,"AAAAAG//9+w=",0)</f>
        <v>#REF!</v>
      </c>
      <c r="ID207" t="e">
        <f>IF(#REF!,"AAAAAG//9+0=",0)</f>
        <v>#REF!</v>
      </c>
      <c r="IE207" t="e">
        <f>IF(#REF!,"AAAAAG//9+4=",0)</f>
        <v>#REF!</v>
      </c>
      <c r="IF207" t="e">
        <f>IF(#REF!,"AAAAAG//9+8=",0)</f>
        <v>#REF!</v>
      </c>
      <c r="IG207" t="e">
        <f>IF(#REF!,"AAAAAG//9/A=",0)</f>
        <v>#REF!</v>
      </c>
      <c r="IH207" t="e">
        <f>IF(#REF!,"AAAAAG//9/E=",0)</f>
        <v>#REF!</v>
      </c>
      <c r="II207" t="e">
        <f>IF(#REF!,"AAAAAG//9/I=",0)</f>
        <v>#REF!</v>
      </c>
      <c r="IJ207" t="e">
        <f>IF(#REF!,"AAAAAG//9/M=",0)</f>
        <v>#REF!</v>
      </c>
      <c r="IK207" t="e">
        <f>IF(#REF!,"AAAAAG//9/Q=",0)</f>
        <v>#REF!</v>
      </c>
      <c r="IL207" t="e">
        <f>IF(#REF!,"AAAAAG//9/U=",0)</f>
        <v>#REF!</v>
      </c>
      <c r="IM207" t="e">
        <f>IF(#REF!,"AAAAAG//9/Y=",0)</f>
        <v>#REF!</v>
      </c>
      <c r="IN207" t="e">
        <f>IF(#REF!,"AAAAAG//9/c=",0)</f>
        <v>#REF!</v>
      </c>
      <c r="IO207" t="e">
        <f>IF(#REF!,"AAAAAG//9/g=",0)</f>
        <v>#REF!</v>
      </c>
      <c r="IP207" t="e">
        <f>IF(#REF!,"AAAAAG//9/k=",0)</f>
        <v>#REF!</v>
      </c>
      <c r="IQ207" t="e">
        <f>IF(#REF!,"AAAAAG//9/o=",0)</f>
        <v>#REF!</v>
      </c>
      <c r="IR207" t="e">
        <f>IF(#REF!,"AAAAAG//9/s=",0)</f>
        <v>#REF!</v>
      </c>
      <c r="IS207" t="e">
        <f>IF(#REF!,"AAAAAG//9/w=",0)</f>
        <v>#REF!</v>
      </c>
      <c r="IT207" t="e">
        <f>IF(#REF!,"AAAAAG//9/0=",0)</f>
        <v>#REF!</v>
      </c>
      <c r="IU207" t="e">
        <f>IF(#REF!,"AAAAAG//9/4=",0)</f>
        <v>#REF!</v>
      </c>
      <c r="IV207" t="e">
        <f>IF(#REF!,"AAAAAG//9/8=",0)</f>
        <v>#REF!</v>
      </c>
    </row>
    <row r="208" spans="1:256">
      <c r="A208" t="e">
        <f>IF(#REF!,"AAAAAHv5+AA=",0)</f>
        <v>#REF!</v>
      </c>
      <c r="B208" t="e">
        <f>IF(#REF!,"AAAAAHv5+AE=",0)</f>
        <v>#REF!</v>
      </c>
      <c r="C208" t="e">
        <f>IF(#REF!,"AAAAAHv5+AI=",0)</f>
        <v>#REF!</v>
      </c>
      <c r="D208" t="e">
        <f>IF(#REF!,"AAAAAHv5+AM=",0)</f>
        <v>#REF!</v>
      </c>
      <c r="E208" t="e">
        <f>IF(#REF!,"AAAAAHv5+AQ=",0)</f>
        <v>#REF!</v>
      </c>
      <c r="F208" t="e">
        <f>IF(#REF!,"AAAAAHv5+AU=",0)</f>
        <v>#REF!</v>
      </c>
      <c r="G208" t="e">
        <f>IF(#REF!,"AAAAAHv5+AY=",0)</f>
        <v>#REF!</v>
      </c>
      <c r="H208" t="e">
        <f>IF(#REF!,"AAAAAHv5+Ac=",0)</f>
        <v>#REF!</v>
      </c>
      <c r="I208" t="e">
        <f>IF(#REF!,"AAAAAHv5+Ag=",0)</f>
        <v>#REF!</v>
      </c>
      <c r="J208" t="e">
        <f>IF(#REF!,"AAAAAHv5+Ak=",0)</f>
        <v>#REF!</v>
      </c>
      <c r="K208" t="e">
        <f>IF(#REF!,"AAAAAHv5+Ao=",0)</f>
        <v>#REF!</v>
      </c>
      <c r="L208" t="e">
        <f>IF(#REF!,"AAAAAHv5+As=",0)</f>
        <v>#REF!</v>
      </c>
      <c r="M208" t="e">
        <f>IF(#REF!,"AAAAAHv5+Aw=",0)</f>
        <v>#REF!</v>
      </c>
      <c r="N208" t="e">
        <f>IF(#REF!,"AAAAAHv5+A0=",0)</f>
        <v>#REF!</v>
      </c>
      <c r="O208" t="e">
        <f>IF(#REF!,"AAAAAHv5+A4=",0)</f>
        <v>#REF!</v>
      </c>
      <c r="P208" t="e">
        <f>IF(#REF!,"AAAAAHv5+A8=",0)</f>
        <v>#REF!</v>
      </c>
      <c r="Q208" t="e">
        <f>IF(#REF!,"AAAAAHv5+BA=",0)</f>
        <v>#REF!</v>
      </c>
      <c r="R208" t="e">
        <f>IF(#REF!,"AAAAAHv5+BE=",0)</f>
        <v>#REF!</v>
      </c>
      <c r="S208" t="e">
        <f>IF(#REF!,"AAAAAHv5+BI=",0)</f>
        <v>#REF!</v>
      </c>
      <c r="T208" t="e">
        <f>IF(#REF!,"AAAAAHv5+BM=",0)</f>
        <v>#REF!</v>
      </c>
      <c r="U208" t="e">
        <f>IF(#REF!,"AAAAAHv5+BQ=",0)</f>
        <v>#REF!</v>
      </c>
      <c r="V208" t="e">
        <f>IF(#REF!,"AAAAAHv5+BU=",0)</f>
        <v>#REF!</v>
      </c>
      <c r="W208" t="e">
        <f>IF(#REF!,"AAAAAHv5+BY=",0)</f>
        <v>#REF!</v>
      </c>
      <c r="X208" t="e">
        <f>IF(#REF!,"AAAAAHv5+Bc=",0)</f>
        <v>#REF!</v>
      </c>
      <c r="Y208" t="e">
        <f>IF(#REF!,"AAAAAHv5+Bg=",0)</f>
        <v>#REF!</v>
      </c>
      <c r="Z208" t="e">
        <f>IF(#REF!,"AAAAAHv5+Bk=",0)</f>
        <v>#REF!</v>
      </c>
      <c r="AA208" t="e">
        <f>IF(#REF!,"AAAAAHv5+Bo=",0)</f>
        <v>#REF!</v>
      </c>
      <c r="AB208" t="e">
        <f>IF(#REF!,"AAAAAHv5+Bs=",0)</f>
        <v>#REF!</v>
      </c>
      <c r="AC208" t="e">
        <f>IF(#REF!,"AAAAAHv5+Bw=",0)</f>
        <v>#REF!</v>
      </c>
      <c r="AD208" t="e">
        <f>IF(#REF!,"AAAAAHv5+B0=",0)</f>
        <v>#REF!</v>
      </c>
      <c r="AE208" t="e">
        <f>IF(#REF!,"AAAAAHv5+B4=",0)</f>
        <v>#REF!</v>
      </c>
      <c r="AF208" t="e">
        <f>IF(#REF!,"AAAAAHv5+B8=",0)</f>
        <v>#REF!</v>
      </c>
      <c r="AG208" t="e">
        <f>IF(#REF!,"AAAAAHv5+CA=",0)</f>
        <v>#REF!</v>
      </c>
      <c r="AH208" t="e">
        <f>IF(#REF!,"AAAAAHv5+CE=",0)</f>
        <v>#REF!</v>
      </c>
      <c r="AI208" t="e">
        <f>IF(#REF!,"AAAAAHv5+CI=",0)</f>
        <v>#REF!</v>
      </c>
      <c r="AJ208" t="e">
        <f>IF(#REF!,"AAAAAHv5+CM=",0)</f>
        <v>#REF!</v>
      </c>
      <c r="AK208" t="e">
        <f>IF(#REF!,"AAAAAHv5+CQ=",0)</f>
        <v>#REF!</v>
      </c>
      <c r="AL208" t="e">
        <f>IF(#REF!,"AAAAAHv5+CU=",0)</f>
        <v>#REF!</v>
      </c>
      <c r="AM208" t="e">
        <f>IF(#REF!,"AAAAAHv5+CY=",0)</f>
        <v>#REF!</v>
      </c>
      <c r="AN208" t="e">
        <f>IF(#REF!,"AAAAAHv5+Cc=",0)</f>
        <v>#REF!</v>
      </c>
      <c r="AO208" t="e">
        <f>IF(#REF!,"AAAAAHv5+Cg=",0)</f>
        <v>#REF!</v>
      </c>
      <c r="AP208" t="e">
        <f>IF(#REF!,"AAAAAHv5+Ck=",0)</f>
        <v>#REF!</v>
      </c>
      <c r="AQ208" t="e">
        <f>IF(#REF!,"AAAAAHv5+Co=",0)</f>
        <v>#REF!</v>
      </c>
      <c r="AR208" t="e">
        <f>IF(#REF!,"AAAAAHv5+Cs=",0)</f>
        <v>#REF!</v>
      </c>
      <c r="AS208" t="e">
        <f>IF(#REF!,"AAAAAHv5+Cw=",0)</f>
        <v>#REF!</v>
      </c>
      <c r="AT208" t="e">
        <f>IF(#REF!,"AAAAAHv5+C0=",0)</f>
        <v>#REF!</v>
      </c>
      <c r="AU208" t="e">
        <f>IF(#REF!,"AAAAAHv5+C4=",0)</f>
        <v>#REF!</v>
      </c>
      <c r="AV208" t="e">
        <f>IF(#REF!,"AAAAAHv5+C8=",0)</f>
        <v>#REF!</v>
      </c>
      <c r="AW208" t="e">
        <f>IF(#REF!,"AAAAAHv5+DA=",0)</f>
        <v>#REF!</v>
      </c>
      <c r="AX208" t="e">
        <f>IF(#REF!,"AAAAAHv5+DE=",0)</f>
        <v>#REF!</v>
      </c>
      <c r="AY208" t="e">
        <f>IF(#REF!,"AAAAAHv5+DI=",0)</f>
        <v>#REF!</v>
      </c>
      <c r="AZ208" t="e">
        <f>IF(#REF!,"AAAAAHv5+DM=",0)</f>
        <v>#REF!</v>
      </c>
      <c r="BA208" t="e">
        <f>IF(#REF!,"AAAAAHv5+DQ=",0)</f>
        <v>#REF!</v>
      </c>
      <c r="BB208" t="e">
        <f>IF(#REF!,"AAAAAHv5+DU=",0)</f>
        <v>#REF!</v>
      </c>
      <c r="BC208" t="e">
        <f>IF(#REF!,"AAAAAHv5+DY=",0)</f>
        <v>#REF!</v>
      </c>
      <c r="BD208" t="e">
        <f>IF(#REF!,"AAAAAHv5+Dc=",0)</f>
        <v>#REF!</v>
      </c>
      <c r="BE208" t="e">
        <f>IF(#REF!,"AAAAAHv5+Dg=",0)</f>
        <v>#REF!</v>
      </c>
      <c r="BF208" t="e">
        <f>IF(#REF!,"AAAAAHv5+Dk=",0)</f>
        <v>#REF!</v>
      </c>
      <c r="BG208" t="e">
        <f>IF(#REF!,"AAAAAHv5+Do=",0)</f>
        <v>#REF!</v>
      </c>
      <c r="BH208" t="e">
        <f>IF(#REF!,"AAAAAHv5+Ds=",0)</f>
        <v>#REF!</v>
      </c>
      <c r="BI208" t="e">
        <f>IF(#REF!,"AAAAAHv5+Dw=",0)</f>
        <v>#REF!</v>
      </c>
      <c r="BJ208" t="e">
        <f>IF(#REF!,"AAAAAHv5+D0=",0)</f>
        <v>#REF!</v>
      </c>
      <c r="BK208" t="e">
        <f>IF(#REF!,"AAAAAHv5+D4=",0)</f>
        <v>#REF!</v>
      </c>
      <c r="BL208" t="e">
        <f>IF(#REF!,"AAAAAHv5+D8=",0)</f>
        <v>#REF!</v>
      </c>
      <c r="BM208" t="e">
        <f>IF(#REF!,"AAAAAHv5+EA=",0)</f>
        <v>#REF!</v>
      </c>
      <c r="BN208" t="e">
        <f>IF(#REF!,"AAAAAHv5+EE=",0)</f>
        <v>#REF!</v>
      </c>
      <c r="BO208" t="e">
        <f>IF(#REF!,"AAAAAHv5+EI=",0)</f>
        <v>#REF!</v>
      </c>
      <c r="BP208" t="e">
        <f>IF(#REF!,"AAAAAHv5+EM=",0)</f>
        <v>#REF!</v>
      </c>
      <c r="BQ208" t="e">
        <f>IF(#REF!,"AAAAAHv5+EQ=",0)</f>
        <v>#REF!</v>
      </c>
      <c r="BR208" t="e">
        <f>IF(#REF!,"AAAAAHv5+EU=",0)</f>
        <v>#REF!</v>
      </c>
      <c r="BS208" t="e">
        <f>IF(#REF!,"AAAAAHv5+EY=",0)</f>
        <v>#REF!</v>
      </c>
      <c r="BT208" t="e">
        <f>IF(#REF!,"AAAAAHv5+Ec=",0)</f>
        <v>#REF!</v>
      </c>
      <c r="BU208" t="e">
        <f>IF(#REF!,"AAAAAHv5+Eg=",0)</f>
        <v>#REF!</v>
      </c>
      <c r="BV208" t="e">
        <f>IF(#REF!,"AAAAAHv5+Ek=",0)</f>
        <v>#REF!</v>
      </c>
      <c r="BW208" t="e">
        <f>IF(#REF!,"AAAAAHv5+Eo=",0)</f>
        <v>#REF!</v>
      </c>
      <c r="BX208" t="e">
        <f>IF(#REF!,"AAAAAHv5+Es=",0)</f>
        <v>#REF!</v>
      </c>
      <c r="BY208" t="e">
        <f>IF(#REF!,"AAAAAHv5+Ew=",0)</f>
        <v>#REF!</v>
      </c>
      <c r="BZ208" t="e">
        <f>IF(#REF!,"AAAAAHv5+E0=",0)</f>
        <v>#REF!</v>
      </c>
      <c r="CA208" t="e">
        <f>IF(#REF!,"AAAAAHv5+E4=",0)</f>
        <v>#REF!</v>
      </c>
      <c r="CB208" t="e">
        <f>IF(#REF!,"AAAAAHv5+E8=",0)</f>
        <v>#REF!</v>
      </c>
      <c r="CC208" t="e">
        <f>IF(#REF!,"AAAAAHv5+FA=",0)</f>
        <v>#REF!</v>
      </c>
      <c r="CD208" t="e">
        <f>IF(#REF!,"AAAAAHv5+FE=",0)</f>
        <v>#REF!</v>
      </c>
      <c r="CE208" t="e">
        <f>IF(#REF!,"AAAAAHv5+FI=",0)</f>
        <v>#REF!</v>
      </c>
      <c r="CF208" t="e">
        <f>IF(#REF!,"AAAAAHv5+FM=",0)</f>
        <v>#REF!</v>
      </c>
      <c r="CG208" t="e">
        <f>IF(#REF!,"AAAAAHv5+FQ=",0)</f>
        <v>#REF!</v>
      </c>
      <c r="CH208" t="e">
        <f>IF(#REF!,"AAAAAHv5+FU=",0)</f>
        <v>#REF!</v>
      </c>
      <c r="CI208" t="e">
        <f>IF(#REF!,"AAAAAHv5+FY=",0)</f>
        <v>#REF!</v>
      </c>
      <c r="CJ208" t="e">
        <f>IF(#REF!,"AAAAAHv5+Fc=",0)</f>
        <v>#REF!</v>
      </c>
      <c r="CK208" t="e">
        <f>IF(#REF!,"AAAAAHv5+Fg=",0)</f>
        <v>#REF!</v>
      </c>
      <c r="CL208" t="e">
        <f>IF(#REF!,"AAAAAHv5+Fk=",0)</f>
        <v>#REF!</v>
      </c>
      <c r="CM208" t="e">
        <f>IF(#REF!,"AAAAAHv5+Fo=",0)</f>
        <v>#REF!</v>
      </c>
      <c r="CN208" t="e">
        <f>IF(#REF!,"AAAAAHv5+Fs=",0)</f>
        <v>#REF!</v>
      </c>
      <c r="CO208" t="e">
        <f>IF(#REF!,"AAAAAHv5+Fw=",0)</f>
        <v>#REF!</v>
      </c>
      <c r="CP208" t="e">
        <f>IF(#REF!,"AAAAAHv5+F0=",0)</f>
        <v>#REF!</v>
      </c>
      <c r="CQ208" t="e">
        <f>IF(#REF!,"AAAAAHv5+F4=",0)</f>
        <v>#REF!</v>
      </c>
      <c r="CR208" t="e">
        <f>IF(#REF!,"AAAAAHv5+F8=",0)</f>
        <v>#REF!</v>
      </c>
      <c r="CS208" t="e">
        <f>IF(#REF!,"AAAAAHv5+GA=",0)</f>
        <v>#REF!</v>
      </c>
      <c r="CT208" t="e">
        <f>IF(#REF!,"AAAAAHv5+GE=",0)</f>
        <v>#REF!</v>
      </c>
      <c r="CU208" t="e">
        <f>IF(#REF!,"AAAAAHv5+GI=",0)</f>
        <v>#REF!</v>
      </c>
      <c r="CV208" t="e">
        <f>IF(#REF!,"AAAAAHv5+GM=",0)</f>
        <v>#REF!</v>
      </c>
      <c r="CW208" t="e">
        <f>IF(#REF!,"AAAAAHv5+GQ=",0)</f>
        <v>#REF!</v>
      </c>
      <c r="CX208" t="e">
        <f>IF(#REF!,"AAAAAHv5+GU=",0)</f>
        <v>#REF!</v>
      </c>
      <c r="CY208" t="e">
        <f>IF(#REF!,"AAAAAHv5+GY=",0)</f>
        <v>#REF!</v>
      </c>
      <c r="CZ208" t="e">
        <f>IF(#REF!,"AAAAAHv5+Gc=",0)</f>
        <v>#REF!</v>
      </c>
      <c r="DA208" t="e">
        <f>IF(#REF!,"AAAAAHv5+Gg=",0)</f>
        <v>#REF!</v>
      </c>
      <c r="DB208" t="e">
        <f>IF(#REF!,"AAAAAHv5+Gk=",0)</f>
        <v>#REF!</v>
      </c>
      <c r="DC208" t="e">
        <f>IF(#REF!,"AAAAAHv5+Go=",0)</f>
        <v>#REF!</v>
      </c>
      <c r="DD208" t="e">
        <f>IF(#REF!,"AAAAAHv5+Gs=",0)</f>
        <v>#REF!</v>
      </c>
      <c r="DE208" t="e">
        <f>IF(#REF!,"AAAAAHv5+Gw=",0)</f>
        <v>#REF!</v>
      </c>
      <c r="DF208" t="e">
        <f>IF(#REF!,"AAAAAHv5+G0=",0)</f>
        <v>#REF!</v>
      </c>
      <c r="DG208" t="e">
        <f>IF(#REF!,"AAAAAHv5+G4=",0)</f>
        <v>#REF!</v>
      </c>
      <c r="DH208" t="e">
        <f>IF(#REF!,"AAAAAHv5+G8=",0)</f>
        <v>#REF!</v>
      </c>
      <c r="DI208" t="e">
        <f>IF(#REF!,"AAAAAHv5+HA=",0)</f>
        <v>#REF!</v>
      </c>
      <c r="DJ208" t="e">
        <f>IF(#REF!,"AAAAAHv5+HE=",0)</f>
        <v>#REF!</v>
      </c>
      <c r="DK208" t="e">
        <f>IF(#REF!,"AAAAAHv5+HI=",0)</f>
        <v>#REF!</v>
      </c>
      <c r="DL208" t="e">
        <f>IF(#REF!,"AAAAAHv5+HM=",0)</f>
        <v>#REF!</v>
      </c>
      <c r="DM208" t="e">
        <f>IF(#REF!,"AAAAAHv5+HQ=",0)</f>
        <v>#REF!</v>
      </c>
      <c r="DN208" t="e">
        <f>IF(#REF!,"AAAAAHv5+HU=",0)</f>
        <v>#REF!</v>
      </c>
      <c r="DO208" t="e">
        <f>IF(#REF!,"AAAAAHv5+HY=",0)</f>
        <v>#REF!</v>
      </c>
      <c r="DP208" t="e">
        <f>IF(#REF!,"AAAAAHv5+Hc=",0)</f>
        <v>#REF!</v>
      </c>
      <c r="DQ208" t="e">
        <f>IF(#REF!,"AAAAAHv5+Hg=",0)</f>
        <v>#REF!</v>
      </c>
      <c r="DR208" t="e">
        <f>IF(#REF!,"AAAAAHv5+Hk=",0)</f>
        <v>#REF!</v>
      </c>
      <c r="DS208" t="e">
        <f>IF(#REF!,"AAAAAHv5+Ho=",0)</f>
        <v>#REF!</v>
      </c>
      <c r="DT208" t="e">
        <f>IF(#REF!,"AAAAAHv5+Hs=",0)</f>
        <v>#REF!</v>
      </c>
      <c r="DU208" t="e">
        <f>IF(#REF!,"AAAAAHv5+Hw=",0)</f>
        <v>#REF!</v>
      </c>
      <c r="DV208" t="e">
        <f>IF(#REF!,"AAAAAHv5+H0=",0)</f>
        <v>#REF!</v>
      </c>
      <c r="DW208" t="e">
        <f>IF(#REF!,"AAAAAHv5+H4=",0)</f>
        <v>#REF!</v>
      </c>
      <c r="DX208" t="e">
        <f>IF(#REF!,"AAAAAHv5+H8=",0)</f>
        <v>#REF!</v>
      </c>
      <c r="DY208" t="e">
        <f>IF(#REF!,"AAAAAHv5+IA=",0)</f>
        <v>#REF!</v>
      </c>
      <c r="DZ208" t="e">
        <f>IF(#REF!,"AAAAAHv5+IE=",0)</f>
        <v>#REF!</v>
      </c>
      <c r="EA208" t="e">
        <f>IF(#REF!,"AAAAAHv5+II=",0)</f>
        <v>#REF!</v>
      </c>
      <c r="EB208" t="e">
        <f>IF(#REF!,"AAAAAHv5+IM=",0)</f>
        <v>#REF!</v>
      </c>
      <c r="EC208" t="e">
        <f>IF(#REF!,"AAAAAHv5+IQ=",0)</f>
        <v>#REF!</v>
      </c>
      <c r="ED208" t="e">
        <f>IF(#REF!,"AAAAAHv5+IU=",0)</f>
        <v>#REF!</v>
      </c>
      <c r="EE208" t="e">
        <f>IF(#REF!,"AAAAAHv5+IY=",0)</f>
        <v>#REF!</v>
      </c>
      <c r="EF208" t="e">
        <f>IF(#REF!,"AAAAAHv5+Ic=",0)</f>
        <v>#REF!</v>
      </c>
      <c r="EG208" t="e">
        <f>IF(#REF!,"AAAAAHv5+Ig=",0)</f>
        <v>#REF!</v>
      </c>
      <c r="EH208" t="e">
        <f>IF(#REF!,"AAAAAHv5+Ik=",0)</f>
        <v>#REF!</v>
      </c>
      <c r="EI208" t="e">
        <f>IF(#REF!,"AAAAAHv5+Io=",0)</f>
        <v>#REF!</v>
      </c>
      <c r="EJ208" t="e">
        <f>IF(#REF!,"AAAAAHv5+Is=",0)</f>
        <v>#REF!</v>
      </c>
      <c r="EK208" t="e">
        <f>IF(#REF!,"AAAAAHv5+Iw=",0)</f>
        <v>#REF!</v>
      </c>
      <c r="EL208" t="e">
        <f>IF(#REF!,"AAAAAHv5+I0=",0)</f>
        <v>#REF!</v>
      </c>
      <c r="EM208" t="e">
        <f>IF(#REF!,"AAAAAHv5+I4=",0)</f>
        <v>#REF!</v>
      </c>
      <c r="EN208" t="e">
        <f>IF(#REF!,"AAAAAHv5+I8=",0)</f>
        <v>#REF!</v>
      </c>
      <c r="EO208" t="e">
        <f>IF(#REF!,"AAAAAHv5+JA=",0)</f>
        <v>#REF!</v>
      </c>
      <c r="EP208" t="e">
        <f>IF(#REF!,"AAAAAHv5+JE=",0)</f>
        <v>#REF!</v>
      </c>
      <c r="EQ208" t="e">
        <f>IF(#REF!,"AAAAAHv5+JI=",0)</f>
        <v>#REF!</v>
      </c>
      <c r="ER208" t="e">
        <f>IF(#REF!,"AAAAAHv5+JM=",0)</f>
        <v>#REF!</v>
      </c>
      <c r="ES208" t="e">
        <f>IF(#REF!,"AAAAAHv5+JQ=",0)</f>
        <v>#REF!</v>
      </c>
      <c r="ET208" t="e">
        <f>IF(#REF!,"AAAAAHv5+JU=",0)</f>
        <v>#REF!</v>
      </c>
      <c r="EU208" t="e">
        <f>IF(#REF!,"AAAAAHv5+JY=",0)</f>
        <v>#REF!</v>
      </c>
      <c r="EV208" t="e">
        <f>IF(#REF!,"AAAAAHv5+Jc=",0)</f>
        <v>#REF!</v>
      </c>
      <c r="EW208" t="e">
        <f>IF(#REF!,"AAAAAHv5+Jg=",0)</f>
        <v>#REF!</v>
      </c>
      <c r="EX208" t="e">
        <f>IF(#REF!,"AAAAAHv5+Jk=",0)</f>
        <v>#REF!</v>
      </c>
      <c r="EY208" t="e">
        <f>IF(#REF!,"AAAAAHv5+Jo=",0)</f>
        <v>#REF!</v>
      </c>
      <c r="EZ208" t="e">
        <f>IF(#REF!,"AAAAAHv5+Js=",0)</f>
        <v>#REF!</v>
      </c>
      <c r="FA208" t="e">
        <f>IF(#REF!,"AAAAAHv5+Jw=",0)</f>
        <v>#REF!</v>
      </c>
      <c r="FB208" t="e">
        <f>IF(#REF!,"AAAAAHv5+J0=",0)</f>
        <v>#REF!</v>
      </c>
      <c r="FC208" t="e">
        <f>IF(#REF!,"AAAAAHv5+J4=",0)</f>
        <v>#REF!</v>
      </c>
      <c r="FD208" t="e">
        <f>IF(#REF!,"AAAAAHv5+J8=",0)</f>
        <v>#REF!</v>
      </c>
      <c r="FE208" t="e">
        <f>IF(#REF!,"AAAAAHv5+KA=",0)</f>
        <v>#REF!</v>
      </c>
      <c r="FF208" t="e">
        <f>IF(#REF!,"AAAAAHv5+KE=",0)</f>
        <v>#REF!</v>
      </c>
      <c r="FG208" t="e">
        <f>IF(#REF!,"AAAAAHv5+KI=",0)</f>
        <v>#REF!</v>
      </c>
      <c r="FH208" t="e">
        <f>IF(#REF!,"AAAAAHv5+KM=",0)</f>
        <v>#REF!</v>
      </c>
      <c r="FI208" t="e">
        <f>IF(#REF!,"AAAAAHv5+KQ=",0)</f>
        <v>#REF!</v>
      </c>
      <c r="FJ208" t="e">
        <f>IF(#REF!,"AAAAAHv5+KU=",0)</f>
        <v>#REF!</v>
      </c>
      <c r="FK208" t="e">
        <f>IF(#REF!,"AAAAAHv5+KY=",0)</f>
        <v>#REF!</v>
      </c>
      <c r="FL208" t="e">
        <f>IF(#REF!,"AAAAAHv5+Kc=",0)</f>
        <v>#REF!</v>
      </c>
      <c r="FM208" t="e">
        <f>IF(#REF!,"AAAAAHv5+Kg=",0)</f>
        <v>#REF!</v>
      </c>
      <c r="FN208" t="e">
        <f>IF(#REF!,"AAAAAHv5+Kk=",0)</f>
        <v>#REF!</v>
      </c>
      <c r="FO208" t="e">
        <f>IF(#REF!,"AAAAAHv5+Ko=",0)</f>
        <v>#REF!</v>
      </c>
      <c r="FP208" t="e">
        <f>IF(#REF!,"AAAAAHv5+Ks=",0)</f>
        <v>#REF!</v>
      </c>
      <c r="FQ208" t="e">
        <f>IF(#REF!,"AAAAAHv5+Kw=",0)</f>
        <v>#REF!</v>
      </c>
      <c r="FR208" t="e">
        <f>IF(#REF!,"AAAAAHv5+K0=",0)</f>
        <v>#REF!</v>
      </c>
      <c r="FS208" t="e">
        <f>IF(#REF!,"AAAAAHv5+K4=",0)</f>
        <v>#REF!</v>
      </c>
      <c r="FT208" t="e">
        <f>IF(#REF!,"AAAAAHv5+K8=",0)</f>
        <v>#REF!</v>
      </c>
      <c r="FU208" t="e">
        <f>IF(#REF!,"AAAAAHv5+LA=",0)</f>
        <v>#REF!</v>
      </c>
      <c r="FV208" t="e">
        <f>IF(#REF!,"AAAAAHv5+LE=",0)</f>
        <v>#REF!</v>
      </c>
      <c r="FW208" t="e">
        <f>IF(#REF!,"AAAAAHv5+LI=",0)</f>
        <v>#REF!</v>
      </c>
      <c r="FX208" t="e">
        <f>IF(#REF!,"AAAAAHv5+LM=",0)</f>
        <v>#REF!</v>
      </c>
      <c r="FY208" t="e">
        <f>IF(#REF!,"AAAAAHv5+LQ=",0)</f>
        <v>#REF!</v>
      </c>
      <c r="FZ208" t="e">
        <f>IF(#REF!,"AAAAAHv5+LU=",0)</f>
        <v>#REF!</v>
      </c>
      <c r="GA208" t="e">
        <f>IF(#REF!,"AAAAAHv5+LY=",0)</f>
        <v>#REF!</v>
      </c>
      <c r="GB208" t="e">
        <f>IF(#REF!,"AAAAAHv5+Lc=",0)</f>
        <v>#REF!</v>
      </c>
      <c r="GC208" t="e">
        <f>IF(#REF!,"AAAAAHv5+Lg=",0)</f>
        <v>#REF!</v>
      </c>
      <c r="GD208" t="e">
        <f>IF(#REF!,"AAAAAHv5+Lk=",0)</f>
        <v>#REF!</v>
      </c>
      <c r="GE208" t="e">
        <f>IF(#REF!,"AAAAAHv5+Lo=",0)</f>
        <v>#REF!</v>
      </c>
      <c r="GF208" t="e">
        <f>IF(#REF!,"AAAAAHv5+Ls=",0)</f>
        <v>#REF!</v>
      </c>
      <c r="GG208" t="e">
        <f>IF(#REF!,"AAAAAHv5+Lw=",0)</f>
        <v>#REF!</v>
      </c>
      <c r="GH208" t="e">
        <f>IF(#REF!,"AAAAAHv5+L0=",0)</f>
        <v>#REF!</v>
      </c>
      <c r="GI208" t="e">
        <f>IF(#REF!,"AAAAAHv5+L4=",0)</f>
        <v>#REF!</v>
      </c>
      <c r="GJ208" t="e">
        <f>IF(#REF!,"AAAAAHv5+L8=",0)</f>
        <v>#REF!</v>
      </c>
      <c r="GK208" t="e">
        <f>IF(#REF!,"AAAAAHv5+MA=",0)</f>
        <v>#REF!</v>
      </c>
      <c r="GL208" t="e">
        <f>IF(#REF!,"AAAAAHv5+ME=",0)</f>
        <v>#REF!</v>
      </c>
      <c r="GM208" t="e">
        <f>IF(#REF!,"AAAAAHv5+MI=",0)</f>
        <v>#REF!</v>
      </c>
      <c r="GN208" t="e">
        <f>IF(#REF!,"AAAAAHv5+MM=",0)</f>
        <v>#REF!</v>
      </c>
      <c r="GO208" t="e">
        <f>IF(#REF!,"AAAAAHv5+MQ=",0)</f>
        <v>#REF!</v>
      </c>
      <c r="GP208" t="e">
        <f>IF(#REF!,"AAAAAHv5+MU=",0)</f>
        <v>#REF!</v>
      </c>
      <c r="GQ208" t="e">
        <f>IF(#REF!,"AAAAAHv5+MY=",0)</f>
        <v>#REF!</v>
      </c>
      <c r="GR208" t="e">
        <f>IF(#REF!,"AAAAAHv5+Mc=",0)</f>
        <v>#REF!</v>
      </c>
      <c r="GS208" t="e">
        <f>IF(#REF!,"AAAAAHv5+Mg=",0)</f>
        <v>#REF!</v>
      </c>
      <c r="GT208" t="e">
        <f>IF(#REF!,"AAAAAHv5+Mk=",0)</f>
        <v>#REF!</v>
      </c>
      <c r="GU208" t="e">
        <f>IF(#REF!,"AAAAAHv5+Mo=",0)</f>
        <v>#REF!</v>
      </c>
      <c r="GV208" t="e">
        <f>IF(#REF!,"AAAAAHv5+Ms=",0)</f>
        <v>#REF!</v>
      </c>
      <c r="GW208" t="e">
        <f>IF(#REF!,"AAAAAHv5+Mw=",0)</f>
        <v>#REF!</v>
      </c>
      <c r="GX208" t="e">
        <f>IF(#REF!,"AAAAAHv5+M0=",0)</f>
        <v>#REF!</v>
      </c>
      <c r="GY208" t="e">
        <f>IF(#REF!,"AAAAAHv5+M4=",0)</f>
        <v>#REF!</v>
      </c>
      <c r="GZ208" t="e">
        <f>IF(#REF!,"AAAAAHv5+M8=",0)</f>
        <v>#REF!</v>
      </c>
      <c r="HA208" t="e">
        <f>IF(#REF!,"AAAAAHv5+NA=",0)</f>
        <v>#REF!</v>
      </c>
      <c r="HB208" t="e">
        <f>IF(#REF!,"AAAAAHv5+NE=",0)</f>
        <v>#REF!</v>
      </c>
      <c r="HC208" t="e">
        <f>IF(#REF!,"AAAAAHv5+NI=",0)</f>
        <v>#REF!</v>
      </c>
      <c r="HD208" t="e">
        <f>IF(#REF!,"AAAAAHv5+NM=",0)</f>
        <v>#REF!</v>
      </c>
      <c r="HE208" t="e">
        <f>IF(#REF!,"AAAAAHv5+NQ=",0)</f>
        <v>#REF!</v>
      </c>
      <c r="HF208" t="e">
        <f>IF(#REF!,"AAAAAHv5+NU=",0)</f>
        <v>#REF!</v>
      </c>
      <c r="HG208" t="e">
        <f>IF(#REF!,"AAAAAHv5+NY=",0)</f>
        <v>#REF!</v>
      </c>
      <c r="HH208" t="e">
        <f>IF(#REF!,"AAAAAHv5+Nc=",0)</f>
        <v>#REF!</v>
      </c>
      <c r="HI208" t="e">
        <f>IF(#REF!,"AAAAAHv5+Ng=",0)</f>
        <v>#REF!</v>
      </c>
      <c r="HJ208" t="e">
        <f>IF(#REF!,"AAAAAHv5+Nk=",0)</f>
        <v>#REF!</v>
      </c>
      <c r="HK208" t="e">
        <f>IF(#REF!,"AAAAAHv5+No=",0)</f>
        <v>#REF!</v>
      </c>
      <c r="HL208" t="e">
        <f>IF(#REF!,"AAAAAHv5+Ns=",0)</f>
        <v>#REF!</v>
      </c>
      <c r="HM208" t="e">
        <f>IF(#REF!,"AAAAAHv5+Nw=",0)</f>
        <v>#REF!</v>
      </c>
      <c r="HN208" t="e">
        <f>IF(#REF!,"AAAAAHv5+N0=",0)</f>
        <v>#REF!</v>
      </c>
      <c r="HO208" t="e">
        <f>IF(#REF!,"AAAAAHv5+N4=",0)</f>
        <v>#REF!</v>
      </c>
      <c r="HP208" t="e">
        <f>IF(#REF!,"AAAAAHv5+N8=",0)</f>
        <v>#REF!</v>
      </c>
      <c r="HQ208" t="e">
        <f>IF(#REF!,"AAAAAHv5+OA=",0)</f>
        <v>#REF!</v>
      </c>
      <c r="HR208" t="e">
        <f>IF(#REF!,"AAAAAHv5+OE=",0)</f>
        <v>#REF!</v>
      </c>
      <c r="HS208" t="e">
        <f>IF(#REF!,"AAAAAHv5+OI=",0)</f>
        <v>#REF!</v>
      </c>
      <c r="HT208" t="e">
        <f>IF(#REF!,"AAAAAHv5+OM=",0)</f>
        <v>#REF!</v>
      </c>
      <c r="HU208" t="e">
        <f>IF(#REF!,"AAAAAHv5+OQ=",0)</f>
        <v>#REF!</v>
      </c>
      <c r="HV208" t="e">
        <f>IF(#REF!,"AAAAAHv5+OU=",0)</f>
        <v>#REF!</v>
      </c>
      <c r="HW208" t="e">
        <f>IF(#REF!,"AAAAAHv5+OY=",0)</f>
        <v>#REF!</v>
      </c>
      <c r="HX208" t="e">
        <f>IF(#REF!,"AAAAAHv5+Oc=",0)</f>
        <v>#REF!</v>
      </c>
      <c r="HY208" t="e">
        <f>IF(#REF!,"AAAAAHv5+Og=",0)</f>
        <v>#REF!</v>
      </c>
      <c r="HZ208" t="e">
        <f>IF(#REF!,"AAAAAHv5+Ok=",0)</f>
        <v>#REF!</v>
      </c>
      <c r="IA208" t="e">
        <f>IF(#REF!,"AAAAAHv5+Oo=",0)</f>
        <v>#REF!</v>
      </c>
      <c r="IB208" t="e">
        <f>IF(#REF!,"AAAAAHv5+Os=",0)</f>
        <v>#REF!</v>
      </c>
      <c r="IC208" t="e">
        <f>IF(#REF!,"AAAAAHv5+Ow=",0)</f>
        <v>#REF!</v>
      </c>
      <c r="ID208" t="e">
        <f>IF(#REF!,"AAAAAHv5+O0=",0)</f>
        <v>#REF!</v>
      </c>
      <c r="IE208" t="e">
        <f>IF(#REF!,"AAAAAHv5+O4=",0)</f>
        <v>#REF!</v>
      </c>
      <c r="IF208" t="e">
        <f>IF(#REF!,"AAAAAHv5+O8=",0)</f>
        <v>#REF!</v>
      </c>
      <c r="IG208" t="e">
        <f>IF(#REF!,"AAAAAHv5+PA=",0)</f>
        <v>#REF!</v>
      </c>
      <c r="IH208" t="e">
        <f>IF(#REF!,"AAAAAHv5+PE=",0)</f>
        <v>#REF!</v>
      </c>
      <c r="II208" t="e">
        <f>IF(#REF!,"AAAAAHv5+PI=",0)</f>
        <v>#REF!</v>
      </c>
      <c r="IJ208" t="e">
        <f>IF(#REF!,"AAAAAHv5+PM=",0)</f>
        <v>#REF!</v>
      </c>
      <c r="IK208" t="e">
        <f>IF(#REF!,"AAAAAHv5+PQ=",0)</f>
        <v>#REF!</v>
      </c>
      <c r="IL208" t="e">
        <f>IF(#REF!,"AAAAAHv5+PU=",0)</f>
        <v>#REF!</v>
      </c>
      <c r="IM208" t="e">
        <f>IF(#REF!,"AAAAAHv5+PY=",0)</f>
        <v>#REF!</v>
      </c>
      <c r="IN208" t="e">
        <f>IF(#REF!,"AAAAAHv5+Pc=",0)</f>
        <v>#REF!</v>
      </c>
      <c r="IO208" t="e">
        <f>IF(#REF!,"AAAAAHv5+Pg=",0)</f>
        <v>#REF!</v>
      </c>
      <c r="IP208" t="e">
        <f>IF(#REF!,"AAAAAHv5+Pk=",0)</f>
        <v>#REF!</v>
      </c>
      <c r="IQ208" t="e">
        <f>IF(#REF!,"AAAAAHv5+Po=",0)</f>
        <v>#REF!</v>
      </c>
      <c r="IR208" t="e">
        <f>IF(#REF!,"AAAAAHv5+Ps=",0)</f>
        <v>#REF!</v>
      </c>
      <c r="IS208" t="e">
        <f>IF(#REF!,"AAAAAHv5+Pw=",0)</f>
        <v>#REF!</v>
      </c>
      <c r="IT208" t="e">
        <f>IF(#REF!,"AAAAAHv5+P0=",0)</f>
        <v>#REF!</v>
      </c>
      <c r="IU208" t="e">
        <f>IF(#REF!,"AAAAAHv5+P4=",0)</f>
        <v>#REF!</v>
      </c>
      <c r="IV208" t="e">
        <f>IF(#REF!,"AAAAAHv5+P8=",0)</f>
        <v>#REF!</v>
      </c>
    </row>
    <row r="209" spans="1:256">
      <c r="A209" t="e">
        <f>IF(#REF!,"AAAAAD9s7wA=",0)</f>
        <v>#REF!</v>
      </c>
      <c r="B209" t="e">
        <f>IF(#REF!,"AAAAAD9s7wE=",0)</f>
        <v>#REF!</v>
      </c>
      <c r="C209" t="e">
        <f>IF(#REF!,"AAAAAD9s7wI=",0)</f>
        <v>#REF!</v>
      </c>
      <c r="D209" t="e">
        <f>IF(#REF!,"AAAAAD9s7wM=",0)</f>
        <v>#REF!</v>
      </c>
      <c r="E209" t="e">
        <f>IF(#REF!,"AAAAAD9s7wQ=",0)</f>
        <v>#REF!</v>
      </c>
      <c r="F209" t="e">
        <f>IF(#REF!,"AAAAAD9s7wU=",0)</f>
        <v>#REF!</v>
      </c>
      <c r="G209" t="e">
        <f>IF(#REF!,"AAAAAD9s7wY=",0)</f>
        <v>#REF!</v>
      </c>
      <c r="H209" t="e">
        <f>IF(#REF!,"AAAAAD9s7wc=",0)</f>
        <v>#REF!</v>
      </c>
      <c r="I209" t="e">
        <f>IF(#REF!,"AAAAAD9s7wg=",0)</f>
        <v>#REF!</v>
      </c>
      <c r="J209" t="e">
        <f>IF(#REF!,"AAAAAD9s7wk=",0)</f>
        <v>#REF!</v>
      </c>
      <c r="K209" t="e">
        <f>IF(#REF!,"AAAAAD9s7wo=",0)</f>
        <v>#REF!</v>
      </c>
      <c r="L209" t="e">
        <f>IF(#REF!,"AAAAAD9s7ws=",0)</f>
        <v>#REF!</v>
      </c>
      <c r="M209" t="e">
        <f>IF(#REF!,"AAAAAD9s7ww=",0)</f>
        <v>#REF!</v>
      </c>
      <c r="N209" t="e">
        <f>IF(#REF!,"AAAAAD9s7w0=",0)</f>
        <v>#REF!</v>
      </c>
      <c r="O209" t="e">
        <f>IF(#REF!,"AAAAAD9s7w4=",0)</f>
        <v>#REF!</v>
      </c>
      <c r="P209" t="e">
        <f>IF(#REF!,"AAAAAD9s7w8=",0)</f>
        <v>#REF!</v>
      </c>
      <c r="Q209" t="e">
        <f>IF(#REF!,"AAAAAD9s7xA=",0)</f>
        <v>#REF!</v>
      </c>
      <c r="R209" t="e">
        <f>IF(#REF!,"AAAAAD9s7xE=",0)</f>
        <v>#REF!</v>
      </c>
      <c r="S209" t="e">
        <f>IF(#REF!,"AAAAAD9s7xI=",0)</f>
        <v>#REF!</v>
      </c>
      <c r="T209" t="e">
        <f>IF(#REF!,"AAAAAD9s7xM=",0)</f>
        <v>#REF!</v>
      </c>
      <c r="U209" t="e">
        <f>IF(#REF!,"AAAAAD9s7xQ=",0)</f>
        <v>#REF!</v>
      </c>
      <c r="V209" t="e">
        <f>IF(#REF!,"AAAAAD9s7xU=",0)</f>
        <v>#REF!</v>
      </c>
      <c r="W209" t="e">
        <f>IF(#REF!,"AAAAAD9s7xY=",0)</f>
        <v>#REF!</v>
      </c>
      <c r="X209" t="e">
        <f>IF(#REF!,"AAAAAD9s7xc=",0)</f>
        <v>#REF!</v>
      </c>
      <c r="Y209" t="e">
        <f>IF(#REF!,"AAAAAD9s7xg=",0)</f>
        <v>#REF!</v>
      </c>
      <c r="Z209" t="e">
        <f>IF(#REF!,"AAAAAD9s7xk=",0)</f>
        <v>#REF!</v>
      </c>
      <c r="AA209" t="e">
        <f>IF(#REF!,"AAAAAD9s7xo=",0)</f>
        <v>#REF!</v>
      </c>
      <c r="AB209" t="e">
        <f>IF(#REF!,"AAAAAD9s7xs=",0)</f>
        <v>#REF!</v>
      </c>
      <c r="AC209" t="e">
        <f>IF(#REF!,"AAAAAD9s7xw=",0)</f>
        <v>#REF!</v>
      </c>
      <c r="AD209" t="e">
        <f>IF(#REF!,"AAAAAD9s7x0=",0)</f>
        <v>#REF!</v>
      </c>
      <c r="AE209" t="e">
        <f>IF(#REF!,"AAAAAD9s7x4=",0)</f>
        <v>#REF!</v>
      </c>
      <c r="AF209" t="e">
        <f>IF(#REF!,"AAAAAD9s7x8=",0)</f>
        <v>#REF!</v>
      </c>
      <c r="AG209" t="e">
        <f>IF(#REF!,"AAAAAD9s7yA=",0)</f>
        <v>#REF!</v>
      </c>
      <c r="AH209" t="e">
        <f>IF(#REF!,"AAAAAD9s7yE=",0)</f>
        <v>#REF!</v>
      </c>
      <c r="AI209" t="e">
        <f>IF(#REF!,"AAAAAD9s7yI=",0)</f>
        <v>#REF!</v>
      </c>
      <c r="AJ209" t="e">
        <f>IF(#REF!,"AAAAAD9s7yM=",0)</f>
        <v>#REF!</v>
      </c>
      <c r="AK209" t="e">
        <f>IF(#REF!,"AAAAAD9s7yQ=",0)</f>
        <v>#REF!</v>
      </c>
      <c r="AL209" t="e">
        <f>IF(#REF!,"AAAAAD9s7yU=",0)</f>
        <v>#REF!</v>
      </c>
      <c r="AM209" t="e">
        <f>IF(#REF!,"AAAAAD9s7yY=",0)</f>
        <v>#REF!</v>
      </c>
      <c r="AN209" t="e">
        <f>IF(#REF!,"AAAAAD9s7yc=",0)</f>
        <v>#REF!</v>
      </c>
      <c r="AO209" t="e">
        <f>IF(#REF!,"AAAAAD9s7yg=",0)</f>
        <v>#REF!</v>
      </c>
      <c r="AP209" t="e">
        <f>IF(#REF!,"AAAAAD9s7yk=",0)</f>
        <v>#REF!</v>
      </c>
      <c r="AQ209" t="e">
        <f>IF(#REF!,"AAAAAD9s7yo=",0)</f>
        <v>#REF!</v>
      </c>
      <c r="AR209" t="e">
        <f>IF(#REF!,"AAAAAD9s7ys=",0)</f>
        <v>#REF!</v>
      </c>
      <c r="AS209" t="e">
        <f>IF(#REF!,"AAAAAD9s7yw=",0)</f>
        <v>#REF!</v>
      </c>
      <c r="AT209" t="e">
        <f>IF(#REF!,"AAAAAD9s7y0=",0)</f>
        <v>#REF!</v>
      </c>
      <c r="AU209" t="e">
        <f>IF(#REF!,"AAAAAD9s7y4=",0)</f>
        <v>#REF!</v>
      </c>
      <c r="AV209" t="e">
        <f>IF(#REF!,"AAAAAD9s7y8=",0)</f>
        <v>#REF!</v>
      </c>
      <c r="AW209" t="e">
        <f>IF(#REF!,"AAAAAD9s7zA=",0)</f>
        <v>#REF!</v>
      </c>
      <c r="AX209" t="e">
        <f>IF(#REF!,"AAAAAD9s7zE=",0)</f>
        <v>#REF!</v>
      </c>
      <c r="AY209" t="e">
        <f>IF(#REF!,"AAAAAD9s7zI=",0)</f>
        <v>#REF!</v>
      </c>
      <c r="AZ209" t="e">
        <f>IF(#REF!,"AAAAAD9s7zM=",0)</f>
        <v>#REF!</v>
      </c>
      <c r="BA209" t="e">
        <f>IF(#REF!,"AAAAAD9s7zQ=",0)</f>
        <v>#REF!</v>
      </c>
      <c r="BB209" t="e">
        <f>IF(#REF!,"AAAAAD9s7zU=",0)</f>
        <v>#REF!</v>
      </c>
      <c r="BC209" t="e">
        <f>IF(#REF!,"AAAAAD9s7zY=",0)</f>
        <v>#REF!</v>
      </c>
      <c r="BD209" t="e">
        <f>IF(#REF!,"AAAAAD9s7zc=",0)</f>
        <v>#REF!</v>
      </c>
      <c r="BE209" t="e">
        <f>IF(#REF!,"AAAAAD9s7zg=",0)</f>
        <v>#REF!</v>
      </c>
      <c r="BF209" t="e">
        <f>IF(#REF!,"AAAAAD9s7zk=",0)</f>
        <v>#REF!</v>
      </c>
      <c r="BG209" t="e">
        <f>IF(#REF!,"AAAAAD9s7zo=",0)</f>
        <v>#REF!</v>
      </c>
      <c r="BH209" t="e">
        <f>IF(#REF!,"AAAAAD9s7zs=",0)</f>
        <v>#REF!</v>
      </c>
      <c r="BI209" t="e">
        <f>IF(#REF!,"AAAAAD9s7zw=",0)</f>
        <v>#REF!</v>
      </c>
      <c r="BJ209" t="e">
        <f>IF(#REF!,"AAAAAD9s7z0=",0)</f>
        <v>#REF!</v>
      </c>
      <c r="BK209" t="e">
        <f>IF(#REF!,"AAAAAD9s7z4=",0)</f>
        <v>#REF!</v>
      </c>
      <c r="BL209" t="e">
        <f>IF(#REF!,"AAAAAD9s7z8=",0)</f>
        <v>#REF!</v>
      </c>
      <c r="BM209" t="e">
        <f>IF(#REF!,"AAAAAD9s70A=",0)</f>
        <v>#REF!</v>
      </c>
      <c r="BN209" t="e">
        <f>IF(#REF!,"AAAAAD9s70E=",0)</f>
        <v>#REF!</v>
      </c>
      <c r="BO209" t="e">
        <f>IF(#REF!,"AAAAAD9s70I=",0)</f>
        <v>#REF!</v>
      </c>
      <c r="BP209" t="e">
        <f>IF(#REF!,"AAAAAD9s70M=",0)</f>
        <v>#REF!</v>
      </c>
      <c r="BQ209" t="e">
        <f>IF(#REF!,"AAAAAD9s70Q=",0)</f>
        <v>#REF!</v>
      </c>
      <c r="BR209" t="e">
        <f>IF(#REF!,"AAAAAD9s70U=",0)</f>
        <v>#REF!</v>
      </c>
      <c r="BS209" t="e">
        <f>IF(#REF!,"AAAAAD9s70Y=",0)</f>
        <v>#REF!</v>
      </c>
      <c r="BT209" t="e">
        <f>IF(#REF!,"AAAAAD9s70c=",0)</f>
        <v>#REF!</v>
      </c>
      <c r="BU209" t="e">
        <f>IF(#REF!,"AAAAAD9s70g=",0)</f>
        <v>#REF!</v>
      </c>
      <c r="BV209" t="e">
        <f>IF(#REF!,"AAAAAD9s70k=",0)</f>
        <v>#REF!</v>
      </c>
      <c r="BW209" t="e">
        <f>IF(#REF!,"AAAAAD9s70o=",0)</f>
        <v>#REF!</v>
      </c>
      <c r="BX209" t="e">
        <f>IF(#REF!,"AAAAAD9s70s=",0)</f>
        <v>#REF!</v>
      </c>
      <c r="BY209" t="e">
        <f>IF(#REF!,"AAAAAD9s70w=",0)</f>
        <v>#REF!</v>
      </c>
      <c r="BZ209" t="e">
        <f>IF(#REF!,"AAAAAD9s700=",0)</f>
        <v>#REF!</v>
      </c>
      <c r="CA209" t="e">
        <f>IF(#REF!,"AAAAAD9s704=",0)</f>
        <v>#REF!</v>
      </c>
      <c r="CB209" t="e">
        <f>IF(#REF!,"AAAAAD9s708=",0)</f>
        <v>#REF!</v>
      </c>
      <c r="CC209" t="e">
        <f>IF(#REF!,"AAAAAD9s71A=",0)</f>
        <v>#REF!</v>
      </c>
      <c r="CD209" t="e">
        <f>IF(#REF!,"AAAAAD9s71E=",0)</f>
        <v>#REF!</v>
      </c>
      <c r="CE209" t="e">
        <f>IF(#REF!,"AAAAAD9s71I=",0)</f>
        <v>#REF!</v>
      </c>
      <c r="CF209" t="e">
        <f>IF(#REF!,"AAAAAD9s71M=",0)</f>
        <v>#REF!</v>
      </c>
      <c r="CG209" t="e">
        <f>IF(#REF!,"AAAAAD9s71Q=",0)</f>
        <v>#REF!</v>
      </c>
      <c r="CH209" t="e">
        <f>IF(#REF!,"AAAAAD9s71U=",0)</f>
        <v>#REF!</v>
      </c>
      <c r="CI209" t="e">
        <f>IF(#REF!,"AAAAAD9s71Y=",0)</f>
        <v>#REF!</v>
      </c>
      <c r="CJ209" t="e">
        <f>IF(#REF!,"AAAAAD9s71c=",0)</f>
        <v>#REF!</v>
      </c>
      <c r="CK209" t="e">
        <f>IF(#REF!,"AAAAAD9s71g=",0)</f>
        <v>#REF!</v>
      </c>
      <c r="CL209" t="e">
        <f>IF(#REF!,"AAAAAD9s71k=",0)</f>
        <v>#REF!</v>
      </c>
      <c r="CM209" t="e">
        <f>IF(#REF!,"AAAAAD9s71o=",0)</f>
        <v>#REF!</v>
      </c>
      <c r="CN209" t="e">
        <f>IF(#REF!,"AAAAAD9s71s=",0)</f>
        <v>#REF!</v>
      </c>
      <c r="CO209" t="e">
        <f>IF(#REF!,"AAAAAD9s71w=",0)</f>
        <v>#REF!</v>
      </c>
      <c r="CP209" t="e">
        <f>IF(#REF!,"AAAAAD9s710=",0)</f>
        <v>#REF!</v>
      </c>
      <c r="CQ209" t="e">
        <f>IF(#REF!,"AAAAAD9s714=",0)</f>
        <v>#REF!</v>
      </c>
      <c r="CR209" t="e">
        <f>IF(#REF!,"AAAAAD9s718=",0)</f>
        <v>#REF!</v>
      </c>
      <c r="CS209" t="e">
        <f>IF(#REF!,"AAAAAD9s72A=",0)</f>
        <v>#REF!</v>
      </c>
      <c r="CT209" t="e">
        <f>IF(#REF!,"AAAAAD9s72E=",0)</f>
        <v>#REF!</v>
      </c>
      <c r="CU209" t="e">
        <f>IF(#REF!,"AAAAAD9s72I=",0)</f>
        <v>#REF!</v>
      </c>
      <c r="CV209" t="e">
        <f>IF(#REF!,"AAAAAD9s72M=",0)</f>
        <v>#REF!</v>
      </c>
      <c r="CW209" t="e">
        <f>IF(#REF!,"AAAAAD9s72Q=",0)</f>
        <v>#REF!</v>
      </c>
      <c r="CX209" t="e">
        <f>IF(#REF!,"AAAAAD9s72U=",0)</f>
        <v>#REF!</v>
      </c>
      <c r="CY209" t="e">
        <f>IF(#REF!,"AAAAAD9s72Y=",0)</f>
        <v>#REF!</v>
      </c>
      <c r="CZ209" t="e">
        <f>IF(#REF!,"AAAAAD9s72c=",0)</f>
        <v>#REF!</v>
      </c>
      <c r="DA209" t="e">
        <f>IF(#REF!,"AAAAAD9s72g=",0)</f>
        <v>#REF!</v>
      </c>
      <c r="DB209" t="e">
        <f>IF(#REF!,"AAAAAD9s72k=",0)</f>
        <v>#REF!</v>
      </c>
      <c r="DC209" t="e">
        <f>IF(#REF!,"AAAAAD9s72o=",0)</f>
        <v>#REF!</v>
      </c>
      <c r="DD209" t="e">
        <f>IF(#REF!,"AAAAAD9s72s=",0)</f>
        <v>#REF!</v>
      </c>
      <c r="DE209" t="e">
        <f>IF(#REF!,"AAAAAD9s72w=",0)</f>
        <v>#REF!</v>
      </c>
      <c r="DF209" t="e">
        <f>IF(#REF!,"AAAAAD9s720=",0)</f>
        <v>#REF!</v>
      </c>
      <c r="DG209" t="e">
        <f>IF(#REF!,"AAAAAD9s724=",0)</f>
        <v>#REF!</v>
      </c>
      <c r="DH209" t="e">
        <f>IF(#REF!,"AAAAAD9s728=",0)</f>
        <v>#REF!</v>
      </c>
      <c r="DI209" t="e">
        <f>IF(#REF!,"AAAAAD9s73A=",0)</f>
        <v>#REF!</v>
      </c>
      <c r="DJ209" t="e">
        <f>IF(#REF!,"AAAAAD9s73E=",0)</f>
        <v>#REF!</v>
      </c>
      <c r="DK209" t="e">
        <f>IF(#REF!,"AAAAAD9s73I=",0)</f>
        <v>#REF!</v>
      </c>
      <c r="DL209" t="e">
        <f>IF(#REF!,"AAAAAD9s73M=",0)</f>
        <v>#REF!</v>
      </c>
      <c r="DM209" t="e">
        <f>IF(#REF!,"AAAAAD9s73Q=",0)</f>
        <v>#REF!</v>
      </c>
      <c r="DN209" t="e">
        <f>IF(#REF!,"AAAAAD9s73U=",0)</f>
        <v>#REF!</v>
      </c>
      <c r="DO209" t="e">
        <f>IF(#REF!,"AAAAAD9s73Y=",0)</f>
        <v>#REF!</v>
      </c>
      <c r="DP209" t="e">
        <f>IF(#REF!,"AAAAAD9s73c=",0)</f>
        <v>#REF!</v>
      </c>
      <c r="DQ209" t="e">
        <f>IF(#REF!,"AAAAAD9s73g=",0)</f>
        <v>#REF!</v>
      </c>
      <c r="DR209" t="e">
        <f>IF(#REF!,"AAAAAD9s73k=",0)</f>
        <v>#REF!</v>
      </c>
      <c r="DS209" t="e">
        <f>IF(#REF!,"AAAAAD9s73o=",0)</f>
        <v>#REF!</v>
      </c>
      <c r="DT209" t="e">
        <f>IF(#REF!,"AAAAAD9s73s=",0)</f>
        <v>#REF!</v>
      </c>
      <c r="DU209" t="e">
        <f>IF(#REF!,"AAAAAD9s73w=",0)</f>
        <v>#REF!</v>
      </c>
      <c r="DV209" t="e">
        <f>IF(#REF!,"AAAAAD9s730=",0)</f>
        <v>#REF!</v>
      </c>
      <c r="DW209" t="e">
        <f>IF(#REF!,"AAAAAD9s734=",0)</f>
        <v>#REF!</v>
      </c>
      <c r="DX209" t="e">
        <f>IF(#REF!,"AAAAAD9s738=",0)</f>
        <v>#REF!</v>
      </c>
      <c r="DY209" t="e">
        <f>IF(#REF!,"AAAAAD9s74A=",0)</f>
        <v>#REF!</v>
      </c>
      <c r="DZ209" t="e">
        <f>IF(#REF!,"AAAAAD9s74E=",0)</f>
        <v>#REF!</v>
      </c>
      <c r="EA209" t="e">
        <f>IF(#REF!,"AAAAAD9s74I=",0)</f>
        <v>#REF!</v>
      </c>
      <c r="EB209" t="e">
        <f>IF(#REF!,"AAAAAD9s74M=",0)</f>
        <v>#REF!</v>
      </c>
      <c r="EC209" t="e">
        <f>IF(#REF!,"AAAAAD9s74Q=",0)</f>
        <v>#REF!</v>
      </c>
      <c r="ED209" t="e">
        <f>IF(#REF!,"AAAAAD9s74U=",0)</f>
        <v>#REF!</v>
      </c>
      <c r="EE209" t="e">
        <f>IF(#REF!,"AAAAAD9s74Y=",0)</f>
        <v>#REF!</v>
      </c>
      <c r="EF209" t="e">
        <f>IF(#REF!,"AAAAAD9s74c=",0)</f>
        <v>#REF!</v>
      </c>
      <c r="EG209" t="e">
        <f>IF(#REF!,"AAAAAD9s74g=",0)</f>
        <v>#REF!</v>
      </c>
      <c r="EH209" t="e">
        <f>IF(#REF!,"AAAAAD9s74k=",0)</f>
        <v>#REF!</v>
      </c>
      <c r="EI209" t="e">
        <f>IF(#REF!,"AAAAAD9s74o=",0)</f>
        <v>#REF!</v>
      </c>
      <c r="EJ209" t="e">
        <f>IF(#REF!,"AAAAAD9s74s=",0)</f>
        <v>#REF!</v>
      </c>
      <c r="EK209" t="e">
        <f>IF(#REF!,"AAAAAD9s74w=",0)</f>
        <v>#REF!</v>
      </c>
      <c r="EL209" t="e">
        <f>IF(#REF!,"AAAAAD9s740=",0)</f>
        <v>#REF!</v>
      </c>
      <c r="EM209" t="e">
        <f>IF(#REF!,"AAAAAD9s744=",0)</f>
        <v>#REF!</v>
      </c>
      <c r="EN209" t="e">
        <f>IF(#REF!,"AAAAAD9s748=",0)</f>
        <v>#REF!</v>
      </c>
      <c r="EO209" t="e">
        <f>IF(#REF!,"AAAAAD9s75A=",0)</f>
        <v>#REF!</v>
      </c>
      <c r="EP209" t="e">
        <f>IF(#REF!,"AAAAAD9s75E=",0)</f>
        <v>#REF!</v>
      </c>
      <c r="EQ209" t="e">
        <f>IF(#REF!,"AAAAAD9s75I=",0)</f>
        <v>#REF!</v>
      </c>
      <c r="ER209" t="e">
        <f>IF(#REF!,"AAAAAD9s75M=",0)</f>
        <v>#REF!</v>
      </c>
      <c r="ES209" t="e">
        <f>IF(#REF!,"AAAAAD9s75Q=",0)</f>
        <v>#REF!</v>
      </c>
      <c r="ET209" t="e">
        <f>IF(#REF!,"AAAAAD9s75U=",0)</f>
        <v>#REF!</v>
      </c>
      <c r="EU209" t="e">
        <f>IF(#REF!,"AAAAAD9s75Y=",0)</f>
        <v>#REF!</v>
      </c>
      <c r="EV209" t="e">
        <f>IF(#REF!,"AAAAAD9s75c=",0)</f>
        <v>#REF!</v>
      </c>
      <c r="EW209" t="e">
        <f>IF(#REF!,"AAAAAD9s75g=",0)</f>
        <v>#REF!</v>
      </c>
      <c r="EX209" t="e">
        <f>IF(#REF!,"AAAAAD9s75k=",0)</f>
        <v>#REF!</v>
      </c>
      <c r="EY209" t="e">
        <f>IF(#REF!,"AAAAAD9s75o=",0)</f>
        <v>#REF!</v>
      </c>
      <c r="EZ209" t="e">
        <f>IF(#REF!,"AAAAAD9s75s=",0)</f>
        <v>#REF!</v>
      </c>
      <c r="FA209" t="e">
        <f>IF(#REF!,"AAAAAD9s75w=",0)</f>
        <v>#REF!</v>
      </c>
      <c r="FB209" t="e">
        <f>IF(#REF!,"AAAAAD9s750=",0)</f>
        <v>#REF!</v>
      </c>
      <c r="FC209" t="e">
        <f>IF(#REF!,"AAAAAD9s754=",0)</f>
        <v>#REF!</v>
      </c>
      <c r="FD209" t="e">
        <f>IF(#REF!,"AAAAAD9s758=",0)</f>
        <v>#REF!</v>
      </c>
      <c r="FE209" t="e">
        <f>IF(#REF!,"AAAAAD9s76A=",0)</f>
        <v>#REF!</v>
      </c>
      <c r="FF209" t="e">
        <f>IF(#REF!,"AAAAAD9s76E=",0)</f>
        <v>#REF!</v>
      </c>
      <c r="FG209" t="e">
        <f>IF(#REF!,"AAAAAD9s76I=",0)</f>
        <v>#REF!</v>
      </c>
      <c r="FH209" t="e">
        <f>IF(#REF!,"AAAAAD9s76M=",0)</f>
        <v>#REF!</v>
      </c>
      <c r="FI209" t="e">
        <f>IF(#REF!,"AAAAAD9s76Q=",0)</f>
        <v>#REF!</v>
      </c>
      <c r="FJ209" t="e">
        <f>IF(#REF!,"AAAAAD9s76U=",0)</f>
        <v>#REF!</v>
      </c>
      <c r="FK209" t="e">
        <f>IF(#REF!,"AAAAAD9s76Y=",0)</f>
        <v>#REF!</v>
      </c>
      <c r="FL209" t="e">
        <f>IF(#REF!,"AAAAAD9s76c=",0)</f>
        <v>#REF!</v>
      </c>
      <c r="FM209" t="e">
        <f>IF(#REF!,"AAAAAD9s76g=",0)</f>
        <v>#REF!</v>
      </c>
      <c r="FN209" t="e">
        <f>IF(#REF!,"AAAAAD9s76k=",0)</f>
        <v>#REF!</v>
      </c>
      <c r="FO209" t="e">
        <f>IF(#REF!,"AAAAAD9s76o=",0)</f>
        <v>#REF!</v>
      </c>
      <c r="FP209" t="e">
        <f>IF(#REF!,"AAAAAD9s76s=",0)</f>
        <v>#REF!</v>
      </c>
      <c r="FQ209" t="e">
        <f>IF(#REF!,"AAAAAD9s76w=",0)</f>
        <v>#REF!</v>
      </c>
      <c r="FR209" t="e">
        <f>IF(#REF!,"AAAAAD9s760=",0)</f>
        <v>#REF!</v>
      </c>
      <c r="FS209" t="e">
        <f>IF(#REF!,"AAAAAD9s764=",0)</f>
        <v>#REF!</v>
      </c>
      <c r="FT209" t="e">
        <f>IF(#REF!,"AAAAAD9s768=",0)</f>
        <v>#REF!</v>
      </c>
      <c r="FU209" t="e">
        <f>IF(#REF!,"AAAAAD9s77A=",0)</f>
        <v>#REF!</v>
      </c>
      <c r="FV209" t="e">
        <f>IF(#REF!,"AAAAAD9s77E=",0)</f>
        <v>#REF!</v>
      </c>
      <c r="FW209" t="e">
        <f>IF(#REF!,"AAAAAD9s77I=",0)</f>
        <v>#REF!</v>
      </c>
      <c r="FX209" t="e">
        <f>IF(#REF!,"AAAAAD9s77M=",0)</f>
        <v>#REF!</v>
      </c>
      <c r="FY209" t="e">
        <f>IF(#REF!,"AAAAAD9s77Q=",0)</f>
        <v>#REF!</v>
      </c>
      <c r="FZ209" t="e">
        <f>IF(#REF!,"AAAAAD9s77U=",0)</f>
        <v>#REF!</v>
      </c>
      <c r="GA209" t="e">
        <f>IF(#REF!,"AAAAAD9s77Y=",0)</f>
        <v>#REF!</v>
      </c>
      <c r="GB209" t="e">
        <f>IF(#REF!,"AAAAAD9s77c=",0)</f>
        <v>#REF!</v>
      </c>
      <c r="GC209" t="e">
        <f>IF(#REF!,"AAAAAD9s77g=",0)</f>
        <v>#REF!</v>
      </c>
      <c r="GD209" t="e">
        <f>IF(#REF!,"AAAAAD9s77k=",0)</f>
        <v>#REF!</v>
      </c>
      <c r="GE209" t="e">
        <f>IF(#REF!,"AAAAAD9s77o=",0)</f>
        <v>#REF!</v>
      </c>
      <c r="GF209" t="e">
        <f>IF(#REF!,"AAAAAD9s77s=",0)</f>
        <v>#REF!</v>
      </c>
      <c r="GG209" t="e">
        <f>IF(#REF!,"AAAAAD9s77w=",0)</f>
        <v>#REF!</v>
      </c>
      <c r="GH209" t="e">
        <f>IF(#REF!,"AAAAAD9s770=",0)</f>
        <v>#REF!</v>
      </c>
      <c r="GI209" t="e">
        <f>IF(#REF!,"AAAAAD9s774=",0)</f>
        <v>#REF!</v>
      </c>
      <c r="GJ209" t="e">
        <f>IF(#REF!,"AAAAAD9s778=",0)</f>
        <v>#REF!</v>
      </c>
      <c r="GK209" t="e">
        <f>IF(#REF!,"AAAAAD9s78A=",0)</f>
        <v>#REF!</v>
      </c>
      <c r="GL209" t="e">
        <f>IF(#REF!,"AAAAAD9s78E=",0)</f>
        <v>#REF!</v>
      </c>
      <c r="GM209" t="e">
        <f>IF(#REF!,"AAAAAD9s78I=",0)</f>
        <v>#REF!</v>
      </c>
      <c r="GN209" t="e">
        <f>IF(#REF!,"AAAAAD9s78M=",0)</f>
        <v>#REF!</v>
      </c>
      <c r="GO209" t="e">
        <f>IF(#REF!,"AAAAAD9s78Q=",0)</f>
        <v>#REF!</v>
      </c>
      <c r="GP209" t="e">
        <f>IF(#REF!,"AAAAAD9s78U=",0)</f>
        <v>#REF!</v>
      </c>
      <c r="GQ209" t="e">
        <f>IF(#REF!,"AAAAAD9s78Y=",0)</f>
        <v>#REF!</v>
      </c>
      <c r="GR209" t="e">
        <f>IF(#REF!,"AAAAAD9s78c=",0)</f>
        <v>#REF!</v>
      </c>
      <c r="GS209" t="e">
        <f>IF(#REF!,"AAAAAD9s78g=",0)</f>
        <v>#REF!</v>
      </c>
      <c r="GT209" t="e">
        <f>IF(#REF!,"AAAAAD9s78k=",0)</f>
        <v>#REF!</v>
      </c>
      <c r="GU209" t="e">
        <f>IF(#REF!,"AAAAAD9s78o=",0)</f>
        <v>#REF!</v>
      </c>
      <c r="GV209" t="e">
        <f>IF(#REF!,"AAAAAD9s78s=",0)</f>
        <v>#REF!</v>
      </c>
      <c r="GW209" t="e">
        <f>IF(#REF!,"AAAAAD9s78w=",0)</f>
        <v>#REF!</v>
      </c>
      <c r="GX209" t="e">
        <f>IF(#REF!,"AAAAAD9s780=",0)</f>
        <v>#REF!</v>
      </c>
      <c r="GY209" t="e">
        <f>IF(#REF!,"AAAAAD9s784=",0)</f>
        <v>#REF!</v>
      </c>
      <c r="GZ209" t="e">
        <f>IF(#REF!,"AAAAAD9s788=",0)</f>
        <v>#REF!</v>
      </c>
      <c r="HA209" t="e">
        <f>IF(#REF!,"AAAAAD9s79A=",0)</f>
        <v>#REF!</v>
      </c>
      <c r="HB209" t="e">
        <f>IF(#REF!,"AAAAAD9s79E=",0)</f>
        <v>#REF!</v>
      </c>
      <c r="HC209" t="e">
        <f>IF(#REF!,"AAAAAD9s79I=",0)</f>
        <v>#REF!</v>
      </c>
      <c r="HD209" t="e">
        <f>IF(#REF!,"AAAAAD9s79M=",0)</f>
        <v>#REF!</v>
      </c>
      <c r="HE209" t="e">
        <f>IF(#REF!,"AAAAAD9s79Q=",0)</f>
        <v>#REF!</v>
      </c>
      <c r="HF209" t="e">
        <f>IF(#REF!,"AAAAAD9s79U=",0)</f>
        <v>#REF!</v>
      </c>
      <c r="HG209" t="e">
        <f>IF(#REF!,"AAAAAD9s79Y=",0)</f>
        <v>#REF!</v>
      </c>
      <c r="HH209" t="e">
        <f>IF(#REF!,"AAAAAD9s79c=",0)</f>
        <v>#REF!</v>
      </c>
      <c r="HI209" t="e">
        <f>IF(#REF!,"AAAAAD9s79g=",0)</f>
        <v>#REF!</v>
      </c>
      <c r="HJ209" t="e">
        <f>IF(#REF!,"AAAAAD9s79k=",0)</f>
        <v>#REF!</v>
      </c>
      <c r="HK209" t="e">
        <f>IF(#REF!,"AAAAAD9s79o=",0)</f>
        <v>#REF!</v>
      </c>
      <c r="HL209" t="e">
        <f>IF(#REF!,"AAAAAD9s79s=",0)</f>
        <v>#REF!</v>
      </c>
      <c r="HM209" t="e">
        <f>IF(#REF!,"AAAAAD9s79w=",0)</f>
        <v>#REF!</v>
      </c>
      <c r="HN209" t="e">
        <f>IF(#REF!,"AAAAAD9s790=",0)</f>
        <v>#REF!</v>
      </c>
      <c r="HO209" t="e">
        <f>IF(#REF!,"AAAAAD9s794=",0)</f>
        <v>#REF!</v>
      </c>
      <c r="HP209" t="e">
        <f>IF(#REF!,"AAAAAD9s798=",0)</f>
        <v>#REF!</v>
      </c>
      <c r="HQ209" t="e">
        <f>IF(#REF!,"AAAAAD9s7+A=",0)</f>
        <v>#REF!</v>
      </c>
      <c r="HR209" t="e">
        <f>IF(#REF!,"AAAAAD9s7+E=",0)</f>
        <v>#REF!</v>
      </c>
      <c r="HS209" t="e">
        <f>IF(#REF!,"AAAAAD9s7+I=",0)</f>
        <v>#REF!</v>
      </c>
      <c r="HT209" t="e">
        <f>IF(#REF!,"AAAAAD9s7+M=",0)</f>
        <v>#REF!</v>
      </c>
      <c r="HU209" t="e">
        <f>IF(#REF!,"AAAAAD9s7+Q=",0)</f>
        <v>#REF!</v>
      </c>
      <c r="HV209" t="e">
        <f>IF(#REF!,"AAAAAD9s7+U=",0)</f>
        <v>#REF!</v>
      </c>
      <c r="HW209" t="e">
        <f>IF(#REF!,"AAAAAD9s7+Y=",0)</f>
        <v>#REF!</v>
      </c>
      <c r="HX209" t="e">
        <f>IF(#REF!,"AAAAAD9s7+c=",0)</f>
        <v>#REF!</v>
      </c>
      <c r="HY209" t="e">
        <f>IF(#REF!,"AAAAAD9s7+g=",0)</f>
        <v>#REF!</v>
      </c>
      <c r="HZ209" t="e">
        <f>IF(#REF!,"AAAAAD9s7+k=",0)</f>
        <v>#REF!</v>
      </c>
      <c r="IA209" t="e">
        <f>IF(#REF!,"AAAAAD9s7+o=",0)</f>
        <v>#REF!</v>
      </c>
      <c r="IB209" t="e">
        <f>IF(#REF!,"AAAAAD9s7+s=",0)</f>
        <v>#REF!</v>
      </c>
      <c r="IC209" t="e">
        <f>IF(#REF!,"AAAAAD9s7+w=",0)</f>
        <v>#REF!</v>
      </c>
      <c r="ID209" t="e">
        <f>IF(#REF!,"AAAAAD9s7+0=",0)</f>
        <v>#REF!</v>
      </c>
      <c r="IE209" t="e">
        <f>IF(#REF!,"AAAAAD9s7+4=",0)</f>
        <v>#REF!</v>
      </c>
      <c r="IF209" t="e">
        <f>IF(#REF!,"AAAAAD9s7+8=",0)</f>
        <v>#REF!</v>
      </c>
      <c r="IG209" t="e">
        <f>IF(#REF!,"AAAAAD9s7/A=",0)</f>
        <v>#REF!</v>
      </c>
      <c r="IH209" t="e">
        <f>IF(#REF!,"AAAAAD9s7/E=",0)</f>
        <v>#REF!</v>
      </c>
      <c r="II209" t="e">
        <f>IF(#REF!,"AAAAAD9s7/I=",0)</f>
        <v>#REF!</v>
      </c>
      <c r="IJ209" t="e">
        <f>IF(#REF!,"AAAAAD9s7/M=",0)</f>
        <v>#REF!</v>
      </c>
      <c r="IK209" t="e">
        <f>IF(#REF!,"AAAAAD9s7/Q=",0)</f>
        <v>#REF!</v>
      </c>
      <c r="IL209" t="e">
        <f>IF(#REF!,"AAAAAD9s7/U=",0)</f>
        <v>#REF!</v>
      </c>
      <c r="IM209" t="e">
        <f>IF(#REF!,"AAAAAD9s7/Y=",0)</f>
        <v>#REF!</v>
      </c>
      <c r="IN209" t="e">
        <f>IF(#REF!,"AAAAAD9s7/c=",0)</f>
        <v>#REF!</v>
      </c>
      <c r="IO209" t="e">
        <f>IF(#REF!,"AAAAAD9s7/g=",0)</f>
        <v>#REF!</v>
      </c>
      <c r="IP209" t="e">
        <f>IF(#REF!,"AAAAAD9s7/k=",0)</f>
        <v>#REF!</v>
      </c>
      <c r="IQ209" t="e">
        <f>IF(#REF!,"AAAAAD9s7/o=",0)</f>
        <v>#REF!</v>
      </c>
      <c r="IR209" t="e">
        <f>IF(#REF!,"AAAAAD9s7/s=",0)</f>
        <v>#REF!</v>
      </c>
      <c r="IS209" t="e">
        <f>IF(#REF!,"AAAAAD9s7/w=",0)</f>
        <v>#REF!</v>
      </c>
      <c r="IT209" t="e">
        <f>IF(#REF!,"AAAAAD9s7/0=",0)</f>
        <v>#REF!</v>
      </c>
      <c r="IU209" t="e">
        <f>IF(#REF!,"AAAAAD9s7/4=",0)</f>
        <v>#REF!</v>
      </c>
      <c r="IV209" t="e">
        <f>IF(#REF!,"AAAAAD9s7/8=",0)</f>
        <v>#REF!</v>
      </c>
    </row>
    <row r="210" spans="1:256">
      <c r="A210" t="e">
        <f>IF(#REF!,"AAAAAG++8gA=",0)</f>
        <v>#REF!</v>
      </c>
      <c r="B210" t="e">
        <f>IF(#REF!,"AAAAAG++8gE=",0)</f>
        <v>#REF!</v>
      </c>
      <c r="C210" t="e">
        <f>IF(#REF!,"AAAAAG++8gI=",0)</f>
        <v>#REF!</v>
      </c>
      <c r="D210" t="e">
        <f>IF(#REF!,"AAAAAG++8gM=",0)</f>
        <v>#REF!</v>
      </c>
      <c r="E210" t="e">
        <f>IF(#REF!,"AAAAAG++8gQ=",0)</f>
        <v>#REF!</v>
      </c>
      <c r="F210" t="e">
        <f>IF(#REF!,"AAAAAG++8gU=",0)</f>
        <v>#REF!</v>
      </c>
      <c r="G210" t="e">
        <f>IF(#REF!,"AAAAAG++8gY=",0)</f>
        <v>#REF!</v>
      </c>
      <c r="H210" t="e">
        <f>IF(#REF!,"AAAAAG++8gc=",0)</f>
        <v>#REF!</v>
      </c>
      <c r="I210" t="e">
        <f>IF(#REF!,"AAAAAG++8gg=",0)</f>
        <v>#REF!</v>
      </c>
      <c r="J210" t="e">
        <f>IF(#REF!,"AAAAAG++8gk=",0)</f>
        <v>#REF!</v>
      </c>
      <c r="K210" t="e">
        <f>IF(#REF!,"AAAAAG++8go=",0)</f>
        <v>#REF!</v>
      </c>
      <c r="L210" t="e">
        <f>IF(#REF!,"AAAAAG++8gs=",0)</f>
        <v>#REF!</v>
      </c>
      <c r="M210" t="e">
        <f>IF(#REF!,"AAAAAG++8gw=",0)</f>
        <v>#REF!</v>
      </c>
      <c r="N210" t="e">
        <f>IF(#REF!,"AAAAAG++8g0=",0)</f>
        <v>#REF!</v>
      </c>
      <c r="O210" t="e">
        <f>IF(#REF!,"AAAAAG++8g4=",0)</f>
        <v>#REF!</v>
      </c>
      <c r="P210" t="e">
        <f>IF(#REF!,"AAAAAG++8g8=",0)</f>
        <v>#REF!</v>
      </c>
      <c r="Q210" t="e">
        <f>IF(#REF!,"AAAAAG++8hA=",0)</f>
        <v>#REF!</v>
      </c>
      <c r="R210" t="e">
        <f>IF(#REF!,"AAAAAG++8hE=",0)</f>
        <v>#REF!</v>
      </c>
      <c r="S210" t="e">
        <f>IF(#REF!,"AAAAAG++8hI=",0)</f>
        <v>#REF!</v>
      </c>
      <c r="T210" t="e">
        <f>IF(#REF!,"AAAAAG++8hM=",0)</f>
        <v>#REF!</v>
      </c>
      <c r="U210" t="e">
        <f>IF(#REF!,"AAAAAG++8hQ=",0)</f>
        <v>#REF!</v>
      </c>
      <c r="V210" t="e">
        <f>IF(#REF!,"AAAAAG++8hU=",0)</f>
        <v>#REF!</v>
      </c>
      <c r="W210" t="e">
        <f>IF(#REF!,"AAAAAG++8hY=",0)</f>
        <v>#REF!</v>
      </c>
      <c r="X210" t="e">
        <f>IF(#REF!,"AAAAAG++8hc=",0)</f>
        <v>#REF!</v>
      </c>
      <c r="Y210" t="e">
        <f>IF(#REF!,"AAAAAG++8hg=",0)</f>
        <v>#REF!</v>
      </c>
      <c r="Z210" t="e">
        <f>IF(#REF!,"AAAAAG++8hk=",0)</f>
        <v>#REF!</v>
      </c>
      <c r="AA210" t="e">
        <f>IF(#REF!,"AAAAAG++8ho=",0)</f>
        <v>#REF!</v>
      </c>
      <c r="AB210" t="e">
        <f>IF(#REF!,"AAAAAG++8hs=",0)</f>
        <v>#REF!</v>
      </c>
      <c r="AC210" t="e">
        <f>IF(#REF!,"AAAAAG++8hw=",0)</f>
        <v>#REF!</v>
      </c>
      <c r="AD210" t="e">
        <f>IF(#REF!,"AAAAAG++8h0=",0)</f>
        <v>#REF!</v>
      </c>
      <c r="AE210" t="e">
        <f>IF(#REF!,"AAAAAG++8h4=",0)</f>
        <v>#REF!</v>
      </c>
      <c r="AF210" t="e">
        <f>IF(#REF!,"AAAAAG++8h8=",0)</f>
        <v>#REF!</v>
      </c>
      <c r="AG210" t="e">
        <f>IF(#REF!,"AAAAAG++8iA=",0)</f>
        <v>#REF!</v>
      </c>
      <c r="AH210" t="e">
        <f>IF(#REF!,"AAAAAG++8iE=",0)</f>
        <v>#REF!</v>
      </c>
      <c r="AI210" t="e">
        <f>IF(#REF!,"AAAAAG++8iI=",0)</f>
        <v>#REF!</v>
      </c>
      <c r="AJ210" t="e">
        <f>IF(#REF!,"AAAAAG++8iM=",0)</f>
        <v>#REF!</v>
      </c>
      <c r="AK210" t="e">
        <f>IF(#REF!,"AAAAAG++8iQ=",0)</f>
        <v>#REF!</v>
      </c>
      <c r="AL210" t="e">
        <f>IF(#REF!,"AAAAAG++8iU=",0)</f>
        <v>#REF!</v>
      </c>
      <c r="AM210" t="e">
        <f>IF(#REF!,"AAAAAG++8iY=",0)</f>
        <v>#REF!</v>
      </c>
      <c r="AN210" t="e">
        <f>IF(#REF!,"AAAAAG++8ic=",0)</f>
        <v>#REF!</v>
      </c>
      <c r="AO210" t="e">
        <f>IF(#REF!,"AAAAAG++8ig=",0)</f>
        <v>#REF!</v>
      </c>
      <c r="AP210" t="e">
        <f>IF(#REF!,"AAAAAG++8ik=",0)</f>
        <v>#REF!</v>
      </c>
      <c r="AQ210" t="e">
        <f>IF(#REF!,"AAAAAG++8io=",0)</f>
        <v>#REF!</v>
      </c>
      <c r="AR210" t="e">
        <f>IF(#REF!,"AAAAAG++8is=",0)</f>
        <v>#REF!</v>
      </c>
      <c r="AS210" t="e">
        <f>IF(#REF!,"AAAAAG++8iw=",0)</f>
        <v>#REF!</v>
      </c>
      <c r="AT210" t="e">
        <f>IF(#REF!,"AAAAAG++8i0=",0)</f>
        <v>#REF!</v>
      </c>
      <c r="AU210" t="e">
        <f>IF(#REF!,"AAAAAG++8i4=",0)</f>
        <v>#REF!</v>
      </c>
      <c r="AV210" t="e">
        <f>IF(#REF!,"AAAAAG++8i8=",0)</f>
        <v>#REF!</v>
      </c>
      <c r="AW210" t="e">
        <f>IF(#REF!,"AAAAAG++8jA=",0)</f>
        <v>#REF!</v>
      </c>
      <c r="AX210" t="e">
        <f>IF(#REF!,"AAAAAG++8jE=",0)</f>
        <v>#REF!</v>
      </c>
      <c r="AY210" t="e">
        <f>IF(#REF!,"AAAAAG++8jI=",0)</f>
        <v>#REF!</v>
      </c>
      <c r="AZ210" t="e">
        <f>IF(#REF!,"AAAAAG++8jM=",0)</f>
        <v>#REF!</v>
      </c>
      <c r="BA210" t="e">
        <f>IF(#REF!,"AAAAAG++8jQ=",0)</f>
        <v>#REF!</v>
      </c>
      <c r="BB210" t="e">
        <f>IF(#REF!,"AAAAAG++8jU=",0)</f>
        <v>#REF!</v>
      </c>
      <c r="BC210" t="e">
        <f>IF(#REF!,"AAAAAG++8jY=",0)</f>
        <v>#REF!</v>
      </c>
      <c r="BD210" t="e">
        <f>IF(#REF!,"AAAAAG++8jc=",0)</f>
        <v>#REF!</v>
      </c>
      <c r="BE210" t="e">
        <f>IF(#REF!,"AAAAAG++8jg=",0)</f>
        <v>#REF!</v>
      </c>
      <c r="BF210" t="e">
        <f>IF(#REF!,"AAAAAG++8jk=",0)</f>
        <v>#REF!</v>
      </c>
      <c r="BG210" t="e">
        <f>IF(#REF!,"AAAAAG++8jo=",0)</f>
        <v>#REF!</v>
      </c>
      <c r="BH210" t="e">
        <f>IF(#REF!,"AAAAAG++8js=",0)</f>
        <v>#REF!</v>
      </c>
      <c r="BI210" t="e">
        <f>IF(#REF!,"AAAAAG++8jw=",0)</f>
        <v>#REF!</v>
      </c>
      <c r="BJ210" t="e">
        <f>IF(#REF!,"AAAAAG++8j0=",0)</f>
        <v>#REF!</v>
      </c>
      <c r="BK210" t="e">
        <f>IF(#REF!,"AAAAAG++8j4=",0)</f>
        <v>#REF!</v>
      </c>
      <c r="BL210" t="e">
        <f>IF(#REF!,"AAAAAG++8j8=",0)</f>
        <v>#REF!</v>
      </c>
      <c r="BM210" t="e">
        <f>IF(#REF!,"AAAAAG++8kA=",0)</f>
        <v>#REF!</v>
      </c>
      <c r="BN210" t="e">
        <f>IF(#REF!,"AAAAAG++8kE=",0)</f>
        <v>#REF!</v>
      </c>
      <c r="BO210" t="e">
        <f>IF(#REF!,"AAAAAG++8kI=",0)</f>
        <v>#REF!</v>
      </c>
      <c r="BP210" t="e">
        <f>IF(#REF!,"AAAAAG++8kM=",0)</f>
        <v>#REF!</v>
      </c>
      <c r="BQ210" t="e">
        <f>IF(#REF!,"AAAAAG++8kQ=",0)</f>
        <v>#REF!</v>
      </c>
      <c r="BR210" t="e">
        <f>IF(#REF!,"AAAAAG++8kU=",0)</f>
        <v>#REF!</v>
      </c>
      <c r="BS210" t="e">
        <f>IF(#REF!,"AAAAAG++8kY=",0)</f>
        <v>#REF!</v>
      </c>
      <c r="BT210" t="e">
        <f>IF(#REF!,"AAAAAG++8kc=",0)</f>
        <v>#REF!</v>
      </c>
      <c r="BU210" t="e">
        <f>IF(#REF!,"AAAAAG++8kg=",0)</f>
        <v>#REF!</v>
      </c>
      <c r="BV210" t="e">
        <f>IF(#REF!,"AAAAAG++8kk=",0)</f>
        <v>#REF!</v>
      </c>
      <c r="BW210" t="e">
        <f>IF(#REF!,"AAAAAG++8ko=",0)</f>
        <v>#REF!</v>
      </c>
      <c r="BX210" t="e">
        <f>IF(#REF!,"AAAAAG++8ks=",0)</f>
        <v>#REF!</v>
      </c>
      <c r="BY210" t="e">
        <f>IF(#REF!,"AAAAAG++8kw=",0)</f>
        <v>#REF!</v>
      </c>
      <c r="BZ210" t="e">
        <f>IF(#REF!,"AAAAAG++8k0=",0)</f>
        <v>#REF!</v>
      </c>
      <c r="CA210" t="e">
        <f>IF(#REF!,"AAAAAG++8k4=",0)</f>
        <v>#REF!</v>
      </c>
      <c r="CB210" t="e">
        <f>IF(#REF!,"AAAAAG++8k8=",0)</f>
        <v>#REF!</v>
      </c>
      <c r="CC210" t="e">
        <f>IF(#REF!,"AAAAAG++8lA=",0)</f>
        <v>#REF!</v>
      </c>
      <c r="CD210" t="e">
        <f>IF(#REF!,"AAAAAG++8lE=",0)</f>
        <v>#REF!</v>
      </c>
      <c r="CE210" t="e">
        <f>IF(#REF!,"AAAAAG++8lI=",0)</f>
        <v>#REF!</v>
      </c>
      <c r="CF210" t="e">
        <f>IF(#REF!,"AAAAAG++8lM=",0)</f>
        <v>#REF!</v>
      </c>
      <c r="CG210" t="e">
        <f>IF(#REF!,"AAAAAG++8lQ=",0)</f>
        <v>#REF!</v>
      </c>
      <c r="CH210" t="e">
        <f>IF(#REF!,"AAAAAG++8lU=",0)</f>
        <v>#REF!</v>
      </c>
      <c r="CI210" t="e">
        <f>IF(#REF!,"AAAAAG++8lY=",0)</f>
        <v>#REF!</v>
      </c>
      <c r="CJ210" t="e">
        <f>IF(#REF!,"AAAAAG++8lc=",0)</f>
        <v>#REF!</v>
      </c>
      <c r="CK210" t="e">
        <f>IF(#REF!,"AAAAAG++8lg=",0)</f>
        <v>#REF!</v>
      </c>
      <c r="CL210" t="e">
        <f>IF(#REF!,"AAAAAG++8lk=",0)</f>
        <v>#REF!</v>
      </c>
      <c r="CM210" t="e">
        <f>IF(#REF!,"AAAAAG++8lo=",0)</f>
        <v>#REF!</v>
      </c>
      <c r="CN210" t="e">
        <f>IF(#REF!,"AAAAAG++8ls=",0)</f>
        <v>#REF!</v>
      </c>
      <c r="CO210" t="e">
        <f>IF(#REF!,"AAAAAG++8lw=",0)</f>
        <v>#REF!</v>
      </c>
      <c r="CP210" t="e">
        <f>IF(#REF!,"AAAAAG++8l0=",0)</f>
        <v>#REF!</v>
      </c>
      <c r="CQ210" t="e">
        <f>IF(#REF!,"AAAAAG++8l4=",0)</f>
        <v>#REF!</v>
      </c>
      <c r="CR210" t="e">
        <f>IF(#REF!,"AAAAAG++8l8=",0)</f>
        <v>#REF!</v>
      </c>
      <c r="CS210" t="e">
        <f>IF(#REF!,"AAAAAG++8mA=",0)</f>
        <v>#REF!</v>
      </c>
      <c r="CT210" t="e">
        <f>IF(#REF!,"AAAAAG++8mE=",0)</f>
        <v>#REF!</v>
      </c>
      <c r="CU210" t="e">
        <f>IF(#REF!,"AAAAAG++8mI=",0)</f>
        <v>#REF!</v>
      </c>
      <c r="CV210" t="e">
        <f>IF(#REF!,"AAAAAG++8mM=",0)</f>
        <v>#REF!</v>
      </c>
      <c r="CW210" t="e">
        <f>IF(#REF!,"AAAAAG++8mQ=",0)</f>
        <v>#REF!</v>
      </c>
      <c r="CX210" t="e">
        <f>IF(#REF!,"AAAAAG++8mU=",0)</f>
        <v>#REF!</v>
      </c>
      <c r="CY210" t="e">
        <f>IF(#REF!,"AAAAAG++8mY=",0)</f>
        <v>#REF!</v>
      </c>
      <c r="CZ210" t="e">
        <f>IF(#REF!,"AAAAAG++8mc=",0)</f>
        <v>#REF!</v>
      </c>
      <c r="DA210" t="e">
        <f>IF(#REF!,"AAAAAG++8mg=",0)</f>
        <v>#REF!</v>
      </c>
      <c r="DB210" t="e">
        <f>IF(#REF!,"AAAAAG++8mk=",0)</f>
        <v>#REF!</v>
      </c>
      <c r="DC210" t="e">
        <f>IF(#REF!,"AAAAAG++8mo=",0)</f>
        <v>#REF!</v>
      </c>
      <c r="DD210" t="e">
        <f>IF(#REF!,"AAAAAG++8ms=",0)</f>
        <v>#REF!</v>
      </c>
      <c r="DE210" t="e">
        <f>IF(#REF!,"AAAAAG++8mw=",0)</f>
        <v>#REF!</v>
      </c>
      <c r="DF210" t="e">
        <f>IF(#REF!,"AAAAAG++8m0=",0)</f>
        <v>#REF!</v>
      </c>
      <c r="DG210" t="e">
        <f>IF(#REF!,"AAAAAG++8m4=",0)</f>
        <v>#REF!</v>
      </c>
      <c r="DH210" t="e">
        <f>IF(#REF!,"AAAAAG++8m8=",0)</f>
        <v>#REF!</v>
      </c>
      <c r="DI210" t="e">
        <f>IF(#REF!,"AAAAAG++8nA=",0)</f>
        <v>#REF!</v>
      </c>
      <c r="DJ210" t="e">
        <f>IF(#REF!,"AAAAAG++8nE=",0)</f>
        <v>#REF!</v>
      </c>
      <c r="DK210" t="e">
        <f>IF(#REF!,"AAAAAG++8nI=",0)</f>
        <v>#REF!</v>
      </c>
      <c r="DL210" t="e">
        <f>IF(#REF!,"AAAAAG++8nM=",0)</f>
        <v>#REF!</v>
      </c>
      <c r="DM210" t="e">
        <f>IF(#REF!,"AAAAAG++8nQ=",0)</f>
        <v>#REF!</v>
      </c>
      <c r="DN210" t="e">
        <f>IF(#REF!,"AAAAAG++8nU=",0)</f>
        <v>#REF!</v>
      </c>
      <c r="DO210" t="e">
        <f>IF(#REF!,"AAAAAG++8nY=",0)</f>
        <v>#REF!</v>
      </c>
      <c r="DP210" t="e">
        <f>IF(#REF!,"AAAAAG++8nc=",0)</f>
        <v>#REF!</v>
      </c>
      <c r="DQ210" t="e">
        <f>IF(#REF!,"AAAAAG++8ng=",0)</f>
        <v>#REF!</v>
      </c>
      <c r="DR210" t="e">
        <f>IF(#REF!,"AAAAAG++8nk=",0)</f>
        <v>#REF!</v>
      </c>
      <c r="DS210" t="e">
        <f>IF(#REF!,"AAAAAG++8no=",0)</f>
        <v>#REF!</v>
      </c>
      <c r="DT210" t="e">
        <f>IF(#REF!,"AAAAAG++8ns=",0)</f>
        <v>#REF!</v>
      </c>
      <c r="DU210" t="e">
        <f>IF(#REF!,"AAAAAG++8nw=",0)</f>
        <v>#REF!</v>
      </c>
      <c r="DV210" t="e">
        <f>IF(#REF!,"AAAAAG++8n0=",0)</f>
        <v>#REF!</v>
      </c>
      <c r="DW210" t="e">
        <f>IF(#REF!,"AAAAAG++8n4=",0)</f>
        <v>#REF!</v>
      </c>
      <c r="DX210" t="e">
        <f>IF(#REF!,"AAAAAG++8n8=",0)</f>
        <v>#REF!</v>
      </c>
      <c r="DY210" t="e">
        <f>IF(#REF!,"AAAAAG++8oA=",0)</f>
        <v>#REF!</v>
      </c>
      <c r="DZ210" t="e">
        <f>IF(#REF!,"AAAAAG++8oE=",0)</f>
        <v>#REF!</v>
      </c>
      <c r="EA210" t="e">
        <f>IF(#REF!,"AAAAAG++8oI=",0)</f>
        <v>#REF!</v>
      </c>
      <c r="EB210" t="e">
        <f>IF(#REF!,"AAAAAG++8oM=",0)</f>
        <v>#REF!</v>
      </c>
      <c r="EC210" t="e">
        <f>IF(#REF!,"AAAAAG++8oQ=",0)</f>
        <v>#REF!</v>
      </c>
      <c r="ED210" t="e">
        <f>IF(#REF!,"AAAAAG++8oU=",0)</f>
        <v>#REF!</v>
      </c>
      <c r="EE210" t="e">
        <f>IF(#REF!,"AAAAAG++8oY=",0)</f>
        <v>#REF!</v>
      </c>
      <c r="EF210" t="e">
        <f>IF(#REF!,"AAAAAG++8oc=",0)</f>
        <v>#REF!</v>
      </c>
      <c r="EG210" t="e">
        <f>IF(#REF!,"AAAAAG++8og=",0)</f>
        <v>#REF!</v>
      </c>
      <c r="EH210" t="e">
        <f>IF(#REF!,"AAAAAG++8ok=",0)</f>
        <v>#REF!</v>
      </c>
      <c r="EI210" t="e">
        <f>IF(#REF!,"AAAAAG++8oo=",0)</f>
        <v>#REF!</v>
      </c>
      <c r="EJ210" t="e">
        <f>IF(#REF!,"AAAAAG++8os=",0)</f>
        <v>#REF!</v>
      </c>
      <c r="EK210" t="e">
        <f>IF(#REF!,"AAAAAG++8ow=",0)</f>
        <v>#REF!</v>
      </c>
      <c r="EL210" t="e">
        <f>IF(#REF!,"AAAAAG++8o0=",0)</f>
        <v>#REF!</v>
      </c>
      <c r="EM210" t="e">
        <f>IF(#REF!,"AAAAAG++8o4=",0)</f>
        <v>#REF!</v>
      </c>
      <c r="EN210" t="e">
        <f>IF(#REF!,"AAAAAG++8o8=",0)</f>
        <v>#REF!</v>
      </c>
      <c r="EO210" t="e">
        <f>IF(#REF!,"AAAAAG++8pA=",0)</f>
        <v>#REF!</v>
      </c>
      <c r="EP210" t="e">
        <f>IF(#REF!,"AAAAAG++8pE=",0)</f>
        <v>#REF!</v>
      </c>
      <c r="EQ210" t="e">
        <f>IF(#REF!,"AAAAAG++8pI=",0)</f>
        <v>#REF!</v>
      </c>
      <c r="ER210" t="e">
        <f>IF(#REF!,"AAAAAG++8pM=",0)</f>
        <v>#REF!</v>
      </c>
      <c r="ES210" t="e">
        <f>IF(#REF!,"AAAAAG++8pQ=",0)</f>
        <v>#REF!</v>
      </c>
      <c r="ET210" t="e">
        <f>IF(#REF!,"AAAAAG++8pU=",0)</f>
        <v>#REF!</v>
      </c>
      <c r="EU210" t="e">
        <f>IF(#REF!,"AAAAAG++8pY=",0)</f>
        <v>#REF!</v>
      </c>
      <c r="EV210" t="e">
        <f>IF(#REF!,"AAAAAG++8pc=",0)</f>
        <v>#REF!</v>
      </c>
      <c r="EW210" t="e">
        <f>IF(#REF!,"AAAAAG++8pg=",0)</f>
        <v>#REF!</v>
      </c>
      <c r="EX210" t="e">
        <f>IF(#REF!,"AAAAAG++8pk=",0)</f>
        <v>#REF!</v>
      </c>
      <c r="EY210" t="e">
        <f>IF(#REF!,"AAAAAG++8po=",0)</f>
        <v>#REF!</v>
      </c>
      <c r="EZ210" t="e">
        <f>IF(#REF!,"AAAAAG++8ps=",0)</f>
        <v>#REF!</v>
      </c>
      <c r="FA210" t="e">
        <f>IF(#REF!,"AAAAAG++8pw=",0)</f>
        <v>#REF!</v>
      </c>
      <c r="FB210" t="e">
        <f>IF(#REF!,"AAAAAG++8p0=",0)</f>
        <v>#REF!</v>
      </c>
      <c r="FC210" t="e">
        <f>IF(#REF!,"AAAAAG++8p4=",0)</f>
        <v>#REF!</v>
      </c>
      <c r="FD210" t="e">
        <f>IF(#REF!,"AAAAAG++8p8=",0)</f>
        <v>#REF!</v>
      </c>
      <c r="FE210" t="e">
        <f>IF(#REF!,"AAAAAG++8qA=",0)</f>
        <v>#REF!</v>
      </c>
      <c r="FF210" t="e">
        <f>IF(#REF!,"AAAAAG++8qE=",0)</f>
        <v>#REF!</v>
      </c>
      <c r="FG210" t="e">
        <f>IF(#REF!,"AAAAAG++8qI=",0)</f>
        <v>#REF!</v>
      </c>
      <c r="FH210" t="e">
        <f>IF(#REF!,"AAAAAG++8qM=",0)</f>
        <v>#REF!</v>
      </c>
      <c r="FI210" t="e">
        <f>IF(#REF!,"AAAAAG++8qQ=",0)</f>
        <v>#REF!</v>
      </c>
      <c r="FJ210" t="e">
        <f>IF(#REF!,"AAAAAG++8qU=",0)</f>
        <v>#REF!</v>
      </c>
      <c r="FK210" t="e">
        <f>IF(#REF!,"AAAAAG++8qY=",0)</f>
        <v>#REF!</v>
      </c>
      <c r="FL210" t="e">
        <f>IF(#REF!,"AAAAAG++8qc=",0)</f>
        <v>#REF!</v>
      </c>
      <c r="FM210" t="e">
        <f>IF(#REF!,"AAAAAG++8qg=",0)</f>
        <v>#REF!</v>
      </c>
      <c r="FN210" t="e">
        <f>IF(#REF!,"AAAAAG++8qk=",0)</f>
        <v>#REF!</v>
      </c>
      <c r="FO210" t="e">
        <f>IF(#REF!,"AAAAAG++8qo=",0)</f>
        <v>#REF!</v>
      </c>
      <c r="FP210" t="e">
        <f>IF(#REF!,"AAAAAG++8qs=",0)</f>
        <v>#REF!</v>
      </c>
      <c r="FQ210" t="e">
        <f>IF(#REF!,"AAAAAG++8qw=",0)</f>
        <v>#REF!</v>
      </c>
      <c r="FR210" t="e">
        <f>IF(#REF!,"AAAAAG++8q0=",0)</f>
        <v>#REF!</v>
      </c>
      <c r="FS210" t="e">
        <f>IF(#REF!,"AAAAAG++8q4=",0)</f>
        <v>#REF!</v>
      </c>
      <c r="FT210" t="e">
        <f>IF(#REF!,"AAAAAG++8q8=",0)</f>
        <v>#REF!</v>
      </c>
      <c r="FU210" t="e">
        <f>IF(#REF!,"AAAAAG++8rA=",0)</f>
        <v>#REF!</v>
      </c>
      <c r="FV210" t="e">
        <f>IF(#REF!,"AAAAAG++8rE=",0)</f>
        <v>#REF!</v>
      </c>
      <c r="FW210" t="e">
        <f>IF(#REF!,"AAAAAG++8rI=",0)</f>
        <v>#REF!</v>
      </c>
      <c r="FX210" t="e">
        <f>IF(#REF!,"AAAAAG++8rM=",0)</f>
        <v>#REF!</v>
      </c>
      <c r="FY210" t="e">
        <f>IF(#REF!,"AAAAAG++8rQ=",0)</f>
        <v>#REF!</v>
      </c>
      <c r="FZ210" t="e">
        <f>IF(#REF!,"AAAAAG++8rU=",0)</f>
        <v>#REF!</v>
      </c>
      <c r="GA210" t="e">
        <f>IF(#REF!,"AAAAAG++8rY=",0)</f>
        <v>#REF!</v>
      </c>
      <c r="GB210" t="e">
        <f>IF(#REF!,"AAAAAG++8rc=",0)</f>
        <v>#REF!</v>
      </c>
      <c r="GC210" t="e">
        <f>IF(#REF!,"AAAAAG++8rg=",0)</f>
        <v>#REF!</v>
      </c>
      <c r="GD210" t="e">
        <f>IF(#REF!,"AAAAAG++8rk=",0)</f>
        <v>#REF!</v>
      </c>
      <c r="GE210" t="e">
        <f>IF(#REF!,"AAAAAG++8ro=",0)</f>
        <v>#REF!</v>
      </c>
      <c r="GF210" t="e">
        <f>IF(#REF!,"AAAAAG++8rs=",0)</f>
        <v>#REF!</v>
      </c>
      <c r="GG210" t="e">
        <f>IF(#REF!,"AAAAAG++8rw=",0)</f>
        <v>#REF!</v>
      </c>
      <c r="GH210" t="e">
        <f>IF(#REF!,"AAAAAG++8r0=",0)</f>
        <v>#REF!</v>
      </c>
      <c r="GI210" t="e">
        <f>IF(#REF!,"AAAAAG++8r4=",0)</f>
        <v>#REF!</v>
      </c>
      <c r="GJ210" t="e">
        <f>IF(#REF!,"AAAAAG++8r8=",0)</f>
        <v>#REF!</v>
      </c>
      <c r="GK210" t="e">
        <f>IF(#REF!,"AAAAAG++8sA=",0)</f>
        <v>#REF!</v>
      </c>
      <c r="GL210" t="e">
        <f>IF(#REF!,"AAAAAG++8sE=",0)</f>
        <v>#REF!</v>
      </c>
      <c r="GM210" t="e">
        <f>IF(#REF!,"AAAAAG++8sI=",0)</f>
        <v>#REF!</v>
      </c>
      <c r="GN210" t="e">
        <f>IF(#REF!,"AAAAAG++8sM=",0)</f>
        <v>#REF!</v>
      </c>
      <c r="GO210" t="e">
        <f>IF(#REF!,"AAAAAG++8sQ=",0)</f>
        <v>#REF!</v>
      </c>
      <c r="GP210" t="e">
        <f>IF(#REF!,"AAAAAG++8sU=",0)</f>
        <v>#REF!</v>
      </c>
      <c r="GQ210" t="e">
        <f>IF(#REF!,"AAAAAG++8sY=",0)</f>
        <v>#REF!</v>
      </c>
      <c r="GR210" t="e">
        <f>IF(#REF!,"AAAAAG++8sc=",0)</f>
        <v>#REF!</v>
      </c>
      <c r="GS210" t="e">
        <f>IF(#REF!,"AAAAAG++8sg=",0)</f>
        <v>#REF!</v>
      </c>
      <c r="GT210" t="e">
        <f>IF(#REF!,"AAAAAG++8sk=",0)</f>
        <v>#REF!</v>
      </c>
      <c r="GU210" t="e">
        <f>IF(#REF!,"AAAAAG++8so=",0)</f>
        <v>#REF!</v>
      </c>
      <c r="GV210" t="e">
        <f>IF(#REF!,"AAAAAG++8ss=",0)</f>
        <v>#REF!</v>
      </c>
      <c r="GW210" t="e">
        <f>IF(#REF!,"AAAAAG++8sw=",0)</f>
        <v>#REF!</v>
      </c>
      <c r="GX210" t="e">
        <f>IF(#REF!,"AAAAAG++8s0=",0)</f>
        <v>#REF!</v>
      </c>
      <c r="GY210" t="e">
        <f>IF(#REF!,"AAAAAG++8s4=",0)</f>
        <v>#REF!</v>
      </c>
      <c r="GZ210" t="e">
        <f>IF(#REF!,"AAAAAG++8s8=",0)</f>
        <v>#REF!</v>
      </c>
      <c r="HA210" t="e">
        <f>IF(#REF!,"AAAAAG++8tA=",0)</f>
        <v>#REF!</v>
      </c>
      <c r="HB210" t="e">
        <f>IF(#REF!,"AAAAAG++8tE=",0)</f>
        <v>#REF!</v>
      </c>
      <c r="HC210" t="e">
        <f>IF(#REF!,"AAAAAG++8tI=",0)</f>
        <v>#REF!</v>
      </c>
      <c r="HD210" t="e">
        <f>IF(#REF!,"AAAAAG++8tM=",0)</f>
        <v>#REF!</v>
      </c>
      <c r="HE210" t="e">
        <f>IF(#REF!,"AAAAAG++8tQ=",0)</f>
        <v>#REF!</v>
      </c>
      <c r="HF210" t="e">
        <f>IF(#REF!,"AAAAAG++8tU=",0)</f>
        <v>#REF!</v>
      </c>
      <c r="HG210" t="e">
        <f>IF(#REF!,"AAAAAG++8tY=",0)</f>
        <v>#REF!</v>
      </c>
      <c r="HH210" t="e">
        <f>IF(#REF!,"AAAAAG++8tc=",0)</f>
        <v>#REF!</v>
      </c>
      <c r="HI210" t="e">
        <f>IF(#REF!,"AAAAAG++8tg=",0)</f>
        <v>#REF!</v>
      </c>
      <c r="HJ210" t="e">
        <f>IF(#REF!,"AAAAAG++8tk=",0)</f>
        <v>#REF!</v>
      </c>
      <c r="HK210" t="e">
        <f>IF(#REF!,"AAAAAG++8to=",0)</f>
        <v>#REF!</v>
      </c>
      <c r="HL210" t="e">
        <f>IF(#REF!,"AAAAAG++8ts=",0)</f>
        <v>#REF!</v>
      </c>
      <c r="HM210" t="e">
        <f>IF(#REF!,"AAAAAG++8tw=",0)</f>
        <v>#REF!</v>
      </c>
      <c r="HN210" t="e">
        <f>IF(#REF!,"AAAAAG++8t0=",0)</f>
        <v>#REF!</v>
      </c>
      <c r="HO210" t="e">
        <f>IF(#REF!,"AAAAAG++8t4=",0)</f>
        <v>#REF!</v>
      </c>
      <c r="HP210" t="e">
        <f>IF(#REF!,"AAAAAG++8t8=",0)</f>
        <v>#REF!</v>
      </c>
      <c r="HQ210" t="e">
        <f>IF(#REF!,"AAAAAG++8uA=",0)</f>
        <v>#REF!</v>
      </c>
      <c r="HR210" t="e">
        <f>IF(#REF!,"AAAAAG++8uE=",0)</f>
        <v>#REF!</v>
      </c>
      <c r="HS210" t="e">
        <f>IF(#REF!,"AAAAAG++8uI=",0)</f>
        <v>#REF!</v>
      </c>
      <c r="HT210" t="e">
        <f>IF(#REF!,"AAAAAG++8uM=",0)</f>
        <v>#REF!</v>
      </c>
      <c r="HU210" t="e">
        <f>IF(#REF!,"AAAAAG++8uQ=",0)</f>
        <v>#REF!</v>
      </c>
      <c r="HV210" t="e">
        <f>IF(#REF!,"AAAAAG++8uU=",0)</f>
        <v>#REF!</v>
      </c>
      <c r="HW210" t="e">
        <f>IF(#REF!,"AAAAAG++8uY=",0)</f>
        <v>#REF!</v>
      </c>
      <c r="HX210" t="e">
        <f>IF(#REF!,"AAAAAG++8uc=",0)</f>
        <v>#REF!</v>
      </c>
      <c r="HY210" t="e">
        <f>IF(#REF!,"AAAAAG++8ug=",0)</f>
        <v>#REF!</v>
      </c>
      <c r="HZ210" t="e">
        <f>IF(#REF!,"AAAAAG++8uk=",0)</f>
        <v>#REF!</v>
      </c>
      <c r="IA210" t="e">
        <f>IF(#REF!,"AAAAAG++8uo=",0)</f>
        <v>#REF!</v>
      </c>
      <c r="IB210" t="e">
        <f>IF(#REF!,"AAAAAG++8us=",0)</f>
        <v>#REF!</v>
      </c>
      <c r="IC210" t="e">
        <f>IF(#REF!,"AAAAAG++8uw=",0)</f>
        <v>#REF!</v>
      </c>
      <c r="ID210" t="e">
        <f>IF(#REF!,"AAAAAG++8u0=",0)</f>
        <v>#REF!</v>
      </c>
      <c r="IE210" t="e">
        <f>IF(#REF!,"AAAAAG++8u4=",0)</f>
        <v>#REF!</v>
      </c>
      <c r="IF210" t="e">
        <f>IF(#REF!,"AAAAAG++8u8=",0)</f>
        <v>#REF!</v>
      </c>
      <c r="IG210" t="e">
        <f>IF(#REF!,"AAAAAG++8vA=",0)</f>
        <v>#REF!</v>
      </c>
      <c r="IH210" t="e">
        <f>IF(#REF!,"AAAAAG++8vE=",0)</f>
        <v>#REF!</v>
      </c>
      <c r="II210" t="e">
        <f>IF(#REF!,"AAAAAG++8vI=",0)</f>
        <v>#REF!</v>
      </c>
      <c r="IJ210" t="e">
        <f>IF(#REF!,"AAAAAG++8vM=",0)</f>
        <v>#REF!</v>
      </c>
      <c r="IK210" t="e">
        <f>IF(#REF!,"AAAAAG++8vQ=",0)</f>
        <v>#REF!</v>
      </c>
      <c r="IL210" t="e">
        <f>IF(#REF!,"AAAAAG++8vU=",0)</f>
        <v>#REF!</v>
      </c>
      <c r="IM210" t="e">
        <f>IF(#REF!,"AAAAAG++8vY=",0)</f>
        <v>#REF!</v>
      </c>
      <c r="IN210" t="e">
        <f>IF(#REF!,"AAAAAG++8vc=",0)</f>
        <v>#REF!</v>
      </c>
      <c r="IO210" t="e">
        <f>IF(#REF!,"AAAAAG++8vg=",0)</f>
        <v>#REF!</v>
      </c>
      <c r="IP210" t="e">
        <f>IF(#REF!,"AAAAAG++8vk=",0)</f>
        <v>#REF!</v>
      </c>
      <c r="IQ210" t="e">
        <f>IF(#REF!,"AAAAAG++8vo=",0)</f>
        <v>#REF!</v>
      </c>
      <c r="IR210" t="e">
        <f>IF(#REF!,"AAAAAG++8vs=",0)</f>
        <v>#REF!</v>
      </c>
      <c r="IS210" t="e">
        <f>IF(#REF!,"AAAAAG++8vw=",0)</f>
        <v>#REF!</v>
      </c>
      <c r="IT210" t="e">
        <f>IF(#REF!,"AAAAAG++8v0=",0)</f>
        <v>#REF!</v>
      </c>
      <c r="IU210" t="e">
        <f>IF(#REF!,"AAAAAG++8v4=",0)</f>
        <v>#REF!</v>
      </c>
      <c r="IV210" t="e">
        <f>IF(#REF!,"AAAAAG++8v8=",0)</f>
        <v>#REF!</v>
      </c>
    </row>
    <row r="211" spans="1:256">
      <c r="A211" t="e">
        <f>IF(#REF!,"AAAAAC8/9QA=",0)</f>
        <v>#REF!</v>
      </c>
      <c r="B211" t="e">
        <f>IF(#REF!,"AAAAAC8/9QE=",0)</f>
        <v>#REF!</v>
      </c>
      <c r="C211" t="e">
        <f>IF(#REF!,"AAAAAC8/9QI=",0)</f>
        <v>#REF!</v>
      </c>
      <c r="D211" t="e">
        <f>IF(#REF!,"AAAAAC8/9QM=",0)</f>
        <v>#REF!</v>
      </c>
      <c r="E211" t="e">
        <f>IF(#REF!,"AAAAAC8/9QQ=",0)</f>
        <v>#REF!</v>
      </c>
      <c r="F211" t="e">
        <f>IF(#REF!,"AAAAAC8/9QU=",0)</f>
        <v>#REF!</v>
      </c>
      <c r="G211" t="e">
        <f>IF(#REF!,"AAAAAC8/9QY=",0)</f>
        <v>#REF!</v>
      </c>
      <c r="H211" t="e">
        <f>IF(#REF!,"AAAAAC8/9Qc=",0)</f>
        <v>#REF!</v>
      </c>
      <c r="I211" t="e">
        <f>IF(#REF!,"AAAAAC8/9Qg=",0)</f>
        <v>#REF!</v>
      </c>
      <c r="J211" t="e">
        <f>IF(#REF!,"AAAAAC8/9Qk=",0)</f>
        <v>#REF!</v>
      </c>
      <c r="K211" t="e">
        <f>IF(#REF!,"AAAAAC8/9Qo=",0)</f>
        <v>#REF!</v>
      </c>
      <c r="L211" t="e">
        <f>IF(#REF!,"AAAAAC8/9Qs=",0)</f>
        <v>#REF!</v>
      </c>
      <c r="M211" t="e">
        <f>IF(#REF!,"AAAAAC8/9Qw=",0)</f>
        <v>#REF!</v>
      </c>
      <c r="N211" t="e">
        <f>IF(#REF!,"AAAAAC8/9Q0=",0)</f>
        <v>#REF!</v>
      </c>
      <c r="O211" t="e">
        <f>IF(#REF!,"AAAAAC8/9Q4=",0)</f>
        <v>#REF!</v>
      </c>
      <c r="P211" t="e">
        <f>IF(#REF!,"AAAAAC8/9Q8=",0)</f>
        <v>#REF!</v>
      </c>
      <c r="Q211" t="e">
        <f>IF(#REF!,"AAAAAC8/9RA=",0)</f>
        <v>#REF!</v>
      </c>
      <c r="R211" t="e">
        <f>IF(#REF!,"AAAAAC8/9RE=",0)</f>
        <v>#REF!</v>
      </c>
      <c r="S211" t="e">
        <f>IF(#REF!,"AAAAAC8/9RI=",0)</f>
        <v>#REF!</v>
      </c>
      <c r="T211" t="e">
        <f>IF(#REF!,"AAAAAC8/9RM=",0)</f>
        <v>#REF!</v>
      </c>
      <c r="U211" t="e">
        <f>IF(#REF!,"AAAAAC8/9RQ=",0)</f>
        <v>#REF!</v>
      </c>
      <c r="V211" t="e">
        <f>IF(#REF!,"AAAAAC8/9RU=",0)</f>
        <v>#REF!</v>
      </c>
      <c r="W211" t="e">
        <f>IF(#REF!,"AAAAAC8/9RY=",0)</f>
        <v>#REF!</v>
      </c>
      <c r="X211" t="e">
        <f>IF(#REF!,"AAAAAC8/9Rc=",0)</f>
        <v>#REF!</v>
      </c>
      <c r="Y211" t="e">
        <f>IF(#REF!,"AAAAAC8/9Rg=",0)</f>
        <v>#REF!</v>
      </c>
      <c r="Z211" t="e">
        <f>IF(#REF!,"AAAAAC8/9Rk=",0)</f>
        <v>#REF!</v>
      </c>
      <c r="AA211" t="e">
        <f>IF(#REF!,"AAAAAC8/9Ro=",0)</f>
        <v>#REF!</v>
      </c>
      <c r="AB211" t="e">
        <f>IF(#REF!,"AAAAAC8/9Rs=",0)</f>
        <v>#REF!</v>
      </c>
      <c r="AC211" t="e">
        <f>IF(#REF!,"AAAAAC8/9Rw=",0)</f>
        <v>#REF!</v>
      </c>
      <c r="AD211" t="e">
        <f>IF(#REF!,"AAAAAC8/9R0=",0)</f>
        <v>#REF!</v>
      </c>
      <c r="AE211" t="e">
        <f>IF(#REF!,"AAAAAC8/9R4=",0)</f>
        <v>#REF!</v>
      </c>
      <c r="AF211" t="e">
        <f>IF(#REF!,"AAAAAC8/9R8=",0)</f>
        <v>#REF!</v>
      </c>
      <c r="AG211" t="e">
        <f>IF(#REF!,"AAAAAC8/9SA=",0)</f>
        <v>#REF!</v>
      </c>
      <c r="AH211" t="e">
        <f>IF(#REF!,"AAAAAC8/9SE=",0)</f>
        <v>#REF!</v>
      </c>
      <c r="AI211" t="e">
        <f>IF(#REF!,"AAAAAC8/9SI=",0)</f>
        <v>#REF!</v>
      </c>
      <c r="AJ211" t="e">
        <f>IF(#REF!,"AAAAAC8/9SM=",0)</f>
        <v>#REF!</v>
      </c>
      <c r="AK211" t="e">
        <f>IF(#REF!,"AAAAAC8/9SQ=",0)</f>
        <v>#REF!</v>
      </c>
      <c r="AL211" t="e">
        <f>IF(#REF!,"AAAAAC8/9SU=",0)</f>
        <v>#REF!</v>
      </c>
      <c r="AM211" t="e">
        <f>IF(#REF!,"AAAAAC8/9SY=",0)</f>
        <v>#REF!</v>
      </c>
      <c r="AN211" t="e">
        <f>IF(#REF!,"AAAAAC8/9Sc=",0)</f>
        <v>#REF!</v>
      </c>
      <c r="AO211" t="e">
        <f>IF(#REF!,"AAAAAC8/9Sg=",0)</f>
        <v>#REF!</v>
      </c>
      <c r="AP211" t="e">
        <f>IF(#REF!,"AAAAAC8/9Sk=",0)</f>
        <v>#REF!</v>
      </c>
      <c r="AQ211" t="e">
        <f>IF(#REF!,"AAAAAC8/9So=",0)</f>
        <v>#REF!</v>
      </c>
      <c r="AR211" t="e">
        <f>IF(#REF!,"AAAAAC8/9Ss=",0)</f>
        <v>#REF!</v>
      </c>
      <c r="AS211" t="e">
        <f>IF(#REF!,"AAAAAC8/9Sw=",0)</f>
        <v>#REF!</v>
      </c>
      <c r="AT211" t="e">
        <f>IF(#REF!,"AAAAAC8/9S0=",0)</f>
        <v>#REF!</v>
      </c>
      <c r="AU211" t="e">
        <f>IF(#REF!,"AAAAAC8/9S4=",0)</f>
        <v>#REF!</v>
      </c>
      <c r="AV211" t="e">
        <f>IF(#REF!,"AAAAAC8/9S8=",0)</f>
        <v>#REF!</v>
      </c>
      <c r="AW211" t="e">
        <f>IF(#REF!,"AAAAAC8/9TA=",0)</f>
        <v>#REF!</v>
      </c>
      <c r="AX211" t="e">
        <f>IF(#REF!,"AAAAAC8/9TE=",0)</f>
        <v>#REF!</v>
      </c>
      <c r="AY211" t="e">
        <f>IF(#REF!,"AAAAAC8/9TI=",0)</f>
        <v>#REF!</v>
      </c>
      <c r="AZ211" t="e">
        <f>IF(#REF!,"AAAAAC8/9TM=",0)</f>
        <v>#REF!</v>
      </c>
      <c r="BA211" t="e">
        <f>IF(#REF!,"AAAAAC8/9TQ=",0)</f>
        <v>#REF!</v>
      </c>
      <c r="BB211" t="e">
        <f>IF(#REF!,"AAAAAC8/9TU=",0)</f>
        <v>#REF!</v>
      </c>
      <c r="BC211" t="e">
        <f>IF(#REF!,"AAAAAC8/9TY=",0)</f>
        <v>#REF!</v>
      </c>
      <c r="BD211" t="e">
        <f>IF(#REF!,"AAAAAC8/9Tc=",0)</f>
        <v>#REF!</v>
      </c>
      <c r="BE211" t="e">
        <f>IF(#REF!,"AAAAAC8/9Tg=",0)</f>
        <v>#REF!</v>
      </c>
      <c r="BF211" t="e">
        <f>IF(#REF!,"AAAAAC8/9Tk=",0)</f>
        <v>#REF!</v>
      </c>
      <c r="BG211" t="e">
        <f>IF(#REF!,"AAAAAC8/9To=",0)</f>
        <v>#REF!</v>
      </c>
      <c r="BH211" t="e">
        <f>IF(#REF!,"AAAAAC8/9Ts=",0)</f>
        <v>#REF!</v>
      </c>
      <c r="BI211" t="e">
        <f>IF(#REF!,"AAAAAC8/9Tw=",0)</f>
        <v>#REF!</v>
      </c>
      <c r="BJ211" t="e">
        <f>IF(#REF!,"AAAAAC8/9T0=",0)</f>
        <v>#REF!</v>
      </c>
      <c r="BK211" t="e">
        <f>IF(#REF!,"AAAAAC8/9T4=",0)</f>
        <v>#REF!</v>
      </c>
      <c r="BL211" t="e">
        <f>IF(#REF!,"AAAAAC8/9T8=",0)</f>
        <v>#REF!</v>
      </c>
      <c r="BM211" t="e">
        <f>IF(#REF!,"AAAAAC8/9UA=",0)</f>
        <v>#REF!</v>
      </c>
      <c r="BN211" t="e">
        <f>IF(#REF!,"AAAAAC8/9UE=",0)</f>
        <v>#REF!</v>
      </c>
      <c r="BO211" t="e">
        <f>IF(#REF!,"AAAAAC8/9UI=",0)</f>
        <v>#REF!</v>
      </c>
      <c r="BP211" t="e">
        <f>IF(#REF!,"AAAAAC8/9UM=",0)</f>
        <v>#REF!</v>
      </c>
      <c r="BQ211" t="e">
        <f>IF(#REF!,"AAAAAC8/9UQ=",0)</f>
        <v>#REF!</v>
      </c>
      <c r="BR211" t="e">
        <f>IF(#REF!,"AAAAAC8/9UU=",0)</f>
        <v>#REF!</v>
      </c>
      <c r="BS211" t="e">
        <f>IF(#REF!,"AAAAAC8/9UY=",0)</f>
        <v>#REF!</v>
      </c>
      <c r="BT211" t="e">
        <f>IF(#REF!,"AAAAAC8/9Uc=",0)</f>
        <v>#REF!</v>
      </c>
      <c r="BU211" t="e">
        <f>IF(#REF!,"AAAAAC8/9Ug=",0)</f>
        <v>#REF!</v>
      </c>
      <c r="BV211" t="e">
        <f>IF(#REF!,"AAAAAC8/9Uk=",0)</f>
        <v>#REF!</v>
      </c>
      <c r="BW211" t="e">
        <f>IF(#REF!,"AAAAAC8/9Uo=",0)</f>
        <v>#REF!</v>
      </c>
      <c r="BX211" t="e">
        <f>IF(#REF!,"AAAAAC8/9Us=",0)</f>
        <v>#REF!</v>
      </c>
      <c r="BY211" t="e">
        <f>IF(#REF!,"AAAAAC8/9Uw=",0)</f>
        <v>#REF!</v>
      </c>
      <c r="BZ211" t="e">
        <f>IF(#REF!,"AAAAAC8/9U0=",0)</f>
        <v>#REF!</v>
      </c>
      <c r="CA211" t="e">
        <f>IF(#REF!,"AAAAAC8/9U4=",0)</f>
        <v>#REF!</v>
      </c>
      <c r="CB211" t="e">
        <f>IF(#REF!,"AAAAAC8/9U8=",0)</f>
        <v>#REF!</v>
      </c>
      <c r="CC211" t="e">
        <f>IF(#REF!,"AAAAAC8/9VA=",0)</f>
        <v>#REF!</v>
      </c>
      <c r="CD211" t="e">
        <f>IF(#REF!,"AAAAAC8/9VE=",0)</f>
        <v>#REF!</v>
      </c>
      <c r="CE211" t="e">
        <f>IF(#REF!,"AAAAAC8/9VI=",0)</f>
        <v>#REF!</v>
      </c>
      <c r="CF211" t="e">
        <f>IF(#REF!,"AAAAAC8/9VM=",0)</f>
        <v>#REF!</v>
      </c>
      <c r="CG211" t="e">
        <f>IF(#REF!,"AAAAAC8/9VQ=",0)</f>
        <v>#REF!</v>
      </c>
      <c r="CH211" t="e">
        <f>IF(#REF!,"AAAAAC8/9VU=",0)</f>
        <v>#REF!</v>
      </c>
      <c r="CI211" t="e">
        <f>IF(#REF!,"AAAAAC8/9VY=",0)</f>
        <v>#REF!</v>
      </c>
      <c r="CJ211" t="e">
        <f>IF(#REF!,"AAAAAC8/9Vc=",0)</f>
        <v>#REF!</v>
      </c>
      <c r="CK211" t="e">
        <f>IF(#REF!,"AAAAAC8/9Vg=",0)</f>
        <v>#REF!</v>
      </c>
      <c r="CL211" t="e">
        <f>IF(#REF!,"AAAAAC8/9Vk=",0)</f>
        <v>#REF!</v>
      </c>
      <c r="CM211" t="e">
        <f>IF(#REF!,"AAAAAC8/9Vo=",0)</f>
        <v>#REF!</v>
      </c>
      <c r="CN211" t="e">
        <f>IF(#REF!,"AAAAAC8/9Vs=",0)</f>
        <v>#REF!</v>
      </c>
      <c r="CO211" t="e">
        <f>IF(#REF!,"AAAAAC8/9Vw=",0)</f>
        <v>#REF!</v>
      </c>
      <c r="CP211" t="e">
        <f>IF(#REF!,"AAAAAC8/9V0=",0)</f>
        <v>#REF!</v>
      </c>
      <c r="CQ211" t="e">
        <f>IF(#REF!,"AAAAAC8/9V4=",0)</f>
        <v>#REF!</v>
      </c>
      <c r="CR211" t="e">
        <f>IF(#REF!,"AAAAAC8/9V8=",0)</f>
        <v>#REF!</v>
      </c>
      <c r="CS211" t="e">
        <f>IF(#REF!,"AAAAAC8/9WA=",0)</f>
        <v>#REF!</v>
      </c>
      <c r="CT211" t="e">
        <f>IF(#REF!,"AAAAAC8/9WE=",0)</f>
        <v>#REF!</v>
      </c>
      <c r="CU211" t="e">
        <f>IF(#REF!,"AAAAAC8/9WI=",0)</f>
        <v>#REF!</v>
      </c>
      <c r="CV211" t="e">
        <f>IF(#REF!,"AAAAAC8/9WM=",0)</f>
        <v>#REF!</v>
      </c>
      <c r="CW211" t="e">
        <f>IF(#REF!,"AAAAAC8/9WQ=",0)</f>
        <v>#REF!</v>
      </c>
      <c r="CX211" t="e">
        <f>IF(#REF!,"AAAAAC8/9WU=",0)</f>
        <v>#REF!</v>
      </c>
      <c r="CY211" t="e">
        <f>IF(#REF!,"AAAAAC8/9WY=",0)</f>
        <v>#REF!</v>
      </c>
      <c r="CZ211" t="e">
        <f>IF(#REF!,"AAAAAC8/9Wc=",0)</f>
        <v>#REF!</v>
      </c>
      <c r="DA211" t="e">
        <f>IF(#REF!,"AAAAAC8/9Wg=",0)</f>
        <v>#REF!</v>
      </c>
      <c r="DB211" t="e">
        <f>IF(#REF!,"AAAAAC8/9Wk=",0)</f>
        <v>#REF!</v>
      </c>
      <c r="DC211" t="e">
        <f>IF(#REF!,"AAAAAC8/9Wo=",0)</f>
        <v>#REF!</v>
      </c>
      <c r="DD211" t="e">
        <f>IF(#REF!,"AAAAAC8/9Ws=",0)</f>
        <v>#REF!</v>
      </c>
      <c r="DE211" t="e">
        <f>IF(#REF!,"AAAAAC8/9Ww=",0)</f>
        <v>#REF!</v>
      </c>
      <c r="DF211" t="e">
        <f>IF(#REF!,"AAAAAC8/9W0=",0)</f>
        <v>#REF!</v>
      </c>
      <c r="DG211" t="e">
        <f>IF(#REF!,"AAAAAC8/9W4=",0)</f>
        <v>#REF!</v>
      </c>
      <c r="DH211" t="e">
        <f>IF(#REF!,"AAAAAC8/9W8=",0)</f>
        <v>#REF!</v>
      </c>
      <c r="DI211" t="e">
        <f>IF(#REF!,"AAAAAC8/9XA=",0)</f>
        <v>#REF!</v>
      </c>
      <c r="DJ211" t="e">
        <f>IF(#REF!,"AAAAAC8/9XE=",0)</f>
        <v>#REF!</v>
      </c>
      <c r="DK211" t="e">
        <f>IF(#REF!,"AAAAAC8/9XI=",0)</f>
        <v>#REF!</v>
      </c>
      <c r="DL211" t="e">
        <f>IF(#REF!,"AAAAAC8/9XM=",0)</f>
        <v>#REF!</v>
      </c>
      <c r="DM211" t="e">
        <f>IF(#REF!,"AAAAAC8/9XQ=",0)</f>
        <v>#REF!</v>
      </c>
      <c r="DN211" t="e">
        <f>IF(#REF!,"AAAAAC8/9XU=",0)</f>
        <v>#REF!</v>
      </c>
      <c r="DO211" t="e">
        <f>IF(#REF!,"AAAAAC8/9XY=",0)</f>
        <v>#REF!</v>
      </c>
      <c r="DP211" t="e">
        <f>IF(#REF!,"AAAAAC8/9Xc=",0)</f>
        <v>#REF!</v>
      </c>
      <c r="DQ211" t="e">
        <f>IF(#REF!,"AAAAAC8/9Xg=",0)</f>
        <v>#REF!</v>
      </c>
      <c r="DR211" t="e">
        <f>IF(#REF!,"AAAAAC8/9Xk=",0)</f>
        <v>#REF!</v>
      </c>
      <c r="DS211" t="e">
        <f>IF(#REF!,"AAAAAC8/9Xo=",0)</f>
        <v>#REF!</v>
      </c>
      <c r="DT211" t="e">
        <f>IF(#REF!,"AAAAAC8/9Xs=",0)</f>
        <v>#REF!</v>
      </c>
      <c r="DU211" t="e">
        <f>IF(#REF!,"AAAAAC8/9Xw=",0)</f>
        <v>#REF!</v>
      </c>
      <c r="DV211" t="e">
        <f>IF(#REF!,"AAAAAC8/9X0=",0)</f>
        <v>#REF!</v>
      </c>
      <c r="DW211" t="e">
        <f>IF(#REF!,"AAAAAC8/9X4=",0)</f>
        <v>#REF!</v>
      </c>
      <c r="DX211" t="e">
        <f>IF(#REF!,"AAAAAC8/9X8=",0)</f>
        <v>#REF!</v>
      </c>
      <c r="DY211" t="e">
        <f>IF(#REF!,"AAAAAC8/9YA=",0)</f>
        <v>#REF!</v>
      </c>
      <c r="DZ211" t="e">
        <f>IF(#REF!,"AAAAAC8/9YE=",0)</f>
        <v>#REF!</v>
      </c>
      <c r="EA211" t="e">
        <f>IF(#REF!,"AAAAAC8/9YI=",0)</f>
        <v>#REF!</v>
      </c>
      <c r="EB211" t="e">
        <f>IF(#REF!,"AAAAAC8/9YM=",0)</f>
        <v>#REF!</v>
      </c>
      <c r="EC211" t="e">
        <f>IF(#REF!,"AAAAAC8/9YQ=",0)</f>
        <v>#REF!</v>
      </c>
      <c r="ED211" t="e">
        <f>IF(#REF!,"AAAAAC8/9YU=",0)</f>
        <v>#REF!</v>
      </c>
      <c r="EE211" t="e">
        <f>IF(#REF!,"AAAAAC8/9YY=",0)</f>
        <v>#REF!</v>
      </c>
      <c r="EF211" t="e">
        <f>IF(#REF!,"AAAAAC8/9Yc=",0)</f>
        <v>#REF!</v>
      </c>
      <c r="EG211" t="e">
        <f>IF(#REF!,"AAAAAC8/9Yg=",0)</f>
        <v>#REF!</v>
      </c>
      <c r="EH211" t="e">
        <f>IF(#REF!,"AAAAAC8/9Yk=",0)</f>
        <v>#REF!</v>
      </c>
      <c r="EI211" t="e">
        <f>IF(#REF!,"AAAAAC8/9Yo=",0)</f>
        <v>#REF!</v>
      </c>
      <c r="EJ211" t="e">
        <f>IF(#REF!,"AAAAAC8/9Ys=",0)</f>
        <v>#REF!</v>
      </c>
      <c r="EK211" t="e">
        <f>IF(#REF!,"AAAAAC8/9Yw=",0)</f>
        <v>#REF!</v>
      </c>
      <c r="EL211" t="e">
        <f>IF(#REF!,"AAAAAC8/9Y0=",0)</f>
        <v>#REF!</v>
      </c>
      <c r="EM211" t="e">
        <f>IF(#REF!,"AAAAAC8/9Y4=",0)</f>
        <v>#REF!</v>
      </c>
      <c r="EN211" t="e">
        <f>IF(#REF!,"AAAAAC8/9Y8=",0)</f>
        <v>#REF!</v>
      </c>
      <c r="EO211" t="e">
        <f>IF(#REF!,"AAAAAC8/9ZA=",0)</f>
        <v>#REF!</v>
      </c>
      <c r="EP211" t="e">
        <f>IF(#REF!,"AAAAAC8/9ZE=",0)</f>
        <v>#REF!</v>
      </c>
      <c r="EQ211" t="e">
        <f>IF(#REF!,"AAAAAC8/9ZI=",0)</f>
        <v>#REF!</v>
      </c>
      <c r="ER211" t="e">
        <f>IF(#REF!,"AAAAAC8/9ZM=",0)</f>
        <v>#REF!</v>
      </c>
      <c r="ES211" t="e">
        <f>IF(#REF!,"AAAAAC8/9ZQ=",0)</f>
        <v>#REF!</v>
      </c>
      <c r="ET211" t="e">
        <f>IF(#REF!,"AAAAAC8/9ZU=",0)</f>
        <v>#REF!</v>
      </c>
      <c r="EU211" t="e">
        <f>IF(#REF!,"AAAAAC8/9ZY=",0)</f>
        <v>#REF!</v>
      </c>
      <c r="EV211" t="e">
        <f>IF(#REF!,"AAAAAC8/9Zc=",0)</f>
        <v>#REF!</v>
      </c>
      <c r="EW211" t="e">
        <f>IF(#REF!,"AAAAAC8/9Zg=",0)</f>
        <v>#REF!</v>
      </c>
      <c r="EX211" t="e">
        <f>IF(#REF!,"AAAAAC8/9Zk=",0)</f>
        <v>#REF!</v>
      </c>
      <c r="EY211" t="e">
        <f>IF(#REF!,"AAAAAC8/9Zo=",0)</f>
        <v>#REF!</v>
      </c>
      <c r="EZ211" t="e">
        <f>IF(#REF!,"AAAAAC8/9Zs=",0)</f>
        <v>#REF!</v>
      </c>
      <c r="FA211" t="e">
        <f>IF(#REF!,"AAAAAC8/9Zw=",0)</f>
        <v>#REF!</v>
      </c>
      <c r="FB211" t="e">
        <f>IF(#REF!,"AAAAAC8/9Z0=",0)</f>
        <v>#REF!</v>
      </c>
      <c r="FC211" t="e">
        <f>IF(#REF!,"AAAAAC8/9Z4=",0)</f>
        <v>#REF!</v>
      </c>
      <c r="FD211" t="e">
        <f>IF(#REF!,"AAAAAC8/9Z8=",0)</f>
        <v>#REF!</v>
      </c>
      <c r="FE211" t="e">
        <f>IF(#REF!,"AAAAAC8/9aA=",0)</f>
        <v>#REF!</v>
      </c>
      <c r="FF211" t="e">
        <f>IF(#REF!,"AAAAAC8/9aE=",0)</f>
        <v>#REF!</v>
      </c>
      <c r="FG211" t="e">
        <f>IF(#REF!,"AAAAAC8/9aI=",0)</f>
        <v>#REF!</v>
      </c>
      <c r="FH211" t="e">
        <f>IF(#REF!,"AAAAAC8/9aM=",0)</f>
        <v>#REF!</v>
      </c>
      <c r="FI211" t="e">
        <f>IF(#REF!,"AAAAAC8/9aQ=",0)</f>
        <v>#REF!</v>
      </c>
      <c r="FJ211" t="e">
        <f>IF(#REF!,"AAAAAC8/9aU=",0)</f>
        <v>#REF!</v>
      </c>
      <c r="FK211" t="e">
        <f>IF(#REF!,"AAAAAC8/9aY=",0)</f>
        <v>#REF!</v>
      </c>
      <c r="FL211" t="e">
        <f>IF(#REF!,"AAAAAC8/9ac=",0)</f>
        <v>#REF!</v>
      </c>
      <c r="FM211" t="e">
        <f>IF(#REF!,"AAAAAC8/9ag=",0)</f>
        <v>#REF!</v>
      </c>
      <c r="FN211" t="e">
        <f>IF(#REF!,"AAAAAC8/9ak=",0)</f>
        <v>#REF!</v>
      </c>
      <c r="FO211" t="e">
        <f>IF(#REF!,"AAAAAC8/9ao=",0)</f>
        <v>#REF!</v>
      </c>
      <c r="FP211" t="e">
        <f>IF(#REF!,"AAAAAC8/9as=",0)</f>
        <v>#REF!</v>
      </c>
      <c r="FQ211" t="e">
        <f>IF(#REF!,"AAAAAC8/9aw=",0)</f>
        <v>#REF!</v>
      </c>
      <c r="FR211" t="e">
        <f>IF(#REF!,"AAAAAC8/9a0=",0)</f>
        <v>#REF!</v>
      </c>
      <c r="FS211" t="e">
        <f>IF(#REF!,"AAAAAC8/9a4=",0)</f>
        <v>#REF!</v>
      </c>
      <c r="FT211" t="e">
        <f>IF(#REF!,"AAAAAC8/9a8=",0)</f>
        <v>#REF!</v>
      </c>
      <c r="FU211" t="e">
        <f>IF(#REF!,"AAAAAC8/9bA=",0)</f>
        <v>#REF!</v>
      </c>
      <c r="FV211" t="e">
        <f>IF(#REF!,"AAAAAC8/9bE=",0)</f>
        <v>#REF!</v>
      </c>
      <c r="FW211" t="e">
        <f>IF(#REF!,"AAAAAC8/9bI=",0)</f>
        <v>#REF!</v>
      </c>
      <c r="FX211" t="e">
        <f>IF(#REF!,"AAAAAC8/9bM=",0)</f>
        <v>#REF!</v>
      </c>
      <c r="FY211" t="e">
        <f>IF(#REF!,"AAAAAC8/9bQ=",0)</f>
        <v>#REF!</v>
      </c>
      <c r="FZ211" t="e">
        <f>IF(#REF!,"AAAAAC8/9bU=",0)</f>
        <v>#REF!</v>
      </c>
      <c r="GA211" t="e">
        <f>IF(#REF!,"AAAAAC8/9bY=",0)</f>
        <v>#REF!</v>
      </c>
      <c r="GB211" t="e">
        <f>IF(#REF!,"AAAAAC8/9bc=",0)</f>
        <v>#REF!</v>
      </c>
      <c r="GC211" t="e">
        <f>IF(#REF!,"AAAAAC8/9bg=",0)</f>
        <v>#REF!</v>
      </c>
      <c r="GD211" t="e">
        <f>IF(#REF!,"AAAAAC8/9bk=",0)</f>
        <v>#REF!</v>
      </c>
      <c r="GE211" t="e">
        <f>IF(#REF!,"AAAAAC8/9bo=",0)</f>
        <v>#REF!</v>
      </c>
      <c r="GF211" t="e">
        <f>IF(#REF!,"AAAAAC8/9bs=",0)</f>
        <v>#REF!</v>
      </c>
      <c r="GG211" t="e">
        <f>IF(#REF!,"AAAAAC8/9bw=",0)</f>
        <v>#REF!</v>
      </c>
      <c r="GH211" t="e">
        <f>IF(#REF!,"AAAAAC8/9b0=",0)</f>
        <v>#REF!</v>
      </c>
      <c r="GI211" t="e">
        <f>IF(#REF!,"AAAAAC8/9b4=",0)</f>
        <v>#REF!</v>
      </c>
      <c r="GJ211" t="e">
        <f>IF(#REF!,"AAAAAC8/9b8=",0)</f>
        <v>#REF!</v>
      </c>
      <c r="GK211" t="e">
        <f>IF(#REF!,"AAAAAC8/9cA=",0)</f>
        <v>#REF!</v>
      </c>
      <c r="GL211" t="e">
        <f>IF(#REF!,"AAAAAC8/9cE=",0)</f>
        <v>#REF!</v>
      </c>
      <c r="GM211" t="e">
        <f>IF(#REF!,"AAAAAC8/9cI=",0)</f>
        <v>#REF!</v>
      </c>
      <c r="GN211" t="e">
        <f>IF(#REF!,"AAAAAC8/9cM=",0)</f>
        <v>#REF!</v>
      </c>
      <c r="GO211" t="e">
        <f>IF(#REF!,"AAAAAC8/9cQ=",0)</f>
        <v>#REF!</v>
      </c>
      <c r="GP211" t="e">
        <f>IF(#REF!,"AAAAAC8/9cU=",0)</f>
        <v>#REF!</v>
      </c>
      <c r="GQ211" t="e">
        <f>IF(#REF!,"AAAAAC8/9cY=",0)</f>
        <v>#REF!</v>
      </c>
      <c r="GR211" t="e">
        <f>IF(#REF!,"AAAAAC8/9cc=",0)</f>
        <v>#REF!</v>
      </c>
      <c r="GS211" t="e">
        <f>IF(#REF!,"AAAAAC8/9cg=",0)</f>
        <v>#REF!</v>
      </c>
      <c r="GT211" t="e">
        <f>IF(#REF!,"AAAAAC8/9ck=",0)</f>
        <v>#REF!</v>
      </c>
      <c r="GU211" t="e">
        <f>IF(#REF!,"AAAAAC8/9co=",0)</f>
        <v>#REF!</v>
      </c>
      <c r="GV211" t="e">
        <f>IF(#REF!,"AAAAAC8/9cs=",0)</f>
        <v>#REF!</v>
      </c>
      <c r="GW211" t="e">
        <f>IF(#REF!,"AAAAAC8/9cw=",0)</f>
        <v>#REF!</v>
      </c>
      <c r="GX211" t="e">
        <f>IF(#REF!,"AAAAAC8/9c0=",0)</f>
        <v>#REF!</v>
      </c>
      <c r="GY211" t="e">
        <f>IF(#REF!,"AAAAAC8/9c4=",0)</f>
        <v>#REF!</v>
      </c>
      <c r="GZ211" t="e">
        <f>IF(#REF!,"AAAAAC8/9c8=",0)</f>
        <v>#REF!</v>
      </c>
      <c r="HA211" t="e">
        <f>IF(#REF!,"AAAAAC8/9dA=",0)</f>
        <v>#REF!</v>
      </c>
      <c r="HB211" t="e">
        <f>IF(#REF!,"AAAAAC8/9dE=",0)</f>
        <v>#REF!</v>
      </c>
      <c r="HC211" t="e">
        <f>IF(#REF!,"AAAAAC8/9dI=",0)</f>
        <v>#REF!</v>
      </c>
      <c r="HD211" t="e">
        <f>IF(#REF!,"AAAAAC8/9dM=",0)</f>
        <v>#REF!</v>
      </c>
      <c r="HE211" t="e">
        <f>IF(#REF!,"AAAAAC8/9dQ=",0)</f>
        <v>#REF!</v>
      </c>
      <c r="HF211" t="e">
        <f>IF(#REF!,"AAAAAC8/9dU=",0)</f>
        <v>#REF!</v>
      </c>
      <c r="HG211" t="e">
        <f>IF(#REF!,"AAAAAC8/9dY=",0)</f>
        <v>#REF!</v>
      </c>
      <c r="HH211" t="e">
        <f>IF(#REF!,"AAAAAC8/9dc=",0)</f>
        <v>#REF!</v>
      </c>
      <c r="HI211" t="e">
        <f>IF(#REF!,"AAAAAC8/9dg=",0)</f>
        <v>#REF!</v>
      </c>
      <c r="HJ211" t="e">
        <f>IF(#REF!,"AAAAAC8/9dk=",0)</f>
        <v>#REF!</v>
      </c>
      <c r="HK211" t="e">
        <f>IF(#REF!,"AAAAAC8/9do=",0)</f>
        <v>#REF!</v>
      </c>
      <c r="HL211" t="e">
        <f>IF(#REF!,"AAAAAC8/9ds=",0)</f>
        <v>#REF!</v>
      </c>
      <c r="HM211" t="e">
        <f>IF(#REF!,"AAAAAC8/9dw=",0)</f>
        <v>#REF!</v>
      </c>
      <c r="HN211" t="e">
        <f>IF(#REF!,"AAAAAC8/9d0=",0)</f>
        <v>#REF!</v>
      </c>
      <c r="HO211" t="e">
        <f>IF(#REF!,"AAAAAC8/9d4=",0)</f>
        <v>#REF!</v>
      </c>
      <c r="HP211" t="e">
        <f>IF(#REF!,"AAAAAC8/9d8=",0)</f>
        <v>#REF!</v>
      </c>
      <c r="HQ211" t="e">
        <f>IF(#REF!,"AAAAAC8/9eA=",0)</f>
        <v>#REF!</v>
      </c>
      <c r="HR211" t="e">
        <f>IF(#REF!,"AAAAAC8/9eE=",0)</f>
        <v>#REF!</v>
      </c>
      <c r="HS211" t="e">
        <f>IF(#REF!,"AAAAAC8/9eI=",0)</f>
        <v>#REF!</v>
      </c>
      <c r="HT211" t="e">
        <f>IF(#REF!,"AAAAAC8/9eM=",0)</f>
        <v>#REF!</v>
      </c>
      <c r="HU211" t="e">
        <f>IF(#REF!,"AAAAAC8/9eQ=",0)</f>
        <v>#REF!</v>
      </c>
      <c r="HV211" t="e">
        <f>IF(#REF!,"AAAAAC8/9eU=",0)</f>
        <v>#REF!</v>
      </c>
      <c r="HW211" t="e">
        <f>IF(#REF!,"AAAAAC8/9eY=",0)</f>
        <v>#REF!</v>
      </c>
      <c r="HX211" t="e">
        <f>IF(#REF!,"AAAAAC8/9ec=",0)</f>
        <v>#REF!</v>
      </c>
      <c r="HY211" t="e">
        <f>IF(#REF!,"AAAAAC8/9eg=",0)</f>
        <v>#REF!</v>
      </c>
      <c r="HZ211" t="e">
        <f>IF(#REF!,"AAAAAC8/9ek=",0)</f>
        <v>#REF!</v>
      </c>
      <c r="IA211" t="e">
        <f>IF(#REF!,"AAAAAC8/9eo=",0)</f>
        <v>#REF!</v>
      </c>
      <c r="IB211" t="e">
        <f>IF(#REF!,"AAAAAC8/9es=",0)</f>
        <v>#REF!</v>
      </c>
      <c r="IC211" t="e">
        <f>IF(#REF!,"AAAAAC8/9ew=",0)</f>
        <v>#REF!</v>
      </c>
      <c r="ID211" t="e">
        <f>IF(#REF!,"AAAAAC8/9e0=",0)</f>
        <v>#REF!</v>
      </c>
      <c r="IE211" t="e">
        <f>IF(#REF!,"AAAAAC8/9e4=",0)</f>
        <v>#REF!</v>
      </c>
      <c r="IF211" t="e">
        <f>IF(#REF!,"AAAAAC8/9e8=",0)</f>
        <v>#REF!</v>
      </c>
      <c r="IG211" t="e">
        <f>IF(#REF!,"AAAAAC8/9fA=",0)</f>
        <v>#REF!</v>
      </c>
      <c r="IH211" t="e">
        <f>IF(#REF!,"AAAAAC8/9fE=",0)</f>
        <v>#REF!</v>
      </c>
      <c r="II211" t="e">
        <f>IF(#REF!,"AAAAAC8/9fI=",0)</f>
        <v>#REF!</v>
      </c>
      <c r="IJ211" t="e">
        <f>IF(#REF!,"AAAAAC8/9fM=",0)</f>
        <v>#REF!</v>
      </c>
      <c r="IK211" t="e">
        <f>IF(#REF!,"AAAAAC8/9fQ=",0)</f>
        <v>#REF!</v>
      </c>
      <c r="IL211" t="e">
        <f>IF(#REF!,"AAAAAC8/9fU=",0)</f>
        <v>#REF!</v>
      </c>
      <c r="IM211" t="e">
        <f>IF(#REF!,"AAAAAC8/9fY=",0)</f>
        <v>#REF!</v>
      </c>
      <c r="IN211" t="e">
        <f>IF(#REF!,"AAAAAC8/9fc=",0)</f>
        <v>#REF!</v>
      </c>
      <c r="IO211" t="e">
        <f>IF(#REF!,"AAAAAC8/9fg=",0)</f>
        <v>#REF!</v>
      </c>
      <c r="IP211" t="e">
        <f>IF(#REF!,"AAAAAC8/9fk=",0)</f>
        <v>#REF!</v>
      </c>
      <c r="IQ211" t="e">
        <f>IF(#REF!,"AAAAAC8/9fo=",0)</f>
        <v>#REF!</v>
      </c>
      <c r="IR211" t="e">
        <f>IF(#REF!,"AAAAAC8/9fs=",0)</f>
        <v>#REF!</v>
      </c>
      <c r="IS211" t="e">
        <f>IF(#REF!,"AAAAAC8/9fw=",0)</f>
        <v>#REF!</v>
      </c>
      <c r="IT211" t="e">
        <f>IF(#REF!,"AAAAAC8/9f0=",0)</f>
        <v>#REF!</v>
      </c>
      <c r="IU211" t="e">
        <f>IF(#REF!,"AAAAAC8/9f4=",0)</f>
        <v>#REF!</v>
      </c>
      <c r="IV211" t="e">
        <f>IF(#REF!,"AAAAAC8/9f8=",0)</f>
        <v>#REF!</v>
      </c>
    </row>
    <row r="212" spans="1:256">
      <c r="A212" t="e">
        <f>IF(#REF!,"AAAAABfzowA=",0)</f>
        <v>#REF!</v>
      </c>
      <c r="B212" t="e">
        <f>IF(#REF!,"AAAAABfzowE=",0)</f>
        <v>#REF!</v>
      </c>
      <c r="C212" t="e">
        <f>IF(#REF!,"AAAAABfzowI=",0)</f>
        <v>#REF!</v>
      </c>
      <c r="D212" t="e">
        <f>IF(#REF!,"AAAAABfzowM=",0)</f>
        <v>#REF!</v>
      </c>
      <c r="E212" t="e">
        <f>IF(#REF!,"AAAAABfzowQ=",0)</f>
        <v>#REF!</v>
      </c>
      <c r="F212" t="e">
        <f>IF(#REF!,"AAAAABfzowU=",0)</f>
        <v>#REF!</v>
      </c>
      <c r="G212" t="e">
        <f>IF(#REF!,"AAAAABfzowY=",0)</f>
        <v>#REF!</v>
      </c>
      <c r="H212" t="e">
        <f>IF(#REF!,"AAAAABfzowc=",0)</f>
        <v>#REF!</v>
      </c>
      <c r="I212" t="e">
        <f>IF(#REF!,"AAAAABfzowg=",0)</f>
        <v>#REF!</v>
      </c>
      <c r="J212" t="e">
        <f>IF(#REF!,"AAAAABfzowk=",0)</f>
        <v>#REF!</v>
      </c>
      <c r="K212" t="e">
        <f>IF(#REF!,"AAAAABfzowo=",0)</f>
        <v>#REF!</v>
      </c>
      <c r="L212" t="e">
        <f>IF(#REF!,"AAAAABfzows=",0)</f>
        <v>#REF!</v>
      </c>
      <c r="M212" t="e">
        <f>IF(#REF!,"AAAAABfzoww=",0)</f>
        <v>#REF!</v>
      </c>
      <c r="N212" t="e">
        <f>IF(#REF!,"AAAAABfzow0=",0)</f>
        <v>#REF!</v>
      </c>
      <c r="O212" t="e">
        <f>IF(#REF!,"AAAAABfzow4=",0)</f>
        <v>#REF!</v>
      </c>
      <c r="P212" t="e">
        <f>IF(#REF!,"AAAAABfzow8=",0)</f>
        <v>#REF!</v>
      </c>
      <c r="Q212" t="e">
        <f>IF(#REF!,"AAAAABfzoxA=",0)</f>
        <v>#REF!</v>
      </c>
      <c r="R212" t="e">
        <f>IF(#REF!,"AAAAABfzoxE=",0)</f>
        <v>#REF!</v>
      </c>
      <c r="S212" t="e">
        <f>IF(#REF!,"AAAAABfzoxI=",0)</f>
        <v>#REF!</v>
      </c>
      <c r="T212" t="e">
        <f>IF(#REF!,"AAAAABfzoxM=",0)</f>
        <v>#REF!</v>
      </c>
      <c r="U212" t="e">
        <f>IF(#REF!,"AAAAABfzoxQ=",0)</f>
        <v>#REF!</v>
      </c>
      <c r="V212" t="e">
        <f>IF(#REF!,"AAAAABfzoxU=",0)</f>
        <v>#REF!</v>
      </c>
      <c r="W212" t="e">
        <f>IF(#REF!,"AAAAABfzoxY=",0)</f>
        <v>#REF!</v>
      </c>
      <c r="X212" t="e">
        <f>IF(#REF!,"AAAAABfzoxc=",0)</f>
        <v>#REF!</v>
      </c>
      <c r="Y212" t="e">
        <f>IF(#REF!,"AAAAABfzoxg=",0)</f>
        <v>#REF!</v>
      </c>
      <c r="Z212" t="e">
        <f>IF(#REF!,"AAAAABfzoxk=",0)</f>
        <v>#REF!</v>
      </c>
      <c r="AA212" t="e">
        <f>IF(#REF!,"AAAAABfzoxo=",0)</f>
        <v>#REF!</v>
      </c>
      <c r="AB212" t="e">
        <f>IF(#REF!,"AAAAABfzoxs=",0)</f>
        <v>#REF!</v>
      </c>
      <c r="AC212" t="e">
        <f>IF(#REF!,"AAAAABfzoxw=",0)</f>
        <v>#REF!</v>
      </c>
      <c r="AD212" t="e">
        <f>IF(#REF!,"AAAAABfzox0=",0)</f>
        <v>#REF!</v>
      </c>
      <c r="AE212" t="e">
        <f>IF(#REF!,"AAAAABfzox4=",0)</f>
        <v>#REF!</v>
      </c>
      <c r="AF212" t="e">
        <f>IF(#REF!,"AAAAABfzox8=",0)</f>
        <v>#REF!</v>
      </c>
      <c r="AG212" t="e">
        <f>IF(#REF!,"AAAAABfzoyA=",0)</f>
        <v>#REF!</v>
      </c>
      <c r="AH212" t="e">
        <f>IF(#REF!,"AAAAABfzoyE=",0)</f>
        <v>#REF!</v>
      </c>
      <c r="AI212" t="e">
        <f>IF(#REF!,"AAAAABfzoyI=",0)</f>
        <v>#REF!</v>
      </c>
      <c r="AJ212" t="e">
        <f>IF(#REF!,"AAAAABfzoyM=",0)</f>
        <v>#REF!</v>
      </c>
      <c r="AK212" t="e">
        <f>IF(#REF!,"AAAAABfzoyQ=",0)</f>
        <v>#REF!</v>
      </c>
      <c r="AL212" t="e">
        <f>IF(#REF!,"AAAAABfzoyU=",0)</f>
        <v>#REF!</v>
      </c>
      <c r="AM212" t="e">
        <f>IF(#REF!,"AAAAABfzoyY=",0)</f>
        <v>#REF!</v>
      </c>
      <c r="AN212" t="e">
        <f>IF(#REF!,"AAAAABfzoyc=",0)</f>
        <v>#REF!</v>
      </c>
      <c r="AO212" t="e">
        <f>IF(#REF!,"AAAAABfzoyg=",0)</f>
        <v>#REF!</v>
      </c>
      <c r="AP212" t="e">
        <f>IF(#REF!,"AAAAABfzoyk=",0)</f>
        <v>#REF!</v>
      </c>
      <c r="AQ212" t="e">
        <f>IF(#REF!,"AAAAABfzoyo=",0)</f>
        <v>#REF!</v>
      </c>
      <c r="AR212" t="e">
        <f>IF(#REF!,"AAAAABfzoys=",0)</f>
        <v>#REF!</v>
      </c>
      <c r="AS212" t="e">
        <f>IF(#REF!,"AAAAABfzoyw=",0)</f>
        <v>#REF!</v>
      </c>
      <c r="AT212" t="e">
        <f>IF(#REF!,"AAAAABfzoy0=",0)</f>
        <v>#REF!</v>
      </c>
      <c r="AU212" t="e">
        <f>IF(#REF!,"AAAAABfzoy4=",0)</f>
        <v>#REF!</v>
      </c>
      <c r="AV212" t="e">
        <f>IF(#REF!,"AAAAABfzoy8=",0)</f>
        <v>#REF!</v>
      </c>
      <c r="AW212" t="e">
        <f>IF(#REF!,"AAAAABfzozA=",0)</f>
        <v>#REF!</v>
      </c>
      <c r="AX212" t="e">
        <f>IF(#REF!,"AAAAABfzozE=",0)</f>
        <v>#REF!</v>
      </c>
      <c r="AY212" t="e">
        <f>IF(#REF!,"AAAAABfzozI=",0)</f>
        <v>#REF!</v>
      </c>
      <c r="AZ212" t="e">
        <f>IF(#REF!,"AAAAABfzozM=",0)</f>
        <v>#REF!</v>
      </c>
      <c r="BA212" t="e">
        <f>IF(#REF!,"AAAAABfzozQ=",0)</f>
        <v>#REF!</v>
      </c>
      <c r="BB212" t="e">
        <f>IF(#REF!,"AAAAABfzozU=",0)</f>
        <v>#REF!</v>
      </c>
      <c r="BC212" t="e">
        <f>IF(#REF!,"AAAAABfzozY=",0)</f>
        <v>#REF!</v>
      </c>
      <c r="BD212" t="e">
        <f>IF(#REF!,"AAAAABfzozc=",0)</f>
        <v>#REF!</v>
      </c>
      <c r="BE212" t="e">
        <f>IF(#REF!,"AAAAABfzozg=",0)</f>
        <v>#REF!</v>
      </c>
      <c r="BF212" t="e">
        <f>IF(#REF!,"AAAAABfzozk=",0)</f>
        <v>#REF!</v>
      </c>
      <c r="BG212" t="e">
        <f>IF(#REF!,"AAAAABfzozo=",0)</f>
        <v>#REF!</v>
      </c>
      <c r="BH212" t="e">
        <f>IF(#REF!,"AAAAABfzozs=",0)</f>
        <v>#REF!</v>
      </c>
      <c r="BI212" t="e">
        <f>IF(#REF!,"AAAAABfzozw=",0)</f>
        <v>#REF!</v>
      </c>
      <c r="BJ212" t="e">
        <f>IF(#REF!,"AAAAABfzoz0=",0)</f>
        <v>#REF!</v>
      </c>
      <c r="BK212" t="e">
        <f>IF(#REF!,"AAAAABfzoz4=",0)</f>
        <v>#REF!</v>
      </c>
      <c r="BL212" t="e">
        <f>IF(#REF!,"AAAAABfzoz8=",0)</f>
        <v>#REF!</v>
      </c>
      <c r="BM212" t="e">
        <f>IF(#REF!,"AAAAABfzo0A=",0)</f>
        <v>#REF!</v>
      </c>
      <c r="BN212" t="e">
        <f>IF(#REF!,"AAAAABfzo0E=",0)</f>
        <v>#REF!</v>
      </c>
      <c r="BO212" t="e">
        <f>IF(#REF!,"AAAAABfzo0I=",0)</f>
        <v>#REF!</v>
      </c>
      <c r="BP212" t="e">
        <f>IF(#REF!,"AAAAABfzo0M=",0)</f>
        <v>#REF!</v>
      </c>
      <c r="BQ212" t="e">
        <f>IF(#REF!,"AAAAABfzo0Q=",0)</f>
        <v>#REF!</v>
      </c>
      <c r="BR212" t="e">
        <f>IF(#REF!,"AAAAABfzo0U=",0)</f>
        <v>#REF!</v>
      </c>
      <c r="BS212" t="e">
        <f>IF(#REF!,"AAAAABfzo0Y=",0)</f>
        <v>#REF!</v>
      </c>
      <c r="BT212" t="e">
        <f>IF(#REF!,"AAAAABfzo0c=",0)</f>
        <v>#REF!</v>
      </c>
      <c r="BU212" t="e">
        <f>IF(#REF!,"AAAAABfzo0g=",0)</f>
        <v>#REF!</v>
      </c>
      <c r="BV212" t="e">
        <f>IF(#REF!,"AAAAABfzo0k=",0)</f>
        <v>#REF!</v>
      </c>
      <c r="BW212" t="e">
        <f>IF(#REF!,"AAAAABfzo0o=",0)</f>
        <v>#REF!</v>
      </c>
      <c r="BX212" t="e">
        <f>IF(#REF!,"AAAAABfzo0s=",0)</f>
        <v>#REF!</v>
      </c>
      <c r="BY212" t="e">
        <f>IF(#REF!,"AAAAABfzo0w=",0)</f>
        <v>#REF!</v>
      </c>
      <c r="BZ212" t="e">
        <f>IF(#REF!,"AAAAABfzo00=",0)</f>
        <v>#REF!</v>
      </c>
      <c r="CA212" t="e">
        <f>IF(#REF!,"AAAAABfzo04=",0)</f>
        <v>#REF!</v>
      </c>
      <c r="CB212" t="e">
        <f>IF(#REF!,"AAAAABfzo08=",0)</f>
        <v>#REF!</v>
      </c>
      <c r="CC212" t="e">
        <f>IF(#REF!,"AAAAABfzo1A=",0)</f>
        <v>#REF!</v>
      </c>
      <c r="CD212" t="e">
        <f>IF(#REF!,"AAAAABfzo1E=",0)</f>
        <v>#REF!</v>
      </c>
      <c r="CE212" t="e">
        <f>IF(#REF!,"AAAAABfzo1I=",0)</f>
        <v>#REF!</v>
      </c>
      <c r="CF212" t="e">
        <f>IF(#REF!,"AAAAABfzo1M=",0)</f>
        <v>#REF!</v>
      </c>
      <c r="CG212" t="e">
        <f>IF(#REF!,"AAAAABfzo1Q=",0)</f>
        <v>#REF!</v>
      </c>
      <c r="CH212" t="e">
        <f>IF(#REF!,"AAAAABfzo1U=",0)</f>
        <v>#REF!</v>
      </c>
      <c r="CI212" t="e">
        <f>IF(#REF!,"AAAAABfzo1Y=",0)</f>
        <v>#REF!</v>
      </c>
      <c r="CJ212" t="e">
        <f>IF(#REF!,"AAAAABfzo1c=",0)</f>
        <v>#REF!</v>
      </c>
      <c r="CK212" t="e">
        <f>IF(#REF!,"AAAAABfzo1g=",0)</f>
        <v>#REF!</v>
      </c>
      <c r="CL212" t="e">
        <f>IF(#REF!,"AAAAABfzo1k=",0)</f>
        <v>#REF!</v>
      </c>
      <c r="CM212" t="e">
        <f>IF(#REF!,"AAAAABfzo1o=",0)</f>
        <v>#REF!</v>
      </c>
      <c r="CN212" t="e">
        <f>IF(#REF!,"AAAAABfzo1s=",0)</f>
        <v>#REF!</v>
      </c>
      <c r="CO212" t="e">
        <f>IF(#REF!,"AAAAABfzo1w=",0)</f>
        <v>#REF!</v>
      </c>
      <c r="CP212" t="e">
        <f>IF(#REF!,"AAAAABfzo10=",0)</f>
        <v>#REF!</v>
      </c>
      <c r="CQ212" t="e">
        <f>IF(#REF!,"AAAAABfzo14=",0)</f>
        <v>#REF!</v>
      </c>
      <c r="CR212" t="e">
        <f>IF(#REF!,"AAAAABfzo18=",0)</f>
        <v>#REF!</v>
      </c>
      <c r="CS212" t="e">
        <f>IF(#REF!,"AAAAABfzo2A=",0)</f>
        <v>#REF!</v>
      </c>
      <c r="CT212" t="e">
        <f>IF(#REF!,"AAAAABfzo2E=",0)</f>
        <v>#REF!</v>
      </c>
      <c r="CU212" t="e">
        <f>IF(#REF!,"AAAAABfzo2I=",0)</f>
        <v>#REF!</v>
      </c>
      <c r="CV212" t="e">
        <f>IF(#REF!,"AAAAABfzo2M=",0)</f>
        <v>#REF!</v>
      </c>
      <c r="CW212" t="e">
        <f>IF(#REF!,"AAAAABfzo2Q=",0)</f>
        <v>#REF!</v>
      </c>
      <c r="CX212" t="e">
        <f>IF(#REF!,"AAAAABfzo2U=",0)</f>
        <v>#REF!</v>
      </c>
      <c r="CY212" t="e">
        <f>IF(#REF!,"AAAAABfzo2Y=",0)</f>
        <v>#REF!</v>
      </c>
      <c r="CZ212" t="e">
        <f>IF(#REF!,"AAAAABfzo2c=",0)</f>
        <v>#REF!</v>
      </c>
      <c r="DA212" t="e">
        <f>IF(#REF!,"AAAAABfzo2g=",0)</f>
        <v>#REF!</v>
      </c>
      <c r="DB212" t="e">
        <f>IF(#REF!,"AAAAABfzo2k=",0)</f>
        <v>#REF!</v>
      </c>
      <c r="DC212" t="e">
        <f>IF(#REF!,"AAAAABfzo2o=",0)</f>
        <v>#REF!</v>
      </c>
      <c r="DD212" t="e">
        <f>IF(#REF!,"AAAAABfzo2s=",0)</f>
        <v>#REF!</v>
      </c>
      <c r="DE212" t="e">
        <f>IF(#REF!,"AAAAABfzo2w=",0)</f>
        <v>#REF!</v>
      </c>
      <c r="DF212" t="e">
        <f>IF(#REF!,"AAAAABfzo20=",0)</f>
        <v>#REF!</v>
      </c>
      <c r="DG212" t="e">
        <f>IF(#REF!,"AAAAABfzo24=",0)</f>
        <v>#REF!</v>
      </c>
      <c r="DH212" t="e">
        <f>IF(#REF!,"AAAAABfzo28=",0)</f>
        <v>#REF!</v>
      </c>
      <c r="DI212" t="e">
        <f>IF(#REF!,"AAAAABfzo3A=",0)</f>
        <v>#REF!</v>
      </c>
      <c r="DJ212" t="e">
        <f>IF(#REF!,"AAAAABfzo3E=",0)</f>
        <v>#REF!</v>
      </c>
      <c r="DK212" t="e">
        <f>IF(#REF!,"AAAAABfzo3I=",0)</f>
        <v>#REF!</v>
      </c>
      <c r="DL212" t="e">
        <f>IF(#REF!,"AAAAABfzo3M=",0)</f>
        <v>#REF!</v>
      </c>
      <c r="DM212" t="e">
        <f>IF(#REF!,"AAAAABfzo3Q=",0)</f>
        <v>#REF!</v>
      </c>
      <c r="DN212" t="e">
        <f>IF(#REF!,"AAAAABfzo3U=",0)</f>
        <v>#REF!</v>
      </c>
      <c r="DO212" t="e">
        <f>IF(#REF!,"AAAAABfzo3Y=",0)</f>
        <v>#REF!</v>
      </c>
      <c r="DP212" t="e">
        <f>IF(#REF!,"AAAAABfzo3c=",0)</f>
        <v>#REF!</v>
      </c>
      <c r="DQ212" t="e">
        <f>IF(#REF!,"AAAAABfzo3g=",0)</f>
        <v>#REF!</v>
      </c>
      <c r="DR212" t="e">
        <f>IF(#REF!,"AAAAABfzo3k=",0)</f>
        <v>#REF!</v>
      </c>
      <c r="DS212" t="e">
        <f>IF(#REF!,"AAAAABfzo3o=",0)</f>
        <v>#REF!</v>
      </c>
      <c r="DT212" t="e">
        <f>IF(#REF!,"AAAAABfzo3s=",0)</f>
        <v>#REF!</v>
      </c>
      <c r="DU212" t="e">
        <f>IF(#REF!,"AAAAABfzo3w=",0)</f>
        <v>#REF!</v>
      </c>
      <c r="DV212" t="e">
        <f>IF(#REF!,"AAAAABfzo30=",0)</f>
        <v>#REF!</v>
      </c>
      <c r="DW212" t="e">
        <f>IF(#REF!,"AAAAABfzo34=",0)</f>
        <v>#REF!</v>
      </c>
      <c r="DX212" t="e">
        <f>IF(#REF!,"AAAAABfzo38=",0)</f>
        <v>#REF!</v>
      </c>
      <c r="DY212" t="e">
        <f>IF(#REF!,"AAAAABfzo4A=",0)</f>
        <v>#REF!</v>
      </c>
      <c r="DZ212" t="e">
        <f>IF(#REF!,"AAAAABfzo4E=",0)</f>
        <v>#REF!</v>
      </c>
      <c r="EA212" t="e">
        <f>IF(#REF!,"AAAAABfzo4I=",0)</f>
        <v>#REF!</v>
      </c>
      <c r="EB212" t="e">
        <f>IF(#REF!,"AAAAABfzo4M=",0)</f>
        <v>#REF!</v>
      </c>
      <c r="EC212" t="e">
        <f>IF(#REF!,"AAAAABfzo4Q=",0)</f>
        <v>#REF!</v>
      </c>
      <c r="ED212" t="e">
        <f>IF(#REF!,"AAAAABfzo4U=",0)</f>
        <v>#REF!</v>
      </c>
      <c r="EE212" t="e">
        <f>IF(#REF!,"AAAAABfzo4Y=",0)</f>
        <v>#REF!</v>
      </c>
      <c r="EF212" t="e">
        <f>IF(#REF!,"AAAAABfzo4c=",0)</f>
        <v>#REF!</v>
      </c>
      <c r="EG212" t="e">
        <f>IF(#REF!,"AAAAABfzo4g=",0)</f>
        <v>#REF!</v>
      </c>
      <c r="EH212" t="e">
        <f>IF(#REF!,"AAAAABfzo4k=",0)</f>
        <v>#REF!</v>
      </c>
      <c r="EI212" t="e">
        <f>IF(#REF!,"AAAAABfzo4o=",0)</f>
        <v>#REF!</v>
      </c>
      <c r="EJ212" t="e">
        <f>IF(#REF!,"AAAAABfzo4s=",0)</f>
        <v>#REF!</v>
      </c>
      <c r="EK212" t="e">
        <f>IF(#REF!,"AAAAABfzo4w=",0)</f>
        <v>#REF!</v>
      </c>
      <c r="EL212" t="e">
        <f>IF(#REF!,"AAAAABfzo40=",0)</f>
        <v>#REF!</v>
      </c>
      <c r="EM212" t="e">
        <f>IF(#REF!,"AAAAABfzo44=",0)</f>
        <v>#REF!</v>
      </c>
      <c r="EN212" t="e">
        <f>IF(#REF!,"AAAAABfzo48=",0)</f>
        <v>#REF!</v>
      </c>
      <c r="EO212" t="e">
        <f>IF(#REF!,"AAAAABfzo5A=",0)</f>
        <v>#REF!</v>
      </c>
      <c r="EP212" t="e">
        <f>IF(#REF!,"AAAAABfzo5E=",0)</f>
        <v>#REF!</v>
      </c>
      <c r="EQ212" t="e">
        <f>IF(#REF!,"AAAAABfzo5I=",0)</f>
        <v>#REF!</v>
      </c>
      <c r="ER212" t="e">
        <f>IF(#REF!,"AAAAABfzo5M=",0)</f>
        <v>#REF!</v>
      </c>
      <c r="ES212" t="e">
        <f>IF(#REF!,"AAAAABfzo5Q=",0)</f>
        <v>#REF!</v>
      </c>
      <c r="ET212" t="e">
        <f>IF(#REF!,"AAAAABfzo5U=",0)</f>
        <v>#REF!</v>
      </c>
      <c r="EU212" t="e">
        <f>IF(#REF!,"AAAAABfzo5Y=",0)</f>
        <v>#REF!</v>
      </c>
      <c r="EV212" t="e">
        <f>IF(#REF!,"AAAAABfzo5c=",0)</f>
        <v>#REF!</v>
      </c>
      <c r="EW212" t="e">
        <f>IF(#REF!,"AAAAABfzo5g=",0)</f>
        <v>#REF!</v>
      </c>
      <c r="EX212" t="e">
        <f>IF(#REF!,"AAAAABfzo5k=",0)</f>
        <v>#REF!</v>
      </c>
      <c r="EY212" t="e">
        <f>IF(#REF!,"AAAAABfzo5o=",0)</f>
        <v>#REF!</v>
      </c>
      <c r="EZ212" t="e">
        <f>IF(#REF!,"AAAAABfzo5s=",0)</f>
        <v>#REF!</v>
      </c>
      <c r="FA212" t="e">
        <f>IF(#REF!,"AAAAABfzo5w=",0)</f>
        <v>#REF!</v>
      </c>
      <c r="FB212" t="e">
        <f>IF(#REF!,"AAAAABfzo50=",0)</f>
        <v>#REF!</v>
      </c>
      <c r="FC212" t="e">
        <f>IF(#REF!,"AAAAABfzo54=",0)</f>
        <v>#REF!</v>
      </c>
      <c r="FD212" t="e">
        <f>IF(#REF!,"AAAAABfzo58=",0)</f>
        <v>#REF!</v>
      </c>
      <c r="FE212" t="e">
        <f>IF(#REF!,"AAAAABfzo6A=",0)</f>
        <v>#REF!</v>
      </c>
      <c r="FF212" t="e">
        <f>IF(#REF!,"AAAAABfzo6E=",0)</f>
        <v>#REF!</v>
      </c>
      <c r="FG212" t="e">
        <f>IF(#REF!,"AAAAABfzo6I=",0)</f>
        <v>#REF!</v>
      </c>
      <c r="FH212" t="e">
        <f>IF(#REF!,"AAAAABfzo6M=",0)</f>
        <v>#REF!</v>
      </c>
      <c r="FI212" t="e">
        <f>IF(#REF!,"AAAAABfzo6Q=",0)</f>
        <v>#REF!</v>
      </c>
      <c r="FJ212" t="e">
        <f>IF(#REF!,"AAAAABfzo6U=",0)</f>
        <v>#REF!</v>
      </c>
      <c r="FK212" t="e">
        <f>IF(#REF!,"AAAAABfzo6Y=",0)</f>
        <v>#REF!</v>
      </c>
      <c r="FL212" t="e">
        <f>IF(#REF!,"AAAAABfzo6c=",0)</f>
        <v>#REF!</v>
      </c>
      <c r="FM212" t="e">
        <f>IF(#REF!,"AAAAABfzo6g=",0)</f>
        <v>#REF!</v>
      </c>
      <c r="FN212" t="e">
        <f>IF(#REF!,"AAAAABfzo6k=",0)</f>
        <v>#REF!</v>
      </c>
      <c r="FO212" t="e">
        <f>IF(#REF!,"AAAAABfzo6o=",0)</f>
        <v>#REF!</v>
      </c>
      <c r="FP212" t="e">
        <f>IF(#REF!,"AAAAABfzo6s=",0)</f>
        <v>#REF!</v>
      </c>
      <c r="FQ212" t="e">
        <f>IF(#REF!,"AAAAABfzo6w=",0)</f>
        <v>#REF!</v>
      </c>
      <c r="FR212" t="e">
        <f>IF(#REF!,"AAAAABfzo60=",0)</f>
        <v>#REF!</v>
      </c>
      <c r="FS212" t="e">
        <f>IF(#REF!,"AAAAABfzo64=",0)</f>
        <v>#REF!</v>
      </c>
      <c r="FT212" t="e">
        <f>IF(#REF!,"AAAAABfzo68=",0)</f>
        <v>#REF!</v>
      </c>
      <c r="FU212" t="e">
        <f>IF(#REF!,"AAAAABfzo7A=",0)</f>
        <v>#REF!</v>
      </c>
      <c r="FV212" t="e">
        <f>IF(#REF!,"AAAAABfzo7E=",0)</f>
        <v>#REF!</v>
      </c>
      <c r="FW212" t="e">
        <f>IF(#REF!,"AAAAABfzo7I=",0)</f>
        <v>#REF!</v>
      </c>
      <c r="FX212" t="e">
        <f>IF(#REF!,"AAAAABfzo7M=",0)</f>
        <v>#REF!</v>
      </c>
      <c r="FY212" t="e">
        <f>IF(#REF!,"AAAAABfzo7Q=",0)</f>
        <v>#REF!</v>
      </c>
      <c r="FZ212" t="e">
        <f>IF(#REF!,"AAAAABfzo7U=",0)</f>
        <v>#REF!</v>
      </c>
      <c r="GA212" t="e">
        <f>IF(#REF!,"AAAAABfzo7Y=",0)</f>
        <v>#REF!</v>
      </c>
      <c r="GB212" t="e">
        <f>IF(#REF!,"AAAAABfzo7c=",0)</f>
        <v>#REF!</v>
      </c>
      <c r="GC212" t="e">
        <f>IF(#REF!,"AAAAABfzo7g=",0)</f>
        <v>#REF!</v>
      </c>
      <c r="GD212" t="e">
        <f>IF(#REF!,"AAAAABfzo7k=",0)</f>
        <v>#REF!</v>
      </c>
      <c r="GE212" t="e">
        <f>IF(#REF!,"AAAAABfzo7o=",0)</f>
        <v>#REF!</v>
      </c>
      <c r="GF212" t="e">
        <f>IF(#REF!,"AAAAABfzo7s=",0)</f>
        <v>#REF!</v>
      </c>
      <c r="GG212" t="e">
        <f>IF(#REF!,"AAAAABfzo7w=",0)</f>
        <v>#REF!</v>
      </c>
      <c r="GH212" t="e">
        <f>IF(#REF!,"AAAAABfzo70=",0)</f>
        <v>#REF!</v>
      </c>
      <c r="GI212" t="e">
        <f>IF(#REF!,"AAAAABfzo74=",0)</f>
        <v>#REF!</v>
      </c>
      <c r="GJ212" t="e">
        <f>IF(#REF!,"AAAAABfzo78=",0)</f>
        <v>#REF!</v>
      </c>
      <c r="GK212" t="e">
        <f>IF(#REF!,"AAAAABfzo8A=",0)</f>
        <v>#REF!</v>
      </c>
      <c r="GL212" t="e">
        <f>IF(#REF!,"AAAAABfzo8E=",0)</f>
        <v>#REF!</v>
      </c>
      <c r="GM212" t="e">
        <f>IF(#REF!,"AAAAABfzo8I=",0)</f>
        <v>#REF!</v>
      </c>
      <c r="GN212" t="e">
        <f>IF(#REF!,"AAAAABfzo8M=",0)</f>
        <v>#REF!</v>
      </c>
      <c r="GO212" t="e">
        <f>IF(#REF!,"AAAAABfzo8Q=",0)</f>
        <v>#REF!</v>
      </c>
      <c r="GP212" t="e">
        <f>IF(#REF!,"AAAAABfzo8U=",0)</f>
        <v>#REF!</v>
      </c>
      <c r="GQ212" t="e">
        <f>IF(#REF!,"AAAAABfzo8Y=",0)</f>
        <v>#REF!</v>
      </c>
      <c r="GR212" t="e">
        <f>IF(#REF!,"AAAAABfzo8c=",0)</f>
        <v>#REF!</v>
      </c>
      <c r="GS212" t="e">
        <f>IF(#REF!,"AAAAABfzo8g=",0)</f>
        <v>#REF!</v>
      </c>
      <c r="GT212" t="e">
        <f>IF(#REF!,"AAAAABfzo8k=",0)</f>
        <v>#REF!</v>
      </c>
      <c r="GU212" t="e">
        <f>IF(#REF!,"AAAAABfzo8o=",0)</f>
        <v>#REF!</v>
      </c>
      <c r="GV212" t="e">
        <f>IF(#REF!,"AAAAABfzo8s=",0)</f>
        <v>#REF!</v>
      </c>
      <c r="GW212" t="e">
        <f>IF(#REF!,"AAAAABfzo8w=",0)</f>
        <v>#REF!</v>
      </c>
      <c r="GX212" t="e">
        <f>IF(#REF!,"AAAAABfzo80=",0)</f>
        <v>#REF!</v>
      </c>
      <c r="GY212" t="e">
        <f>IF(#REF!,"AAAAABfzo84=",0)</f>
        <v>#REF!</v>
      </c>
      <c r="GZ212" t="e">
        <f>IF(#REF!,"AAAAABfzo88=",0)</f>
        <v>#REF!</v>
      </c>
      <c r="HA212" t="e">
        <f>IF(#REF!,"AAAAABfzo9A=",0)</f>
        <v>#REF!</v>
      </c>
      <c r="HB212" t="e">
        <f>IF(#REF!,"AAAAABfzo9E=",0)</f>
        <v>#REF!</v>
      </c>
      <c r="HC212" t="e">
        <f>IF(#REF!,"AAAAABfzo9I=",0)</f>
        <v>#REF!</v>
      </c>
      <c r="HD212" t="e">
        <f>IF(#REF!,"AAAAABfzo9M=",0)</f>
        <v>#REF!</v>
      </c>
      <c r="HE212" t="e">
        <f>IF(#REF!,"AAAAABfzo9Q=",0)</f>
        <v>#REF!</v>
      </c>
      <c r="HF212" t="e">
        <f>IF(#REF!,"AAAAABfzo9U=",0)</f>
        <v>#REF!</v>
      </c>
      <c r="HG212" t="e">
        <f>IF(#REF!,"AAAAABfzo9Y=",0)</f>
        <v>#REF!</v>
      </c>
      <c r="HH212" t="e">
        <f>IF(#REF!,"AAAAABfzo9c=",0)</f>
        <v>#REF!</v>
      </c>
      <c r="HI212" t="e">
        <f>IF(#REF!,"AAAAABfzo9g=",0)</f>
        <v>#REF!</v>
      </c>
      <c r="HJ212" t="e">
        <f>IF(#REF!,"AAAAABfzo9k=",0)</f>
        <v>#REF!</v>
      </c>
      <c r="HK212" t="e">
        <f>IF(#REF!,"AAAAABfzo9o=",0)</f>
        <v>#REF!</v>
      </c>
      <c r="HL212" t="e">
        <f>IF(#REF!,"AAAAABfzo9s=",0)</f>
        <v>#REF!</v>
      </c>
      <c r="HM212" t="e">
        <f>IF(#REF!,"AAAAABfzo9w=",0)</f>
        <v>#REF!</v>
      </c>
      <c r="HN212" t="e">
        <f>IF(#REF!,"AAAAABfzo90=",0)</f>
        <v>#REF!</v>
      </c>
      <c r="HO212" t="e">
        <f>IF(#REF!,"AAAAABfzo94=",0)</f>
        <v>#REF!</v>
      </c>
      <c r="HP212" t="e">
        <f>IF(#REF!,"AAAAABfzo98=",0)</f>
        <v>#REF!</v>
      </c>
      <c r="HQ212" t="e">
        <f>IF(#REF!,"AAAAABfzo+A=",0)</f>
        <v>#REF!</v>
      </c>
      <c r="HR212" t="e">
        <f>IF(#REF!,"AAAAABfzo+E=",0)</f>
        <v>#REF!</v>
      </c>
      <c r="HS212" t="e">
        <f>IF(#REF!,"AAAAABfzo+I=",0)</f>
        <v>#REF!</v>
      </c>
      <c r="HT212" t="e">
        <f>IF(#REF!,"AAAAABfzo+M=",0)</f>
        <v>#REF!</v>
      </c>
      <c r="HU212" t="e">
        <f>IF(#REF!,"AAAAABfzo+Q=",0)</f>
        <v>#REF!</v>
      </c>
      <c r="HV212" t="e">
        <f>IF(#REF!,"AAAAABfzo+U=",0)</f>
        <v>#REF!</v>
      </c>
      <c r="HW212" t="e">
        <f>IF(#REF!,"AAAAABfzo+Y=",0)</f>
        <v>#REF!</v>
      </c>
      <c r="HX212" t="e">
        <f>IF(#REF!,"AAAAABfzo+c=",0)</f>
        <v>#REF!</v>
      </c>
      <c r="HY212" t="e">
        <f>IF(#REF!,"AAAAABfzo+g=",0)</f>
        <v>#REF!</v>
      </c>
      <c r="HZ212" t="e">
        <f>IF(#REF!,"AAAAABfzo+k=",0)</f>
        <v>#REF!</v>
      </c>
      <c r="IA212" t="e">
        <f>IF(#REF!,"AAAAABfzo+o=",0)</f>
        <v>#REF!</v>
      </c>
      <c r="IB212" t="e">
        <f>IF(#REF!,"AAAAABfzo+s=",0)</f>
        <v>#REF!</v>
      </c>
      <c r="IC212" t="e">
        <f>IF(#REF!,"AAAAABfzo+w=",0)</f>
        <v>#REF!</v>
      </c>
      <c r="ID212" t="e">
        <f>IF(#REF!,"AAAAABfzo+0=",0)</f>
        <v>#REF!</v>
      </c>
      <c r="IE212" t="e">
        <f>IF(#REF!,"AAAAABfzo+4=",0)</f>
        <v>#REF!</v>
      </c>
      <c r="IF212" t="e">
        <f>IF(#REF!,"AAAAABfzo+8=",0)</f>
        <v>#REF!</v>
      </c>
      <c r="IG212" t="e">
        <f>IF(#REF!,"AAAAABfzo/A=",0)</f>
        <v>#REF!</v>
      </c>
      <c r="IH212" t="e">
        <f>IF(#REF!,"AAAAABfzo/E=",0)</f>
        <v>#REF!</v>
      </c>
      <c r="II212" t="e">
        <f>IF(#REF!,"AAAAABfzo/I=",0)</f>
        <v>#REF!</v>
      </c>
      <c r="IJ212" t="e">
        <f>IF(#REF!,"AAAAABfzo/M=",0)</f>
        <v>#REF!</v>
      </c>
      <c r="IK212" t="e">
        <f>IF(#REF!,"AAAAABfzo/Q=",0)</f>
        <v>#REF!</v>
      </c>
      <c r="IL212" t="e">
        <f>IF(#REF!,"AAAAABfzo/U=",0)</f>
        <v>#REF!</v>
      </c>
      <c r="IM212" t="e">
        <f>IF(#REF!,"AAAAABfzo/Y=",0)</f>
        <v>#REF!</v>
      </c>
      <c r="IN212" t="e">
        <f>IF(#REF!,"AAAAABfzo/c=",0)</f>
        <v>#REF!</v>
      </c>
      <c r="IO212" t="e">
        <f>IF(#REF!,"AAAAABfzo/g=",0)</f>
        <v>#REF!</v>
      </c>
      <c r="IP212" t="e">
        <f>IF(#REF!,"AAAAABfzo/k=",0)</f>
        <v>#REF!</v>
      </c>
      <c r="IQ212" t="e">
        <f>IF(#REF!,"AAAAABfzo/o=",0)</f>
        <v>#REF!</v>
      </c>
      <c r="IR212" t="e">
        <f>IF(#REF!,"AAAAABfzo/s=",0)</f>
        <v>#REF!</v>
      </c>
      <c r="IS212" t="e">
        <f>IF(#REF!,"AAAAABfzo/w=",0)</f>
        <v>#REF!</v>
      </c>
      <c r="IT212" t="e">
        <f>IF(#REF!,"AAAAABfzo/0=",0)</f>
        <v>#REF!</v>
      </c>
      <c r="IU212" t="e">
        <f>IF(#REF!,"AAAAABfzo/4=",0)</f>
        <v>#REF!</v>
      </c>
      <c r="IV212" t="e">
        <f>IF(#REF!,"AAAAABfzo/8=",0)</f>
        <v>#REF!</v>
      </c>
    </row>
    <row r="213" spans="1:256">
      <c r="A213" t="e">
        <f>IF(#REF!,"AAAAAF9udwA=",0)</f>
        <v>#REF!</v>
      </c>
      <c r="B213" t="e">
        <f>IF(#REF!,"AAAAAF9udwE=",0)</f>
        <v>#REF!</v>
      </c>
      <c r="C213" t="e">
        <f>IF(#REF!,"AAAAAF9udwI=",0)</f>
        <v>#REF!</v>
      </c>
      <c r="D213" t="e">
        <f>IF(#REF!,"AAAAAF9udwM=",0)</f>
        <v>#REF!</v>
      </c>
      <c r="E213" t="e">
        <f>IF(#REF!,"AAAAAF9udwQ=",0)</f>
        <v>#REF!</v>
      </c>
      <c r="F213" t="e">
        <f>IF(#REF!,"AAAAAF9udwU=",0)</f>
        <v>#REF!</v>
      </c>
      <c r="G213" t="e">
        <f>IF(#REF!,"AAAAAF9udwY=",0)</f>
        <v>#REF!</v>
      </c>
      <c r="H213" t="e">
        <f>IF(#REF!,"AAAAAF9udwc=",0)</f>
        <v>#REF!</v>
      </c>
      <c r="I213" t="e">
        <f>IF(#REF!,"AAAAAF9udwg=",0)</f>
        <v>#REF!</v>
      </c>
      <c r="J213" t="e">
        <f>IF(#REF!,"AAAAAF9udwk=",0)</f>
        <v>#REF!</v>
      </c>
      <c r="K213" t="e">
        <f>IF(#REF!,"AAAAAF9udwo=",0)</f>
        <v>#REF!</v>
      </c>
      <c r="L213" t="e">
        <f>IF(#REF!,"AAAAAF9udws=",0)</f>
        <v>#REF!</v>
      </c>
      <c r="M213" t="e">
        <f>IF(#REF!,"AAAAAF9udww=",0)</f>
        <v>#REF!</v>
      </c>
      <c r="N213" t="e">
        <f>IF(#REF!,"AAAAAF9udw0=",0)</f>
        <v>#REF!</v>
      </c>
      <c r="O213" t="e">
        <f>IF(#REF!,"AAAAAF9udw4=",0)</f>
        <v>#REF!</v>
      </c>
      <c r="P213" t="e">
        <f>IF(#REF!,"AAAAAF9udw8=",0)</f>
        <v>#REF!</v>
      </c>
      <c r="Q213" t="e">
        <f>IF(#REF!,"AAAAAF9udxA=",0)</f>
        <v>#REF!</v>
      </c>
      <c r="R213" t="e">
        <f>IF(#REF!,"AAAAAF9udxE=",0)</f>
        <v>#REF!</v>
      </c>
      <c r="S213" t="e">
        <f>IF(#REF!,"AAAAAF9udxI=",0)</f>
        <v>#REF!</v>
      </c>
      <c r="T213" t="e">
        <f>IF(#REF!,"AAAAAF9udxM=",0)</f>
        <v>#REF!</v>
      </c>
      <c r="U213" t="e">
        <f>IF(#REF!,"AAAAAF9udxQ=",0)</f>
        <v>#REF!</v>
      </c>
      <c r="V213" t="e">
        <f>IF(#REF!,"AAAAAF9udxU=",0)</f>
        <v>#REF!</v>
      </c>
      <c r="W213" t="e">
        <f>IF(#REF!,"AAAAAF9udxY=",0)</f>
        <v>#REF!</v>
      </c>
      <c r="X213" t="e">
        <f>IF(#REF!,"AAAAAF9udxc=",0)</f>
        <v>#REF!</v>
      </c>
      <c r="Y213" t="e">
        <f>IF(#REF!,"AAAAAF9udxg=",0)</f>
        <v>#REF!</v>
      </c>
      <c r="Z213" t="e">
        <f>IF(#REF!,"AAAAAF9udxk=",0)</f>
        <v>#REF!</v>
      </c>
      <c r="AA213" t="e">
        <f>IF(#REF!,"AAAAAF9udxo=",0)</f>
        <v>#REF!</v>
      </c>
      <c r="AB213" t="e">
        <f>IF(#REF!,"AAAAAF9udxs=",0)</f>
        <v>#REF!</v>
      </c>
      <c r="AC213" t="e">
        <f>IF(#REF!,"AAAAAF9udxw=",0)</f>
        <v>#REF!</v>
      </c>
      <c r="AD213" t="e">
        <f>IF(#REF!,"AAAAAF9udx0=",0)</f>
        <v>#REF!</v>
      </c>
      <c r="AE213" t="e">
        <f>IF(#REF!,"AAAAAF9udx4=",0)</f>
        <v>#REF!</v>
      </c>
      <c r="AF213" t="e">
        <f>IF(#REF!,"AAAAAF9udx8=",0)</f>
        <v>#REF!</v>
      </c>
      <c r="AG213" t="e">
        <f>IF(#REF!,"AAAAAF9udyA=",0)</f>
        <v>#REF!</v>
      </c>
      <c r="AH213" t="e">
        <f>IF(#REF!,"AAAAAF9udyE=",0)</f>
        <v>#REF!</v>
      </c>
      <c r="AI213" t="e">
        <f>IF(#REF!,"AAAAAF9udyI=",0)</f>
        <v>#REF!</v>
      </c>
      <c r="AJ213" t="e">
        <f>IF(#REF!,"AAAAAF9udyM=",0)</f>
        <v>#REF!</v>
      </c>
      <c r="AK213" t="e">
        <f>IF(#REF!,"AAAAAF9udyQ=",0)</f>
        <v>#REF!</v>
      </c>
      <c r="AL213" t="e">
        <f>IF(#REF!,"AAAAAF9udyU=",0)</f>
        <v>#REF!</v>
      </c>
      <c r="AM213" t="e">
        <f>IF(#REF!,"AAAAAF9udyY=",0)</f>
        <v>#REF!</v>
      </c>
      <c r="AN213" t="e">
        <f>IF(#REF!,"AAAAAF9udyc=",0)</f>
        <v>#REF!</v>
      </c>
      <c r="AO213" t="e">
        <f>IF(#REF!,"AAAAAF9udyg=",0)</f>
        <v>#REF!</v>
      </c>
      <c r="AP213" t="e">
        <f>IF(#REF!,"AAAAAF9udyk=",0)</f>
        <v>#REF!</v>
      </c>
      <c r="AQ213" t="e">
        <f>IF(#REF!,"AAAAAF9udyo=",0)</f>
        <v>#REF!</v>
      </c>
      <c r="AR213" t="e">
        <f>IF(#REF!,"AAAAAF9udys=",0)</f>
        <v>#REF!</v>
      </c>
      <c r="AS213" t="e">
        <f>IF(#REF!,"AAAAAF9udyw=",0)</f>
        <v>#REF!</v>
      </c>
      <c r="AT213" t="e">
        <f>IF(#REF!,"AAAAAF9udy0=",0)</f>
        <v>#REF!</v>
      </c>
      <c r="AU213" t="e">
        <f>IF(#REF!,"AAAAAF9udy4=",0)</f>
        <v>#REF!</v>
      </c>
      <c r="AV213" t="e">
        <f>IF(#REF!,"AAAAAF9udy8=",0)</f>
        <v>#REF!</v>
      </c>
      <c r="AW213" t="e">
        <f>IF(#REF!,"AAAAAF9udzA=",0)</f>
        <v>#REF!</v>
      </c>
      <c r="AX213" t="e">
        <f>IF(#REF!,"AAAAAF9udzE=",0)</f>
        <v>#REF!</v>
      </c>
      <c r="AY213" t="e">
        <f>IF(#REF!,"AAAAAF9udzI=",0)</f>
        <v>#REF!</v>
      </c>
      <c r="AZ213" t="e">
        <f>IF(#REF!,"AAAAAF9udzM=",0)</f>
        <v>#REF!</v>
      </c>
      <c r="BA213" t="e">
        <f>IF(#REF!,"AAAAAF9udzQ=",0)</f>
        <v>#REF!</v>
      </c>
      <c r="BB213" t="e">
        <f>IF(#REF!,"AAAAAF9udzU=",0)</f>
        <v>#REF!</v>
      </c>
      <c r="BC213" t="e">
        <f>IF(#REF!,"AAAAAF9udzY=",0)</f>
        <v>#REF!</v>
      </c>
      <c r="BD213" t="e">
        <f>IF(#REF!,"AAAAAF9udzc=",0)</f>
        <v>#REF!</v>
      </c>
      <c r="BE213" t="e">
        <f>IF(#REF!,"AAAAAF9udzg=",0)</f>
        <v>#REF!</v>
      </c>
      <c r="BF213" t="e">
        <f>IF(#REF!,"AAAAAF9udzk=",0)</f>
        <v>#REF!</v>
      </c>
      <c r="BG213" t="e">
        <f>IF(#REF!,"AAAAAF9udzo=",0)</f>
        <v>#REF!</v>
      </c>
      <c r="BH213" t="e">
        <f>IF(#REF!,"AAAAAF9udzs=",0)</f>
        <v>#REF!</v>
      </c>
      <c r="BI213" t="e">
        <f>IF(#REF!,"AAAAAF9udzw=",0)</f>
        <v>#REF!</v>
      </c>
      <c r="BJ213" t="e">
        <f>IF(#REF!,"AAAAAF9udz0=",0)</f>
        <v>#REF!</v>
      </c>
      <c r="BK213" t="e">
        <f>IF(#REF!,"AAAAAF9udz4=",0)</f>
        <v>#REF!</v>
      </c>
      <c r="BL213" t="e">
        <f>IF(#REF!,"AAAAAF9udz8=",0)</f>
        <v>#REF!</v>
      </c>
      <c r="BM213" t="e">
        <f>IF(#REF!,"AAAAAF9ud0A=",0)</f>
        <v>#REF!</v>
      </c>
      <c r="BN213" t="e">
        <f>IF(#REF!,"AAAAAF9ud0E=",0)</f>
        <v>#REF!</v>
      </c>
      <c r="BO213" t="e">
        <f>IF(#REF!,"AAAAAF9ud0I=",0)</f>
        <v>#REF!</v>
      </c>
      <c r="BP213" t="e">
        <f>IF(#REF!,"AAAAAF9ud0M=",0)</f>
        <v>#REF!</v>
      </c>
      <c r="BQ213" t="e">
        <f>IF(#REF!,"AAAAAF9ud0Q=",0)</f>
        <v>#REF!</v>
      </c>
      <c r="BR213" t="e">
        <f>IF(#REF!,"AAAAAF9ud0U=",0)</f>
        <v>#REF!</v>
      </c>
      <c r="BS213" t="e">
        <f>IF(#REF!,"AAAAAF9ud0Y=",0)</f>
        <v>#REF!</v>
      </c>
      <c r="BT213" t="e">
        <f>IF(#REF!,"AAAAAF9ud0c=",0)</f>
        <v>#REF!</v>
      </c>
      <c r="BU213" t="e">
        <f>IF(#REF!,"AAAAAF9ud0g=",0)</f>
        <v>#REF!</v>
      </c>
      <c r="BV213" t="e">
        <f>IF(#REF!,"AAAAAF9ud0k=",0)</f>
        <v>#REF!</v>
      </c>
      <c r="BW213" t="e">
        <f>IF(#REF!,"AAAAAF9ud0o=",0)</f>
        <v>#REF!</v>
      </c>
      <c r="BX213" t="e">
        <f>IF(#REF!,"AAAAAF9ud0s=",0)</f>
        <v>#REF!</v>
      </c>
      <c r="BY213" t="e">
        <f>IF(#REF!,"AAAAAF9ud0w=",0)</f>
        <v>#REF!</v>
      </c>
      <c r="BZ213" t="e">
        <f>IF(#REF!,"AAAAAF9ud00=",0)</f>
        <v>#REF!</v>
      </c>
      <c r="CA213" t="e">
        <f>IF(#REF!,"AAAAAF9ud04=",0)</f>
        <v>#REF!</v>
      </c>
      <c r="CB213" t="e">
        <f>IF(#REF!,"AAAAAF9ud08=",0)</f>
        <v>#REF!</v>
      </c>
      <c r="CC213" t="e">
        <f>IF(#REF!,"AAAAAF9ud1A=",0)</f>
        <v>#REF!</v>
      </c>
      <c r="CD213" t="e">
        <f>IF(#REF!,"AAAAAF9ud1E=",0)</f>
        <v>#REF!</v>
      </c>
      <c r="CE213" t="e">
        <f>IF(#REF!,"AAAAAF9ud1I=",0)</f>
        <v>#REF!</v>
      </c>
      <c r="CF213" t="e">
        <f>IF(#REF!,"AAAAAF9ud1M=",0)</f>
        <v>#REF!</v>
      </c>
      <c r="CG213" t="e">
        <f>IF(#REF!,"AAAAAF9ud1Q=",0)</f>
        <v>#REF!</v>
      </c>
      <c r="CH213" t="e">
        <f>IF(#REF!,"AAAAAF9ud1U=",0)</f>
        <v>#REF!</v>
      </c>
      <c r="CI213" t="e">
        <f>IF(#REF!,"AAAAAF9ud1Y=",0)</f>
        <v>#REF!</v>
      </c>
      <c r="CJ213" t="e">
        <f>IF(#REF!,"AAAAAF9ud1c=",0)</f>
        <v>#REF!</v>
      </c>
      <c r="CK213" t="e">
        <f>IF(#REF!,"AAAAAF9ud1g=",0)</f>
        <v>#REF!</v>
      </c>
      <c r="CL213" t="e">
        <f>IF(#REF!,"AAAAAF9ud1k=",0)</f>
        <v>#REF!</v>
      </c>
      <c r="CM213" t="e">
        <f>IF(#REF!,"AAAAAF9ud1o=",0)</f>
        <v>#REF!</v>
      </c>
      <c r="CN213" t="e">
        <f>IF(#REF!,"AAAAAF9ud1s=",0)</f>
        <v>#REF!</v>
      </c>
      <c r="CO213" t="e">
        <f>IF(#REF!,"AAAAAF9ud1w=",0)</f>
        <v>#REF!</v>
      </c>
      <c r="CP213" t="e">
        <f>IF(#REF!,"AAAAAF9ud10=",0)</f>
        <v>#REF!</v>
      </c>
      <c r="CQ213" t="e">
        <f>IF(#REF!,"AAAAAF9ud14=",0)</f>
        <v>#REF!</v>
      </c>
      <c r="CR213" t="e">
        <f>IF(#REF!,"AAAAAF9ud18=",0)</f>
        <v>#REF!</v>
      </c>
      <c r="CS213" t="e">
        <f>IF(#REF!,"AAAAAF9ud2A=",0)</f>
        <v>#REF!</v>
      </c>
      <c r="CT213" t="e">
        <f>IF(#REF!,"AAAAAF9ud2E=",0)</f>
        <v>#REF!</v>
      </c>
      <c r="CU213" t="e">
        <f>IF(#REF!,"AAAAAF9ud2I=",0)</f>
        <v>#REF!</v>
      </c>
      <c r="CV213" t="e">
        <f>IF(#REF!,"AAAAAF9ud2M=",0)</f>
        <v>#REF!</v>
      </c>
      <c r="CW213" t="e">
        <f>IF(#REF!,"AAAAAF9ud2Q=",0)</f>
        <v>#REF!</v>
      </c>
      <c r="CX213" t="e">
        <f>IF(#REF!,"AAAAAF9ud2U=",0)</f>
        <v>#REF!</v>
      </c>
      <c r="CY213" t="e">
        <f>IF(#REF!,"AAAAAF9ud2Y=",0)</f>
        <v>#REF!</v>
      </c>
      <c r="CZ213" t="e">
        <f>IF(#REF!,"AAAAAF9ud2c=",0)</f>
        <v>#REF!</v>
      </c>
      <c r="DA213" t="e">
        <f>IF(#REF!,"AAAAAF9ud2g=",0)</f>
        <v>#REF!</v>
      </c>
      <c r="DB213" t="e">
        <f>IF(#REF!,"AAAAAF9ud2k=",0)</f>
        <v>#REF!</v>
      </c>
      <c r="DC213" t="e">
        <f>IF(#REF!,"AAAAAF9ud2o=",0)</f>
        <v>#REF!</v>
      </c>
      <c r="DD213" t="e">
        <f>IF(#REF!,"AAAAAF9ud2s=",0)</f>
        <v>#REF!</v>
      </c>
      <c r="DE213" t="e">
        <f>IF(#REF!,"AAAAAF9ud2w=",0)</f>
        <v>#REF!</v>
      </c>
      <c r="DF213" t="e">
        <f>IF(#REF!,"AAAAAF9ud20=",0)</f>
        <v>#REF!</v>
      </c>
      <c r="DG213" t="e">
        <f>IF(#REF!,"AAAAAF9ud24=",0)</f>
        <v>#REF!</v>
      </c>
      <c r="DH213" t="e">
        <f>IF(#REF!,"AAAAAF9ud28=",0)</f>
        <v>#REF!</v>
      </c>
      <c r="DI213" t="e">
        <f>IF(#REF!,"AAAAAF9ud3A=",0)</f>
        <v>#REF!</v>
      </c>
      <c r="DJ213" t="e">
        <f>IF(#REF!,"AAAAAF9ud3E=",0)</f>
        <v>#REF!</v>
      </c>
      <c r="DK213" t="e">
        <f>IF(#REF!,"AAAAAF9ud3I=",0)</f>
        <v>#REF!</v>
      </c>
      <c r="DL213" t="e">
        <f>IF(#REF!,"AAAAAF9ud3M=",0)</f>
        <v>#REF!</v>
      </c>
      <c r="DM213" t="e">
        <f>IF(#REF!,"AAAAAF9ud3Q=",0)</f>
        <v>#REF!</v>
      </c>
      <c r="DN213" t="e">
        <f>IF(#REF!,"AAAAAF9ud3U=",0)</f>
        <v>#REF!</v>
      </c>
      <c r="DO213" t="e">
        <f>IF(#REF!,"AAAAAF9ud3Y=",0)</f>
        <v>#REF!</v>
      </c>
      <c r="DP213" t="e">
        <f>IF(#REF!,"AAAAAF9ud3c=",0)</f>
        <v>#REF!</v>
      </c>
      <c r="DQ213" t="e">
        <f>IF(#REF!,"AAAAAF9ud3g=",0)</f>
        <v>#REF!</v>
      </c>
      <c r="DR213" t="e">
        <f>IF(#REF!,"AAAAAF9ud3k=",0)</f>
        <v>#REF!</v>
      </c>
      <c r="DS213" t="e">
        <f>IF(#REF!,"AAAAAF9ud3o=",0)</f>
        <v>#REF!</v>
      </c>
      <c r="DT213" t="e">
        <f>IF(#REF!,"AAAAAF9ud3s=",0)</f>
        <v>#REF!</v>
      </c>
      <c r="DU213" t="e">
        <f>IF(#REF!,"AAAAAF9ud3w=",0)</f>
        <v>#REF!</v>
      </c>
      <c r="DV213" t="e">
        <f>IF(#REF!,"AAAAAF9ud30=",0)</f>
        <v>#REF!</v>
      </c>
      <c r="DW213" t="e">
        <f>IF(#REF!,"AAAAAF9ud34=",0)</f>
        <v>#REF!</v>
      </c>
      <c r="DX213" t="e">
        <f>IF(#REF!,"AAAAAF9ud38=",0)</f>
        <v>#REF!</v>
      </c>
      <c r="DY213" t="e">
        <f>IF(#REF!,"AAAAAF9ud4A=",0)</f>
        <v>#REF!</v>
      </c>
      <c r="DZ213" t="e">
        <f>IF(#REF!,"AAAAAF9ud4E=",0)</f>
        <v>#REF!</v>
      </c>
      <c r="EA213" t="e">
        <f>IF(#REF!,"AAAAAF9ud4I=",0)</f>
        <v>#REF!</v>
      </c>
      <c r="EB213" t="e">
        <f>IF(#REF!,"AAAAAF9ud4M=",0)</f>
        <v>#REF!</v>
      </c>
      <c r="EC213" t="e">
        <f>IF(#REF!,"AAAAAF9ud4Q=",0)</f>
        <v>#REF!</v>
      </c>
      <c r="ED213" t="e">
        <f>IF(#REF!,"AAAAAF9ud4U=",0)</f>
        <v>#REF!</v>
      </c>
      <c r="EE213" t="e">
        <f>IF(#REF!,"AAAAAF9ud4Y=",0)</f>
        <v>#REF!</v>
      </c>
      <c r="EF213" t="e">
        <f>IF(#REF!,"AAAAAF9ud4c=",0)</f>
        <v>#REF!</v>
      </c>
      <c r="EG213" t="e">
        <f>IF(#REF!,"AAAAAF9ud4g=",0)</f>
        <v>#REF!</v>
      </c>
      <c r="EH213" t="e">
        <f>IF(#REF!,"AAAAAF9ud4k=",0)</f>
        <v>#REF!</v>
      </c>
      <c r="EI213" t="e">
        <f>IF(#REF!,"AAAAAF9ud4o=",0)</f>
        <v>#REF!</v>
      </c>
      <c r="EJ213" t="e">
        <f>IF(#REF!,"AAAAAF9ud4s=",0)</f>
        <v>#REF!</v>
      </c>
      <c r="EK213" t="e">
        <f>IF(#REF!,"AAAAAF9ud4w=",0)</f>
        <v>#REF!</v>
      </c>
      <c r="EL213" t="e">
        <f>IF(#REF!,"AAAAAF9ud40=",0)</f>
        <v>#REF!</v>
      </c>
      <c r="EM213" t="e">
        <f>IF(#REF!,"AAAAAF9ud44=",0)</f>
        <v>#REF!</v>
      </c>
      <c r="EN213" t="e">
        <f>IF(#REF!,"AAAAAF9ud48=",0)</f>
        <v>#REF!</v>
      </c>
      <c r="EO213" t="e">
        <f>IF(#REF!,"AAAAAF9ud5A=",0)</f>
        <v>#REF!</v>
      </c>
      <c r="EP213" t="e">
        <f>IF(#REF!,"AAAAAF9ud5E=",0)</f>
        <v>#REF!</v>
      </c>
      <c r="EQ213" t="e">
        <f>IF(#REF!,"AAAAAF9ud5I=",0)</f>
        <v>#REF!</v>
      </c>
      <c r="ER213" t="e">
        <f>IF(#REF!,"AAAAAF9ud5M=",0)</f>
        <v>#REF!</v>
      </c>
      <c r="ES213" t="e">
        <f>IF(#REF!,"AAAAAF9ud5Q=",0)</f>
        <v>#REF!</v>
      </c>
      <c r="ET213" t="e">
        <f>IF(#REF!,"AAAAAF9ud5U=",0)</f>
        <v>#REF!</v>
      </c>
      <c r="EU213" t="e">
        <f>IF(#REF!,"AAAAAF9ud5Y=",0)</f>
        <v>#REF!</v>
      </c>
      <c r="EV213" t="e">
        <f>IF(#REF!,"AAAAAF9ud5c=",0)</f>
        <v>#REF!</v>
      </c>
      <c r="EW213" t="e">
        <f>IF(#REF!,"AAAAAF9ud5g=",0)</f>
        <v>#REF!</v>
      </c>
      <c r="EX213" t="e">
        <f>IF(#REF!,"AAAAAF9ud5k=",0)</f>
        <v>#REF!</v>
      </c>
      <c r="EY213" t="e">
        <f>IF(#REF!,"AAAAAF9ud5o=",0)</f>
        <v>#REF!</v>
      </c>
      <c r="EZ213" t="e">
        <f>IF(#REF!,"AAAAAF9ud5s=",0)</f>
        <v>#REF!</v>
      </c>
      <c r="FA213" t="e">
        <f>IF(#REF!,"AAAAAF9ud5w=",0)</f>
        <v>#REF!</v>
      </c>
      <c r="FB213" t="e">
        <f>IF(#REF!,"AAAAAF9ud50=",0)</f>
        <v>#REF!</v>
      </c>
      <c r="FC213" t="e">
        <f>IF(#REF!,"AAAAAF9ud54=",0)</f>
        <v>#REF!</v>
      </c>
      <c r="FD213" t="e">
        <f>IF(#REF!,"AAAAAF9ud58=",0)</f>
        <v>#REF!</v>
      </c>
      <c r="FE213" t="e">
        <f>IF(#REF!,"AAAAAF9ud6A=",0)</f>
        <v>#REF!</v>
      </c>
      <c r="FF213" t="e">
        <f>IF(#REF!,"AAAAAF9ud6E=",0)</f>
        <v>#REF!</v>
      </c>
      <c r="FG213" t="e">
        <f>IF(#REF!,"AAAAAF9ud6I=",0)</f>
        <v>#REF!</v>
      </c>
      <c r="FH213" t="e">
        <f>IF(#REF!,"AAAAAF9ud6M=",0)</f>
        <v>#REF!</v>
      </c>
      <c r="FI213" t="e">
        <f>IF(#REF!,"AAAAAF9ud6Q=",0)</f>
        <v>#REF!</v>
      </c>
      <c r="FJ213" t="e">
        <f>IF(#REF!,"AAAAAF9ud6U=",0)</f>
        <v>#REF!</v>
      </c>
      <c r="FK213" t="e">
        <f>IF(#REF!,"AAAAAF9ud6Y=",0)</f>
        <v>#REF!</v>
      </c>
      <c r="FL213" t="e">
        <f>IF(#REF!,"AAAAAF9ud6c=",0)</f>
        <v>#REF!</v>
      </c>
      <c r="FM213" t="e">
        <f>IF(#REF!,"AAAAAF9ud6g=",0)</f>
        <v>#REF!</v>
      </c>
      <c r="FN213" t="e">
        <f>IF(#REF!,"AAAAAF9ud6k=",0)</f>
        <v>#REF!</v>
      </c>
      <c r="FO213" t="e">
        <f>IF(#REF!,"AAAAAF9ud6o=",0)</f>
        <v>#REF!</v>
      </c>
      <c r="FP213" t="e">
        <f>IF(#REF!,"AAAAAF9ud6s=",0)</f>
        <v>#REF!</v>
      </c>
      <c r="FQ213" t="e">
        <f>IF(#REF!,"AAAAAF9ud6w=",0)</f>
        <v>#REF!</v>
      </c>
      <c r="FR213" t="e">
        <f>IF(#REF!,"AAAAAF9ud60=",0)</f>
        <v>#REF!</v>
      </c>
      <c r="FS213" t="e">
        <f>IF(#REF!,"AAAAAF9ud64=",0)</f>
        <v>#REF!</v>
      </c>
      <c r="FT213" t="e">
        <f>IF(#REF!,"AAAAAF9ud68=",0)</f>
        <v>#REF!</v>
      </c>
      <c r="FU213" t="e">
        <f>IF(#REF!,"AAAAAF9ud7A=",0)</f>
        <v>#REF!</v>
      </c>
      <c r="FV213" t="e">
        <f>IF(#REF!,"AAAAAF9ud7E=",0)</f>
        <v>#REF!</v>
      </c>
      <c r="FW213" t="e">
        <f>IF(#REF!,"AAAAAF9ud7I=",0)</f>
        <v>#REF!</v>
      </c>
      <c r="FX213" t="e">
        <f>IF(#REF!,"AAAAAF9ud7M=",0)</f>
        <v>#REF!</v>
      </c>
      <c r="FY213" t="e">
        <f>IF(#REF!,"AAAAAF9ud7Q=",0)</f>
        <v>#REF!</v>
      </c>
      <c r="FZ213" t="e">
        <f>IF(#REF!,"AAAAAF9ud7U=",0)</f>
        <v>#REF!</v>
      </c>
      <c r="GA213" t="e">
        <f>IF(#REF!,"AAAAAF9ud7Y=",0)</f>
        <v>#REF!</v>
      </c>
      <c r="GB213" t="e">
        <f>IF(#REF!,"AAAAAF9ud7c=",0)</f>
        <v>#REF!</v>
      </c>
      <c r="GC213" t="e">
        <f>IF(#REF!,"AAAAAF9ud7g=",0)</f>
        <v>#REF!</v>
      </c>
      <c r="GD213" t="e">
        <f>IF(#REF!,"AAAAAF9ud7k=",0)</f>
        <v>#REF!</v>
      </c>
      <c r="GE213" t="e">
        <f>IF(#REF!,"AAAAAF9ud7o=",0)</f>
        <v>#REF!</v>
      </c>
      <c r="GF213" t="e">
        <f>IF(#REF!,"AAAAAF9ud7s=",0)</f>
        <v>#REF!</v>
      </c>
      <c r="GG213" t="e">
        <f>IF(#REF!,"AAAAAF9ud7w=",0)</f>
        <v>#REF!</v>
      </c>
      <c r="GH213" t="e">
        <f>IF(#REF!,"AAAAAF9ud70=",0)</f>
        <v>#REF!</v>
      </c>
      <c r="GI213" t="e">
        <f>IF(#REF!,"AAAAAF9ud74=",0)</f>
        <v>#REF!</v>
      </c>
      <c r="GJ213" t="e">
        <f>IF(#REF!,"AAAAAF9ud78=",0)</f>
        <v>#REF!</v>
      </c>
      <c r="GK213" t="e">
        <f>IF(#REF!,"AAAAAF9ud8A=",0)</f>
        <v>#REF!</v>
      </c>
      <c r="GL213" t="e">
        <f>IF(#REF!,"AAAAAF9ud8E=",0)</f>
        <v>#REF!</v>
      </c>
      <c r="GM213" t="e">
        <f>IF(#REF!,"AAAAAF9ud8I=",0)</f>
        <v>#REF!</v>
      </c>
      <c r="GN213" t="e">
        <f>IF(#REF!,"AAAAAF9ud8M=",0)</f>
        <v>#REF!</v>
      </c>
      <c r="GO213" t="e">
        <f>IF(#REF!,"AAAAAF9ud8Q=",0)</f>
        <v>#REF!</v>
      </c>
      <c r="GP213" t="e">
        <f>IF(#REF!,"AAAAAF9ud8U=",0)</f>
        <v>#REF!</v>
      </c>
      <c r="GQ213" t="e">
        <f>IF(#REF!,"AAAAAF9ud8Y=",0)</f>
        <v>#REF!</v>
      </c>
      <c r="GR213" t="e">
        <f>IF(#REF!,"AAAAAF9ud8c=",0)</f>
        <v>#REF!</v>
      </c>
      <c r="GS213" t="e">
        <f>IF(#REF!,"AAAAAF9ud8g=",0)</f>
        <v>#REF!</v>
      </c>
      <c r="GT213" t="e">
        <f>IF(#REF!,"AAAAAF9ud8k=",0)</f>
        <v>#REF!</v>
      </c>
      <c r="GU213" t="e">
        <f>IF(#REF!,"AAAAAF9ud8o=",0)</f>
        <v>#REF!</v>
      </c>
      <c r="GV213" t="e">
        <f>IF(#REF!,"AAAAAF9ud8s=",0)</f>
        <v>#REF!</v>
      </c>
      <c r="GW213" t="e">
        <f>IF(#REF!,"AAAAAF9ud8w=",0)</f>
        <v>#REF!</v>
      </c>
      <c r="GX213" t="e">
        <f>IF(#REF!,"AAAAAF9ud80=",0)</f>
        <v>#REF!</v>
      </c>
      <c r="GY213" t="e">
        <f>IF(#REF!,"AAAAAF9ud84=",0)</f>
        <v>#REF!</v>
      </c>
      <c r="GZ213" t="e">
        <f>IF(#REF!,"AAAAAF9ud88=",0)</f>
        <v>#REF!</v>
      </c>
      <c r="HA213" t="e">
        <f>IF(#REF!,"AAAAAF9ud9A=",0)</f>
        <v>#REF!</v>
      </c>
      <c r="HB213" t="e">
        <f>IF(#REF!,"AAAAAF9ud9E=",0)</f>
        <v>#REF!</v>
      </c>
      <c r="HC213" t="e">
        <f>IF(#REF!,"AAAAAF9ud9I=",0)</f>
        <v>#REF!</v>
      </c>
      <c r="HD213" t="e">
        <f>IF(#REF!,"AAAAAF9ud9M=",0)</f>
        <v>#REF!</v>
      </c>
      <c r="HE213" t="e">
        <f>IF(#REF!,"AAAAAF9ud9Q=",0)</f>
        <v>#REF!</v>
      </c>
      <c r="HF213" t="e">
        <f>IF(#REF!,"AAAAAF9ud9U=",0)</f>
        <v>#REF!</v>
      </c>
      <c r="HG213" t="e">
        <f>IF(#REF!,"AAAAAF9ud9Y=",0)</f>
        <v>#REF!</v>
      </c>
      <c r="HH213" t="e">
        <f>IF(#REF!,"AAAAAF9ud9c=",0)</f>
        <v>#REF!</v>
      </c>
      <c r="HI213" t="e">
        <f>IF(#REF!,"AAAAAF9ud9g=",0)</f>
        <v>#REF!</v>
      </c>
      <c r="HJ213" t="e">
        <f>IF(#REF!,"AAAAAF9ud9k=",0)</f>
        <v>#REF!</v>
      </c>
      <c r="HK213" t="e">
        <f>IF(#REF!,"AAAAAF9ud9o=",0)</f>
        <v>#REF!</v>
      </c>
      <c r="HL213" t="e">
        <f>IF(#REF!,"AAAAAF9ud9s=",0)</f>
        <v>#REF!</v>
      </c>
      <c r="HM213" t="e">
        <f>IF(#REF!,"AAAAAF9ud9w=",0)</f>
        <v>#REF!</v>
      </c>
      <c r="HN213" t="e">
        <f>IF(#REF!,"AAAAAF9ud90=",0)</f>
        <v>#REF!</v>
      </c>
      <c r="HO213" t="e">
        <f>IF(#REF!,"AAAAAF9ud94=",0)</f>
        <v>#REF!</v>
      </c>
      <c r="HP213" t="e">
        <f>IF(#REF!,"AAAAAF9ud98=",0)</f>
        <v>#REF!</v>
      </c>
      <c r="HQ213" t="e">
        <f>IF(#REF!,"AAAAAF9ud+A=",0)</f>
        <v>#REF!</v>
      </c>
      <c r="HR213" t="e">
        <f>IF(#REF!,"AAAAAF9ud+E=",0)</f>
        <v>#REF!</v>
      </c>
      <c r="HS213" t="e">
        <f>IF(#REF!,"AAAAAF9ud+I=",0)</f>
        <v>#REF!</v>
      </c>
      <c r="HT213" t="e">
        <f>IF(#REF!,"AAAAAF9ud+M=",0)</f>
        <v>#REF!</v>
      </c>
      <c r="HU213" t="e">
        <f>IF(#REF!,"AAAAAF9ud+Q=",0)</f>
        <v>#REF!</v>
      </c>
      <c r="HV213" t="e">
        <f>IF(#REF!,"AAAAAF9ud+U=",0)</f>
        <v>#REF!</v>
      </c>
      <c r="HW213" t="e">
        <f>IF(#REF!,"AAAAAF9ud+Y=",0)</f>
        <v>#REF!</v>
      </c>
      <c r="HX213" t="e">
        <f>IF(#REF!,"AAAAAF9ud+c=",0)</f>
        <v>#REF!</v>
      </c>
      <c r="HY213" t="e">
        <f>IF(#REF!,"AAAAAF9ud+g=",0)</f>
        <v>#REF!</v>
      </c>
      <c r="HZ213" t="e">
        <f>IF(#REF!,"AAAAAF9ud+k=",0)</f>
        <v>#REF!</v>
      </c>
      <c r="IA213" t="e">
        <f>IF(#REF!,"AAAAAF9ud+o=",0)</f>
        <v>#REF!</v>
      </c>
      <c r="IB213" t="e">
        <f>IF(#REF!,"AAAAAF9ud+s=",0)</f>
        <v>#REF!</v>
      </c>
      <c r="IC213" t="e">
        <f>IF(#REF!,"AAAAAF9ud+w=",0)</f>
        <v>#REF!</v>
      </c>
      <c r="ID213" t="e">
        <f>IF(#REF!,"AAAAAF9ud+0=",0)</f>
        <v>#REF!</v>
      </c>
      <c r="IE213" t="e">
        <f>IF(#REF!,"AAAAAF9ud+4=",0)</f>
        <v>#REF!</v>
      </c>
      <c r="IF213" t="e">
        <f>IF(#REF!,"AAAAAF9ud+8=",0)</f>
        <v>#REF!</v>
      </c>
      <c r="IG213" t="e">
        <f>IF(#REF!,"AAAAAF9ud/A=",0)</f>
        <v>#REF!</v>
      </c>
      <c r="IH213" t="e">
        <f>IF(#REF!,"AAAAAF9ud/E=",0)</f>
        <v>#REF!</v>
      </c>
      <c r="II213" t="e">
        <f>IF(#REF!,"AAAAAF9ud/I=",0)</f>
        <v>#REF!</v>
      </c>
      <c r="IJ213" t="e">
        <f>IF(#REF!,"AAAAAF9ud/M=",0)</f>
        <v>#REF!</v>
      </c>
      <c r="IK213" t="e">
        <f>IF(#REF!,"AAAAAF9ud/Q=",0)</f>
        <v>#REF!</v>
      </c>
      <c r="IL213" t="e">
        <f>IF(#REF!,"AAAAAF9ud/U=",0)</f>
        <v>#REF!</v>
      </c>
      <c r="IM213" t="e">
        <f>IF(#REF!,"AAAAAF9ud/Y=",0)</f>
        <v>#REF!</v>
      </c>
      <c r="IN213" t="e">
        <f>IF(#REF!,"AAAAAF9ud/c=",0)</f>
        <v>#REF!</v>
      </c>
      <c r="IO213" t="e">
        <f>IF(#REF!,"AAAAAF9ud/g=",0)</f>
        <v>#REF!</v>
      </c>
      <c r="IP213" t="e">
        <f>IF(#REF!,"AAAAAF9ud/k=",0)</f>
        <v>#REF!</v>
      </c>
      <c r="IQ213" t="e">
        <f>IF(#REF!,"AAAAAF9ud/o=",0)</f>
        <v>#REF!</v>
      </c>
      <c r="IR213" t="e">
        <f>IF(#REF!,"AAAAAF9ud/s=",0)</f>
        <v>#REF!</v>
      </c>
      <c r="IS213" t="e">
        <f>IF(#REF!,"AAAAAF9ud/w=",0)</f>
        <v>#REF!</v>
      </c>
      <c r="IT213" t="e">
        <f>IF(#REF!,"AAAAAF9ud/0=",0)</f>
        <v>#REF!</v>
      </c>
      <c r="IU213" t="e">
        <f>IF(#REF!,"AAAAAF9ud/4=",0)</f>
        <v>#REF!</v>
      </c>
      <c r="IV213" t="e">
        <f>IF(#REF!,"AAAAAF9ud/8=",0)</f>
        <v>#REF!</v>
      </c>
    </row>
    <row r="214" spans="1:256">
      <c r="A214" t="e">
        <f>IF(#REF!,"AAAAAHe3awA=",0)</f>
        <v>#REF!</v>
      </c>
      <c r="B214" t="e">
        <f>IF(#REF!,"AAAAAHe3awE=",0)</f>
        <v>#REF!</v>
      </c>
      <c r="C214" t="e">
        <f>IF(#REF!,"AAAAAHe3awI=",0)</f>
        <v>#REF!</v>
      </c>
      <c r="D214" t="e">
        <f>IF(#REF!,"AAAAAHe3awM=",0)</f>
        <v>#REF!</v>
      </c>
      <c r="E214" t="e">
        <f>IF(#REF!,"AAAAAHe3awQ=",0)</f>
        <v>#REF!</v>
      </c>
      <c r="F214" t="e">
        <f>IF(#REF!,"AAAAAHe3awU=",0)</f>
        <v>#REF!</v>
      </c>
      <c r="G214" t="e">
        <f>IF(#REF!,"AAAAAHe3awY=",0)</f>
        <v>#REF!</v>
      </c>
      <c r="H214" t="e">
        <f>IF(#REF!,"AAAAAHe3awc=",0)</f>
        <v>#REF!</v>
      </c>
      <c r="I214" t="e">
        <f>IF(#REF!,"AAAAAHe3awg=",0)</f>
        <v>#REF!</v>
      </c>
      <c r="J214" t="e">
        <f>IF(#REF!,"AAAAAHe3awk=",0)</f>
        <v>#REF!</v>
      </c>
      <c r="K214" t="e">
        <f>IF(#REF!,"AAAAAHe3awo=",0)</f>
        <v>#REF!</v>
      </c>
      <c r="L214" t="e">
        <f>IF(#REF!,"AAAAAHe3aws=",0)</f>
        <v>#REF!</v>
      </c>
      <c r="M214" t="e">
        <f>IF(#REF!,"AAAAAHe3aww=",0)</f>
        <v>#REF!</v>
      </c>
      <c r="N214" t="e">
        <f>IF(#REF!,"AAAAAHe3aw0=",0)</f>
        <v>#REF!</v>
      </c>
      <c r="O214" t="e">
        <f>IF(#REF!,"AAAAAHe3aw4=",0)</f>
        <v>#REF!</v>
      </c>
      <c r="P214" t="e">
        <f>IF(#REF!,"AAAAAHe3aw8=",0)</f>
        <v>#REF!</v>
      </c>
      <c r="Q214" t="e">
        <f>IF(#REF!,"AAAAAHe3axA=",0)</f>
        <v>#REF!</v>
      </c>
      <c r="R214" t="e">
        <f>IF(#REF!,"AAAAAHe3axE=",0)</f>
        <v>#REF!</v>
      </c>
      <c r="S214" t="e">
        <f>IF(#REF!,"AAAAAHe3axI=",0)</f>
        <v>#REF!</v>
      </c>
      <c r="T214" t="e">
        <f>IF(#REF!,"AAAAAHe3axM=",0)</f>
        <v>#REF!</v>
      </c>
      <c r="U214" t="e">
        <f>IF(#REF!,"AAAAAHe3axQ=",0)</f>
        <v>#REF!</v>
      </c>
      <c r="V214" t="e">
        <f>IF(#REF!,"AAAAAHe3axU=",0)</f>
        <v>#REF!</v>
      </c>
      <c r="W214" t="e">
        <f>IF(#REF!,"AAAAAHe3axY=",0)</f>
        <v>#REF!</v>
      </c>
      <c r="X214" t="e">
        <f>IF(#REF!,"AAAAAHe3axc=",0)</f>
        <v>#REF!</v>
      </c>
      <c r="Y214" t="e">
        <f>IF(#REF!,"AAAAAHe3axg=",0)</f>
        <v>#REF!</v>
      </c>
      <c r="Z214" t="e">
        <f>IF(#REF!,"AAAAAHe3axk=",0)</f>
        <v>#REF!</v>
      </c>
      <c r="AA214" t="e">
        <f>IF(#REF!,"AAAAAHe3axo=",0)</f>
        <v>#REF!</v>
      </c>
      <c r="AB214" t="e">
        <f>IF(#REF!,"AAAAAHe3axs=",0)</f>
        <v>#REF!</v>
      </c>
      <c r="AC214" t="e">
        <f>IF(#REF!,"AAAAAHe3axw=",0)</f>
        <v>#REF!</v>
      </c>
      <c r="AD214" t="e">
        <f>IF(#REF!,"AAAAAHe3ax0=",0)</f>
        <v>#REF!</v>
      </c>
      <c r="AE214" t="e">
        <f>IF(#REF!,"AAAAAHe3ax4=",0)</f>
        <v>#REF!</v>
      </c>
      <c r="AF214" t="e">
        <f>IF(#REF!,"AAAAAHe3ax8=",0)</f>
        <v>#REF!</v>
      </c>
      <c r="AG214" t="e">
        <f>IF(#REF!,"AAAAAHe3ayA=",0)</f>
        <v>#REF!</v>
      </c>
      <c r="AH214" t="e">
        <f>IF(#REF!,"AAAAAHe3ayE=",0)</f>
        <v>#REF!</v>
      </c>
      <c r="AI214" t="e">
        <f>IF(#REF!,"AAAAAHe3ayI=",0)</f>
        <v>#REF!</v>
      </c>
      <c r="AJ214" t="e">
        <f>IF(#REF!,"AAAAAHe3ayM=",0)</f>
        <v>#REF!</v>
      </c>
      <c r="AK214" t="e">
        <f>IF(#REF!,"AAAAAHe3ayQ=",0)</f>
        <v>#REF!</v>
      </c>
      <c r="AL214" t="e">
        <f>IF(#REF!,"AAAAAHe3ayU=",0)</f>
        <v>#REF!</v>
      </c>
      <c r="AM214" t="e">
        <f>IF(#REF!,"AAAAAHe3ayY=",0)</f>
        <v>#REF!</v>
      </c>
      <c r="AN214" t="e">
        <f>IF(#REF!,"AAAAAHe3ayc=",0)</f>
        <v>#REF!</v>
      </c>
      <c r="AO214" t="e">
        <f>IF(#REF!,"AAAAAHe3ayg=",0)</f>
        <v>#REF!</v>
      </c>
      <c r="AP214" t="e">
        <f>IF(#REF!,"AAAAAHe3ayk=",0)</f>
        <v>#REF!</v>
      </c>
      <c r="AQ214" t="e">
        <f>IF(#REF!,"AAAAAHe3ayo=",0)</f>
        <v>#REF!</v>
      </c>
      <c r="AR214" t="e">
        <f>IF(#REF!,"AAAAAHe3ays=",0)</f>
        <v>#REF!</v>
      </c>
      <c r="AS214" t="e">
        <f>IF(#REF!,"AAAAAHe3ayw=",0)</f>
        <v>#REF!</v>
      </c>
      <c r="AT214" t="e">
        <f>IF(#REF!,"AAAAAHe3ay0=",0)</f>
        <v>#REF!</v>
      </c>
      <c r="AU214" t="e">
        <f>IF(#REF!,"AAAAAHe3ay4=",0)</f>
        <v>#REF!</v>
      </c>
      <c r="AV214" t="e">
        <f>IF(#REF!,"AAAAAHe3ay8=",0)</f>
        <v>#REF!</v>
      </c>
      <c r="AW214" t="e">
        <f>IF(#REF!,"AAAAAHe3azA=",0)</f>
        <v>#REF!</v>
      </c>
      <c r="AX214" t="e">
        <f>IF(#REF!,"AAAAAHe3azE=",0)</f>
        <v>#REF!</v>
      </c>
      <c r="AY214" t="e">
        <f>IF(#REF!,"AAAAAHe3azI=",0)</f>
        <v>#REF!</v>
      </c>
      <c r="AZ214" t="e">
        <f>IF(#REF!,"AAAAAHe3azM=",0)</f>
        <v>#REF!</v>
      </c>
      <c r="BA214" t="e">
        <f>IF(#REF!,"AAAAAHe3azQ=",0)</f>
        <v>#REF!</v>
      </c>
      <c r="BB214" t="e">
        <f>IF(#REF!,"AAAAAHe3azU=",0)</f>
        <v>#REF!</v>
      </c>
      <c r="BC214" t="e">
        <f>IF(#REF!,"AAAAAHe3azY=",0)</f>
        <v>#REF!</v>
      </c>
      <c r="BD214" t="e">
        <f>IF(#REF!,"AAAAAHe3azc=",0)</f>
        <v>#REF!</v>
      </c>
      <c r="BE214" t="e">
        <f>IF(#REF!,"AAAAAHe3azg=",0)</f>
        <v>#REF!</v>
      </c>
      <c r="BF214" t="e">
        <f>IF(#REF!,"AAAAAHe3azk=",0)</f>
        <v>#REF!</v>
      </c>
      <c r="BG214" t="e">
        <f>IF(#REF!,"AAAAAHe3azo=",0)</f>
        <v>#REF!</v>
      </c>
      <c r="BH214" t="e">
        <f>IF(#REF!,"AAAAAHe3azs=",0)</f>
        <v>#REF!</v>
      </c>
      <c r="BI214" t="e">
        <f>IF(#REF!,"AAAAAHe3azw=",0)</f>
        <v>#REF!</v>
      </c>
      <c r="BJ214" t="e">
        <f>IF(#REF!,"AAAAAHe3az0=",0)</f>
        <v>#REF!</v>
      </c>
      <c r="BK214" t="e">
        <f>IF(#REF!,"AAAAAHe3az4=",0)</f>
        <v>#REF!</v>
      </c>
      <c r="BL214" t="e">
        <f>IF(#REF!,"AAAAAHe3az8=",0)</f>
        <v>#REF!</v>
      </c>
      <c r="BM214" t="e">
        <f>IF(#REF!,"AAAAAHe3a0A=",0)</f>
        <v>#REF!</v>
      </c>
      <c r="BN214" t="e">
        <f>IF(#REF!,"AAAAAHe3a0E=",0)</f>
        <v>#REF!</v>
      </c>
      <c r="BO214" t="e">
        <f>IF(#REF!,"AAAAAHe3a0I=",0)</f>
        <v>#REF!</v>
      </c>
      <c r="BP214" t="e">
        <f>IF(#REF!,"AAAAAHe3a0M=",0)</f>
        <v>#REF!</v>
      </c>
      <c r="BQ214" t="e">
        <f>IF(#REF!,"AAAAAHe3a0Q=",0)</f>
        <v>#REF!</v>
      </c>
      <c r="BR214" t="e">
        <f>IF(#REF!,"AAAAAHe3a0U=",0)</f>
        <v>#REF!</v>
      </c>
      <c r="BS214" t="e">
        <f>IF(#REF!,"AAAAAHe3a0Y=",0)</f>
        <v>#REF!</v>
      </c>
      <c r="BT214" t="e">
        <f>IF(#REF!,"AAAAAHe3a0c=",0)</f>
        <v>#REF!</v>
      </c>
      <c r="BU214" t="e">
        <f>IF(#REF!,"AAAAAHe3a0g=",0)</f>
        <v>#REF!</v>
      </c>
      <c r="BV214" t="e">
        <f>IF(#REF!,"AAAAAHe3a0k=",0)</f>
        <v>#REF!</v>
      </c>
      <c r="BW214" t="e">
        <f>IF(#REF!,"AAAAAHe3a0o=",0)</f>
        <v>#REF!</v>
      </c>
      <c r="BX214" t="e">
        <f>IF(#REF!,"AAAAAHe3a0s=",0)</f>
        <v>#REF!</v>
      </c>
      <c r="BY214" t="e">
        <f>IF(#REF!,"AAAAAHe3a0w=",0)</f>
        <v>#REF!</v>
      </c>
      <c r="BZ214" t="e">
        <f>IF(#REF!,"AAAAAHe3a00=",0)</f>
        <v>#REF!</v>
      </c>
      <c r="CA214" t="e">
        <f>IF(#REF!,"AAAAAHe3a04=",0)</f>
        <v>#REF!</v>
      </c>
      <c r="CB214" t="e">
        <f>IF(#REF!,"AAAAAHe3a08=",0)</f>
        <v>#REF!</v>
      </c>
      <c r="CC214" t="e">
        <f>IF(#REF!,"AAAAAHe3a1A=",0)</f>
        <v>#REF!</v>
      </c>
      <c r="CD214" t="e">
        <f>IF(#REF!,"AAAAAHe3a1E=",0)</f>
        <v>#REF!</v>
      </c>
      <c r="CE214" t="e">
        <f>IF(#REF!,"AAAAAHe3a1I=",0)</f>
        <v>#REF!</v>
      </c>
      <c r="CF214" t="e">
        <f>IF(#REF!,"AAAAAHe3a1M=",0)</f>
        <v>#REF!</v>
      </c>
      <c r="CG214" t="e">
        <f>IF(#REF!,"AAAAAHe3a1Q=",0)</f>
        <v>#REF!</v>
      </c>
      <c r="CH214" t="e">
        <f>IF(#REF!,"AAAAAHe3a1U=",0)</f>
        <v>#REF!</v>
      </c>
      <c r="CI214" t="e">
        <f>IF(#REF!,"AAAAAHe3a1Y=",0)</f>
        <v>#REF!</v>
      </c>
      <c r="CJ214" t="e">
        <f>IF(#REF!,"AAAAAHe3a1c=",0)</f>
        <v>#REF!</v>
      </c>
      <c r="CK214" t="e">
        <f>IF(#REF!,"AAAAAHe3a1g=",0)</f>
        <v>#REF!</v>
      </c>
      <c r="CL214" t="e">
        <f>IF(#REF!,"AAAAAHe3a1k=",0)</f>
        <v>#REF!</v>
      </c>
      <c r="CM214" t="e">
        <f>IF(#REF!,"AAAAAHe3a1o=",0)</f>
        <v>#REF!</v>
      </c>
      <c r="CN214" t="e">
        <f>IF(#REF!,"AAAAAHe3a1s=",0)</f>
        <v>#REF!</v>
      </c>
      <c r="CO214" t="e">
        <f>IF(#REF!,"AAAAAHe3a1w=",0)</f>
        <v>#REF!</v>
      </c>
      <c r="CP214" t="e">
        <f>IF(#REF!,"AAAAAHe3a10=",0)</f>
        <v>#REF!</v>
      </c>
      <c r="CQ214" t="e">
        <f>IF(#REF!,"AAAAAHe3a14=",0)</f>
        <v>#REF!</v>
      </c>
      <c r="CR214" t="e">
        <f>IF(#REF!,"AAAAAHe3a18=",0)</f>
        <v>#REF!</v>
      </c>
      <c r="CS214" t="e">
        <f>IF(#REF!,"AAAAAHe3a2A=",0)</f>
        <v>#REF!</v>
      </c>
      <c r="CT214" t="e">
        <f>IF(#REF!,"AAAAAHe3a2E=",0)</f>
        <v>#REF!</v>
      </c>
      <c r="CU214" t="e">
        <f>IF(#REF!,"AAAAAHe3a2I=",0)</f>
        <v>#REF!</v>
      </c>
      <c r="CV214" t="e">
        <f>IF(#REF!,"AAAAAHe3a2M=",0)</f>
        <v>#REF!</v>
      </c>
      <c r="CW214" t="e">
        <f>IF(#REF!,"AAAAAHe3a2Q=",0)</f>
        <v>#REF!</v>
      </c>
      <c r="CX214" t="e">
        <f>IF(#REF!,"AAAAAHe3a2U=",0)</f>
        <v>#REF!</v>
      </c>
      <c r="CY214" t="e">
        <f>IF(#REF!,"AAAAAHe3a2Y=",0)</f>
        <v>#REF!</v>
      </c>
      <c r="CZ214" t="e">
        <f>IF(#REF!,"AAAAAHe3a2c=",0)</f>
        <v>#REF!</v>
      </c>
      <c r="DA214" t="e">
        <f>IF(#REF!,"AAAAAHe3a2g=",0)</f>
        <v>#REF!</v>
      </c>
      <c r="DB214" t="e">
        <f>IF(#REF!,"AAAAAHe3a2k=",0)</f>
        <v>#REF!</v>
      </c>
      <c r="DC214" t="e">
        <f>IF(#REF!,"AAAAAHe3a2o=",0)</f>
        <v>#REF!</v>
      </c>
      <c r="DD214" t="e">
        <f>IF(#REF!,"AAAAAHe3a2s=",0)</f>
        <v>#REF!</v>
      </c>
      <c r="DE214" t="e">
        <f>IF(#REF!,"AAAAAHe3a2w=",0)</f>
        <v>#REF!</v>
      </c>
      <c r="DF214" t="e">
        <f>IF(#REF!,"AAAAAHe3a20=",0)</f>
        <v>#REF!</v>
      </c>
      <c r="DG214" t="e">
        <f>IF(#REF!,"AAAAAHe3a24=",0)</f>
        <v>#REF!</v>
      </c>
      <c r="DH214" t="e">
        <f>IF(#REF!,"AAAAAHe3a28=",0)</f>
        <v>#REF!</v>
      </c>
      <c r="DI214" t="e">
        <f>IF(#REF!,"AAAAAHe3a3A=",0)</f>
        <v>#REF!</v>
      </c>
      <c r="DJ214" t="e">
        <f>IF(#REF!,"AAAAAHe3a3E=",0)</f>
        <v>#REF!</v>
      </c>
      <c r="DK214" t="e">
        <f>IF(#REF!,"AAAAAHe3a3I=",0)</f>
        <v>#REF!</v>
      </c>
      <c r="DL214" t="e">
        <f>IF(#REF!,"AAAAAHe3a3M=",0)</f>
        <v>#REF!</v>
      </c>
      <c r="DM214" t="e">
        <f>IF(#REF!,"AAAAAHe3a3Q=",0)</f>
        <v>#REF!</v>
      </c>
      <c r="DN214" t="e">
        <f>IF(#REF!,"AAAAAHe3a3U=",0)</f>
        <v>#REF!</v>
      </c>
      <c r="DO214" t="e">
        <f>IF(#REF!,"AAAAAHe3a3Y=",0)</f>
        <v>#REF!</v>
      </c>
      <c r="DP214" t="e">
        <f>IF(#REF!,"AAAAAHe3a3c=",0)</f>
        <v>#REF!</v>
      </c>
      <c r="DQ214" t="e">
        <f>IF(#REF!,"AAAAAHe3a3g=",0)</f>
        <v>#REF!</v>
      </c>
      <c r="DR214" t="e">
        <f>IF(#REF!,"AAAAAHe3a3k=",0)</f>
        <v>#REF!</v>
      </c>
      <c r="DS214" t="e">
        <f>IF(#REF!,"AAAAAHe3a3o=",0)</f>
        <v>#REF!</v>
      </c>
      <c r="DT214" t="e">
        <f>IF(#REF!,"AAAAAHe3a3s=",0)</f>
        <v>#REF!</v>
      </c>
      <c r="DU214" t="e">
        <f>IF(#REF!,"AAAAAHe3a3w=",0)</f>
        <v>#REF!</v>
      </c>
      <c r="DV214" t="e">
        <f>IF(#REF!,"AAAAAHe3a30=",0)</f>
        <v>#REF!</v>
      </c>
      <c r="DW214" t="e">
        <f>IF(#REF!,"AAAAAHe3a34=",0)</f>
        <v>#REF!</v>
      </c>
      <c r="DX214" t="e">
        <f>IF(#REF!,"AAAAAHe3a38=",0)</f>
        <v>#REF!</v>
      </c>
      <c r="DY214" t="e">
        <f>IF(#REF!,"AAAAAHe3a4A=",0)</f>
        <v>#REF!</v>
      </c>
      <c r="DZ214" t="e">
        <f>IF(#REF!,"AAAAAHe3a4E=",0)</f>
        <v>#REF!</v>
      </c>
      <c r="EA214" t="e">
        <f>IF(#REF!,"AAAAAHe3a4I=",0)</f>
        <v>#REF!</v>
      </c>
      <c r="EB214" t="e">
        <f>IF(#REF!,"AAAAAHe3a4M=",0)</f>
        <v>#REF!</v>
      </c>
      <c r="EC214" t="e">
        <f>IF(#REF!,"AAAAAHe3a4Q=",0)</f>
        <v>#REF!</v>
      </c>
      <c r="ED214" t="e">
        <f>IF(#REF!,"AAAAAHe3a4U=",0)</f>
        <v>#REF!</v>
      </c>
      <c r="EE214" t="e">
        <f>IF(#REF!,"AAAAAHe3a4Y=",0)</f>
        <v>#REF!</v>
      </c>
      <c r="EF214" t="e">
        <f>IF(#REF!,"AAAAAHe3a4c=",0)</f>
        <v>#REF!</v>
      </c>
      <c r="EG214" t="e">
        <f>IF(#REF!,"AAAAAHe3a4g=",0)</f>
        <v>#REF!</v>
      </c>
      <c r="EH214" t="e">
        <f>IF(#REF!,"AAAAAHe3a4k=",0)</f>
        <v>#REF!</v>
      </c>
      <c r="EI214" t="e">
        <f>IF(#REF!,"AAAAAHe3a4o=",0)</f>
        <v>#REF!</v>
      </c>
      <c r="EJ214" t="e">
        <f>IF(#REF!,"AAAAAHe3a4s=",0)</f>
        <v>#REF!</v>
      </c>
      <c r="EK214" t="e">
        <f>IF(#REF!,"AAAAAHe3a4w=",0)</f>
        <v>#REF!</v>
      </c>
      <c r="EL214" t="e">
        <f>IF(#REF!,"AAAAAHe3a40=",0)</f>
        <v>#REF!</v>
      </c>
      <c r="EM214" t="e">
        <f>IF(#REF!,"AAAAAHe3a44=",0)</f>
        <v>#REF!</v>
      </c>
      <c r="EN214" t="e">
        <f>IF(#REF!,"AAAAAHe3a48=",0)</f>
        <v>#REF!</v>
      </c>
      <c r="EO214" t="e">
        <f>IF(#REF!,"AAAAAHe3a5A=",0)</f>
        <v>#REF!</v>
      </c>
      <c r="EP214" t="e">
        <f>IF(#REF!,"AAAAAHe3a5E=",0)</f>
        <v>#REF!</v>
      </c>
      <c r="EQ214" t="e">
        <f>IF(#REF!,"AAAAAHe3a5I=",0)</f>
        <v>#REF!</v>
      </c>
      <c r="ER214" t="e">
        <f>IF(#REF!,"AAAAAHe3a5M=",0)</f>
        <v>#REF!</v>
      </c>
      <c r="ES214" t="e">
        <f>IF(#REF!,"AAAAAHe3a5Q=",0)</f>
        <v>#REF!</v>
      </c>
      <c r="ET214" t="e">
        <f>IF(#REF!,"AAAAAHe3a5U=",0)</f>
        <v>#REF!</v>
      </c>
      <c r="EU214" t="e">
        <f>IF(#REF!,"AAAAAHe3a5Y=",0)</f>
        <v>#REF!</v>
      </c>
      <c r="EV214" t="e">
        <f>IF(#REF!,"AAAAAHe3a5c=",0)</f>
        <v>#REF!</v>
      </c>
      <c r="EW214" t="e">
        <f>IF(#REF!,"AAAAAHe3a5g=",0)</f>
        <v>#REF!</v>
      </c>
      <c r="EX214" t="e">
        <f>IF(#REF!,"AAAAAHe3a5k=",0)</f>
        <v>#REF!</v>
      </c>
      <c r="EY214" t="e">
        <f>IF(#REF!,"AAAAAHe3a5o=",0)</f>
        <v>#REF!</v>
      </c>
      <c r="EZ214" t="e">
        <f>IF(#REF!,"AAAAAHe3a5s=",0)</f>
        <v>#REF!</v>
      </c>
      <c r="FA214" t="e">
        <f>IF(#REF!,"AAAAAHe3a5w=",0)</f>
        <v>#REF!</v>
      </c>
      <c r="FB214" t="e">
        <f>IF(#REF!,"AAAAAHe3a50=",0)</f>
        <v>#REF!</v>
      </c>
      <c r="FC214" t="e">
        <f>IF(#REF!,"AAAAAHe3a54=",0)</f>
        <v>#REF!</v>
      </c>
      <c r="FD214" t="e">
        <f>IF(#REF!,"AAAAAHe3a58=",0)</f>
        <v>#REF!</v>
      </c>
      <c r="FE214" t="e">
        <f>IF(#REF!,"AAAAAHe3a6A=",0)</f>
        <v>#REF!</v>
      </c>
      <c r="FF214" t="e">
        <f>IF(#REF!,"AAAAAHe3a6E=",0)</f>
        <v>#REF!</v>
      </c>
      <c r="FG214" t="e">
        <f>IF(#REF!,"AAAAAHe3a6I=",0)</f>
        <v>#REF!</v>
      </c>
      <c r="FH214" t="e">
        <f>IF(#REF!,"AAAAAHe3a6M=",0)</f>
        <v>#REF!</v>
      </c>
      <c r="FI214" t="e">
        <f>IF(#REF!,"AAAAAHe3a6Q=",0)</f>
        <v>#REF!</v>
      </c>
      <c r="FJ214" t="e">
        <f>IF(#REF!,"AAAAAHe3a6U=",0)</f>
        <v>#REF!</v>
      </c>
      <c r="FK214" t="e">
        <f>IF(#REF!,"AAAAAHe3a6Y=",0)</f>
        <v>#REF!</v>
      </c>
      <c r="FL214" t="e">
        <f>IF(#REF!,"AAAAAHe3a6c=",0)</f>
        <v>#REF!</v>
      </c>
      <c r="FM214" t="e">
        <f>IF(#REF!,"AAAAAHe3a6g=",0)</f>
        <v>#REF!</v>
      </c>
      <c r="FN214" t="e">
        <f>IF(#REF!,"AAAAAHe3a6k=",0)</f>
        <v>#REF!</v>
      </c>
      <c r="FO214" t="e">
        <f>IF(#REF!,"AAAAAHe3a6o=",0)</f>
        <v>#REF!</v>
      </c>
      <c r="FP214" t="e">
        <f>IF(#REF!,"AAAAAHe3a6s=",0)</f>
        <v>#REF!</v>
      </c>
      <c r="FQ214" t="e">
        <f>IF(#REF!,"AAAAAHe3a6w=",0)</f>
        <v>#REF!</v>
      </c>
      <c r="FR214" t="e">
        <f>IF(#REF!,"AAAAAHe3a60=",0)</f>
        <v>#REF!</v>
      </c>
      <c r="FS214" t="e">
        <f>IF(#REF!,"AAAAAHe3a64=",0)</f>
        <v>#REF!</v>
      </c>
      <c r="FT214" t="e">
        <f>IF(#REF!,"AAAAAHe3a68=",0)</f>
        <v>#REF!</v>
      </c>
      <c r="FU214" t="e">
        <f>IF(#REF!,"AAAAAHe3a7A=",0)</f>
        <v>#REF!</v>
      </c>
      <c r="FV214" t="e">
        <f>IF(#REF!,"AAAAAHe3a7E=",0)</f>
        <v>#REF!</v>
      </c>
      <c r="FW214" t="e">
        <f>IF(#REF!,"AAAAAHe3a7I=",0)</f>
        <v>#REF!</v>
      </c>
      <c r="FX214" t="e">
        <f>IF(#REF!,"AAAAAHe3a7M=",0)</f>
        <v>#REF!</v>
      </c>
      <c r="FY214" t="e">
        <f>IF(#REF!,"AAAAAHe3a7Q=",0)</f>
        <v>#REF!</v>
      </c>
      <c r="FZ214" t="e">
        <f>IF(#REF!,"AAAAAHe3a7U=",0)</f>
        <v>#REF!</v>
      </c>
      <c r="GA214" t="e">
        <f>IF(#REF!,"AAAAAHe3a7Y=",0)</f>
        <v>#REF!</v>
      </c>
      <c r="GB214" t="e">
        <f>IF(#REF!,"AAAAAHe3a7c=",0)</f>
        <v>#REF!</v>
      </c>
      <c r="GC214" t="e">
        <f>IF(#REF!,"AAAAAHe3a7g=",0)</f>
        <v>#REF!</v>
      </c>
      <c r="GD214" t="e">
        <f>IF(#REF!,"AAAAAHe3a7k=",0)</f>
        <v>#REF!</v>
      </c>
      <c r="GE214" t="e">
        <f>IF(#REF!,"AAAAAHe3a7o=",0)</f>
        <v>#REF!</v>
      </c>
      <c r="GF214" t="e">
        <f>IF(#REF!,"AAAAAHe3a7s=",0)</f>
        <v>#REF!</v>
      </c>
      <c r="GG214" t="e">
        <f>IF(#REF!,"AAAAAHe3a7w=",0)</f>
        <v>#REF!</v>
      </c>
      <c r="GH214" t="e">
        <f>IF(#REF!,"AAAAAHe3a70=",0)</f>
        <v>#REF!</v>
      </c>
      <c r="GI214" t="e">
        <f>IF(#REF!,"AAAAAHe3a74=",0)</f>
        <v>#REF!</v>
      </c>
      <c r="GJ214" t="e">
        <f>IF(#REF!,"AAAAAHe3a78=",0)</f>
        <v>#REF!</v>
      </c>
      <c r="GK214" t="e">
        <f>IF(#REF!,"AAAAAHe3a8A=",0)</f>
        <v>#REF!</v>
      </c>
      <c r="GL214" t="e">
        <f>IF(#REF!,"AAAAAHe3a8E=",0)</f>
        <v>#REF!</v>
      </c>
      <c r="GM214" t="e">
        <f>IF(#REF!,"AAAAAHe3a8I=",0)</f>
        <v>#REF!</v>
      </c>
      <c r="GN214" t="e">
        <f>IF(#REF!,"AAAAAHe3a8M=",0)</f>
        <v>#REF!</v>
      </c>
      <c r="GO214" t="e">
        <f>IF(#REF!,"AAAAAHe3a8Q=",0)</f>
        <v>#REF!</v>
      </c>
      <c r="GP214" t="e">
        <f>IF(#REF!,"AAAAAHe3a8U=",0)</f>
        <v>#REF!</v>
      </c>
      <c r="GQ214" t="e">
        <f>IF(#REF!,"AAAAAHe3a8Y=",0)</f>
        <v>#REF!</v>
      </c>
      <c r="GR214" t="e">
        <f>IF(#REF!,"AAAAAHe3a8c=",0)</f>
        <v>#REF!</v>
      </c>
      <c r="GS214" t="e">
        <f>IF(#REF!,"AAAAAHe3a8g=",0)</f>
        <v>#REF!</v>
      </c>
      <c r="GT214" t="e">
        <f>IF(#REF!,"AAAAAHe3a8k=",0)</f>
        <v>#REF!</v>
      </c>
      <c r="GU214" t="e">
        <f>IF(#REF!,"AAAAAHe3a8o=",0)</f>
        <v>#REF!</v>
      </c>
      <c r="GV214" t="e">
        <f>IF(#REF!,"AAAAAHe3a8s=",0)</f>
        <v>#REF!</v>
      </c>
      <c r="GW214" t="e">
        <f>IF(#REF!,"AAAAAHe3a8w=",0)</f>
        <v>#REF!</v>
      </c>
      <c r="GX214" t="e">
        <f>IF(#REF!,"AAAAAHe3a80=",0)</f>
        <v>#REF!</v>
      </c>
      <c r="GY214" t="e">
        <f>IF(#REF!,"AAAAAHe3a84=",0)</f>
        <v>#REF!</v>
      </c>
      <c r="GZ214" t="e">
        <f>IF(#REF!,"AAAAAHe3a88=",0)</f>
        <v>#REF!</v>
      </c>
      <c r="HA214" t="e">
        <f>IF(#REF!,"AAAAAHe3a9A=",0)</f>
        <v>#REF!</v>
      </c>
      <c r="HB214" t="e">
        <f>IF(#REF!,"AAAAAHe3a9E=",0)</f>
        <v>#REF!</v>
      </c>
      <c r="HC214" t="e">
        <f>IF(#REF!,"AAAAAHe3a9I=",0)</f>
        <v>#REF!</v>
      </c>
      <c r="HD214" t="e">
        <f>IF(#REF!,"AAAAAHe3a9M=",0)</f>
        <v>#REF!</v>
      </c>
      <c r="HE214" t="e">
        <f>IF(#REF!,"AAAAAHe3a9Q=",0)</f>
        <v>#REF!</v>
      </c>
      <c r="HF214" t="e">
        <f>IF(#REF!,"AAAAAHe3a9U=",0)</f>
        <v>#REF!</v>
      </c>
      <c r="HG214" t="e">
        <f>IF(#REF!,"AAAAAHe3a9Y=",0)</f>
        <v>#REF!</v>
      </c>
      <c r="HH214" t="e">
        <f>IF(#REF!,"AAAAAHe3a9c=",0)</f>
        <v>#REF!</v>
      </c>
      <c r="HI214" t="e">
        <f>IF(#REF!,"AAAAAHe3a9g=",0)</f>
        <v>#REF!</v>
      </c>
      <c r="HJ214" t="e">
        <f>IF(#REF!,"AAAAAHe3a9k=",0)</f>
        <v>#REF!</v>
      </c>
      <c r="HK214" t="e">
        <f>IF(#REF!,"AAAAAHe3a9o=",0)</f>
        <v>#REF!</v>
      </c>
      <c r="HL214" t="e">
        <f>IF(#REF!,"AAAAAHe3a9s=",0)</f>
        <v>#REF!</v>
      </c>
      <c r="HM214" t="e">
        <f>IF(#REF!,"AAAAAHe3a9w=",0)</f>
        <v>#REF!</v>
      </c>
      <c r="HN214" t="e">
        <f>IF(#REF!,"AAAAAHe3a90=",0)</f>
        <v>#REF!</v>
      </c>
      <c r="HO214" t="e">
        <f>IF(#REF!,"AAAAAHe3a94=",0)</f>
        <v>#REF!</v>
      </c>
      <c r="HP214" t="e">
        <f>IF(#REF!,"AAAAAHe3a98=",0)</f>
        <v>#REF!</v>
      </c>
      <c r="HQ214" t="e">
        <f>IF(#REF!,"AAAAAHe3a+A=",0)</f>
        <v>#REF!</v>
      </c>
      <c r="HR214" t="e">
        <f>IF(#REF!,"AAAAAHe3a+E=",0)</f>
        <v>#REF!</v>
      </c>
      <c r="HS214" t="e">
        <f>IF(#REF!,"AAAAAHe3a+I=",0)</f>
        <v>#REF!</v>
      </c>
      <c r="HT214" t="e">
        <f>IF(#REF!,"AAAAAHe3a+M=",0)</f>
        <v>#REF!</v>
      </c>
      <c r="HU214" t="e">
        <f>IF(#REF!,"AAAAAHe3a+Q=",0)</f>
        <v>#REF!</v>
      </c>
      <c r="HV214" t="e">
        <f>IF(#REF!,"AAAAAHe3a+U=",0)</f>
        <v>#REF!</v>
      </c>
      <c r="HW214" t="e">
        <f>IF(#REF!,"AAAAAHe3a+Y=",0)</f>
        <v>#REF!</v>
      </c>
      <c r="HX214" t="e">
        <f>IF(#REF!,"AAAAAHe3a+c=",0)</f>
        <v>#REF!</v>
      </c>
      <c r="HY214" t="e">
        <f>IF(#REF!,"AAAAAHe3a+g=",0)</f>
        <v>#REF!</v>
      </c>
      <c r="HZ214" t="e">
        <f>IF(#REF!,"AAAAAHe3a+k=",0)</f>
        <v>#REF!</v>
      </c>
      <c r="IA214" t="e">
        <f>IF(#REF!,"AAAAAHe3a+o=",0)</f>
        <v>#REF!</v>
      </c>
      <c r="IB214" t="e">
        <f>IF(#REF!,"AAAAAHe3a+s=",0)</f>
        <v>#REF!</v>
      </c>
      <c r="IC214" t="e">
        <f>IF(#REF!,"AAAAAHe3a+w=",0)</f>
        <v>#REF!</v>
      </c>
      <c r="ID214" t="e">
        <f>IF(#REF!,"AAAAAHe3a+0=",0)</f>
        <v>#REF!</v>
      </c>
      <c r="IE214" t="e">
        <f>IF(#REF!,"AAAAAHe3a+4=",0)</f>
        <v>#REF!</v>
      </c>
      <c r="IF214" t="e">
        <f>IF(#REF!,"AAAAAHe3a+8=",0)</f>
        <v>#REF!</v>
      </c>
      <c r="IG214" t="e">
        <f>IF(#REF!,"AAAAAHe3a/A=",0)</f>
        <v>#REF!</v>
      </c>
      <c r="IH214" t="e">
        <f>IF(#REF!,"AAAAAHe3a/E=",0)</f>
        <v>#REF!</v>
      </c>
      <c r="II214" t="e">
        <f>IF(#REF!,"AAAAAHe3a/I=",0)</f>
        <v>#REF!</v>
      </c>
      <c r="IJ214" t="e">
        <f>IF(#REF!,"AAAAAHe3a/M=",0)</f>
        <v>#REF!</v>
      </c>
      <c r="IK214" t="e">
        <f>IF(#REF!,"AAAAAHe3a/Q=",0)</f>
        <v>#REF!</v>
      </c>
      <c r="IL214" t="e">
        <f>IF(#REF!,"AAAAAHe3a/U=",0)</f>
        <v>#REF!</v>
      </c>
      <c r="IM214" t="e">
        <f>IF(#REF!,"AAAAAHe3a/Y=",0)</f>
        <v>#REF!</v>
      </c>
      <c r="IN214" t="e">
        <f>IF(#REF!,"AAAAAHe3a/c=",0)</f>
        <v>#REF!</v>
      </c>
      <c r="IO214" t="e">
        <f>IF(#REF!,"AAAAAHe3a/g=",0)</f>
        <v>#REF!</v>
      </c>
      <c r="IP214" t="e">
        <f>IF(#REF!,"AAAAAHe3a/k=",0)</f>
        <v>#REF!</v>
      </c>
      <c r="IQ214" t="e">
        <f>IF(#REF!,"AAAAAHe3a/o=",0)</f>
        <v>#REF!</v>
      </c>
      <c r="IR214" t="e">
        <f>IF(#REF!,"AAAAAHe3a/s=",0)</f>
        <v>#REF!</v>
      </c>
      <c r="IS214" t="e">
        <f>IF(#REF!,"AAAAAHe3a/w=",0)</f>
        <v>#REF!</v>
      </c>
      <c r="IT214" t="e">
        <f>IF(#REF!,"AAAAAHe3a/0=",0)</f>
        <v>#REF!</v>
      </c>
      <c r="IU214" t="e">
        <f>IF(#REF!,"AAAAAHe3a/4=",0)</f>
        <v>#REF!</v>
      </c>
      <c r="IV214" t="e">
        <f>IF(#REF!,"AAAAAHe3a/8=",0)</f>
        <v>#REF!</v>
      </c>
    </row>
    <row r="215" spans="1:256">
      <c r="A215" t="e">
        <f>IF(#REF!,"AAAAAHf/VAA=",0)</f>
        <v>#REF!</v>
      </c>
      <c r="B215" t="e">
        <f>IF(#REF!,"AAAAAHf/VAE=",0)</f>
        <v>#REF!</v>
      </c>
      <c r="C215" t="e">
        <f>IF(#REF!,"AAAAAHf/VAI=",0)</f>
        <v>#REF!</v>
      </c>
      <c r="D215" t="e">
        <f>IF(#REF!,"AAAAAHf/VAM=",0)</f>
        <v>#REF!</v>
      </c>
      <c r="E215" t="e">
        <f>IF(#REF!,"AAAAAHf/VAQ=",0)</f>
        <v>#REF!</v>
      </c>
      <c r="F215" t="e">
        <f>IF(#REF!,"AAAAAHf/VAU=",0)</f>
        <v>#REF!</v>
      </c>
      <c r="G215" t="e">
        <f>IF(#REF!,"AAAAAHf/VAY=",0)</f>
        <v>#REF!</v>
      </c>
      <c r="H215" t="e">
        <f>IF(#REF!,"AAAAAHf/VAc=",0)</f>
        <v>#REF!</v>
      </c>
      <c r="I215" t="e">
        <f>IF(#REF!,"AAAAAHf/VAg=",0)</f>
        <v>#REF!</v>
      </c>
      <c r="J215" t="e">
        <f>IF(#REF!,"AAAAAHf/VAk=",0)</f>
        <v>#REF!</v>
      </c>
      <c r="K215" t="e">
        <f>IF(#REF!,"AAAAAHf/VAo=",0)</f>
        <v>#REF!</v>
      </c>
      <c r="L215" t="e">
        <f>IF(#REF!,"AAAAAHf/VAs=",0)</f>
        <v>#REF!</v>
      </c>
      <c r="M215" t="e">
        <f>IF(#REF!,"AAAAAHf/VAw=",0)</f>
        <v>#REF!</v>
      </c>
      <c r="N215" t="e">
        <f>IF(#REF!,"AAAAAHf/VA0=",0)</f>
        <v>#REF!</v>
      </c>
      <c r="O215" t="e">
        <f>IF(#REF!,"AAAAAHf/VA4=",0)</f>
        <v>#REF!</v>
      </c>
      <c r="P215" t="e">
        <f>IF(#REF!,"AAAAAHf/VA8=",0)</f>
        <v>#REF!</v>
      </c>
      <c r="Q215" t="e">
        <f>IF(#REF!,"AAAAAHf/VBA=",0)</f>
        <v>#REF!</v>
      </c>
      <c r="R215" t="e">
        <f>IF(#REF!,"AAAAAHf/VBE=",0)</f>
        <v>#REF!</v>
      </c>
      <c r="S215" t="e">
        <f>IF(#REF!,"AAAAAHf/VBI=",0)</f>
        <v>#REF!</v>
      </c>
      <c r="T215" t="e">
        <f>IF(#REF!,"AAAAAHf/VBM=",0)</f>
        <v>#REF!</v>
      </c>
      <c r="U215" t="e">
        <f>IF(#REF!,"AAAAAHf/VBQ=",0)</f>
        <v>#REF!</v>
      </c>
      <c r="V215" t="e">
        <f>IF(#REF!,"AAAAAHf/VBU=",0)</f>
        <v>#REF!</v>
      </c>
      <c r="W215" t="e">
        <f>IF(#REF!,"AAAAAHf/VBY=",0)</f>
        <v>#REF!</v>
      </c>
      <c r="X215" t="e">
        <f>IF(#REF!,"AAAAAHf/VBc=",0)</f>
        <v>#REF!</v>
      </c>
      <c r="Y215" t="e">
        <f>IF(#REF!,"AAAAAHf/VBg=",0)</f>
        <v>#REF!</v>
      </c>
      <c r="Z215" t="e">
        <f>IF(#REF!,"AAAAAHf/VBk=",0)</f>
        <v>#REF!</v>
      </c>
      <c r="AA215" t="e">
        <f>IF(#REF!,"AAAAAHf/VBo=",0)</f>
        <v>#REF!</v>
      </c>
      <c r="AB215" t="e">
        <f>IF(#REF!,"AAAAAHf/VBs=",0)</f>
        <v>#REF!</v>
      </c>
      <c r="AC215" t="e">
        <f>IF(#REF!,"AAAAAHf/VBw=",0)</f>
        <v>#REF!</v>
      </c>
      <c r="AD215" t="e">
        <f>IF(#REF!,"AAAAAHf/VB0=",0)</f>
        <v>#REF!</v>
      </c>
      <c r="AE215" t="e">
        <f>IF(#REF!,"AAAAAHf/VB4=",0)</f>
        <v>#REF!</v>
      </c>
      <c r="AF215" t="e">
        <f>IF(#REF!,"AAAAAHf/VB8=",0)</f>
        <v>#REF!</v>
      </c>
      <c r="AG215" t="e">
        <f>IF(#REF!,"AAAAAHf/VCA=",0)</f>
        <v>#REF!</v>
      </c>
      <c r="AH215" t="e">
        <f>IF(#REF!,"AAAAAHf/VCE=",0)</f>
        <v>#REF!</v>
      </c>
      <c r="AI215" t="e">
        <f>IF(#REF!,"AAAAAHf/VCI=",0)</f>
        <v>#REF!</v>
      </c>
      <c r="AJ215" t="e">
        <f>IF(#REF!,"AAAAAHf/VCM=",0)</f>
        <v>#REF!</v>
      </c>
      <c r="AK215" t="e">
        <f>IF(#REF!,"AAAAAHf/VCQ=",0)</f>
        <v>#REF!</v>
      </c>
      <c r="AL215" t="e">
        <f>IF(#REF!,"AAAAAHf/VCU=",0)</f>
        <v>#REF!</v>
      </c>
      <c r="AM215" t="e">
        <f>IF(#REF!,"AAAAAHf/VCY=",0)</f>
        <v>#REF!</v>
      </c>
      <c r="AN215" t="e">
        <f>IF(#REF!,"AAAAAHf/VCc=",0)</f>
        <v>#REF!</v>
      </c>
      <c r="AO215" t="e">
        <f>IF(#REF!,"AAAAAHf/VCg=",0)</f>
        <v>#REF!</v>
      </c>
      <c r="AP215" t="e">
        <f>IF(#REF!,"AAAAAHf/VCk=",0)</f>
        <v>#REF!</v>
      </c>
      <c r="AQ215" t="e">
        <f>IF(#REF!,"AAAAAHf/VCo=",0)</f>
        <v>#REF!</v>
      </c>
      <c r="AR215" t="e">
        <f>IF(#REF!,"AAAAAHf/VCs=",0)</f>
        <v>#REF!</v>
      </c>
      <c r="AS215" t="e">
        <f>IF(#REF!,"AAAAAHf/VCw=",0)</f>
        <v>#REF!</v>
      </c>
      <c r="AT215" t="e">
        <f>IF(#REF!,"AAAAAHf/VC0=",0)</f>
        <v>#REF!</v>
      </c>
      <c r="AU215" t="e">
        <f>IF(#REF!,"AAAAAHf/VC4=",0)</f>
        <v>#REF!</v>
      </c>
      <c r="AV215" t="e">
        <f>IF(#REF!,"AAAAAHf/VC8=",0)</f>
        <v>#REF!</v>
      </c>
      <c r="AW215" t="e">
        <f>IF(#REF!,"AAAAAHf/VDA=",0)</f>
        <v>#REF!</v>
      </c>
      <c r="AX215" t="e">
        <f>IF(#REF!,"AAAAAHf/VDE=",0)</f>
        <v>#REF!</v>
      </c>
      <c r="AY215" t="e">
        <f>IF(#REF!,"AAAAAHf/VDI=",0)</f>
        <v>#REF!</v>
      </c>
      <c r="AZ215" t="e">
        <f>IF(#REF!,"AAAAAHf/VDM=",0)</f>
        <v>#REF!</v>
      </c>
      <c r="BA215" t="e">
        <f>IF(#REF!,"AAAAAHf/VDQ=",0)</f>
        <v>#REF!</v>
      </c>
      <c r="BB215" t="e">
        <f>IF(#REF!,"AAAAAHf/VDU=",0)</f>
        <v>#REF!</v>
      </c>
      <c r="BC215" t="e">
        <f>IF(#REF!,"AAAAAHf/VDY=",0)</f>
        <v>#REF!</v>
      </c>
      <c r="BD215" t="e">
        <f>IF(#REF!,"AAAAAHf/VDc=",0)</f>
        <v>#REF!</v>
      </c>
      <c r="BE215" t="e">
        <f>IF(#REF!,"AAAAAHf/VDg=",0)</f>
        <v>#REF!</v>
      </c>
      <c r="BF215" t="e">
        <f>IF(#REF!,"AAAAAHf/VDk=",0)</f>
        <v>#REF!</v>
      </c>
      <c r="BG215" t="e">
        <f>IF(#REF!,"AAAAAHf/VDo=",0)</f>
        <v>#REF!</v>
      </c>
      <c r="BH215" t="e">
        <f>IF(#REF!,"AAAAAHf/VDs=",0)</f>
        <v>#REF!</v>
      </c>
      <c r="BI215" t="e">
        <f>IF(#REF!,"AAAAAHf/VDw=",0)</f>
        <v>#REF!</v>
      </c>
      <c r="BJ215" t="e">
        <f>IF(#REF!,"AAAAAHf/VD0=",0)</f>
        <v>#REF!</v>
      </c>
      <c r="BK215" t="e">
        <f>IF(#REF!,"AAAAAHf/VD4=",0)</f>
        <v>#REF!</v>
      </c>
      <c r="BL215" t="e">
        <f>IF(#REF!,"AAAAAHf/VD8=",0)</f>
        <v>#REF!</v>
      </c>
      <c r="BM215" t="e">
        <f>IF(#REF!,"AAAAAHf/VEA=",0)</f>
        <v>#REF!</v>
      </c>
      <c r="BN215" t="e">
        <f>IF(#REF!,"AAAAAHf/VEE=",0)</f>
        <v>#REF!</v>
      </c>
      <c r="BO215" t="e">
        <f>IF(#REF!,"AAAAAHf/VEI=",0)</f>
        <v>#REF!</v>
      </c>
      <c r="BP215" t="e">
        <f>IF(#REF!,"AAAAAHf/VEM=",0)</f>
        <v>#REF!</v>
      </c>
      <c r="BQ215" t="e">
        <f>IF(#REF!,"AAAAAHf/VEQ=",0)</f>
        <v>#REF!</v>
      </c>
      <c r="BR215" t="e">
        <f>IF(#REF!,"AAAAAHf/VEU=",0)</f>
        <v>#REF!</v>
      </c>
      <c r="BS215" t="e">
        <f>IF(#REF!,"AAAAAHf/VEY=",0)</f>
        <v>#REF!</v>
      </c>
      <c r="BT215" t="e">
        <f>IF(#REF!,"AAAAAHf/VEc=",0)</f>
        <v>#REF!</v>
      </c>
      <c r="BU215" t="e">
        <f>IF(#REF!,"AAAAAHf/VEg=",0)</f>
        <v>#REF!</v>
      </c>
      <c r="BV215" t="e">
        <f>IF(#REF!,"AAAAAHf/VEk=",0)</f>
        <v>#REF!</v>
      </c>
      <c r="BW215" t="e">
        <f>IF(#REF!,"AAAAAHf/VEo=",0)</f>
        <v>#REF!</v>
      </c>
      <c r="BX215" t="e">
        <f>IF(#REF!,"AAAAAHf/VEs=",0)</f>
        <v>#REF!</v>
      </c>
      <c r="BY215" t="e">
        <f>IF(#REF!,"AAAAAHf/VEw=",0)</f>
        <v>#REF!</v>
      </c>
      <c r="BZ215" t="e">
        <f>IF(#REF!,"AAAAAHf/VE0=",0)</f>
        <v>#REF!</v>
      </c>
      <c r="CA215" t="e">
        <f>IF(#REF!,"AAAAAHf/VE4=",0)</f>
        <v>#REF!</v>
      </c>
      <c r="CB215" t="e">
        <f>IF(#REF!,"AAAAAHf/VE8=",0)</f>
        <v>#REF!</v>
      </c>
      <c r="CC215" t="e">
        <f>IF(#REF!,"AAAAAHf/VFA=",0)</f>
        <v>#REF!</v>
      </c>
      <c r="CD215" t="e">
        <f>IF(#REF!,"AAAAAHf/VFE=",0)</f>
        <v>#REF!</v>
      </c>
      <c r="CE215" t="e">
        <f>IF(#REF!,"AAAAAHf/VFI=",0)</f>
        <v>#REF!</v>
      </c>
      <c r="CF215" t="e">
        <f>IF(#REF!,"AAAAAHf/VFM=",0)</f>
        <v>#REF!</v>
      </c>
      <c r="CG215" t="e">
        <f>IF(#REF!,"AAAAAHf/VFQ=",0)</f>
        <v>#REF!</v>
      </c>
      <c r="CH215" t="e">
        <f>IF(#REF!,"AAAAAHf/VFU=",0)</f>
        <v>#REF!</v>
      </c>
      <c r="CI215" t="e">
        <f>IF(#REF!,"AAAAAHf/VFY=",0)</f>
        <v>#REF!</v>
      </c>
      <c r="CJ215" t="e">
        <f>IF(#REF!,"AAAAAHf/VFc=",0)</f>
        <v>#REF!</v>
      </c>
      <c r="CK215" t="e">
        <f>IF(#REF!,"AAAAAHf/VFg=",0)</f>
        <v>#REF!</v>
      </c>
      <c r="CL215" t="e">
        <f>IF(#REF!,"AAAAAHf/VFk=",0)</f>
        <v>#REF!</v>
      </c>
      <c r="CM215" t="e">
        <f>IF(#REF!,"AAAAAHf/VFo=",0)</f>
        <v>#REF!</v>
      </c>
      <c r="CN215" t="e">
        <f>IF(#REF!,"AAAAAHf/VFs=",0)</f>
        <v>#REF!</v>
      </c>
      <c r="CO215" t="e">
        <f>IF(#REF!,"AAAAAHf/VFw=",0)</f>
        <v>#REF!</v>
      </c>
      <c r="CP215" t="e">
        <f>IF(#REF!,"AAAAAHf/VF0=",0)</f>
        <v>#REF!</v>
      </c>
      <c r="CQ215" t="e">
        <f>IF(#REF!,"AAAAAHf/VF4=",0)</f>
        <v>#REF!</v>
      </c>
      <c r="CR215" t="e">
        <f>IF(#REF!,"AAAAAHf/VF8=",0)</f>
        <v>#REF!</v>
      </c>
      <c r="CS215" t="e">
        <f>IF(#REF!,"AAAAAHf/VGA=",0)</f>
        <v>#REF!</v>
      </c>
      <c r="CT215" t="e">
        <f>IF(#REF!,"AAAAAHf/VGE=",0)</f>
        <v>#REF!</v>
      </c>
      <c r="CU215" t="e">
        <f>IF(#REF!,"AAAAAHf/VGI=",0)</f>
        <v>#REF!</v>
      </c>
      <c r="CV215" t="e">
        <f>IF(#REF!,"AAAAAHf/VGM=",0)</f>
        <v>#REF!</v>
      </c>
      <c r="CW215" t="e">
        <f>IF(#REF!,"AAAAAHf/VGQ=",0)</f>
        <v>#REF!</v>
      </c>
      <c r="CX215" t="e">
        <f>IF(#REF!,"AAAAAHf/VGU=",0)</f>
        <v>#REF!</v>
      </c>
      <c r="CY215" t="e">
        <f>IF(#REF!,"AAAAAHf/VGY=",0)</f>
        <v>#REF!</v>
      </c>
      <c r="CZ215" t="e">
        <f>IF(#REF!,"AAAAAHf/VGc=",0)</f>
        <v>#REF!</v>
      </c>
      <c r="DA215" t="e">
        <f>IF(#REF!,"AAAAAHf/VGg=",0)</f>
        <v>#REF!</v>
      </c>
      <c r="DB215" t="e">
        <f>IF(#REF!,"AAAAAHf/VGk=",0)</f>
        <v>#REF!</v>
      </c>
      <c r="DC215" t="e">
        <f>IF(#REF!,"AAAAAHf/VGo=",0)</f>
        <v>#REF!</v>
      </c>
      <c r="DD215" t="e">
        <f>IF(#REF!,"AAAAAHf/VGs=",0)</f>
        <v>#REF!</v>
      </c>
      <c r="DE215" t="e">
        <f>IF(#REF!,"AAAAAHf/VGw=",0)</f>
        <v>#REF!</v>
      </c>
      <c r="DF215" t="e">
        <f>IF(#REF!,"AAAAAHf/VG0=",0)</f>
        <v>#REF!</v>
      </c>
      <c r="DG215" t="e">
        <f>IF(#REF!,"AAAAAHf/VG4=",0)</f>
        <v>#REF!</v>
      </c>
      <c r="DH215" t="e">
        <f>IF(#REF!,"AAAAAHf/VG8=",0)</f>
        <v>#REF!</v>
      </c>
      <c r="DI215" t="e">
        <f>IF(#REF!,"AAAAAHf/VHA=",0)</f>
        <v>#REF!</v>
      </c>
      <c r="DJ215" t="e">
        <f>IF(#REF!,"AAAAAHf/VHE=",0)</f>
        <v>#REF!</v>
      </c>
      <c r="DK215" t="e">
        <f>IF(#REF!,"AAAAAHf/VHI=",0)</f>
        <v>#REF!</v>
      </c>
      <c r="DL215" t="e">
        <f>IF(#REF!,"AAAAAHf/VHM=",0)</f>
        <v>#REF!</v>
      </c>
      <c r="DM215" t="e">
        <f>IF(#REF!,"AAAAAHf/VHQ=",0)</f>
        <v>#REF!</v>
      </c>
      <c r="DN215" t="e">
        <f>IF(#REF!,"AAAAAHf/VHU=",0)</f>
        <v>#REF!</v>
      </c>
      <c r="DO215" t="e">
        <f>IF(#REF!,"AAAAAHf/VHY=",0)</f>
        <v>#REF!</v>
      </c>
      <c r="DP215" t="e">
        <f>IF(#REF!,"AAAAAHf/VHc=",0)</f>
        <v>#REF!</v>
      </c>
      <c r="DQ215" t="e">
        <f>IF(#REF!,"AAAAAHf/VHg=",0)</f>
        <v>#REF!</v>
      </c>
      <c r="DR215" t="e">
        <f>IF(#REF!,"AAAAAHf/VHk=",0)</f>
        <v>#REF!</v>
      </c>
      <c r="DS215" t="e">
        <f>IF(#REF!,"AAAAAHf/VHo=",0)</f>
        <v>#REF!</v>
      </c>
      <c r="DT215" t="e">
        <f>IF(#REF!,"AAAAAHf/VHs=",0)</f>
        <v>#REF!</v>
      </c>
      <c r="DU215" t="e">
        <f>IF(#REF!,"AAAAAHf/VHw=",0)</f>
        <v>#REF!</v>
      </c>
      <c r="DV215" t="e">
        <f>IF(#REF!,"AAAAAHf/VH0=",0)</f>
        <v>#REF!</v>
      </c>
      <c r="DW215" t="e">
        <f>IF(#REF!,"AAAAAHf/VH4=",0)</f>
        <v>#REF!</v>
      </c>
      <c r="DX215" t="e">
        <f>IF(#REF!,"AAAAAHf/VH8=",0)</f>
        <v>#REF!</v>
      </c>
      <c r="DY215" t="e">
        <f>IF(#REF!,"AAAAAHf/VIA=",0)</f>
        <v>#REF!</v>
      </c>
      <c r="DZ215" t="e">
        <f>IF(#REF!,"AAAAAHf/VIE=",0)</f>
        <v>#REF!</v>
      </c>
      <c r="EA215" t="e">
        <f>IF(#REF!,"AAAAAHf/VII=",0)</f>
        <v>#REF!</v>
      </c>
      <c r="EB215" t="e">
        <f>IF(#REF!,"AAAAAHf/VIM=",0)</f>
        <v>#REF!</v>
      </c>
      <c r="EC215" t="e">
        <f>IF(#REF!,"AAAAAHf/VIQ=",0)</f>
        <v>#REF!</v>
      </c>
      <c r="ED215" t="e">
        <f>IF(#REF!,"AAAAAHf/VIU=",0)</f>
        <v>#REF!</v>
      </c>
      <c r="EE215" t="e">
        <f>IF(#REF!,"AAAAAHf/VIY=",0)</f>
        <v>#REF!</v>
      </c>
      <c r="EF215" t="e">
        <f>IF(#REF!,"AAAAAHf/VIc=",0)</f>
        <v>#REF!</v>
      </c>
      <c r="EG215" t="e">
        <f>IF(#REF!,"AAAAAHf/VIg=",0)</f>
        <v>#REF!</v>
      </c>
      <c r="EH215" t="e">
        <f>IF(#REF!,"AAAAAHf/VIk=",0)</f>
        <v>#REF!</v>
      </c>
      <c r="EI215" t="e">
        <f>IF(#REF!,"AAAAAHf/VIo=",0)</f>
        <v>#REF!</v>
      </c>
      <c r="EJ215" t="e">
        <f>IF(#REF!,"AAAAAHf/VIs=",0)</f>
        <v>#REF!</v>
      </c>
      <c r="EK215" t="e">
        <f>IF(#REF!,"AAAAAHf/VIw=",0)</f>
        <v>#REF!</v>
      </c>
      <c r="EL215" t="e">
        <f>IF(#REF!,"AAAAAHf/VI0=",0)</f>
        <v>#REF!</v>
      </c>
      <c r="EM215" t="e">
        <f>IF(#REF!,"AAAAAHf/VI4=",0)</f>
        <v>#REF!</v>
      </c>
      <c r="EN215" t="e">
        <f>IF(#REF!,"AAAAAHf/VI8=",0)</f>
        <v>#REF!</v>
      </c>
      <c r="EO215" t="e">
        <f>IF(#REF!,"AAAAAHf/VJA=",0)</f>
        <v>#REF!</v>
      </c>
      <c r="EP215" t="e">
        <f>IF(#REF!,"AAAAAHf/VJE=",0)</f>
        <v>#REF!</v>
      </c>
      <c r="EQ215" t="e">
        <f>IF(#REF!,"AAAAAHf/VJI=",0)</f>
        <v>#REF!</v>
      </c>
      <c r="ER215" t="e">
        <f>IF(#REF!,"AAAAAHf/VJM=",0)</f>
        <v>#REF!</v>
      </c>
      <c r="ES215" t="e">
        <f>IF(#REF!,"AAAAAHf/VJQ=",0)</f>
        <v>#REF!</v>
      </c>
      <c r="ET215" t="e">
        <f>IF(#REF!,"AAAAAHf/VJU=",0)</f>
        <v>#REF!</v>
      </c>
      <c r="EU215" t="e">
        <f>IF(#REF!,"AAAAAHf/VJY=",0)</f>
        <v>#REF!</v>
      </c>
      <c r="EV215" t="e">
        <f>IF(#REF!,"AAAAAHf/VJc=",0)</f>
        <v>#REF!</v>
      </c>
      <c r="EW215" t="e">
        <f>IF(#REF!,"AAAAAHf/VJg=",0)</f>
        <v>#REF!</v>
      </c>
      <c r="EX215" t="e">
        <f>IF(#REF!,"AAAAAHf/VJk=",0)</f>
        <v>#REF!</v>
      </c>
      <c r="EY215" t="e">
        <f>IF(#REF!,"AAAAAHf/VJo=",0)</f>
        <v>#REF!</v>
      </c>
      <c r="EZ215" t="e">
        <f>IF(#REF!,"AAAAAHf/VJs=",0)</f>
        <v>#REF!</v>
      </c>
      <c r="FA215" t="e">
        <f>IF(#REF!,"AAAAAHf/VJw=",0)</f>
        <v>#REF!</v>
      </c>
      <c r="FB215" t="e">
        <f>IF(#REF!,"AAAAAHf/VJ0=",0)</f>
        <v>#REF!</v>
      </c>
      <c r="FC215" t="e">
        <f>IF(#REF!,"AAAAAHf/VJ4=",0)</f>
        <v>#REF!</v>
      </c>
      <c r="FD215" t="e">
        <f>IF(#REF!,"AAAAAHf/VJ8=",0)</f>
        <v>#REF!</v>
      </c>
      <c r="FE215" t="e">
        <f>IF(#REF!,"AAAAAHf/VKA=",0)</f>
        <v>#REF!</v>
      </c>
      <c r="FF215" t="e">
        <f>IF(#REF!,"AAAAAHf/VKE=",0)</f>
        <v>#REF!</v>
      </c>
      <c r="FG215" t="e">
        <f>IF(#REF!,"AAAAAHf/VKI=",0)</f>
        <v>#REF!</v>
      </c>
      <c r="FH215" t="e">
        <f>IF(#REF!,"AAAAAHf/VKM=",0)</f>
        <v>#REF!</v>
      </c>
      <c r="FI215" t="e">
        <f>IF(#REF!,"AAAAAHf/VKQ=",0)</f>
        <v>#REF!</v>
      </c>
      <c r="FJ215" t="e">
        <f>IF(#REF!,"AAAAAHf/VKU=",0)</f>
        <v>#REF!</v>
      </c>
      <c r="FK215" t="e">
        <f>IF(#REF!,"AAAAAHf/VKY=",0)</f>
        <v>#REF!</v>
      </c>
      <c r="FL215" t="e">
        <f>IF(#REF!,"AAAAAHf/VKc=",0)</f>
        <v>#REF!</v>
      </c>
      <c r="FM215" t="e">
        <f>IF(#REF!,"AAAAAHf/VKg=",0)</f>
        <v>#REF!</v>
      </c>
      <c r="FN215" t="e">
        <f>IF(#REF!,"AAAAAHf/VKk=",0)</f>
        <v>#REF!</v>
      </c>
      <c r="FO215" t="e">
        <f>IF(#REF!,"AAAAAHf/VKo=",0)</f>
        <v>#REF!</v>
      </c>
      <c r="FP215" t="e">
        <f>IF(#REF!,"AAAAAHf/VKs=",0)</f>
        <v>#REF!</v>
      </c>
      <c r="FQ215" t="e">
        <f>IF(#REF!,"AAAAAHf/VKw=",0)</f>
        <v>#REF!</v>
      </c>
      <c r="FR215" t="e">
        <f>IF(#REF!,"AAAAAHf/VK0=",0)</f>
        <v>#REF!</v>
      </c>
      <c r="FS215" t="e">
        <f>IF(#REF!,"AAAAAHf/VK4=",0)</f>
        <v>#REF!</v>
      </c>
      <c r="FT215" t="e">
        <f>IF(#REF!,"AAAAAHf/VK8=",0)</f>
        <v>#REF!</v>
      </c>
      <c r="FU215" t="e">
        <f>IF(#REF!,"AAAAAHf/VLA=",0)</f>
        <v>#REF!</v>
      </c>
      <c r="FV215" t="e">
        <f>IF(#REF!,"AAAAAHf/VLE=",0)</f>
        <v>#REF!</v>
      </c>
      <c r="FW215" t="e">
        <f>IF(#REF!,"AAAAAHf/VLI=",0)</f>
        <v>#REF!</v>
      </c>
      <c r="FX215" t="e">
        <f>IF(#REF!,"AAAAAHf/VLM=",0)</f>
        <v>#REF!</v>
      </c>
      <c r="FY215" t="e">
        <f>IF(#REF!,"AAAAAHf/VLQ=",0)</f>
        <v>#REF!</v>
      </c>
      <c r="FZ215" t="e">
        <f>IF(#REF!,"AAAAAHf/VLU=",0)</f>
        <v>#REF!</v>
      </c>
      <c r="GA215" t="e">
        <f>IF(#REF!,"AAAAAHf/VLY=",0)</f>
        <v>#REF!</v>
      </c>
      <c r="GB215" t="e">
        <f>IF(#REF!,"AAAAAHf/VLc=",0)</f>
        <v>#REF!</v>
      </c>
      <c r="GC215" t="e">
        <f>IF(#REF!,"AAAAAHf/VLg=",0)</f>
        <v>#REF!</v>
      </c>
      <c r="GD215" t="e">
        <f>IF(#REF!,"AAAAAHf/VLk=",0)</f>
        <v>#REF!</v>
      </c>
      <c r="GE215" t="e">
        <f>IF(#REF!,"AAAAAHf/VLo=",0)</f>
        <v>#REF!</v>
      </c>
      <c r="GF215" t="e">
        <f>IF(#REF!,"AAAAAHf/VLs=",0)</f>
        <v>#REF!</v>
      </c>
      <c r="GG215" t="e">
        <f>IF(#REF!,"AAAAAHf/VLw=",0)</f>
        <v>#REF!</v>
      </c>
      <c r="GH215" t="e">
        <f>IF(#REF!,"AAAAAHf/VL0=",0)</f>
        <v>#REF!</v>
      </c>
      <c r="GI215" t="e">
        <f>IF(#REF!,"AAAAAHf/VL4=",0)</f>
        <v>#REF!</v>
      </c>
      <c r="GJ215" t="e">
        <f>IF(#REF!,"AAAAAHf/VL8=",0)</f>
        <v>#REF!</v>
      </c>
      <c r="GK215" t="e">
        <f>IF(#REF!,"AAAAAHf/VMA=",0)</f>
        <v>#REF!</v>
      </c>
      <c r="GL215" t="e">
        <f>IF(#REF!,"AAAAAHf/VME=",0)</f>
        <v>#REF!</v>
      </c>
      <c r="GM215" t="e">
        <f>IF(#REF!,"AAAAAHf/VMI=",0)</f>
        <v>#REF!</v>
      </c>
      <c r="GN215" t="e">
        <f>IF(#REF!,"AAAAAHf/VMM=",0)</f>
        <v>#REF!</v>
      </c>
      <c r="GO215" t="e">
        <f>IF(#REF!,"AAAAAHf/VMQ=",0)</f>
        <v>#REF!</v>
      </c>
      <c r="GP215" t="e">
        <f>IF(#REF!,"AAAAAHf/VMU=",0)</f>
        <v>#REF!</v>
      </c>
      <c r="GQ215" t="e">
        <f>IF(#REF!,"AAAAAHf/VMY=",0)</f>
        <v>#REF!</v>
      </c>
      <c r="GR215" t="e">
        <f>IF(#REF!,"AAAAAHf/VMc=",0)</f>
        <v>#REF!</v>
      </c>
      <c r="GS215" t="e">
        <f>IF(#REF!,"AAAAAHf/VMg=",0)</f>
        <v>#REF!</v>
      </c>
      <c r="GT215" t="e">
        <f>IF(#REF!,"AAAAAHf/VMk=",0)</f>
        <v>#REF!</v>
      </c>
      <c r="GU215" t="e">
        <f>IF(#REF!,"AAAAAHf/VMo=",0)</f>
        <v>#REF!</v>
      </c>
      <c r="GV215" t="e">
        <f>IF(#REF!,"AAAAAHf/VMs=",0)</f>
        <v>#REF!</v>
      </c>
      <c r="GW215" t="e">
        <f>IF(#REF!,"AAAAAHf/VMw=",0)</f>
        <v>#REF!</v>
      </c>
      <c r="GX215" t="e">
        <f>IF(#REF!,"AAAAAHf/VM0=",0)</f>
        <v>#REF!</v>
      </c>
      <c r="GY215" t="e">
        <f>IF(#REF!,"AAAAAHf/VM4=",0)</f>
        <v>#REF!</v>
      </c>
      <c r="GZ215" t="e">
        <f>IF(#REF!,"AAAAAHf/VM8=",0)</f>
        <v>#REF!</v>
      </c>
      <c r="HA215" t="e">
        <f>IF(#REF!,"AAAAAHf/VNA=",0)</f>
        <v>#REF!</v>
      </c>
      <c r="HB215" t="e">
        <f>IF(#REF!,"AAAAAHf/VNE=",0)</f>
        <v>#REF!</v>
      </c>
      <c r="HC215" t="e">
        <f>IF(#REF!,"AAAAAHf/VNI=",0)</f>
        <v>#REF!</v>
      </c>
      <c r="HD215" t="e">
        <f>IF(#REF!,"AAAAAHf/VNM=",0)</f>
        <v>#REF!</v>
      </c>
      <c r="HE215" t="e">
        <f>IF(#REF!,"AAAAAHf/VNQ=",0)</f>
        <v>#REF!</v>
      </c>
      <c r="HF215" t="e">
        <f>IF(#REF!,"AAAAAHf/VNU=",0)</f>
        <v>#REF!</v>
      </c>
      <c r="HG215" t="e">
        <f>IF(#REF!,"AAAAAHf/VNY=",0)</f>
        <v>#REF!</v>
      </c>
      <c r="HH215" t="e">
        <f>IF(#REF!,"AAAAAHf/VNc=",0)</f>
        <v>#REF!</v>
      </c>
      <c r="HI215" t="e">
        <f>IF(#REF!,"AAAAAHf/VNg=",0)</f>
        <v>#REF!</v>
      </c>
      <c r="HJ215" t="e">
        <f>IF(#REF!,"AAAAAHf/VNk=",0)</f>
        <v>#REF!</v>
      </c>
      <c r="HK215" t="e">
        <f>IF(#REF!,"AAAAAHf/VNo=",0)</f>
        <v>#REF!</v>
      </c>
      <c r="HL215" t="e">
        <f>IF(#REF!,"AAAAAHf/VNs=",0)</f>
        <v>#REF!</v>
      </c>
      <c r="HM215" t="e">
        <f>IF(#REF!,"AAAAAHf/VNw=",0)</f>
        <v>#REF!</v>
      </c>
      <c r="HN215" t="e">
        <f>IF(#REF!,"AAAAAHf/VN0=",0)</f>
        <v>#REF!</v>
      </c>
      <c r="HO215" t="e">
        <f>IF(#REF!,"AAAAAHf/VN4=",0)</f>
        <v>#REF!</v>
      </c>
      <c r="HP215" t="e">
        <f>IF(#REF!,"AAAAAHf/VN8=",0)</f>
        <v>#REF!</v>
      </c>
      <c r="HQ215" t="e">
        <f>IF(#REF!,"AAAAAHf/VOA=",0)</f>
        <v>#REF!</v>
      </c>
      <c r="HR215" t="e">
        <f>IF(#REF!,"AAAAAHf/VOE=",0)</f>
        <v>#REF!</v>
      </c>
      <c r="HS215" t="e">
        <f>IF(#REF!,"AAAAAHf/VOI=",0)</f>
        <v>#REF!</v>
      </c>
      <c r="HT215" t="e">
        <f>IF(#REF!,"AAAAAHf/VOM=",0)</f>
        <v>#REF!</v>
      </c>
      <c r="HU215" t="e">
        <f>IF(#REF!,"AAAAAHf/VOQ=",0)</f>
        <v>#REF!</v>
      </c>
      <c r="HV215" t="e">
        <f>IF(#REF!,"AAAAAHf/VOU=",0)</f>
        <v>#REF!</v>
      </c>
      <c r="HW215" t="e">
        <f>IF(#REF!,"AAAAAHf/VOY=",0)</f>
        <v>#REF!</v>
      </c>
      <c r="HX215" t="e">
        <f>IF(#REF!,"AAAAAHf/VOc=",0)</f>
        <v>#REF!</v>
      </c>
      <c r="HY215" t="e">
        <f>IF(#REF!,"AAAAAHf/VOg=",0)</f>
        <v>#REF!</v>
      </c>
      <c r="HZ215" t="e">
        <f>IF(#REF!,"AAAAAHf/VOk=",0)</f>
        <v>#REF!</v>
      </c>
      <c r="IA215" t="e">
        <f>IF(#REF!,"AAAAAHf/VOo=",0)</f>
        <v>#REF!</v>
      </c>
      <c r="IB215" t="e">
        <f>IF(#REF!,"AAAAAHf/VOs=",0)</f>
        <v>#REF!</v>
      </c>
      <c r="IC215" t="e">
        <f>IF(#REF!,"AAAAAHf/VOw=",0)</f>
        <v>#REF!</v>
      </c>
      <c r="ID215" t="e">
        <f>IF(#REF!,"AAAAAHf/VO0=",0)</f>
        <v>#REF!</v>
      </c>
      <c r="IE215" t="e">
        <f>IF(#REF!,"AAAAAHf/VO4=",0)</f>
        <v>#REF!</v>
      </c>
      <c r="IF215" t="e">
        <f>IF(#REF!,"AAAAAHf/VO8=",0)</f>
        <v>#REF!</v>
      </c>
      <c r="IG215" t="e">
        <f>IF(#REF!,"AAAAAHf/VPA=",0)</f>
        <v>#REF!</v>
      </c>
      <c r="IH215" t="e">
        <f>IF(#REF!,"AAAAAHf/VPE=",0)</f>
        <v>#REF!</v>
      </c>
      <c r="II215" t="e">
        <f>IF(#REF!,"AAAAAHf/VPI=",0)</f>
        <v>#REF!</v>
      </c>
      <c r="IJ215" t="e">
        <f>IF(#REF!,"AAAAAHf/VPM=",0)</f>
        <v>#REF!</v>
      </c>
      <c r="IK215" t="e">
        <f>IF(#REF!,"AAAAAHf/VPQ=",0)</f>
        <v>#REF!</v>
      </c>
      <c r="IL215" t="e">
        <f>IF(#REF!,"AAAAAHf/VPU=",0)</f>
        <v>#REF!</v>
      </c>
      <c r="IM215" t="e">
        <f>IF(#REF!,"AAAAAHf/VPY=",0)</f>
        <v>#REF!</v>
      </c>
      <c r="IN215" t="e">
        <f>IF(#REF!,"AAAAAHf/VPc=",0)</f>
        <v>#REF!</v>
      </c>
      <c r="IO215" t="e">
        <f>IF(#REF!,"AAAAAHf/VPg=",0)</f>
        <v>#REF!</v>
      </c>
      <c r="IP215" t="e">
        <f>IF(#REF!,"AAAAAHf/VPk=",0)</f>
        <v>#REF!</v>
      </c>
      <c r="IQ215" t="e">
        <f>IF(#REF!,"AAAAAHf/VPo=",0)</f>
        <v>#REF!</v>
      </c>
      <c r="IR215" t="e">
        <f>IF(#REF!,"AAAAAHf/VPs=",0)</f>
        <v>#REF!</v>
      </c>
      <c r="IS215" t="e">
        <f>IF(#REF!,"AAAAAHf/VPw=",0)</f>
        <v>#REF!</v>
      </c>
      <c r="IT215" t="e">
        <f>IF(#REF!,"AAAAAHf/VP0=",0)</f>
        <v>#REF!</v>
      </c>
      <c r="IU215" t="e">
        <f>IF(#REF!,"AAAAAHf/VP4=",0)</f>
        <v>#REF!</v>
      </c>
      <c r="IV215" t="e">
        <f>IF(#REF!,"AAAAAHf/VP8=",0)</f>
        <v>#REF!</v>
      </c>
    </row>
    <row r="216" spans="1:256">
      <c r="A216" t="e">
        <f>IF(#REF!,"AAAAAF7j3QA=",0)</f>
        <v>#REF!</v>
      </c>
      <c r="B216" t="e">
        <f>IF(#REF!,"AAAAAF7j3QE=",0)</f>
        <v>#REF!</v>
      </c>
      <c r="C216" t="e">
        <f>IF(#REF!,"AAAAAF7j3QI=",0)</f>
        <v>#REF!</v>
      </c>
      <c r="D216" t="e">
        <f>IF(#REF!,"AAAAAF7j3QM=",0)</f>
        <v>#REF!</v>
      </c>
      <c r="E216" t="e">
        <f>IF(#REF!,"AAAAAF7j3QQ=",0)</f>
        <v>#REF!</v>
      </c>
      <c r="F216" t="e">
        <f>IF(#REF!,"AAAAAF7j3QU=",0)</f>
        <v>#REF!</v>
      </c>
      <c r="G216" t="e">
        <f>IF(#REF!,"AAAAAF7j3QY=",0)</f>
        <v>#REF!</v>
      </c>
      <c r="H216" t="e">
        <f>IF(#REF!,"AAAAAF7j3Qc=",0)</f>
        <v>#REF!</v>
      </c>
      <c r="I216" t="e">
        <f>IF(#REF!,"AAAAAF7j3Qg=",0)</f>
        <v>#REF!</v>
      </c>
      <c r="J216" t="e">
        <f>IF(#REF!,"AAAAAF7j3Qk=",0)</f>
        <v>#REF!</v>
      </c>
      <c r="K216" t="e">
        <f>IF(#REF!,"AAAAAF7j3Qo=",0)</f>
        <v>#REF!</v>
      </c>
      <c r="L216" t="e">
        <f>IF(#REF!,"AAAAAF7j3Qs=",0)</f>
        <v>#REF!</v>
      </c>
      <c r="M216" t="e">
        <f>IF(#REF!,"AAAAAF7j3Qw=",0)</f>
        <v>#REF!</v>
      </c>
      <c r="N216" t="e">
        <f>IF(#REF!,"AAAAAF7j3Q0=",0)</f>
        <v>#REF!</v>
      </c>
      <c r="O216" t="e">
        <f>IF(#REF!,"AAAAAF7j3Q4=",0)</f>
        <v>#REF!</v>
      </c>
      <c r="P216" t="e">
        <f>IF(#REF!,"AAAAAF7j3Q8=",0)</f>
        <v>#REF!</v>
      </c>
      <c r="Q216" t="e">
        <f>IF(#REF!,"AAAAAF7j3RA=",0)</f>
        <v>#REF!</v>
      </c>
      <c r="R216" t="e">
        <f>IF(#REF!,"AAAAAF7j3RE=",0)</f>
        <v>#REF!</v>
      </c>
      <c r="S216" t="e">
        <f>IF(#REF!,"AAAAAF7j3RI=",0)</f>
        <v>#REF!</v>
      </c>
      <c r="T216" t="e">
        <f>IF(#REF!,"AAAAAF7j3RM=",0)</f>
        <v>#REF!</v>
      </c>
      <c r="U216" t="e">
        <f>IF(#REF!,"AAAAAF7j3RQ=",0)</f>
        <v>#REF!</v>
      </c>
      <c r="V216" t="e">
        <f>IF(#REF!,"AAAAAF7j3RU=",0)</f>
        <v>#REF!</v>
      </c>
      <c r="W216" t="e">
        <f>IF(#REF!,"AAAAAF7j3RY=",0)</f>
        <v>#REF!</v>
      </c>
      <c r="X216" t="e">
        <f>IF(#REF!,"AAAAAF7j3Rc=",0)</f>
        <v>#REF!</v>
      </c>
      <c r="Y216" t="e">
        <f>IF(#REF!,"AAAAAF7j3Rg=",0)</f>
        <v>#REF!</v>
      </c>
      <c r="Z216" t="e">
        <f>IF(#REF!,"AAAAAF7j3Rk=",0)</f>
        <v>#REF!</v>
      </c>
      <c r="AA216" t="e">
        <f>IF(#REF!,"AAAAAF7j3Ro=",0)</f>
        <v>#REF!</v>
      </c>
      <c r="AB216" t="e">
        <f>IF(#REF!,"AAAAAF7j3Rs=",0)</f>
        <v>#REF!</v>
      </c>
      <c r="AC216" t="e">
        <f>IF(#REF!,"AAAAAF7j3Rw=",0)</f>
        <v>#REF!</v>
      </c>
      <c r="AD216" t="e">
        <f>IF(#REF!,"AAAAAF7j3R0=",0)</f>
        <v>#REF!</v>
      </c>
      <c r="AE216" t="e">
        <f>IF(#REF!,"AAAAAF7j3R4=",0)</f>
        <v>#REF!</v>
      </c>
      <c r="AF216" t="e">
        <f>IF(#REF!,"AAAAAF7j3R8=",0)</f>
        <v>#REF!</v>
      </c>
      <c r="AG216" t="e">
        <f>IF(#REF!,"AAAAAF7j3SA=",0)</f>
        <v>#REF!</v>
      </c>
      <c r="AH216" t="e">
        <f>IF(#REF!,"AAAAAF7j3SE=",0)</f>
        <v>#REF!</v>
      </c>
      <c r="AI216" t="e">
        <f>IF(#REF!,"AAAAAF7j3SI=",0)</f>
        <v>#REF!</v>
      </c>
      <c r="AJ216" t="e">
        <f>IF(#REF!,"AAAAAF7j3SM=",0)</f>
        <v>#REF!</v>
      </c>
      <c r="AK216" t="e">
        <f>IF(#REF!,"AAAAAF7j3SQ=",0)</f>
        <v>#REF!</v>
      </c>
      <c r="AL216" t="e">
        <f>IF(#REF!,"AAAAAF7j3SU=",0)</f>
        <v>#REF!</v>
      </c>
      <c r="AM216" t="e">
        <f>IF(#REF!,"AAAAAF7j3SY=",0)</f>
        <v>#REF!</v>
      </c>
      <c r="AN216" t="e">
        <f>IF(#REF!,"AAAAAF7j3Sc=",0)</f>
        <v>#REF!</v>
      </c>
      <c r="AO216" t="e">
        <f>IF(#REF!,"AAAAAF7j3Sg=",0)</f>
        <v>#REF!</v>
      </c>
      <c r="AP216" t="e">
        <f>IF(#REF!,"AAAAAF7j3Sk=",0)</f>
        <v>#REF!</v>
      </c>
      <c r="AQ216" t="e">
        <f>IF(#REF!,"AAAAAF7j3So=",0)</f>
        <v>#REF!</v>
      </c>
      <c r="AR216" t="e">
        <f>IF(#REF!,"AAAAAF7j3Ss=",0)</f>
        <v>#REF!</v>
      </c>
      <c r="AS216" t="e">
        <f>IF(#REF!,"AAAAAF7j3Sw=",0)</f>
        <v>#REF!</v>
      </c>
      <c r="AT216" t="e">
        <f>IF(#REF!,"AAAAAF7j3S0=",0)</f>
        <v>#REF!</v>
      </c>
      <c r="AU216" t="e">
        <f>IF(#REF!,"AAAAAF7j3S4=",0)</f>
        <v>#REF!</v>
      </c>
      <c r="AV216" t="e">
        <f>IF(#REF!,"AAAAAF7j3S8=",0)</f>
        <v>#REF!</v>
      </c>
      <c r="AW216" t="e">
        <f>IF(#REF!,"AAAAAF7j3TA=",0)</f>
        <v>#REF!</v>
      </c>
      <c r="AX216" t="e">
        <f>IF(#REF!,"AAAAAF7j3TE=",0)</f>
        <v>#REF!</v>
      </c>
      <c r="AY216" t="e">
        <f>IF(#REF!,"AAAAAF7j3TI=",0)</f>
        <v>#REF!</v>
      </c>
      <c r="AZ216" t="e">
        <f>IF(#REF!,"AAAAAF7j3TM=",0)</f>
        <v>#REF!</v>
      </c>
      <c r="BA216" t="e">
        <f>IF(#REF!,"AAAAAF7j3TQ=",0)</f>
        <v>#REF!</v>
      </c>
      <c r="BB216" t="e">
        <f>IF(#REF!,"AAAAAF7j3TU=",0)</f>
        <v>#REF!</v>
      </c>
      <c r="BC216" t="e">
        <f>IF(#REF!,"AAAAAF7j3TY=",0)</f>
        <v>#REF!</v>
      </c>
      <c r="BD216" t="e">
        <f>IF(#REF!,"AAAAAF7j3Tc=",0)</f>
        <v>#REF!</v>
      </c>
      <c r="BE216" t="e">
        <f>IF(#REF!,"AAAAAF7j3Tg=",0)</f>
        <v>#REF!</v>
      </c>
      <c r="BF216" t="e">
        <f>IF(#REF!,"AAAAAF7j3Tk=",0)</f>
        <v>#REF!</v>
      </c>
      <c r="BG216" t="e">
        <f>IF(#REF!,"AAAAAF7j3To=",0)</f>
        <v>#REF!</v>
      </c>
      <c r="BH216" t="e">
        <f>IF(#REF!,"AAAAAF7j3Ts=",0)</f>
        <v>#REF!</v>
      </c>
      <c r="BI216" t="e">
        <f>IF(#REF!,"AAAAAF7j3Tw=",0)</f>
        <v>#REF!</v>
      </c>
      <c r="BJ216" t="e">
        <f>IF(#REF!,"AAAAAF7j3T0=",0)</f>
        <v>#REF!</v>
      </c>
      <c r="BK216" t="e">
        <f>IF(#REF!,"AAAAAF7j3T4=",0)</f>
        <v>#REF!</v>
      </c>
      <c r="BL216" t="e">
        <f>IF(#REF!,"AAAAAF7j3T8=",0)</f>
        <v>#REF!</v>
      </c>
      <c r="BM216" t="e">
        <f>IF(#REF!,"AAAAAF7j3UA=",0)</f>
        <v>#REF!</v>
      </c>
      <c r="BN216" t="e">
        <f>IF(#REF!,"AAAAAF7j3UE=",0)</f>
        <v>#REF!</v>
      </c>
      <c r="BO216" t="e">
        <f>IF(#REF!,"AAAAAF7j3UI=",0)</f>
        <v>#REF!</v>
      </c>
      <c r="BP216" t="e">
        <f>IF(#REF!,"AAAAAF7j3UM=",0)</f>
        <v>#REF!</v>
      </c>
      <c r="BQ216" t="e">
        <f>IF(#REF!,"AAAAAF7j3UQ=",0)</f>
        <v>#REF!</v>
      </c>
      <c r="BR216" t="e">
        <f>IF(#REF!,"AAAAAF7j3UU=",0)</f>
        <v>#REF!</v>
      </c>
      <c r="BS216" t="e">
        <f>IF(#REF!,"AAAAAF7j3UY=",0)</f>
        <v>#REF!</v>
      </c>
      <c r="BT216" t="e">
        <f>IF(#REF!,"AAAAAF7j3Uc=",0)</f>
        <v>#REF!</v>
      </c>
      <c r="BU216" t="e">
        <f>IF(#REF!,"AAAAAF7j3Ug=",0)</f>
        <v>#REF!</v>
      </c>
      <c r="BV216" t="e">
        <f>IF(#REF!,"AAAAAF7j3Uk=",0)</f>
        <v>#REF!</v>
      </c>
      <c r="BW216" t="e">
        <f>IF(#REF!,"AAAAAF7j3Uo=",0)</f>
        <v>#REF!</v>
      </c>
      <c r="BX216" t="e">
        <f>IF(#REF!,"AAAAAF7j3Us=",0)</f>
        <v>#REF!</v>
      </c>
      <c r="BY216" t="e">
        <f>IF(#REF!,"AAAAAF7j3Uw=",0)</f>
        <v>#REF!</v>
      </c>
      <c r="BZ216" t="e">
        <f>IF(#REF!,"AAAAAF7j3U0=",0)</f>
        <v>#REF!</v>
      </c>
      <c r="CA216" t="e">
        <f>IF(#REF!,"AAAAAF7j3U4=",0)</f>
        <v>#REF!</v>
      </c>
      <c r="CB216" t="e">
        <f>IF(#REF!,"AAAAAF7j3U8=",0)</f>
        <v>#REF!</v>
      </c>
      <c r="CC216" t="e">
        <f>IF(#REF!,"AAAAAF7j3VA=",0)</f>
        <v>#REF!</v>
      </c>
      <c r="CD216" t="e">
        <f>IF(#REF!,"AAAAAF7j3VE=",0)</f>
        <v>#REF!</v>
      </c>
      <c r="CE216" t="e">
        <f>IF(#REF!,"AAAAAF7j3VI=",0)</f>
        <v>#REF!</v>
      </c>
      <c r="CF216" t="e">
        <f>IF(#REF!,"AAAAAF7j3VM=",0)</f>
        <v>#REF!</v>
      </c>
      <c r="CG216" t="e">
        <f>IF(#REF!,"AAAAAF7j3VQ=",0)</f>
        <v>#REF!</v>
      </c>
      <c r="CH216" t="e">
        <f>IF(#REF!,"AAAAAF7j3VU=",0)</f>
        <v>#REF!</v>
      </c>
      <c r="CI216" t="e">
        <f>IF(#REF!,"AAAAAF7j3VY=",0)</f>
        <v>#REF!</v>
      </c>
      <c r="CJ216" t="e">
        <f>IF(#REF!,"AAAAAF7j3Vc=",0)</f>
        <v>#REF!</v>
      </c>
      <c r="CK216" t="e">
        <f>IF(#REF!,"AAAAAF7j3Vg=",0)</f>
        <v>#REF!</v>
      </c>
      <c r="CL216" t="e">
        <f>IF(#REF!,"AAAAAF7j3Vk=",0)</f>
        <v>#REF!</v>
      </c>
      <c r="CM216" t="e">
        <f>IF(#REF!,"AAAAAF7j3Vo=",0)</f>
        <v>#REF!</v>
      </c>
      <c r="CN216" t="e">
        <f>IF(#REF!,"AAAAAF7j3Vs=",0)</f>
        <v>#REF!</v>
      </c>
      <c r="CO216" t="e">
        <f>IF(#REF!,"AAAAAF7j3Vw=",0)</f>
        <v>#REF!</v>
      </c>
      <c r="CP216" t="e">
        <f>IF(#REF!,"AAAAAF7j3V0=",0)</f>
        <v>#REF!</v>
      </c>
      <c r="CQ216" t="e">
        <f>IF(#REF!,"AAAAAF7j3V4=",0)</f>
        <v>#REF!</v>
      </c>
      <c r="CR216" t="e">
        <f>IF(#REF!,"AAAAAF7j3V8=",0)</f>
        <v>#REF!</v>
      </c>
      <c r="CS216" t="e">
        <f>IF(#REF!,"AAAAAF7j3WA=",0)</f>
        <v>#REF!</v>
      </c>
      <c r="CT216" t="e">
        <f>IF(#REF!,"AAAAAF7j3WE=",0)</f>
        <v>#REF!</v>
      </c>
      <c r="CU216" t="e">
        <f>IF(#REF!,"AAAAAF7j3WI=",0)</f>
        <v>#REF!</v>
      </c>
      <c r="CV216" t="e">
        <f>IF(#REF!,"AAAAAF7j3WM=",0)</f>
        <v>#REF!</v>
      </c>
      <c r="CW216" t="e">
        <f>IF(#REF!,"AAAAAF7j3WQ=",0)</f>
        <v>#REF!</v>
      </c>
      <c r="CX216" t="e">
        <f>IF(#REF!,"AAAAAF7j3WU=",0)</f>
        <v>#REF!</v>
      </c>
      <c r="CY216" t="e">
        <f>IF(#REF!,"AAAAAF7j3WY=",0)</f>
        <v>#REF!</v>
      </c>
      <c r="CZ216" t="e">
        <f>IF(#REF!,"AAAAAF7j3Wc=",0)</f>
        <v>#REF!</v>
      </c>
      <c r="DA216" t="e">
        <f>IF(#REF!,"AAAAAF7j3Wg=",0)</f>
        <v>#REF!</v>
      </c>
      <c r="DB216" t="e">
        <f>IF(#REF!,"AAAAAF7j3Wk=",0)</f>
        <v>#REF!</v>
      </c>
      <c r="DC216" t="e">
        <f>IF(#REF!,"AAAAAF7j3Wo=",0)</f>
        <v>#REF!</v>
      </c>
      <c r="DD216" t="e">
        <f>IF(#REF!,"AAAAAF7j3Ws=",0)</f>
        <v>#REF!</v>
      </c>
      <c r="DE216" t="e">
        <f>IF(#REF!,"AAAAAF7j3Ww=",0)</f>
        <v>#REF!</v>
      </c>
      <c r="DF216" t="e">
        <f>IF(#REF!,"AAAAAF7j3W0=",0)</f>
        <v>#REF!</v>
      </c>
      <c r="DG216" t="e">
        <f>IF(#REF!,"AAAAAF7j3W4=",0)</f>
        <v>#REF!</v>
      </c>
      <c r="DH216" t="e">
        <f>IF(#REF!,"AAAAAF7j3W8=",0)</f>
        <v>#REF!</v>
      </c>
      <c r="DI216" t="e">
        <f>IF(#REF!,"AAAAAF7j3XA=",0)</f>
        <v>#REF!</v>
      </c>
      <c r="DJ216" t="e">
        <f>IF(#REF!,"AAAAAF7j3XE=",0)</f>
        <v>#REF!</v>
      </c>
      <c r="DK216" t="e">
        <f>IF(#REF!,"AAAAAF7j3XI=",0)</f>
        <v>#REF!</v>
      </c>
      <c r="DL216" t="e">
        <f>IF(#REF!,"AAAAAF7j3XM=",0)</f>
        <v>#REF!</v>
      </c>
      <c r="DM216" t="e">
        <f>IF(#REF!,"AAAAAF7j3XQ=",0)</f>
        <v>#REF!</v>
      </c>
      <c r="DN216" t="e">
        <f>IF(#REF!,"AAAAAF7j3XU=",0)</f>
        <v>#REF!</v>
      </c>
      <c r="DO216" t="e">
        <f>IF(#REF!,"AAAAAF7j3XY=",0)</f>
        <v>#REF!</v>
      </c>
      <c r="DP216" t="e">
        <f>IF(#REF!,"AAAAAF7j3Xc=",0)</f>
        <v>#REF!</v>
      </c>
      <c r="DQ216" t="e">
        <f>IF(#REF!,"AAAAAF7j3Xg=",0)</f>
        <v>#REF!</v>
      </c>
      <c r="DR216" t="e">
        <f>IF(#REF!,"AAAAAF7j3Xk=",0)</f>
        <v>#REF!</v>
      </c>
      <c r="DS216" t="e">
        <f>IF(#REF!,"AAAAAF7j3Xo=",0)</f>
        <v>#REF!</v>
      </c>
      <c r="DT216" t="e">
        <f>IF(#REF!,"AAAAAF7j3Xs=",0)</f>
        <v>#REF!</v>
      </c>
      <c r="DU216" t="e">
        <f>IF(#REF!,"AAAAAF7j3Xw=",0)</f>
        <v>#REF!</v>
      </c>
      <c r="DV216" t="e">
        <f>IF(#REF!,"AAAAAF7j3X0=",0)</f>
        <v>#REF!</v>
      </c>
      <c r="DW216" t="e">
        <f>IF(#REF!,"AAAAAF7j3X4=",0)</f>
        <v>#REF!</v>
      </c>
      <c r="DX216" t="e">
        <f>IF(#REF!,"AAAAAF7j3X8=",0)</f>
        <v>#REF!</v>
      </c>
      <c r="DY216" t="e">
        <f>IF(#REF!,"AAAAAF7j3YA=",0)</f>
        <v>#REF!</v>
      </c>
      <c r="DZ216" t="e">
        <f>IF(#REF!,"AAAAAF7j3YE=",0)</f>
        <v>#REF!</v>
      </c>
      <c r="EA216" t="e">
        <f>IF(#REF!,"AAAAAF7j3YI=",0)</f>
        <v>#REF!</v>
      </c>
      <c r="EB216" t="e">
        <f>IF(#REF!,"AAAAAF7j3YM=",0)</f>
        <v>#REF!</v>
      </c>
      <c r="EC216" t="e">
        <f>IF(#REF!,"AAAAAF7j3YQ=",0)</f>
        <v>#REF!</v>
      </c>
      <c r="ED216" t="e">
        <f>IF(#REF!,"AAAAAF7j3YU=",0)</f>
        <v>#REF!</v>
      </c>
      <c r="EE216" t="e">
        <f>IF(#REF!,"AAAAAF7j3YY=",0)</f>
        <v>#REF!</v>
      </c>
      <c r="EF216" t="e">
        <f>IF(#REF!,"AAAAAF7j3Yc=",0)</f>
        <v>#REF!</v>
      </c>
      <c r="EG216" t="e">
        <f>IF(#REF!,"AAAAAF7j3Yg=",0)</f>
        <v>#REF!</v>
      </c>
      <c r="EH216" t="e">
        <f>IF(#REF!,"AAAAAF7j3Yk=",0)</f>
        <v>#REF!</v>
      </c>
      <c r="EI216" t="e">
        <f>IF(#REF!,"AAAAAF7j3Yo=",0)</f>
        <v>#REF!</v>
      </c>
      <c r="EJ216" t="e">
        <f>IF(#REF!,"AAAAAF7j3Ys=",0)</f>
        <v>#REF!</v>
      </c>
      <c r="EK216" t="e">
        <f>IF(#REF!,"AAAAAF7j3Yw=",0)</f>
        <v>#REF!</v>
      </c>
      <c r="EL216" t="e">
        <f>IF(#REF!,"AAAAAF7j3Y0=",0)</f>
        <v>#REF!</v>
      </c>
      <c r="EM216" t="e">
        <f>IF(#REF!,"AAAAAF7j3Y4=",0)</f>
        <v>#REF!</v>
      </c>
      <c r="EN216" t="e">
        <f>IF(#REF!,"AAAAAF7j3Y8=",0)</f>
        <v>#REF!</v>
      </c>
      <c r="EO216" t="e">
        <f>IF(#REF!,"AAAAAF7j3ZA=",0)</f>
        <v>#REF!</v>
      </c>
      <c r="EP216" t="e">
        <f>IF(#REF!,"AAAAAF7j3ZE=",0)</f>
        <v>#REF!</v>
      </c>
      <c r="EQ216" t="e">
        <f>IF(#REF!,"AAAAAF7j3ZI=",0)</f>
        <v>#REF!</v>
      </c>
      <c r="ER216" t="e">
        <f>IF(#REF!,"AAAAAF7j3ZM=",0)</f>
        <v>#REF!</v>
      </c>
      <c r="ES216" t="e">
        <f>IF(#REF!,"AAAAAF7j3ZQ=",0)</f>
        <v>#REF!</v>
      </c>
      <c r="ET216" t="e">
        <f>IF(#REF!,"AAAAAF7j3ZU=",0)</f>
        <v>#REF!</v>
      </c>
      <c r="EU216" t="e">
        <f>IF(#REF!,"AAAAAF7j3ZY=",0)</f>
        <v>#REF!</v>
      </c>
      <c r="EV216" t="e">
        <f>IF(#REF!,"AAAAAF7j3Zc=",0)</f>
        <v>#REF!</v>
      </c>
      <c r="EW216" t="e">
        <f>IF(#REF!,"AAAAAF7j3Zg=",0)</f>
        <v>#REF!</v>
      </c>
      <c r="EX216" t="e">
        <f>IF(#REF!,"AAAAAF7j3Zk=",0)</f>
        <v>#REF!</v>
      </c>
      <c r="EY216" t="e">
        <f>IF(#REF!,"AAAAAF7j3Zo=",0)</f>
        <v>#REF!</v>
      </c>
      <c r="EZ216" t="e">
        <f>IF(#REF!,"AAAAAF7j3Zs=",0)</f>
        <v>#REF!</v>
      </c>
      <c r="FA216" t="e">
        <f>IF(#REF!,"AAAAAF7j3Zw=",0)</f>
        <v>#REF!</v>
      </c>
      <c r="FB216" t="e">
        <f>IF(#REF!,"AAAAAF7j3Z0=",0)</f>
        <v>#REF!</v>
      </c>
      <c r="FC216" t="e">
        <f>IF(#REF!,"AAAAAF7j3Z4=",0)</f>
        <v>#REF!</v>
      </c>
      <c r="FD216" t="e">
        <f>IF(#REF!,"AAAAAF7j3Z8=",0)</f>
        <v>#REF!</v>
      </c>
      <c r="FE216" t="e">
        <f>IF(#REF!,"AAAAAF7j3aA=",0)</f>
        <v>#REF!</v>
      </c>
      <c r="FF216" t="e">
        <f>IF(#REF!,"AAAAAF7j3aE=",0)</f>
        <v>#REF!</v>
      </c>
      <c r="FG216" t="e">
        <f>IF(#REF!,"AAAAAF7j3aI=",0)</f>
        <v>#REF!</v>
      </c>
      <c r="FH216" t="e">
        <f>IF(#REF!,"AAAAAF7j3aM=",0)</f>
        <v>#REF!</v>
      </c>
      <c r="FI216" t="e">
        <f>IF(#REF!,"AAAAAF7j3aQ=",0)</f>
        <v>#REF!</v>
      </c>
      <c r="FJ216" t="e">
        <f>IF(#REF!,"AAAAAF7j3aU=",0)</f>
        <v>#REF!</v>
      </c>
      <c r="FK216" t="e">
        <f>IF(#REF!,"AAAAAF7j3aY=",0)</f>
        <v>#REF!</v>
      </c>
      <c r="FL216" t="e">
        <f>IF(#REF!,"AAAAAF7j3ac=",0)</f>
        <v>#REF!</v>
      </c>
      <c r="FM216" t="e">
        <f>IF(#REF!,"AAAAAF7j3ag=",0)</f>
        <v>#REF!</v>
      </c>
      <c r="FN216" t="e">
        <f>IF(#REF!,"AAAAAF7j3ak=",0)</f>
        <v>#REF!</v>
      </c>
      <c r="FO216" t="e">
        <f>IF(#REF!,"AAAAAF7j3ao=",0)</f>
        <v>#REF!</v>
      </c>
      <c r="FP216" t="e">
        <f>IF(#REF!,"AAAAAF7j3as=",0)</f>
        <v>#REF!</v>
      </c>
      <c r="FQ216" t="e">
        <f>IF(#REF!,"AAAAAF7j3aw=",0)</f>
        <v>#REF!</v>
      </c>
      <c r="FR216" t="e">
        <f>IF(#REF!,"AAAAAF7j3a0=",0)</f>
        <v>#REF!</v>
      </c>
      <c r="FS216" t="e">
        <f>IF(#REF!,"AAAAAF7j3a4=",0)</f>
        <v>#REF!</v>
      </c>
      <c r="FT216" t="e">
        <f>IF(#REF!,"AAAAAF7j3a8=",0)</f>
        <v>#REF!</v>
      </c>
      <c r="FU216" t="e">
        <f>IF(#REF!,"AAAAAF7j3bA=",0)</f>
        <v>#REF!</v>
      </c>
      <c r="FV216" t="e">
        <f>IF(#REF!,"AAAAAF7j3bE=",0)</f>
        <v>#REF!</v>
      </c>
      <c r="FW216" t="e">
        <f>IF(#REF!,"AAAAAF7j3bI=",0)</f>
        <v>#REF!</v>
      </c>
      <c r="FX216" t="e">
        <f>IF(#REF!,"AAAAAF7j3bM=",0)</f>
        <v>#REF!</v>
      </c>
      <c r="FY216" t="e">
        <f>IF(#REF!,"AAAAAF7j3bQ=",0)</f>
        <v>#REF!</v>
      </c>
      <c r="FZ216" t="e">
        <f>IF(#REF!,"AAAAAF7j3bU=",0)</f>
        <v>#REF!</v>
      </c>
      <c r="GA216" t="e">
        <f>IF(#REF!,"AAAAAF7j3bY=",0)</f>
        <v>#REF!</v>
      </c>
      <c r="GB216" t="e">
        <f>IF(#REF!,"AAAAAF7j3bc=",0)</f>
        <v>#REF!</v>
      </c>
      <c r="GC216" t="e">
        <f>IF(#REF!,"AAAAAF7j3bg=",0)</f>
        <v>#REF!</v>
      </c>
      <c r="GD216" t="e">
        <f>IF(#REF!,"AAAAAF7j3bk=",0)</f>
        <v>#REF!</v>
      </c>
      <c r="GE216" t="e">
        <f>IF(#REF!,"AAAAAF7j3bo=",0)</f>
        <v>#REF!</v>
      </c>
      <c r="GF216" t="e">
        <f>IF(#REF!,"AAAAAF7j3bs=",0)</f>
        <v>#REF!</v>
      </c>
      <c r="GG216" t="e">
        <f>IF(#REF!,"AAAAAF7j3bw=",0)</f>
        <v>#REF!</v>
      </c>
      <c r="GH216" t="e">
        <f>IF(#REF!,"AAAAAF7j3b0=",0)</f>
        <v>#REF!</v>
      </c>
      <c r="GI216" t="e">
        <f>IF(#REF!,"AAAAAF7j3b4=",0)</f>
        <v>#REF!</v>
      </c>
      <c r="GJ216" t="e">
        <f>IF(#REF!,"AAAAAF7j3b8=",0)</f>
        <v>#REF!</v>
      </c>
      <c r="GK216" t="e">
        <f>IF(#REF!,"AAAAAF7j3cA=",0)</f>
        <v>#REF!</v>
      </c>
      <c r="GL216" t="e">
        <f>IF(#REF!,"AAAAAF7j3cE=",0)</f>
        <v>#REF!</v>
      </c>
      <c r="GM216" t="e">
        <f>IF(#REF!,"AAAAAF7j3cI=",0)</f>
        <v>#REF!</v>
      </c>
      <c r="GN216" t="e">
        <f>IF(#REF!,"AAAAAF7j3cM=",0)</f>
        <v>#REF!</v>
      </c>
      <c r="GO216" t="e">
        <f>IF(#REF!,"AAAAAF7j3cQ=",0)</f>
        <v>#REF!</v>
      </c>
      <c r="GP216" t="e">
        <f>IF(#REF!,"AAAAAF7j3cU=",0)</f>
        <v>#REF!</v>
      </c>
      <c r="GQ216" t="e">
        <f>IF(#REF!,"AAAAAF7j3cY=",0)</f>
        <v>#REF!</v>
      </c>
      <c r="GR216" t="e">
        <f>IF(#REF!,"AAAAAF7j3cc=",0)</f>
        <v>#REF!</v>
      </c>
      <c r="GS216" t="e">
        <f>IF(#REF!,"AAAAAF7j3cg=",0)</f>
        <v>#REF!</v>
      </c>
      <c r="GT216" t="e">
        <f>IF(#REF!,"AAAAAF7j3ck=",0)</f>
        <v>#REF!</v>
      </c>
      <c r="GU216" t="e">
        <f>IF(#REF!,"AAAAAF7j3co=",0)</f>
        <v>#REF!</v>
      </c>
      <c r="GV216" t="e">
        <f>IF(#REF!,"AAAAAF7j3cs=",0)</f>
        <v>#REF!</v>
      </c>
      <c r="GW216" t="e">
        <f>IF(#REF!,"AAAAAF7j3cw=",0)</f>
        <v>#REF!</v>
      </c>
      <c r="GX216" t="e">
        <f>IF(#REF!,"AAAAAF7j3c0=",0)</f>
        <v>#REF!</v>
      </c>
      <c r="GY216" t="e">
        <f>IF(#REF!,"AAAAAF7j3c4=",0)</f>
        <v>#REF!</v>
      </c>
      <c r="GZ216" t="e">
        <f>IF(#REF!,"AAAAAF7j3c8=",0)</f>
        <v>#REF!</v>
      </c>
      <c r="HA216" t="e">
        <f>IF(#REF!,"AAAAAF7j3dA=",0)</f>
        <v>#REF!</v>
      </c>
      <c r="HB216" t="e">
        <f>IF(#REF!,"AAAAAF7j3dE=",0)</f>
        <v>#REF!</v>
      </c>
      <c r="HC216" t="e">
        <f>IF(#REF!,"AAAAAF7j3dI=",0)</f>
        <v>#REF!</v>
      </c>
      <c r="HD216" t="e">
        <f>IF(#REF!,"AAAAAF7j3dM=",0)</f>
        <v>#REF!</v>
      </c>
      <c r="HE216" t="e">
        <f>IF(#REF!,"AAAAAF7j3dQ=",0)</f>
        <v>#REF!</v>
      </c>
      <c r="HF216" t="e">
        <f>IF(#REF!,"AAAAAF7j3dU=",0)</f>
        <v>#REF!</v>
      </c>
      <c r="HG216" t="e">
        <f>IF(#REF!,"AAAAAF7j3dY=",0)</f>
        <v>#REF!</v>
      </c>
      <c r="HH216" t="e">
        <f>IF(#REF!,"AAAAAF7j3dc=",0)</f>
        <v>#REF!</v>
      </c>
      <c r="HI216" t="e">
        <f>IF(#REF!,"AAAAAF7j3dg=",0)</f>
        <v>#REF!</v>
      </c>
      <c r="HJ216" t="e">
        <f>IF(#REF!,"AAAAAF7j3dk=",0)</f>
        <v>#REF!</v>
      </c>
      <c r="HK216" t="e">
        <f>IF(#REF!,"AAAAAF7j3do=",0)</f>
        <v>#REF!</v>
      </c>
      <c r="HL216" t="e">
        <f>IF(#REF!,"AAAAAF7j3ds=",0)</f>
        <v>#REF!</v>
      </c>
      <c r="HM216" t="e">
        <f>IF(#REF!,"AAAAAF7j3dw=",0)</f>
        <v>#REF!</v>
      </c>
      <c r="HN216" t="e">
        <f>IF(#REF!,"AAAAAF7j3d0=",0)</f>
        <v>#REF!</v>
      </c>
      <c r="HO216" t="e">
        <f>IF(#REF!,"AAAAAF7j3d4=",0)</f>
        <v>#REF!</v>
      </c>
      <c r="HP216" t="e">
        <f>IF(#REF!,"AAAAAF7j3d8=",0)</f>
        <v>#REF!</v>
      </c>
      <c r="HQ216" t="e">
        <f>IF(#REF!,"AAAAAF7j3eA=",0)</f>
        <v>#REF!</v>
      </c>
      <c r="HR216" t="e">
        <f>IF(#REF!,"AAAAAF7j3eE=",0)</f>
        <v>#REF!</v>
      </c>
      <c r="HS216" t="e">
        <f>IF(#REF!,"AAAAAF7j3eI=",0)</f>
        <v>#REF!</v>
      </c>
      <c r="HT216" t="e">
        <f>IF(#REF!,"AAAAAF7j3eM=",0)</f>
        <v>#REF!</v>
      </c>
      <c r="HU216" t="e">
        <f>IF(#REF!,"AAAAAF7j3eQ=",0)</f>
        <v>#REF!</v>
      </c>
      <c r="HV216" t="e">
        <f>IF(#REF!,"AAAAAF7j3eU=",0)</f>
        <v>#REF!</v>
      </c>
      <c r="HW216" t="e">
        <f>IF(#REF!,"AAAAAF7j3eY=",0)</f>
        <v>#REF!</v>
      </c>
      <c r="HX216" t="e">
        <f>IF(#REF!,"AAAAAF7j3ec=",0)</f>
        <v>#REF!</v>
      </c>
      <c r="HY216" t="e">
        <f>IF(#REF!,"AAAAAF7j3eg=",0)</f>
        <v>#REF!</v>
      </c>
      <c r="HZ216" t="e">
        <f>IF(#REF!,"AAAAAF7j3ek=",0)</f>
        <v>#REF!</v>
      </c>
      <c r="IA216" t="e">
        <f>IF(#REF!,"AAAAAF7j3eo=",0)</f>
        <v>#REF!</v>
      </c>
      <c r="IB216" t="e">
        <f>IF(#REF!,"AAAAAF7j3es=",0)</f>
        <v>#REF!</v>
      </c>
      <c r="IC216" t="e">
        <f>IF(#REF!,"AAAAAF7j3ew=",0)</f>
        <v>#REF!</v>
      </c>
      <c r="ID216" t="e">
        <f>IF(#REF!,"AAAAAF7j3e0=",0)</f>
        <v>#REF!</v>
      </c>
      <c r="IE216" t="e">
        <f>IF(#REF!,"AAAAAF7j3e4=",0)</f>
        <v>#REF!</v>
      </c>
      <c r="IF216" t="e">
        <f>IF(#REF!,"AAAAAF7j3e8=",0)</f>
        <v>#REF!</v>
      </c>
      <c r="IG216" t="e">
        <f>IF(#REF!,"AAAAAF7j3fA=",0)</f>
        <v>#REF!</v>
      </c>
      <c r="IH216" t="e">
        <f>IF(#REF!,"AAAAAF7j3fE=",0)</f>
        <v>#REF!</v>
      </c>
      <c r="II216" t="e">
        <f>IF(#REF!,"AAAAAF7j3fI=",0)</f>
        <v>#REF!</v>
      </c>
      <c r="IJ216" t="e">
        <f>IF(#REF!,"AAAAAF7j3fM=",0)</f>
        <v>#REF!</v>
      </c>
      <c r="IK216" t="e">
        <f>IF(#REF!,"AAAAAF7j3fQ=",0)</f>
        <v>#REF!</v>
      </c>
      <c r="IL216" t="e">
        <f>IF(#REF!,"AAAAAF7j3fU=",0)</f>
        <v>#REF!</v>
      </c>
      <c r="IM216" t="e">
        <f>IF(#REF!,"AAAAAF7j3fY=",0)</f>
        <v>#REF!</v>
      </c>
      <c r="IN216" t="e">
        <f>IF(#REF!,"AAAAAF7j3fc=",0)</f>
        <v>#REF!</v>
      </c>
      <c r="IO216" t="e">
        <f>IF(#REF!,"AAAAAF7j3fg=",0)</f>
        <v>#REF!</v>
      </c>
      <c r="IP216" t="e">
        <f>IF(#REF!,"AAAAAF7j3fk=",0)</f>
        <v>#REF!</v>
      </c>
      <c r="IQ216" t="e">
        <f>IF(#REF!,"AAAAAF7j3fo=",0)</f>
        <v>#REF!</v>
      </c>
      <c r="IR216" t="e">
        <f>IF(#REF!,"AAAAAF7j3fs=",0)</f>
        <v>#REF!</v>
      </c>
      <c r="IS216" t="e">
        <f>IF(#REF!,"AAAAAF7j3fw=",0)</f>
        <v>#REF!</v>
      </c>
      <c r="IT216" t="e">
        <f>IF(#REF!,"AAAAAF7j3f0=",0)</f>
        <v>#REF!</v>
      </c>
      <c r="IU216" t="e">
        <f>IF(#REF!,"AAAAAF7j3f4=",0)</f>
        <v>#REF!</v>
      </c>
      <c r="IV216" t="e">
        <f>IF(#REF!,"AAAAAF7j3f8=",0)</f>
        <v>#REF!</v>
      </c>
    </row>
    <row r="217" spans="1:256">
      <c r="A217" t="e">
        <f>IF(#REF!,"AAAAAE35/AA=",0)</f>
        <v>#REF!</v>
      </c>
      <c r="B217" t="e">
        <f>IF(#REF!,"AAAAAE35/AE=",0)</f>
        <v>#REF!</v>
      </c>
      <c r="C217" t="e">
        <f>IF(#REF!,"AAAAAE35/AI=",0)</f>
        <v>#REF!</v>
      </c>
      <c r="D217" t="e">
        <f>IF(#REF!,"AAAAAE35/AM=",0)</f>
        <v>#REF!</v>
      </c>
      <c r="E217" t="e">
        <f>IF(#REF!,"AAAAAE35/AQ=",0)</f>
        <v>#REF!</v>
      </c>
      <c r="F217" t="e">
        <f>IF(#REF!,"AAAAAE35/AU=",0)</f>
        <v>#REF!</v>
      </c>
      <c r="G217" t="e">
        <f>IF(#REF!,"AAAAAE35/AY=",0)</f>
        <v>#REF!</v>
      </c>
      <c r="H217" t="e">
        <f>IF(#REF!,"AAAAAE35/Ac=",0)</f>
        <v>#REF!</v>
      </c>
      <c r="I217" t="e">
        <f>IF(#REF!,"AAAAAE35/Ag=",0)</f>
        <v>#REF!</v>
      </c>
      <c r="J217" t="e">
        <f>IF(#REF!,"AAAAAE35/Ak=",0)</f>
        <v>#REF!</v>
      </c>
      <c r="K217" t="e">
        <f>IF(#REF!,"AAAAAE35/Ao=",0)</f>
        <v>#REF!</v>
      </c>
      <c r="L217" t="e">
        <f>IF(#REF!,"AAAAAE35/As=",0)</f>
        <v>#REF!</v>
      </c>
      <c r="M217" t="e">
        <f>IF(#REF!,"AAAAAE35/Aw=",0)</f>
        <v>#REF!</v>
      </c>
      <c r="N217" t="e">
        <f>IF(#REF!,"AAAAAE35/A0=",0)</f>
        <v>#REF!</v>
      </c>
      <c r="O217" t="e">
        <f>IF(#REF!,"AAAAAE35/A4=",0)</f>
        <v>#REF!</v>
      </c>
      <c r="P217" t="e">
        <f>IF(#REF!,"AAAAAE35/A8=",0)</f>
        <v>#REF!</v>
      </c>
      <c r="Q217" t="e">
        <f>IF(#REF!,"AAAAAE35/BA=",0)</f>
        <v>#REF!</v>
      </c>
      <c r="R217" t="e">
        <f>IF(#REF!,"AAAAAE35/BE=",0)</f>
        <v>#REF!</v>
      </c>
      <c r="S217" t="e">
        <f>IF(#REF!,"AAAAAE35/BI=",0)</f>
        <v>#REF!</v>
      </c>
      <c r="T217" t="e">
        <f>IF(#REF!,"AAAAAE35/BM=",0)</f>
        <v>#REF!</v>
      </c>
      <c r="U217" t="e">
        <f>IF(#REF!,"AAAAAE35/BQ=",0)</f>
        <v>#REF!</v>
      </c>
      <c r="V217" t="e">
        <f>IF(#REF!,"AAAAAE35/BU=",0)</f>
        <v>#REF!</v>
      </c>
      <c r="W217" t="e">
        <f>IF(#REF!,"AAAAAE35/BY=",0)</f>
        <v>#REF!</v>
      </c>
      <c r="X217" t="e">
        <f>IF(#REF!,"AAAAAE35/Bc=",0)</f>
        <v>#REF!</v>
      </c>
      <c r="Y217" t="e">
        <f>IF(#REF!,"AAAAAE35/Bg=",0)</f>
        <v>#REF!</v>
      </c>
      <c r="Z217" t="e">
        <f>IF(#REF!,"AAAAAE35/Bk=",0)</f>
        <v>#REF!</v>
      </c>
      <c r="AA217" t="e">
        <f>IF(#REF!,"AAAAAE35/Bo=",0)</f>
        <v>#REF!</v>
      </c>
      <c r="AB217" t="e">
        <f>IF(#REF!,"AAAAAE35/Bs=",0)</f>
        <v>#REF!</v>
      </c>
      <c r="AC217" t="e">
        <f>IF(#REF!,"AAAAAE35/Bw=",0)</f>
        <v>#REF!</v>
      </c>
      <c r="AD217" t="e">
        <f>IF(#REF!,"AAAAAE35/B0=",0)</f>
        <v>#REF!</v>
      </c>
      <c r="AE217" t="e">
        <f>IF(#REF!,"AAAAAE35/B4=",0)</f>
        <v>#REF!</v>
      </c>
      <c r="AF217" t="e">
        <f>IF(#REF!,"AAAAAE35/B8=",0)</f>
        <v>#REF!</v>
      </c>
      <c r="AG217" t="e">
        <f>IF(#REF!,"AAAAAE35/CA=",0)</f>
        <v>#REF!</v>
      </c>
      <c r="AH217" t="e">
        <f>IF(#REF!,"AAAAAE35/CE=",0)</f>
        <v>#REF!</v>
      </c>
      <c r="AI217" t="e">
        <f>IF(#REF!,"AAAAAE35/CI=",0)</f>
        <v>#REF!</v>
      </c>
      <c r="AJ217" t="e">
        <f>IF(#REF!,"AAAAAE35/CM=",0)</f>
        <v>#REF!</v>
      </c>
      <c r="AK217" t="e">
        <f>IF(#REF!,"AAAAAE35/CQ=",0)</f>
        <v>#REF!</v>
      </c>
      <c r="AL217" t="e">
        <f>IF(#REF!,"AAAAAE35/CU=",0)</f>
        <v>#REF!</v>
      </c>
      <c r="AM217" t="e">
        <f>IF(#REF!,"AAAAAE35/CY=",0)</f>
        <v>#REF!</v>
      </c>
      <c r="AN217" t="e">
        <f>IF(#REF!,"AAAAAE35/Cc=",0)</f>
        <v>#REF!</v>
      </c>
      <c r="AO217" t="e">
        <f>IF(#REF!,"AAAAAE35/Cg=",0)</f>
        <v>#REF!</v>
      </c>
      <c r="AP217" t="e">
        <f>IF(#REF!,"AAAAAE35/Ck=",0)</f>
        <v>#REF!</v>
      </c>
      <c r="AQ217" t="e">
        <f>IF(#REF!,"AAAAAE35/Co=",0)</f>
        <v>#REF!</v>
      </c>
      <c r="AR217" t="e">
        <f>IF(#REF!,"AAAAAE35/Cs=",0)</f>
        <v>#REF!</v>
      </c>
      <c r="AS217" t="e">
        <f>IF(#REF!,"AAAAAE35/Cw=",0)</f>
        <v>#REF!</v>
      </c>
      <c r="AT217" t="e">
        <f>IF(#REF!,"AAAAAE35/C0=",0)</f>
        <v>#REF!</v>
      </c>
      <c r="AU217" t="e">
        <f>IF(#REF!,"AAAAAE35/C4=",0)</f>
        <v>#REF!</v>
      </c>
      <c r="AV217" t="e">
        <f>IF(#REF!,"AAAAAE35/C8=",0)</f>
        <v>#REF!</v>
      </c>
      <c r="AW217" t="e">
        <f>IF(#REF!,"AAAAAE35/DA=",0)</f>
        <v>#REF!</v>
      </c>
      <c r="AX217" t="e">
        <f>IF(#REF!,"AAAAAE35/DE=",0)</f>
        <v>#REF!</v>
      </c>
      <c r="AY217" t="e">
        <f>IF(#REF!,"AAAAAE35/DI=",0)</f>
        <v>#REF!</v>
      </c>
      <c r="AZ217" t="e">
        <f>IF(#REF!,"AAAAAE35/DM=",0)</f>
        <v>#REF!</v>
      </c>
      <c r="BA217" t="e">
        <f>IF(#REF!,"AAAAAE35/DQ=",0)</f>
        <v>#REF!</v>
      </c>
      <c r="BB217" t="e">
        <f>IF(#REF!,"AAAAAE35/DU=",0)</f>
        <v>#REF!</v>
      </c>
      <c r="BC217" t="e">
        <f>IF(#REF!,"AAAAAE35/DY=",0)</f>
        <v>#REF!</v>
      </c>
      <c r="BD217" t="e">
        <f>IF(#REF!,"AAAAAE35/Dc=",0)</f>
        <v>#REF!</v>
      </c>
      <c r="BE217" t="e">
        <f>IF(#REF!,"AAAAAE35/Dg=",0)</f>
        <v>#REF!</v>
      </c>
      <c r="BF217" t="e">
        <f>IF(#REF!,"AAAAAE35/Dk=",0)</f>
        <v>#REF!</v>
      </c>
      <c r="BG217" t="e">
        <f>IF(#REF!,"AAAAAE35/Do=",0)</f>
        <v>#REF!</v>
      </c>
      <c r="BH217" t="e">
        <f>IF(#REF!,"AAAAAE35/Ds=",0)</f>
        <v>#REF!</v>
      </c>
      <c r="BI217" t="e">
        <f>IF(#REF!,"AAAAAE35/Dw=",0)</f>
        <v>#REF!</v>
      </c>
      <c r="BJ217" t="e">
        <f>IF(#REF!,"AAAAAE35/D0=",0)</f>
        <v>#REF!</v>
      </c>
      <c r="BK217" t="e">
        <f>IF(#REF!,"AAAAAE35/D4=",0)</f>
        <v>#REF!</v>
      </c>
      <c r="BL217" t="e">
        <f>IF(#REF!,"AAAAAE35/D8=",0)</f>
        <v>#REF!</v>
      </c>
      <c r="BM217" t="e">
        <f>IF(#REF!,"AAAAAE35/EA=",0)</f>
        <v>#REF!</v>
      </c>
      <c r="BN217" t="e">
        <f>IF(#REF!,"AAAAAE35/EE=",0)</f>
        <v>#REF!</v>
      </c>
      <c r="BO217" t="e">
        <f>IF(#REF!,"AAAAAE35/EI=",0)</f>
        <v>#REF!</v>
      </c>
      <c r="BP217" t="e">
        <f>IF(#REF!,"AAAAAE35/EM=",0)</f>
        <v>#REF!</v>
      </c>
      <c r="BQ217" t="e">
        <f>IF(#REF!,"AAAAAE35/EQ=",0)</f>
        <v>#REF!</v>
      </c>
      <c r="BR217" t="e">
        <f>IF(#REF!,"AAAAAE35/EU=",0)</f>
        <v>#REF!</v>
      </c>
      <c r="BS217" t="e">
        <f>IF(#REF!,"AAAAAE35/EY=",0)</f>
        <v>#REF!</v>
      </c>
      <c r="BT217" t="e">
        <f>IF(#REF!,"AAAAAE35/Ec=",0)</f>
        <v>#REF!</v>
      </c>
      <c r="BU217" t="e">
        <f>IF(#REF!,"AAAAAE35/Eg=",0)</f>
        <v>#REF!</v>
      </c>
      <c r="BV217" t="e">
        <f>IF(#REF!,"AAAAAE35/Ek=",0)</f>
        <v>#REF!</v>
      </c>
      <c r="BW217" t="e">
        <f>IF(#REF!,"AAAAAE35/Eo=",0)</f>
        <v>#REF!</v>
      </c>
      <c r="BX217" t="e">
        <f>IF(#REF!,"AAAAAE35/Es=",0)</f>
        <v>#REF!</v>
      </c>
      <c r="BY217" t="e">
        <f>IF(#REF!,"AAAAAE35/Ew=",0)</f>
        <v>#REF!</v>
      </c>
      <c r="BZ217" t="e">
        <f>IF(#REF!,"AAAAAE35/E0=",0)</f>
        <v>#REF!</v>
      </c>
      <c r="CA217" t="e">
        <f>IF(#REF!,"AAAAAE35/E4=",0)</f>
        <v>#REF!</v>
      </c>
      <c r="CB217" t="e">
        <f>IF(#REF!,"AAAAAE35/E8=",0)</f>
        <v>#REF!</v>
      </c>
      <c r="CC217" t="e">
        <f>IF(#REF!,"AAAAAE35/FA=",0)</f>
        <v>#REF!</v>
      </c>
      <c r="CD217" t="e">
        <f>IF(#REF!,"AAAAAE35/FE=",0)</f>
        <v>#REF!</v>
      </c>
      <c r="CE217" t="e">
        <f>IF(#REF!,"AAAAAE35/FI=",0)</f>
        <v>#REF!</v>
      </c>
      <c r="CF217" t="e">
        <f>IF(#REF!,"AAAAAE35/FM=",0)</f>
        <v>#REF!</v>
      </c>
      <c r="CG217" t="e">
        <f>IF(#REF!,"AAAAAE35/FQ=",0)</f>
        <v>#REF!</v>
      </c>
      <c r="CH217" t="e">
        <f>IF(#REF!,"AAAAAE35/FU=",0)</f>
        <v>#REF!</v>
      </c>
      <c r="CI217" t="e">
        <f>IF(#REF!,"AAAAAE35/FY=",0)</f>
        <v>#REF!</v>
      </c>
      <c r="CJ217" t="e">
        <f>IF(#REF!,"AAAAAE35/Fc=",0)</f>
        <v>#REF!</v>
      </c>
      <c r="CK217" t="e">
        <f>IF(#REF!,"AAAAAE35/Fg=",0)</f>
        <v>#REF!</v>
      </c>
      <c r="CL217" t="e">
        <f>IF(#REF!,"AAAAAE35/Fk=",0)</f>
        <v>#REF!</v>
      </c>
      <c r="CM217" t="e">
        <f>IF(#REF!,"AAAAAE35/Fo=",0)</f>
        <v>#REF!</v>
      </c>
      <c r="CN217" t="e">
        <f>IF(#REF!,"AAAAAE35/Fs=",0)</f>
        <v>#REF!</v>
      </c>
      <c r="CO217" t="e">
        <f>IF(#REF!,"AAAAAE35/Fw=",0)</f>
        <v>#REF!</v>
      </c>
      <c r="CP217" t="e">
        <f>IF(#REF!,"AAAAAE35/F0=",0)</f>
        <v>#REF!</v>
      </c>
      <c r="CQ217" t="e">
        <f>IF(#REF!,"AAAAAE35/F4=",0)</f>
        <v>#REF!</v>
      </c>
      <c r="CR217" t="e">
        <f>IF(#REF!,"AAAAAE35/F8=",0)</f>
        <v>#REF!</v>
      </c>
      <c r="CS217" t="e">
        <f>IF(#REF!,"AAAAAE35/GA=",0)</f>
        <v>#REF!</v>
      </c>
      <c r="CT217" t="e">
        <f>IF(#REF!,"AAAAAE35/GE=",0)</f>
        <v>#REF!</v>
      </c>
      <c r="CU217" t="e">
        <f>IF(#REF!,"AAAAAE35/GI=",0)</f>
        <v>#REF!</v>
      </c>
      <c r="CV217" t="e">
        <f>IF(#REF!,"AAAAAE35/GM=",0)</f>
        <v>#REF!</v>
      </c>
      <c r="CW217" t="e">
        <f>IF(#REF!,"AAAAAE35/GQ=",0)</f>
        <v>#REF!</v>
      </c>
      <c r="CX217" t="e">
        <f>IF(#REF!,"AAAAAE35/GU=",0)</f>
        <v>#REF!</v>
      </c>
      <c r="CY217" t="e">
        <f>IF(#REF!,"AAAAAE35/GY=",0)</f>
        <v>#REF!</v>
      </c>
      <c r="CZ217" t="e">
        <f>IF(#REF!,"AAAAAE35/Gc=",0)</f>
        <v>#REF!</v>
      </c>
      <c r="DA217" t="e">
        <f>IF(#REF!,"AAAAAE35/Gg=",0)</f>
        <v>#REF!</v>
      </c>
      <c r="DB217" t="e">
        <f>IF(#REF!,"AAAAAE35/Gk=",0)</f>
        <v>#REF!</v>
      </c>
      <c r="DC217" t="e">
        <f>IF(#REF!,"AAAAAE35/Go=",0)</f>
        <v>#REF!</v>
      </c>
      <c r="DD217" t="e">
        <f>IF(#REF!,"AAAAAE35/Gs=",0)</f>
        <v>#REF!</v>
      </c>
      <c r="DE217" t="e">
        <f>IF(#REF!,"AAAAAE35/Gw=",0)</f>
        <v>#REF!</v>
      </c>
      <c r="DF217" t="e">
        <f>IF(#REF!,"AAAAAE35/G0=",0)</f>
        <v>#REF!</v>
      </c>
      <c r="DG217" t="e">
        <f>IF(#REF!,"AAAAAE35/G4=",0)</f>
        <v>#REF!</v>
      </c>
      <c r="DH217" t="e">
        <f>IF(#REF!,"AAAAAE35/G8=",0)</f>
        <v>#REF!</v>
      </c>
      <c r="DI217" t="e">
        <f>IF(#REF!,"AAAAAE35/HA=",0)</f>
        <v>#REF!</v>
      </c>
      <c r="DJ217" t="e">
        <f>IF(#REF!,"AAAAAE35/HE=",0)</f>
        <v>#REF!</v>
      </c>
      <c r="DK217" t="e">
        <f>IF(#REF!,"AAAAAE35/HI=",0)</f>
        <v>#REF!</v>
      </c>
      <c r="DL217" t="e">
        <f>IF(#REF!,"AAAAAE35/HM=",0)</f>
        <v>#REF!</v>
      </c>
      <c r="DM217" t="e">
        <f>IF(#REF!,"AAAAAE35/HQ=",0)</f>
        <v>#REF!</v>
      </c>
      <c r="DN217" t="e">
        <f>IF(#REF!,"AAAAAE35/HU=",0)</f>
        <v>#REF!</v>
      </c>
      <c r="DO217" t="e">
        <f>IF(#REF!,"AAAAAE35/HY=",0)</f>
        <v>#REF!</v>
      </c>
      <c r="DP217" t="e">
        <f>IF(#REF!,"AAAAAE35/Hc=",0)</f>
        <v>#REF!</v>
      </c>
      <c r="DQ217" t="e">
        <f>IF(#REF!,"AAAAAE35/Hg=",0)</f>
        <v>#REF!</v>
      </c>
      <c r="DR217" t="e">
        <f>IF(#REF!,"AAAAAE35/Hk=",0)</f>
        <v>#REF!</v>
      </c>
      <c r="DS217" t="e">
        <f>IF(#REF!,"AAAAAE35/Ho=",0)</f>
        <v>#REF!</v>
      </c>
      <c r="DT217" t="e">
        <f>IF(#REF!,"AAAAAE35/Hs=",0)</f>
        <v>#REF!</v>
      </c>
      <c r="DU217" t="e">
        <f>IF(#REF!,"AAAAAE35/Hw=",0)</f>
        <v>#REF!</v>
      </c>
      <c r="DV217" t="e">
        <f>IF(#REF!,"AAAAAE35/H0=",0)</f>
        <v>#REF!</v>
      </c>
      <c r="DW217" t="e">
        <f>IF(#REF!,"AAAAAE35/H4=",0)</f>
        <v>#REF!</v>
      </c>
      <c r="DX217" t="e">
        <f>IF(#REF!,"AAAAAE35/H8=",0)</f>
        <v>#REF!</v>
      </c>
      <c r="DY217" t="e">
        <f>IF(#REF!,"AAAAAE35/IA=",0)</f>
        <v>#REF!</v>
      </c>
      <c r="DZ217" t="e">
        <f>IF(#REF!,"AAAAAE35/IE=",0)</f>
        <v>#REF!</v>
      </c>
      <c r="EA217" t="e">
        <f>IF(#REF!,"AAAAAE35/II=",0)</f>
        <v>#REF!</v>
      </c>
      <c r="EB217" t="e">
        <f>IF(#REF!,"AAAAAE35/IM=",0)</f>
        <v>#REF!</v>
      </c>
      <c r="EC217" t="e">
        <f>IF(#REF!,"AAAAAE35/IQ=",0)</f>
        <v>#REF!</v>
      </c>
      <c r="ED217" t="e">
        <f>IF(#REF!,"AAAAAE35/IU=",0)</f>
        <v>#REF!</v>
      </c>
      <c r="EE217" t="e">
        <f>IF(#REF!,"AAAAAE35/IY=",0)</f>
        <v>#REF!</v>
      </c>
      <c r="EF217" t="e">
        <f>IF(#REF!,"AAAAAE35/Ic=",0)</f>
        <v>#REF!</v>
      </c>
      <c r="EG217" t="e">
        <f>IF(#REF!,"AAAAAE35/Ig=",0)</f>
        <v>#REF!</v>
      </c>
      <c r="EH217" t="e">
        <f>IF(#REF!,"AAAAAE35/Ik=",0)</f>
        <v>#REF!</v>
      </c>
      <c r="EI217" t="e">
        <f>IF(#REF!,"AAAAAE35/Io=",0)</f>
        <v>#REF!</v>
      </c>
      <c r="EJ217" t="e">
        <f>IF(#REF!,"AAAAAE35/Is=",0)</f>
        <v>#REF!</v>
      </c>
      <c r="EK217" t="e">
        <f>IF(#REF!,"AAAAAE35/Iw=",0)</f>
        <v>#REF!</v>
      </c>
      <c r="EL217" t="e">
        <f>IF(#REF!,"AAAAAE35/I0=",0)</f>
        <v>#REF!</v>
      </c>
      <c r="EM217" t="e">
        <f>IF(#REF!,"AAAAAE35/I4=",0)</f>
        <v>#REF!</v>
      </c>
      <c r="EN217" t="e">
        <f>IF(#REF!,"AAAAAE35/I8=",0)</f>
        <v>#REF!</v>
      </c>
      <c r="EO217" t="e">
        <f>IF(#REF!,"AAAAAE35/JA=",0)</f>
        <v>#REF!</v>
      </c>
      <c r="EP217" t="e">
        <f>IF(#REF!,"AAAAAE35/JE=",0)</f>
        <v>#REF!</v>
      </c>
      <c r="EQ217" t="e">
        <f>IF(#REF!,"AAAAAE35/JI=",0)</f>
        <v>#REF!</v>
      </c>
      <c r="ER217" t="e">
        <f>IF(#REF!,"AAAAAE35/JM=",0)</f>
        <v>#REF!</v>
      </c>
      <c r="ES217" t="e">
        <f>IF(#REF!,"AAAAAE35/JQ=",0)</f>
        <v>#REF!</v>
      </c>
      <c r="ET217" t="e">
        <f>IF(#REF!,"AAAAAE35/JU=",0)</f>
        <v>#REF!</v>
      </c>
      <c r="EU217" t="e">
        <f>IF(#REF!,"AAAAAE35/JY=",0)</f>
        <v>#REF!</v>
      </c>
      <c r="EV217" t="e">
        <f>IF(#REF!,"AAAAAE35/Jc=",0)</f>
        <v>#REF!</v>
      </c>
      <c r="EW217" t="e">
        <f>IF(#REF!,"AAAAAE35/Jg=",0)</f>
        <v>#REF!</v>
      </c>
      <c r="EX217" t="e">
        <f>IF(#REF!,"AAAAAE35/Jk=",0)</f>
        <v>#REF!</v>
      </c>
      <c r="EY217" t="e">
        <f>IF(#REF!,"AAAAAE35/Jo=",0)</f>
        <v>#REF!</v>
      </c>
      <c r="EZ217" t="e">
        <f>IF(#REF!,"AAAAAE35/Js=",0)</f>
        <v>#REF!</v>
      </c>
      <c r="FA217" t="e">
        <f>IF(#REF!,"AAAAAE35/Jw=",0)</f>
        <v>#REF!</v>
      </c>
      <c r="FB217" t="e">
        <f>IF(#REF!,"AAAAAE35/J0=",0)</f>
        <v>#REF!</v>
      </c>
      <c r="FC217" t="e">
        <f>IF(#REF!,"AAAAAE35/J4=",0)</f>
        <v>#REF!</v>
      </c>
      <c r="FD217" t="e">
        <f>IF(#REF!,"AAAAAE35/J8=",0)</f>
        <v>#REF!</v>
      </c>
      <c r="FE217" t="e">
        <f>IF(#REF!,"AAAAAE35/KA=",0)</f>
        <v>#REF!</v>
      </c>
      <c r="FF217" t="e">
        <f>IF(#REF!,"AAAAAE35/KE=",0)</f>
        <v>#REF!</v>
      </c>
      <c r="FG217" t="e">
        <f>IF(#REF!,"AAAAAE35/KI=",0)</f>
        <v>#REF!</v>
      </c>
      <c r="FH217" t="e">
        <f>IF(#REF!,"AAAAAE35/KM=",0)</f>
        <v>#REF!</v>
      </c>
      <c r="FI217" t="e">
        <f>IF(#REF!,"AAAAAE35/KQ=",0)</f>
        <v>#REF!</v>
      </c>
      <c r="FJ217" t="e">
        <f>IF(#REF!,"AAAAAE35/KU=",0)</f>
        <v>#REF!</v>
      </c>
      <c r="FK217" t="e">
        <f>IF(#REF!,"AAAAAE35/KY=",0)</f>
        <v>#REF!</v>
      </c>
      <c r="FL217" t="e">
        <f>IF(#REF!,"AAAAAE35/Kc=",0)</f>
        <v>#REF!</v>
      </c>
      <c r="FM217" t="e">
        <f>IF(#REF!,"AAAAAE35/Kg=",0)</f>
        <v>#REF!</v>
      </c>
      <c r="FN217" t="e">
        <f>IF(#REF!,"AAAAAE35/Kk=",0)</f>
        <v>#REF!</v>
      </c>
      <c r="FO217" t="e">
        <f>IF(#REF!,"AAAAAE35/Ko=",0)</f>
        <v>#REF!</v>
      </c>
      <c r="FP217" t="e">
        <f>IF(#REF!,"AAAAAE35/Ks=",0)</f>
        <v>#REF!</v>
      </c>
      <c r="FQ217" t="e">
        <f>IF(#REF!,"AAAAAE35/Kw=",0)</f>
        <v>#REF!</v>
      </c>
      <c r="FR217" t="e">
        <f>IF(#REF!,"AAAAAE35/K0=",0)</f>
        <v>#REF!</v>
      </c>
      <c r="FS217" t="e">
        <f>IF(#REF!,"AAAAAE35/K4=",0)</f>
        <v>#REF!</v>
      </c>
      <c r="FT217" t="e">
        <f>IF(#REF!,"AAAAAE35/K8=",0)</f>
        <v>#REF!</v>
      </c>
      <c r="FU217" t="e">
        <f>IF(#REF!,"AAAAAE35/LA=",0)</f>
        <v>#REF!</v>
      </c>
      <c r="FV217" t="e">
        <f>IF(#REF!,"AAAAAE35/LE=",0)</f>
        <v>#REF!</v>
      </c>
      <c r="FW217" t="e">
        <f>IF(#REF!,"AAAAAE35/LI=",0)</f>
        <v>#REF!</v>
      </c>
      <c r="FX217" t="e">
        <f>IF(#REF!,"AAAAAE35/LM=",0)</f>
        <v>#REF!</v>
      </c>
      <c r="FY217" t="e">
        <f>IF(#REF!,"AAAAAE35/LQ=",0)</f>
        <v>#REF!</v>
      </c>
      <c r="FZ217" t="e">
        <f>IF(#REF!,"AAAAAE35/LU=",0)</f>
        <v>#REF!</v>
      </c>
      <c r="GA217" t="e">
        <f>IF(#REF!,"AAAAAE35/LY=",0)</f>
        <v>#REF!</v>
      </c>
      <c r="GB217" t="e">
        <f>IF(#REF!,"AAAAAE35/Lc=",0)</f>
        <v>#REF!</v>
      </c>
      <c r="GC217" t="e">
        <f>IF(#REF!,"AAAAAE35/Lg=",0)</f>
        <v>#REF!</v>
      </c>
      <c r="GD217" t="e">
        <f>IF(#REF!,"AAAAAE35/Lk=",0)</f>
        <v>#REF!</v>
      </c>
      <c r="GE217" t="e">
        <f>IF(#REF!,"AAAAAE35/Lo=",0)</f>
        <v>#REF!</v>
      </c>
      <c r="GF217" t="e">
        <f>IF(#REF!,"AAAAAE35/Ls=",0)</f>
        <v>#REF!</v>
      </c>
      <c r="GG217" t="e">
        <f>IF(#REF!,"AAAAAE35/Lw=",0)</f>
        <v>#REF!</v>
      </c>
      <c r="GH217" t="e">
        <f>IF(#REF!,"AAAAAE35/L0=",0)</f>
        <v>#REF!</v>
      </c>
      <c r="GI217" t="e">
        <f>IF(#REF!,"AAAAAE35/L4=",0)</f>
        <v>#REF!</v>
      </c>
      <c r="GJ217" t="e">
        <f>IF(#REF!,"AAAAAE35/L8=",0)</f>
        <v>#REF!</v>
      </c>
      <c r="GK217" t="e">
        <f>IF(#REF!,"AAAAAE35/MA=",0)</f>
        <v>#REF!</v>
      </c>
      <c r="GL217" t="e">
        <f>IF(#REF!,"AAAAAE35/ME=",0)</f>
        <v>#REF!</v>
      </c>
      <c r="GM217" t="e">
        <f>IF(#REF!,"AAAAAE35/MI=",0)</f>
        <v>#REF!</v>
      </c>
      <c r="GN217" t="e">
        <f>IF(#REF!,"AAAAAE35/MM=",0)</f>
        <v>#REF!</v>
      </c>
      <c r="GO217" t="e">
        <f>IF(#REF!,"AAAAAE35/MQ=",0)</f>
        <v>#REF!</v>
      </c>
      <c r="GP217" t="e">
        <f>IF(#REF!,"AAAAAE35/MU=",0)</f>
        <v>#REF!</v>
      </c>
      <c r="GQ217" t="e">
        <f>IF(#REF!,"AAAAAE35/MY=",0)</f>
        <v>#REF!</v>
      </c>
      <c r="GR217" t="e">
        <f>IF(#REF!,"AAAAAE35/Mc=",0)</f>
        <v>#REF!</v>
      </c>
      <c r="GS217" t="e">
        <f>IF(#REF!,"AAAAAE35/Mg=",0)</f>
        <v>#REF!</v>
      </c>
      <c r="GT217" t="e">
        <f>IF(#REF!,"AAAAAE35/Mk=",0)</f>
        <v>#REF!</v>
      </c>
      <c r="GU217" t="e">
        <f>IF(#REF!,"AAAAAE35/Mo=",0)</f>
        <v>#REF!</v>
      </c>
      <c r="GV217" t="e">
        <f>IF(#REF!,"AAAAAE35/Ms=",0)</f>
        <v>#REF!</v>
      </c>
      <c r="GW217" t="e">
        <f>IF(#REF!,"AAAAAE35/Mw=",0)</f>
        <v>#REF!</v>
      </c>
      <c r="GX217" t="e">
        <f>IF(#REF!,"AAAAAE35/M0=",0)</f>
        <v>#REF!</v>
      </c>
      <c r="GY217" t="e">
        <f>IF(#REF!,"AAAAAE35/M4=",0)</f>
        <v>#REF!</v>
      </c>
      <c r="GZ217" t="e">
        <f>IF(#REF!,"AAAAAE35/M8=",0)</f>
        <v>#REF!</v>
      </c>
      <c r="HA217" t="e">
        <f>IF(#REF!,"AAAAAE35/NA=",0)</f>
        <v>#REF!</v>
      </c>
      <c r="HB217" t="e">
        <f>IF(#REF!,"AAAAAE35/NE=",0)</f>
        <v>#REF!</v>
      </c>
      <c r="HC217" t="e">
        <f>IF(#REF!,"AAAAAE35/NI=",0)</f>
        <v>#REF!</v>
      </c>
      <c r="HD217" t="e">
        <f>IF(#REF!,"AAAAAE35/NM=",0)</f>
        <v>#REF!</v>
      </c>
      <c r="HE217" t="e">
        <f>IF(#REF!,"AAAAAE35/NQ=",0)</f>
        <v>#REF!</v>
      </c>
      <c r="HF217" t="e">
        <f>IF(#REF!,"AAAAAE35/NU=",0)</f>
        <v>#REF!</v>
      </c>
      <c r="HG217" t="e">
        <f>IF(#REF!,"AAAAAE35/NY=",0)</f>
        <v>#REF!</v>
      </c>
      <c r="HH217" t="e">
        <f>IF(#REF!,"AAAAAE35/Nc=",0)</f>
        <v>#REF!</v>
      </c>
      <c r="HI217" t="e">
        <f>IF(#REF!,"AAAAAE35/Ng=",0)</f>
        <v>#REF!</v>
      </c>
      <c r="HJ217" t="e">
        <f>IF(#REF!,"AAAAAE35/Nk=",0)</f>
        <v>#REF!</v>
      </c>
      <c r="HK217" t="e">
        <f>IF(#REF!,"AAAAAE35/No=",0)</f>
        <v>#REF!</v>
      </c>
      <c r="HL217" t="e">
        <f>IF(#REF!,"AAAAAE35/Ns=",0)</f>
        <v>#REF!</v>
      </c>
      <c r="HM217" t="e">
        <f>IF(#REF!,"AAAAAE35/Nw=",0)</f>
        <v>#REF!</v>
      </c>
      <c r="HN217" t="e">
        <f>IF(#REF!,"AAAAAE35/N0=",0)</f>
        <v>#REF!</v>
      </c>
      <c r="HO217" t="e">
        <f>IF(#REF!,"AAAAAE35/N4=",0)</f>
        <v>#REF!</v>
      </c>
      <c r="HP217" t="e">
        <f>IF(#REF!,"AAAAAE35/N8=",0)</f>
        <v>#REF!</v>
      </c>
      <c r="HQ217" t="e">
        <f>IF(#REF!,"AAAAAE35/OA=",0)</f>
        <v>#REF!</v>
      </c>
      <c r="HR217" t="e">
        <f>IF(#REF!,"AAAAAE35/OE=",0)</f>
        <v>#REF!</v>
      </c>
      <c r="HS217" t="e">
        <f>IF(#REF!,"AAAAAE35/OI=",0)</f>
        <v>#REF!</v>
      </c>
      <c r="HT217" t="e">
        <f>IF(#REF!,"AAAAAE35/OM=",0)</f>
        <v>#REF!</v>
      </c>
      <c r="HU217" t="e">
        <f>IF(#REF!,"AAAAAE35/OQ=",0)</f>
        <v>#REF!</v>
      </c>
      <c r="HV217" t="e">
        <f>IF(#REF!,"AAAAAE35/OU=",0)</f>
        <v>#REF!</v>
      </c>
      <c r="HW217" t="e">
        <f>IF(#REF!,"AAAAAE35/OY=",0)</f>
        <v>#REF!</v>
      </c>
      <c r="HX217" t="e">
        <f>IF(#REF!,"AAAAAE35/Oc=",0)</f>
        <v>#REF!</v>
      </c>
      <c r="HY217" t="e">
        <f>IF(#REF!,"AAAAAE35/Og=",0)</f>
        <v>#REF!</v>
      </c>
      <c r="HZ217" t="e">
        <f>IF(#REF!,"AAAAAE35/Ok=",0)</f>
        <v>#REF!</v>
      </c>
      <c r="IA217" t="e">
        <f>IF(#REF!,"AAAAAE35/Oo=",0)</f>
        <v>#REF!</v>
      </c>
      <c r="IB217" t="e">
        <f>IF(#REF!,"AAAAAE35/Os=",0)</f>
        <v>#REF!</v>
      </c>
      <c r="IC217" t="e">
        <f>IF(#REF!,"AAAAAE35/Ow=",0)</f>
        <v>#REF!</v>
      </c>
      <c r="ID217" t="e">
        <f>IF(#REF!,"AAAAAE35/O0=",0)</f>
        <v>#REF!</v>
      </c>
      <c r="IE217" t="e">
        <f>IF(#REF!,"AAAAAE35/O4=",0)</f>
        <v>#REF!</v>
      </c>
      <c r="IF217" t="e">
        <f>IF(#REF!,"AAAAAE35/O8=",0)</f>
        <v>#REF!</v>
      </c>
      <c r="IG217" t="e">
        <f>IF(#REF!,"AAAAAE35/PA=",0)</f>
        <v>#REF!</v>
      </c>
      <c r="IH217" t="e">
        <f>IF(#REF!,"AAAAAE35/PE=",0)</f>
        <v>#REF!</v>
      </c>
      <c r="II217" t="e">
        <f>IF(#REF!,"AAAAAE35/PI=",0)</f>
        <v>#REF!</v>
      </c>
      <c r="IJ217" t="e">
        <f>IF(#REF!,"AAAAAE35/PM=",0)</f>
        <v>#REF!</v>
      </c>
      <c r="IK217" t="e">
        <f>IF(#REF!,"AAAAAE35/PQ=",0)</f>
        <v>#REF!</v>
      </c>
      <c r="IL217" t="e">
        <f>IF(#REF!,"AAAAAE35/PU=",0)</f>
        <v>#REF!</v>
      </c>
      <c r="IM217" t="e">
        <f>IF(#REF!,"AAAAAE35/PY=",0)</f>
        <v>#REF!</v>
      </c>
      <c r="IN217" t="e">
        <f>IF(#REF!,"AAAAAE35/Pc=",0)</f>
        <v>#REF!</v>
      </c>
      <c r="IO217" t="e">
        <f>IF(#REF!,"AAAAAE35/Pg=",0)</f>
        <v>#REF!</v>
      </c>
      <c r="IP217" t="e">
        <f>IF(#REF!,"AAAAAE35/Pk=",0)</f>
        <v>#REF!</v>
      </c>
      <c r="IQ217" t="e">
        <f>IF(#REF!,"AAAAAE35/Po=",0)</f>
        <v>#REF!</v>
      </c>
      <c r="IR217" t="e">
        <f>IF(#REF!,"AAAAAE35/Ps=",0)</f>
        <v>#REF!</v>
      </c>
      <c r="IS217" t="e">
        <f>IF(#REF!,"AAAAAE35/Pw=",0)</f>
        <v>#REF!</v>
      </c>
      <c r="IT217" t="e">
        <f>IF(#REF!,"AAAAAE35/P0=",0)</f>
        <v>#REF!</v>
      </c>
      <c r="IU217" t="e">
        <f>IF(#REF!,"AAAAAE35/P4=",0)</f>
        <v>#REF!</v>
      </c>
      <c r="IV217" t="e">
        <f>IF(#REF!,"AAAAAE35/P8=",0)</f>
        <v>#REF!</v>
      </c>
    </row>
    <row r="218" spans="1:256">
      <c r="A218" t="e">
        <f>IF(#REF!,"AAAAAHtR2gA=",0)</f>
        <v>#REF!</v>
      </c>
      <c r="B218" t="e">
        <f>IF(#REF!,"AAAAAHtR2gE=",0)</f>
        <v>#REF!</v>
      </c>
      <c r="C218" t="e">
        <f>IF(#REF!,"AAAAAHtR2gI=",0)</f>
        <v>#REF!</v>
      </c>
      <c r="D218" t="e">
        <f>IF(#REF!,"AAAAAHtR2gM=",0)</f>
        <v>#REF!</v>
      </c>
      <c r="E218" t="e">
        <f>IF(#REF!,"AAAAAHtR2gQ=",0)</f>
        <v>#REF!</v>
      </c>
      <c r="F218" t="e">
        <f>IF(#REF!,"AAAAAHtR2gU=",0)</f>
        <v>#REF!</v>
      </c>
      <c r="G218" t="e">
        <f>IF(#REF!,"AAAAAHtR2gY=",0)</f>
        <v>#REF!</v>
      </c>
      <c r="H218" t="e">
        <f>IF(#REF!,"AAAAAHtR2gc=",0)</f>
        <v>#REF!</v>
      </c>
      <c r="I218" t="e">
        <f>IF(#REF!,"AAAAAHtR2gg=",0)</f>
        <v>#REF!</v>
      </c>
      <c r="J218" t="e">
        <f>IF(#REF!,"AAAAAHtR2gk=",0)</f>
        <v>#REF!</v>
      </c>
      <c r="K218" t="e">
        <f>IF(#REF!,"AAAAAHtR2go=",0)</f>
        <v>#REF!</v>
      </c>
      <c r="L218" t="e">
        <f>IF(#REF!,"AAAAAHtR2gs=",0)</f>
        <v>#REF!</v>
      </c>
      <c r="M218" t="e">
        <f>IF(#REF!,"AAAAAHtR2gw=",0)</f>
        <v>#REF!</v>
      </c>
      <c r="N218" t="e">
        <f>IF(#REF!,"AAAAAHtR2g0=",0)</f>
        <v>#REF!</v>
      </c>
      <c r="O218" t="e">
        <f>IF(#REF!,"AAAAAHtR2g4=",0)</f>
        <v>#REF!</v>
      </c>
      <c r="P218" t="e">
        <f>IF(#REF!,"AAAAAHtR2g8=",0)</f>
        <v>#REF!</v>
      </c>
      <c r="Q218" t="e">
        <f>IF(#REF!,"AAAAAHtR2hA=",0)</f>
        <v>#REF!</v>
      </c>
      <c r="R218" t="e">
        <f>IF(#REF!,"AAAAAHtR2hE=",0)</f>
        <v>#REF!</v>
      </c>
      <c r="S218" t="e">
        <f>IF(#REF!,"AAAAAHtR2hI=",0)</f>
        <v>#REF!</v>
      </c>
      <c r="T218" t="e">
        <f>IF(#REF!,"AAAAAHtR2hM=",0)</f>
        <v>#REF!</v>
      </c>
      <c r="U218" t="e">
        <f>IF(#REF!,"AAAAAHtR2hQ=",0)</f>
        <v>#REF!</v>
      </c>
      <c r="V218" t="e">
        <f>IF(#REF!,"AAAAAHtR2hU=",0)</f>
        <v>#REF!</v>
      </c>
      <c r="W218" t="e">
        <f>IF(#REF!,"AAAAAHtR2hY=",0)</f>
        <v>#REF!</v>
      </c>
      <c r="X218" t="e">
        <f>IF(#REF!,"AAAAAHtR2hc=",0)</f>
        <v>#REF!</v>
      </c>
      <c r="Y218" t="e">
        <f>IF(#REF!,"AAAAAHtR2hg=",0)</f>
        <v>#REF!</v>
      </c>
      <c r="Z218" t="e">
        <f>IF(#REF!,"AAAAAHtR2hk=",0)</f>
        <v>#REF!</v>
      </c>
      <c r="AA218" t="e">
        <f>IF(#REF!,"AAAAAHtR2ho=",0)</f>
        <v>#REF!</v>
      </c>
      <c r="AB218" t="e">
        <f>IF(#REF!,"AAAAAHtR2hs=",0)</f>
        <v>#REF!</v>
      </c>
      <c r="AC218" t="e">
        <f>IF(#REF!,"AAAAAHtR2hw=",0)</f>
        <v>#REF!</v>
      </c>
      <c r="AD218" t="e">
        <f>IF(#REF!,"AAAAAHtR2h0=",0)</f>
        <v>#REF!</v>
      </c>
      <c r="AE218" t="e">
        <f>IF(#REF!,"AAAAAHtR2h4=",0)</f>
        <v>#REF!</v>
      </c>
      <c r="AF218" t="e">
        <f>IF(#REF!,"AAAAAHtR2h8=",0)</f>
        <v>#REF!</v>
      </c>
      <c r="AG218" t="e">
        <f>IF(#REF!,"AAAAAHtR2iA=",0)</f>
        <v>#REF!</v>
      </c>
      <c r="AH218" t="e">
        <f>IF(#REF!,"AAAAAHtR2iE=",0)</f>
        <v>#REF!</v>
      </c>
      <c r="AI218" t="e">
        <f>IF(#REF!,"AAAAAHtR2iI=",0)</f>
        <v>#REF!</v>
      </c>
      <c r="AJ218" t="e">
        <f>IF(#REF!,"AAAAAHtR2iM=",0)</f>
        <v>#REF!</v>
      </c>
      <c r="AK218" t="e">
        <f>IF(#REF!,"AAAAAHtR2iQ=",0)</f>
        <v>#REF!</v>
      </c>
      <c r="AL218" t="e">
        <f>IF(#REF!,"AAAAAHtR2iU=",0)</f>
        <v>#REF!</v>
      </c>
      <c r="AM218" t="e">
        <f>IF(#REF!,"AAAAAHtR2iY=",0)</f>
        <v>#REF!</v>
      </c>
      <c r="AN218" t="e">
        <f>IF(#REF!,"AAAAAHtR2ic=",0)</f>
        <v>#REF!</v>
      </c>
      <c r="AO218" t="e">
        <f>IF(#REF!,"AAAAAHtR2ig=",0)</f>
        <v>#REF!</v>
      </c>
      <c r="AP218" t="e">
        <f>IF(#REF!,"AAAAAHtR2ik=",0)</f>
        <v>#REF!</v>
      </c>
      <c r="AQ218" t="e">
        <f>IF(#REF!,"AAAAAHtR2io=",0)</f>
        <v>#REF!</v>
      </c>
      <c r="AR218" t="e">
        <f>IF(#REF!,"AAAAAHtR2is=",0)</f>
        <v>#REF!</v>
      </c>
      <c r="AS218" t="e">
        <f>IF(#REF!,"AAAAAHtR2iw=",0)</f>
        <v>#REF!</v>
      </c>
      <c r="AT218" t="e">
        <f>IF(#REF!,"AAAAAHtR2i0=",0)</f>
        <v>#REF!</v>
      </c>
      <c r="AU218" t="e">
        <f>IF(#REF!,"AAAAAHtR2i4=",0)</f>
        <v>#REF!</v>
      </c>
      <c r="AV218" t="e">
        <f>IF(#REF!,"AAAAAHtR2i8=",0)</f>
        <v>#REF!</v>
      </c>
      <c r="AW218" t="e">
        <f>IF(#REF!,"AAAAAHtR2jA=",0)</f>
        <v>#REF!</v>
      </c>
      <c r="AX218" t="e">
        <f>IF(#REF!,"AAAAAHtR2jE=",0)</f>
        <v>#REF!</v>
      </c>
      <c r="AY218" t="e">
        <f>IF(#REF!,"AAAAAHtR2jI=",0)</f>
        <v>#REF!</v>
      </c>
      <c r="AZ218" t="e">
        <f>IF(#REF!,"AAAAAHtR2jM=",0)</f>
        <v>#REF!</v>
      </c>
      <c r="BA218" t="e">
        <f>IF(#REF!,"AAAAAHtR2jQ=",0)</f>
        <v>#REF!</v>
      </c>
      <c r="BB218" t="e">
        <f>IF(#REF!,"AAAAAHtR2jU=",0)</f>
        <v>#REF!</v>
      </c>
      <c r="BC218" t="e">
        <f>IF(#REF!,"AAAAAHtR2jY=",0)</f>
        <v>#REF!</v>
      </c>
      <c r="BD218" t="e">
        <f>IF(#REF!,"AAAAAHtR2jc=",0)</f>
        <v>#REF!</v>
      </c>
      <c r="BE218" t="e">
        <f>IF(#REF!,"AAAAAHtR2jg=",0)</f>
        <v>#REF!</v>
      </c>
      <c r="BF218" t="e">
        <f>IF(#REF!,"AAAAAHtR2jk=",0)</f>
        <v>#REF!</v>
      </c>
      <c r="BG218" t="e">
        <f>IF(#REF!,"AAAAAHtR2jo=",0)</f>
        <v>#REF!</v>
      </c>
      <c r="BH218" t="e">
        <f>IF(#REF!,"AAAAAHtR2js=",0)</f>
        <v>#REF!</v>
      </c>
      <c r="BI218" t="e">
        <f>IF(#REF!,"AAAAAHtR2jw=",0)</f>
        <v>#REF!</v>
      </c>
      <c r="BJ218" t="e">
        <f>IF(#REF!,"AAAAAHtR2j0=",0)</f>
        <v>#REF!</v>
      </c>
      <c r="BK218" t="e">
        <f>IF(#REF!,"AAAAAHtR2j4=",0)</f>
        <v>#REF!</v>
      </c>
      <c r="BL218" t="e">
        <f>IF(#REF!,"AAAAAHtR2j8=",0)</f>
        <v>#REF!</v>
      </c>
      <c r="BM218" t="e">
        <f>IF(#REF!,"AAAAAHtR2kA=",0)</f>
        <v>#REF!</v>
      </c>
      <c r="BN218" t="e">
        <f>IF(#REF!,"AAAAAHtR2kE=",0)</f>
        <v>#REF!</v>
      </c>
      <c r="BO218" t="e">
        <f>IF(#REF!,"AAAAAHtR2kI=",0)</f>
        <v>#REF!</v>
      </c>
      <c r="BP218" t="e">
        <f>IF(#REF!,"AAAAAHtR2kM=",0)</f>
        <v>#REF!</v>
      </c>
      <c r="BQ218" t="e">
        <f>IF(#REF!,"AAAAAHtR2kQ=",0)</f>
        <v>#REF!</v>
      </c>
      <c r="BR218" t="e">
        <f>IF(#REF!,"AAAAAHtR2kU=",0)</f>
        <v>#REF!</v>
      </c>
      <c r="BS218" t="e">
        <f>IF(#REF!,"AAAAAHtR2kY=",0)</f>
        <v>#REF!</v>
      </c>
      <c r="BT218" t="e">
        <f>IF(#REF!,"AAAAAHtR2kc=",0)</f>
        <v>#REF!</v>
      </c>
      <c r="BU218" t="e">
        <f>IF(#REF!,"AAAAAHtR2kg=",0)</f>
        <v>#REF!</v>
      </c>
      <c r="BV218" t="e">
        <f>IF(#REF!,"AAAAAHtR2kk=",0)</f>
        <v>#REF!</v>
      </c>
      <c r="BW218" t="e">
        <f>IF(#REF!,"AAAAAHtR2ko=",0)</f>
        <v>#REF!</v>
      </c>
      <c r="BX218" t="e">
        <f>IF(#REF!,"AAAAAHtR2ks=",0)</f>
        <v>#REF!</v>
      </c>
      <c r="BY218" t="e">
        <f>IF(#REF!,"AAAAAHtR2kw=",0)</f>
        <v>#REF!</v>
      </c>
      <c r="BZ218" t="e">
        <f>IF(#REF!,"AAAAAHtR2k0=",0)</f>
        <v>#REF!</v>
      </c>
      <c r="CA218" t="e">
        <f>IF(#REF!,"AAAAAHtR2k4=",0)</f>
        <v>#REF!</v>
      </c>
      <c r="CB218" t="e">
        <f>IF(#REF!,"AAAAAHtR2k8=",0)</f>
        <v>#REF!</v>
      </c>
      <c r="CC218" t="e">
        <f>IF(#REF!,"AAAAAHtR2lA=",0)</f>
        <v>#REF!</v>
      </c>
      <c r="CD218" t="e">
        <f>IF(#REF!,"AAAAAHtR2lE=",0)</f>
        <v>#REF!</v>
      </c>
      <c r="CE218" t="e">
        <f>IF(#REF!,"AAAAAHtR2lI=",0)</f>
        <v>#REF!</v>
      </c>
      <c r="CF218" t="e">
        <f>IF(#REF!,"AAAAAHtR2lM=",0)</f>
        <v>#REF!</v>
      </c>
      <c r="CG218" t="e">
        <f>IF(#REF!,"AAAAAHtR2lQ=",0)</f>
        <v>#REF!</v>
      </c>
      <c r="CH218" t="e">
        <f>IF(#REF!,"AAAAAHtR2lU=",0)</f>
        <v>#REF!</v>
      </c>
      <c r="CI218" t="e">
        <f>IF(#REF!,"AAAAAHtR2lY=",0)</f>
        <v>#REF!</v>
      </c>
      <c r="CJ218" t="e">
        <f>IF(#REF!,"AAAAAHtR2lc=",0)</f>
        <v>#REF!</v>
      </c>
      <c r="CK218" t="e">
        <f>IF(#REF!,"AAAAAHtR2lg=",0)</f>
        <v>#REF!</v>
      </c>
      <c r="CL218" t="e">
        <f>IF(#REF!,"AAAAAHtR2lk=",0)</f>
        <v>#REF!</v>
      </c>
      <c r="CM218" t="e">
        <f>IF(#REF!,"AAAAAHtR2lo=",0)</f>
        <v>#REF!</v>
      </c>
      <c r="CN218" t="e">
        <f>IF(#REF!,"AAAAAHtR2ls=",0)</f>
        <v>#REF!</v>
      </c>
      <c r="CO218" t="e">
        <f>IF(#REF!,"AAAAAHtR2lw=",0)</f>
        <v>#REF!</v>
      </c>
      <c r="CP218" t="e">
        <f>IF(#REF!,"AAAAAHtR2l0=",0)</f>
        <v>#REF!</v>
      </c>
      <c r="CQ218" t="e">
        <f>IF(#REF!,"AAAAAHtR2l4=",0)</f>
        <v>#REF!</v>
      </c>
      <c r="CR218" t="e">
        <f>IF(#REF!,"AAAAAHtR2l8=",0)</f>
        <v>#REF!</v>
      </c>
      <c r="CS218" t="e">
        <f>IF(#REF!,"AAAAAHtR2mA=",0)</f>
        <v>#REF!</v>
      </c>
      <c r="CT218" t="e">
        <f>IF(#REF!,"AAAAAHtR2mE=",0)</f>
        <v>#REF!</v>
      </c>
      <c r="CU218" t="e">
        <f>IF(#REF!,"AAAAAHtR2mI=",0)</f>
        <v>#REF!</v>
      </c>
      <c r="CV218" t="e">
        <f>IF(#REF!,"AAAAAHtR2mM=",0)</f>
        <v>#REF!</v>
      </c>
      <c r="CW218" t="e">
        <f>IF(#REF!,"AAAAAHtR2mQ=",0)</f>
        <v>#REF!</v>
      </c>
      <c r="CX218" t="e">
        <f>IF(#REF!,"AAAAAHtR2mU=",0)</f>
        <v>#REF!</v>
      </c>
      <c r="CY218" t="e">
        <f>IF(#REF!,"AAAAAHtR2mY=",0)</f>
        <v>#REF!</v>
      </c>
      <c r="CZ218" t="e">
        <f>IF(#REF!,"AAAAAHtR2mc=",0)</f>
        <v>#REF!</v>
      </c>
      <c r="DA218" t="e">
        <f>IF(#REF!,"AAAAAHtR2mg=",0)</f>
        <v>#REF!</v>
      </c>
      <c r="DB218" t="e">
        <f>IF(#REF!,"AAAAAHtR2mk=",0)</f>
        <v>#REF!</v>
      </c>
      <c r="DC218" t="e">
        <f>IF(#REF!,"AAAAAHtR2mo=",0)</f>
        <v>#REF!</v>
      </c>
      <c r="DD218" t="e">
        <f>IF(#REF!,"AAAAAHtR2ms=",0)</f>
        <v>#REF!</v>
      </c>
      <c r="DE218" t="e">
        <f>IF(#REF!,"AAAAAHtR2mw=",0)</f>
        <v>#REF!</v>
      </c>
      <c r="DF218" t="e">
        <f>IF(#REF!,"AAAAAHtR2m0=",0)</f>
        <v>#REF!</v>
      </c>
      <c r="DG218" t="e">
        <f>IF(#REF!,"AAAAAHtR2m4=",0)</f>
        <v>#REF!</v>
      </c>
      <c r="DH218" t="e">
        <f>IF(#REF!,"AAAAAHtR2m8=",0)</f>
        <v>#REF!</v>
      </c>
      <c r="DI218" t="e">
        <f>IF(#REF!,"AAAAAHtR2nA=",0)</f>
        <v>#REF!</v>
      </c>
      <c r="DJ218" t="e">
        <f>IF(#REF!,"AAAAAHtR2nE=",0)</f>
        <v>#REF!</v>
      </c>
      <c r="DK218" t="e">
        <f>IF(#REF!,"AAAAAHtR2nI=",0)</f>
        <v>#REF!</v>
      </c>
      <c r="DL218" t="e">
        <f>IF(#REF!,"AAAAAHtR2nM=",0)</f>
        <v>#REF!</v>
      </c>
      <c r="DM218" t="e">
        <f>IF(#REF!,"AAAAAHtR2nQ=",0)</f>
        <v>#REF!</v>
      </c>
      <c r="DN218" t="e">
        <f>IF(#REF!,"AAAAAHtR2nU=",0)</f>
        <v>#REF!</v>
      </c>
      <c r="DO218" t="e">
        <f>IF(#REF!,"AAAAAHtR2nY=",0)</f>
        <v>#REF!</v>
      </c>
      <c r="DP218" t="e">
        <f>IF(#REF!,"AAAAAHtR2nc=",0)</f>
        <v>#REF!</v>
      </c>
      <c r="DQ218" t="e">
        <f>IF(#REF!,"AAAAAHtR2ng=",0)</f>
        <v>#REF!</v>
      </c>
      <c r="DR218" t="e">
        <f>IF(#REF!,"AAAAAHtR2nk=",0)</f>
        <v>#REF!</v>
      </c>
      <c r="DS218" t="e">
        <f>IF(#REF!,"AAAAAHtR2no=",0)</f>
        <v>#REF!</v>
      </c>
      <c r="DT218" t="e">
        <f>IF(#REF!,"AAAAAHtR2ns=",0)</f>
        <v>#REF!</v>
      </c>
      <c r="DU218" t="e">
        <f>IF(#REF!,"AAAAAHtR2nw=",0)</f>
        <v>#REF!</v>
      </c>
      <c r="DV218" t="e">
        <f>IF(#REF!,"AAAAAHtR2n0=",0)</f>
        <v>#REF!</v>
      </c>
      <c r="DW218" t="e">
        <f>IF(#REF!,"AAAAAHtR2n4=",0)</f>
        <v>#REF!</v>
      </c>
      <c r="DX218" t="e">
        <f>IF(#REF!,"AAAAAHtR2n8=",0)</f>
        <v>#REF!</v>
      </c>
      <c r="DY218" t="e">
        <f>IF(#REF!,"AAAAAHtR2oA=",0)</f>
        <v>#REF!</v>
      </c>
      <c r="DZ218" t="e">
        <f>IF(#REF!,"AAAAAHtR2oE=",0)</f>
        <v>#REF!</v>
      </c>
      <c r="EA218" t="e">
        <f>IF(#REF!,"AAAAAHtR2oI=",0)</f>
        <v>#REF!</v>
      </c>
      <c r="EB218" t="e">
        <f>IF(#REF!,"AAAAAHtR2oM=",0)</f>
        <v>#REF!</v>
      </c>
      <c r="EC218" t="e">
        <f>IF(#REF!,"AAAAAHtR2oQ=",0)</f>
        <v>#REF!</v>
      </c>
      <c r="ED218" t="e">
        <f>IF(#REF!,"AAAAAHtR2oU=",0)</f>
        <v>#REF!</v>
      </c>
      <c r="EE218" t="e">
        <f>IF(#REF!,"AAAAAHtR2oY=",0)</f>
        <v>#REF!</v>
      </c>
      <c r="EF218" t="e">
        <f>IF(#REF!,"AAAAAHtR2oc=",0)</f>
        <v>#REF!</v>
      </c>
      <c r="EG218" t="e">
        <f>IF(#REF!,"AAAAAHtR2og=",0)</f>
        <v>#REF!</v>
      </c>
      <c r="EH218" t="e">
        <f>IF(#REF!,"AAAAAHtR2ok=",0)</f>
        <v>#REF!</v>
      </c>
      <c r="EI218" t="e">
        <f>IF(#REF!,"AAAAAHtR2oo=",0)</f>
        <v>#REF!</v>
      </c>
      <c r="EJ218" t="e">
        <f>IF(#REF!,"AAAAAHtR2os=",0)</f>
        <v>#REF!</v>
      </c>
      <c r="EK218" t="e">
        <f>IF(#REF!,"AAAAAHtR2ow=",0)</f>
        <v>#REF!</v>
      </c>
      <c r="EL218" t="e">
        <f>IF(#REF!,"AAAAAHtR2o0=",0)</f>
        <v>#REF!</v>
      </c>
      <c r="EM218" t="e">
        <f>IF(#REF!,"AAAAAHtR2o4=",0)</f>
        <v>#REF!</v>
      </c>
      <c r="EN218" t="e">
        <f>IF(#REF!,"AAAAAHtR2o8=",0)</f>
        <v>#REF!</v>
      </c>
      <c r="EO218" t="e">
        <f>IF(#REF!,"AAAAAHtR2pA=",0)</f>
        <v>#REF!</v>
      </c>
      <c r="EP218" t="e">
        <f>IF(#REF!,"AAAAAHtR2pE=",0)</f>
        <v>#REF!</v>
      </c>
      <c r="EQ218" t="e">
        <f>IF(#REF!,"AAAAAHtR2pI=",0)</f>
        <v>#REF!</v>
      </c>
      <c r="ER218" t="e">
        <f>IF(#REF!,"AAAAAHtR2pM=",0)</f>
        <v>#REF!</v>
      </c>
      <c r="ES218" t="e">
        <f>IF(#REF!,"AAAAAHtR2pQ=",0)</f>
        <v>#REF!</v>
      </c>
      <c r="ET218" t="e">
        <f>IF(#REF!,"AAAAAHtR2pU=",0)</f>
        <v>#REF!</v>
      </c>
      <c r="EU218" t="e">
        <f>IF(#REF!,"AAAAAHtR2pY=",0)</f>
        <v>#REF!</v>
      </c>
      <c r="EV218" t="e">
        <f>IF(#REF!,"AAAAAHtR2pc=",0)</f>
        <v>#REF!</v>
      </c>
      <c r="EW218" t="e">
        <f>IF(#REF!,"AAAAAHtR2pg=",0)</f>
        <v>#REF!</v>
      </c>
      <c r="EX218" t="e">
        <f>IF(#REF!,"AAAAAHtR2pk=",0)</f>
        <v>#REF!</v>
      </c>
      <c r="EY218" t="e">
        <f>IF(#REF!,"AAAAAHtR2po=",0)</f>
        <v>#REF!</v>
      </c>
      <c r="EZ218" t="e">
        <f>IF(#REF!,"AAAAAHtR2ps=",0)</f>
        <v>#REF!</v>
      </c>
      <c r="FA218" t="e">
        <f>IF(#REF!,"AAAAAHtR2pw=",0)</f>
        <v>#REF!</v>
      </c>
      <c r="FB218" t="e">
        <f>IF(#REF!,"AAAAAHtR2p0=",0)</f>
        <v>#REF!</v>
      </c>
      <c r="FC218" t="e">
        <f>IF(#REF!,"AAAAAHtR2p4=",0)</f>
        <v>#REF!</v>
      </c>
      <c r="FD218" t="e">
        <f>IF(#REF!,"AAAAAHtR2p8=",0)</f>
        <v>#REF!</v>
      </c>
      <c r="FE218" t="e">
        <f>IF(#REF!,"AAAAAHtR2qA=",0)</f>
        <v>#REF!</v>
      </c>
      <c r="FF218" t="e">
        <f>IF(#REF!,"AAAAAHtR2qE=",0)</f>
        <v>#REF!</v>
      </c>
      <c r="FG218" t="e">
        <f>IF(#REF!,"AAAAAHtR2qI=",0)</f>
        <v>#REF!</v>
      </c>
      <c r="FH218" t="e">
        <f>IF(#REF!,"AAAAAHtR2qM=",0)</f>
        <v>#REF!</v>
      </c>
      <c r="FI218" t="e">
        <f>IF(#REF!,"AAAAAHtR2qQ=",0)</f>
        <v>#REF!</v>
      </c>
      <c r="FJ218" t="e">
        <f>IF(#REF!,"AAAAAHtR2qU=",0)</f>
        <v>#REF!</v>
      </c>
      <c r="FK218" t="e">
        <f>IF(#REF!,"AAAAAHtR2qY=",0)</f>
        <v>#REF!</v>
      </c>
      <c r="FL218" t="e">
        <f>IF(#REF!,"AAAAAHtR2qc=",0)</f>
        <v>#REF!</v>
      </c>
      <c r="FM218" t="e">
        <f>IF(#REF!,"AAAAAHtR2qg=",0)</f>
        <v>#REF!</v>
      </c>
      <c r="FN218" t="e">
        <f>IF(#REF!,"AAAAAHtR2qk=",0)</f>
        <v>#REF!</v>
      </c>
      <c r="FO218" t="e">
        <f>IF(#REF!,"AAAAAHtR2qo=",0)</f>
        <v>#REF!</v>
      </c>
      <c r="FP218" t="e">
        <f>IF(#REF!,"AAAAAHtR2qs=",0)</f>
        <v>#REF!</v>
      </c>
      <c r="FQ218" t="e">
        <f>IF(#REF!,"AAAAAHtR2qw=",0)</f>
        <v>#REF!</v>
      </c>
      <c r="FR218" t="e">
        <f>IF(#REF!,"AAAAAHtR2q0=",0)</f>
        <v>#REF!</v>
      </c>
      <c r="FS218" t="e">
        <f>IF(#REF!,"AAAAAHtR2q4=",0)</f>
        <v>#REF!</v>
      </c>
      <c r="FT218" t="e">
        <f>IF(#REF!,"AAAAAHtR2q8=",0)</f>
        <v>#REF!</v>
      </c>
      <c r="FU218" t="e">
        <f>IF(#REF!,"AAAAAHtR2rA=",0)</f>
        <v>#REF!</v>
      </c>
      <c r="FV218" t="e">
        <f>IF(#REF!,"AAAAAHtR2rE=",0)</f>
        <v>#REF!</v>
      </c>
      <c r="FW218" t="e">
        <f>IF(#REF!,"AAAAAHtR2rI=",0)</f>
        <v>#REF!</v>
      </c>
      <c r="FX218" t="e">
        <f>IF(#REF!,"AAAAAHtR2rM=",0)</f>
        <v>#REF!</v>
      </c>
      <c r="FY218" t="e">
        <f>IF(#REF!,"AAAAAHtR2rQ=",0)</f>
        <v>#REF!</v>
      </c>
      <c r="FZ218" t="e">
        <f>IF(#REF!,"AAAAAHtR2rU=",0)</f>
        <v>#REF!</v>
      </c>
      <c r="GA218" t="e">
        <f>IF(#REF!,"AAAAAHtR2rY=",0)</f>
        <v>#REF!</v>
      </c>
      <c r="GB218" t="e">
        <f>IF(#REF!,"AAAAAHtR2rc=",0)</f>
        <v>#REF!</v>
      </c>
      <c r="GC218" t="e">
        <f>IF(#REF!,"AAAAAHtR2rg=",0)</f>
        <v>#REF!</v>
      </c>
      <c r="GD218" t="e">
        <f>IF(#REF!,"AAAAAHtR2rk=",0)</f>
        <v>#REF!</v>
      </c>
      <c r="GE218" t="e">
        <f>IF(#REF!,"AAAAAHtR2ro=",0)</f>
        <v>#REF!</v>
      </c>
      <c r="GF218" t="e">
        <f>IF(#REF!,"AAAAAHtR2rs=",0)</f>
        <v>#REF!</v>
      </c>
      <c r="GG218" t="e">
        <f>IF(#REF!,"AAAAAHtR2rw=",0)</f>
        <v>#REF!</v>
      </c>
      <c r="GH218" t="e">
        <f>IF(#REF!,"AAAAAHtR2r0=",0)</f>
        <v>#REF!</v>
      </c>
      <c r="GI218" t="e">
        <f>IF(#REF!,"AAAAAHtR2r4=",0)</f>
        <v>#REF!</v>
      </c>
      <c r="GJ218" t="e">
        <f>IF(#REF!,"AAAAAHtR2r8=",0)</f>
        <v>#REF!</v>
      </c>
      <c r="GK218" t="e">
        <f>IF(#REF!,"AAAAAHtR2sA=",0)</f>
        <v>#REF!</v>
      </c>
      <c r="GL218" t="e">
        <f>IF(#REF!,"AAAAAHtR2sE=",0)</f>
        <v>#REF!</v>
      </c>
      <c r="GM218" t="e">
        <f>IF(#REF!,"AAAAAHtR2sI=",0)</f>
        <v>#REF!</v>
      </c>
      <c r="GN218" t="e">
        <f>IF(#REF!,"AAAAAHtR2sM=",0)</f>
        <v>#REF!</v>
      </c>
      <c r="GO218" t="e">
        <f>IF(#REF!,"AAAAAHtR2sQ=",0)</f>
        <v>#REF!</v>
      </c>
      <c r="GP218" t="e">
        <f>IF(#REF!,"AAAAAHtR2sU=",0)</f>
        <v>#REF!</v>
      </c>
      <c r="GQ218" t="e">
        <f>IF(#REF!,"AAAAAHtR2sY=",0)</f>
        <v>#REF!</v>
      </c>
      <c r="GR218" t="e">
        <f>IF(#REF!,"AAAAAHtR2sc=",0)</f>
        <v>#REF!</v>
      </c>
      <c r="GS218" t="e">
        <f>IF(#REF!,"AAAAAHtR2sg=",0)</f>
        <v>#REF!</v>
      </c>
      <c r="GT218" t="e">
        <f>IF(#REF!,"AAAAAHtR2sk=",0)</f>
        <v>#REF!</v>
      </c>
      <c r="GU218" t="e">
        <f>IF(#REF!,"AAAAAHtR2so=",0)</f>
        <v>#REF!</v>
      </c>
      <c r="GV218" t="e">
        <f>IF(#REF!,"AAAAAHtR2ss=",0)</f>
        <v>#REF!</v>
      </c>
      <c r="GW218" t="e">
        <f>IF(#REF!,"AAAAAHtR2sw=",0)</f>
        <v>#REF!</v>
      </c>
      <c r="GX218" t="e">
        <f>IF(#REF!,"AAAAAHtR2s0=",0)</f>
        <v>#REF!</v>
      </c>
      <c r="GY218" t="e">
        <f>IF(#REF!,"AAAAAHtR2s4=",0)</f>
        <v>#REF!</v>
      </c>
      <c r="GZ218" t="e">
        <f>IF(#REF!,"AAAAAHtR2s8=",0)</f>
        <v>#REF!</v>
      </c>
      <c r="HA218" t="e">
        <f>IF(#REF!,"AAAAAHtR2tA=",0)</f>
        <v>#REF!</v>
      </c>
      <c r="HB218" t="e">
        <f>IF(#REF!,"AAAAAHtR2tE=",0)</f>
        <v>#REF!</v>
      </c>
      <c r="HC218" t="e">
        <f>IF(#REF!,"AAAAAHtR2tI=",0)</f>
        <v>#REF!</v>
      </c>
      <c r="HD218" t="e">
        <f>IF(#REF!,"AAAAAHtR2tM=",0)</f>
        <v>#REF!</v>
      </c>
      <c r="HE218" t="e">
        <f>IF(#REF!,"AAAAAHtR2tQ=",0)</f>
        <v>#REF!</v>
      </c>
      <c r="HF218" t="e">
        <f>IF(#REF!,"AAAAAHtR2tU=",0)</f>
        <v>#REF!</v>
      </c>
      <c r="HG218" t="e">
        <f>IF(#REF!,"AAAAAHtR2tY=",0)</f>
        <v>#REF!</v>
      </c>
      <c r="HH218" t="e">
        <f>IF(#REF!,"AAAAAHtR2tc=",0)</f>
        <v>#REF!</v>
      </c>
      <c r="HI218" t="e">
        <f>IF(#REF!,"AAAAAHtR2tg=",0)</f>
        <v>#REF!</v>
      </c>
      <c r="HJ218" t="e">
        <f>IF(#REF!,"AAAAAHtR2tk=",0)</f>
        <v>#REF!</v>
      </c>
      <c r="HK218" t="e">
        <f>IF(#REF!,"AAAAAHtR2to=",0)</f>
        <v>#REF!</v>
      </c>
      <c r="HL218" t="e">
        <f>IF(#REF!,"AAAAAHtR2ts=",0)</f>
        <v>#REF!</v>
      </c>
      <c r="HM218" t="e">
        <f>IF(#REF!,"AAAAAHtR2tw=",0)</f>
        <v>#REF!</v>
      </c>
      <c r="HN218" t="e">
        <f>IF(#REF!,"AAAAAHtR2t0=",0)</f>
        <v>#REF!</v>
      </c>
      <c r="HO218" t="e">
        <f>IF(#REF!,"AAAAAHtR2t4=",0)</f>
        <v>#REF!</v>
      </c>
      <c r="HP218" t="e">
        <f>IF(#REF!,"AAAAAHtR2t8=",0)</f>
        <v>#REF!</v>
      </c>
      <c r="HQ218" t="e">
        <f>IF(#REF!,"AAAAAHtR2uA=",0)</f>
        <v>#REF!</v>
      </c>
      <c r="HR218" t="e">
        <f>IF(#REF!,"AAAAAHtR2uE=",0)</f>
        <v>#REF!</v>
      </c>
      <c r="HS218" t="e">
        <f>IF(#REF!,"AAAAAHtR2uI=",0)</f>
        <v>#REF!</v>
      </c>
      <c r="HT218" t="e">
        <f>IF(#REF!,"AAAAAHtR2uM=",0)</f>
        <v>#REF!</v>
      </c>
      <c r="HU218" t="e">
        <f>IF(#REF!,"AAAAAHtR2uQ=",0)</f>
        <v>#REF!</v>
      </c>
      <c r="HV218" t="e">
        <f>IF(#REF!,"AAAAAHtR2uU=",0)</f>
        <v>#REF!</v>
      </c>
      <c r="HW218" t="e">
        <f>IF(#REF!,"AAAAAHtR2uY=",0)</f>
        <v>#REF!</v>
      </c>
      <c r="HX218" t="e">
        <f>IF(#REF!,"AAAAAHtR2uc=",0)</f>
        <v>#REF!</v>
      </c>
      <c r="HY218" t="e">
        <f>IF(#REF!,"AAAAAHtR2ug=",0)</f>
        <v>#REF!</v>
      </c>
      <c r="HZ218" t="e">
        <f>IF(#REF!,"AAAAAHtR2uk=",0)</f>
        <v>#REF!</v>
      </c>
      <c r="IA218" t="e">
        <f>IF(#REF!,"AAAAAHtR2uo=",0)</f>
        <v>#REF!</v>
      </c>
      <c r="IB218" t="e">
        <f>IF(#REF!,"AAAAAHtR2us=",0)</f>
        <v>#REF!</v>
      </c>
      <c r="IC218" t="e">
        <f>IF(#REF!,"AAAAAHtR2uw=",0)</f>
        <v>#REF!</v>
      </c>
      <c r="ID218" t="e">
        <f>IF(#REF!,"AAAAAHtR2u0=",0)</f>
        <v>#REF!</v>
      </c>
      <c r="IE218" t="e">
        <f>IF(#REF!,"AAAAAHtR2u4=",0)</f>
        <v>#REF!</v>
      </c>
      <c r="IF218" t="e">
        <f>IF(#REF!,"AAAAAHtR2u8=",0)</f>
        <v>#REF!</v>
      </c>
      <c r="IG218" t="e">
        <f>IF(#REF!,"AAAAAHtR2vA=",0)</f>
        <v>#REF!</v>
      </c>
      <c r="IH218" t="e">
        <f>IF(#REF!,"AAAAAHtR2vE=",0)</f>
        <v>#REF!</v>
      </c>
      <c r="II218" t="e">
        <f>IF(#REF!,"AAAAAHtR2vI=",0)</f>
        <v>#REF!</v>
      </c>
      <c r="IJ218" t="e">
        <f>IF(#REF!,"AAAAAHtR2vM=",0)</f>
        <v>#REF!</v>
      </c>
      <c r="IK218" t="e">
        <f>IF(#REF!,"AAAAAHtR2vQ=",0)</f>
        <v>#REF!</v>
      </c>
      <c r="IL218" t="e">
        <f>IF(#REF!,"AAAAAHtR2vU=",0)</f>
        <v>#REF!</v>
      </c>
      <c r="IM218" t="e">
        <f>IF(#REF!,"AAAAAHtR2vY=",0)</f>
        <v>#REF!</v>
      </c>
      <c r="IN218" t="e">
        <f>IF(#REF!,"AAAAAHtR2vc=",0)</f>
        <v>#REF!</v>
      </c>
      <c r="IO218" t="e">
        <f>IF(#REF!,"AAAAAHtR2vg=",0)</f>
        <v>#REF!</v>
      </c>
      <c r="IP218" t="e">
        <f>IF(#REF!,"AAAAAHtR2vk=",0)</f>
        <v>#REF!</v>
      </c>
      <c r="IQ218" t="e">
        <f>IF(#REF!,"AAAAAHtR2vo=",0)</f>
        <v>#REF!</v>
      </c>
      <c r="IR218" t="e">
        <f>IF(#REF!,"AAAAAHtR2vs=",0)</f>
        <v>#REF!</v>
      </c>
      <c r="IS218" t="e">
        <f>IF(#REF!,"AAAAAHtR2vw=",0)</f>
        <v>#REF!</v>
      </c>
      <c r="IT218" t="e">
        <f>IF(#REF!,"AAAAAHtR2v0=",0)</f>
        <v>#REF!</v>
      </c>
      <c r="IU218" t="e">
        <f>IF(#REF!,"AAAAAHtR2v4=",0)</f>
        <v>#REF!</v>
      </c>
      <c r="IV218" t="e">
        <f>IF(#REF!,"AAAAAHtR2v8=",0)</f>
        <v>#REF!</v>
      </c>
    </row>
    <row r="219" spans="1:256">
      <c r="A219" t="e">
        <f>IF(#REF!,"AAAAAH3//wA=",0)</f>
        <v>#REF!</v>
      </c>
      <c r="B219" t="e">
        <f>IF(#REF!,"AAAAAH3//wE=",0)</f>
        <v>#REF!</v>
      </c>
      <c r="C219" t="e">
        <f>IF(#REF!,"AAAAAH3//wI=",0)</f>
        <v>#REF!</v>
      </c>
      <c r="D219" t="e">
        <f>IF(#REF!,"AAAAAH3//wM=",0)</f>
        <v>#REF!</v>
      </c>
      <c r="E219" t="e">
        <f>IF(#REF!,"AAAAAH3//wQ=",0)</f>
        <v>#REF!</v>
      </c>
      <c r="F219" t="e">
        <f>IF(#REF!,"AAAAAH3//wU=",0)</f>
        <v>#REF!</v>
      </c>
      <c r="G219" t="e">
        <f>IF(#REF!,"AAAAAH3//wY=",0)</f>
        <v>#REF!</v>
      </c>
      <c r="H219" t="e">
        <f>IF(#REF!,"AAAAAH3//wc=",0)</f>
        <v>#REF!</v>
      </c>
      <c r="I219" t="e">
        <f>IF(#REF!,"AAAAAH3//wg=",0)</f>
        <v>#REF!</v>
      </c>
      <c r="J219" t="e">
        <f>IF(#REF!,"AAAAAH3//wk=",0)</f>
        <v>#REF!</v>
      </c>
      <c r="K219" t="e">
        <f>IF(#REF!,"AAAAAH3//wo=",0)</f>
        <v>#REF!</v>
      </c>
      <c r="L219" t="e">
        <f>IF(#REF!,"AAAAAH3//ws=",0)</f>
        <v>#REF!</v>
      </c>
      <c r="M219" t="e">
        <f>IF(#REF!,"AAAAAH3//ww=",0)</f>
        <v>#REF!</v>
      </c>
      <c r="N219" t="e">
        <f>IF(#REF!,"AAAAAH3//w0=",0)</f>
        <v>#REF!</v>
      </c>
      <c r="O219" t="e">
        <f>IF(#REF!,"AAAAAH3//w4=",0)</f>
        <v>#REF!</v>
      </c>
      <c r="P219" t="e">
        <f>IF(#REF!,"AAAAAH3//w8=",0)</f>
        <v>#REF!</v>
      </c>
      <c r="Q219" t="e">
        <f>IF(#REF!,"AAAAAH3//xA=",0)</f>
        <v>#REF!</v>
      </c>
      <c r="R219" t="e">
        <f>IF(#REF!,"AAAAAH3//xE=",0)</f>
        <v>#REF!</v>
      </c>
      <c r="S219" t="e">
        <f>IF(#REF!,"AAAAAH3//xI=",0)</f>
        <v>#REF!</v>
      </c>
      <c r="T219" t="e">
        <f>IF(#REF!,"AAAAAH3//xM=",0)</f>
        <v>#REF!</v>
      </c>
      <c r="U219" t="e">
        <f>IF(#REF!,"AAAAAH3//xQ=",0)</f>
        <v>#REF!</v>
      </c>
      <c r="V219" t="e">
        <f>IF(#REF!,"AAAAAH3//xU=",0)</f>
        <v>#REF!</v>
      </c>
      <c r="W219" t="e">
        <f>IF(#REF!,"AAAAAH3//xY=",0)</f>
        <v>#REF!</v>
      </c>
      <c r="X219" t="e">
        <f>IF(#REF!,"AAAAAH3//xc=",0)</f>
        <v>#REF!</v>
      </c>
      <c r="Y219" t="e">
        <f>IF(#REF!,"AAAAAH3//xg=",0)</f>
        <v>#REF!</v>
      </c>
      <c r="Z219" t="e">
        <f>IF(#REF!,"AAAAAH3//xk=",0)</f>
        <v>#REF!</v>
      </c>
      <c r="AA219" t="e">
        <f>IF(#REF!,"AAAAAH3//xo=",0)</f>
        <v>#REF!</v>
      </c>
      <c r="AB219" t="e">
        <f>IF(#REF!,"AAAAAH3//xs=",0)</f>
        <v>#REF!</v>
      </c>
      <c r="AC219" t="e">
        <f>IF(#REF!,"AAAAAH3//xw=",0)</f>
        <v>#REF!</v>
      </c>
      <c r="AD219" t="e">
        <f>IF(#REF!,"AAAAAH3//x0=",0)</f>
        <v>#REF!</v>
      </c>
      <c r="AE219" t="e">
        <f>IF(#REF!,"AAAAAH3//x4=",0)</f>
        <v>#REF!</v>
      </c>
      <c r="AF219" t="e">
        <f>IF(#REF!,"AAAAAH3//x8=",0)</f>
        <v>#REF!</v>
      </c>
      <c r="AG219" t="e">
        <f>IF(#REF!,"AAAAAH3//yA=",0)</f>
        <v>#REF!</v>
      </c>
      <c r="AH219" t="e">
        <f>IF(#REF!,"AAAAAH3//yE=",0)</f>
        <v>#REF!</v>
      </c>
      <c r="AI219" t="e">
        <f>IF(#REF!,"AAAAAH3//yI=",0)</f>
        <v>#REF!</v>
      </c>
      <c r="AJ219" t="e">
        <f>IF(#REF!,"AAAAAH3//yM=",0)</f>
        <v>#REF!</v>
      </c>
      <c r="AK219" t="e">
        <f>IF(#REF!,"AAAAAH3//yQ=",0)</f>
        <v>#REF!</v>
      </c>
      <c r="AL219" t="e">
        <f>IF(#REF!,"AAAAAH3//yU=",0)</f>
        <v>#REF!</v>
      </c>
      <c r="AM219" t="e">
        <f>IF(#REF!,"AAAAAH3//yY=",0)</f>
        <v>#REF!</v>
      </c>
      <c r="AN219" t="e">
        <f>IF(#REF!,"AAAAAH3//yc=",0)</f>
        <v>#REF!</v>
      </c>
      <c r="AO219" t="e">
        <f>IF(#REF!,"AAAAAH3//yg=",0)</f>
        <v>#REF!</v>
      </c>
      <c r="AP219" t="e">
        <f>IF(#REF!,"AAAAAH3//yk=",0)</f>
        <v>#REF!</v>
      </c>
      <c r="AQ219" t="e">
        <f>IF(#REF!,"AAAAAH3//yo=",0)</f>
        <v>#REF!</v>
      </c>
      <c r="AR219" t="e">
        <f>IF(#REF!,"AAAAAH3//ys=",0)</f>
        <v>#REF!</v>
      </c>
      <c r="AS219" t="e">
        <f>IF(#REF!,"AAAAAH3//yw=",0)</f>
        <v>#REF!</v>
      </c>
      <c r="AT219" t="e">
        <f>IF(#REF!,"AAAAAH3//y0=",0)</f>
        <v>#REF!</v>
      </c>
      <c r="AU219" t="e">
        <f>IF(#REF!,"AAAAAH3//y4=",0)</f>
        <v>#REF!</v>
      </c>
      <c r="AV219" t="e">
        <f>IF(#REF!,"AAAAAH3//y8=",0)</f>
        <v>#REF!</v>
      </c>
      <c r="AW219" t="e">
        <f>IF(#REF!,"AAAAAH3//zA=",0)</f>
        <v>#REF!</v>
      </c>
      <c r="AX219" t="e">
        <f>IF(#REF!,"AAAAAH3//zE=",0)</f>
        <v>#REF!</v>
      </c>
      <c r="AY219" t="e">
        <f>IF(#REF!,"AAAAAH3//zI=",0)</f>
        <v>#REF!</v>
      </c>
      <c r="AZ219" t="e">
        <f>IF(#REF!,"AAAAAH3//zM=",0)</f>
        <v>#REF!</v>
      </c>
      <c r="BA219" t="e">
        <f>IF(#REF!,"AAAAAH3//zQ=",0)</f>
        <v>#REF!</v>
      </c>
      <c r="BB219" t="e">
        <f>IF(#REF!,"AAAAAH3//zU=",0)</f>
        <v>#REF!</v>
      </c>
      <c r="BC219" t="e">
        <f>IF(#REF!,"AAAAAH3//zY=",0)</f>
        <v>#REF!</v>
      </c>
      <c r="BD219" t="e">
        <f>IF(#REF!,"AAAAAH3//zc=",0)</f>
        <v>#REF!</v>
      </c>
      <c r="BE219" t="e">
        <f>IF(#REF!,"AAAAAH3//zg=",0)</f>
        <v>#REF!</v>
      </c>
      <c r="BF219" t="e">
        <f>IF(#REF!,"AAAAAH3//zk=",0)</f>
        <v>#REF!</v>
      </c>
      <c r="BG219" t="e">
        <f>IF(#REF!,"AAAAAH3//zo=",0)</f>
        <v>#REF!</v>
      </c>
      <c r="BH219" t="e">
        <f>IF(#REF!,"AAAAAH3//zs=",0)</f>
        <v>#REF!</v>
      </c>
      <c r="BI219" t="e">
        <f>IF(#REF!,"AAAAAH3//zw=",0)</f>
        <v>#REF!</v>
      </c>
      <c r="BJ219" t="e">
        <f>IF(#REF!,"AAAAAH3//z0=",0)</f>
        <v>#REF!</v>
      </c>
      <c r="BK219" t="e">
        <f>IF(#REF!,"AAAAAH3//z4=",0)</f>
        <v>#REF!</v>
      </c>
      <c r="BL219" t="e">
        <f>IF(#REF!,"AAAAAH3//z8=",0)</f>
        <v>#REF!</v>
      </c>
      <c r="BM219" t="e">
        <f>IF(#REF!,"AAAAAH3//0A=",0)</f>
        <v>#REF!</v>
      </c>
      <c r="BN219" t="e">
        <f>IF(#REF!,"AAAAAH3//0E=",0)</f>
        <v>#REF!</v>
      </c>
      <c r="BO219" t="e">
        <f>IF(#REF!,"AAAAAH3//0I=",0)</f>
        <v>#REF!</v>
      </c>
      <c r="BP219" t="e">
        <f>IF(#REF!,"AAAAAH3//0M=",0)</f>
        <v>#REF!</v>
      </c>
      <c r="BQ219" t="e">
        <f>IF(#REF!,"AAAAAH3//0Q=",0)</f>
        <v>#REF!</v>
      </c>
      <c r="BR219" t="e">
        <f>IF(#REF!,"AAAAAH3//0U=",0)</f>
        <v>#REF!</v>
      </c>
      <c r="BS219" t="e">
        <f>IF(#REF!,"AAAAAH3//0Y=",0)</f>
        <v>#REF!</v>
      </c>
      <c r="BT219" t="e">
        <f>IF(#REF!,"AAAAAH3//0c=",0)</f>
        <v>#REF!</v>
      </c>
      <c r="BU219" t="e">
        <f>IF(#REF!,"AAAAAH3//0g=",0)</f>
        <v>#REF!</v>
      </c>
      <c r="BV219" t="e">
        <f>IF(#REF!,"AAAAAH3//0k=",0)</f>
        <v>#REF!</v>
      </c>
      <c r="BW219" t="e">
        <f>IF(#REF!,"AAAAAH3//0o=",0)</f>
        <v>#REF!</v>
      </c>
      <c r="BX219" t="e">
        <f>IF(#REF!,"AAAAAH3//0s=",0)</f>
        <v>#REF!</v>
      </c>
      <c r="BY219" t="e">
        <f>IF(#REF!,"AAAAAH3//0w=",0)</f>
        <v>#REF!</v>
      </c>
      <c r="BZ219" t="e">
        <f>IF(#REF!,"AAAAAH3//00=",0)</f>
        <v>#REF!</v>
      </c>
      <c r="CA219" t="e">
        <f>IF(#REF!,"AAAAAH3//04=",0)</f>
        <v>#REF!</v>
      </c>
      <c r="CB219" t="e">
        <f>IF(#REF!,"AAAAAH3//08=",0)</f>
        <v>#REF!</v>
      </c>
      <c r="CC219" t="e">
        <f>IF(#REF!,"AAAAAH3//1A=",0)</f>
        <v>#REF!</v>
      </c>
      <c r="CD219" t="e">
        <f>IF(#REF!,"AAAAAH3//1E=",0)</f>
        <v>#REF!</v>
      </c>
      <c r="CE219" t="e">
        <f>IF(#REF!,"AAAAAH3//1I=",0)</f>
        <v>#REF!</v>
      </c>
      <c r="CF219" t="e">
        <f>IF(#REF!,"AAAAAH3//1M=",0)</f>
        <v>#REF!</v>
      </c>
      <c r="CG219" t="e">
        <f>IF(#REF!,"AAAAAH3//1Q=",0)</f>
        <v>#REF!</v>
      </c>
      <c r="CH219" t="e">
        <f>IF(#REF!,"AAAAAH3//1U=",0)</f>
        <v>#REF!</v>
      </c>
      <c r="CI219" t="e">
        <f>IF(#REF!,"AAAAAH3//1Y=",0)</f>
        <v>#REF!</v>
      </c>
      <c r="CJ219" t="e">
        <f>IF(#REF!,"AAAAAH3//1c=",0)</f>
        <v>#REF!</v>
      </c>
      <c r="CK219" t="e">
        <f>IF(#REF!,"AAAAAH3//1g=",0)</f>
        <v>#REF!</v>
      </c>
      <c r="CL219" t="e">
        <f>IF(#REF!,"AAAAAH3//1k=",0)</f>
        <v>#REF!</v>
      </c>
      <c r="CM219" t="e">
        <f>IF(#REF!,"AAAAAH3//1o=",0)</f>
        <v>#REF!</v>
      </c>
      <c r="CN219" t="e">
        <f>IF(#REF!,"AAAAAH3//1s=",0)</f>
        <v>#REF!</v>
      </c>
      <c r="CO219" t="e">
        <f>IF(#REF!,"AAAAAH3//1w=",0)</f>
        <v>#REF!</v>
      </c>
      <c r="CP219" t="e">
        <f>IF(#REF!,"AAAAAH3//10=",0)</f>
        <v>#REF!</v>
      </c>
      <c r="CQ219" t="e">
        <f>IF(#REF!,"AAAAAH3//14=",0)</f>
        <v>#REF!</v>
      </c>
      <c r="CR219" t="e">
        <f>IF(#REF!,"AAAAAH3//18=",0)</f>
        <v>#REF!</v>
      </c>
      <c r="CS219" t="e">
        <f>IF(#REF!,"AAAAAH3//2A=",0)</f>
        <v>#REF!</v>
      </c>
      <c r="CT219" t="e">
        <f>IF(#REF!,"AAAAAH3//2E=",0)</f>
        <v>#REF!</v>
      </c>
      <c r="CU219" t="e">
        <f>IF(#REF!,"AAAAAH3//2I=",0)</f>
        <v>#REF!</v>
      </c>
      <c r="CV219" t="e">
        <f>IF(#REF!,"AAAAAH3//2M=",0)</f>
        <v>#REF!</v>
      </c>
      <c r="CW219" t="e">
        <f>IF(#REF!,"AAAAAH3//2Q=",0)</f>
        <v>#REF!</v>
      </c>
      <c r="CX219" t="e">
        <f>IF(#REF!,"AAAAAH3//2U=",0)</f>
        <v>#REF!</v>
      </c>
      <c r="CY219" t="e">
        <f>IF(#REF!,"AAAAAH3//2Y=",0)</f>
        <v>#REF!</v>
      </c>
      <c r="CZ219" t="e">
        <f>IF(#REF!,"AAAAAH3//2c=",0)</f>
        <v>#REF!</v>
      </c>
      <c r="DA219" t="e">
        <f>IF(#REF!,"AAAAAH3//2g=",0)</f>
        <v>#REF!</v>
      </c>
      <c r="DB219" t="e">
        <f>IF(#REF!,"AAAAAH3//2k=",0)</f>
        <v>#REF!</v>
      </c>
      <c r="DC219" t="e">
        <f>IF(#REF!,"AAAAAH3//2o=",0)</f>
        <v>#REF!</v>
      </c>
      <c r="DD219" t="e">
        <f>IF(#REF!,"AAAAAH3//2s=",0)</f>
        <v>#REF!</v>
      </c>
      <c r="DE219" t="e">
        <f>IF(#REF!,"AAAAAH3//2w=",0)</f>
        <v>#REF!</v>
      </c>
      <c r="DF219" t="e">
        <f>IF(#REF!,"AAAAAH3//20=",0)</f>
        <v>#REF!</v>
      </c>
      <c r="DG219" t="e">
        <f>IF(#REF!,"AAAAAH3//24=",0)</f>
        <v>#REF!</v>
      </c>
      <c r="DH219" t="e">
        <f>IF(#REF!,"AAAAAH3//28=",0)</f>
        <v>#REF!</v>
      </c>
      <c r="DI219" t="e">
        <f>IF(#REF!,"AAAAAH3//3A=",0)</f>
        <v>#REF!</v>
      </c>
      <c r="DJ219" t="e">
        <f>IF(#REF!,"AAAAAH3//3E=",0)</f>
        <v>#REF!</v>
      </c>
      <c r="DK219" t="e">
        <f>IF(#REF!,"AAAAAH3//3I=",0)</f>
        <v>#REF!</v>
      </c>
      <c r="DL219" t="e">
        <f>IF(#REF!,"AAAAAH3//3M=",0)</f>
        <v>#REF!</v>
      </c>
      <c r="DM219" t="e">
        <f>IF(#REF!,"AAAAAH3//3Q=",0)</f>
        <v>#REF!</v>
      </c>
      <c r="DN219" t="e">
        <f>IF(#REF!,"AAAAAH3//3U=",0)</f>
        <v>#REF!</v>
      </c>
      <c r="DO219" t="e">
        <f>IF(#REF!,"AAAAAH3//3Y=",0)</f>
        <v>#REF!</v>
      </c>
      <c r="DP219" t="e">
        <f>IF(#REF!,"AAAAAH3//3c=",0)</f>
        <v>#REF!</v>
      </c>
      <c r="DQ219" t="e">
        <f>IF(#REF!,"AAAAAH3//3g=",0)</f>
        <v>#REF!</v>
      </c>
      <c r="DR219" t="e">
        <f>IF(#REF!,"AAAAAH3//3k=",0)</f>
        <v>#REF!</v>
      </c>
      <c r="DS219" t="e">
        <f>IF(#REF!,"AAAAAH3//3o=",0)</f>
        <v>#REF!</v>
      </c>
      <c r="DT219" t="e">
        <f>IF(#REF!,"AAAAAH3//3s=",0)</f>
        <v>#REF!</v>
      </c>
      <c r="DU219" t="e">
        <f>IF(#REF!,"AAAAAH3//3w=",0)</f>
        <v>#REF!</v>
      </c>
      <c r="DV219" t="e">
        <f>IF(#REF!,"AAAAAH3//30=",0)</f>
        <v>#REF!</v>
      </c>
      <c r="DW219" t="e">
        <f>IF(#REF!,"AAAAAH3//34=",0)</f>
        <v>#REF!</v>
      </c>
      <c r="DX219" t="e">
        <f>IF(#REF!,"AAAAAH3//38=",0)</f>
        <v>#REF!</v>
      </c>
      <c r="DY219" t="e">
        <f>IF(#REF!,"AAAAAH3//4A=",0)</f>
        <v>#REF!</v>
      </c>
      <c r="DZ219" t="e">
        <f>IF(#REF!,"AAAAAH3//4E=",0)</f>
        <v>#REF!</v>
      </c>
      <c r="EA219" t="e">
        <f>IF(#REF!,"AAAAAH3//4I=",0)</f>
        <v>#REF!</v>
      </c>
      <c r="EB219" t="e">
        <f>IF(#REF!,"AAAAAH3//4M=",0)</f>
        <v>#REF!</v>
      </c>
      <c r="EC219" t="e">
        <f>IF(#REF!,"AAAAAH3//4Q=",0)</f>
        <v>#REF!</v>
      </c>
      <c r="ED219" t="e">
        <f>IF(#REF!,"AAAAAH3//4U=",0)</f>
        <v>#REF!</v>
      </c>
      <c r="EE219" t="e">
        <f>IF(#REF!,"AAAAAH3//4Y=",0)</f>
        <v>#REF!</v>
      </c>
      <c r="EF219" t="e">
        <f>IF(#REF!,"AAAAAH3//4c=",0)</f>
        <v>#REF!</v>
      </c>
      <c r="EG219" t="e">
        <f>IF(#REF!,"AAAAAH3//4g=",0)</f>
        <v>#REF!</v>
      </c>
      <c r="EH219" t="e">
        <f>IF(#REF!,"AAAAAH3//4k=",0)</f>
        <v>#REF!</v>
      </c>
      <c r="EI219" t="e">
        <f>IF(#REF!,"AAAAAH3//4o=",0)</f>
        <v>#REF!</v>
      </c>
      <c r="EJ219" t="e">
        <f>IF(#REF!,"AAAAAH3//4s=",0)</f>
        <v>#REF!</v>
      </c>
      <c r="EK219" t="e">
        <f>IF(#REF!,"AAAAAH3//4w=",0)</f>
        <v>#REF!</v>
      </c>
      <c r="EL219" t="e">
        <f>IF(#REF!,"AAAAAH3//40=",0)</f>
        <v>#REF!</v>
      </c>
      <c r="EM219" t="e">
        <f>IF(#REF!,"AAAAAH3//44=",0)</f>
        <v>#REF!</v>
      </c>
      <c r="EN219" t="e">
        <f>IF(#REF!,"AAAAAH3//48=",0)</f>
        <v>#REF!</v>
      </c>
      <c r="EO219" t="e">
        <f>IF(#REF!,"AAAAAH3//5A=",0)</f>
        <v>#REF!</v>
      </c>
      <c r="EP219" t="e">
        <f>IF(#REF!,"AAAAAH3//5E=",0)</f>
        <v>#REF!</v>
      </c>
      <c r="EQ219" t="e">
        <f>IF(#REF!,"AAAAAH3//5I=",0)</f>
        <v>#REF!</v>
      </c>
      <c r="ER219" t="e">
        <f>IF(#REF!,"AAAAAH3//5M=",0)</f>
        <v>#REF!</v>
      </c>
      <c r="ES219" t="e">
        <f>IF(#REF!,"AAAAAH3//5Q=",0)</f>
        <v>#REF!</v>
      </c>
      <c r="ET219" t="e">
        <f>IF(#REF!,"AAAAAH3//5U=",0)</f>
        <v>#REF!</v>
      </c>
      <c r="EU219" t="e">
        <f>IF(#REF!,"AAAAAH3//5Y=",0)</f>
        <v>#REF!</v>
      </c>
      <c r="EV219" t="e">
        <f>IF(#REF!,"AAAAAH3//5c=",0)</f>
        <v>#REF!</v>
      </c>
      <c r="EW219" t="e">
        <f>IF(#REF!,"AAAAAH3//5g=",0)</f>
        <v>#REF!</v>
      </c>
      <c r="EX219" t="e">
        <f>IF(#REF!,"AAAAAH3//5k=",0)</f>
        <v>#REF!</v>
      </c>
      <c r="EY219" t="e">
        <f>IF(#REF!,"AAAAAH3//5o=",0)</f>
        <v>#REF!</v>
      </c>
      <c r="EZ219" t="e">
        <f>IF(#REF!,"AAAAAH3//5s=",0)</f>
        <v>#REF!</v>
      </c>
      <c r="FA219" t="e">
        <f>IF(#REF!,"AAAAAH3//5w=",0)</f>
        <v>#REF!</v>
      </c>
      <c r="FB219" t="e">
        <f>IF(#REF!,"AAAAAH3//50=",0)</f>
        <v>#REF!</v>
      </c>
      <c r="FC219" t="e">
        <f>IF(#REF!,"AAAAAH3//54=",0)</f>
        <v>#REF!</v>
      </c>
      <c r="FD219" t="e">
        <f>IF(#REF!,"AAAAAH3//58=",0)</f>
        <v>#REF!</v>
      </c>
      <c r="FE219" t="e">
        <f>IF(#REF!,"AAAAAH3//6A=",0)</f>
        <v>#REF!</v>
      </c>
      <c r="FF219" t="e">
        <f>IF(#REF!,"AAAAAH3//6E=",0)</f>
        <v>#REF!</v>
      </c>
      <c r="FG219" t="e">
        <f>IF(#REF!,"AAAAAH3//6I=",0)</f>
        <v>#REF!</v>
      </c>
      <c r="FH219" t="e">
        <f>IF(#REF!,"AAAAAH3//6M=",0)</f>
        <v>#REF!</v>
      </c>
      <c r="FI219" t="e">
        <f>IF(#REF!,"AAAAAH3//6Q=",0)</f>
        <v>#REF!</v>
      </c>
      <c r="FJ219" t="e">
        <f>IF(#REF!,"AAAAAH3//6U=",0)</f>
        <v>#REF!</v>
      </c>
      <c r="FK219" t="e">
        <f>IF(#REF!,"AAAAAH3//6Y=",0)</f>
        <v>#REF!</v>
      </c>
      <c r="FL219" t="e">
        <f>IF(#REF!,"AAAAAH3//6c=",0)</f>
        <v>#REF!</v>
      </c>
      <c r="FM219" t="e">
        <f>IF(#REF!,"AAAAAH3//6g=",0)</f>
        <v>#REF!</v>
      </c>
      <c r="FN219" t="e">
        <f>IF(#REF!,"AAAAAH3//6k=",0)</f>
        <v>#REF!</v>
      </c>
      <c r="FO219" t="e">
        <f>IF(#REF!,"AAAAAH3//6o=",0)</f>
        <v>#REF!</v>
      </c>
      <c r="FP219" t="e">
        <f>IF(#REF!,"AAAAAH3//6s=",0)</f>
        <v>#REF!</v>
      </c>
      <c r="FQ219" t="e">
        <f>IF(#REF!,"AAAAAH3//6w=",0)</f>
        <v>#REF!</v>
      </c>
      <c r="FR219" t="e">
        <f>IF(#REF!,"AAAAAH3//60=",0)</f>
        <v>#REF!</v>
      </c>
      <c r="FS219" t="e">
        <f>IF(#REF!,"AAAAAH3//64=",0)</f>
        <v>#REF!</v>
      </c>
      <c r="FT219" t="e">
        <f>IF(#REF!,"AAAAAH3//68=",0)</f>
        <v>#REF!</v>
      </c>
      <c r="FU219" t="e">
        <f>IF(#REF!,"AAAAAH3//7A=",0)</f>
        <v>#REF!</v>
      </c>
      <c r="FV219" t="e">
        <f>IF(#REF!,"AAAAAH3//7E=",0)</f>
        <v>#REF!</v>
      </c>
      <c r="FW219" t="e">
        <f>IF(#REF!,"AAAAAH3//7I=",0)</f>
        <v>#REF!</v>
      </c>
      <c r="FX219" t="e">
        <f>IF(#REF!,"AAAAAH3//7M=",0)</f>
        <v>#REF!</v>
      </c>
      <c r="FY219" t="e">
        <f>IF(#REF!,"AAAAAH3//7Q=",0)</f>
        <v>#REF!</v>
      </c>
      <c r="FZ219" t="e">
        <f>IF(#REF!,"AAAAAH3//7U=",0)</f>
        <v>#REF!</v>
      </c>
      <c r="GA219" t="e">
        <f>IF(#REF!,"AAAAAH3//7Y=",0)</f>
        <v>#REF!</v>
      </c>
      <c r="GB219" t="e">
        <f>IF(#REF!,"AAAAAH3//7c=",0)</f>
        <v>#REF!</v>
      </c>
      <c r="GC219" t="e">
        <f>IF(#REF!,"AAAAAH3//7g=",0)</f>
        <v>#REF!</v>
      </c>
      <c r="GD219" t="e">
        <f>IF(#REF!,"AAAAAH3//7k=",0)</f>
        <v>#REF!</v>
      </c>
      <c r="GE219" t="e">
        <f>IF(#REF!,"AAAAAH3//7o=",0)</f>
        <v>#REF!</v>
      </c>
      <c r="GF219" t="e">
        <f>IF(#REF!,"AAAAAH3//7s=",0)</f>
        <v>#REF!</v>
      </c>
      <c r="GG219" t="e">
        <f>IF(#REF!,"AAAAAH3//7w=",0)</f>
        <v>#REF!</v>
      </c>
      <c r="GH219" t="e">
        <f>IF(#REF!,"AAAAAH3//70=",0)</f>
        <v>#REF!</v>
      </c>
      <c r="GI219" t="e">
        <f>IF(#REF!,"AAAAAH3//74=",0)</f>
        <v>#REF!</v>
      </c>
      <c r="GJ219" t="e">
        <f>IF(#REF!,"AAAAAH3//78=",0)</f>
        <v>#REF!</v>
      </c>
      <c r="GK219" t="e">
        <f>IF(#REF!,"AAAAAH3//8A=",0)</f>
        <v>#REF!</v>
      </c>
      <c r="GL219" t="e">
        <f>IF(#REF!,"AAAAAH3//8E=",0)</f>
        <v>#REF!</v>
      </c>
      <c r="GM219" t="e">
        <f>IF(#REF!,"AAAAAH3//8I=",0)</f>
        <v>#REF!</v>
      </c>
      <c r="GN219" t="e">
        <f>IF(#REF!,"AAAAAH3//8M=",0)</f>
        <v>#REF!</v>
      </c>
      <c r="GO219" t="e">
        <f>IF(#REF!,"AAAAAH3//8Q=",0)</f>
        <v>#REF!</v>
      </c>
      <c r="GP219" t="e">
        <f>IF(#REF!,"AAAAAH3//8U=",0)</f>
        <v>#REF!</v>
      </c>
      <c r="GQ219" t="e">
        <f>IF(#REF!,"AAAAAH3//8Y=",0)</f>
        <v>#REF!</v>
      </c>
      <c r="GR219" t="e">
        <f>IF(#REF!,"AAAAAH3//8c=",0)</f>
        <v>#REF!</v>
      </c>
      <c r="GS219" t="e">
        <f>IF(#REF!,"AAAAAH3//8g=",0)</f>
        <v>#REF!</v>
      </c>
      <c r="GT219" t="e">
        <f>IF(#REF!,"AAAAAH3//8k=",0)</f>
        <v>#REF!</v>
      </c>
      <c r="GU219" t="e">
        <f>IF(#REF!,"AAAAAH3//8o=",0)</f>
        <v>#REF!</v>
      </c>
      <c r="GV219" t="e">
        <f>IF(#REF!,"AAAAAH3//8s=",0)</f>
        <v>#REF!</v>
      </c>
      <c r="GW219" t="e">
        <f>IF(#REF!,"AAAAAH3//8w=",0)</f>
        <v>#REF!</v>
      </c>
      <c r="GX219" t="e">
        <f>IF(#REF!,"AAAAAH3//80=",0)</f>
        <v>#REF!</v>
      </c>
      <c r="GY219" t="e">
        <f>IF(#REF!,"AAAAAH3//84=",0)</f>
        <v>#REF!</v>
      </c>
      <c r="GZ219" t="e">
        <f>IF(#REF!,"AAAAAH3//88=",0)</f>
        <v>#REF!</v>
      </c>
      <c r="HA219" t="e">
        <f>IF(#REF!,"AAAAAH3//9A=",0)</f>
        <v>#REF!</v>
      </c>
      <c r="HB219" t="e">
        <f>IF(#REF!,"AAAAAH3//9E=",0)</f>
        <v>#REF!</v>
      </c>
      <c r="HC219" t="e">
        <f>IF(#REF!,"AAAAAH3//9I=",0)</f>
        <v>#REF!</v>
      </c>
      <c r="HD219" t="e">
        <f>IF(#REF!,"AAAAAH3//9M=",0)</f>
        <v>#REF!</v>
      </c>
      <c r="HE219" t="e">
        <f>IF(#REF!,"AAAAAH3//9Q=",0)</f>
        <v>#REF!</v>
      </c>
      <c r="HF219" t="e">
        <f>IF(#REF!,"AAAAAH3//9U=",0)</f>
        <v>#REF!</v>
      </c>
      <c r="HG219" t="e">
        <f>IF(#REF!,"AAAAAH3//9Y=",0)</f>
        <v>#REF!</v>
      </c>
      <c r="HH219" t="e">
        <f>IF(#REF!,"AAAAAH3//9c=",0)</f>
        <v>#REF!</v>
      </c>
      <c r="HI219" t="e">
        <f>IF(#REF!,"AAAAAH3//9g=",0)</f>
        <v>#REF!</v>
      </c>
      <c r="HJ219" t="e">
        <f>IF(#REF!,"AAAAAH3//9k=",0)</f>
        <v>#REF!</v>
      </c>
      <c r="HK219" t="e">
        <f>IF(#REF!,"AAAAAH3//9o=",0)</f>
        <v>#REF!</v>
      </c>
      <c r="HL219" t="e">
        <f>IF(#REF!,"AAAAAH3//9s=",0)</f>
        <v>#REF!</v>
      </c>
      <c r="HM219" t="e">
        <f>IF(#REF!,"AAAAAH3//9w=",0)</f>
        <v>#REF!</v>
      </c>
      <c r="HN219" t="e">
        <f>IF(#REF!,"AAAAAH3//90=",0)</f>
        <v>#REF!</v>
      </c>
      <c r="HO219" t="e">
        <f>IF(#REF!,"AAAAAH3//94=",0)</f>
        <v>#REF!</v>
      </c>
      <c r="HP219" t="e">
        <f>IF(#REF!,"AAAAAH3//98=",0)</f>
        <v>#REF!</v>
      </c>
      <c r="HQ219" t="e">
        <f>IF(#REF!,"AAAAAH3//+A=",0)</f>
        <v>#REF!</v>
      </c>
      <c r="HR219" t="e">
        <f>IF(#REF!,"AAAAAH3//+E=",0)</f>
        <v>#REF!</v>
      </c>
      <c r="HS219" t="e">
        <f>IF(#REF!,"AAAAAH3//+I=",0)</f>
        <v>#REF!</v>
      </c>
      <c r="HT219" t="e">
        <f>IF(#REF!,"AAAAAH3//+M=",0)</f>
        <v>#REF!</v>
      </c>
      <c r="HU219" t="e">
        <f>IF(#REF!,"AAAAAH3//+Q=",0)</f>
        <v>#REF!</v>
      </c>
      <c r="HV219" t="e">
        <f>IF(#REF!,"AAAAAH3//+U=",0)</f>
        <v>#REF!</v>
      </c>
      <c r="HW219" t="e">
        <f>IF(#REF!,"AAAAAH3//+Y=",0)</f>
        <v>#REF!</v>
      </c>
      <c r="HX219" t="e">
        <f>IF(#REF!,"AAAAAH3//+c=",0)</f>
        <v>#REF!</v>
      </c>
      <c r="HY219" t="e">
        <f>IF(#REF!,"AAAAAH3//+g=",0)</f>
        <v>#REF!</v>
      </c>
      <c r="HZ219" t="e">
        <f>IF(#REF!,"AAAAAH3//+k=",0)</f>
        <v>#REF!</v>
      </c>
      <c r="IA219" t="e">
        <f>IF(#REF!,"AAAAAH3//+o=",0)</f>
        <v>#REF!</v>
      </c>
      <c r="IB219" t="e">
        <f>IF(#REF!,"AAAAAH3//+s=",0)</f>
        <v>#REF!</v>
      </c>
      <c r="IC219" t="e">
        <f>IF(#REF!,"AAAAAH3//+w=",0)</f>
        <v>#REF!</v>
      </c>
      <c r="ID219" t="e">
        <f>IF(#REF!,"AAAAAH3//+0=",0)</f>
        <v>#REF!</v>
      </c>
      <c r="IE219" t="e">
        <f>IF(#REF!,"AAAAAH3//+4=",0)</f>
        <v>#REF!</v>
      </c>
      <c r="IF219" t="e">
        <f>IF(#REF!,"AAAAAH3//+8=",0)</f>
        <v>#REF!</v>
      </c>
      <c r="IG219" t="e">
        <f>IF(#REF!,"AAAAAH3///A=",0)</f>
        <v>#REF!</v>
      </c>
      <c r="IH219" t="e">
        <f>IF(#REF!,"AAAAAH3///E=",0)</f>
        <v>#REF!</v>
      </c>
      <c r="II219" t="e">
        <f>IF(#REF!,"AAAAAH3///I=",0)</f>
        <v>#REF!</v>
      </c>
      <c r="IJ219" t="e">
        <f>IF(#REF!,"AAAAAH3///M=",0)</f>
        <v>#REF!</v>
      </c>
      <c r="IK219" t="e">
        <f>IF(#REF!,"AAAAAH3///Q=",0)</f>
        <v>#REF!</v>
      </c>
      <c r="IL219" t="e">
        <f>IF(#REF!,"AAAAAH3///U=",0)</f>
        <v>#REF!</v>
      </c>
      <c r="IM219" t="e">
        <f>IF(#REF!,"AAAAAH3///Y=",0)</f>
        <v>#REF!</v>
      </c>
      <c r="IN219" t="e">
        <f>IF(#REF!,"AAAAAH3///c=",0)</f>
        <v>#REF!</v>
      </c>
      <c r="IO219" t="e">
        <f>IF(#REF!,"AAAAAH3///g=",0)</f>
        <v>#REF!</v>
      </c>
      <c r="IP219" t="e">
        <f>IF(#REF!,"AAAAAH3///k=",0)</f>
        <v>#REF!</v>
      </c>
      <c r="IQ219" t="e">
        <f>IF(#REF!,"AAAAAH3///o=",0)</f>
        <v>#REF!</v>
      </c>
      <c r="IR219" t="e">
        <f>IF(#REF!,"AAAAAH3///s=",0)</f>
        <v>#REF!</v>
      </c>
      <c r="IS219" t="e">
        <f>IF(#REF!,"AAAAAH3///w=",0)</f>
        <v>#REF!</v>
      </c>
      <c r="IT219" t="e">
        <f>IF(#REF!,"AAAAAH3///0=",0)</f>
        <v>#REF!</v>
      </c>
      <c r="IU219" t="e">
        <f>IF(#REF!,"AAAAAH3///4=",0)</f>
        <v>#REF!</v>
      </c>
      <c r="IV219" t="e">
        <f>IF(#REF!,"AAAAAH3///8=",0)</f>
        <v>#REF!</v>
      </c>
    </row>
    <row r="220" spans="1:256">
      <c r="A220" t="e">
        <f>IF(#REF!,"AAAAAB/9vgA=",0)</f>
        <v>#REF!</v>
      </c>
      <c r="B220" t="e">
        <f>IF(#REF!,"AAAAAB/9vgE=",0)</f>
        <v>#REF!</v>
      </c>
      <c r="C220" t="e">
        <f>IF(#REF!,"AAAAAB/9vgI=",0)</f>
        <v>#REF!</v>
      </c>
      <c r="D220" t="e">
        <f>IF(#REF!,"AAAAAB/9vgM=",0)</f>
        <v>#REF!</v>
      </c>
      <c r="E220" t="e">
        <f>IF(#REF!,"AAAAAB/9vgQ=",0)</f>
        <v>#REF!</v>
      </c>
      <c r="F220" t="e">
        <f>IF(#REF!,"AAAAAB/9vgU=",0)</f>
        <v>#REF!</v>
      </c>
      <c r="G220" t="e">
        <f>IF(#REF!,"AAAAAB/9vgY=",0)</f>
        <v>#REF!</v>
      </c>
      <c r="H220" t="e">
        <f>IF(#REF!,"AAAAAB/9vgc=",0)</f>
        <v>#REF!</v>
      </c>
      <c r="I220" t="e">
        <f>IF(#REF!,"AAAAAB/9vgg=",0)</f>
        <v>#REF!</v>
      </c>
      <c r="J220" t="e">
        <f>IF(#REF!,"AAAAAB/9vgk=",0)</f>
        <v>#REF!</v>
      </c>
      <c r="K220" t="e">
        <f>IF(#REF!,"AAAAAB/9vgo=",0)</f>
        <v>#REF!</v>
      </c>
      <c r="L220" t="e">
        <f>IF(#REF!,"AAAAAB/9vgs=",0)</f>
        <v>#REF!</v>
      </c>
      <c r="M220" t="e">
        <f>IF(#REF!,"AAAAAB/9vgw=",0)</f>
        <v>#REF!</v>
      </c>
      <c r="N220" t="e">
        <f>IF(#REF!,"AAAAAB/9vg0=",0)</f>
        <v>#REF!</v>
      </c>
      <c r="O220" t="e">
        <f>IF(#REF!,"AAAAAB/9vg4=",0)</f>
        <v>#REF!</v>
      </c>
      <c r="P220" t="e">
        <f>IF(#REF!,"AAAAAB/9vg8=",0)</f>
        <v>#REF!</v>
      </c>
      <c r="Q220" t="e">
        <f>IF(#REF!,"AAAAAB/9vhA=",0)</f>
        <v>#REF!</v>
      </c>
      <c r="R220" t="e">
        <f>IF(#REF!,"AAAAAB/9vhE=",0)</f>
        <v>#REF!</v>
      </c>
      <c r="S220" t="e">
        <f>IF(#REF!,"AAAAAB/9vhI=",0)</f>
        <v>#REF!</v>
      </c>
      <c r="T220" t="e">
        <f>IF(#REF!,"AAAAAB/9vhM=",0)</f>
        <v>#REF!</v>
      </c>
      <c r="U220" t="e">
        <f>IF(#REF!,"AAAAAB/9vhQ=",0)</f>
        <v>#REF!</v>
      </c>
      <c r="V220" t="e">
        <f>IF(#REF!,"AAAAAB/9vhU=",0)</f>
        <v>#REF!</v>
      </c>
      <c r="W220" t="e">
        <f>IF(#REF!,"AAAAAB/9vhY=",0)</f>
        <v>#REF!</v>
      </c>
      <c r="X220" t="e">
        <f>IF(#REF!,"AAAAAB/9vhc=",0)</f>
        <v>#REF!</v>
      </c>
      <c r="Y220" t="e">
        <f>IF(#REF!,"AAAAAB/9vhg=",0)</f>
        <v>#REF!</v>
      </c>
      <c r="Z220" t="e">
        <f>IF(#REF!,"AAAAAB/9vhk=",0)</f>
        <v>#REF!</v>
      </c>
      <c r="AA220" t="e">
        <f>IF(#REF!,"AAAAAB/9vho=",0)</f>
        <v>#REF!</v>
      </c>
      <c r="AB220" t="e">
        <f>IF(#REF!,"AAAAAB/9vhs=",0)</f>
        <v>#REF!</v>
      </c>
      <c r="AC220" t="e">
        <f>IF(#REF!,"AAAAAB/9vhw=",0)</f>
        <v>#REF!</v>
      </c>
      <c r="AD220" t="e">
        <f>IF(#REF!,"AAAAAB/9vh0=",0)</f>
        <v>#REF!</v>
      </c>
      <c r="AE220" t="e">
        <f>IF(#REF!,"AAAAAB/9vh4=",0)</f>
        <v>#REF!</v>
      </c>
      <c r="AF220" t="e">
        <f>IF(#REF!,"AAAAAB/9vh8=",0)</f>
        <v>#REF!</v>
      </c>
      <c r="AG220" t="e">
        <f>IF(#REF!,"AAAAAB/9viA=",0)</f>
        <v>#REF!</v>
      </c>
      <c r="AH220" t="e">
        <f>IF(#REF!,"AAAAAB/9viE=",0)</f>
        <v>#REF!</v>
      </c>
      <c r="AI220" t="e">
        <f>IF(#REF!,"AAAAAB/9viI=",0)</f>
        <v>#REF!</v>
      </c>
      <c r="AJ220" t="e">
        <f>IF(#REF!,"AAAAAB/9viM=",0)</f>
        <v>#REF!</v>
      </c>
      <c r="AK220" t="e">
        <f>IF(#REF!,"AAAAAB/9viQ=",0)</f>
        <v>#REF!</v>
      </c>
      <c r="AL220" t="e">
        <f>IF(#REF!,"AAAAAB/9viU=",0)</f>
        <v>#REF!</v>
      </c>
      <c r="AM220" t="e">
        <f>IF(#REF!,"AAAAAB/9viY=",0)</f>
        <v>#REF!</v>
      </c>
      <c r="AN220" t="e">
        <f>IF(#REF!,"AAAAAB/9vic=",0)</f>
        <v>#REF!</v>
      </c>
      <c r="AO220" t="e">
        <f>IF(#REF!,"AAAAAB/9vig=",0)</f>
        <v>#REF!</v>
      </c>
      <c r="AP220" t="e">
        <f>IF(#REF!,"AAAAAB/9vik=",0)</f>
        <v>#REF!</v>
      </c>
      <c r="AQ220" t="e">
        <f>IF(#REF!,"AAAAAB/9vio=",0)</f>
        <v>#REF!</v>
      </c>
      <c r="AR220" t="e">
        <f>IF(#REF!,"AAAAAB/9vis=",0)</f>
        <v>#REF!</v>
      </c>
      <c r="AS220" t="e">
        <f>IF(#REF!,"AAAAAB/9viw=",0)</f>
        <v>#REF!</v>
      </c>
      <c r="AT220" t="e">
        <f>IF(#REF!,"AAAAAB/9vi0=",0)</f>
        <v>#REF!</v>
      </c>
      <c r="AU220" t="e">
        <f>IF(#REF!,"AAAAAB/9vi4=",0)</f>
        <v>#REF!</v>
      </c>
      <c r="AV220" t="e">
        <f>IF(#REF!,"AAAAAB/9vi8=",0)</f>
        <v>#REF!</v>
      </c>
      <c r="AW220" t="e">
        <f>IF(#REF!,"AAAAAB/9vjA=",0)</f>
        <v>#REF!</v>
      </c>
      <c r="AX220" t="e">
        <f>IF(#REF!,"AAAAAB/9vjE=",0)</f>
        <v>#REF!</v>
      </c>
      <c r="AY220" t="e">
        <f>IF(#REF!,"AAAAAB/9vjI=",0)</f>
        <v>#REF!</v>
      </c>
      <c r="AZ220" t="e">
        <f>IF(#REF!,"AAAAAB/9vjM=",0)</f>
        <v>#REF!</v>
      </c>
      <c r="BA220" t="e">
        <f>IF(#REF!,"AAAAAB/9vjQ=",0)</f>
        <v>#REF!</v>
      </c>
      <c r="BB220" t="e">
        <f>IF(#REF!,"AAAAAB/9vjU=",0)</f>
        <v>#REF!</v>
      </c>
      <c r="BC220" t="e">
        <f>IF(#REF!,"AAAAAB/9vjY=",0)</f>
        <v>#REF!</v>
      </c>
      <c r="BD220" t="e">
        <f>IF(#REF!,"AAAAAB/9vjc=",0)</f>
        <v>#REF!</v>
      </c>
      <c r="BE220" t="e">
        <f>IF(#REF!,"AAAAAB/9vjg=",0)</f>
        <v>#REF!</v>
      </c>
      <c r="BF220" t="e">
        <f>IF(#REF!,"AAAAAB/9vjk=",0)</f>
        <v>#REF!</v>
      </c>
      <c r="BG220" t="e">
        <f>IF(#REF!,"AAAAAB/9vjo=",0)</f>
        <v>#REF!</v>
      </c>
      <c r="BH220" t="e">
        <f>IF(#REF!,"AAAAAB/9vjs=",0)</f>
        <v>#REF!</v>
      </c>
      <c r="BI220" t="e">
        <f>IF(#REF!,"AAAAAB/9vjw=",0)</f>
        <v>#REF!</v>
      </c>
      <c r="BJ220" t="e">
        <f>IF(#REF!,"AAAAAB/9vj0=",0)</f>
        <v>#REF!</v>
      </c>
      <c r="BK220" t="e">
        <f>IF(#REF!,"AAAAAB/9vj4=",0)</f>
        <v>#REF!</v>
      </c>
      <c r="BL220" t="e">
        <f>IF(#REF!,"AAAAAB/9vj8=",0)</f>
        <v>#REF!</v>
      </c>
      <c r="BM220" t="e">
        <f>IF(#REF!,"AAAAAB/9vkA=",0)</f>
        <v>#REF!</v>
      </c>
      <c r="BN220" t="e">
        <f>IF(#REF!,"AAAAAB/9vkE=",0)</f>
        <v>#REF!</v>
      </c>
      <c r="BO220" t="e">
        <f>IF(#REF!,"AAAAAB/9vkI=",0)</f>
        <v>#REF!</v>
      </c>
      <c r="BP220" t="e">
        <f>IF(#REF!,"AAAAAB/9vkM=",0)</f>
        <v>#REF!</v>
      </c>
      <c r="BQ220" t="e">
        <f>IF(#REF!,"AAAAAB/9vkQ=",0)</f>
        <v>#REF!</v>
      </c>
      <c r="BR220" t="e">
        <f>IF(#REF!,"AAAAAB/9vkU=",0)</f>
        <v>#REF!</v>
      </c>
      <c r="BS220" t="e">
        <f>IF(#REF!,"AAAAAB/9vkY=",0)</f>
        <v>#REF!</v>
      </c>
      <c r="BT220" t="e">
        <f>IF(#REF!,"AAAAAB/9vkc=",0)</f>
        <v>#REF!</v>
      </c>
      <c r="BU220" t="e">
        <f>IF(#REF!,"AAAAAB/9vkg=",0)</f>
        <v>#REF!</v>
      </c>
      <c r="BV220" t="e">
        <f>IF(#REF!,"AAAAAB/9vkk=",0)</f>
        <v>#REF!</v>
      </c>
      <c r="BW220" t="e">
        <f>IF(#REF!,"AAAAAB/9vko=",0)</f>
        <v>#REF!</v>
      </c>
      <c r="BX220" t="e">
        <f>IF(#REF!,"AAAAAB/9vks=",0)</f>
        <v>#REF!</v>
      </c>
      <c r="BY220" t="e">
        <f>IF(#REF!,"AAAAAB/9vkw=",0)</f>
        <v>#REF!</v>
      </c>
      <c r="BZ220" t="e">
        <f>IF(#REF!,"AAAAAB/9vk0=",0)</f>
        <v>#REF!</v>
      </c>
      <c r="CA220" t="e">
        <f>IF(#REF!,"AAAAAB/9vk4=",0)</f>
        <v>#REF!</v>
      </c>
      <c r="CB220" t="e">
        <f>IF(#REF!,"AAAAAB/9vk8=",0)</f>
        <v>#REF!</v>
      </c>
      <c r="CC220" t="e">
        <f>IF(#REF!,"AAAAAB/9vlA=",0)</f>
        <v>#REF!</v>
      </c>
      <c r="CD220" t="e">
        <f>IF(#REF!,"AAAAAB/9vlE=",0)</f>
        <v>#REF!</v>
      </c>
      <c r="CE220" t="e">
        <f>IF(#REF!,"AAAAAB/9vlI=",0)</f>
        <v>#REF!</v>
      </c>
      <c r="CF220" t="e">
        <f>IF(#REF!,"AAAAAB/9vlM=",0)</f>
        <v>#REF!</v>
      </c>
      <c r="CG220" t="e">
        <f>IF(#REF!,"AAAAAB/9vlQ=",0)</f>
        <v>#REF!</v>
      </c>
      <c r="CH220" t="e">
        <f>IF(#REF!,"AAAAAB/9vlU=",0)</f>
        <v>#REF!</v>
      </c>
      <c r="CI220" t="e">
        <f>IF(#REF!,"AAAAAB/9vlY=",0)</f>
        <v>#REF!</v>
      </c>
      <c r="CJ220" t="e">
        <f>IF(#REF!,"AAAAAB/9vlc=",0)</f>
        <v>#REF!</v>
      </c>
      <c r="CK220" t="e">
        <f>IF(#REF!,"AAAAAB/9vlg=",0)</f>
        <v>#REF!</v>
      </c>
      <c r="CL220" t="e">
        <f>IF(#REF!,"AAAAAB/9vlk=",0)</f>
        <v>#REF!</v>
      </c>
      <c r="CM220" t="e">
        <f>IF(#REF!,"AAAAAB/9vlo=",0)</f>
        <v>#REF!</v>
      </c>
      <c r="CN220" t="e">
        <f>IF(#REF!,"AAAAAB/9vls=",0)</f>
        <v>#REF!</v>
      </c>
      <c r="CO220" t="e">
        <f>IF(#REF!,"AAAAAB/9vlw=",0)</f>
        <v>#REF!</v>
      </c>
      <c r="CP220" t="e">
        <f>IF(#REF!,"AAAAAB/9vl0=",0)</f>
        <v>#REF!</v>
      </c>
      <c r="CQ220" t="e">
        <f>IF(#REF!,"AAAAAB/9vl4=",0)</f>
        <v>#REF!</v>
      </c>
      <c r="CR220" t="e">
        <f>IF(#REF!,"AAAAAB/9vl8=",0)</f>
        <v>#REF!</v>
      </c>
      <c r="CS220" t="e">
        <f>IF(#REF!,"AAAAAB/9vmA=",0)</f>
        <v>#REF!</v>
      </c>
      <c r="CT220" t="e">
        <f>IF(#REF!,"AAAAAB/9vmE=",0)</f>
        <v>#REF!</v>
      </c>
      <c r="CU220" t="e">
        <f>IF(#REF!,"AAAAAB/9vmI=",0)</f>
        <v>#REF!</v>
      </c>
      <c r="CV220" t="e">
        <f>IF(#REF!,"AAAAAB/9vmM=",0)</f>
        <v>#REF!</v>
      </c>
      <c r="CW220" t="e">
        <f>IF(#REF!,"AAAAAB/9vmQ=",0)</f>
        <v>#REF!</v>
      </c>
      <c r="CX220" t="e">
        <f>IF(#REF!,"AAAAAB/9vmU=",0)</f>
        <v>#REF!</v>
      </c>
      <c r="CY220" t="e">
        <f>IF(#REF!,"AAAAAB/9vmY=",0)</f>
        <v>#REF!</v>
      </c>
      <c r="CZ220" t="e">
        <f>IF(#REF!,"AAAAAB/9vmc=",0)</f>
        <v>#REF!</v>
      </c>
      <c r="DA220" t="e">
        <f>IF(#REF!,"AAAAAB/9vmg=",0)</f>
        <v>#REF!</v>
      </c>
      <c r="DB220" t="e">
        <f>IF(#REF!,"AAAAAB/9vmk=",0)</f>
        <v>#REF!</v>
      </c>
      <c r="DC220" t="e">
        <f>IF(#REF!,"AAAAAB/9vmo=",0)</f>
        <v>#REF!</v>
      </c>
      <c r="DD220" t="e">
        <f>IF(#REF!,"AAAAAB/9vms=",0)</f>
        <v>#REF!</v>
      </c>
      <c r="DE220" t="e">
        <f>IF(#REF!,"AAAAAB/9vmw=",0)</f>
        <v>#REF!</v>
      </c>
      <c r="DF220" t="e">
        <f>IF(#REF!,"AAAAAB/9vm0=",0)</f>
        <v>#REF!</v>
      </c>
      <c r="DG220" t="e">
        <f>IF(#REF!,"AAAAAB/9vm4=",0)</f>
        <v>#REF!</v>
      </c>
      <c r="DH220" t="e">
        <f>IF(#REF!,"AAAAAB/9vm8=",0)</f>
        <v>#REF!</v>
      </c>
      <c r="DI220" t="e">
        <f>IF(#REF!,"AAAAAB/9vnA=",0)</f>
        <v>#REF!</v>
      </c>
      <c r="DJ220" t="e">
        <f>IF(#REF!,"AAAAAB/9vnE=",0)</f>
        <v>#REF!</v>
      </c>
      <c r="DK220" t="e">
        <f>IF(#REF!,"AAAAAB/9vnI=",0)</f>
        <v>#REF!</v>
      </c>
      <c r="DL220" t="e">
        <f>IF(#REF!,"AAAAAB/9vnM=",0)</f>
        <v>#REF!</v>
      </c>
      <c r="DM220" t="e">
        <f>IF(#REF!,"AAAAAB/9vnQ=",0)</f>
        <v>#REF!</v>
      </c>
      <c r="DN220" t="e">
        <f>IF(#REF!,"AAAAAB/9vnU=",0)</f>
        <v>#REF!</v>
      </c>
      <c r="DO220" t="e">
        <f>IF(#REF!,"AAAAAB/9vnY=",0)</f>
        <v>#REF!</v>
      </c>
      <c r="DP220" t="e">
        <f>IF(#REF!,"AAAAAB/9vnc=",0)</f>
        <v>#REF!</v>
      </c>
      <c r="DQ220" t="e">
        <f>IF(#REF!,"AAAAAB/9vng=",0)</f>
        <v>#REF!</v>
      </c>
      <c r="DR220" t="e">
        <f>IF(#REF!,"AAAAAB/9vnk=",0)</f>
        <v>#REF!</v>
      </c>
      <c r="DS220" t="e">
        <f>IF(#REF!,"AAAAAB/9vno=",0)</f>
        <v>#REF!</v>
      </c>
      <c r="DT220" t="e">
        <f>IF(#REF!,"AAAAAB/9vns=",0)</f>
        <v>#REF!</v>
      </c>
      <c r="DU220" t="e">
        <f>IF(#REF!,"AAAAAB/9vnw=",0)</f>
        <v>#REF!</v>
      </c>
      <c r="DV220" t="e">
        <f>IF(#REF!,"AAAAAB/9vn0=",0)</f>
        <v>#REF!</v>
      </c>
      <c r="DW220" t="e">
        <f>IF(#REF!,"AAAAAB/9vn4=",0)</f>
        <v>#REF!</v>
      </c>
      <c r="DX220" t="e">
        <f>IF(#REF!,"AAAAAB/9vn8=",0)</f>
        <v>#REF!</v>
      </c>
      <c r="DY220" t="e">
        <f>IF(#REF!,"AAAAAB/9voA=",0)</f>
        <v>#REF!</v>
      </c>
      <c r="DZ220" t="e">
        <f>IF(#REF!,"AAAAAB/9voE=",0)</f>
        <v>#REF!</v>
      </c>
      <c r="EA220" t="e">
        <f>IF(#REF!,"AAAAAB/9voI=",0)</f>
        <v>#REF!</v>
      </c>
      <c r="EB220" t="e">
        <f>IF(#REF!,"AAAAAB/9voM=",0)</f>
        <v>#REF!</v>
      </c>
      <c r="EC220" t="e">
        <f>IF(#REF!,"AAAAAB/9voQ=",0)</f>
        <v>#REF!</v>
      </c>
      <c r="ED220" t="e">
        <f>IF(#REF!,"AAAAAB/9voU=",0)</f>
        <v>#REF!</v>
      </c>
      <c r="EE220" t="e">
        <f>IF(#REF!,"AAAAAB/9voY=",0)</f>
        <v>#REF!</v>
      </c>
      <c r="EF220" t="e">
        <f>IF(#REF!,"AAAAAB/9voc=",0)</f>
        <v>#REF!</v>
      </c>
      <c r="EG220" t="e">
        <f>IF(#REF!,"AAAAAB/9vog=",0)</f>
        <v>#REF!</v>
      </c>
      <c r="EH220" t="e">
        <f>IF(#REF!,"AAAAAB/9vok=",0)</f>
        <v>#REF!</v>
      </c>
      <c r="EI220" t="e">
        <f>IF(#REF!,"AAAAAB/9voo=",0)</f>
        <v>#REF!</v>
      </c>
      <c r="EJ220" t="e">
        <f>IF(#REF!,"AAAAAB/9vos=",0)</f>
        <v>#REF!</v>
      </c>
      <c r="EK220" t="e">
        <f>IF(#REF!,"AAAAAB/9vow=",0)</f>
        <v>#REF!</v>
      </c>
      <c r="EL220" t="e">
        <f>IF(#REF!,"AAAAAB/9vo0=",0)</f>
        <v>#REF!</v>
      </c>
      <c r="EM220" t="e">
        <f>IF(#REF!,"AAAAAB/9vo4=",0)</f>
        <v>#REF!</v>
      </c>
      <c r="EN220" t="e">
        <f>IF(#REF!,"AAAAAB/9vo8=",0)</f>
        <v>#REF!</v>
      </c>
      <c r="EO220" t="e">
        <f>IF(#REF!,"AAAAAB/9vpA=",0)</f>
        <v>#REF!</v>
      </c>
      <c r="EP220" t="e">
        <f>IF(#REF!,"AAAAAB/9vpE=",0)</f>
        <v>#REF!</v>
      </c>
      <c r="EQ220" t="e">
        <f>IF(#REF!,"AAAAAB/9vpI=",0)</f>
        <v>#REF!</v>
      </c>
      <c r="ER220" t="e">
        <f>IF(#REF!,"AAAAAB/9vpM=",0)</f>
        <v>#REF!</v>
      </c>
      <c r="ES220" t="e">
        <f>IF(#REF!,"AAAAAB/9vpQ=",0)</f>
        <v>#REF!</v>
      </c>
      <c r="ET220" t="e">
        <f>IF(#REF!,"AAAAAB/9vpU=",0)</f>
        <v>#REF!</v>
      </c>
      <c r="EU220" t="e">
        <f>IF(#REF!,"AAAAAB/9vpY=",0)</f>
        <v>#REF!</v>
      </c>
      <c r="EV220" t="e">
        <f>IF(#REF!,"AAAAAB/9vpc=",0)</f>
        <v>#REF!</v>
      </c>
      <c r="EW220" t="e">
        <f>IF(#REF!,"AAAAAB/9vpg=",0)</f>
        <v>#REF!</v>
      </c>
      <c r="EX220" t="e">
        <f>IF(#REF!,"AAAAAB/9vpk=",0)</f>
        <v>#REF!</v>
      </c>
      <c r="EY220" t="e">
        <f>IF(#REF!,"AAAAAB/9vpo=",0)</f>
        <v>#REF!</v>
      </c>
      <c r="EZ220" t="e">
        <f>IF(#REF!,"AAAAAB/9vps=",0)</f>
        <v>#REF!</v>
      </c>
      <c r="FA220" t="e">
        <f>IF(#REF!,"AAAAAB/9vpw=",0)</f>
        <v>#REF!</v>
      </c>
      <c r="FB220" t="e">
        <f>IF(#REF!,"AAAAAB/9vp0=",0)</f>
        <v>#REF!</v>
      </c>
      <c r="FC220" t="e">
        <f>IF(#REF!,"AAAAAB/9vp4=",0)</f>
        <v>#REF!</v>
      </c>
      <c r="FD220" t="e">
        <f>IF(#REF!,"AAAAAB/9vp8=",0)</f>
        <v>#REF!</v>
      </c>
      <c r="FE220" t="e">
        <f>IF(#REF!,"AAAAAB/9vqA=",0)</f>
        <v>#REF!</v>
      </c>
      <c r="FF220" t="e">
        <f>IF(#REF!,"AAAAAB/9vqE=",0)</f>
        <v>#REF!</v>
      </c>
      <c r="FG220" t="e">
        <f>IF(#REF!,"AAAAAB/9vqI=",0)</f>
        <v>#REF!</v>
      </c>
      <c r="FH220" t="e">
        <f>IF(#REF!,"AAAAAB/9vqM=",0)</f>
        <v>#REF!</v>
      </c>
      <c r="FI220" t="e">
        <f>IF(#REF!,"AAAAAB/9vqQ=",0)</f>
        <v>#REF!</v>
      </c>
      <c r="FJ220" t="e">
        <f>IF(#REF!,"AAAAAB/9vqU=",0)</f>
        <v>#REF!</v>
      </c>
      <c r="FK220" t="e">
        <f>IF(#REF!,"AAAAAB/9vqY=",0)</f>
        <v>#REF!</v>
      </c>
      <c r="FL220" t="e">
        <f>IF(#REF!,"AAAAAB/9vqc=",0)</f>
        <v>#REF!</v>
      </c>
      <c r="FM220" t="e">
        <f>IF(#REF!,"AAAAAB/9vqg=",0)</f>
        <v>#REF!</v>
      </c>
      <c r="FN220" t="e">
        <f>IF(#REF!,"AAAAAB/9vqk=",0)</f>
        <v>#REF!</v>
      </c>
      <c r="FO220" t="e">
        <f>IF(#REF!,"AAAAAB/9vqo=",0)</f>
        <v>#REF!</v>
      </c>
      <c r="FP220" t="e">
        <f>IF(#REF!,"AAAAAB/9vqs=",0)</f>
        <v>#REF!</v>
      </c>
      <c r="FQ220" t="e">
        <f>IF(#REF!,"AAAAAB/9vqw=",0)</f>
        <v>#REF!</v>
      </c>
      <c r="FR220" t="e">
        <f>IF(#REF!,"AAAAAB/9vq0=",0)</f>
        <v>#REF!</v>
      </c>
      <c r="FS220" t="e">
        <f>IF(#REF!,"AAAAAB/9vq4=",0)</f>
        <v>#REF!</v>
      </c>
      <c r="FT220" t="e">
        <f>IF(#REF!,"AAAAAB/9vq8=",0)</f>
        <v>#REF!</v>
      </c>
      <c r="FU220" t="e">
        <f>IF(#REF!,"AAAAAB/9vrA=",0)</f>
        <v>#REF!</v>
      </c>
      <c r="FV220" t="e">
        <f>IF(#REF!,"AAAAAB/9vrE=",0)</f>
        <v>#REF!</v>
      </c>
      <c r="FW220" t="e">
        <f>IF(#REF!,"AAAAAB/9vrI=",0)</f>
        <v>#REF!</v>
      </c>
      <c r="FX220" t="e">
        <f>IF(#REF!,"AAAAAB/9vrM=",0)</f>
        <v>#REF!</v>
      </c>
      <c r="FY220" t="e">
        <f>IF(#REF!,"AAAAAB/9vrQ=",0)</f>
        <v>#REF!</v>
      </c>
      <c r="FZ220" t="e">
        <f>IF(#REF!,"AAAAAB/9vrU=",0)</f>
        <v>#REF!</v>
      </c>
      <c r="GA220" t="e">
        <f>IF(#REF!,"AAAAAB/9vrY=",0)</f>
        <v>#REF!</v>
      </c>
      <c r="GB220" t="e">
        <f>IF(#REF!,"AAAAAB/9vrc=",0)</f>
        <v>#REF!</v>
      </c>
      <c r="GC220" t="e">
        <f>IF(#REF!,"AAAAAB/9vrg=",0)</f>
        <v>#REF!</v>
      </c>
      <c r="GD220" t="e">
        <f>IF(#REF!,"AAAAAB/9vrk=",0)</f>
        <v>#REF!</v>
      </c>
      <c r="GE220" t="e">
        <f>IF(#REF!,"AAAAAB/9vro=",0)</f>
        <v>#REF!</v>
      </c>
      <c r="GF220" t="e">
        <f>IF(#REF!,"AAAAAB/9vrs=",0)</f>
        <v>#REF!</v>
      </c>
      <c r="GG220" t="e">
        <f>IF(#REF!,"AAAAAB/9vrw=",0)</f>
        <v>#REF!</v>
      </c>
      <c r="GH220" t="e">
        <f>IF(#REF!,"AAAAAB/9vr0=",0)</f>
        <v>#REF!</v>
      </c>
      <c r="GI220" t="e">
        <f>IF(#REF!,"AAAAAB/9vr4=",0)</f>
        <v>#REF!</v>
      </c>
      <c r="GJ220" t="e">
        <f>IF(#REF!,"AAAAAB/9vr8=",0)</f>
        <v>#REF!</v>
      </c>
      <c r="GK220" t="e">
        <f>IF(#REF!,"AAAAAB/9vsA=",0)</f>
        <v>#REF!</v>
      </c>
      <c r="GL220" t="e">
        <f>IF(#REF!,"AAAAAB/9vsE=",0)</f>
        <v>#REF!</v>
      </c>
      <c r="GM220" t="e">
        <f>IF(#REF!,"AAAAAB/9vsI=",0)</f>
        <v>#REF!</v>
      </c>
      <c r="GN220" t="e">
        <f>IF(#REF!,"AAAAAB/9vsM=",0)</f>
        <v>#REF!</v>
      </c>
      <c r="GO220" t="e">
        <f>IF(#REF!,"AAAAAB/9vsQ=",0)</f>
        <v>#REF!</v>
      </c>
      <c r="GP220" t="e">
        <f>IF(#REF!,"AAAAAB/9vsU=",0)</f>
        <v>#REF!</v>
      </c>
      <c r="GQ220" t="e">
        <f>IF(#REF!,"AAAAAB/9vsY=",0)</f>
        <v>#REF!</v>
      </c>
      <c r="GR220" t="e">
        <f>IF(#REF!,"AAAAAB/9vsc=",0)</f>
        <v>#REF!</v>
      </c>
      <c r="GS220" t="e">
        <f>IF(#REF!,"AAAAAB/9vsg=",0)</f>
        <v>#REF!</v>
      </c>
      <c r="GT220" t="e">
        <f>IF(#REF!,"AAAAAB/9vsk=",0)</f>
        <v>#REF!</v>
      </c>
      <c r="GU220" t="e">
        <f>IF(#REF!,"AAAAAB/9vso=",0)</f>
        <v>#REF!</v>
      </c>
      <c r="GV220" t="e">
        <f>IF(#REF!,"AAAAAB/9vss=",0)</f>
        <v>#REF!</v>
      </c>
      <c r="GW220" t="e">
        <f>IF(#REF!,"AAAAAB/9vsw=",0)</f>
        <v>#REF!</v>
      </c>
      <c r="GX220" t="e">
        <f>IF(#REF!,"AAAAAB/9vs0=",0)</f>
        <v>#REF!</v>
      </c>
      <c r="GY220" t="e">
        <f>IF(#REF!,"AAAAAB/9vs4=",0)</f>
        <v>#REF!</v>
      </c>
      <c r="GZ220" t="e">
        <f>IF(#REF!,"AAAAAB/9vs8=",0)</f>
        <v>#REF!</v>
      </c>
      <c r="HA220" t="e">
        <f>IF(#REF!,"AAAAAB/9vtA=",0)</f>
        <v>#REF!</v>
      </c>
      <c r="HB220" t="e">
        <f>IF(#REF!,"AAAAAB/9vtE=",0)</f>
        <v>#REF!</v>
      </c>
      <c r="HC220" t="e">
        <f>IF(#REF!,"AAAAAB/9vtI=",0)</f>
        <v>#REF!</v>
      </c>
      <c r="HD220" t="e">
        <f>IF(#REF!,"AAAAAB/9vtM=",0)</f>
        <v>#REF!</v>
      </c>
      <c r="HE220" t="e">
        <f>IF(#REF!,"AAAAAB/9vtQ=",0)</f>
        <v>#REF!</v>
      </c>
      <c r="HF220" t="e">
        <f>IF(#REF!,"AAAAAB/9vtU=",0)</f>
        <v>#REF!</v>
      </c>
      <c r="HG220" t="e">
        <f>IF(#REF!,"AAAAAB/9vtY=",0)</f>
        <v>#REF!</v>
      </c>
      <c r="HH220" t="e">
        <f>IF(#REF!,"AAAAAB/9vtc=",0)</f>
        <v>#REF!</v>
      </c>
      <c r="HI220" t="e">
        <f>IF(#REF!,"AAAAAB/9vtg=",0)</f>
        <v>#REF!</v>
      </c>
      <c r="HJ220" t="e">
        <f>IF(#REF!,"AAAAAB/9vtk=",0)</f>
        <v>#REF!</v>
      </c>
      <c r="HK220" t="e">
        <f>IF(#REF!,"AAAAAB/9vto=",0)</f>
        <v>#REF!</v>
      </c>
      <c r="HL220" t="e">
        <f>IF(#REF!,"AAAAAB/9vts=",0)</f>
        <v>#REF!</v>
      </c>
      <c r="HM220" t="e">
        <f>IF(#REF!,"AAAAAB/9vtw=",0)</f>
        <v>#REF!</v>
      </c>
      <c r="HN220" t="e">
        <f>IF(#REF!,"AAAAAB/9vt0=",0)</f>
        <v>#REF!</v>
      </c>
      <c r="HO220" t="e">
        <f>IF(#REF!,"AAAAAB/9vt4=",0)</f>
        <v>#REF!</v>
      </c>
      <c r="HP220" t="e">
        <f>IF(#REF!,"AAAAAB/9vt8=",0)</f>
        <v>#REF!</v>
      </c>
      <c r="HQ220" t="e">
        <f>IF(#REF!,"AAAAAB/9vuA=",0)</f>
        <v>#REF!</v>
      </c>
      <c r="HR220" t="e">
        <f>IF(#REF!,"AAAAAB/9vuE=",0)</f>
        <v>#REF!</v>
      </c>
      <c r="HS220" t="e">
        <f>IF(#REF!,"AAAAAB/9vuI=",0)</f>
        <v>#REF!</v>
      </c>
      <c r="HT220" t="e">
        <f>IF(#REF!,"AAAAAB/9vuM=",0)</f>
        <v>#REF!</v>
      </c>
      <c r="HU220" t="e">
        <f>IF(#REF!,"AAAAAB/9vuQ=",0)</f>
        <v>#REF!</v>
      </c>
      <c r="HV220" t="e">
        <f>IF(#REF!,"AAAAAB/9vuU=",0)</f>
        <v>#REF!</v>
      </c>
      <c r="HW220" t="e">
        <f>IF(#REF!,"AAAAAB/9vuY=",0)</f>
        <v>#REF!</v>
      </c>
      <c r="HX220" t="e">
        <f>IF(#REF!,"AAAAAB/9vuc=",0)</f>
        <v>#REF!</v>
      </c>
      <c r="HY220" t="e">
        <f>IF(#REF!,"AAAAAB/9vug=",0)</f>
        <v>#REF!</v>
      </c>
      <c r="HZ220" t="e">
        <f>IF(#REF!,"AAAAAB/9vuk=",0)</f>
        <v>#REF!</v>
      </c>
      <c r="IA220" t="e">
        <f>IF(#REF!,"AAAAAB/9vuo=",0)</f>
        <v>#REF!</v>
      </c>
      <c r="IB220" t="e">
        <f>IF(#REF!,"AAAAAB/9vus=",0)</f>
        <v>#REF!</v>
      </c>
      <c r="IC220" t="e">
        <f>IF(#REF!,"AAAAAB/9vuw=",0)</f>
        <v>#REF!</v>
      </c>
      <c r="ID220" t="e">
        <f>IF(#REF!,"AAAAAB/9vu0=",0)</f>
        <v>#REF!</v>
      </c>
      <c r="IE220" t="e">
        <f>IF(#REF!,"AAAAAB/9vu4=",0)</f>
        <v>#REF!</v>
      </c>
      <c r="IF220" t="e">
        <f>IF(#REF!,"AAAAAB/9vu8=",0)</f>
        <v>#REF!</v>
      </c>
      <c r="IG220" t="e">
        <f>IF(#REF!,"AAAAAB/9vvA=",0)</f>
        <v>#REF!</v>
      </c>
      <c r="IH220" t="e">
        <f>IF(#REF!,"AAAAAB/9vvE=",0)</f>
        <v>#REF!</v>
      </c>
      <c r="II220" t="e">
        <f>IF(#REF!,"AAAAAB/9vvI=",0)</f>
        <v>#REF!</v>
      </c>
      <c r="IJ220" t="e">
        <f>IF(#REF!,"AAAAAB/9vvM=",0)</f>
        <v>#REF!</v>
      </c>
      <c r="IK220" t="e">
        <f>IF(#REF!,"AAAAAB/9vvQ=",0)</f>
        <v>#REF!</v>
      </c>
      <c r="IL220" t="e">
        <f>IF(#REF!,"AAAAAB/9vvU=",0)</f>
        <v>#REF!</v>
      </c>
      <c r="IM220" t="e">
        <f>IF(#REF!,"AAAAAB/9vvY=",0)</f>
        <v>#REF!</v>
      </c>
      <c r="IN220" t="e">
        <f>IF(#REF!,"AAAAAB/9vvc=",0)</f>
        <v>#REF!</v>
      </c>
      <c r="IO220" t="e">
        <f>IF(#REF!,"AAAAAB/9vvg=",0)</f>
        <v>#REF!</v>
      </c>
      <c r="IP220" t="e">
        <f>IF(#REF!,"AAAAAB/9vvk=",0)</f>
        <v>#REF!</v>
      </c>
      <c r="IQ220" t="e">
        <f>IF(#REF!,"AAAAAB/9vvo=",0)</f>
        <v>#REF!</v>
      </c>
      <c r="IR220" t="e">
        <f>IF(#REF!,"AAAAAB/9vvs=",0)</f>
        <v>#REF!</v>
      </c>
      <c r="IS220" t="e">
        <f>IF(#REF!,"AAAAAB/9vvw=",0)</f>
        <v>#REF!</v>
      </c>
      <c r="IT220" t="e">
        <f>IF(#REF!,"AAAAAB/9vv0=",0)</f>
        <v>#REF!</v>
      </c>
      <c r="IU220" t="e">
        <f>IF(#REF!,"AAAAAB/9vv4=",0)</f>
        <v>#REF!</v>
      </c>
      <c r="IV220" t="e">
        <f>IF(#REF!,"AAAAAB/9vv8=",0)</f>
        <v>#REF!</v>
      </c>
    </row>
    <row r="221" spans="1:256">
      <c r="A221" t="e">
        <f>IF(#REF!,"AAAAAFvWnwA=",0)</f>
        <v>#REF!</v>
      </c>
      <c r="B221" t="e">
        <f>IF(#REF!,"AAAAAFvWnwE=",0)</f>
        <v>#REF!</v>
      </c>
      <c r="C221" t="e">
        <f>IF(#REF!,"AAAAAFvWnwI=",0)</f>
        <v>#REF!</v>
      </c>
      <c r="D221" t="e">
        <f>IF(#REF!,"AAAAAFvWnwM=",0)</f>
        <v>#REF!</v>
      </c>
      <c r="E221" t="e">
        <f>IF(#REF!,"AAAAAFvWnwQ=",0)</f>
        <v>#REF!</v>
      </c>
      <c r="F221" t="e">
        <f>IF(#REF!,"AAAAAFvWnwU=",0)</f>
        <v>#REF!</v>
      </c>
      <c r="G221" t="e">
        <f>IF(#REF!,"AAAAAFvWnwY=",0)</f>
        <v>#REF!</v>
      </c>
      <c r="H221" t="e">
        <f>IF(#REF!,"AAAAAFvWnwc=",0)</f>
        <v>#REF!</v>
      </c>
      <c r="I221" t="e">
        <f>IF(#REF!,"AAAAAFvWnwg=",0)</f>
        <v>#REF!</v>
      </c>
      <c r="J221" t="e">
        <f>IF(#REF!,"AAAAAFvWnwk=",0)</f>
        <v>#REF!</v>
      </c>
      <c r="K221" t="e">
        <f>IF(#REF!,"AAAAAFvWnwo=",0)</f>
        <v>#REF!</v>
      </c>
      <c r="L221" t="e">
        <f>IF(#REF!,"AAAAAFvWnws=",0)</f>
        <v>#REF!</v>
      </c>
      <c r="M221" t="e">
        <f>IF(#REF!,"AAAAAFvWnww=",0)</f>
        <v>#REF!</v>
      </c>
      <c r="N221" t="e">
        <f>IF(#REF!,"AAAAAFvWnw0=",0)</f>
        <v>#REF!</v>
      </c>
      <c r="O221" t="e">
        <f>IF(#REF!,"AAAAAFvWnw4=",0)</f>
        <v>#REF!</v>
      </c>
      <c r="P221" t="e">
        <f>IF(#REF!,"AAAAAFvWnw8=",0)</f>
        <v>#REF!</v>
      </c>
      <c r="Q221" t="e">
        <f>IF(#REF!,"AAAAAFvWnxA=",0)</f>
        <v>#REF!</v>
      </c>
      <c r="R221" t="e">
        <f>IF(#REF!,"AAAAAFvWnxE=",0)</f>
        <v>#REF!</v>
      </c>
      <c r="S221" t="e">
        <f>IF(#REF!,"AAAAAFvWnxI=",0)</f>
        <v>#REF!</v>
      </c>
      <c r="T221" t="e">
        <f>IF(#REF!,"AAAAAFvWnxM=",0)</f>
        <v>#REF!</v>
      </c>
      <c r="U221" t="e">
        <f>IF(#REF!,"AAAAAFvWnxQ=",0)</f>
        <v>#REF!</v>
      </c>
      <c r="V221" t="e">
        <f>IF(#REF!,"AAAAAFvWnxU=",0)</f>
        <v>#REF!</v>
      </c>
      <c r="W221" t="e">
        <f>IF(#REF!,"AAAAAFvWnxY=",0)</f>
        <v>#REF!</v>
      </c>
      <c r="X221" t="e">
        <f>IF(#REF!,"AAAAAFvWnxc=",0)</f>
        <v>#REF!</v>
      </c>
      <c r="Y221" t="e">
        <f>IF(#REF!,"AAAAAFvWnxg=",0)</f>
        <v>#REF!</v>
      </c>
      <c r="Z221" t="e">
        <f>IF(#REF!,"AAAAAFvWnxk=",0)</f>
        <v>#REF!</v>
      </c>
      <c r="AA221" t="e">
        <f>IF(#REF!,"AAAAAFvWnxo=",0)</f>
        <v>#REF!</v>
      </c>
      <c r="AB221" t="e">
        <f>IF(#REF!,"AAAAAFvWnxs=",0)</f>
        <v>#REF!</v>
      </c>
      <c r="AC221" t="e">
        <f>IF(#REF!,"AAAAAFvWnxw=",0)</f>
        <v>#REF!</v>
      </c>
      <c r="AD221" t="e">
        <f>IF(#REF!,"AAAAAFvWnx0=",0)</f>
        <v>#REF!</v>
      </c>
      <c r="AE221" t="e">
        <f>IF(#REF!,"AAAAAFvWnx4=",0)</f>
        <v>#REF!</v>
      </c>
      <c r="AF221" t="e">
        <f>IF(#REF!,"AAAAAFvWnx8=",0)</f>
        <v>#REF!</v>
      </c>
      <c r="AG221" t="e">
        <f>IF(#REF!,"AAAAAFvWnyA=",0)</f>
        <v>#REF!</v>
      </c>
      <c r="AH221" t="e">
        <f>IF(#REF!,"AAAAAFvWnyE=",0)</f>
        <v>#REF!</v>
      </c>
      <c r="AI221" t="e">
        <f>IF(#REF!,"AAAAAFvWnyI=",0)</f>
        <v>#REF!</v>
      </c>
      <c r="AJ221" t="e">
        <f>IF(#REF!,"AAAAAFvWnyM=",0)</f>
        <v>#REF!</v>
      </c>
      <c r="AK221" t="e">
        <f>IF(#REF!,"AAAAAFvWnyQ=",0)</f>
        <v>#REF!</v>
      </c>
      <c r="AL221" t="e">
        <f>IF(#REF!,"AAAAAFvWnyU=",0)</f>
        <v>#REF!</v>
      </c>
      <c r="AM221" t="e">
        <f>IF(#REF!,"AAAAAFvWnyY=",0)</f>
        <v>#REF!</v>
      </c>
      <c r="AN221" t="e">
        <f>IF(#REF!,"AAAAAFvWnyc=",0)</f>
        <v>#REF!</v>
      </c>
      <c r="AO221" t="e">
        <f>IF(#REF!,"AAAAAFvWnyg=",0)</f>
        <v>#REF!</v>
      </c>
      <c r="AP221" t="e">
        <f>IF(#REF!,"AAAAAFvWnyk=",0)</f>
        <v>#REF!</v>
      </c>
      <c r="AQ221" t="e">
        <f>IF(#REF!,"AAAAAFvWnyo=",0)</f>
        <v>#REF!</v>
      </c>
      <c r="AR221" t="e">
        <f>IF(#REF!,"AAAAAFvWnys=",0)</f>
        <v>#REF!</v>
      </c>
      <c r="AS221" t="e">
        <f>IF(#REF!,"AAAAAFvWnyw=",0)</f>
        <v>#REF!</v>
      </c>
      <c r="AT221" t="e">
        <f>IF(#REF!,"AAAAAFvWny0=",0)</f>
        <v>#REF!</v>
      </c>
      <c r="AU221" t="e">
        <f>IF(#REF!,"AAAAAFvWny4=",0)</f>
        <v>#REF!</v>
      </c>
      <c r="AV221" t="e">
        <f>IF(#REF!,"AAAAAFvWny8=",0)</f>
        <v>#REF!</v>
      </c>
      <c r="AW221" t="e">
        <f>IF(#REF!,"AAAAAFvWnzA=",0)</f>
        <v>#REF!</v>
      </c>
      <c r="AX221" t="e">
        <f>IF(#REF!,"AAAAAFvWnzE=",0)</f>
        <v>#REF!</v>
      </c>
      <c r="AY221" t="e">
        <f>IF(#REF!,"AAAAAFvWnzI=",0)</f>
        <v>#REF!</v>
      </c>
      <c r="AZ221" t="e">
        <f>IF(#REF!,"AAAAAFvWnzM=",0)</f>
        <v>#REF!</v>
      </c>
      <c r="BA221" t="e">
        <f>IF(#REF!,"AAAAAFvWnzQ=",0)</f>
        <v>#REF!</v>
      </c>
      <c r="BB221" t="e">
        <f>IF(#REF!,"AAAAAFvWnzU=",0)</f>
        <v>#REF!</v>
      </c>
      <c r="BC221" t="e">
        <f>IF(#REF!,"AAAAAFvWnzY=",0)</f>
        <v>#REF!</v>
      </c>
      <c r="BD221" t="e">
        <f>IF(#REF!,"AAAAAFvWnzc=",0)</f>
        <v>#REF!</v>
      </c>
      <c r="BE221" t="e">
        <f>IF(#REF!,"AAAAAFvWnzg=",0)</f>
        <v>#REF!</v>
      </c>
      <c r="BF221" t="e">
        <f>IF(#REF!,"AAAAAFvWnzk=",0)</f>
        <v>#REF!</v>
      </c>
      <c r="BG221" t="e">
        <f>IF(#REF!,"AAAAAFvWnzo=",0)</f>
        <v>#REF!</v>
      </c>
      <c r="BH221" t="e">
        <f>IF(#REF!,"AAAAAFvWnzs=",0)</f>
        <v>#REF!</v>
      </c>
      <c r="BI221" t="e">
        <f>IF(#REF!,"AAAAAFvWnzw=",0)</f>
        <v>#REF!</v>
      </c>
      <c r="BJ221" t="e">
        <f>IF(#REF!,"AAAAAFvWnz0=",0)</f>
        <v>#REF!</v>
      </c>
      <c r="BK221" t="e">
        <f>IF(#REF!,"AAAAAFvWnz4=",0)</f>
        <v>#REF!</v>
      </c>
      <c r="BL221" t="e">
        <f>IF(#REF!,"AAAAAFvWnz8=",0)</f>
        <v>#REF!</v>
      </c>
      <c r="BM221" t="e">
        <f>IF(#REF!,"AAAAAFvWn0A=",0)</f>
        <v>#REF!</v>
      </c>
      <c r="BN221" t="e">
        <f>IF(#REF!,"AAAAAFvWn0E=",0)</f>
        <v>#REF!</v>
      </c>
      <c r="BO221" t="e">
        <f>IF(#REF!,"AAAAAFvWn0I=",0)</f>
        <v>#REF!</v>
      </c>
      <c r="BP221" t="e">
        <f>IF(#REF!,"AAAAAFvWn0M=",0)</f>
        <v>#REF!</v>
      </c>
      <c r="BQ221" t="e">
        <f>IF(#REF!,"AAAAAFvWn0Q=",0)</f>
        <v>#REF!</v>
      </c>
      <c r="BR221" t="e">
        <f>IF(#REF!,"AAAAAFvWn0U=",0)</f>
        <v>#REF!</v>
      </c>
      <c r="BS221" t="e">
        <f>IF(#REF!,"AAAAAFvWn0Y=",0)</f>
        <v>#REF!</v>
      </c>
      <c r="BT221" t="e">
        <f>IF(#REF!,"AAAAAFvWn0c=",0)</f>
        <v>#REF!</v>
      </c>
      <c r="BU221" t="e">
        <f>IF(#REF!,"AAAAAFvWn0g=",0)</f>
        <v>#REF!</v>
      </c>
      <c r="BV221" t="e">
        <f>IF(#REF!,"AAAAAFvWn0k=",0)</f>
        <v>#REF!</v>
      </c>
      <c r="BW221" t="e">
        <f>IF(#REF!,"AAAAAFvWn0o=",0)</f>
        <v>#REF!</v>
      </c>
      <c r="BX221" t="e">
        <f>IF(#REF!,"AAAAAFvWn0s=",0)</f>
        <v>#REF!</v>
      </c>
      <c r="BY221" t="e">
        <f>IF(#REF!,"AAAAAFvWn0w=",0)</f>
        <v>#REF!</v>
      </c>
      <c r="BZ221" t="e">
        <f>IF(#REF!,"AAAAAFvWn00=",0)</f>
        <v>#REF!</v>
      </c>
      <c r="CA221" t="e">
        <f>IF(#REF!,"AAAAAFvWn04=",0)</f>
        <v>#REF!</v>
      </c>
      <c r="CB221" t="e">
        <f>IF(#REF!,"AAAAAFvWn08=",0)</f>
        <v>#REF!</v>
      </c>
      <c r="CC221" t="e">
        <f>IF(#REF!,"AAAAAFvWn1A=",0)</f>
        <v>#REF!</v>
      </c>
      <c r="CD221" t="e">
        <f>IF(#REF!,"AAAAAFvWn1E=",0)</f>
        <v>#REF!</v>
      </c>
      <c r="CE221" t="e">
        <f>IF(#REF!,"AAAAAFvWn1I=",0)</f>
        <v>#REF!</v>
      </c>
      <c r="CF221" t="e">
        <f>IF(#REF!,"AAAAAFvWn1M=",0)</f>
        <v>#REF!</v>
      </c>
      <c r="CG221" t="e">
        <f>IF(#REF!,"AAAAAFvWn1Q=",0)</f>
        <v>#REF!</v>
      </c>
      <c r="CH221" t="e">
        <f>IF(#REF!,"AAAAAFvWn1U=",0)</f>
        <v>#REF!</v>
      </c>
      <c r="CI221" t="e">
        <f>IF(#REF!,"AAAAAFvWn1Y=",0)</f>
        <v>#REF!</v>
      </c>
      <c r="CJ221" t="e">
        <f>IF(#REF!,"AAAAAFvWn1c=",0)</f>
        <v>#REF!</v>
      </c>
      <c r="CK221" t="e">
        <f>IF(#REF!,"AAAAAFvWn1g=",0)</f>
        <v>#REF!</v>
      </c>
      <c r="CL221" t="e">
        <f>IF(#REF!,"AAAAAFvWn1k=",0)</f>
        <v>#REF!</v>
      </c>
      <c r="CM221" t="e">
        <f>IF(#REF!,"AAAAAFvWn1o=",0)</f>
        <v>#REF!</v>
      </c>
      <c r="CN221" t="e">
        <f>IF(#REF!,"AAAAAFvWn1s=",0)</f>
        <v>#REF!</v>
      </c>
      <c r="CO221" t="e">
        <f>IF(#REF!,"AAAAAFvWn1w=",0)</f>
        <v>#REF!</v>
      </c>
      <c r="CP221" t="e">
        <f>IF(#REF!,"AAAAAFvWn10=",0)</f>
        <v>#REF!</v>
      </c>
      <c r="CQ221" t="e">
        <f>IF(#REF!,"AAAAAFvWn14=",0)</f>
        <v>#REF!</v>
      </c>
      <c r="CR221" t="e">
        <f>IF(#REF!,"AAAAAFvWn18=",0)</f>
        <v>#REF!</v>
      </c>
      <c r="CS221" t="e">
        <f>IF(#REF!,"AAAAAFvWn2A=",0)</f>
        <v>#REF!</v>
      </c>
      <c r="CT221" t="e">
        <f>IF(#REF!,"AAAAAFvWn2E=",0)</f>
        <v>#REF!</v>
      </c>
      <c r="CU221" t="e">
        <f>IF(#REF!,"AAAAAFvWn2I=",0)</f>
        <v>#REF!</v>
      </c>
      <c r="CV221" t="e">
        <f>IF(#REF!,"AAAAAFvWn2M=",0)</f>
        <v>#REF!</v>
      </c>
      <c r="CW221" t="e">
        <f>IF(#REF!,"AAAAAFvWn2Q=",0)</f>
        <v>#REF!</v>
      </c>
      <c r="CX221" t="e">
        <f>IF(#REF!,"AAAAAFvWn2U=",0)</f>
        <v>#REF!</v>
      </c>
      <c r="CY221" t="e">
        <f>IF(#REF!,"AAAAAFvWn2Y=",0)</f>
        <v>#REF!</v>
      </c>
      <c r="CZ221" t="e">
        <f>IF(#REF!,"AAAAAFvWn2c=",0)</f>
        <v>#REF!</v>
      </c>
      <c r="DA221" t="e">
        <f>IF(#REF!,"AAAAAFvWn2g=",0)</f>
        <v>#REF!</v>
      </c>
      <c r="DB221" t="e">
        <f>IF(#REF!,"AAAAAFvWn2k=",0)</f>
        <v>#REF!</v>
      </c>
      <c r="DC221" t="e">
        <f>IF(#REF!,"AAAAAFvWn2o=",0)</f>
        <v>#REF!</v>
      </c>
      <c r="DD221" t="e">
        <f>IF(#REF!,"AAAAAFvWn2s=",0)</f>
        <v>#REF!</v>
      </c>
      <c r="DE221" t="e">
        <f>IF(#REF!,"AAAAAFvWn2w=",0)</f>
        <v>#REF!</v>
      </c>
      <c r="DF221" t="e">
        <f>IF(#REF!,"AAAAAFvWn20=",0)</f>
        <v>#REF!</v>
      </c>
      <c r="DG221" t="e">
        <f>IF(#REF!,"AAAAAFvWn24=",0)</f>
        <v>#REF!</v>
      </c>
      <c r="DH221" t="e">
        <f>IF(#REF!,"AAAAAFvWn28=",0)</f>
        <v>#REF!</v>
      </c>
      <c r="DI221" t="e">
        <f>IF(#REF!,"AAAAAFvWn3A=",0)</f>
        <v>#REF!</v>
      </c>
      <c r="DJ221" t="e">
        <f>IF(#REF!,"AAAAAFvWn3E=",0)</f>
        <v>#REF!</v>
      </c>
      <c r="DK221" t="e">
        <f>IF(#REF!,"AAAAAFvWn3I=",0)</f>
        <v>#REF!</v>
      </c>
      <c r="DL221" t="e">
        <f>IF(#REF!,"AAAAAFvWn3M=",0)</f>
        <v>#REF!</v>
      </c>
      <c r="DM221" t="e">
        <f>IF(#REF!,"AAAAAFvWn3Q=",0)</f>
        <v>#REF!</v>
      </c>
      <c r="DN221" t="e">
        <f>IF(#REF!,"AAAAAFvWn3U=",0)</f>
        <v>#REF!</v>
      </c>
      <c r="DO221" t="e">
        <f>IF(#REF!,"AAAAAFvWn3Y=",0)</f>
        <v>#REF!</v>
      </c>
      <c r="DP221" t="e">
        <f>IF(#REF!,"AAAAAFvWn3c=",0)</f>
        <v>#REF!</v>
      </c>
      <c r="DQ221" t="e">
        <f>IF(#REF!,"AAAAAFvWn3g=",0)</f>
        <v>#REF!</v>
      </c>
      <c r="DR221" t="e">
        <f>IF(#REF!,"AAAAAFvWn3k=",0)</f>
        <v>#REF!</v>
      </c>
      <c r="DS221" t="e">
        <f>IF(#REF!,"AAAAAFvWn3o=",0)</f>
        <v>#REF!</v>
      </c>
      <c r="DT221" t="e">
        <f>IF(#REF!,"AAAAAFvWn3s=",0)</f>
        <v>#REF!</v>
      </c>
      <c r="DU221" t="e">
        <f>IF(#REF!,"AAAAAFvWn3w=",0)</f>
        <v>#REF!</v>
      </c>
      <c r="DV221" t="e">
        <f>IF(#REF!,"AAAAAFvWn30=",0)</f>
        <v>#REF!</v>
      </c>
      <c r="DW221" t="e">
        <f>IF(#REF!,"AAAAAFvWn34=",0)</f>
        <v>#REF!</v>
      </c>
      <c r="DX221" t="e">
        <f>IF(#REF!,"AAAAAFvWn38=",0)</f>
        <v>#REF!</v>
      </c>
      <c r="DY221" t="e">
        <f>IF(#REF!,"AAAAAFvWn4A=",0)</f>
        <v>#REF!</v>
      </c>
      <c r="DZ221" t="e">
        <f>IF(#REF!,"AAAAAFvWn4E=",0)</f>
        <v>#REF!</v>
      </c>
      <c r="EA221" t="e">
        <f>IF(#REF!,"AAAAAFvWn4I=",0)</f>
        <v>#REF!</v>
      </c>
      <c r="EB221" t="e">
        <f>IF(#REF!,"AAAAAFvWn4M=",0)</f>
        <v>#REF!</v>
      </c>
      <c r="EC221" t="e">
        <f>IF(#REF!,"AAAAAFvWn4Q=",0)</f>
        <v>#REF!</v>
      </c>
      <c r="ED221" t="e">
        <f>IF(#REF!,"AAAAAFvWn4U=",0)</f>
        <v>#REF!</v>
      </c>
      <c r="EE221" t="e">
        <f>IF(#REF!,"AAAAAFvWn4Y=",0)</f>
        <v>#REF!</v>
      </c>
      <c r="EF221" t="e">
        <f>IF(#REF!,"AAAAAFvWn4c=",0)</f>
        <v>#REF!</v>
      </c>
      <c r="EG221" t="e">
        <f>IF(#REF!,"AAAAAFvWn4g=",0)</f>
        <v>#REF!</v>
      </c>
      <c r="EH221" t="e">
        <f>IF(#REF!,"AAAAAFvWn4k=",0)</f>
        <v>#REF!</v>
      </c>
      <c r="EI221" t="e">
        <f>IF(#REF!,"AAAAAFvWn4o=",0)</f>
        <v>#REF!</v>
      </c>
      <c r="EJ221" t="e">
        <f>IF(#REF!,"AAAAAFvWn4s=",0)</f>
        <v>#REF!</v>
      </c>
      <c r="EK221" t="e">
        <f>IF(#REF!,"AAAAAFvWn4w=",0)</f>
        <v>#REF!</v>
      </c>
      <c r="EL221" t="e">
        <f>IF(#REF!,"AAAAAFvWn40=",0)</f>
        <v>#REF!</v>
      </c>
      <c r="EM221" t="e">
        <f>IF(#REF!,"AAAAAFvWn44=",0)</f>
        <v>#REF!</v>
      </c>
      <c r="EN221" t="e">
        <f>IF(#REF!,"AAAAAFvWn48=",0)</f>
        <v>#REF!</v>
      </c>
      <c r="EO221" t="e">
        <f>IF(#REF!,"AAAAAFvWn5A=",0)</f>
        <v>#REF!</v>
      </c>
      <c r="EP221" t="e">
        <f>IF(#REF!,"AAAAAFvWn5E=",0)</f>
        <v>#REF!</v>
      </c>
      <c r="EQ221" t="e">
        <f>IF(#REF!,"AAAAAFvWn5I=",0)</f>
        <v>#REF!</v>
      </c>
      <c r="ER221" t="e">
        <f>IF(#REF!,"AAAAAFvWn5M=",0)</f>
        <v>#REF!</v>
      </c>
      <c r="ES221" t="e">
        <f>IF(#REF!,"AAAAAFvWn5Q=",0)</f>
        <v>#REF!</v>
      </c>
      <c r="ET221" t="e">
        <f>IF(#REF!,"AAAAAFvWn5U=",0)</f>
        <v>#REF!</v>
      </c>
      <c r="EU221" t="e">
        <f>IF(#REF!,"AAAAAFvWn5Y=",0)</f>
        <v>#REF!</v>
      </c>
      <c r="EV221" t="e">
        <f>IF(#REF!,"AAAAAFvWn5c=",0)</f>
        <v>#REF!</v>
      </c>
      <c r="EW221" t="e">
        <f>IF(#REF!,"AAAAAFvWn5g=",0)</f>
        <v>#REF!</v>
      </c>
      <c r="EX221" t="e">
        <f>IF(#REF!,"AAAAAFvWn5k=",0)</f>
        <v>#REF!</v>
      </c>
      <c r="EY221" t="e">
        <f>IF(#REF!,"AAAAAFvWn5o=",0)</f>
        <v>#REF!</v>
      </c>
      <c r="EZ221" t="e">
        <f>IF(#REF!,"AAAAAFvWn5s=",0)</f>
        <v>#REF!</v>
      </c>
      <c r="FA221" t="e">
        <f>IF(#REF!,"AAAAAFvWn5w=",0)</f>
        <v>#REF!</v>
      </c>
      <c r="FB221" t="e">
        <f>IF(#REF!,"AAAAAFvWn50=",0)</f>
        <v>#REF!</v>
      </c>
      <c r="FC221" t="e">
        <f>IF(#REF!,"AAAAAFvWn54=",0)</f>
        <v>#REF!</v>
      </c>
      <c r="FD221" t="e">
        <f>IF(#REF!,"AAAAAFvWn58=",0)</f>
        <v>#REF!</v>
      </c>
      <c r="FE221" t="e">
        <f>IF(#REF!,"AAAAAFvWn6A=",0)</f>
        <v>#REF!</v>
      </c>
      <c r="FF221" t="e">
        <f>IF(#REF!,"AAAAAFvWn6E=",0)</f>
        <v>#REF!</v>
      </c>
      <c r="FG221" t="e">
        <f>IF(#REF!,"AAAAAFvWn6I=",0)</f>
        <v>#REF!</v>
      </c>
      <c r="FH221" t="e">
        <f>IF(#REF!,"AAAAAFvWn6M=",0)</f>
        <v>#REF!</v>
      </c>
      <c r="FI221" t="e">
        <f>IF(#REF!,"AAAAAFvWn6Q=",0)</f>
        <v>#REF!</v>
      </c>
      <c r="FJ221" t="e">
        <f>IF(#REF!,"AAAAAFvWn6U=",0)</f>
        <v>#REF!</v>
      </c>
      <c r="FK221" t="e">
        <f>IF(#REF!,"AAAAAFvWn6Y=",0)</f>
        <v>#REF!</v>
      </c>
      <c r="FL221" t="e">
        <f>IF(#REF!,"AAAAAFvWn6c=",0)</f>
        <v>#REF!</v>
      </c>
      <c r="FM221" t="e">
        <f>IF(#REF!,"AAAAAFvWn6g=",0)</f>
        <v>#REF!</v>
      </c>
      <c r="FN221" t="e">
        <f>IF(#REF!,"AAAAAFvWn6k=",0)</f>
        <v>#REF!</v>
      </c>
      <c r="FO221" t="e">
        <f>IF(#REF!,"AAAAAFvWn6o=",0)</f>
        <v>#REF!</v>
      </c>
      <c r="FP221" t="e">
        <f>IF(#REF!,"AAAAAFvWn6s=",0)</f>
        <v>#REF!</v>
      </c>
      <c r="FQ221" t="e">
        <f>IF(#REF!,"AAAAAFvWn6w=",0)</f>
        <v>#REF!</v>
      </c>
      <c r="FR221" t="e">
        <f>IF(#REF!,"AAAAAFvWn60=",0)</f>
        <v>#REF!</v>
      </c>
      <c r="FS221" t="e">
        <f>IF(#REF!,"AAAAAFvWn64=",0)</f>
        <v>#REF!</v>
      </c>
      <c r="FT221" t="e">
        <f>IF(#REF!,"AAAAAFvWn68=",0)</f>
        <v>#REF!</v>
      </c>
      <c r="FU221" t="e">
        <f>IF(#REF!,"AAAAAFvWn7A=",0)</f>
        <v>#REF!</v>
      </c>
      <c r="FV221" t="e">
        <f>IF(#REF!,"AAAAAFvWn7E=",0)</f>
        <v>#REF!</v>
      </c>
      <c r="FW221" t="e">
        <f>IF(#REF!,"AAAAAFvWn7I=",0)</f>
        <v>#REF!</v>
      </c>
      <c r="FX221" t="e">
        <f>IF(#REF!,"AAAAAFvWn7M=",0)</f>
        <v>#REF!</v>
      </c>
      <c r="FY221" t="e">
        <f>IF(#REF!,"AAAAAFvWn7Q=",0)</f>
        <v>#REF!</v>
      </c>
      <c r="FZ221" t="e">
        <f>IF(#REF!,"AAAAAFvWn7U=",0)</f>
        <v>#REF!</v>
      </c>
      <c r="GA221" t="e">
        <f>IF(#REF!,"AAAAAFvWn7Y=",0)</f>
        <v>#REF!</v>
      </c>
      <c r="GB221" t="e">
        <f>IF(#REF!,"AAAAAFvWn7c=",0)</f>
        <v>#REF!</v>
      </c>
      <c r="GC221" t="e">
        <f>IF(#REF!,"AAAAAFvWn7g=",0)</f>
        <v>#REF!</v>
      </c>
      <c r="GD221" t="e">
        <f>IF(#REF!,"AAAAAFvWn7k=",0)</f>
        <v>#REF!</v>
      </c>
      <c r="GE221" t="e">
        <f>IF(#REF!,"AAAAAFvWn7o=",0)</f>
        <v>#REF!</v>
      </c>
      <c r="GF221" t="e">
        <f>IF(#REF!,"AAAAAFvWn7s=",0)</f>
        <v>#REF!</v>
      </c>
      <c r="GG221" t="e">
        <f>IF(#REF!,"AAAAAFvWn7w=",0)</f>
        <v>#REF!</v>
      </c>
      <c r="GH221" t="e">
        <f>IF(#REF!,"AAAAAFvWn70=",0)</f>
        <v>#REF!</v>
      </c>
      <c r="GI221" t="e">
        <f>IF(#REF!,"AAAAAFvWn74=",0)</f>
        <v>#REF!</v>
      </c>
      <c r="GJ221" t="e">
        <f>IF(#REF!,"AAAAAFvWn78=",0)</f>
        <v>#REF!</v>
      </c>
      <c r="GK221" t="e">
        <f>IF(#REF!,"AAAAAFvWn8A=",0)</f>
        <v>#REF!</v>
      </c>
      <c r="GL221" t="e">
        <f>IF(#REF!,"AAAAAFvWn8E=",0)</f>
        <v>#REF!</v>
      </c>
      <c r="GM221" t="e">
        <f>IF(#REF!,"AAAAAFvWn8I=",0)</f>
        <v>#REF!</v>
      </c>
      <c r="GN221" t="e">
        <f>IF(#REF!,"AAAAAFvWn8M=",0)</f>
        <v>#REF!</v>
      </c>
      <c r="GO221" t="e">
        <f>IF(#REF!,"AAAAAFvWn8Q=",0)</f>
        <v>#REF!</v>
      </c>
      <c r="GP221" t="e">
        <f>IF(#REF!,"AAAAAFvWn8U=",0)</f>
        <v>#REF!</v>
      </c>
      <c r="GQ221" t="e">
        <f>IF(#REF!,"AAAAAFvWn8Y=",0)</f>
        <v>#REF!</v>
      </c>
      <c r="GR221" t="e">
        <f>IF(#REF!,"AAAAAFvWn8c=",0)</f>
        <v>#REF!</v>
      </c>
      <c r="GS221" t="e">
        <f>IF(#REF!,"AAAAAFvWn8g=",0)</f>
        <v>#REF!</v>
      </c>
      <c r="GT221" t="e">
        <f>IF(#REF!,"AAAAAFvWn8k=",0)</f>
        <v>#REF!</v>
      </c>
      <c r="GU221" t="e">
        <f>IF(#REF!,"AAAAAFvWn8o=",0)</f>
        <v>#REF!</v>
      </c>
      <c r="GV221" t="e">
        <f>IF(#REF!,"AAAAAFvWn8s=",0)</f>
        <v>#REF!</v>
      </c>
      <c r="GW221" t="e">
        <f>IF(#REF!,"AAAAAFvWn8w=",0)</f>
        <v>#REF!</v>
      </c>
      <c r="GX221" t="e">
        <f>IF(#REF!,"AAAAAFvWn80=",0)</f>
        <v>#REF!</v>
      </c>
      <c r="GY221" t="e">
        <f>IF(#REF!,"AAAAAFvWn84=",0)</f>
        <v>#REF!</v>
      </c>
      <c r="GZ221" t="e">
        <f>IF(#REF!,"AAAAAFvWn88=",0)</f>
        <v>#REF!</v>
      </c>
      <c r="HA221" t="e">
        <f>IF(#REF!,"AAAAAFvWn9A=",0)</f>
        <v>#REF!</v>
      </c>
      <c r="HB221" t="e">
        <f>IF(#REF!,"AAAAAFvWn9E=",0)</f>
        <v>#REF!</v>
      </c>
      <c r="HC221" t="e">
        <f>IF(#REF!,"AAAAAFvWn9I=",0)</f>
        <v>#REF!</v>
      </c>
      <c r="HD221" t="e">
        <f>IF(#REF!,"AAAAAFvWn9M=",0)</f>
        <v>#REF!</v>
      </c>
      <c r="HE221" t="e">
        <f>IF(#REF!,"AAAAAFvWn9Q=",0)</f>
        <v>#REF!</v>
      </c>
      <c r="HF221" t="e">
        <f>IF(#REF!,"AAAAAFvWn9U=",0)</f>
        <v>#REF!</v>
      </c>
      <c r="HG221" t="e">
        <f>IF(#REF!,"AAAAAFvWn9Y=",0)</f>
        <v>#REF!</v>
      </c>
      <c r="HH221" t="e">
        <f>IF(#REF!,"AAAAAFvWn9c=",0)</f>
        <v>#REF!</v>
      </c>
      <c r="HI221" t="e">
        <f>IF(#REF!,"AAAAAFvWn9g=",0)</f>
        <v>#REF!</v>
      </c>
      <c r="HJ221" t="e">
        <f>IF(#REF!,"AAAAAFvWn9k=",0)</f>
        <v>#REF!</v>
      </c>
      <c r="HK221" t="e">
        <f>IF(#REF!,"AAAAAFvWn9o=",0)</f>
        <v>#REF!</v>
      </c>
      <c r="HL221" t="e">
        <f>IF(#REF!,"AAAAAFvWn9s=",0)</f>
        <v>#REF!</v>
      </c>
      <c r="HM221" t="e">
        <f>IF(#REF!,"AAAAAFvWn9w=",0)</f>
        <v>#REF!</v>
      </c>
      <c r="HN221" t="e">
        <f>IF(#REF!,"AAAAAFvWn90=",0)</f>
        <v>#REF!</v>
      </c>
      <c r="HO221" t="e">
        <f>IF(#REF!,"AAAAAFvWn94=",0)</f>
        <v>#REF!</v>
      </c>
      <c r="HP221" t="e">
        <f>IF(#REF!,"AAAAAFvWn98=",0)</f>
        <v>#REF!</v>
      </c>
      <c r="HQ221" t="e">
        <f>IF(#REF!,"AAAAAFvWn+A=",0)</f>
        <v>#REF!</v>
      </c>
      <c r="HR221" t="e">
        <f>IF(#REF!,"AAAAAFvWn+E=",0)</f>
        <v>#REF!</v>
      </c>
      <c r="HS221" t="e">
        <f>IF(#REF!,"AAAAAFvWn+I=",0)</f>
        <v>#REF!</v>
      </c>
      <c r="HT221" t="e">
        <f>IF(#REF!,"AAAAAFvWn+M=",0)</f>
        <v>#REF!</v>
      </c>
      <c r="HU221" t="e">
        <f>IF(#REF!,"AAAAAFvWn+Q=",0)</f>
        <v>#REF!</v>
      </c>
      <c r="HV221" t="e">
        <f>IF(#REF!,"AAAAAFvWn+U=",0)</f>
        <v>#REF!</v>
      </c>
      <c r="HW221" t="e">
        <f>IF(#REF!,"AAAAAFvWn+Y=",0)</f>
        <v>#REF!</v>
      </c>
      <c r="HX221" t="e">
        <f>IF(#REF!,"AAAAAFvWn+c=",0)</f>
        <v>#REF!</v>
      </c>
      <c r="HY221" t="e">
        <f>IF(#REF!,"AAAAAFvWn+g=",0)</f>
        <v>#REF!</v>
      </c>
      <c r="HZ221" t="e">
        <f>IF(#REF!,"AAAAAFvWn+k=",0)</f>
        <v>#REF!</v>
      </c>
      <c r="IA221" t="e">
        <f>IF(#REF!,"AAAAAFvWn+o=",0)</f>
        <v>#REF!</v>
      </c>
      <c r="IB221" t="e">
        <f>IF(#REF!,"AAAAAFvWn+s=",0)</f>
        <v>#REF!</v>
      </c>
      <c r="IC221" t="e">
        <f>IF(#REF!,"AAAAAFvWn+w=",0)</f>
        <v>#REF!</v>
      </c>
      <c r="ID221" t="e">
        <f>IF(#REF!,"AAAAAFvWn+0=",0)</f>
        <v>#REF!</v>
      </c>
      <c r="IE221" t="e">
        <f>IF(#REF!,"AAAAAFvWn+4=",0)</f>
        <v>#REF!</v>
      </c>
      <c r="IF221" t="e">
        <f>IF(#REF!,"AAAAAFvWn+8=",0)</f>
        <v>#REF!</v>
      </c>
      <c r="IG221" t="e">
        <f>IF(#REF!,"AAAAAFvWn/A=",0)</f>
        <v>#REF!</v>
      </c>
      <c r="IH221" t="e">
        <f>IF(#REF!,"AAAAAFvWn/E=",0)</f>
        <v>#REF!</v>
      </c>
      <c r="II221" t="e">
        <f>IF(#REF!,"AAAAAFvWn/I=",0)</f>
        <v>#REF!</v>
      </c>
      <c r="IJ221" t="e">
        <f>IF(#REF!,"AAAAAFvWn/M=",0)</f>
        <v>#REF!</v>
      </c>
      <c r="IK221" t="e">
        <f>IF(#REF!,"AAAAAFvWn/Q=",0)</f>
        <v>#REF!</v>
      </c>
      <c r="IL221" t="e">
        <f>IF(#REF!,"AAAAAFvWn/U=",0)</f>
        <v>#REF!</v>
      </c>
      <c r="IM221" t="e">
        <f>IF(#REF!,"AAAAAFvWn/Y=",0)</f>
        <v>#REF!</v>
      </c>
      <c r="IN221" t="e">
        <f>IF(#REF!,"AAAAAFvWn/c=",0)</f>
        <v>#REF!</v>
      </c>
      <c r="IO221" t="e">
        <f>IF(#REF!,"AAAAAFvWn/g=",0)</f>
        <v>#REF!</v>
      </c>
      <c r="IP221" t="e">
        <f>IF(#REF!,"AAAAAFvWn/k=",0)</f>
        <v>#REF!</v>
      </c>
      <c r="IQ221" t="e">
        <f>IF(#REF!,"AAAAAFvWn/o=",0)</f>
        <v>#REF!</v>
      </c>
      <c r="IR221" t="e">
        <f>IF(#REF!,"AAAAAFvWn/s=",0)</f>
        <v>#REF!</v>
      </c>
      <c r="IS221" t="e">
        <f>IF(#REF!,"AAAAAFvWn/w=",0)</f>
        <v>#REF!</v>
      </c>
      <c r="IT221" t="e">
        <f>IF(#REF!,"AAAAAFvWn/0=",0)</f>
        <v>#REF!</v>
      </c>
      <c r="IU221" t="e">
        <f>IF(#REF!,"AAAAAFvWn/4=",0)</f>
        <v>#REF!</v>
      </c>
      <c r="IV221" t="e">
        <f>IF(#REF!,"AAAAAFvWn/8=",0)</f>
        <v>#REF!</v>
      </c>
    </row>
    <row r="222" spans="1:256">
      <c r="A222" t="e">
        <f>IF(#REF!,"AAAAAB07+QA=",0)</f>
        <v>#REF!</v>
      </c>
      <c r="B222" t="e">
        <f>IF(#REF!,"AAAAAB07+QE=",0)</f>
        <v>#REF!</v>
      </c>
      <c r="C222" t="e">
        <f>IF(#REF!,"AAAAAB07+QI=",0)</f>
        <v>#REF!</v>
      </c>
      <c r="D222" t="e">
        <f>IF(#REF!,"AAAAAB07+QM=",0)</f>
        <v>#REF!</v>
      </c>
      <c r="E222" t="e">
        <f>IF(#REF!,"AAAAAB07+QQ=",0)</f>
        <v>#REF!</v>
      </c>
      <c r="F222" t="e">
        <f>IF(#REF!,"AAAAAB07+QU=",0)</f>
        <v>#REF!</v>
      </c>
      <c r="G222" t="e">
        <f>IF(#REF!,"AAAAAB07+QY=",0)</f>
        <v>#REF!</v>
      </c>
      <c r="H222" t="e">
        <f>IF(#REF!,"AAAAAB07+Qc=",0)</f>
        <v>#REF!</v>
      </c>
      <c r="I222" t="e">
        <f>IF(#REF!,"AAAAAB07+Qg=",0)</f>
        <v>#REF!</v>
      </c>
      <c r="J222" t="e">
        <f>IF(#REF!,"AAAAAB07+Qk=",0)</f>
        <v>#REF!</v>
      </c>
      <c r="K222" t="e">
        <f>IF(#REF!,"AAAAAB07+Qo=",0)</f>
        <v>#REF!</v>
      </c>
      <c r="L222" t="e">
        <f>IF(#REF!,"AAAAAB07+Qs=",0)</f>
        <v>#REF!</v>
      </c>
      <c r="M222" t="e">
        <f>IF(#REF!,"AAAAAB07+Qw=",0)</f>
        <v>#REF!</v>
      </c>
      <c r="N222" t="e">
        <f>IF(#REF!,"AAAAAB07+Q0=",0)</f>
        <v>#REF!</v>
      </c>
      <c r="O222" t="e">
        <f>IF(#REF!,"AAAAAB07+Q4=",0)</f>
        <v>#REF!</v>
      </c>
      <c r="P222" t="e">
        <f>IF(#REF!,"AAAAAB07+Q8=",0)</f>
        <v>#REF!</v>
      </c>
      <c r="Q222" t="e">
        <f>IF(#REF!,"AAAAAB07+RA=",0)</f>
        <v>#REF!</v>
      </c>
      <c r="R222" t="e">
        <f>IF(#REF!,"AAAAAB07+RE=",0)</f>
        <v>#REF!</v>
      </c>
      <c r="S222" t="e">
        <f>IF(#REF!,"AAAAAB07+RI=",0)</f>
        <v>#REF!</v>
      </c>
      <c r="T222" t="e">
        <f>IF(#REF!,"AAAAAB07+RM=",0)</f>
        <v>#REF!</v>
      </c>
      <c r="U222" t="e">
        <f>IF(#REF!,"AAAAAB07+RQ=",0)</f>
        <v>#REF!</v>
      </c>
      <c r="V222" t="e">
        <f>IF(#REF!,"AAAAAB07+RU=",0)</f>
        <v>#REF!</v>
      </c>
      <c r="W222" t="e">
        <f>IF(#REF!,"AAAAAB07+RY=",0)</f>
        <v>#REF!</v>
      </c>
      <c r="X222" t="e">
        <f>IF(#REF!,"AAAAAB07+Rc=",0)</f>
        <v>#REF!</v>
      </c>
      <c r="Y222" t="e">
        <f>IF(#REF!,"AAAAAB07+Rg=",0)</f>
        <v>#REF!</v>
      </c>
      <c r="Z222" t="e">
        <f>IF(#REF!,"AAAAAB07+Rk=",0)</f>
        <v>#REF!</v>
      </c>
      <c r="AA222" t="e">
        <f>IF(#REF!,"AAAAAB07+Ro=",0)</f>
        <v>#REF!</v>
      </c>
      <c r="AB222" t="e">
        <f>IF(#REF!,"AAAAAB07+Rs=",0)</f>
        <v>#REF!</v>
      </c>
      <c r="AC222" t="e">
        <f>IF(#REF!,"AAAAAB07+Rw=",0)</f>
        <v>#REF!</v>
      </c>
      <c r="AD222" t="e">
        <f>IF(#REF!,"AAAAAB07+R0=",0)</f>
        <v>#REF!</v>
      </c>
      <c r="AE222" t="e">
        <f>IF(#REF!,"AAAAAB07+R4=",0)</f>
        <v>#REF!</v>
      </c>
      <c r="AF222" t="e">
        <f>IF(#REF!,"AAAAAB07+R8=",0)</f>
        <v>#REF!</v>
      </c>
      <c r="AG222" t="e">
        <f>IF(#REF!,"AAAAAB07+SA=",0)</f>
        <v>#REF!</v>
      </c>
      <c r="AH222" t="e">
        <f>IF(#REF!,"AAAAAB07+SE=",0)</f>
        <v>#REF!</v>
      </c>
      <c r="AI222" t="e">
        <f>IF(#REF!,"AAAAAB07+SI=",0)</f>
        <v>#REF!</v>
      </c>
      <c r="AJ222" t="e">
        <f>IF(#REF!,"AAAAAB07+SM=",0)</f>
        <v>#REF!</v>
      </c>
      <c r="AK222" t="e">
        <f>IF(#REF!,"AAAAAB07+SQ=",0)</f>
        <v>#REF!</v>
      </c>
      <c r="AL222" t="e">
        <f>IF(#REF!,"AAAAAB07+SU=",0)</f>
        <v>#REF!</v>
      </c>
      <c r="AM222" t="e">
        <f>IF(#REF!,"AAAAAB07+SY=",0)</f>
        <v>#REF!</v>
      </c>
      <c r="AN222" t="e">
        <f>IF(#REF!,"AAAAAB07+Sc=",0)</f>
        <v>#REF!</v>
      </c>
      <c r="AO222" t="e">
        <f>IF(#REF!,"AAAAAB07+Sg=",0)</f>
        <v>#REF!</v>
      </c>
      <c r="AP222" t="e">
        <f>IF(#REF!,"AAAAAB07+Sk=",0)</f>
        <v>#REF!</v>
      </c>
      <c r="AQ222" t="e">
        <f>IF(#REF!,"AAAAAB07+So=",0)</f>
        <v>#REF!</v>
      </c>
      <c r="AR222" t="e">
        <f>IF(#REF!,"AAAAAB07+Ss=",0)</f>
        <v>#REF!</v>
      </c>
      <c r="AS222" t="e">
        <f>IF(#REF!,"AAAAAB07+Sw=",0)</f>
        <v>#REF!</v>
      </c>
      <c r="AT222" t="e">
        <f>IF(#REF!,"AAAAAB07+S0=",0)</f>
        <v>#REF!</v>
      </c>
      <c r="AU222" t="e">
        <f>IF(#REF!,"AAAAAB07+S4=",0)</f>
        <v>#REF!</v>
      </c>
      <c r="AV222" t="e">
        <f>IF(#REF!,"AAAAAB07+S8=",0)</f>
        <v>#REF!</v>
      </c>
      <c r="AW222" t="e">
        <f>IF(#REF!,"AAAAAB07+TA=",0)</f>
        <v>#REF!</v>
      </c>
      <c r="AX222" t="e">
        <f>IF(#REF!,"AAAAAB07+TE=",0)</f>
        <v>#REF!</v>
      </c>
      <c r="AY222" t="e">
        <f>IF(#REF!,"AAAAAB07+TI=",0)</f>
        <v>#REF!</v>
      </c>
      <c r="AZ222" t="e">
        <f>IF(#REF!,"AAAAAB07+TM=",0)</f>
        <v>#REF!</v>
      </c>
      <c r="BA222" t="e">
        <f>IF(#REF!,"AAAAAB07+TQ=",0)</f>
        <v>#REF!</v>
      </c>
      <c r="BB222" t="e">
        <f>IF(#REF!,"AAAAAB07+TU=",0)</f>
        <v>#REF!</v>
      </c>
      <c r="BC222" t="e">
        <f>IF(#REF!,"AAAAAB07+TY=",0)</f>
        <v>#REF!</v>
      </c>
      <c r="BD222" t="e">
        <f>IF(#REF!,"AAAAAB07+Tc=",0)</f>
        <v>#REF!</v>
      </c>
      <c r="BE222" t="e">
        <f>IF(#REF!,"AAAAAB07+Tg=",0)</f>
        <v>#REF!</v>
      </c>
      <c r="BF222" t="e">
        <f>IF(#REF!,"AAAAAB07+Tk=",0)</f>
        <v>#REF!</v>
      </c>
      <c r="BG222" t="e">
        <f>IF(#REF!,"AAAAAB07+To=",0)</f>
        <v>#REF!</v>
      </c>
      <c r="BH222" t="e">
        <f>IF(#REF!,"AAAAAB07+Ts=",0)</f>
        <v>#REF!</v>
      </c>
      <c r="BI222" t="e">
        <f>IF(#REF!,"AAAAAB07+Tw=",0)</f>
        <v>#REF!</v>
      </c>
      <c r="BJ222" t="e">
        <f>IF(#REF!,"AAAAAB07+T0=",0)</f>
        <v>#REF!</v>
      </c>
      <c r="BK222" t="e">
        <f>IF(#REF!,"AAAAAB07+T4=",0)</f>
        <v>#REF!</v>
      </c>
      <c r="BL222" t="e">
        <f>IF(#REF!,"AAAAAB07+T8=",0)</f>
        <v>#REF!</v>
      </c>
      <c r="BM222" t="e">
        <f>IF(#REF!,"AAAAAB07+UA=",0)</f>
        <v>#REF!</v>
      </c>
      <c r="BN222" t="e">
        <f>IF(#REF!,"AAAAAB07+UE=",0)</f>
        <v>#REF!</v>
      </c>
      <c r="BO222" t="e">
        <f>IF(#REF!,"AAAAAB07+UI=",0)</f>
        <v>#REF!</v>
      </c>
      <c r="BP222" t="e">
        <f>IF(#REF!,"AAAAAB07+UM=",0)</f>
        <v>#REF!</v>
      </c>
      <c r="BQ222" t="e">
        <f>IF(#REF!,"AAAAAB07+UQ=",0)</f>
        <v>#REF!</v>
      </c>
      <c r="BR222" t="e">
        <f>IF(#REF!,"AAAAAB07+UU=",0)</f>
        <v>#REF!</v>
      </c>
      <c r="BS222" t="e">
        <f>IF(#REF!,"AAAAAB07+UY=",0)</f>
        <v>#REF!</v>
      </c>
      <c r="BT222" t="e">
        <f>IF(#REF!,"AAAAAB07+Uc=",0)</f>
        <v>#REF!</v>
      </c>
      <c r="BU222" t="e">
        <f>IF(#REF!,"AAAAAB07+Ug=",0)</f>
        <v>#REF!</v>
      </c>
      <c r="BV222" t="e">
        <f>IF(#REF!,"AAAAAB07+Uk=",0)</f>
        <v>#REF!</v>
      </c>
      <c r="BW222" t="e">
        <f>IF(#REF!,"AAAAAB07+Uo=",0)</f>
        <v>#REF!</v>
      </c>
      <c r="BX222" t="e">
        <f>IF(#REF!,"AAAAAB07+Us=",0)</f>
        <v>#REF!</v>
      </c>
      <c r="BY222" t="e">
        <f>IF(#REF!,"AAAAAB07+Uw=",0)</f>
        <v>#REF!</v>
      </c>
      <c r="BZ222" t="e">
        <f>IF(#REF!,"AAAAAB07+U0=",0)</f>
        <v>#REF!</v>
      </c>
      <c r="CA222" t="e">
        <f>IF(#REF!,"AAAAAB07+U4=",0)</f>
        <v>#REF!</v>
      </c>
      <c r="CB222" t="e">
        <f>IF(#REF!,"AAAAAB07+U8=",0)</f>
        <v>#REF!</v>
      </c>
      <c r="CC222" t="e">
        <f>IF(#REF!,"AAAAAB07+VA=",0)</f>
        <v>#REF!</v>
      </c>
      <c r="CD222" t="e">
        <f>IF(#REF!,"AAAAAB07+VE=",0)</f>
        <v>#REF!</v>
      </c>
      <c r="CE222" t="e">
        <f>IF(#REF!,"AAAAAB07+VI=",0)</f>
        <v>#REF!</v>
      </c>
      <c r="CF222" t="e">
        <f>IF(#REF!,"AAAAAB07+VM=",0)</f>
        <v>#REF!</v>
      </c>
      <c r="CG222" t="e">
        <f>IF(#REF!,"AAAAAB07+VQ=",0)</f>
        <v>#REF!</v>
      </c>
      <c r="CH222" t="e">
        <f>IF(#REF!,"AAAAAB07+VU=",0)</f>
        <v>#REF!</v>
      </c>
      <c r="CI222" t="e">
        <f>IF(#REF!,"AAAAAB07+VY=",0)</f>
        <v>#REF!</v>
      </c>
      <c r="CJ222" t="e">
        <f>IF(#REF!,"AAAAAB07+Vc=",0)</f>
        <v>#REF!</v>
      </c>
      <c r="CK222" t="e">
        <f>IF(#REF!,"AAAAAB07+Vg=",0)</f>
        <v>#REF!</v>
      </c>
      <c r="CL222" t="e">
        <f>IF(#REF!,"AAAAAB07+Vk=",0)</f>
        <v>#REF!</v>
      </c>
      <c r="CM222" t="e">
        <f>IF(#REF!,"AAAAAB07+Vo=",0)</f>
        <v>#REF!</v>
      </c>
      <c r="CN222" t="e">
        <f>IF(#REF!,"AAAAAB07+Vs=",0)</f>
        <v>#REF!</v>
      </c>
      <c r="CO222" t="e">
        <f>IF(#REF!,"AAAAAB07+Vw=",0)</f>
        <v>#REF!</v>
      </c>
      <c r="CP222" t="e">
        <f>IF(#REF!,"AAAAAB07+V0=",0)</f>
        <v>#REF!</v>
      </c>
      <c r="CQ222" t="e">
        <f>IF(#REF!,"AAAAAB07+V4=",0)</f>
        <v>#REF!</v>
      </c>
      <c r="CR222" t="e">
        <f>IF(#REF!,"AAAAAB07+V8=",0)</f>
        <v>#REF!</v>
      </c>
      <c r="CS222" t="e">
        <f>IF(#REF!,"AAAAAB07+WA=",0)</f>
        <v>#REF!</v>
      </c>
      <c r="CT222" t="e">
        <f>IF(#REF!,"AAAAAB07+WE=",0)</f>
        <v>#REF!</v>
      </c>
      <c r="CU222" t="e">
        <f>IF(#REF!,"AAAAAB07+WI=",0)</f>
        <v>#REF!</v>
      </c>
      <c r="CV222" t="e">
        <f>IF(#REF!,"AAAAAB07+WM=",0)</f>
        <v>#REF!</v>
      </c>
      <c r="CW222" t="e">
        <f>IF(#REF!,"AAAAAB07+WQ=",0)</f>
        <v>#REF!</v>
      </c>
      <c r="CX222" t="e">
        <f>IF(#REF!,"AAAAAB07+WU=",0)</f>
        <v>#REF!</v>
      </c>
      <c r="CY222" t="e">
        <f>IF(#REF!,"AAAAAB07+WY=",0)</f>
        <v>#REF!</v>
      </c>
      <c r="CZ222" t="e">
        <f>IF(#REF!,"AAAAAB07+Wc=",0)</f>
        <v>#REF!</v>
      </c>
      <c r="DA222" t="e">
        <f>IF(#REF!,"AAAAAB07+Wg=",0)</f>
        <v>#REF!</v>
      </c>
      <c r="DB222" t="e">
        <f>IF(#REF!,"AAAAAB07+Wk=",0)</f>
        <v>#REF!</v>
      </c>
      <c r="DC222" t="e">
        <f>IF(#REF!,"AAAAAB07+Wo=",0)</f>
        <v>#REF!</v>
      </c>
      <c r="DD222" t="e">
        <f>IF(#REF!,"AAAAAB07+Ws=",0)</f>
        <v>#REF!</v>
      </c>
      <c r="DE222" t="e">
        <f>IF(#REF!,"AAAAAB07+Ww=",0)</f>
        <v>#REF!</v>
      </c>
      <c r="DF222" t="e">
        <f>IF(#REF!,"AAAAAB07+W0=",0)</f>
        <v>#REF!</v>
      </c>
      <c r="DG222" t="e">
        <f>IF(#REF!,"AAAAAB07+W4=",0)</f>
        <v>#REF!</v>
      </c>
      <c r="DH222" t="e">
        <f>IF(#REF!,"AAAAAB07+W8=",0)</f>
        <v>#REF!</v>
      </c>
      <c r="DI222" t="e">
        <f>IF(#REF!,"AAAAAB07+XA=",0)</f>
        <v>#REF!</v>
      </c>
      <c r="DJ222" t="e">
        <f>IF(#REF!,"AAAAAB07+XE=",0)</f>
        <v>#REF!</v>
      </c>
      <c r="DK222" t="e">
        <f>IF(#REF!,"AAAAAB07+XI=",0)</f>
        <v>#REF!</v>
      </c>
      <c r="DL222" t="e">
        <f>IF(#REF!,"AAAAAB07+XM=",0)</f>
        <v>#REF!</v>
      </c>
      <c r="DM222" t="e">
        <f>IF(#REF!,"AAAAAB07+XQ=",0)</f>
        <v>#REF!</v>
      </c>
      <c r="DN222" t="e">
        <f>IF(#REF!,"AAAAAB07+XU=",0)</f>
        <v>#REF!</v>
      </c>
      <c r="DO222" t="e">
        <f>IF(#REF!,"AAAAAB07+XY=",0)</f>
        <v>#REF!</v>
      </c>
      <c r="DP222" t="e">
        <f>IF(#REF!,"AAAAAB07+Xc=",0)</f>
        <v>#REF!</v>
      </c>
      <c r="DQ222" t="e">
        <f>IF(#REF!,"AAAAAB07+Xg=",0)</f>
        <v>#REF!</v>
      </c>
      <c r="DR222" t="e">
        <f>IF(#REF!,"AAAAAB07+Xk=",0)</f>
        <v>#REF!</v>
      </c>
      <c r="DS222" t="e">
        <f>IF(#REF!,"AAAAAB07+Xo=",0)</f>
        <v>#REF!</v>
      </c>
      <c r="DT222" t="e">
        <f>IF(#REF!,"AAAAAB07+Xs=",0)</f>
        <v>#REF!</v>
      </c>
      <c r="DU222" t="e">
        <f>IF(#REF!,"AAAAAB07+Xw=",0)</f>
        <v>#REF!</v>
      </c>
      <c r="DV222" t="e">
        <f>IF(#REF!,"AAAAAB07+X0=",0)</f>
        <v>#REF!</v>
      </c>
      <c r="DW222" t="e">
        <f>IF(#REF!,"AAAAAB07+X4=",0)</f>
        <v>#REF!</v>
      </c>
      <c r="DX222" t="e">
        <f>IF(#REF!,"AAAAAB07+X8=",0)</f>
        <v>#REF!</v>
      </c>
      <c r="DY222" t="e">
        <f>IF(#REF!,"AAAAAB07+YA=",0)</f>
        <v>#REF!</v>
      </c>
      <c r="DZ222" t="e">
        <f>IF(#REF!,"AAAAAB07+YE=",0)</f>
        <v>#REF!</v>
      </c>
      <c r="EA222" t="e">
        <f>IF(#REF!,"AAAAAB07+YI=",0)</f>
        <v>#REF!</v>
      </c>
      <c r="EB222" t="e">
        <f>IF(#REF!,"AAAAAB07+YM=",0)</f>
        <v>#REF!</v>
      </c>
      <c r="EC222" t="e">
        <f>IF(#REF!,"AAAAAB07+YQ=",0)</f>
        <v>#REF!</v>
      </c>
      <c r="ED222" t="e">
        <f>IF(#REF!,"AAAAAB07+YU=",0)</f>
        <v>#REF!</v>
      </c>
      <c r="EE222" t="e">
        <f>IF(#REF!,"AAAAAB07+YY=",0)</f>
        <v>#REF!</v>
      </c>
      <c r="EF222" t="e">
        <f>IF(#REF!,"AAAAAB07+Yc=",0)</f>
        <v>#REF!</v>
      </c>
      <c r="EG222" t="e">
        <f>IF(#REF!,"AAAAAB07+Yg=",0)</f>
        <v>#REF!</v>
      </c>
      <c r="EH222" t="e">
        <f>IF(#REF!,"AAAAAB07+Yk=",0)</f>
        <v>#REF!</v>
      </c>
      <c r="EI222" t="e">
        <f>IF(#REF!,"AAAAAB07+Yo=",0)</f>
        <v>#REF!</v>
      </c>
      <c r="EJ222" t="e">
        <f>IF(#REF!,"AAAAAB07+Ys=",0)</f>
        <v>#REF!</v>
      </c>
      <c r="EK222" t="e">
        <f>IF(#REF!,"AAAAAB07+Yw=",0)</f>
        <v>#REF!</v>
      </c>
      <c r="EL222" t="e">
        <f>IF(#REF!,"AAAAAB07+Y0=",0)</f>
        <v>#REF!</v>
      </c>
      <c r="EM222" t="e">
        <f>IF(#REF!,"AAAAAB07+Y4=",0)</f>
        <v>#REF!</v>
      </c>
      <c r="EN222" t="e">
        <f>IF(#REF!,"AAAAAB07+Y8=",0)</f>
        <v>#REF!</v>
      </c>
      <c r="EO222" t="e">
        <f>IF(#REF!,"AAAAAB07+ZA=",0)</f>
        <v>#REF!</v>
      </c>
      <c r="EP222" t="e">
        <f>IF(#REF!,"AAAAAB07+ZE=",0)</f>
        <v>#REF!</v>
      </c>
      <c r="EQ222" t="e">
        <f>IF(#REF!,"AAAAAB07+ZI=",0)</f>
        <v>#REF!</v>
      </c>
      <c r="ER222" t="e">
        <f>IF(#REF!,"AAAAAB07+ZM=",0)</f>
        <v>#REF!</v>
      </c>
      <c r="ES222" t="e">
        <f>IF(#REF!,"AAAAAB07+ZQ=",0)</f>
        <v>#REF!</v>
      </c>
      <c r="ET222" t="e">
        <f>IF(#REF!,"AAAAAB07+ZU=",0)</f>
        <v>#REF!</v>
      </c>
      <c r="EU222" t="e">
        <f>IF(#REF!,"AAAAAB07+ZY=",0)</f>
        <v>#REF!</v>
      </c>
      <c r="EV222" t="e">
        <f>IF(#REF!,"AAAAAB07+Zc=",0)</f>
        <v>#REF!</v>
      </c>
      <c r="EW222" t="e">
        <f>IF(#REF!,"AAAAAB07+Zg=",0)</f>
        <v>#REF!</v>
      </c>
      <c r="EX222" t="e">
        <f>IF(#REF!,"AAAAAB07+Zk=",0)</f>
        <v>#REF!</v>
      </c>
      <c r="EY222" t="e">
        <f>IF(#REF!,"AAAAAB07+Zo=",0)</f>
        <v>#REF!</v>
      </c>
      <c r="EZ222" t="e">
        <f>IF(#REF!,"AAAAAB07+Zs=",0)</f>
        <v>#REF!</v>
      </c>
      <c r="FA222" t="e">
        <f>IF(#REF!,"AAAAAB07+Zw=",0)</f>
        <v>#REF!</v>
      </c>
      <c r="FB222" t="e">
        <f>IF(#REF!,"AAAAAB07+Z0=",0)</f>
        <v>#REF!</v>
      </c>
      <c r="FC222" t="e">
        <f>IF(#REF!,"AAAAAB07+Z4=",0)</f>
        <v>#REF!</v>
      </c>
      <c r="FD222" t="e">
        <f>IF(#REF!,"AAAAAB07+Z8=",0)</f>
        <v>#REF!</v>
      </c>
      <c r="FE222" t="e">
        <f>IF(#REF!,"AAAAAB07+aA=",0)</f>
        <v>#REF!</v>
      </c>
      <c r="FF222" t="e">
        <f>IF(#REF!,"AAAAAB07+aE=",0)</f>
        <v>#REF!</v>
      </c>
      <c r="FG222" t="e">
        <f>IF(#REF!,"AAAAAB07+aI=",0)</f>
        <v>#REF!</v>
      </c>
      <c r="FH222" t="e">
        <f>IF(#REF!,"AAAAAB07+aM=",0)</f>
        <v>#REF!</v>
      </c>
      <c r="FI222" t="e">
        <f>IF(#REF!,"AAAAAB07+aQ=",0)</f>
        <v>#REF!</v>
      </c>
      <c r="FJ222" t="e">
        <f>IF(#REF!,"AAAAAB07+aU=",0)</f>
        <v>#REF!</v>
      </c>
      <c r="FK222" t="e">
        <f>IF(#REF!,"AAAAAB07+aY=",0)</f>
        <v>#REF!</v>
      </c>
      <c r="FL222" t="e">
        <f>IF(#REF!,"AAAAAB07+ac=",0)</f>
        <v>#REF!</v>
      </c>
      <c r="FM222" t="e">
        <f>IF(#REF!,"AAAAAB07+ag=",0)</f>
        <v>#REF!</v>
      </c>
      <c r="FN222" t="e">
        <f>IF(#REF!,"AAAAAB07+ak=",0)</f>
        <v>#REF!</v>
      </c>
      <c r="FO222" t="e">
        <f>IF(#REF!,"AAAAAB07+ao=",0)</f>
        <v>#REF!</v>
      </c>
      <c r="FP222" t="e">
        <f>IF(#REF!,"AAAAAB07+as=",0)</f>
        <v>#REF!</v>
      </c>
      <c r="FQ222" t="e">
        <f>IF(#REF!,"AAAAAB07+aw=",0)</f>
        <v>#REF!</v>
      </c>
      <c r="FR222" t="e">
        <f>IF(#REF!,"AAAAAB07+a0=",0)</f>
        <v>#REF!</v>
      </c>
      <c r="FS222" t="e">
        <f>IF(#REF!,"AAAAAB07+a4=",0)</f>
        <v>#REF!</v>
      </c>
      <c r="FT222" t="e">
        <f>IF(#REF!,"AAAAAB07+a8=",0)</f>
        <v>#REF!</v>
      </c>
      <c r="FU222" t="e">
        <f>IF(#REF!,"AAAAAB07+bA=",0)</f>
        <v>#REF!</v>
      </c>
      <c r="FV222" t="e">
        <f>IF(#REF!,"AAAAAB07+bE=",0)</f>
        <v>#REF!</v>
      </c>
      <c r="FW222" t="e">
        <f>IF(#REF!,"AAAAAB07+bI=",0)</f>
        <v>#REF!</v>
      </c>
      <c r="FX222" t="e">
        <f>IF(#REF!,"AAAAAB07+bM=",0)</f>
        <v>#REF!</v>
      </c>
      <c r="FY222" t="e">
        <f>IF(#REF!,"AAAAAB07+bQ=",0)</f>
        <v>#REF!</v>
      </c>
      <c r="FZ222" t="e">
        <f>IF(#REF!,"AAAAAB07+bU=",0)</f>
        <v>#REF!</v>
      </c>
      <c r="GA222" t="e">
        <f>IF(#REF!,"AAAAAB07+bY=",0)</f>
        <v>#REF!</v>
      </c>
      <c r="GB222" t="e">
        <f>IF(#REF!,"AAAAAB07+bc=",0)</f>
        <v>#REF!</v>
      </c>
      <c r="GC222" t="e">
        <f>IF(#REF!,"AAAAAB07+bg=",0)</f>
        <v>#REF!</v>
      </c>
      <c r="GD222" t="e">
        <f>IF(#REF!,"AAAAAB07+bk=",0)</f>
        <v>#REF!</v>
      </c>
      <c r="GE222" t="e">
        <f>IF(#REF!,"AAAAAB07+bo=",0)</f>
        <v>#REF!</v>
      </c>
      <c r="GF222" t="e">
        <f>IF(#REF!,"AAAAAB07+bs=",0)</f>
        <v>#REF!</v>
      </c>
      <c r="GG222" t="e">
        <f>IF(#REF!,"AAAAAB07+bw=",0)</f>
        <v>#REF!</v>
      </c>
      <c r="GH222" t="e">
        <f>IF(#REF!,"AAAAAB07+b0=",0)</f>
        <v>#REF!</v>
      </c>
      <c r="GI222" t="e">
        <f>IF(#REF!,"AAAAAB07+b4=",0)</f>
        <v>#REF!</v>
      </c>
      <c r="GJ222" t="e">
        <f>IF(#REF!,"AAAAAB07+b8=",0)</f>
        <v>#REF!</v>
      </c>
      <c r="GK222" t="e">
        <f>IF(#REF!,"AAAAAB07+cA=",0)</f>
        <v>#REF!</v>
      </c>
      <c r="GL222" t="e">
        <f>IF(#REF!,"AAAAAB07+cE=",0)</f>
        <v>#REF!</v>
      </c>
      <c r="GM222" t="e">
        <f>IF(#REF!,"AAAAAB07+cI=",0)</f>
        <v>#REF!</v>
      </c>
      <c r="GN222" t="e">
        <f>IF(#REF!,"AAAAAB07+cM=",0)</f>
        <v>#REF!</v>
      </c>
      <c r="GO222" t="e">
        <f>IF(#REF!,"AAAAAB07+cQ=",0)</f>
        <v>#REF!</v>
      </c>
      <c r="GP222" t="e">
        <f>IF(#REF!,"AAAAAB07+cU=",0)</f>
        <v>#REF!</v>
      </c>
      <c r="GQ222" t="e">
        <f>IF(#REF!,"AAAAAB07+cY=",0)</f>
        <v>#REF!</v>
      </c>
      <c r="GR222" t="e">
        <f>IF(#REF!,"AAAAAB07+cc=",0)</f>
        <v>#REF!</v>
      </c>
      <c r="GS222" t="e">
        <f>IF(#REF!,"AAAAAB07+cg=",0)</f>
        <v>#REF!</v>
      </c>
      <c r="GT222" t="e">
        <f>IF(#REF!,"AAAAAB07+ck=",0)</f>
        <v>#REF!</v>
      </c>
      <c r="GU222" t="e">
        <f>IF(#REF!,"AAAAAB07+co=",0)</f>
        <v>#REF!</v>
      </c>
      <c r="GV222" t="e">
        <f>IF(#REF!,"AAAAAB07+cs=",0)</f>
        <v>#REF!</v>
      </c>
      <c r="GW222" t="e">
        <f>IF(#REF!,"AAAAAB07+cw=",0)</f>
        <v>#REF!</v>
      </c>
      <c r="GX222" t="e">
        <f>IF(#REF!,"AAAAAB07+c0=",0)</f>
        <v>#REF!</v>
      </c>
      <c r="GY222" t="e">
        <f>IF(#REF!,"AAAAAB07+c4=",0)</f>
        <v>#REF!</v>
      </c>
      <c r="GZ222" t="e">
        <f>IF(#REF!,"AAAAAB07+c8=",0)</f>
        <v>#REF!</v>
      </c>
      <c r="HA222" t="e">
        <f>IF(#REF!,"AAAAAB07+dA=",0)</f>
        <v>#REF!</v>
      </c>
      <c r="HB222" t="e">
        <f>IF(#REF!,"AAAAAB07+dE=",0)</f>
        <v>#REF!</v>
      </c>
      <c r="HC222" t="e">
        <f>IF(#REF!,"AAAAAB07+dI=",0)</f>
        <v>#REF!</v>
      </c>
      <c r="HD222" t="e">
        <f>IF(#REF!,"AAAAAB07+dM=",0)</f>
        <v>#REF!</v>
      </c>
      <c r="HE222" t="e">
        <f>IF(#REF!,"AAAAAB07+dQ=",0)</f>
        <v>#REF!</v>
      </c>
      <c r="HF222" t="e">
        <f>IF(#REF!,"AAAAAB07+dU=",0)</f>
        <v>#REF!</v>
      </c>
      <c r="HG222" t="e">
        <f>IF(#REF!,"AAAAAB07+dY=",0)</f>
        <v>#REF!</v>
      </c>
      <c r="HH222" t="e">
        <f>IF(#REF!,"AAAAAB07+dc=",0)</f>
        <v>#REF!</v>
      </c>
      <c r="HI222" t="e">
        <f>IF(#REF!,"AAAAAB07+dg=",0)</f>
        <v>#REF!</v>
      </c>
      <c r="HJ222" t="e">
        <f>IF(#REF!,"AAAAAB07+dk=",0)</f>
        <v>#REF!</v>
      </c>
      <c r="HK222" t="e">
        <f>IF(#REF!,"AAAAAB07+do=",0)</f>
        <v>#REF!</v>
      </c>
      <c r="HL222" t="e">
        <f>IF(#REF!,"AAAAAB07+ds=",0)</f>
        <v>#REF!</v>
      </c>
      <c r="HM222" t="e">
        <f>IF(#REF!,"AAAAAB07+dw=",0)</f>
        <v>#REF!</v>
      </c>
      <c r="HN222" t="e">
        <f>IF(#REF!,"AAAAAB07+d0=",0)</f>
        <v>#REF!</v>
      </c>
      <c r="HO222" t="e">
        <f>IF(#REF!,"AAAAAB07+d4=",0)</f>
        <v>#REF!</v>
      </c>
      <c r="HP222" t="e">
        <f>IF(#REF!,"AAAAAB07+d8=",0)</f>
        <v>#REF!</v>
      </c>
      <c r="HQ222" t="e">
        <f>IF(#REF!,"AAAAAB07+eA=",0)</f>
        <v>#REF!</v>
      </c>
      <c r="HR222" t="e">
        <f>IF(#REF!,"AAAAAB07+eE=",0)</f>
        <v>#REF!</v>
      </c>
      <c r="HS222" t="e">
        <f>IF(#REF!,"AAAAAB07+eI=",0)</f>
        <v>#REF!</v>
      </c>
      <c r="HT222" t="e">
        <f>IF(#REF!,"AAAAAB07+eM=",0)</f>
        <v>#REF!</v>
      </c>
      <c r="HU222" t="e">
        <f>IF(#REF!,"AAAAAB07+eQ=",0)</f>
        <v>#REF!</v>
      </c>
      <c r="HV222" t="e">
        <f>IF(#REF!,"AAAAAB07+eU=",0)</f>
        <v>#REF!</v>
      </c>
      <c r="HW222" t="e">
        <f>IF(#REF!,"AAAAAB07+eY=",0)</f>
        <v>#REF!</v>
      </c>
      <c r="HX222" t="e">
        <f>IF(#REF!,"AAAAAB07+ec=",0)</f>
        <v>#REF!</v>
      </c>
      <c r="HY222" t="e">
        <f>IF(#REF!,"AAAAAB07+eg=",0)</f>
        <v>#REF!</v>
      </c>
      <c r="HZ222" t="e">
        <f>IF(#REF!,"AAAAAB07+ek=",0)</f>
        <v>#REF!</v>
      </c>
      <c r="IA222" t="e">
        <f>IF(#REF!,"AAAAAB07+eo=",0)</f>
        <v>#REF!</v>
      </c>
      <c r="IB222" t="e">
        <f>IF(#REF!,"AAAAAB07+es=",0)</f>
        <v>#REF!</v>
      </c>
      <c r="IC222" t="e">
        <f>IF(#REF!,"AAAAAB07+ew=",0)</f>
        <v>#REF!</v>
      </c>
      <c r="ID222" t="e">
        <f>IF(#REF!,"AAAAAB07+e0=",0)</f>
        <v>#REF!</v>
      </c>
      <c r="IE222" t="e">
        <f>IF(#REF!,"AAAAAB07+e4=",0)</f>
        <v>#REF!</v>
      </c>
      <c r="IF222" t="e">
        <f>IF(#REF!,"AAAAAB07+e8=",0)</f>
        <v>#REF!</v>
      </c>
      <c r="IG222" t="e">
        <f>IF(#REF!,"AAAAAB07+fA=",0)</f>
        <v>#REF!</v>
      </c>
      <c r="IH222" t="e">
        <f>IF(#REF!,"AAAAAB07+fE=",0)</f>
        <v>#REF!</v>
      </c>
      <c r="II222" t="e">
        <f>IF(#REF!,"AAAAAB07+fI=",0)</f>
        <v>#REF!</v>
      </c>
      <c r="IJ222" t="e">
        <f>IF(#REF!,"AAAAAB07+fM=",0)</f>
        <v>#REF!</v>
      </c>
      <c r="IK222" t="e">
        <f>IF(#REF!,"AAAAAB07+fQ=",0)</f>
        <v>#REF!</v>
      </c>
      <c r="IL222" t="e">
        <f>IF(#REF!,"AAAAAB07+fU=",0)</f>
        <v>#REF!</v>
      </c>
      <c r="IM222" t="e">
        <f>IF(#REF!,"AAAAAB07+fY=",0)</f>
        <v>#REF!</v>
      </c>
      <c r="IN222" t="e">
        <f>IF(#REF!,"AAAAAB07+fc=",0)</f>
        <v>#REF!</v>
      </c>
      <c r="IO222" t="e">
        <f>IF(#REF!,"AAAAAB07+fg=",0)</f>
        <v>#REF!</v>
      </c>
      <c r="IP222" t="e">
        <f>IF(#REF!,"AAAAAB07+fk=",0)</f>
        <v>#REF!</v>
      </c>
      <c r="IQ222" t="e">
        <f>IF(#REF!,"AAAAAB07+fo=",0)</f>
        <v>#REF!</v>
      </c>
      <c r="IR222" t="e">
        <f>IF(#REF!,"AAAAAB07+fs=",0)</f>
        <v>#REF!</v>
      </c>
      <c r="IS222" t="e">
        <f>IF(#REF!,"AAAAAB07+fw=",0)</f>
        <v>#REF!</v>
      </c>
      <c r="IT222" t="e">
        <f>IF(#REF!,"AAAAAB07+f0=",0)</f>
        <v>#REF!</v>
      </c>
      <c r="IU222" t="e">
        <f>IF(#REF!,"AAAAAB07+f4=",0)</f>
        <v>#REF!</v>
      </c>
      <c r="IV222" t="e">
        <f>IF(#REF!,"AAAAAB07+f8=",0)</f>
        <v>#REF!</v>
      </c>
    </row>
    <row r="223" spans="1:256">
      <c r="A223" t="e">
        <f>IF(#REF!,"AAAAABO/6wA=",0)</f>
        <v>#REF!</v>
      </c>
      <c r="B223" t="e">
        <f>IF(#REF!,"AAAAABO/6wE=",0)</f>
        <v>#REF!</v>
      </c>
      <c r="C223" t="e">
        <f>IF(#REF!,"AAAAABO/6wI=",0)</f>
        <v>#REF!</v>
      </c>
      <c r="D223" t="e">
        <f>IF(#REF!,"AAAAABO/6wM=",0)</f>
        <v>#REF!</v>
      </c>
      <c r="E223" t="e">
        <f>IF(#REF!,"AAAAABO/6wQ=",0)</f>
        <v>#REF!</v>
      </c>
      <c r="F223" t="e">
        <f>IF(#REF!,"AAAAABO/6wU=",0)</f>
        <v>#REF!</v>
      </c>
      <c r="G223" t="e">
        <f>IF(#REF!,"AAAAABO/6wY=",0)</f>
        <v>#REF!</v>
      </c>
      <c r="H223" t="e">
        <f>IF(#REF!,"AAAAABO/6wc=",0)</f>
        <v>#REF!</v>
      </c>
      <c r="I223" t="e">
        <f>IF(#REF!,"AAAAABO/6wg=",0)</f>
        <v>#REF!</v>
      </c>
      <c r="J223" t="e">
        <f>IF(#REF!,"AAAAABO/6wk=",0)</f>
        <v>#REF!</v>
      </c>
      <c r="K223" t="e">
        <f>IF(#REF!,"AAAAABO/6wo=",0)</f>
        <v>#REF!</v>
      </c>
      <c r="L223" t="e">
        <f>IF(#REF!,"AAAAABO/6ws=",0)</f>
        <v>#REF!</v>
      </c>
      <c r="M223" t="e">
        <f>IF(#REF!,"AAAAABO/6ww=",0)</f>
        <v>#REF!</v>
      </c>
      <c r="N223" t="e">
        <f>IF(#REF!,"AAAAABO/6w0=",0)</f>
        <v>#REF!</v>
      </c>
      <c r="O223" t="e">
        <f>IF(#REF!,"AAAAABO/6w4=",0)</f>
        <v>#REF!</v>
      </c>
      <c r="P223" t="e">
        <f>IF(#REF!,"AAAAABO/6w8=",0)</f>
        <v>#REF!</v>
      </c>
      <c r="Q223" t="e">
        <f>IF(#REF!,"AAAAABO/6xA=",0)</f>
        <v>#REF!</v>
      </c>
      <c r="R223" t="e">
        <f>IF(#REF!,"AAAAABO/6xE=",0)</f>
        <v>#REF!</v>
      </c>
      <c r="S223" t="e">
        <f>IF(#REF!,"AAAAABO/6xI=",0)</f>
        <v>#REF!</v>
      </c>
      <c r="T223" t="e">
        <f>IF(#REF!,"AAAAABO/6xM=",0)</f>
        <v>#REF!</v>
      </c>
      <c r="U223" t="e">
        <f>IF(#REF!,"AAAAABO/6xQ=",0)</f>
        <v>#REF!</v>
      </c>
      <c r="V223" t="e">
        <f>IF(#REF!,"AAAAABO/6xU=",0)</f>
        <v>#REF!</v>
      </c>
      <c r="W223" t="e">
        <f>IF(#REF!,"AAAAABO/6xY=",0)</f>
        <v>#REF!</v>
      </c>
      <c r="X223" t="e">
        <f>IF(#REF!,"AAAAABO/6xc=",0)</f>
        <v>#REF!</v>
      </c>
      <c r="Y223" t="e">
        <f>IF(#REF!,"AAAAABO/6xg=",0)</f>
        <v>#REF!</v>
      </c>
      <c r="Z223" t="e">
        <f>IF(#REF!,"AAAAABO/6xk=",0)</f>
        <v>#REF!</v>
      </c>
      <c r="AA223" t="e">
        <f>IF(#REF!,"AAAAABO/6xo=",0)</f>
        <v>#REF!</v>
      </c>
      <c r="AB223" t="e">
        <f>IF(#REF!,"AAAAABO/6xs=",0)</f>
        <v>#REF!</v>
      </c>
      <c r="AC223" t="e">
        <f>IF(#REF!,"AAAAABO/6xw=",0)</f>
        <v>#REF!</v>
      </c>
      <c r="AD223" t="e">
        <f>IF(#REF!,"AAAAABO/6x0=",0)</f>
        <v>#REF!</v>
      </c>
      <c r="AE223" t="e">
        <f>IF(#REF!,"AAAAABO/6x4=",0)</f>
        <v>#REF!</v>
      </c>
      <c r="AF223" t="e">
        <f>IF(#REF!,"AAAAABO/6x8=",0)</f>
        <v>#REF!</v>
      </c>
      <c r="AG223" t="e">
        <f>IF(#REF!,"AAAAABO/6yA=",0)</f>
        <v>#REF!</v>
      </c>
      <c r="AH223" t="e">
        <f>IF(#REF!,"AAAAABO/6yE=",0)</f>
        <v>#REF!</v>
      </c>
      <c r="AI223" t="e">
        <f>IF(#REF!,"AAAAABO/6yI=",0)</f>
        <v>#REF!</v>
      </c>
      <c r="AJ223" t="e">
        <f>IF(#REF!,"AAAAABO/6yM=",0)</f>
        <v>#REF!</v>
      </c>
      <c r="AK223" t="e">
        <f>IF(#REF!,"AAAAABO/6yQ=",0)</f>
        <v>#REF!</v>
      </c>
      <c r="AL223" t="e">
        <f>IF(#REF!,"AAAAABO/6yU=",0)</f>
        <v>#REF!</v>
      </c>
      <c r="AM223" t="e">
        <f>IF(#REF!,"AAAAABO/6yY=",0)</f>
        <v>#REF!</v>
      </c>
      <c r="AN223" t="e">
        <f>IF(#REF!,"AAAAABO/6yc=",0)</f>
        <v>#REF!</v>
      </c>
      <c r="AO223" t="e">
        <f>IF(#REF!,"AAAAABO/6yg=",0)</f>
        <v>#REF!</v>
      </c>
      <c r="AP223" t="e">
        <f>IF(#REF!,"AAAAABO/6yk=",0)</f>
        <v>#REF!</v>
      </c>
      <c r="AQ223" t="e">
        <f>IF(#REF!,"AAAAABO/6yo=",0)</f>
        <v>#REF!</v>
      </c>
      <c r="AR223" t="e">
        <f>IF(#REF!,"AAAAABO/6ys=",0)</f>
        <v>#REF!</v>
      </c>
      <c r="AS223" t="e">
        <f>IF(#REF!,"AAAAABO/6yw=",0)</f>
        <v>#REF!</v>
      </c>
      <c r="AT223" t="e">
        <f>IF(#REF!,"AAAAABO/6y0=",0)</f>
        <v>#REF!</v>
      </c>
      <c r="AU223" t="e">
        <f>IF(#REF!,"AAAAABO/6y4=",0)</f>
        <v>#REF!</v>
      </c>
      <c r="AV223" t="e">
        <f>IF(#REF!,"AAAAABO/6y8=",0)</f>
        <v>#REF!</v>
      </c>
      <c r="AW223" t="e">
        <f>IF(#REF!,"AAAAABO/6zA=",0)</f>
        <v>#REF!</v>
      </c>
      <c r="AX223" t="e">
        <f>IF(#REF!,"AAAAABO/6zE=",0)</f>
        <v>#REF!</v>
      </c>
      <c r="AY223" t="e">
        <f>IF(#REF!,"AAAAABO/6zI=",0)</f>
        <v>#REF!</v>
      </c>
      <c r="AZ223" t="e">
        <f>IF(#REF!,"AAAAABO/6zM=",0)</f>
        <v>#REF!</v>
      </c>
      <c r="BA223" t="e">
        <f>IF(#REF!,"AAAAABO/6zQ=",0)</f>
        <v>#REF!</v>
      </c>
      <c r="BB223" t="e">
        <f>IF(#REF!,"AAAAABO/6zU=",0)</f>
        <v>#REF!</v>
      </c>
      <c r="BC223" t="e">
        <f>IF(#REF!,"AAAAABO/6zY=",0)</f>
        <v>#REF!</v>
      </c>
      <c r="BD223" t="e">
        <f>IF(#REF!,"AAAAABO/6zc=",0)</f>
        <v>#REF!</v>
      </c>
      <c r="BE223" t="e">
        <f>IF(#REF!,"AAAAABO/6zg=",0)</f>
        <v>#REF!</v>
      </c>
      <c r="BF223" t="e">
        <f>IF(#REF!,"AAAAABO/6zk=",0)</f>
        <v>#REF!</v>
      </c>
      <c r="BG223" t="e">
        <f>IF(#REF!,"AAAAABO/6zo=",0)</f>
        <v>#REF!</v>
      </c>
      <c r="BH223" t="e">
        <f>IF(#REF!,"AAAAABO/6zs=",0)</f>
        <v>#REF!</v>
      </c>
      <c r="BI223" t="e">
        <f>IF(#REF!,"AAAAABO/6zw=",0)</f>
        <v>#REF!</v>
      </c>
      <c r="BJ223" t="e">
        <f>IF(#REF!,"AAAAABO/6z0=",0)</f>
        <v>#REF!</v>
      </c>
      <c r="BK223" t="e">
        <f>IF(#REF!,"AAAAABO/6z4=",0)</f>
        <v>#REF!</v>
      </c>
      <c r="BL223" t="e">
        <f>IF(#REF!,"AAAAABO/6z8=",0)</f>
        <v>#REF!</v>
      </c>
      <c r="BM223" t="e">
        <f>IF(#REF!,"AAAAABO/60A=",0)</f>
        <v>#REF!</v>
      </c>
      <c r="BN223" t="e">
        <f>IF(#REF!,"AAAAABO/60E=",0)</f>
        <v>#REF!</v>
      </c>
      <c r="BO223" t="e">
        <f>IF(#REF!,"AAAAABO/60I=",0)</f>
        <v>#REF!</v>
      </c>
      <c r="BP223" t="e">
        <f>IF(#REF!,"AAAAABO/60M=",0)</f>
        <v>#REF!</v>
      </c>
      <c r="BQ223" t="e">
        <f>IF(#REF!,"AAAAABO/60Q=",0)</f>
        <v>#REF!</v>
      </c>
      <c r="BR223" t="e">
        <f>IF(#REF!,"AAAAABO/60U=",0)</f>
        <v>#REF!</v>
      </c>
      <c r="BS223" t="e">
        <f>IF(#REF!,"AAAAABO/60Y=",0)</f>
        <v>#REF!</v>
      </c>
      <c r="BT223" t="e">
        <f>IF(#REF!,"AAAAABO/60c=",0)</f>
        <v>#REF!</v>
      </c>
      <c r="BU223" t="e">
        <f>IF(#REF!,"AAAAABO/60g=",0)</f>
        <v>#REF!</v>
      </c>
      <c r="BV223" t="e">
        <f>IF(#REF!,"AAAAABO/60k=",0)</f>
        <v>#REF!</v>
      </c>
      <c r="BW223" t="e">
        <f>IF(#REF!,"AAAAABO/60o=",0)</f>
        <v>#REF!</v>
      </c>
      <c r="BX223" t="e">
        <f>IF(#REF!,"AAAAABO/60s=",0)</f>
        <v>#REF!</v>
      </c>
      <c r="BY223" t="e">
        <f>IF(#REF!,"AAAAABO/60w=",0)</f>
        <v>#REF!</v>
      </c>
      <c r="BZ223" t="e">
        <f>IF(#REF!,"AAAAABO/600=",0)</f>
        <v>#REF!</v>
      </c>
      <c r="CA223" t="e">
        <f>IF(#REF!,"AAAAABO/604=",0)</f>
        <v>#REF!</v>
      </c>
      <c r="CB223" t="e">
        <f>IF(#REF!,"AAAAABO/608=",0)</f>
        <v>#REF!</v>
      </c>
      <c r="CC223" t="e">
        <f>IF(#REF!,"AAAAABO/61A=",0)</f>
        <v>#REF!</v>
      </c>
      <c r="CD223" t="e">
        <f>IF(#REF!,"AAAAABO/61E=",0)</f>
        <v>#REF!</v>
      </c>
      <c r="CE223" t="e">
        <f>IF(#REF!,"AAAAABO/61I=",0)</f>
        <v>#REF!</v>
      </c>
      <c r="CF223" t="e">
        <f>IF(#REF!,"AAAAABO/61M=",0)</f>
        <v>#REF!</v>
      </c>
      <c r="CG223" t="e">
        <f>IF(#REF!,"AAAAABO/61Q=",0)</f>
        <v>#REF!</v>
      </c>
      <c r="CH223" t="e">
        <f>IF(#REF!,"AAAAABO/61U=",0)</f>
        <v>#REF!</v>
      </c>
      <c r="CI223" t="e">
        <f>IF(#REF!,"AAAAABO/61Y=",0)</f>
        <v>#REF!</v>
      </c>
      <c r="CJ223" t="e">
        <f>IF(#REF!,"AAAAABO/61c=",0)</f>
        <v>#REF!</v>
      </c>
      <c r="CK223" t="e">
        <f>IF(#REF!,"AAAAABO/61g=",0)</f>
        <v>#REF!</v>
      </c>
      <c r="CL223" t="e">
        <f>IF(#REF!,"AAAAABO/61k=",0)</f>
        <v>#REF!</v>
      </c>
      <c r="CM223" t="e">
        <f>IF(#REF!,"AAAAABO/61o=",0)</f>
        <v>#REF!</v>
      </c>
      <c r="CN223" t="e">
        <f>IF(#REF!,"AAAAABO/61s=",0)</f>
        <v>#REF!</v>
      </c>
      <c r="CO223" t="e">
        <f>IF(#REF!,"AAAAABO/61w=",0)</f>
        <v>#REF!</v>
      </c>
      <c r="CP223" t="e">
        <f>IF(#REF!,"AAAAABO/610=",0)</f>
        <v>#REF!</v>
      </c>
      <c r="CQ223" t="e">
        <f>IF(#REF!,"AAAAABO/614=",0)</f>
        <v>#REF!</v>
      </c>
      <c r="CR223" t="e">
        <f>IF(#REF!,"AAAAABO/618=",0)</f>
        <v>#REF!</v>
      </c>
      <c r="CS223" t="e">
        <f>IF(#REF!,"AAAAABO/62A=",0)</f>
        <v>#REF!</v>
      </c>
      <c r="CT223" t="e">
        <f>IF(#REF!,"AAAAABO/62E=",0)</f>
        <v>#REF!</v>
      </c>
      <c r="CU223" t="e">
        <f>IF(#REF!,"AAAAABO/62I=",0)</f>
        <v>#REF!</v>
      </c>
      <c r="CV223" t="e">
        <f>IF(#REF!,"AAAAABO/62M=",0)</f>
        <v>#REF!</v>
      </c>
      <c r="CW223" t="e">
        <f>IF(#REF!,"AAAAABO/62Q=",0)</f>
        <v>#REF!</v>
      </c>
      <c r="CX223" t="e">
        <f>IF(#REF!,"AAAAABO/62U=",0)</f>
        <v>#REF!</v>
      </c>
      <c r="CY223" t="e">
        <f>IF(#REF!,"AAAAABO/62Y=",0)</f>
        <v>#REF!</v>
      </c>
      <c r="CZ223" t="e">
        <f>IF(#REF!,"AAAAABO/62c=",0)</f>
        <v>#REF!</v>
      </c>
      <c r="DA223" t="e">
        <f>IF(#REF!,"AAAAABO/62g=",0)</f>
        <v>#REF!</v>
      </c>
      <c r="DB223" t="e">
        <f>IF(#REF!,"AAAAABO/62k=",0)</f>
        <v>#REF!</v>
      </c>
      <c r="DC223" t="e">
        <f>IF(#REF!,"AAAAABO/62o=",0)</f>
        <v>#REF!</v>
      </c>
      <c r="DD223" t="e">
        <f>IF(#REF!,"AAAAABO/62s=",0)</f>
        <v>#REF!</v>
      </c>
      <c r="DE223" t="e">
        <f>IF(#REF!,"AAAAABO/62w=",0)</f>
        <v>#REF!</v>
      </c>
      <c r="DF223" t="e">
        <f>IF(#REF!,"AAAAABO/620=",0)</f>
        <v>#REF!</v>
      </c>
      <c r="DG223" t="e">
        <f>IF(#REF!,"AAAAABO/624=",0)</f>
        <v>#REF!</v>
      </c>
      <c r="DH223" t="e">
        <f>IF(#REF!,"AAAAABO/628=",0)</f>
        <v>#REF!</v>
      </c>
      <c r="DI223" t="e">
        <f>IF(#REF!,"AAAAABO/63A=",0)</f>
        <v>#REF!</v>
      </c>
      <c r="DJ223" t="e">
        <f>IF(#REF!,"AAAAABO/63E=",0)</f>
        <v>#REF!</v>
      </c>
      <c r="DK223" t="e">
        <f>IF(#REF!,"AAAAABO/63I=",0)</f>
        <v>#REF!</v>
      </c>
      <c r="DL223" t="e">
        <f>IF(#REF!,"AAAAABO/63M=",0)</f>
        <v>#REF!</v>
      </c>
      <c r="DM223" t="e">
        <f>IF(#REF!,"AAAAABO/63Q=",0)</f>
        <v>#REF!</v>
      </c>
      <c r="DN223" t="e">
        <f>IF(#REF!,"AAAAABO/63U=",0)</f>
        <v>#REF!</v>
      </c>
      <c r="DO223" t="e">
        <f>IF(#REF!,"AAAAABO/63Y=",0)</f>
        <v>#REF!</v>
      </c>
      <c r="DP223" t="e">
        <f>IF(#REF!,"AAAAABO/63c=",0)</f>
        <v>#REF!</v>
      </c>
      <c r="DQ223" t="e">
        <f>IF(#REF!,"AAAAABO/63g=",0)</f>
        <v>#REF!</v>
      </c>
      <c r="DR223" t="e">
        <f>IF(#REF!,"AAAAABO/63k=",0)</f>
        <v>#REF!</v>
      </c>
      <c r="DS223" t="e">
        <f>IF(#REF!,"AAAAABO/63o=",0)</f>
        <v>#REF!</v>
      </c>
      <c r="DT223" t="e">
        <f>IF(#REF!,"AAAAABO/63s=",0)</f>
        <v>#REF!</v>
      </c>
      <c r="DU223" t="e">
        <f>IF(#REF!,"AAAAABO/63w=",0)</f>
        <v>#REF!</v>
      </c>
      <c r="DV223" t="e">
        <f>IF(#REF!,"AAAAABO/630=",0)</f>
        <v>#REF!</v>
      </c>
      <c r="DW223" t="e">
        <f>IF(#REF!,"AAAAABO/634=",0)</f>
        <v>#REF!</v>
      </c>
      <c r="DX223" t="e">
        <f>IF(#REF!,"AAAAABO/638=",0)</f>
        <v>#REF!</v>
      </c>
      <c r="DY223" t="e">
        <f>IF(#REF!,"AAAAABO/64A=",0)</f>
        <v>#REF!</v>
      </c>
      <c r="DZ223" t="e">
        <f>IF(#REF!,"AAAAABO/64E=",0)</f>
        <v>#REF!</v>
      </c>
      <c r="EA223" t="e">
        <f>IF(#REF!,"AAAAABO/64I=",0)</f>
        <v>#REF!</v>
      </c>
      <c r="EB223" t="e">
        <f>IF(#REF!,"AAAAABO/64M=",0)</f>
        <v>#REF!</v>
      </c>
      <c r="EC223" t="e">
        <f>IF(#REF!,"AAAAABO/64Q=",0)</f>
        <v>#REF!</v>
      </c>
      <c r="ED223" t="e">
        <f>IF(#REF!,"AAAAABO/64U=",0)</f>
        <v>#REF!</v>
      </c>
      <c r="EE223" t="e">
        <f>IF(#REF!,"AAAAABO/64Y=",0)</f>
        <v>#REF!</v>
      </c>
      <c r="EF223" t="e">
        <f>IF(#REF!,"AAAAABO/64c=",0)</f>
        <v>#REF!</v>
      </c>
      <c r="EG223" t="e">
        <f>IF(#REF!,"AAAAABO/64g=",0)</f>
        <v>#REF!</v>
      </c>
      <c r="EH223" t="e">
        <f>IF(#REF!,"AAAAABO/64k=",0)</f>
        <v>#REF!</v>
      </c>
      <c r="EI223" t="e">
        <f>IF(#REF!,"AAAAABO/64o=",0)</f>
        <v>#REF!</v>
      </c>
      <c r="EJ223" t="e">
        <f>IF(#REF!,"AAAAABO/64s=",0)</f>
        <v>#REF!</v>
      </c>
      <c r="EK223" t="e">
        <f>IF(#REF!,"AAAAABO/64w=",0)</f>
        <v>#REF!</v>
      </c>
      <c r="EL223" t="e">
        <f>IF(#REF!,"AAAAABO/640=",0)</f>
        <v>#REF!</v>
      </c>
      <c r="EM223" t="e">
        <f>IF(#REF!,"AAAAABO/644=",0)</f>
        <v>#REF!</v>
      </c>
      <c r="EN223" t="e">
        <f>IF(#REF!,"AAAAABO/648=",0)</f>
        <v>#REF!</v>
      </c>
      <c r="EO223" t="e">
        <f>IF(#REF!,"AAAAABO/65A=",0)</f>
        <v>#REF!</v>
      </c>
      <c r="EP223" t="e">
        <f>IF(#REF!,"AAAAABO/65E=",0)</f>
        <v>#REF!</v>
      </c>
      <c r="EQ223" t="e">
        <f>IF(#REF!,"AAAAABO/65I=",0)</f>
        <v>#REF!</v>
      </c>
      <c r="ER223" t="e">
        <f>IF(#REF!,"AAAAABO/65M=",0)</f>
        <v>#REF!</v>
      </c>
      <c r="ES223" t="e">
        <f>IF(#REF!,"AAAAABO/65Q=",0)</f>
        <v>#REF!</v>
      </c>
      <c r="ET223" t="e">
        <f>IF(#REF!,"AAAAABO/65U=",0)</f>
        <v>#REF!</v>
      </c>
      <c r="EU223" t="e">
        <f>IF(#REF!,"AAAAABO/65Y=",0)</f>
        <v>#REF!</v>
      </c>
      <c r="EV223" t="e">
        <f>IF(#REF!,"AAAAABO/65c=",0)</f>
        <v>#REF!</v>
      </c>
      <c r="EW223" t="e">
        <f>IF(#REF!,"AAAAABO/65g=",0)</f>
        <v>#REF!</v>
      </c>
      <c r="EX223" t="e">
        <f>IF(#REF!,"AAAAABO/65k=",0)</f>
        <v>#REF!</v>
      </c>
      <c r="EY223" t="e">
        <f>IF(#REF!,"AAAAABO/65o=",0)</f>
        <v>#REF!</v>
      </c>
      <c r="EZ223" t="e">
        <f>IF(#REF!,"AAAAABO/65s=",0)</f>
        <v>#REF!</v>
      </c>
      <c r="FA223" t="e">
        <f>IF(#REF!,"AAAAABO/65w=",0)</f>
        <v>#REF!</v>
      </c>
      <c r="FB223" t="e">
        <f>IF(#REF!,"AAAAABO/650=",0)</f>
        <v>#REF!</v>
      </c>
      <c r="FC223" t="e">
        <f>IF(#REF!,"AAAAABO/654=",0)</f>
        <v>#REF!</v>
      </c>
      <c r="FD223" t="e">
        <f>IF(#REF!,"AAAAABO/658=",0)</f>
        <v>#REF!</v>
      </c>
      <c r="FE223" t="e">
        <f>IF(#REF!,"AAAAABO/66A=",0)</f>
        <v>#REF!</v>
      </c>
      <c r="FF223" t="e">
        <f>IF(#REF!,"AAAAABO/66E=",0)</f>
        <v>#REF!</v>
      </c>
      <c r="FG223" t="e">
        <f>IF(#REF!,"AAAAABO/66I=",0)</f>
        <v>#REF!</v>
      </c>
      <c r="FH223" t="e">
        <f>IF(#REF!,"AAAAABO/66M=",0)</f>
        <v>#REF!</v>
      </c>
      <c r="FI223" t="e">
        <f>IF(#REF!,"AAAAABO/66Q=",0)</f>
        <v>#REF!</v>
      </c>
      <c r="FJ223" t="e">
        <f>IF(#REF!,"AAAAABO/66U=",0)</f>
        <v>#REF!</v>
      </c>
      <c r="FK223" t="e">
        <f>IF(#REF!,"AAAAABO/66Y=",0)</f>
        <v>#REF!</v>
      </c>
      <c r="FL223" t="e">
        <f>IF(#REF!,"AAAAABO/66c=",0)</f>
        <v>#REF!</v>
      </c>
      <c r="FM223" t="e">
        <f>IF(#REF!,"AAAAABO/66g=",0)</f>
        <v>#REF!</v>
      </c>
      <c r="FN223" t="e">
        <f>IF(#REF!,"AAAAABO/66k=",0)</f>
        <v>#REF!</v>
      </c>
      <c r="FO223" t="e">
        <f>IF(#REF!,"AAAAABO/66o=",0)</f>
        <v>#REF!</v>
      </c>
      <c r="FP223" t="e">
        <f>IF(#REF!,"AAAAABO/66s=",0)</f>
        <v>#REF!</v>
      </c>
      <c r="FQ223" t="e">
        <f>IF(#REF!,"AAAAABO/66w=",0)</f>
        <v>#REF!</v>
      </c>
      <c r="FR223" t="e">
        <f>IF(#REF!,"AAAAABO/660=",0)</f>
        <v>#REF!</v>
      </c>
      <c r="FS223" t="e">
        <f>IF(#REF!,"AAAAABO/664=",0)</f>
        <v>#REF!</v>
      </c>
      <c r="FT223" t="e">
        <f>IF(#REF!,"AAAAABO/668=",0)</f>
        <v>#REF!</v>
      </c>
      <c r="FU223" t="e">
        <f>IF(#REF!,"AAAAABO/67A=",0)</f>
        <v>#REF!</v>
      </c>
      <c r="FV223" t="e">
        <f>IF(#REF!,"AAAAABO/67E=",0)</f>
        <v>#REF!</v>
      </c>
      <c r="FW223" t="e">
        <f>IF(#REF!,"AAAAABO/67I=",0)</f>
        <v>#REF!</v>
      </c>
      <c r="FX223" t="e">
        <f>IF(#REF!,"AAAAABO/67M=",0)</f>
        <v>#REF!</v>
      </c>
      <c r="FY223" t="e">
        <f>IF(#REF!,"AAAAABO/67Q=",0)</f>
        <v>#REF!</v>
      </c>
      <c r="FZ223" t="e">
        <f>IF(#REF!,"AAAAABO/67U=",0)</f>
        <v>#REF!</v>
      </c>
      <c r="GA223" t="e">
        <f>IF(#REF!,"AAAAABO/67Y=",0)</f>
        <v>#REF!</v>
      </c>
      <c r="GB223" t="e">
        <f>IF(#REF!,"AAAAABO/67c=",0)</f>
        <v>#REF!</v>
      </c>
      <c r="GC223" t="e">
        <f>IF(#REF!,"AAAAABO/67g=",0)</f>
        <v>#REF!</v>
      </c>
      <c r="GD223" t="e">
        <f>IF(#REF!,"AAAAABO/67k=",0)</f>
        <v>#REF!</v>
      </c>
      <c r="GE223" t="e">
        <f>IF(#REF!,"AAAAABO/67o=",0)</f>
        <v>#REF!</v>
      </c>
      <c r="GF223" t="e">
        <f>IF(#REF!,"AAAAABO/67s=",0)</f>
        <v>#REF!</v>
      </c>
      <c r="GG223" t="e">
        <f>IF(#REF!,"AAAAABO/67w=",0)</f>
        <v>#REF!</v>
      </c>
      <c r="GH223" t="e">
        <f>IF(#REF!,"AAAAABO/670=",0)</f>
        <v>#REF!</v>
      </c>
      <c r="GI223" t="e">
        <f>IF(#REF!,"AAAAABO/674=",0)</f>
        <v>#REF!</v>
      </c>
      <c r="GJ223" t="e">
        <f>IF(#REF!,"AAAAABO/678=",0)</f>
        <v>#REF!</v>
      </c>
      <c r="GK223" t="e">
        <f>IF(#REF!,"AAAAABO/68A=",0)</f>
        <v>#REF!</v>
      </c>
      <c r="GL223" t="e">
        <f>IF(#REF!,"AAAAABO/68E=",0)</f>
        <v>#REF!</v>
      </c>
      <c r="GM223" t="e">
        <f>IF(#REF!,"AAAAABO/68I=",0)</f>
        <v>#REF!</v>
      </c>
      <c r="GN223" t="e">
        <f>IF(#REF!,"AAAAABO/68M=",0)</f>
        <v>#REF!</v>
      </c>
      <c r="GO223" t="e">
        <f>IF(#REF!,"AAAAABO/68Q=",0)</f>
        <v>#REF!</v>
      </c>
      <c r="GP223" t="e">
        <f>IF(#REF!,"AAAAABO/68U=",0)</f>
        <v>#REF!</v>
      </c>
      <c r="GQ223" t="e">
        <f>IF(#REF!,"AAAAABO/68Y=",0)</f>
        <v>#REF!</v>
      </c>
      <c r="GR223" t="e">
        <f>IF(#REF!,"AAAAABO/68c=",0)</f>
        <v>#REF!</v>
      </c>
      <c r="GS223" t="e">
        <f>IF(#REF!,"AAAAABO/68g=",0)</f>
        <v>#REF!</v>
      </c>
      <c r="GT223" t="e">
        <f>IF(#REF!,"AAAAABO/68k=",0)</f>
        <v>#REF!</v>
      </c>
      <c r="GU223" t="e">
        <f>IF(#REF!,"AAAAABO/68o=",0)</f>
        <v>#REF!</v>
      </c>
      <c r="GV223" t="e">
        <f>IF(#REF!,"AAAAABO/68s=",0)</f>
        <v>#REF!</v>
      </c>
      <c r="GW223" t="e">
        <f>IF(#REF!,"AAAAABO/68w=",0)</f>
        <v>#REF!</v>
      </c>
      <c r="GX223" t="e">
        <f>IF(#REF!,"AAAAABO/680=",0)</f>
        <v>#REF!</v>
      </c>
      <c r="GY223" t="e">
        <f>IF(#REF!,"AAAAABO/684=",0)</f>
        <v>#REF!</v>
      </c>
      <c r="GZ223" t="e">
        <f>IF(#REF!,"AAAAABO/688=",0)</f>
        <v>#REF!</v>
      </c>
      <c r="HA223" t="e">
        <f>IF(#REF!,"AAAAABO/69A=",0)</f>
        <v>#REF!</v>
      </c>
      <c r="HB223" t="e">
        <f>IF(#REF!,"AAAAABO/69E=",0)</f>
        <v>#REF!</v>
      </c>
      <c r="HC223" t="e">
        <f>IF(#REF!,"AAAAABO/69I=",0)</f>
        <v>#REF!</v>
      </c>
      <c r="HD223" t="e">
        <f>IF(#REF!,"AAAAABO/69M=",0)</f>
        <v>#REF!</v>
      </c>
      <c r="HE223" t="e">
        <f>IF(#REF!,"AAAAABO/69Q=",0)</f>
        <v>#REF!</v>
      </c>
      <c r="HF223" t="e">
        <f>IF(#REF!,"AAAAABO/69U=",0)</f>
        <v>#REF!</v>
      </c>
      <c r="HG223" t="e">
        <f>IF(#REF!,"AAAAABO/69Y=",0)</f>
        <v>#REF!</v>
      </c>
      <c r="HH223" t="e">
        <f>IF(#REF!,"AAAAABO/69c=",0)</f>
        <v>#REF!</v>
      </c>
      <c r="HI223" t="e">
        <f>IF(#REF!,"AAAAABO/69g=",0)</f>
        <v>#REF!</v>
      </c>
      <c r="HJ223" t="e">
        <f>IF(#REF!,"AAAAABO/69k=",0)</f>
        <v>#REF!</v>
      </c>
      <c r="HK223" t="e">
        <f>IF(#REF!,"AAAAABO/69o=",0)</f>
        <v>#REF!</v>
      </c>
      <c r="HL223" t="e">
        <f>IF(#REF!,"AAAAABO/69s=",0)</f>
        <v>#REF!</v>
      </c>
      <c r="HM223" t="e">
        <f>IF(#REF!,"AAAAABO/69w=",0)</f>
        <v>#REF!</v>
      </c>
      <c r="HN223" t="e">
        <f>IF(#REF!,"AAAAABO/690=",0)</f>
        <v>#REF!</v>
      </c>
      <c r="HO223" t="e">
        <f>IF(#REF!,"AAAAABO/694=",0)</f>
        <v>#REF!</v>
      </c>
      <c r="HP223" t="e">
        <f>IF(#REF!,"AAAAABO/698=",0)</f>
        <v>#REF!</v>
      </c>
      <c r="HQ223" t="e">
        <f>IF(#REF!,"AAAAABO/6+A=",0)</f>
        <v>#REF!</v>
      </c>
      <c r="HR223" t="e">
        <f>IF(#REF!,"AAAAABO/6+E=",0)</f>
        <v>#REF!</v>
      </c>
      <c r="HS223" t="e">
        <f>IF(#REF!,"AAAAABO/6+I=",0)</f>
        <v>#REF!</v>
      </c>
      <c r="HT223" t="e">
        <f>IF(#REF!,"AAAAABO/6+M=",0)</f>
        <v>#REF!</v>
      </c>
      <c r="HU223" t="e">
        <f>IF(#REF!,"AAAAABO/6+Q=",0)</f>
        <v>#REF!</v>
      </c>
      <c r="HV223" t="e">
        <f>IF(#REF!,"AAAAABO/6+U=",0)</f>
        <v>#REF!</v>
      </c>
      <c r="HW223" t="e">
        <f>IF(#REF!,"AAAAABO/6+Y=",0)</f>
        <v>#REF!</v>
      </c>
      <c r="HX223" t="e">
        <f>IF(#REF!,"AAAAABO/6+c=",0)</f>
        <v>#REF!</v>
      </c>
      <c r="HY223" t="e">
        <f>IF(#REF!,"AAAAABO/6+g=",0)</f>
        <v>#REF!</v>
      </c>
      <c r="HZ223" t="e">
        <f>IF(#REF!,"AAAAABO/6+k=",0)</f>
        <v>#REF!</v>
      </c>
      <c r="IA223" t="e">
        <f>IF(#REF!,"AAAAABO/6+o=",0)</f>
        <v>#REF!</v>
      </c>
      <c r="IB223" t="e">
        <f>IF(#REF!,"AAAAABO/6+s=",0)</f>
        <v>#REF!</v>
      </c>
      <c r="IC223" t="e">
        <f>IF(#REF!,"AAAAABO/6+w=",0)</f>
        <v>#REF!</v>
      </c>
      <c r="ID223" t="e">
        <f>IF(#REF!,"AAAAABO/6+0=",0)</f>
        <v>#REF!</v>
      </c>
      <c r="IE223" t="e">
        <f>IF(#REF!,"AAAAABO/6+4=",0)</f>
        <v>#REF!</v>
      </c>
      <c r="IF223" t="e">
        <f>IF(#REF!,"AAAAABO/6+8=",0)</f>
        <v>#REF!</v>
      </c>
      <c r="IG223" t="e">
        <f>IF(#REF!,"AAAAABO/6/A=",0)</f>
        <v>#REF!</v>
      </c>
      <c r="IH223" t="e">
        <f>IF(#REF!,"AAAAABO/6/E=",0)</f>
        <v>#REF!</v>
      </c>
      <c r="II223" t="e">
        <f>IF(#REF!,"AAAAABO/6/I=",0)</f>
        <v>#REF!</v>
      </c>
      <c r="IJ223" t="e">
        <f>IF(#REF!,"AAAAABO/6/M=",0)</f>
        <v>#REF!</v>
      </c>
      <c r="IK223" t="e">
        <f>IF(#REF!,"AAAAABO/6/Q=",0)</f>
        <v>#REF!</v>
      </c>
      <c r="IL223" t="e">
        <f>IF(#REF!,"AAAAABO/6/U=",0)</f>
        <v>#REF!</v>
      </c>
      <c r="IM223" t="e">
        <f>IF(#REF!,"AAAAABO/6/Y=",0)</f>
        <v>#REF!</v>
      </c>
      <c r="IN223" t="e">
        <f>IF(#REF!,"AAAAABO/6/c=",0)</f>
        <v>#REF!</v>
      </c>
      <c r="IO223" t="e">
        <f>IF(#REF!,"AAAAABO/6/g=",0)</f>
        <v>#REF!</v>
      </c>
      <c r="IP223" t="e">
        <f>IF(#REF!,"AAAAABO/6/k=",0)</f>
        <v>#REF!</v>
      </c>
      <c r="IQ223" t="e">
        <f>IF(#REF!,"AAAAABO/6/o=",0)</f>
        <v>#REF!</v>
      </c>
      <c r="IR223" t="e">
        <f>IF(#REF!,"AAAAABO/6/s=",0)</f>
        <v>#REF!</v>
      </c>
      <c r="IS223" t="e">
        <f>IF(#REF!,"AAAAABO/6/w=",0)</f>
        <v>#REF!</v>
      </c>
      <c r="IT223" t="e">
        <f>IF(#REF!,"AAAAABO/6/0=",0)</f>
        <v>#REF!</v>
      </c>
      <c r="IU223" t="e">
        <f>IF(#REF!,"AAAAABO/6/4=",0)</f>
        <v>#REF!</v>
      </c>
      <c r="IV223" t="e">
        <f>IF(#REF!,"AAAAABO/6/8=",0)</f>
        <v>#REF!</v>
      </c>
    </row>
    <row r="224" spans="1:256">
      <c r="A224" t="e">
        <f>IF(#REF!,"AAAAAH/PjwA=",0)</f>
        <v>#REF!</v>
      </c>
      <c r="B224" t="e">
        <f>IF(#REF!,"AAAAAH/PjwE=",0)</f>
        <v>#REF!</v>
      </c>
      <c r="C224" t="e">
        <f>IF(#REF!,"AAAAAH/PjwI=",0)</f>
        <v>#REF!</v>
      </c>
      <c r="D224" t="e">
        <f>IF(#REF!,"AAAAAH/PjwM=",0)</f>
        <v>#REF!</v>
      </c>
      <c r="E224" t="e">
        <f>IF(#REF!,"AAAAAH/PjwQ=",0)</f>
        <v>#REF!</v>
      </c>
      <c r="F224" t="e">
        <f>IF(#REF!,"AAAAAH/PjwU=",0)</f>
        <v>#REF!</v>
      </c>
      <c r="G224" t="e">
        <f>IF(#REF!,"AAAAAH/PjwY=",0)</f>
        <v>#REF!</v>
      </c>
      <c r="H224" t="e">
        <f>IF(#REF!,"AAAAAH/Pjwc=",0)</f>
        <v>#REF!</v>
      </c>
      <c r="I224" t="e">
        <f>IF(#REF!,"AAAAAH/Pjwg=",0)</f>
        <v>#REF!</v>
      </c>
      <c r="J224" t="e">
        <f>IF(#REF!,"AAAAAH/Pjwk=",0)</f>
        <v>#REF!</v>
      </c>
      <c r="K224" t="e">
        <f>IF(#REF!,"AAAAAH/Pjwo=",0)</f>
        <v>#REF!</v>
      </c>
      <c r="L224" t="e">
        <f>IF(#REF!,"AAAAAH/Pjws=",0)</f>
        <v>#REF!</v>
      </c>
      <c r="M224" t="e">
        <f>IF(#REF!,"AAAAAH/Pjww=",0)</f>
        <v>#REF!</v>
      </c>
      <c r="N224" t="e">
        <f>IF(#REF!,"AAAAAH/Pjw0=",0)</f>
        <v>#REF!</v>
      </c>
      <c r="O224" t="e">
        <f>IF(#REF!,"AAAAAH/Pjw4=",0)</f>
        <v>#REF!</v>
      </c>
      <c r="P224" t="e">
        <f>IF(#REF!,"AAAAAH/Pjw8=",0)</f>
        <v>#REF!</v>
      </c>
      <c r="Q224" t="e">
        <f>IF(#REF!,"AAAAAH/PjxA=",0)</f>
        <v>#REF!</v>
      </c>
      <c r="R224" t="e">
        <f>IF(#REF!,"AAAAAH/PjxE=",0)</f>
        <v>#REF!</v>
      </c>
      <c r="S224" t="e">
        <f>IF(#REF!,"AAAAAH/PjxI=",0)</f>
        <v>#REF!</v>
      </c>
      <c r="T224" t="e">
        <f>IF(#REF!,"AAAAAH/PjxM=",0)</f>
        <v>#REF!</v>
      </c>
      <c r="U224" t="e">
        <f>IF(#REF!,"AAAAAH/PjxQ=",0)</f>
        <v>#REF!</v>
      </c>
      <c r="V224" t="e">
        <f>IF(#REF!,"AAAAAH/PjxU=",0)</f>
        <v>#REF!</v>
      </c>
      <c r="W224" t="e">
        <f>IF(#REF!,"AAAAAH/PjxY=",0)</f>
        <v>#REF!</v>
      </c>
      <c r="X224" t="e">
        <f>IF(#REF!,"AAAAAH/Pjxc=",0)</f>
        <v>#REF!</v>
      </c>
      <c r="Y224" t="e">
        <f>IF(#REF!,"AAAAAH/Pjxg=",0)</f>
        <v>#REF!</v>
      </c>
      <c r="Z224" t="e">
        <f>IF(#REF!,"AAAAAH/Pjxk=",0)</f>
        <v>#REF!</v>
      </c>
      <c r="AA224" t="e">
        <f>IF(#REF!,"AAAAAH/Pjxo=",0)</f>
        <v>#REF!</v>
      </c>
      <c r="AB224" t="e">
        <f>IF(#REF!,"AAAAAH/Pjxs=",0)</f>
        <v>#REF!</v>
      </c>
      <c r="AC224" t="e">
        <f>IF(#REF!,"AAAAAH/Pjxw=",0)</f>
        <v>#REF!</v>
      </c>
      <c r="AD224" t="e">
        <f>IF(#REF!,"AAAAAH/Pjx0=",0)</f>
        <v>#REF!</v>
      </c>
      <c r="AE224" t="e">
        <f>IF(#REF!,"AAAAAH/Pjx4=",0)</f>
        <v>#REF!</v>
      </c>
      <c r="AF224" t="e">
        <f>IF(#REF!,"AAAAAH/Pjx8=",0)</f>
        <v>#REF!</v>
      </c>
      <c r="AG224" t="e">
        <f>IF(#REF!,"AAAAAH/PjyA=",0)</f>
        <v>#REF!</v>
      </c>
      <c r="AH224" t="e">
        <f>IF(#REF!,"AAAAAH/PjyE=",0)</f>
        <v>#REF!</v>
      </c>
      <c r="AI224" t="e">
        <f>IF(#REF!,"AAAAAH/PjyI=",0)</f>
        <v>#REF!</v>
      </c>
      <c r="AJ224" t="e">
        <f>IF(#REF!,"AAAAAH/PjyM=",0)</f>
        <v>#REF!</v>
      </c>
      <c r="AK224" t="e">
        <f>IF(#REF!,"AAAAAH/PjyQ=",0)</f>
        <v>#REF!</v>
      </c>
      <c r="AL224" t="e">
        <f>IF(#REF!,"AAAAAH/PjyU=",0)</f>
        <v>#REF!</v>
      </c>
      <c r="AM224" t="e">
        <f>IF(#REF!,"AAAAAH/PjyY=",0)</f>
        <v>#REF!</v>
      </c>
      <c r="AN224" t="e">
        <f>IF(#REF!,"AAAAAH/Pjyc=",0)</f>
        <v>#REF!</v>
      </c>
      <c r="AO224" t="e">
        <f>IF(#REF!,"AAAAAH/Pjyg=",0)</f>
        <v>#REF!</v>
      </c>
      <c r="AP224" t="e">
        <f>IF(#REF!,"AAAAAH/Pjyk=",0)</f>
        <v>#REF!</v>
      </c>
      <c r="AQ224" t="e">
        <f>IF(#REF!,"AAAAAH/Pjyo=",0)</f>
        <v>#REF!</v>
      </c>
      <c r="AR224" t="e">
        <f>IF(#REF!,"AAAAAH/Pjys=",0)</f>
        <v>#REF!</v>
      </c>
      <c r="AS224" t="e">
        <f>IF(#REF!,"AAAAAH/Pjyw=",0)</f>
        <v>#REF!</v>
      </c>
      <c r="AT224" t="e">
        <f>IF(#REF!,"AAAAAH/Pjy0=",0)</f>
        <v>#REF!</v>
      </c>
      <c r="AU224" t="e">
        <f>IF(#REF!,"AAAAAH/Pjy4=",0)</f>
        <v>#REF!</v>
      </c>
      <c r="AV224" t="e">
        <f>IF(#REF!,"AAAAAH/Pjy8=",0)</f>
        <v>#REF!</v>
      </c>
      <c r="AW224" t="e">
        <f>IF(#REF!,"AAAAAH/PjzA=",0)</f>
        <v>#REF!</v>
      </c>
      <c r="AX224" t="e">
        <f>IF(#REF!,"AAAAAH/PjzE=",0)</f>
        <v>#REF!</v>
      </c>
      <c r="AY224" t="e">
        <f>IF(#REF!,"AAAAAH/PjzI=",0)</f>
        <v>#REF!</v>
      </c>
      <c r="AZ224" t="e">
        <f>IF(#REF!,"AAAAAH/PjzM=",0)</f>
        <v>#REF!</v>
      </c>
      <c r="BA224" t="e">
        <f>IF(#REF!,"AAAAAH/PjzQ=",0)</f>
        <v>#REF!</v>
      </c>
      <c r="BB224" t="e">
        <f>IF(#REF!,"AAAAAH/PjzU=",0)</f>
        <v>#REF!</v>
      </c>
      <c r="BC224" t="e">
        <f>IF(#REF!,"AAAAAH/PjzY=",0)</f>
        <v>#REF!</v>
      </c>
      <c r="BD224" t="e">
        <f>IF(#REF!,"AAAAAH/Pjzc=",0)</f>
        <v>#REF!</v>
      </c>
      <c r="BE224" t="e">
        <f>IF(#REF!,"AAAAAH/Pjzg=",0)</f>
        <v>#REF!</v>
      </c>
      <c r="BF224" t="e">
        <f>IF(#REF!,"AAAAAH/Pjzk=",0)</f>
        <v>#REF!</v>
      </c>
      <c r="BG224" t="e">
        <f>IF(#REF!,"AAAAAH/Pjzo=",0)</f>
        <v>#REF!</v>
      </c>
      <c r="BH224" t="e">
        <f>IF(#REF!,"AAAAAH/Pjzs=",0)</f>
        <v>#REF!</v>
      </c>
      <c r="BI224" t="e">
        <f>IF(#REF!,"AAAAAH/Pjzw=",0)</f>
        <v>#REF!</v>
      </c>
      <c r="BJ224" t="e">
        <f>IF(#REF!,"AAAAAH/Pjz0=",0)</f>
        <v>#REF!</v>
      </c>
      <c r="BK224" t="e">
        <f>IF(#REF!,"AAAAAH/Pjz4=",0)</f>
        <v>#REF!</v>
      </c>
      <c r="BL224" t="e">
        <f>IF(#REF!,"AAAAAH/Pjz8=",0)</f>
        <v>#REF!</v>
      </c>
      <c r="BM224" t="e">
        <f>IF(#REF!,"AAAAAH/Pj0A=",0)</f>
        <v>#REF!</v>
      </c>
      <c r="BN224" t="e">
        <f>IF(#REF!,"AAAAAH/Pj0E=",0)</f>
        <v>#REF!</v>
      </c>
      <c r="BO224" t="e">
        <f>IF(#REF!,"AAAAAH/Pj0I=",0)</f>
        <v>#REF!</v>
      </c>
      <c r="BP224" t="e">
        <f>IF(#REF!,"AAAAAH/Pj0M=",0)</f>
        <v>#REF!</v>
      </c>
      <c r="BQ224" t="e">
        <f>IF(#REF!,"AAAAAH/Pj0Q=",0)</f>
        <v>#REF!</v>
      </c>
      <c r="BR224" t="e">
        <f>IF(#REF!,"AAAAAH/Pj0U=",0)</f>
        <v>#REF!</v>
      </c>
      <c r="BS224" t="e">
        <f>IF(#REF!,"AAAAAH/Pj0Y=",0)</f>
        <v>#REF!</v>
      </c>
      <c r="BT224" t="e">
        <f>IF(#REF!,"AAAAAH/Pj0c=",0)</f>
        <v>#REF!</v>
      </c>
      <c r="BU224" t="e">
        <f>IF(#REF!,"AAAAAH/Pj0g=",0)</f>
        <v>#REF!</v>
      </c>
      <c r="BV224" t="e">
        <f>IF(#REF!,"AAAAAH/Pj0k=",0)</f>
        <v>#REF!</v>
      </c>
      <c r="BW224" t="e">
        <f>IF(#REF!,"AAAAAH/Pj0o=",0)</f>
        <v>#REF!</v>
      </c>
      <c r="BX224" t="e">
        <f>IF(#REF!,"AAAAAH/Pj0s=",0)</f>
        <v>#REF!</v>
      </c>
      <c r="BY224" t="e">
        <f>IF(#REF!,"AAAAAH/Pj0w=",0)</f>
        <v>#REF!</v>
      </c>
      <c r="BZ224" t="e">
        <f>IF(#REF!,"AAAAAH/Pj00=",0)</f>
        <v>#REF!</v>
      </c>
      <c r="CA224" t="e">
        <f>IF(#REF!,"AAAAAH/Pj04=",0)</f>
        <v>#REF!</v>
      </c>
      <c r="CB224" t="e">
        <f>IF(#REF!,"AAAAAH/Pj08=",0)</f>
        <v>#REF!</v>
      </c>
      <c r="CC224" t="e">
        <f>IF(#REF!,"AAAAAH/Pj1A=",0)</f>
        <v>#REF!</v>
      </c>
      <c r="CD224" t="e">
        <f>IF(#REF!,"AAAAAH/Pj1E=",0)</f>
        <v>#REF!</v>
      </c>
      <c r="CE224" t="e">
        <f>IF(#REF!,"AAAAAH/Pj1I=",0)</f>
        <v>#REF!</v>
      </c>
      <c r="CF224" t="e">
        <f>IF(#REF!,"AAAAAH/Pj1M=",0)</f>
        <v>#REF!</v>
      </c>
      <c r="CG224" t="e">
        <f>IF(#REF!,"AAAAAH/Pj1Q=",0)</f>
        <v>#REF!</v>
      </c>
      <c r="CH224" t="e">
        <f>IF(#REF!,"AAAAAH/Pj1U=",0)</f>
        <v>#REF!</v>
      </c>
      <c r="CI224" t="e">
        <f>IF(#REF!,"AAAAAH/Pj1Y=",0)</f>
        <v>#REF!</v>
      </c>
      <c r="CJ224" t="e">
        <f>IF(#REF!,"AAAAAH/Pj1c=",0)</f>
        <v>#REF!</v>
      </c>
      <c r="CK224" t="e">
        <f>IF(#REF!,"AAAAAH/Pj1g=",0)</f>
        <v>#REF!</v>
      </c>
      <c r="CL224" t="e">
        <f>IF(#REF!,"AAAAAH/Pj1k=",0)</f>
        <v>#REF!</v>
      </c>
      <c r="CM224" t="e">
        <f>IF(#REF!,"AAAAAH/Pj1o=",0)</f>
        <v>#REF!</v>
      </c>
      <c r="CN224" t="e">
        <f>IF(#REF!,"AAAAAH/Pj1s=",0)</f>
        <v>#REF!</v>
      </c>
      <c r="CO224" t="e">
        <f>IF(#REF!,"AAAAAH/Pj1w=",0)</f>
        <v>#REF!</v>
      </c>
      <c r="CP224" t="e">
        <f>IF(#REF!,"AAAAAH/Pj10=",0)</f>
        <v>#REF!</v>
      </c>
      <c r="CQ224" t="e">
        <f>IF(#REF!,"AAAAAH/Pj14=",0)</f>
        <v>#REF!</v>
      </c>
      <c r="CR224" t="e">
        <f>IF(#REF!,"AAAAAH/Pj18=",0)</f>
        <v>#REF!</v>
      </c>
      <c r="CS224" t="e">
        <f>IF(#REF!,"AAAAAH/Pj2A=",0)</f>
        <v>#REF!</v>
      </c>
      <c r="CT224" t="e">
        <f>IF(#REF!,"AAAAAH/Pj2E=",0)</f>
        <v>#REF!</v>
      </c>
      <c r="CU224" t="e">
        <f>IF(#REF!,"AAAAAH/Pj2I=",0)</f>
        <v>#REF!</v>
      </c>
      <c r="CV224" t="e">
        <f>IF(#REF!,"AAAAAH/Pj2M=",0)</f>
        <v>#REF!</v>
      </c>
      <c r="CW224" t="e">
        <f>IF(#REF!,"AAAAAH/Pj2Q=",0)</f>
        <v>#REF!</v>
      </c>
      <c r="CX224" t="e">
        <f>IF(#REF!,"AAAAAH/Pj2U=",0)</f>
        <v>#REF!</v>
      </c>
      <c r="CY224" t="e">
        <f>IF(#REF!,"AAAAAH/Pj2Y=",0)</f>
        <v>#REF!</v>
      </c>
      <c r="CZ224" t="e">
        <f>IF(#REF!,"AAAAAH/Pj2c=",0)</f>
        <v>#REF!</v>
      </c>
      <c r="DA224" t="e">
        <f>IF(#REF!,"AAAAAH/Pj2g=",0)</f>
        <v>#REF!</v>
      </c>
      <c r="DB224" t="e">
        <f>IF(#REF!,"AAAAAH/Pj2k=",0)</f>
        <v>#REF!</v>
      </c>
      <c r="DC224" t="e">
        <f>IF(#REF!,"AAAAAH/Pj2o=",0)</f>
        <v>#REF!</v>
      </c>
      <c r="DD224" t="e">
        <f>IF(#REF!,"AAAAAH/Pj2s=",0)</f>
        <v>#REF!</v>
      </c>
      <c r="DE224" t="e">
        <f>IF(#REF!,"AAAAAH/Pj2w=",0)</f>
        <v>#REF!</v>
      </c>
      <c r="DF224" t="e">
        <f>IF(#REF!,"AAAAAH/Pj20=",0)</f>
        <v>#REF!</v>
      </c>
      <c r="DG224" t="e">
        <f>IF(#REF!,"AAAAAH/Pj24=",0)</f>
        <v>#REF!</v>
      </c>
      <c r="DH224" t="e">
        <f>IF(#REF!,"AAAAAH/Pj28=",0)</f>
        <v>#REF!</v>
      </c>
      <c r="DI224" t="e">
        <f>IF(#REF!,"AAAAAH/Pj3A=",0)</f>
        <v>#REF!</v>
      </c>
      <c r="DJ224" t="e">
        <f>IF(#REF!,"AAAAAH/Pj3E=",0)</f>
        <v>#REF!</v>
      </c>
      <c r="DK224" t="e">
        <f>IF(#REF!,"AAAAAH/Pj3I=",0)</f>
        <v>#REF!</v>
      </c>
      <c r="DL224" t="e">
        <f>IF(#REF!,"AAAAAH/Pj3M=",0)</f>
        <v>#REF!</v>
      </c>
      <c r="DM224" t="e">
        <f>IF(#REF!,"AAAAAH/Pj3Q=",0)</f>
        <v>#REF!</v>
      </c>
      <c r="DN224" t="e">
        <f>IF(#REF!,"AAAAAH/Pj3U=",0)</f>
        <v>#REF!</v>
      </c>
      <c r="DO224" t="e">
        <f>IF(#REF!,"AAAAAH/Pj3Y=",0)</f>
        <v>#REF!</v>
      </c>
      <c r="DP224" t="e">
        <f>IF(#REF!,"AAAAAH/Pj3c=",0)</f>
        <v>#REF!</v>
      </c>
      <c r="DQ224" t="e">
        <f>IF(#REF!,"AAAAAH/Pj3g=",0)</f>
        <v>#REF!</v>
      </c>
      <c r="DR224" t="e">
        <f>IF(#REF!,"AAAAAH/Pj3k=",0)</f>
        <v>#REF!</v>
      </c>
      <c r="DS224" t="e">
        <f>IF(#REF!,"AAAAAH/Pj3o=",0)</f>
        <v>#REF!</v>
      </c>
      <c r="DT224" t="e">
        <f>IF(#REF!,"AAAAAH/Pj3s=",0)</f>
        <v>#REF!</v>
      </c>
      <c r="DU224" t="e">
        <f>IF(#REF!,"AAAAAH/Pj3w=",0)</f>
        <v>#REF!</v>
      </c>
      <c r="DV224" t="e">
        <f>IF(#REF!,"AAAAAH/Pj30=",0)</f>
        <v>#REF!</v>
      </c>
      <c r="DW224" t="e">
        <f>IF(#REF!,"AAAAAH/Pj34=",0)</f>
        <v>#REF!</v>
      </c>
      <c r="DX224" t="e">
        <f>IF(#REF!,"AAAAAH/Pj38=",0)</f>
        <v>#REF!</v>
      </c>
      <c r="DY224" t="e">
        <f>IF(#REF!,"AAAAAH/Pj4A=",0)</f>
        <v>#REF!</v>
      </c>
      <c r="DZ224" t="e">
        <f>IF(#REF!,"AAAAAH/Pj4E=",0)</f>
        <v>#REF!</v>
      </c>
      <c r="EA224" t="e">
        <f>IF(#REF!,"AAAAAH/Pj4I=",0)</f>
        <v>#REF!</v>
      </c>
      <c r="EB224" t="e">
        <f>IF(#REF!,"AAAAAH/Pj4M=",0)</f>
        <v>#REF!</v>
      </c>
      <c r="EC224" t="e">
        <f>IF(#REF!,"AAAAAH/Pj4Q=",0)</f>
        <v>#REF!</v>
      </c>
      <c r="ED224" t="e">
        <f>IF(#REF!,"AAAAAH/Pj4U=",0)</f>
        <v>#REF!</v>
      </c>
      <c r="EE224" t="e">
        <f>IF(#REF!,"AAAAAH/Pj4Y=",0)</f>
        <v>#REF!</v>
      </c>
      <c r="EF224" t="e">
        <f>IF(#REF!,"AAAAAH/Pj4c=",0)</f>
        <v>#REF!</v>
      </c>
      <c r="EG224" t="e">
        <f>IF(#REF!,"AAAAAH/Pj4g=",0)</f>
        <v>#REF!</v>
      </c>
      <c r="EH224" t="e">
        <f>IF(#REF!,"AAAAAH/Pj4k=",0)</f>
        <v>#REF!</v>
      </c>
      <c r="EI224" t="e">
        <f>IF(#REF!,"AAAAAH/Pj4o=",0)</f>
        <v>#REF!</v>
      </c>
      <c r="EJ224" t="e">
        <f>IF(#REF!,"AAAAAH/Pj4s=",0)</f>
        <v>#REF!</v>
      </c>
      <c r="EK224" t="e">
        <f>IF(#REF!,"AAAAAH/Pj4w=",0)</f>
        <v>#REF!</v>
      </c>
      <c r="EL224" t="e">
        <f>IF(#REF!,"AAAAAH/Pj40=",0)</f>
        <v>#REF!</v>
      </c>
      <c r="EM224" t="e">
        <f>IF(#REF!,"AAAAAH/Pj44=",0)</f>
        <v>#REF!</v>
      </c>
      <c r="EN224" t="e">
        <f>IF(#REF!,"AAAAAH/Pj48=",0)</f>
        <v>#REF!</v>
      </c>
      <c r="EO224" t="e">
        <f>IF(#REF!,"AAAAAH/Pj5A=",0)</f>
        <v>#REF!</v>
      </c>
      <c r="EP224" t="e">
        <f>IF(#REF!,"AAAAAH/Pj5E=",0)</f>
        <v>#REF!</v>
      </c>
      <c r="EQ224" t="e">
        <f>IF(#REF!,"AAAAAH/Pj5I=",0)</f>
        <v>#REF!</v>
      </c>
      <c r="ER224" t="e">
        <f>IF(#REF!,"AAAAAH/Pj5M=",0)</f>
        <v>#REF!</v>
      </c>
      <c r="ES224" t="e">
        <f>IF(#REF!,"AAAAAH/Pj5Q=",0)</f>
        <v>#REF!</v>
      </c>
      <c r="ET224" t="e">
        <f>IF(#REF!,"AAAAAH/Pj5U=",0)</f>
        <v>#REF!</v>
      </c>
      <c r="EU224" t="e">
        <f>IF(#REF!,"AAAAAH/Pj5Y=",0)</f>
        <v>#REF!</v>
      </c>
      <c r="EV224" t="e">
        <f>IF(#REF!,"AAAAAH/Pj5c=",0)</f>
        <v>#REF!</v>
      </c>
      <c r="EW224" t="e">
        <f>IF(#REF!,"AAAAAH/Pj5g=",0)</f>
        <v>#REF!</v>
      </c>
      <c r="EX224" t="e">
        <f>IF(#REF!,"AAAAAH/Pj5k=",0)</f>
        <v>#REF!</v>
      </c>
      <c r="EY224" t="e">
        <f>IF(#REF!,"AAAAAH/Pj5o=",0)</f>
        <v>#REF!</v>
      </c>
      <c r="EZ224" t="e">
        <f>IF(#REF!,"AAAAAH/Pj5s=",0)</f>
        <v>#REF!</v>
      </c>
      <c r="FA224" t="e">
        <f>IF(#REF!,"AAAAAH/Pj5w=",0)</f>
        <v>#REF!</v>
      </c>
      <c r="FB224" t="e">
        <f>IF(#REF!,"AAAAAH/Pj50=",0)</f>
        <v>#REF!</v>
      </c>
      <c r="FC224" t="e">
        <f>IF(#REF!,"AAAAAH/Pj54=",0)</f>
        <v>#REF!</v>
      </c>
      <c r="FD224" t="e">
        <f>IF(#REF!,"AAAAAH/Pj58=",0)</f>
        <v>#REF!</v>
      </c>
      <c r="FE224" t="e">
        <f>IF(#REF!,"AAAAAH/Pj6A=",0)</f>
        <v>#REF!</v>
      </c>
      <c r="FF224" t="e">
        <f>IF(#REF!,"AAAAAH/Pj6E=",0)</f>
        <v>#REF!</v>
      </c>
      <c r="FG224" t="e">
        <f>IF(#REF!,"AAAAAH/Pj6I=",0)</f>
        <v>#REF!</v>
      </c>
      <c r="FH224" t="e">
        <f>IF(#REF!,"AAAAAH/Pj6M=",0)</f>
        <v>#REF!</v>
      </c>
      <c r="FI224" t="e">
        <f>IF(#REF!,"AAAAAH/Pj6Q=",0)</f>
        <v>#REF!</v>
      </c>
      <c r="FJ224" t="e">
        <f>IF(#REF!,"AAAAAH/Pj6U=",0)</f>
        <v>#REF!</v>
      </c>
      <c r="FK224" t="e">
        <f>IF(#REF!,"AAAAAH/Pj6Y=",0)</f>
        <v>#REF!</v>
      </c>
      <c r="FL224" t="e">
        <f>IF(#REF!,"AAAAAH/Pj6c=",0)</f>
        <v>#REF!</v>
      </c>
      <c r="FM224" t="e">
        <f>IF(#REF!,"AAAAAH/Pj6g=",0)</f>
        <v>#REF!</v>
      </c>
      <c r="FN224" t="e">
        <f>IF(#REF!,"AAAAAH/Pj6k=",0)</f>
        <v>#REF!</v>
      </c>
      <c r="FO224" t="e">
        <f>IF(#REF!,"AAAAAH/Pj6o=",0)</f>
        <v>#REF!</v>
      </c>
      <c r="FP224" t="e">
        <f>IF(#REF!,"AAAAAH/Pj6s=",0)</f>
        <v>#REF!</v>
      </c>
      <c r="FQ224" t="e">
        <f>IF(#REF!,"AAAAAH/Pj6w=",0)</f>
        <v>#REF!</v>
      </c>
      <c r="FR224" t="e">
        <f>IF(#REF!,"AAAAAH/Pj60=",0)</f>
        <v>#REF!</v>
      </c>
      <c r="FS224" t="e">
        <f>IF(#REF!,"AAAAAH/Pj64=",0)</f>
        <v>#REF!</v>
      </c>
      <c r="FT224" t="e">
        <f>IF(#REF!,"AAAAAH/Pj68=",0)</f>
        <v>#REF!</v>
      </c>
      <c r="FU224" t="e">
        <f>IF(#REF!,"AAAAAH/Pj7A=",0)</f>
        <v>#REF!</v>
      </c>
      <c r="FV224" t="e">
        <f>IF(#REF!,"AAAAAH/Pj7E=",0)</f>
        <v>#REF!</v>
      </c>
      <c r="FW224" t="e">
        <f>IF(#REF!,"AAAAAH/Pj7I=",0)</f>
        <v>#REF!</v>
      </c>
      <c r="FX224" t="e">
        <f>IF(#REF!,"AAAAAH/Pj7M=",0)</f>
        <v>#REF!</v>
      </c>
      <c r="FY224" t="e">
        <f>IF(#REF!,"AAAAAH/Pj7Q=",0)</f>
        <v>#REF!</v>
      </c>
      <c r="FZ224" t="e">
        <f>IF(#REF!,"AAAAAH/Pj7U=",0)</f>
        <v>#REF!</v>
      </c>
      <c r="GA224" t="e">
        <f>IF(#REF!,"AAAAAH/Pj7Y=",0)</f>
        <v>#REF!</v>
      </c>
      <c r="GB224" t="e">
        <f>IF(#REF!,"AAAAAH/Pj7c=",0)</f>
        <v>#REF!</v>
      </c>
      <c r="GC224" t="e">
        <f>IF(#REF!,"AAAAAH/Pj7g=",0)</f>
        <v>#REF!</v>
      </c>
      <c r="GD224" t="e">
        <f>IF(#REF!,"AAAAAH/Pj7k=",0)</f>
        <v>#REF!</v>
      </c>
      <c r="GE224" t="e">
        <f>IF(#REF!,"AAAAAH/Pj7o=",0)</f>
        <v>#REF!</v>
      </c>
      <c r="GF224" t="e">
        <f>IF(#REF!,"AAAAAH/Pj7s=",0)</f>
        <v>#REF!</v>
      </c>
      <c r="GG224" t="e">
        <f>IF(#REF!,"AAAAAH/Pj7w=",0)</f>
        <v>#REF!</v>
      </c>
      <c r="GH224" t="e">
        <f>IF(#REF!,"AAAAAH/Pj70=",0)</f>
        <v>#REF!</v>
      </c>
      <c r="GI224" t="e">
        <f>IF(#REF!,"AAAAAH/Pj74=",0)</f>
        <v>#REF!</v>
      </c>
      <c r="GJ224" t="e">
        <f>IF(#REF!,"AAAAAH/Pj78=",0)</f>
        <v>#REF!</v>
      </c>
      <c r="GK224" t="e">
        <f>IF(#REF!,"AAAAAH/Pj8A=",0)</f>
        <v>#REF!</v>
      </c>
      <c r="GL224" t="e">
        <f>IF(#REF!,"AAAAAH/Pj8E=",0)</f>
        <v>#REF!</v>
      </c>
      <c r="GM224" t="e">
        <f>IF(#REF!,"AAAAAH/Pj8I=",0)</f>
        <v>#REF!</v>
      </c>
      <c r="GN224" t="e">
        <f>IF(#REF!,"AAAAAH/Pj8M=",0)</f>
        <v>#REF!</v>
      </c>
      <c r="GO224" t="e">
        <f>IF(#REF!,"AAAAAH/Pj8Q=",0)</f>
        <v>#REF!</v>
      </c>
      <c r="GP224" t="e">
        <f>IF(#REF!,"AAAAAH/Pj8U=",0)</f>
        <v>#REF!</v>
      </c>
      <c r="GQ224" t="e">
        <f>IF(#REF!,"AAAAAH/Pj8Y=",0)</f>
        <v>#REF!</v>
      </c>
      <c r="GR224" t="e">
        <f>IF(#REF!,"AAAAAH/Pj8c=",0)</f>
        <v>#REF!</v>
      </c>
      <c r="GS224" t="e">
        <f>IF(#REF!,"AAAAAH/Pj8g=",0)</f>
        <v>#REF!</v>
      </c>
      <c r="GT224" t="e">
        <f>IF(#REF!,"AAAAAH/Pj8k=",0)</f>
        <v>#REF!</v>
      </c>
      <c r="GU224" t="e">
        <f>IF(#REF!,"AAAAAH/Pj8o=",0)</f>
        <v>#REF!</v>
      </c>
      <c r="GV224" t="e">
        <f>IF(#REF!,"AAAAAH/Pj8s=",0)</f>
        <v>#REF!</v>
      </c>
      <c r="GW224" t="e">
        <f>IF(#REF!,"AAAAAH/Pj8w=",0)</f>
        <v>#REF!</v>
      </c>
      <c r="GX224" t="e">
        <f>IF(#REF!,"AAAAAH/Pj80=",0)</f>
        <v>#REF!</v>
      </c>
      <c r="GY224" t="e">
        <f>IF(#REF!,"AAAAAH/Pj84=",0)</f>
        <v>#REF!</v>
      </c>
      <c r="GZ224" t="e">
        <f>IF(#REF!,"AAAAAH/Pj88=",0)</f>
        <v>#REF!</v>
      </c>
      <c r="HA224" t="e">
        <f>IF(#REF!,"AAAAAH/Pj9A=",0)</f>
        <v>#REF!</v>
      </c>
      <c r="HB224" t="e">
        <f>IF(#REF!,"AAAAAH/Pj9E=",0)</f>
        <v>#REF!</v>
      </c>
      <c r="HC224" t="e">
        <f>IF(#REF!,"AAAAAH/Pj9I=",0)</f>
        <v>#REF!</v>
      </c>
      <c r="HD224" t="e">
        <f>IF(#REF!,"AAAAAH/Pj9M=",0)</f>
        <v>#REF!</v>
      </c>
      <c r="HE224" t="e">
        <f>IF(#REF!,"AAAAAH/Pj9Q=",0)</f>
        <v>#REF!</v>
      </c>
      <c r="HF224" t="e">
        <f>IF(#REF!,"AAAAAH/Pj9U=",0)</f>
        <v>#REF!</v>
      </c>
      <c r="HG224" t="e">
        <f>IF(#REF!,"AAAAAH/Pj9Y=",0)</f>
        <v>#REF!</v>
      </c>
      <c r="HH224" t="e">
        <f>IF(#REF!,"AAAAAH/Pj9c=",0)</f>
        <v>#REF!</v>
      </c>
      <c r="HI224" t="e">
        <f>IF(#REF!,"AAAAAH/Pj9g=",0)</f>
        <v>#REF!</v>
      </c>
      <c r="HJ224" t="e">
        <f>IF(#REF!,"AAAAAH/Pj9k=",0)</f>
        <v>#REF!</v>
      </c>
      <c r="HK224" t="e">
        <f>IF(#REF!,"AAAAAH/Pj9o=",0)</f>
        <v>#REF!</v>
      </c>
      <c r="HL224" t="e">
        <f>IF(#REF!,"AAAAAH/Pj9s=",0)</f>
        <v>#REF!</v>
      </c>
      <c r="HM224" t="e">
        <f>IF(#REF!,"AAAAAH/Pj9w=",0)</f>
        <v>#REF!</v>
      </c>
      <c r="HN224" t="e">
        <f>IF(#REF!,"AAAAAH/Pj90=",0)</f>
        <v>#REF!</v>
      </c>
      <c r="HO224" t="e">
        <f>IF(#REF!,"AAAAAH/Pj94=",0)</f>
        <v>#REF!</v>
      </c>
      <c r="HP224" t="e">
        <f>IF(#REF!,"AAAAAH/Pj98=",0)</f>
        <v>#REF!</v>
      </c>
      <c r="HQ224" t="e">
        <f>IF(#REF!,"AAAAAH/Pj+A=",0)</f>
        <v>#REF!</v>
      </c>
      <c r="HR224" t="e">
        <f>IF(#REF!,"AAAAAH/Pj+E=",0)</f>
        <v>#REF!</v>
      </c>
      <c r="HS224" t="e">
        <f>IF(#REF!,"AAAAAH/Pj+I=",0)</f>
        <v>#REF!</v>
      </c>
      <c r="HT224" t="e">
        <f>IF(#REF!,"AAAAAH/Pj+M=",0)</f>
        <v>#REF!</v>
      </c>
      <c r="HU224" t="e">
        <f>IF(#REF!,"AAAAAH/Pj+Q=",0)</f>
        <v>#REF!</v>
      </c>
      <c r="HV224" t="e">
        <f>IF(#REF!,"AAAAAH/Pj+U=",0)</f>
        <v>#REF!</v>
      </c>
      <c r="HW224" t="e">
        <f>IF(#REF!,"AAAAAH/Pj+Y=",0)</f>
        <v>#REF!</v>
      </c>
      <c r="HX224" t="e">
        <f>IF(#REF!,"AAAAAH/Pj+c=",0)</f>
        <v>#REF!</v>
      </c>
      <c r="HY224" t="e">
        <f>IF(#REF!,"AAAAAH/Pj+g=",0)</f>
        <v>#REF!</v>
      </c>
      <c r="HZ224" t="e">
        <f>IF(#REF!,"AAAAAH/Pj+k=",0)</f>
        <v>#REF!</v>
      </c>
      <c r="IA224" t="e">
        <f>IF(#REF!,"AAAAAH/Pj+o=",0)</f>
        <v>#REF!</v>
      </c>
      <c r="IB224" t="e">
        <f>IF(#REF!,"AAAAAH/Pj+s=",0)</f>
        <v>#REF!</v>
      </c>
      <c r="IC224" t="e">
        <f>IF(#REF!,"AAAAAH/Pj+w=",0)</f>
        <v>#REF!</v>
      </c>
      <c r="ID224" t="e">
        <f>IF(#REF!,"AAAAAH/Pj+0=",0)</f>
        <v>#REF!</v>
      </c>
      <c r="IE224" t="e">
        <f>IF(#REF!,"AAAAAH/Pj+4=",0)</f>
        <v>#REF!</v>
      </c>
      <c r="IF224" t="e">
        <f>IF(#REF!,"AAAAAH/Pj+8=",0)</f>
        <v>#REF!</v>
      </c>
      <c r="IG224" t="e">
        <f>IF(#REF!,"AAAAAH/Pj/A=",0)</f>
        <v>#REF!</v>
      </c>
      <c r="IH224" t="e">
        <f>IF(#REF!,"AAAAAH/Pj/E=",0)</f>
        <v>#REF!</v>
      </c>
      <c r="II224" t="e">
        <f>IF(#REF!,"AAAAAH/Pj/I=",0)</f>
        <v>#REF!</v>
      </c>
      <c r="IJ224" t="e">
        <f>IF(#REF!,"AAAAAH/Pj/M=",0)</f>
        <v>#REF!</v>
      </c>
      <c r="IK224" t="e">
        <f>IF(#REF!,"AAAAAH/Pj/Q=",0)</f>
        <v>#REF!</v>
      </c>
      <c r="IL224" t="e">
        <f>IF(#REF!,"AAAAAH/Pj/U=",0)</f>
        <v>#REF!</v>
      </c>
      <c r="IM224" t="e">
        <f>IF(#REF!,"AAAAAH/Pj/Y=",0)</f>
        <v>#REF!</v>
      </c>
      <c r="IN224" t="e">
        <f>IF(#REF!,"AAAAAH/Pj/c=",0)</f>
        <v>#REF!</v>
      </c>
      <c r="IO224" t="e">
        <f>IF(#REF!,"AAAAAH/Pj/g=",0)</f>
        <v>#REF!</v>
      </c>
      <c r="IP224" t="e">
        <f>IF(#REF!,"AAAAAH/Pj/k=",0)</f>
        <v>#REF!</v>
      </c>
      <c r="IQ224" t="e">
        <f>IF(#REF!,"AAAAAH/Pj/o=",0)</f>
        <v>#REF!</v>
      </c>
      <c r="IR224" t="e">
        <f>IF(#REF!,"AAAAAH/Pj/s=",0)</f>
        <v>#REF!</v>
      </c>
      <c r="IS224" t="e">
        <f>IF(#REF!,"AAAAAH/Pj/w=",0)</f>
        <v>#REF!</v>
      </c>
      <c r="IT224" t="e">
        <f>IF(#REF!,"AAAAAH/Pj/0=",0)</f>
        <v>#REF!</v>
      </c>
      <c r="IU224" t="e">
        <f>IF(#REF!,"AAAAAH/Pj/4=",0)</f>
        <v>#REF!</v>
      </c>
      <c r="IV224" t="e">
        <f>IF(#REF!,"AAAAAH/Pj/8=",0)</f>
        <v>#REF!</v>
      </c>
    </row>
    <row r="225" spans="1:256">
      <c r="A225" t="e">
        <f>IF(#REF!,"AAAAABOfrgA=",0)</f>
        <v>#REF!</v>
      </c>
      <c r="B225" t="e">
        <f>IF(#REF!,"AAAAABOfrgE=",0)</f>
        <v>#REF!</v>
      </c>
      <c r="C225" t="e">
        <f>IF(#REF!,"AAAAABOfrgI=",0)</f>
        <v>#REF!</v>
      </c>
      <c r="D225" t="e">
        <f>IF(#REF!,"AAAAABOfrgM=",0)</f>
        <v>#REF!</v>
      </c>
      <c r="E225" t="e">
        <f>IF(#REF!,"AAAAABOfrgQ=",0)</f>
        <v>#REF!</v>
      </c>
      <c r="F225" t="e">
        <f>IF(#REF!,"AAAAABOfrgU=",0)</f>
        <v>#REF!</v>
      </c>
      <c r="G225" t="e">
        <f>IF(#REF!,"AAAAABOfrgY=",0)</f>
        <v>#REF!</v>
      </c>
      <c r="H225" t="e">
        <f>IF(#REF!,"AAAAABOfrgc=",0)</f>
        <v>#REF!</v>
      </c>
      <c r="I225" t="e">
        <f>IF(#REF!,"AAAAABOfrgg=",0)</f>
        <v>#REF!</v>
      </c>
      <c r="J225" t="e">
        <f>IF(#REF!,"AAAAABOfrgk=",0)</f>
        <v>#REF!</v>
      </c>
      <c r="K225" t="e">
        <f>IF(#REF!,"AAAAABOfrgo=",0)</f>
        <v>#REF!</v>
      </c>
      <c r="L225" t="e">
        <f>IF(#REF!,"AAAAABOfrgs=",0)</f>
        <v>#REF!</v>
      </c>
      <c r="M225" t="e">
        <f>IF(#REF!,"AAAAABOfrgw=",0)</f>
        <v>#REF!</v>
      </c>
      <c r="N225" t="e">
        <f>IF(#REF!,"AAAAABOfrg0=",0)</f>
        <v>#REF!</v>
      </c>
      <c r="O225" t="e">
        <f>IF(#REF!,"AAAAABOfrg4=",0)</f>
        <v>#REF!</v>
      </c>
      <c r="P225" t="e">
        <f>IF(#REF!,"AAAAABOfrg8=",0)</f>
        <v>#REF!</v>
      </c>
      <c r="Q225" t="e">
        <f>IF(#REF!,"AAAAABOfrhA=",0)</f>
        <v>#REF!</v>
      </c>
      <c r="R225" t="e">
        <f>IF(#REF!,"AAAAABOfrhE=",0)</f>
        <v>#REF!</v>
      </c>
      <c r="S225" t="e">
        <f>IF(#REF!,"AAAAABOfrhI=",0)</f>
        <v>#REF!</v>
      </c>
      <c r="T225" t="e">
        <f>IF(#REF!,"AAAAABOfrhM=",0)</f>
        <v>#REF!</v>
      </c>
      <c r="U225" t="e">
        <f>IF(#REF!,"AAAAABOfrhQ=",0)</f>
        <v>#REF!</v>
      </c>
      <c r="V225" t="e">
        <f>IF(#REF!,"AAAAABOfrhU=",0)</f>
        <v>#REF!</v>
      </c>
      <c r="W225" t="e">
        <f>IF(#REF!,"AAAAABOfrhY=",0)</f>
        <v>#REF!</v>
      </c>
      <c r="X225" t="e">
        <f>IF(#REF!,"AAAAABOfrhc=",0)</f>
        <v>#REF!</v>
      </c>
      <c r="Y225" t="e">
        <f>IF(#REF!,"AAAAABOfrhg=",0)</f>
        <v>#REF!</v>
      </c>
      <c r="Z225" t="e">
        <f>IF(#REF!,"AAAAABOfrhk=",0)</f>
        <v>#REF!</v>
      </c>
      <c r="AA225" t="e">
        <f>IF(#REF!,"AAAAABOfrho=",0)</f>
        <v>#REF!</v>
      </c>
      <c r="AB225" t="e">
        <f>IF(#REF!,"AAAAABOfrhs=",0)</f>
        <v>#REF!</v>
      </c>
      <c r="AC225" t="e">
        <f>IF(#REF!,"AAAAABOfrhw=",0)</f>
        <v>#REF!</v>
      </c>
      <c r="AD225" t="e">
        <f>IF(#REF!,"AAAAABOfrh0=",0)</f>
        <v>#REF!</v>
      </c>
      <c r="AE225" t="e">
        <f>IF(#REF!,"AAAAABOfrh4=",0)</f>
        <v>#REF!</v>
      </c>
      <c r="AF225" t="e">
        <f>IF(#REF!,"AAAAABOfrh8=",0)</f>
        <v>#REF!</v>
      </c>
      <c r="AG225" t="e">
        <f>IF(#REF!,"AAAAABOfriA=",0)</f>
        <v>#REF!</v>
      </c>
      <c r="AH225" t="e">
        <f>IF(#REF!,"AAAAABOfriE=",0)</f>
        <v>#REF!</v>
      </c>
      <c r="AI225" t="e">
        <f>IF(#REF!,"AAAAABOfriI=",0)</f>
        <v>#REF!</v>
      </c>
      <c r="AJ225" t="e">
        <f>IF(#REF!,"AAAAABOfriM=",0)</f>
        <v>#REF!</v>
      </c>
      <c r="AK225" t="e">
        <f>IF(#REF!,"AAAAABOfriQ=",0)</f>
        <v>#REF!</v>
      </c>
      <c r="AL225" t="e">
        <f>IF(#REF!,"AAAAABOfriU=",0)</f>
        <v>#REF!</v>
      </c>
      <c r="AM225" t="e">
        <f>IF(#REF!,"AAAAABOfriY=",0)</f>
        <v>#REF!</v>
      </c>
      <c r="AN225" t="e">
        <f>IF(#REF!,"AAAAABOfric=",0)</f>
        <v>#REF!</v>
      </c>
      <c r="AO225" t="e">
        <f>IF(#REF!,"AAAAABOfrig=",0)</f>
        <v>#REF!</v>
      </c>
      <c r="AP225" t="e">
        <f>IF(#REF!,"AAAAABOfrik=",0)</f>
        <v>#REF!</v>
      </c>
      <c r="AQ225" t="e">
        <f>IF(#REF!,"AAAAABOfrio=",0)</f>
        <v>#REF!</v>
      </c>
      <c r="AR225" t="e">
        <f>IF(#REF!,"AAAAABOfris=",0)</f>
        <v>#REF!</v>
      </c>
      <c r="AS225" t="e">
        <f>IF(#REF!,"AAAAABOfriw=",0)</f>
        <v>#REF!</v>
      </c>
      <c r="AT225" t="e">
        <f>IF(#REF!,"AAAAABOfri0=",0)</f>
        <v>#REF!</v>
      </c>
      <c r="AU225" t="e">
        <f>IF(#REF!,"AAAAABOfri4=",0)</f>
        <v>#REF!</v>
      </c>
      <c r="AV225" t="e">
        <f>IF(#REF!,"AAAAABOfri8=",0)</f>
        <v>#REF!</v>
      </c>
      <c r="AW225" t="e">
        <f>IF(#REF!,"AAAAABOfrjA=",0)</f>
        <v>#REF!</v>
      </c>
      <c r="AX225" t="e">
        <f>IF(#REF!,"AAAAABOfrjE=",0)</f>
        <v>#REF!</v>
      </c>
      <c r="AY225" t="e">
        <f>IF(#REF!,"AAAAABOfrjI=",0)</f>
        <v>#REF!</v>
      </c>
      <c r="AZ225" t="e">
        <f>IF(#REF!,"AAAAABOfrjM=",0)</f>
        <v>#REF!</v>
      </c>
      <c r="BA225" t="e">
        <f>IF(#REF!,"AAAAABOfrjQ=",0)</f>
        <v>#REF!</v>
      </c>
      <c r="BB225" t="e">
        <f>IF(#REF!,"AAAAABOfrjU=",0)</f>
        <v>#REF!</v>
      </c>
      <c r="BC225" t="e">
        <f>IF(#REF!,"AAAAABOfrjY=",0)</f>
        <v>#REF!</v>
      </c>
      <c r="BD225" t="e">
        <f>IF(#REF!,"AAAAABOfrjc=",0)</f>
        <v>#REF!</v>
      </c>
      <c r="BE225" t="e">
        <f>IF(#REF!,"AAAAABOfrjg=",0)</f>
        <v>#REF!</v>
      </c>
      <c r="BF225" t="e">
        <f>IF(#REF!,"AAAAABOfrjk=",0)</f>
        <v>#REF!</v>
      </c>
      <c r="BG225" t="e">
        <f>IF(#REF!,"AAAAABOfrjo=",0)</f>
        <v>#REF!</v>
      </c>
      <c r="BH225" t="e">
        <f>IF(#REF!,"AAAAABOfrjs=",0)</f>
        <v>#REF!</v>
      </c>
      <c r="BI225" t="e">
        <f>IF(#REF!,"AAAAABOfrjw=",0)</f>
        <v>#REF!</v>
      </c>
      <c r="BJ225" t="e">
        <f>IF(#REF!,"AAAAABOfrj0=",0)</f>
        <v>#REF!</v>
      </c>
      <c r="BK225" t="e">
        <f>IF(#REF!,"AAAAABOfrj4=",0)</f>
        <v>#REF!</v>
      </c>
      <c r="BL225" t="e">
        <f>IF(#REF!,"AAAAABOfrj8=",0)</f>
        <v>#REF!</v>
      </c>
      <c r="BM225" t="e">
        <f>IF(#REF!,"AAAAABOfrkA=",0)</f>
        <v>#REF!</v>
      </c>
      <c r="BN225" t="e">
        <f>IF(#REF!,"AAAAABOfrkE=",0)</f>
        <v>#REF!</v>
      </c>
      <c r="BO225" t="e">
        <f>IF(#REF!,"AAAAABOfrkI=",0)</f>
        <v>#REF!</v>
      </c>
      <c r="BP225" t="e">
        <f>IF(#REF!,"AAAAABOfrkM=",0)</f>
        <v>#REF!</v>
      </c>
      <c r="BQ225" t="e">
        <f>IF(#REF!,"AAAAABOfrkQ=",0)</f>
        <v>#REF!</v>
      </c>
      <c r="BR225" t="e">
        <f>IF(#REF!,"AAAAABOfrkU=",0)</f>
        <v>#REF!</v>
      </c>
      <c r="BS225" t="e">
        <f>IF(#REF!,"AAAAABOfrkY=",0)</f>
        <v>#REF!</v>
      </c>
      <c r="BT225" t="e">
        <f>IF(#REF!,"AAAAABOfrkc=",0)</f>
        <v>#REF!</v>
      </c>
      <c r="BU225" t="e">
        <f>IF(#REF!,"AAAAABOfrkg=",0)</f>
        <v>#REF!</v>
      </c>
      <c r="BV225" t="e">
        <f>IF(#REF!,"AAAAABOfrkk=",0)</f>
        <v>#REF!</v>
      </c>
      <c r="BW225" t="e">
        <f>IF(#REF!,"AAAAABOfrko=",0)</f>
        <v>#REF!</v>
      </c>
      <c r="BX225" t="e">
        <f>IF(#REF!,"AAAAABOfrks=",0)</f>
        <v>#REF!</v>
      </c>
      <c r="BY225" t="e">
        <f>IF(#REF!,"AAAAABOfrkw=",0)</f>
        <v>#REF!</v>
      </c>
      <c r="BZ225" t="e">
        <f>IF(#REF!,"AAAAABOfrk0=",0)</f>
        <v>#REF!</v>
      </c>
      <c r="CA225" t="e">
        <f>IF(#REF!,"AAAAABOfrk4=",0)</f>
        <v>#REF!</v>
      </c>
      <c r="CB225" t="e">
        <f>IF(#REF!,"AAAAABOfrk8=",0)</f>
        <v>#REF!</v>
      </c>
      <c r="CC225" t="e">
        <f>IF(#REF!,"AAAAABOfrlA=",0)</f>
        <v>#REF!</v>
      </c>
      <c r="CD225" t="e">
        <f>IF(#REF!,"AAAAABOfrlE=",0)</f>
        <v>#REF!</v>
      </c>
      <c r="CE225" t="e">
        <f>IF(#REF!,"AAAAABOfrlI=",0)</f>
        <v>#REF!</v>
      </c>
      <c r="CF225" t="e">
        <f>IF(#REF!,"AAAAABOfrlM=",0)</f>
        <v>#REF!</v>
      </c>
      <c r="CG225" t="e">
        <f>IF(#REF!,"AAAAABOfrlQ=",0)</f>
        <v>#REF!</v>
      </c>
      <c r="CH225" t="e">
        <f>IF(#REF!,"AAAAABOfrlU=",0)</f>
        <v>#REF!</v>
      </c>
      <c r="CI225" t="e">
        <f>IF(#REF!,"AAAAABOfrlY=",0)</f>
        <v>#REF!</v>
      </c>
      <c r="CJ225" t="e">
        <f>IF(#REF!,"AAAAABOfrlc=",0)</f>
        <v>#REF!</v>
      </c>
      <c r="CK225" t="e">
        <f>IF(#REF!,"AAAAABOfrlg=",0)</f>
        <v>#REF!</v>
      </c>
      <c r="CL225" t="e">
        <f>IF(#REF!,"AAAAABOfrlk=",0)</f>
        <v>#REF!</v>
      </c>
      <c r="CM225" t="e">
        <f>IF(#REF!,"AAAAABOfrlo=",0)</f>
        <v>#REF!</v>
      </c>
      <c r="CN225" t="e">
        <f>IF(#REF!,"AAAAABOfrls=",0)</f>
        <v>#REF!</v>
      </c>
      <c r="CO225" t="e">
        <f>IF(#REF!,"AAAAABOfrlw=",0)</f>
        <v>#REF!</v>
      </c>
      <c r="CP225" t="e">
        <f>IF(#REF!,"AAAAABOfrl0=",0)</f>
        <v>#REF!</v>
      </c>
      <c r="CQ225" t="e">
        <f>IF(#REF!,"AAAAABOfrl4=",0)</f>
        <v>#REF!</v>
      </c>
      <c r="CR225" t="e">
        <f>IF(#REF!,"AAAAABOfrl8=",0)</f>
        <v>#REF!</v>
      </c>
      <c r="CS225" t="e">
        <f>IF(#REF!,"AAAAABOfrmA=",0)</f>
        <v>#REF!</v>
      </c>
      <c r="CT225" t="e">
        <f>IF(#REF!,"AAAAABOfrmE=",0)</f>
        <v>#REF!</v>
      </c>
      <c r="CU225" t="e">
        <f>IF(#REF!,"AAAAABOfrmI=",0)</f>
        <v>#REF!</v>
      </c>
      <c r="CV225" t="e">
        <f>IF(#REF!,"AAAAABOfrmM=",0)</f>
        <v>#REF!</v>
      </c>
      <c r="CW225" t="e">
        <f>IF(#REF!,"AAAAABOfrmQ=",0)</f>
        <v>#REF!</v>
      </c>
      <c r="CX225" t="e">
        <f>IF(#REF!,"AAAAABOfrmU=",0)</f>
        <v>#REF!</v>
      </c>
      <c r="CY225" t="e">
        <f>IF(#REF!,"AAAAABOfrmY=",0)</f>
        <v>#REF!</v>
      </c>
      <c r="CZ225" t="e">
        <f>IF(#REF!,"AAAAABOfrmc=",0)</f>
        <v>#REF!</v>
      </c>
      <c r="DA225" t="e">
        <f>IF(#REF!,"AAAAABOfrmg=",0)</f>
        <v>#REF!</v>
      </c>
      <c r="DB225" t="e">
        <f>IF(#REF!,"AAAAABOfrmk=",0)</f>
        <v>#REF!</v>
      </c>
      <c r="DC225" t="e">
        <f>IF(#REF!,"AAAAABOfrmo=",0)</f>
        <v>#REF!</v>
      </c>
      <c r="DD225" t="e">
        <f>IF(#REF!,"AAAAABOfrms=",0)</f>
        <v>#REF!</v>
      </c>
      <c r="DE225" t="e">
        <f>IF(#REF!,"AAAAABOfrmw=",0)</f>
        <v>#REF!</v>
      </c>
      <c r="DF225" t="e">
        <f>IF(#REF!,"AAAAABOfrm0=",0)</f>
        <v>#REF!</v>
      </c>
      <c r="DG225" t="e">
        <f>IF(#REF!,"AAAAABOfrm4=",0)</f>
        <v>#REF!</v>
      </c>
      <c r="DH225" t="e">
        <f>IF(#REF!,"AAAAABOfrm8=",0)</f>
        <v>#REF!</v>
      </c>
      <c r="DI225" t="e">
        <f>IF(#REF!,"AAAAABOfrnA=",0)</f>
        <v>#REF!</v>
      </c>
      <c r="DJ225" t="e">
        <f>IF(#REF!,"AAAAABOfrnE=",0)</f>
        <v>#REF!</v>
      </c>
      <c r="DK225" t="e">
        <f>IF(#REF!,"AAAAABOfrnI=",0)</f>
        <v>#REF!</v>
      </c>
      <c r="DL225" t="e">
        <f>IF(#REF!,"AAAAABOfrnM=",0)</f>
        <v>#REF!</v>
      </c>
      <c r="DM225" t="e">
        <f>IF(#REF!,"AAAAABOfrnQ=",0)</f>
        <v>#REF!</v>
      </c>
      <c r="DN225" t="e">
        <f>IF(#REF!,"AAAAABOfrnU=",0)</f>
        <v>#REF!</v>
      </c>
      <c r="DO225" t="e">
        <f>IF(#REF!,"AAAAABOfrnY=",0)</f>
        <v>#REF!</v>
      </c>
      <c r="DP225" t="e">
        <f>IF(#REF!,"AAAAABOfrnc=",0)</f>
        <v>#REF!</v>
      </c>
      <c r="DQ225" t="e">
        <f>IF(#REF!,"AAAAABOfrng=",0)</f>
        <v>#REF!</v>
      </c>
      <c r="DR225" t="e">
        <f>IF(#REF!,"AAAAABOfrnk=",0)</f>
        <v>#REF!</v>
      </c>
      <c r="DS225" t="e">
        <f>IF(#REF!,"AAAAABOfrno=",0)</f>
        <v>#REF!</v>
      </c>
      <c r="DT225" t="e">
        <f>IF(#REF!,"AAAAABOfrns=",0)</f>
        <v>#REF!</v>
      </c>
      <c r="DU225" t="e">
        <f>IF(#REF!,"AAAAABOfrnw=",0)</f>
        <v>#REF!</v>
      </c>
      <c r="DV225" t="e">
        <f>IF(#REF!,"AAAAABOfrn0=",0)</f>
        <v>#REF!</v>
      </c>
      <c r="DW225" t="e">
        <f>IF(#REF!,"AAAAABOfrn4=",0)</f>
        <v>#REF!</v>
      </c>
      <c r="DX225" t="e">
        <f>IF(#REF!,"AAAAABOfrn8=",0)</f>
        <v>#REF!</v>
      </c>
      <c r="DY225" t="e">
        <f>IF(#REF!,"AAAAABOfroA=",0)</f>
        <v>#REF!</v>
      </c>
      <c r="DZ225" t="e">
        <f>IF(#REF!,"AAAAABOfroE=",0)</f>
        <v>#REF!</v>
      </c>
      <c r="EA225" t="e">
        <f>IF(#REF!,"AAAAABOfroI=",0)</f>
        <v>#REF!</v>
      </c>
      <c r="EB225" t="e">
        <f>IF(#REF!,"AAAAABOfroM=",0)</f>
        <v>#REF!</v>
      </c>
      <c r="EC225" t="e">
        <f>IF(#REF!,"AAAAABOfroQ=",0)</f>
        <v>#REF!</v>
      </c>
      <c r="ED225" t="e">
        <f>IF(#REF!,"AAAAABOfroU=",0)</f>
        <v>#REF!</v>
      </c>
      <c r="EE225" t="e">
        <f>IF(#REF!,"AAAAABOfroY=",0)</f>
        <v>#REF!</v>
      </c>
      <c r="EF225" t="e">
        <f>IF(#REF!,"AAAAABOfroc=",0)</f>
        <v>#REF!</v>
      </c>
      <c r="EG225" t="e">
        <f>IF(#REF!,"AAAAABOfrog=",0)</f>
        <v>#REF!</v>
      </c>
      <c r="EH225" t="e">
        <f>IF(#REF!,"AAAAABOfrok=",0)</f>
        <v>#REF!</v>
      </c>
      <c r="EI225" t="e">
        <f>IF(#REF!,"AAAAABOfroo=",0)</f>
        <v>#REF!</v>
      </c>
      <c r="EJ225" t="e">
        <f>IF(#REF!,"AAAAABOfros=",0)</f>
        <v>#REF!</v>
      </c>
      <c r="EK225" t="e">
        <f>IF(#REF!,"AAAAABOfrow=",0)</f>
        <v>#REF!</v>
      </c>
      <c r="EL225" t="e">
        <f>IF(#REF!,"AAAAABOfro0=",0)</f>
        <v>#REF!</v>
      </c>
      <c r="EM225" t="e">
        <f>IF(#REF!,"AAAAABOfro4=",0)</f>
        <v>#REF!</v>
      </c>
      <c r="EN225" t="e">
        <f>IF(#REF!,"AAAAABOfro8=",0)</f>
        <v>#REF!</v>
      </c>
      <c r="EO225" t="e">
        <f>IF(#REF!,"AAAAABOfrpA=",0)</f>
        <v>#REF!</v>
      </c>
      <c r="EP225" t="e">
        <f>IF(#REF!,"AAAAABOfrpE=",0)</f>
        <v>#REF!</v>
      </c>
      <c r="EQ225" t="e">
        <f>IF(#REF!,"AAAAABOfrpI=",0)</f>
        <v>#REF!</v>
      </c>
      <c r="ER225" t="e">
        <f>IF(#REF!,"AAAAABOfrpM=",0)</f>
        <v>#REF!</v>
      </c>
      <c r="ES225" t="e">
        <f>IF(#REF!,"AAAAABOfrpQ=",0)</f>
        <v>#REF!</v>
      </c>
      <c r="ET225" t="e">
        <f>IF(#REF!,"AAAAABOfrpU=",0)</f>
        <v>#REF!</v>
      </c>
      <c r="EU225" t="e">
        <f>IF(#REF!,"AAAAABOfrpY=",0)</f>
        <v>#REF!</v>
      </c>
      <c r="EV225" t="e">
        <f>IF(#REF!,"AAAAABOfrpc=",0)</f>
        <v>#REF!</v>
      </c>
      <c r="EW225" t="e">
        <f>IF(#REF!,"AAAAABOfrpg=",0)</f>
        <v>#REF!</v>
      </c>
      <c r="EX225" t="e">
        <f>IF(#REF!,"AAAAABOfrpk=",0)</f>
        <v>#REF!</v>
      </c>
      <c r="EY225" t="e">
        <f>IF(#REF!,"AAAAABOfrpo=",0)</f>
        <v>#REF!</v>
      </c>
      <c r="EZ225" t="e">
        <f>IF(#REF!,"AAAAABOfrps=",0)</f>
        <v>#REF!</v>
      </c>
      <c r="FA225" t="e">
        <f>IF(#REF!,"AAAAABOfrpw=",0)</f>
        <v>#REF!</v>
      </c>
      <c r="FB225" t="e">
        <f>IF(#REF!,"AAAAABOfrp0=",0)</f>
        <v>#REF!</v>
      </c>
      <c r="FC225" t="e">
        <f>IF(#REF!,"AAAAABOfrp4=",0)</f>
        <v>#REF!</v>
      </c>
      <c r="FD225" t="e">
        <f>IF(#REF!,"AAAAABOfrp8=",0)</f>
        <v>#REF!</v>
      </c>
      <c r="FE225" t="e">
        <f>IF(#REF!,"AAAAABOfrqA=",0)</f>
        <v>#REF!</v>
      </c>
      <c r="FF225" t="e">
        <f>IF(#REF!,"AAAAABOfrqE=",0)</f>
        <v>#REF!</v>
      </c>
      <c r="FG225" t="e">
        <f>IF(#REF!,"AAAAABOfrqI=",0)</f>
        <v>#REF!</v>
      </c>
      <c r="FH225" t="e">
        <f>IF(#REF!,"AAAAABOfrqM=",0)</f>
        <v>#REF!</v>
      </c>
      <c r="FI225" t="e">
        <f>IF(#REF!,"AAAAABOfrqQ=",0)</f>
        <v>#REF!</v>
      </c>
      <c r="FJ225" t="e">
        <f>IF(#REF!,"AAAAABOfrqU=",0)</f>
        <v>#REF!</v>
      </c>
      <c r="FK225" t="e">
        <f>IF(#REF!,"AAAAABOfrqY=",0)</f>
        <v>#REF!</v>
      </c>
      <c r="FL225" t="e">
        <f>IF(#REF!,"AAAAABOfrqc=",0)</f>
        <v>#REF!</v>
      </c>
      <c r="FM225" t="e">
        <f>IF(#REF!,"AAAAABOfrqg=",0)</f>
        <v>#REF!</v>
      </c>
      <c r="FN225" t="e">
        <f>IF(#REF!,"AAAAABOfrqk=",0)</f>
        <v>#REF!</v>
      </c>
      <c r="FO225" t="e">
        <f>IF(#REF!,"AAAAABOfrqo=",0)</f>
        <v>#REF!</v>
      </c>
      <c r="FP225" t="e">
        <f>IF(#REF!,"AAAAABOfrqs=",0)</f>
        <v>#REF!</v>
      </c>
      <c r="FQ225" t="e">
        <f>IF(#REF!,"AAAAABOfrqw=",0)</f>
        <v>#REF!</v>
      </c>
      <c r="FR225" t="e">
        <f>IF(#REF!,"AAAAABOfrq0=",0)</f>
        <v>#REF!</v>
      </c>
      <c r="FS225" t="e">
        <f>IF(#REF!,"AAAAABOfrq4=",0)</f>
        <v>#REF!</v>
      </c>
      <c r="FT225" t="e">
        <f>IF(#REF!,"AAAAABOfrq8=",0)</f>
        <v>#REF!</v>
      </c>
      <c r="FU225" t="e">
        <f>IF(#REF!,"AAAAABOfrrA=",0)</f>
        <v>#REF!</v>
      </c>
      <c r="FV225" t="e">
        <f>IF(#REF!,"AAAAABOfrrE=",0)</f>
        <v>#REF!</v>
      </c>
      <c r="FW225" t="e">
        <f>IF(#REF!,"AAAAABOfrrI=",0)</f>
        <v>#REF!</v>
      </c>
      <c r="FX225" t="e">
        <f>IF(#REF!,"AAAAABOfrrM=",0)</f>
        <v>#REF!</v>
      </c>
      <c r="FY225" t="e">
        <f>IF(#REF!,"AAAAABOfrrQ=",0)</f>
        <v>#REF!</v>
      </c>
      <c r="FZ225" t="e">
        <f>IF(#REF!,"AAAAABOfrrU=",0)</f>
        <v>#REF!</v>
      </c>
      <c r="GA225" t="e">
        <f>IF(#REF!,"AAAAABOfrrY=",0)</f>
        <v>#REF!</v>
      </c>
      <c r="GB225" t="e">
        <f>IF(#REF!,"AAAAABOfrrc=",0)</f>
        <v>#REF!</v>
      </c>
      <c r="GC225" t="e">
        <f>IF(#REF!,"AAAAABOfrrg=",0)</f>
        <v>#REF!</v>
      </c>
      <c r="GD225" t="e">
        <f>IF(#REF!,"AAAAABOfrrk=",0)</f>
        <v>#REF!</v>
      </c>
      <c r="GE225" t="e">
        <f>IF(#REF!,"AAAAABOfrro=",0)</f>
        <v>#REF!</v>
      </c>
      <c r="GF225" t="e">
        <f>IF(#REF!,"AAAAABOfrrs=",0)</f>
        <v>#REF!</v>
      </c>
      <c r="GG225" t="e">
        <f>IF(#REF!,"AAAAABOfrrw=",0)</f>
        <v>#REF!</v>
      </c>
      <c r="GH225" t="e">
        <f>IF(#REF!,"AAAAABOfrr0=",0)</f>
        <v>#REF!</v>
      </c>
      <c r="GI225" t="e">
        <f>IF(#REF!,"AAAAABOfrr4=",0)</f>
        <v>#REF!</v>
      </c>
      <c r="GJ225" t="e">
        <f>IF(#REF!,"AAAAABOfrr8=",0)</f>
        <v>#REF!</v>
      </c>
      <c r="GK225" t="e">
        <f>IF(#REF!,"AAAAABOfrsA=",0)</f>
        <v>#REF!</v>
      </c>
      <c r="GL225" t="e">
        <f>IF(#REF!,"AAAAABOfrsE=",0)</f>
        <v>#REF!</v>
      </c>
      <c r="GM225" t="e">
        <f>IF(#REF!,"AAAAABOfrsI=",0)</f>
        <v>#REF!</v>
      </c>
      <c r="GN225" t="e">
        <f>IF(#REF!,"AAAAABOfrsM=",0)</f>
        <v>#REF!</v>
      </c>
      <c r="GO225" t="e">
        <f>IF(#REF!,"AAAAABOfrsQ=",0)</f>
        <v>#REF!</v>
      </c>
      <c r="GP225" t="e">
        <f>IF(#REF!,"AAAAABOfrsU=",0)</f>
        <v>#REF!</v>
      </c>
      <c r="GQ225" t="e">
        <f>IF(#REF!,"AAAAABOfrsY=",0)</f>
        <v>#REF!</v>
      </c>
      <c r="GR225" t="e">
        <f>IF(#REF!,"AAAAABOfrsc=",0)</f>
        <v>#REF!</v>
      </c>
      <c r="GS225" t="e">
        <f>IF(#REF!,"AAAAABOfrsg=",0)</f>
        <v>#REF!</v>
      </c>
      <c r="GT225" t="e">
        <f>IF(#REF!,"AAAAABOfrsk=",0)</f>
        <v>#REF!</v>
      </c>
      <c r="GU225" t="e">
        <f>IF(#REF!,"AAAAABOfrso=",0)</f>
        <v>#REF!</v>
      </c>
      <c r="GV225" t="e">
        <f>IF(#REF!,"AAAAABOfrss=",0)</f>
        <v>#REF!</v>
      </c>
      <c r="GW225" t="e">
        <f>IF(#REF!,"AAAAABOfrsw=",0)</f>
        <v>#REF!</v>
      </c>
      <c r="GX225" t="e">
        <f>IF(#REF!,"AAAAABOfrs0=",0)</f>
        <v>#REF!</v>
      </c>
      <c r="GY225" t="e">
        <f>IF(#REF!,"AAAAABOfrs4=",0)</f>
        <v>#REF!</v>
      </c>
      <c r="GZ225" t="e">
        <f>IF(#REF!,"AAAAABOfrs8=",0)</f>
        <v>#REF!</v>
      </c>
      <c r="HA225" t="e">
        <f>IF(#REF!,"AAAAABOfrtA=",0)</f>
        <v>#REF!</v>
      </c>
      <c r="HB225" t="e">
        <f>IF(#REF!,"AAAAABOfrtE=",0)</f>
        <v>#REF!</v>
      </c>
      <c r="HC225" t="e">
        <f>IF(#REF!,"AAAAABOfrtI=",0)</f>
        <v>#REF!</v>
      </c>
      <c r="HD225" t="e">
        <f>IF(#REF!,"AAAAABOfrtM=",0)</f>
        <v>#REF!</v>
      </c>
      <c r="HE225" t="e">
        <f>IF(#REF!,"AAAAABOfrtQ=",0)</f>
        <v>#REF!</v>
      </c>
      <c r="HF225" t="e">
        <f>IF(#REF!,"AAAAABOfrtU=",0)</f>
        <v>#REF!</v>
      </c>
      <c r="HG225" t="e">
        <f>IF(#REF!,"AAAAABOfrtY=",0)</f>
        <v>#REF!</v>
      </c>
      <c r="HH225" t="e">
        <f>IF(#REF!,"AAAAABOfrtc=",0)</f>
        <v>#REF!</v>
      </c>
      <c r="HI225" t="e">
        <f>IF(#REF!,"AAAAABOfrtg=",0)</f>
        <v>#REF!</v>
      </c>
      <c r="HJ225" t="e">
        <f>IF(#REF!,"AAAAABOfrtk=",0)</f>
        <v>#REF!</v>
      </c>
      <c r="HK225" t="e">
        <f>IF(#REF!,"AAAAABOfrto=",0)</f>
        <v>#REF!</v>
      </c>
      <c r="HL225" t="e">
        <f>IF(#REF!,"AAAAABOfrts=",0)</f>
        <v>#REF!</v>
      </c>
      <c r="HM225" t="e">
        <f>IF(#REF!,"AAAAABOfrtw=",0)</f>
        <v>#REF!</v>
      </c>
      <c r="HN225" t="e">
        <f>IF(#REF!,"AAAAABOfrt0=",0)</f>
        <v>#REF!</v>
      </c>
      <c r="HO225" t="e">
        <f>IF(#REF!,"AAAAABOfrt4=",0)</f>
        <v>#REF!</v>
      </c>
      <c r="HP225" t="e">
        <f>IF(#REF!,"AAAAABOfrt8=",0)</f>
        <v>#REF!</v>
      </c>
      <c r="HQ225" t="e">
        <f>IF(#REF!,"AAAAABOfruA=",0)</f>
        <v>#REF!</v>
      </c>
      <c r="HR225" t="e">
        <f>IF(#REF!,"AAAAABOfruE=",0)</f>
        <v>#REF!</v>
      </c>
      <c r="HS225" t="e">
        <f>IF(#REF!,"AAAAABOfruI=",0)</f>
        <v>#REF!</v>
      </c>
      <c r="HT225" t="e">
        <f>IF(#REF!,"AAAAABOfruM=",0)</f>
        <v>#REF!</v>
      </c>
      <c r="HU225" t="e">
        <f>IF(#REF!,"AAAAABOfruQ=",0)</f>
        <v>#REF!</v>
      </c>
      <c r="HV225" t="e">
        <f>IF(#REF!,"AAAAABOfruU=",0)</f>
        <v>#REF!</v>
      </c>
      <c r="HW225" t="e">
        <f>IF(#REF!,"AAAAABOfruY=",0)</f>
        <v>#REF!</v>
      </c>
      <c r="HX225" t="e">
        <f>IF(#REF!,"AAAAABOfruc=",0)</f>
        <v>#REF!</v>
      </c>
      <c r="HY225" t="e">
        <f>IF(#REF!,"AAAAABOfrug=",0)</f>
        <v>#REF!</v>
      </c>
      <c r="HZ225" t="e">
        <f>IF(#REF!,"AAAAABOfruk=",0)</f>
        <v>#REF!</v>
      </c>
      <c r="IA225" t="e">
        <f>IF(#REF!,"AAAAABOfruo=",0)</f>
        <v>#REF!</v>
      </c>
      <c r="IB225" t="e">
        <f>IF(#REF!,"AAAAABOfrus=",0)</f>
        <v>#REF!</v>
      </c>
      <c r="IC225" t="e">
        <f>IF(#REF!,"AAAAABOfruw=",0)</f>
        <v>#REF!</v>
      </c>
      <c r="ID225" t="e">
        <f>IF(#REF!,"AAAAABOfru0=",0)</f>
        <v>#REF!</v>
      </c>
      <c r="IE225" t="e">
        <f>IF(#REF!,"AAAAABOfru4=",0)</f>
        <v>#REF!</v>
      </c>
      <c r="IF225" t="e">
        <f>IF(#REF!,"AAAAABOfru8=",0)</f>
        <v>#REF!</v>
      </c>
      <c r="IG225" t="e">
        <f>IF(#REF!,"AAAAABOfrvA=",0)</f>
        <v>#REF!</v>
      </c>
      <c r="IH225" t="e">
        <f>IF(#REF!,"AAAAABOfrvE=",0)</f>
        <v>#REF!</v>
      </c>
      <c r="II225" t="e">
        <f>IF(#REF!,"AAAAABOfrvI=",0)</f>
        <v>#REF!</v>
      </c>
      <c r="IJ225" t="e">
        <f>IF(#REF!,"AAAAABOfrvM=",0)</f>
        <v>#REF!</v>
      </c>
      <c r="IK225" t="e">
        <f>IF(#REF!,"AAAAABOfrvQ=",0)</f>
        <v>#REF!</v>
      </c>
      <c r="IL225" t="e">
        <f>IF(#REF!,"AAAAABOfrvU=",0)</f>
        <v>#REF!</v>
      </c>
      <c r="IM225" t="e">
        <f>IF(#REF!,"AAAAABOfrvY=",0)</f>
        <v>#REF!</v>
      </c>
      <c r="IN225" t="e">
        <f>IF(#REF!,"AAAAABOfrvc=",0)</f>
        <v>#REF!</v>
      </c>
      <c r="IO225" t="e">
        <f>IF(#REF!,"AAAAABOfrvg=",0)</f>
        <v>#REF!</v>
      </c>
      <c r="IP225" t="e">
        <f>IF(#REF!,"AAAAABOfrvk=",0)</f>
        <v>#REF!</v>
      </c>
      <c r="IQ225" t="e">
        <f>IF(#REF!,"AAAAABOfrvo=",0)</f>
        <v>#REF!</v>
      </c>
      <c r="IR225" t="e">
        <f>IF(#REF!,"AAAAABOfrvs=",0)</f>
        <v>#REF!</v>
      </c>
      <c r="IS225" t="e">
        <f>IF(#REF!,"AAAAABOfrvw=",0)</f>
        <v>#REF!</v>
      </c>
      <c r="IT225" t="e">
        <f>IF(#REF!,"AAAAABOfrv0=",0)</f>
        <v>#REF!</v>
      </c>
      <c r="IU225" t="e">
        <f>IF(#REF!,"AAAAABOfrv4=",0)</f>
        <v>#REF!</v>
      </c>
      <c r="IV225" t="e">
        <f>IF(#REF!,"AAAAABOfrv8=",0)</f>
        <v>#REF!</v>
      </c>
    </row>
    <row r="226" spans="1:256">
      <c r="A226" t="e">
        <f>IF(#REF!,"AAAAABX77gA=",0)</f>
        <v>#REF!</v>
      </c>
      <c r="B226" t="e">
        <f>IF(#REF!,"AAAAABX77gE=",0)</f>
        <v>#REF!</v>
      </c>
      <c r="C226" t="e">
        <f>IF(#REF!,"AAAAABX77gI=",0)</f>
        <v>#REF!</v>
      </c>
      <c r="D226" t="e">
        <f>IF(#REF!,"AAAAABX77gM=",0)</f>
        <v>#REF!</v>
      </c>
      <c r="E226" t="e">
        <f>IF(#REF!,"AAAAABX77gQ=",0)</f>
        <v>#REF!</v>
      </c>
      <c r="F226" t="e">
        <f>IF(#REF!,"AAAAABX77gU=",0)</f>
        <v>#REF!</v>
      </c>
      <c r="G226" t="e">
        <f>IF(#REF!,"AAAAABX77gY=",0)</f>
        <v>#REF!</v>
      </c>
      <c r="H226" t="e">
        <f>IF(#REF!,"AAAAABX77gc=",0)</f>
        <v>#REF!</v>
      </c>
      <c r="I226" t="e">
        <f>IF(#REF!,"AAAAABX77gg=",0)</f>
        <v>#REF!</v>
      </c>
      <c r="J226" t="e">
        <f>IF(#REF!,"AAAAABX77gk=",0)</f>
        <v>#REF!</v>
      </c>
      <c r="K226" t="e">
        <f>IF(#REF!,"AAAAABX77go=",0)</f>
        <v>#REF!</v>
      </c>
      <c r="L226" t="e">
        <f>IF(#REF!,"AAAAABX77gs=",0)</f>
        <v>#REF!</v>
      </c>
      <c r="M226" t="e">
        <f>IF(#REF!,"AAAAABX77gw=",0)</f>
        <v>#REF!</v>
      </c>
      <c r="N226" t="e">
        <f>IF(#REF!,"AAAAABX77g0=",0)</f>
        <v>#REF!</v>
      </c>
      <c r="O226" t="e">
        <f>IF(#REF!,"AAAAABX77g4=",0)</f>
        <v>#REF!</v>
      </c>
      <c r="P226" t="e">
        <f>IF(#REF!,"AAAAABX77g8=",0)</f>
        <v>#REF!</v>
      </c>
      <c r="Q226" t="e">
        <f>IF(#REF!,"AAAAABX77hA=",0)</f>
        <v>#REF!</v>
      </c>
      <c r="R226" t="e">
        <f>IF(#REF!,"AAAAABX77hE=",0)</f>
        <v>#REF!</v>
      </c>
      <c r="S226" t="e">
        <f>IF(#REF!,"AAAAABX77hI=",0)</f>
        <v>#REF!</v>
      </c>
      <c r="T226" t="e">
        <f>IF(#REF!,"AAAAABX77hM=",0)</f>
        <v>#REF!</v>
      </c>
      <c r="U226" t="e">
        <f>IF(#REF!,"AAAAABX77hQ=",0)</f>
        <v>#REF!</v>
      </c>
      <c r="V226" t="e">
        <f>IF(#REF!,"AAAAABX77hU=",0)</f>
        <v>#REF!</v>
      </c>
      <c r="W226" t="e">
        <f>IF(#REF!,"AAAAABX77hY=",0)</f>
        <v>#REF!</v>
      </c>
      <c r="X226" t="e">
        <f>IF(#REF!,"AAAAABX77hc=",0)</f>
        <v>#REF!</v>
      </c>
      <c r="Y226" t="e">
        <f>IF(#REF!,"AAAAABX77hg=",0)</f>
        <v>#REF!</v>
      </c>
      <c r="Z226" t="e">
        <f>IF(#REF!,"AAAAABX77hk=",0)</f>
        <v>#REF!</v>
      </c>
      <c r="AA226" t="e">
        <f>IF(#REF!,"AAAAABX77ho=",0)</f>
        <v>#REF!</v>
      </c>
      <c r="AB226" t="e">
        <f>IF(#REF!,"AAAAABX77hs=",0)</f>
        <v>#REF!</v>
      </c>
      <c r="AC226" t="e">
        <f>IF(#REF!,"AAAAABX77hw=",0)</f>
        <v>#REF!</v>
      </c>
      <c r="AD226" t="e">
        <f>IF(#REF!,"AAAAABX77h0=",0)</f>
        <v>#REF!</v>
      </c>
      <c r="AE226" t="e">
        <f>IF(#REF!,"AAAAABX77h4=",0)</f>
        <v>#REF!</v>
      </c>
      <c r="AF226" t="e">
        <f>IF(#REF!,"AAAAABX77h8=",0)</f>
        <v>#REF!</v>
      </c>
      <c r="AG226" t="e">
        <f>IF(#REF!,"AAAAABX77iA=",0)</f>
        <v>#REF!</v>
      </c>
      <c r="AH226" t="e">
        <f>IF(#REF!,"AAAAABX77iE=",0)</f>
        <v>#REF!</v>
      </c>
      <c r="AI226" t="e">
        <f>IF(#REF!,"AAAAABX77iI=",0)</f>
        <v>#REF!</v>
      </c>
      <c r="AJ226" t="e">
        <f>IF(#REF!,"AAAAABX77iM=",0)</f>
        <v>#REF!</v>
      </c>
      <c r="AK226" t="e">
        <f>IF(#REF!,"AAAAABX77iQ=",0)</f>
        <v>#REF!</v>
      </c>
      <c r="AL226" t="e">
        <f>IF(#REF!,"AAAAABX77iU=",0)</f>
        <v>#REF!</v>
      </c>
      <c r="AM226" t="e">
        <f>IF(#REF!,"AAAAABX77iY=",0)</f>
        <v>#REF!</v>
      </c>
      <c r="AN226" t="e">
        <f>IF(#REF!,"AAAAABX77ic=",0)</f>
        <v>#REF!</v>
      </c>
      <c r="AO226" t="e">
        <f>IF(#REF!,"AAAAABX77ig=",0)</f>
        <v>#REF!</v>
      </c>
      <c r="AP226" t="e">
        <f>IF(#REF!,"AAAAABX77ik=",0)</f>
        <v>#REF!</v>
      </c>
      <c r="AQ226" t="e">
        <f>IF(#REF!,"AAAAABX77io=",0)</f>
        <v>#REF!</v>
      </c>
      <c r="AR226" t="e">
        <f>IF(#REF!,"AAAAABX77is=",0)</f>
        <v>#REF!</v>
      </c>
      <c r="AS226" t="e">
        <f>IF(#REF!,"AAAAABX77iw=",0)</f>
        <v>#REF!</v>
      </c>
      <c r="AT226" t="e">
        <f>IF(#REF!,"AAAAABX77i0=",0)</f>
        <v>#REF!</v>
      </c>
      <c r="AU226" t="e">
        <f>IF(#REF!,"AAAAABX77i4=",0)</f>
        <v>#REF!</v>
      </c>
      <c r="AV226" t="e">
        <f>IF(#REF!,"AAAAABX77i8=",0)</f>
        <v>#REF!</v>
      </c>
      <c r="AW226" t="e">
        <f>IF(#REF!,"AAAAABX77jA=",0)</f>
        <v>#REF!</v>
      </c>
      <c r="AX226" t="e">
        <f>IF(#REF!,"AAAAABX77jE=",0)</f>
        <v>#REF!</v>
      </c>
      <c r="AY226" t="e">
        <f>IF(#REF!,"AAAAABX77jI=",0)</f>
        <v>#REF!</v>
      </c>
      <c r="AZ226" t="e">
        <f>IF(#REF!,"AAAAABX77jM=",0)</f>
        <v>#REF!</v>
      </c>
      <c r="BA226" t="e">
        <f>IF(#REF!,"AAAAABX77jQ=",0)</f>
        <v>#REF!</v>
      </c>
      <c r="BB226" t="e">
        <f>IF(#REF!,"AAAAABX77jU=",0)</f>
        <v>#REF!</v>
      </c>
      <c r="BC226" t="e">
        <f>IF(#REF!,"AAAAABX77jY=",0)</f>
        <v>#REF!</v>
      </c>
      <c r="BD226" t="e">
        <f>IF(#REF!,"AAAAABX77jc=",0)</f>
        <v>#REF!</v>
      </c>
      <c r="BE226" t="e">
        <f>IF(#REF!,"AAAAABX77jg=",0)</f>
        <v>#REF!</v>
      </c>
      <c r="BF226" t="e">
        <f>IF(#REF!,"AAAAABX77jk=",0)</f>
        <v>#REF!</v>
      </c>
      <c r="BG226" t="e">
        <f>IF(#REF!,"AAAAABX77jo=",0)</f>
        <v>#REF!</v>
      </c>
      <c r="BH226" t="e">
        <f>IF(#REF!,"AAAAABX77js=",0)</f>
        <v>#REF!</v>
      </c>
      <c r="BI226" t="e">
        <f>IF(#REF!,"AAAAABX77jw=",0)</f>
        <v>#REF!</v>
      </c>
      <c r="BJ226" t="e">
        <f>IF(#REF!,"AAAAABX77j0=",0)</f>
        <v>#REF!</v>
      </c>
      <c r="BK226" t="e">
        <f>IF(#REF!,"AAAAABX77j4=",0)</f>
        <v>#REF!</v>
      </c>
      <c r="BL226" t="e">
        <f>IF(#REF!,"AAAAABX77j8=",0)</f>
        <v>#REF!</v>
      </c>
      <c r="BM226" t="e">
        <f>IF(#REF!,"AAAAABX77kA=",0)</f>
        <v>#REF!</v>
      </c>
      <c r="BN226" t="e">
        <f>IF(#REF!,"AAAAABX77kE=",0)</f>
        <v>#REF!</v>
      </c>
      <c r="BO226" t="e">
        <f>IF(#REF!,"AAAAABX77kI=",0)</f>
        <v>#REF!</v>
      </c>
      <c r="BP226" t="e">
        <f>IF(#REF!,"AAAAABX77kM=",0)</f>
        <v>#REF!</v>
      </c>
      <c r="BQ226" t="e">
        <f>IF(#REF!,"AAAAABX77kQ=",0)</f>
        <v>#REF!</v>
      </c>
      <c r="BR226" t="e">
        <f>IF(#REF!,"AAAAABX77kU=",0)</f>
        <v>#REF!</v>
      </c>
      <c r="BS226" t="e">
        <f>IF(#REF!,"AAAAABX77kY=",0)</f>
        <v>#REF!</v>
      </c>
      <c r="BT226" t="e">
        <f>IF(#REF!,"AAAAABX77kc=",0)</f>
        <v>#REF!</v>
      </c>
      <c r="BU226" t="e">
        <f>IF(#REF!,"AAAAABX77kg=",0)</f>
        <v>#REF!</v>
      </c>
      <c r="BV226" t="e">
        <f>IF(#REF!,"AAAAABX77kk=",0)</f>
        <v>#REF!</v>
      </c>
      <c r="BW226" t="e">
        <f>IF(#REF!,"AAAAABX77ko=",0)</f>
        <v>#REF!</v>
      </c>
      <c r="BX226" t="e">
        <f>IF(#REF!,"AAAAABX77ks=",0)</f>
        <v>#REF!</v>
      </c>
      <c r="BY226" t="e">
        <f>IF(#REF!,"AAAAABX77kw=",0)</f>
        <v>#REF!</v>
      </c>
      <c r="BZ226" t="e">
        <f>IF(#REF!,"AAAAABX77k0=",0)</f>
        <v>#REF!</v>
      </c>
      <c r="CA226" t="e">
        <f>IF(#REF!,"AAAAABX77k4=",0)</f>
        <v>#REF!</v>
      </c>
      <c r="CB226" t="e">
        <f>IF(#REF!,"AAAAABX77k8=",0)</f>
        <v>#REF!</v>
      </c>
      <c r="CC226" t="e">
        <f>IF(#REF!,"AAAAABX77lA=",0)</f>
        <v>#REF!</v>
      </c>
      <c r="CD226" t="e">
        <f>IF(#REF!,"AAAAABX77lE=",0)</f>
        <v>#REF!</v>
      </c>
      <c r="CE226" t="e">
        <f>IF(#REF!,"AAAAABX77lI=",0)</f>
        <v>#REF!</v>
      </c>
      <c r="CF226" t="e">
        <f>IF(#REF!,"AAAAABX77lM=",0)</f>
        <v>#REF!</v>
      </c>
      <c r="CG226" t="e">
        <f>IF(#REF!,"AAAAABX77lQ=",0)</f>
        <v>#REF!</v>
      </c>
      <c r="CH226" t="e">
        <f>IF(#REF!,"AAAAABX77lU=",0)</f>
        <v>#REF!</v>
      </c>
      <c r="CI226" t="e">
        <f>IF(#REF!,"AAAAABX77lY=",0)</f>
        <v>#REF!</v>
      </c>
      <c r="CJ226" t="e">
        <f>IF(#REF!,"AAAAABX77lc=",0)</f>
        <v>#REF!</v>
      </c>
      <c r="CK226" t="e">
        <f>IF(#REF!,"AAAAABX77lg=",0)</f>
        <v>#REF!</v>
      </c>
      <c r="CL226" t="e">
        <f>IF(#REF!,"AAAAABX77lk=",0)</f>
        <v>#REF!</v>
      </c>
      <c r="CM226" t="e">
        <f>IF(#REF!,"AAAAABX77lo=",0)</f>
        <v>#REF!</v>
      </c>
      <c r="CN226" t="e">
        <f>IF(#REF!,"AAAAABX77ls=",0)</f>
        <v>#REF!</v>
      </c>
      <c r="CO226" t="e">
        <f>IF(#REF!,"AAAAABX77lw=",0)</f>
        <v>#REF!</v>
      </c>
      <c r="CP226" t="e">
        <f>IF(#REF!,"AAAAABX77l0=",0)</f>
        <v>#REF!</v>
      </c>
      <c r="CQ226" t="e">
        <f>IF(#REF!,"AAAAABX77l4=",0)</f>
        <v>#REF!</v>
      </c>
      <c r="CR226" t="e">
        <f>IF(#REF!,"AAAAABX77l8=",0)</f>
        <v>#REF!</v>
      </c>
      <c r="CS226" t="e">
        <f>IF(#REF!,"AAAAABX77mA=",0)</f>
        <v>#REF!</v>
      </c>
      <c r="CT226" t="e">
        <f>IF(#REF!,"AAAAABX77mE=",0)</f>
        <v>#REF!</v>
      </c>
      <c r="CU226" t="e">
        <f>IF(#REF!,"AAAAABX77mI=",0)</f>
        <v>#REF!</v>
      </c>
      <c r="CV226" t="e">
        <f>IF(#REF!,"AAAAABX77mM=",0)</f>
        <v>#REF!</v>
      </c>
      <c r="CW226" t="e">
        <f>IF(#REF!,"AAAAABX77mQ=",0)</f>
        <v>#REF!</v>
      </c>
      <c r="CX226" t="e">
        <f>IF(#REF!,"AAAAABX77mU=",0)</f>
        <v>#REF!</v>
      </c>
      <c r="CY226" t="e">
        <f>IF(#REF!,"AAAAABX77mY=",0)</f>
        <v>#REF!</v>
      </c>
      <c r="CZ226" t="e">
        <f>IF(#REF!,"AAAAABX77mc=",0)</f>
        <v>#REF!</v>
      </c>
      <c r="DA226" t="e">
        <f>IF(#REF!,"AAAAABX77mg=",0)</f>
        <v>#REF!</v>
      </c>
      <c r="DB226" t="e">
        <f>IF(#REF!,"AAAAABX77mk=",0)</f>
        <v>#REF!</v>
      </c>
      <c r="DC226" t="e">
        <f>IF(#REF!,"AAAAABX77mo=",0)</f>
        <v>#REF!</v>
      </c>
      <c r="DD226" t="e">
        <f>IF(#REF!,"AAAAABX77ms=",0)</f>
        <v>#REF!</v>
      </c>
      <c r="DE226" t="e">
        <f>IF(#REF!,"AAAAABX77mw=",0)</f>
        <v>#REF!</v>
      </c>
      <c r="DF226" t="e">
        <f>IF(#REF!,"AAAAABX77m0=",0)</f>
        <v>#REF!</v>
      </c>
      <c r="DG226" t="e">
        <f>IF(#REF!,"AAAAABX77m4=",0)</f>
        <v>#REF!</v>
      </c>
      <c r="DH226" t="e">
        <f>IF(#REF!,"AAAAABX77m8=",0)</f>
        <v>#REF!</v>
      </c>
      <c r="DI226" t="e">
        <f>IF(#REF!,"AAAAABX77nA=",0)</f>
        <v>#REF!</v>
      </c>
      <c r="DJ226" t="e">
        <f>IF(#REF!,"AAAAABX77nE=",0)</f>
        <v>#REF!</v>
      </c>
      <c r="DK226" t="e">
        <f>IF(#REF!,"AAAAABX77nI=",0)</f>
        <v>#REF!</v>
      </c>
      <c r="DL226" t="e">
        <f>IF(#REF!,"AAAAABX77nM=",0)</f>
        <v>#REF!</v>
      </c>
      <c r="DM226" t="e">
        <f>IF(#REF!,"AAAAABX77nQ=",0)</f>
        <v>#REF!</v>
      </c>
      <c r="DN226" t="e">
        <f>IF(#REF!,"AAAAABX77nU=",0)</f>
        <v>#REF!</v>
      </c>
      <c r="DO226" t="e">
        <f>IF(#REF!,"AAAAABX77nY=",0)</f>
        <v>#REF!</v>
      </c>
      <c r="DP226" t="e">
        <f>IF(#REF!,"AAAAABX77nc=",0)</f>
        <v>#REF!</v>
      </c>
      <c r="DQ226" t="e">
        <f>IF(#REF!,"AAAAABX77ng=",0)</f>
        <v>#REF!</v>
      </c>
      <c r="DR226" t="e">
        <f>IF(#REF!,"AAAAABX77nk=",0)</f>
        <v>#REF!</v>
      </c>
      <c r="DS226" t="e">
        <f>IF(#REF!,"AAAAABX77no=",0)</f>
        <v>#REF!</v>
      </c>
      <c r="DT226" t="e">
        <f>IF(#REF!,"AAAAABX77ns=",0)</f>
        <v>#REF!</v>
      </c>
      <c r="DU226" t="e">
        <f>IF(#REF!,"AAAAABX77nw=",0)</f>
        <v>#REF!</v>
      </c>
      <c r="DV226" t="e">
        <f>IF(#REF!,"AAAAABX77n0=",0)</f>
        <v>#REF!</v>
      </c>
      <c r="DW226" t="e">
        <f>IF(#REF!,"AAAAABX77n4=",0)</f>
        <v>#REF!</v>
      </c>
      <c r="DX226" t="e">
        <f>IF(#REF!,"AAAAABX77n8=",0)</f>
        <v>#REF!</v>
      </c>
      <c r="DY226" t="e">
        <f>IF(#REF!,"AAAAABX77oA=",0)</f>
        <v>#REF!</v>
      </c>
      <c r="DZ226" t="e">
        <f>IF(#REF!,"AAAAABX77oE=",0)</f>
        <v>#REF!</v>
      </c>
      <c r="EA226" t="e">
        <f>IF(#REF!,"AAAAABX77oI=",0)</f>
        <v>#REF!</v>
      </c>
      <c r="EB226" t="e">
        <f>IF(#REF!,"AAAAABX77oM=",0)</f>
        <v>#REF!</v>
      </c>
      <c r="EC226" t="e">
        <f>IF(#REF!,"AAAAABX77oQ=",0)</f>
        <v>#REF!</v>
      </c>
      <c r="ED226" t="e">
        <f>IF(#REF!,"AAAAABX77oU=",0)</f>
        <v>#REF!</v>
      </c>
      <c r="EE226" t="e">
        <f>IF(#REF!,"AAAAABX77oY=",0)</f>
        <v>#REF!</v>
      </c>
      <c r="EF226" t="e">
        <f>IF(#REF!,"AAAAABX77oc=",0)</f>
        <v>#REF!</v>
      </c>
      <c r="EG226" t="e">
        <f>IF(#REF!,"AAAAABX77og=",0)</f>
        <v>#REF!</v>
      </c>
      <c r="EH226" t="e">
        <f>IF(#REF!,"AAAAABX77ok=",0)</f>
        <v>#REF!</v>
      </c>
      <c r="EI226" t="e">
        <f>IF(#REF!,"AAAAABX77oo=",0)</f>
        <v>#REF!</v>
      </c>
      <c r="EJ226" t="e">
        <f>IF(#REF!,"AAAAABX77os=",0)</f>
        <v>#REF!</v>
      </c>
      <c r="EK226" t="e">
        <f>IF(#REF!,"AAAAABX77ow=",0)</f>
        <v>#REF!</v>
      </c>
      <c r="EL226" t="e">
        <f>IF(#REF!,"AAAAABX77o0=",0)</f>
        <v>#REF!</v>
      </c>
      <c r="EM226" t="e">
        <f>IF(#REF!,"AAAAABX77o4=",0)</f>
        <v>#REF!</v>
      </c>
      <c r="EN226" t="e">
        <f>IF(#REF!,"AAAAABX77o8=",0)</f>
        <v>#REF!</v>
      </c>
      <c r="EO226" t="e">
        <f>IF(#REF!,"AAAAABX77pA=",0)</f>
        <v>#REF!</v>
      </c>
      <c r="EP226" t="e">
        <f>IF(#REF!,"AAAAABX77pE=",0)</f>
        <v>#REF!</v>
      </c>
      <c r="EQ226" t="e">
        <f>IF(#REF!,"AAAAABX77pI=",0)</f>
        <v>#REF!</v>
      </c>
      <c r="ER226" t="e">
        <f>IF(#REF!,"AAAAABX77pM=",0)</f>
        <v>#REF!</v>
      </c>
      <c r="ES226" t="e">
        <f>IF(#REF!,"AAAAABX77pQ=",0)</f>
        <v>#REF!</v>
      </c>
      <c r="ET226" t="e">
        <f>IF(#REF!,"AAAAABX77pU=",0)</f>
        <v>#REF!</v>
      </c>
      <c r="EU226" t="e">
        <f>IF(#REF!,"AAAAABX77pY=",0)</f>
        <v>#REF!</v>
      </c>
      <c r="EV226" t="e">
        <f>IF(#REF!,"AAAAABX77pc=",0)</f>
        <v>#REF!</v>
      </c>
      <c r="EW226" t="e">
        <f>IF(#REF!,"AAAAABX77pg=",0)</f>
        <v>#REF!</v>
      </c>
      <c r="EX226" t="e">
        <f>IF(#REF!,"AAAAABX77pk=",0)</f>
        <v>#REF!</v>
      </c>
      <c r="EY226" t="e">
        <f>IF(#REF!,"AAAAABX77po=",0)</f>
        <v>#REF!</v>
      </c>
      <c r="EZ226" t="e">
        <f>IF(#REF!,"AAAAABX77ps=",0)</f>
        <v>#REF!</v>
      </c>
      <c r="FA226" t="e">
        <f>IF(#REF!,"AAAAABX77pw=",0)</f>
        <v>#REF!</v>
      </c>
      <c r="FB226" t="e">
        <f>IF(#REF!,"AAAAABX77p0=",0)</f>
        <v>#REF!</v>
      </c>
      <c r="FC226" t="e">
        <f>IF(#REF!,"AAAAABX77p4=",0)</f>
        <v>#REF!</v>
      </c>
      <c r="FD226" t="e">
        <f>IF(#REF!,"AAAAABX77p8=",0)</f>
        <v>#REF!</v>
      </c>
      <c r="FE226" t="e">
        <f>IF(#REF!,"AAAAABX77qA=",0)</f>
        <v>#REF!</v>
      </c>
      <c r="FF226" t="e">
        <f>IF(#REF!,"AAAAABX77qE=",0)</f>
        <v>#REF!</v>
      </c>
      <c r="FG226" t="e">
        <f>IF(#REF!,"AAAAABX77qI=",0)</f>
        <v>#REF!</v>
      </c>
      <c r="FH226" t="e">
        <f>IF(#REF!,"AAAAABX77qM=",0)</f>
        <v>#REF!</v>
      </c>
      <c r="FI226" t="e">
        <f>IF(#REF!,"AAAAABX77qQ=",0)</f>
        <v>#REF!</v>
      </c>
      <c r="FJ226" t="e">
        <f>IF(#REF!,"AAAAABX77qU=",0)</f>
        <v>#REF!</v>
      </c>
      <c r="FK226" t="e">
        <f>IF(#REF!,"AAAAABX77qY=",0)</f>
        <v>#REF!</v>
      </c>
      <c r="FL226" t="e">
        <f>IF(#REF!,"AAAAABX77qc=",0)</f>
        <v>#REF!</v>
      </c>
      <c r="FM226" t="e">
        <f>IF(#REF!,"AAAAABX77qg=",0)</f>
        <v>#REF!</v>
      </c>
      <c r="FN226" t="e">
        <f>IF(#REF!,"AAAAABX77qk=",0)</f>
        <v>#REF!</v>
      </c>
      <c r="FO226" t="e">
        <f>IF(#REF!,"AAAAABX77qo=",0)</f>
        <v>#REF!</v>
      </c>
      <c r="FP226" t="e">
        <f>IF(#REF!,"AAAAABX77qs=",0)</f>
        <v>#REF!</v>
      </c>
      <c r="FQ226" t="e">
        <f>IF(#REF!,"AAAAABX77qw=",0)</f>
        <v>#REF!</v>
      </c>
      <c r="FR226" t="e">
        <f>IF(#REF!,"AAAAABX77q0=",0)</f>
        <v>#REF!</v>
      </c>
      <c r="FS226" t="e">
        <f>IF(#REF!,"AAAAABX77q4=",0)</f>
        <v>#REF!</v>
      </c>
      <c r="FT226" t="e">
        <f>IF(#REF!,"AAAAABX77q8=",0)</f>
        <v>#REF!</v>
      </c>
      <c r="FU226" t="e">
        <f>IF(#REF!,"AAAAABX77rA=",0)</f>
        <v>#REF!</v>
      </c>
      <c r="FV226" t="e">
        <f>IF(#REF!,"AAAAABX77rE=",0)</f>
        <v>#REF!</v>
      </c>
      <c r="FW226" t="e">
        <f>IF(#REF!,"AAAAABX77rI=",0)</f>
        <v>#REF!</v>
      </c>
      <c r="FX226" t="e">
        <f>IF(#REF!,"AAAAABX77rM=",0)</f>
        <v>#REF!</v>
      </c>
      <c r="FY226" t="e">
        <f>IF(#REF!,"AAAAABX77rQ=",0)</f>
        <v>#REF!</v>
      </c>
      <c r="FZ226" t="e">
        <f>IF(#REF!,"AAAAABX77rU=",0)</f>
        <v>#REF!</v>
      </c>
      <c r="GA226" t="e">
        <f>IF(#REF!,"AAAAABX77rY=",0)</f>
        <v>#REF!</v>
      </c>
      <c r="GB226" t="e">
        <f>IF(#REF!,"AAAAABX77rc=",0)</f>
        <v>#REF!</v>
      </c>
      <c r="GC226" t="e">
        <f>IF(#REF!,"AAAAABX77rg=",0)</f>
        <v>#REF!</v>
      </c>
      <c r="GD226" t="e">
        <f>IF(#REF!,"AAAAABX77rk=",0)</f>
        <v>#REF!</v>
      </c>
      <c r="GE226" t="e">
        <f>IF(#REF!,"AAAAABX77ro=",0)</f>
        <v>#REF!</v>
      </c>
      <c r="GF226" t="e">
        <f>IF(#REF!,"AAAAABX77rs=",0)</f>
        <v>#REF!</v>
      </c>
      <c r="GG226" t="e">
        <f>IF(#REF!,"AAAAABX77rw=",0)</f>
        <v>#REF!</v>
      </c>
      <c r="GH226" t="e">
        <f>IF(#REF!,"AAAAABX77r0=",0)</f>
        <v>#REF!</v>
      </c>
      <c r="GI226" t="e">
        <f>IF(#REF!,"AAAAABX77r4=",0)</f>
        <v>#REF!</v>
      </c>
      <c r="GJ226" t="e">
        <f>IF(#REF!,"AAAAABX77r8=",0)</f>
        <v>#REF!</v>
      </c>
      <c r="GK226" t="e">
        <f>IF(#REF!,"AAAAABX77sA=",0)</f>
        <v>#REF!</v>
      </c>
      <c r="GL226" t="e">
        <f>IF(#REF!,"AAAAABX77sE=",0)</f>
        <v>#REF!</v>
      </c>
      <c r="GM226" t="e">
        <f>IF(#REF!,"AAAAABX77sI=",0)</f>
        <v>#REF!</v>
      </c>
      <c r="GN226" t="e">
        <f>IF(#REF!,"AAAAABX77sM=",0)</f>
        <v>#REF!</v>
      </c>
      <c r="GO226" t="e">
        <f>IF(#REF!,"AAAAABX77sQ=",0)</f>
        <v>#REF!</v>
      </c>
      <c r="GP226" t="e">
        <f>IF(#REF!,"AAAAABX77sU=",0)</f>
        <v>#REF!</v>
      </c>
      <c r="GQ226" t="e">
        <f>IF(#REF!,"AAAAABX77sY=",0)</f>
        <v>#REF!</v>
      </c>
      <c r="GR226" t="e">
        <f>IF(#REF!,"AAAAABX77sc=",0)</f>
        <v>#REF!</v>
      </c>
      <c r="GS226" t="e">
        <f>IF(#REF!,"AAAAABX77sg=",0)</f>
        <v>#REF!</v>
      </c>
      <c r="GT226" t="e">
        <f>IF(#REF!,"AAAAABX77sk=",0)</f>
        <v>#REF!</v>
      </c>
      <c r="GU226" t="e">
        <f>IF(#REF!,"AAAAABX77so=",0)</f>
        <v>#REF!</v>
      </c>
      <c r="GV226" t="e">
        <f>IF(#REF!,"AAAAABX77ss=",0)</f>
        <v>#REF!</v>
      </c>
      <c r="GW226" t="e">
        <f>IF(#REF!,"AAAAABX77sw=",0)</f>
        <v>#REF!</v>
      </c>
      <c r="GX226" t="e">
        <f>IF(#REF!,"AAAAABX77s0=",0)</f>
        <v>#REF!</v>
      </c>
      <c r="GY226" t="e">
        <f>IF(#REF!,"AAAAABX77s4=",0)</f>
        <v>#REF!</v>
      </c>
      <c r="GZ226" t="e">
        <f>IF(#REF!,"AAAAABX77s8=",0)</f>
        <v>#REF!</v>
      </c>
      <c r="HA226" t="e">
        <f>IF(#REF!,"AAAAABX77tA=",0)</f>
        <v>#REF!</v>
      </c>
      <c r="HB226" t="e">
        <f>IF(#REF!,"AAAAABX77tE=",0)</f>
        <v>#REF!</v>
      </c>
      <c r="HC226" t="e">
        <f>IF(#REF!,"AAAAABX77tI=",0)</f>
        <v>#REF!</v>
      </c>
      <c r="HD226" t="e">
        <f>IF(#REF!,"AAAAABX77tM=",0)</f>
        <v>#REF!</v>
      </c>
      <c r="HE226" t="e">
        <f>IF(#REF!,"AAAAABX77tQ=",0)</f>
        <v>#REF!</v>
      </c>
      <c r="HF226" t="e">
        <f>IF(#REF!,"AAAAABX77tU=",0)</f>
        <v>#REF!</v>
      </c>
      <c r="HG226" t="e">
        <f>IF(#REF!,"AAAAABX77tY=",0)</f>
        <v>#REF!</v>
      </c>
      <c r="HH226" t="e">
        <f>IF(#REF!,"AAAAABX77tc=",0)</f>
        <v>#REF!</v>
      </c>
      <c r="HI226" t="e">
        <f>IF(#REF!,"AAAAABX77tg=",0)</f>
        <v>#REF!</v>
      </c>
      <c r="HJ226" t="e">
        <f>IF(#REF!,"AAAAABX77tk=",0)</f>
        <v>#REF!</v>
      </c>
      <c r="HK226" t="e">
        <f>IF(#REF!,"AAAAABX77to=",0)</f>
        <v>#REF!</v>
      </c>
      <c r="HL226" t="e">
        <f>IF(#REF!,"AAAAABX77ts=",0)</f>
        <v>#REF!</v>
      </c>
      <c r="HM226" t="e">
        <f>IF(#REF!,"AAAAABX77tw=",0)</f>
        <v>#REF!</v>
      </c>
      <c r="HN226" t="e">
        <f>IF(#REF!,"AAAAABX77t0=",0)</f>
        <v>#REF!</v>
      </c>
      <c r="HO226" t="e">
        <f>IF(#REF!,"AAAAABX77t4=",0)</f>
        <v>#REF!</v>
      </c>
      <c r="HP226" t="e">
        <f>IF(#REF!,"AAAAABX77t8=",0)</f>
        <v>#REF!</v>
      </c>
      <c r="HQ226" t="e">
        <f>IF(#REF!,"AAAAABX77uA=",0)</f>
        <v>#REF!</v>
      </c>
      <c r="HR226" t="e">
        <f>IF(#REF!,"AAAAABX77uE=",0)</f>
        <v>#REF!</v>
      </c>
      <c r="HS226" t="e">
        <f>IF(#REF!,"AAAAABX77uI=",0)</f>
        <v>#REF!</v>
      </c>
      <c r="HT226" t="e">
        <f>IF(#REF!,"AAAAABX77uM=",0)</f>
        <v>#REF!</v>
      </c>
      <c r="HU226" t="e">
        <f>IF(#REF!,"AAAAABX77uQ=",0)</f>
        <v>#REF!</v>
      </c>
      <c r="HV226" t="e">
        <f>IF(#REF!,"AAAAABX77uU=",0)</f>
        <v>#REF!</v>
      </c>
      <c r="HW226" t="e">
        <f>IF(#REF!,"AAAAABX77uY=",0)</f>
        <v>#REF!</v>
      </c>
      <c r="HX226" t="e">
        <f>IF(#REF!,"AAAAABX77uc=",0)</f>
        <v>#REF!</v>
      </c>
      <c r="HY226" t="e">
        <f>IF(#REF!,"AAAAABX77ug=",0)</f>
        <v>#REF!</v>
      </c>
      <c r="HZ226" t="e">
        <f>IF(#REF!,"AAAAABX77uk=",0)</f>
        <v>#REF!</v>
      </c>
      <c r="IA226" t="e">
        <f>IF(#REF!,"AAAAABX77uo=",0)</f>
        <v>#REF!</v>
      </c>
      <c r="IB226" t="e">
        <f>IF(#REF!,"AAAAABX77us=",0)</f>
        <v>#REF!</v>
      </c>
      <c r="IC226" t="e">
        <f>IF(#REF!,"AAAAABX77uw=",0)</f>
        <v>#REF!</v>
      </c>
      <c r="ID226" t="e">
        <f>IF(#REF!,"AAAAABX77u0=",0)</f>
        <v>#REF!</v>
      </c>
      <c r="IE226" t="e">
        <f>IF(#REF!,"AAAAABX77u4=",0)</f>
        <v>#REF!</v>
      </c>
      <c r="IF226" t="e">
        <f>IF(#REF!,"AAAAABX77u8=",0)</f>
        <v>#REF!</v>
      </c>
      <c r="IG226" t="e">
        <f>IF(#REF!,"AAAAABX77vA=",0)</f>
        <v>#REF!</v>
      </c>
      <c r="IH226" t="e">
        <f>IF(#REF!,"AAAAABX77vE=",0)</f>
        <v>#REF!</v>
      </c>
      <c r="II226" t="e">
        <f>IF(#REF!,"AAAAABX77vI=",0)</f>
        <v>#REF!</v>
      </c>
      <c r="IJ226" t="e">
        <f>IF(#REF!,"AAAAABX77vM=",0)</f>
        <v>#REF!</v>
      </c>
      <c r="IK226" t="e">
        <f>IF(#REF!,"AAAAABX77vQ=",0)</f>
        <v>#REF!</v>
      </c>
      <c r="IL226" t="e">
        <f>IF(#REF!,"AAAAABX77vU=",0)</f>
        <v>#REF!</v>
      </c>
      <c r="IM226" t="e">
        <f>IF(#REF!,"AAAAABX77vY=",0)</f>
        <v>#REF!</v>
      </c>
      <c r="IN226" t="e">
        <f>IF(#REF!,"AAAAABX77vc=",0)</f>
        <v>#REF!</v>
      </c>
      <c r="IO226" t="e">
        <f>IF(#REF!,"AAAAABX77vg=",0)</f>
        <v>#REF!</v>
      </c>
      <c r="IP226" t="e">
        <f>IF(#REF!,"AAAAABX77vk=",0)</f>
        <v>#REF!</v>
      </c>
      <c r="IQ226" t="e">
        <f>IF(#REF!,"AAAAABX77vo=",0)</f>
        <v>#REF!</v>
      </c>
      <c r="IR226" t="e">
        <f>IF(#REF!,"AAAAABX77vs=",0)</f>
        <v>#REF!</v>
      </c>
      <c r="IS226" t="e">
        <f>IF(#REF!,"AAAAABX77vw=",0)</f>
        <v>#REF!</v>
      </c>
      <c r="IT226" t="e">
        <f>IF(#REF!,"AAAAABX77v0=",0)</f>
        <v>#REF!</v>
      </c>
      <c r="IU226" t="e">
        <f>IF(#REF!,"AAAAABX77v4=",0)</f>
        <v>#REF!</v>
      </c>
      <c r="IV226" t="e">
        <f>IF(#REF!,"AAAAABX77v8=",0)</f>
        <v>#REF!</v>
      </c>
    </row>
    <row r="227" spans="1:256">
      <c r="A227" t="e">
        <f>IF(#REF!,"AAAAAH9f6wA=",0)</f>
        <v>#REF!</v>
      </c>
      <c r="B227" t="e">
        <f>IF(#REF!,"AAAAAH9f6wE=",0)</f>
        <v>#REF!</v>
      </c>
      <c r="C227" t="e">
        <f>IF(#REF!,"AAAAAH9f6wI=",0)</f>
        <v>#REF!</v>
      </c>
      <c r="D227" t="e">
        <f>IF(#REF!,"AAAAAH9f6wM=",0)</f>
        <v>#REF!</v>
      </c>
      <c r="E227" t="e">
        <f>IF(#REF!,"AAAAAH9f6wQ=",0)</f>
        <v>#REF!</v>
      </c>
      <c r="F227" t="e">
        <f>IF(#REF!,"AAAAAH9f6wU=",0)</f>
        <v>#REF!</v>
      </c>
      <c r="G227" t="e">
        <f>IF(#REF!,"AAAAAH9f6wY=",0)</f>
        <v>#REF!</v>
      </c>
      <c r="H227" t="e">
        <f>IF(#REF!,"AAAAAH9f6wc=",0)</f>
        <v>#REF!</v>
      </c>
      <c r="I227" t="e">
        <f>IF(#REF!,"AAAAAH9f6wg=",0)</f>
        <v>#REF!</v>
      </c>
      <c r="J227" t="e">
        <f>IF(#REF!,"AAAAAH9f6wk=",0)</f>
        <v>#REF!</v>
      </c>
      <c r="K227" t="e">
        <f>IF(#REF!,"AAAAAH9f6wo=",0)</f>
        <v>#REF!</v>
      </c>
      <c r="L227" t="e">
        <f>IF(#REF!,"AAAAAH9f6ws=",0)</f>
        <v>#REF!</v>
      </c>
      <c r="M227" t="e">
        <f>IF(#REF!,"AAAAAH9f6ww=",0)</f>
        <v>#REF!</v>
      </c>
      <c r="N227" t="e">
        <f>IF(#REF!,"AAAAAH9f6w0=",0)</f>
        <v>#REF!</v>
      </c>
      <c r="O227" t="e">
        <f>IF(#REF!,"AAAAAH9f6w4=",0)</f>
        <v>#REF!</v>
      </c>
      <c r="P227" t="e">
        <f>IF(#REF!,"AAAAAH9f6w8=",0)</f>
        <v>#REF!</v>
      </c>
      <c r="Q227" t="e">
        <f>IF(#REF!,"AAAAAH9f6xA=",0)</f>
        <v>#REF!</v>
      </c>
      <c r="R227" t="e">
        <f>IF(#REF!,"AAAAAH9f6xE=",0)</f>
        <v>#REF!</v>
      </c>
      <c r="S227" t="e">
        <f>IF(#REF!,"AAAAAH9f6xI=",0)</f>
        <v>#REF!</v>
      </c>
      <c r="T227" t="e">
        <f>IF(#REF!,"AAAAAH9f6xM=",0)</f>
        <v>#REF!</v>
      </c>
      <c r="U227" t="e">
        <f>IF(#REF!,"AAAAAH9f6xQ=",0)</f>
        <v>#REF!</v>
      </c>
      <c r="V227" t="e">
        <f>IF(#REF!,"AAAAAH9f6xU=",0)</f>
        <v>#REF!</v>
      </c>
      <c r="W227" t="e">
        <f>IF(#REF!,"AAAAAH9f6xY=",0)</f>
        <v>#REF!</v>
      </c>
      <c r="X227" t="e">
        <f>IF(#REF!,"AAAAAH9f6xc=",0)</f>
        <v>#REF!</v>
      </c>
      <c r="Y227" t="e">
        <f>IF(#REF!,"AAAAAH9f6xg=",0)</f>
        <v>#REF!</v>
      </c>
      <c r="Z227" t="e">
        <f>IF(#REF!,"AAAAAH9f6xk=",0)</f>
        <v>#REF!</v>
      </c>
      <c r="AA227" t="e">
        <f>IF(#REF!,"AAAAAH9f6xo=",0)</f>
        <v>#REF!</v>
      </c>
      <c r="AB227" t="e">
        <f>IF(#REF!,"AAAAAH9f6xs=",0)</f>
        <v>#REF!</v>
      </c>
      <c r="AC227" t="e">
        <f>IF(#REF!,"AAAAAH9f6xw=",0)</f>
        <v>#REF!</v>
      </c>
      <c r="AD227" t="e">
        <f>IF(#REF!,"AAAAAH9f6x0=",0)</f>
        <v>#REF!</v>
      </c>
      <c r="AE227" t="e">
        <f>IF(#REF!,"AAAAAH9f6x4=",0)</f>
        <v>#REF!</v>
      </c>
      <c r="AF227" t="e">
        <f>IF(#REF!,"AAAAAH9f6x8=",0)</f>
        <v>#REF!</v>
      </c>
      <c r="AG227" t="e">
        <f>IF(#REF!,"AAAAAH9f6yA=",0)</f>
        <v>#REF!</v>
      </c>
      <c r="AH227" t="e">
        <f>IF(#REF!,"AAAAAH9f6yE=",0)</f>
        <v>#REF!</v>
      </c>
      <c r="AI227" t="e">
        <f>IF(#REF!,"AAAAAH9f6yI=",0)</f>
        <v>#REF!</v>
      </c>
      <c r="AJ227" t="e">
        <f>IF(#REF!,"AAAAAH9f6yM=",0)</f>
        <v>#REF!</v>
      </c>
      <c r="AK227" t="e">
        <f>IF(#REF!,"AAAAAH9f6yQ=",0)</f>
        <v>#REF!</v>
      </c>
      <c r="AL227" t="e">
        <f>IF(#REF!,"AAAAAH9f6yU=",0)</f>
        <v>#REF!</v>
      </c>
      <c r="AM227" t="e">
        <f>IF(#REF!,"AAAAAH9f6yY=",0)</f>
        <v>#REF!</v>
      </c>
      <c r="AN227" t="e">
        <f>IF(#REF!,"AAAAAH9f6yc=",0)</f>
        <v>#REF!</v>
      </c>
      <c r="AO227" t="e">
        <f>IF(#REF!,"AAAAAH9f6yg=",0)</f>
        <v>#REF!</v>
      </c>
      <c r="AP227" t="e">
        <f>IF(#REF!,"AAAAAH9f6yk=",0)</f>
        <v>#REF!</v>
      </c>
      <c r="AQ227" t="e">
        <f>IF(#REF!,"AAAAAH9f6yo=",0)</f>
        <v>#REF!</v>
      </c>
      <c r="AR227" t="e">
        <f>IF(#REF!,"AAAAAH9f6ys=",0)</f>
        <v>#REF!</v>
      </c>
      <c r="AS227" t="e">
        <f>IF(#REF!,"AAAAAH9f6yw=",0)</f>
        <v>#REF!</v>
      </c>
      <c r="AT227" t="e">
        <f>IF(#REF!,"AAAAAH9f6y0=",0)</f>
        <v>#REF!</v>
      </c>
      <c r="AU227" t="e">
        <f>IF(#REF!,"AAAAAH9f6y4=",0)</f>
        <v>#REF!</v>
      </c>
      <c r="AV227" t="e">
        <f>IF(#REF!,"AAAAAH9f6y8=",0)</f>
        <v>#REF!</v>
      </c>
      <c r="AW227" t="e">
        <f>IF(#REF!,"AAAAAH9f6zA=",0)</f>
        <v>#REF!</v>
      </c>
      <c r="AX227" t="e">
        <f>IF(#REF!,"AAAAAH9f6zE=",0)</f>
        <v>#REF!</v>
      </c>
      <c r="AY227" t="e">
        <f>IF(#REF!,"AAAAAH9f6zI=",0)</f>
        <v>#REF!</v>
      </c>
      <c r="AZ227" t="e">
        <f>IF(#REF!,"AAAAAH9f6zM=",0)</f>
        <v>#REF!</v>
      </c>
      <c r="BA227" t="e">
        <f>IF(#REF!,"AAAAAH9f6zQ=",0)</f>
        <v>#REF!</v>
      </c>
      <c r="BB227" t="e">
        <f>IF(#REF!,"AAAAAH9f6zU=",0)</f>
        <v>#REF!</v>
      </c>
      <c r="BC227" t="e">
        <f>IF(#REF!,"AAAAAH9f6zY=",0)</f>
        <v>#REF!</v>
      </c>
      <c r="BD227" t="e">
        <f>IF(#REF!,"AAAAAH9f6zc=",0)</f>
        <v>#REF!</v>
      </c>
      <c r="BE227" t="e">
        <f>IF(#REF!,"AAAAAH9f6zg=",0)</f>
        <v>#REF!</v>
      </c>
      <c r="BF227" t="e">
        <f>IF(#REF!,"AAAAAH9f6zk=",0)</f>
        <v>#REF!</v>
      </c>
      <c r="BG227" t="e">
        <f>IF(#REF!,"AAAAAH9f6zo=",0)</f>
        <v>#REF!</v>
      </c>
      <c r="BH227" t="e">
        <f>IF(#REF!,"AAAAAH9f6zs=",0)</f>
        <v>#REF!</v>
      </c>
      <c r="BI227" t="e">
        <f>IF(#REF!,"AAAAAH9f6zw=",0)</f>
        <v>#REF!</v>
      </c>
      <c r="BJ227" t="e">
        <f>IF(#REF!,"AAAAAH9f6z0=",0)</f>
        <v>#REF!</v>
      </c>
      <c r="BK227" t="e">
        <f>IF(#REF!,"AAAAAH9f6z4=",0)</f>
        <v>#REF!</v>
      </c>
      <c r="BL227" t="e">
        <f>IF(#REF!,"AAAAAH9f6z8=",0)</f>
        <v>#REF!</v>
      </c>
      <c r="BM227" t="e">
        <f>IF(#REF!,"AAAAAH9f60A=",0)</f>
        <v>#REF!</v>
      </c>
      <c r="BN227" t="e">
        <f>IF(#REF!,"AAAAAH9f60E=",0)</f>
        <v>#REF!</v>
      </c>
      <c r="BO227" t="e">
        <f>IF(#REF!,"AAAAAH9f60I=",0)</f>
        <v>#REF!</v>
      </c>
      <c r="BP227" t="e">
        <f>IF(#REF!,"AAAAAH9f60M=",0)</f>
        <v>#REF!</v>
      </c>
      <c r="BQ227" t="e">
        <f>IF(#REF!,"AAAAAH9f60Q=",0)</f>
        <v>#REF!</v>
      </c>
      <c r="BR227" t="e">
        <f>IF(#REF!,"AAAAAH9f60U=",0)</f>
        <v>#REF!</v>
      </c>
      <c r="BS227" t="e">
        <f>IF(#REF!,"AAAAAH9f60Y=",0)</f>
        <v>#REF!</v>
      </c>
      <c r="BT227" t="e">
        <f>IF(#REF!,"AAAAAH9f60c=",0)</f>
        <v>#REF!</v>
      </c>
      <c r="BU227" t="e">
        <f>IF(#REF!,"AAAAAH9f60g=",0)</f>
        <v>#REF!</v>
      </c>
      <c r="BV227" t="e">
        <f>IF(#REF!,"AAAAAH9f60k=",0)</f>
        <v>#REF!</v>
      </c>
      <c r="BW227" t="e">
        <f>IF(#REF!,"AAAAAH9f60o=",0)</f>
        <v>#REF!</v>
      </c>
      <c r="BX227" t="e">
        <f>IF(#REF!,"AAAAAH9f60s=",0)</f>
        <v>#REF!</v>
      </c>
      <c r="BY227" t="e">
        <f>IF(#REF!,"AAAAAH9f60w=",0)</f>
        <v>#REF!</v>
      </c>
      <c r="BZ227" t="e">
        <f>IF(#REF!,"AAAAAH9f600=",0)</f>
        <v>#REF!</v>
      </c>
      <c r="CA227" t="e">
        <f>IF(#REF!,"AAAAAH9f604=",0)</f>
        <v>#REF!</v>
      </c>
      <c r="CB227" t="e">
        <f>IF(#REF!,"AAAAAH9f608=",0)</f>
        <v>#REF!</v>
      </c>
      <c r="CC227" t="e">
        <f>IF(#REF!,"AAAAAH9f61A=",0)</f>
        <v>#REF!</v>
      </c>
      <c r="CD227" t="e">
        <f>IF(#REF!,"AAAAAH9f61E=",0)</f>
        <v>#REF!</v>
      </c>
      <c r="CE227" t="e">
        <f>IF(#REF!,"AAAAAH9f61I=",0)</f>
        <v>#REF!</v>
      </c>
      <c r="CF227" t="e">
        <f>IF(#REF!,"AAAAAH9f61M=",0)</f>
        <v>#REF!</v>
      </c>
      <c r="CG227" t="e">
        <f>IF(#REF!,"AAAAAH9f61Q=",0)</f>
        <v>#REF!</v>
      </c>
      <c r="CH227" t="e">
        <f>IF(#REF!,"AAAAAH9f61U=",0)</f>
        <v>#REF!</v>
      </c>
      <c r="CI227" t="e">
        <f>IF(#REF!,"AAAAAH9f61Y=",0)</f>
        <v>#REF!</v>
      </c>
      <c r="CJ227" t="e">
        <f>IF(#REF!,"AAAAAH9f61c=",0)</f>
        <v>#REF!</v>
      </c>
      <c r="CK227" t="e">
        <f>IF(#REF!,"AAAAAH9f61g=",0)</f>
        <v>#REF!</v>
      </c>
      <c r="CL227" t="e">
        <f>IF(#REF!,"AAAAAH9f61k=",0)</f>
        <v>#REF!</v>
      </c>
      <c r="CM227" t="e">
        <f>IF(#REF!,"AAAAAH9f61o=",0)</f>
        <v>#REF!</v>
      </c>
      <c r="CN227" t="e">
        <f>IF(#REF!,"AAAAAH9f61s=",0)</f>
        <v>#REF!</v>
      </c>
      <c r="CO227" t="e">
        <f>IF(#REF!,"AAAAAH9f61w=",0)</f>
        <v>#REF!</v>
      </c>
      <c r="CP227" t="e">
        <f>IF(#REF!,"AAAAAH9f610=",0)</f>
        <v>#REF!</v>
      </c>
      <c r="CQ227" t="e">
        <f>IF(#REF!,"AAAAAH9f614=",0)</f>
        <v>#REF!</v>
      </c>
      <c r="CR227" t="e">
        <f>IF(#REF!,"AAAAAH9f618=",0)</f>
        <v>#REF!</v>
      </c>
      <c r="CS227" t="e">
        <f>IF(#REF!,"AAAAAH9f62A=",0)</f>
        <v>#REF!</v>
      </c>
      <c r="CT227" t="e">
        <f>IF(#REF!,"AAAAAH9f62E=",0)</f>
        <v>#REF!</v>
      </c>
      <c r="CU227" t="e">
        <f>IF(#REF!,"AAAAAH9f62I=",0)</f>
        <v>#REF!</v>
      </c>
      <c r="CV227" t="e">
        <f>IF(#REF!,"AAAAAH9f62M=",0)</f>
        <v>#REF!</v>
      </c>
      <c r="CW227" t="e">
        <f>IF(#REF!,"AAAAAH9f62Q=",0)</f>
        <v>#REF!</v>
      </c>
      <c r="CX227" t="e">
        <f>IF(#REF!,"AAAAAH9f62U=",0)</f>
        <v>#REF!</v>
      </c>
      <c r="CY227" t="e">
        <f>IF(#REF!,"AAAAAH9f62Y=",0)</f>
        <v>#REF!</v>
      </c>
      <c r="CZ227" t="e">
        <f>IF(#REF!,"AAAAAH9f62c=",0)</f>
        <v>#REF!</v>
      </c>
      <c r="DA227" t="e">
        <f>IF(#REF!,"AAAAAH9f62g=",0)</f>
        <v>#REF!</v>
      </c>
      <c r="DB227" t="e">
        <f>IF(#REF!,"AAAAAH9f62k=",0)</f>
        <v>#REF!</v>
      </c>
      <c r="DC227" t="e">
        <f>IF(#REF!,"AAAAAH9f62o=",0)</f>
        <v>#REF!</v>
      </c>
      <c r="DD227" t="e">
        <f>IF(#REF!,"AAAAAH9f62s=",0)</f>
        <v>#REF!</v>
      </c>
      <c r="DE227" t="e">
        <f>IF(#REF!,"AAAAAH9f62w=",0)</f>
        <v>#REF!</v>
      </c>
      <c r="DF227" t="e">
        <f>IF(#REF!,"AAAAAH9f620=",0)</f>
        <v>#REF!</v>
      </c>
      <c r="DG227" t="e">
        <f>IF(#REF!,"AAAAAH9f624=",0)</f>
        <v>#REF!</v>
      </c>
      <c r="DH227" t="e">
        <f>IF(#REF!,"AAAAAH9f628=",0)</f>
        <v>#REF!</v>
      </c>
      <c r="DI227" t="e">
        <f>IF(#REF!,"AAAAAH9f63A=",0)</f>
        <v>#REF!</v>
      </c>
      <c r="DJ227" t="e">
        <f>IF(#REF!,"AAAAAH9f63E=",0)</f>
        <v>#REF!</v>
      </c>
      <c r="DK227" t="e">
        <f>IF(#REF!,"AAAAAH9f63I=",0)</f>
        <v>#REF!</v>
      </c>
      <c r="DL227" t="e">
        <f>IF(#REF!,"AAAAAH9f63M=",0)</f>
        <v>#REF!</v>
      </c>
      <c r="DM227" t="e">
        <f>IF(#REF!,"AAAAAH9f63Q=",0)</f>
        <v>#REF!</v>
      </c>
      <c r="DN227" t="e">
        <f>IF(#REF!,"AAAAAH9f63U=",0)</f>
        <v>#REF!</v>
      </c>
      <c r="DO227" t="e">
        <f>IF(#REF!,"AAAAAH9f63Y=",0)</f>
        <v>#REF!</v>
      </c>
      <c r="DP227" t="e">
        <f>IF(#REF!,"AAAAAH9f63c=",0)</f>
        <v>#REF!</v>
      </c>
      <c r="DQ227" t="e">
        <f>IF(#REF!,"AAAAAH9f63g=",0)</f>
        <v>#REF!</v>
      </c>
      <c r="DR227" t="e">
        <f>IF(#REF!,"AAAAAH9f63k=",0)</f>
        <v>#REF!</v>
      </c>
      <c r="DS227" t="e">
        <f>IF(#REF!,"AAAAAH9f63o=",0)</f>
        <v>#REF!</v>
      </c>
      <c r="DT227" t="e">
        <f>IF(#REF!,"AAAAAH9f63s=",0)</f>
        <v>#REF!</v>
      </c>
      <c r="DU227" t="e">
        <f>IF(#REF!,"AAAAAH9f63w=",0)</f>
        <v>#REF!</v>
      </c>
      <c r="DV227" t="e">
        <f>IF(#REF!,"AAAAAH9f630=",0)</f>
        <v>#REF!</v>
      </c>
      <c r="DW227" t="e">
        <f>IF(#REF!,"AAAAAH9f634=",0)</f>
        <v>#REF!</v>
      </c>
      <c r="DX227" t="e">
        <f>IF(#REF!,"AAAAAH9f638=",0)</f>
        <v>#REF!</v>
      </c>
      <c r="DY227" t="e">
        <f>IF(#REF!,"AAAAAH9f64A=",0)</f>
        <v>#REF!</v>
      </c>
      <c r="DZ227" t="e">
        <f>IF(#REF!,"AAAAAH9f64E=",0)</f>
        <v>#REF!</v>
      </c>
      <c r="EA227" t="e">
        <f>IF(#REF!,"AAAAAH9f64I=",0)</f>
        <v>#REF!</v>
      </c>
      <c r="EB227" t="e">
        <f>IF(#REF!,"AAAAAH9f64M=",0)</f>
        <v>#REF!</v>
      </c>
      <c r="EC227" t="e">
        <f>IF(#REF!,"AAAAAH9f64Q=",0)</f>
        <v>#REF!</v>
      </c>
      <c r="ED227" t="e">
        <f>IF(#REF!,"AAAAAH9f64U=",0)</f>
        <v>#REF!</v>
      </c>
      <c r="EE227" t="e">
        <f>IF(#REF!,"AAAAAH9f64Y=",0)</f>
        <v>#REF!</v>
      </c>
      <c r="EF227" t="e">
        <f>IF(#REF!,"AAAAAH9f64c=",0)</f>
        <v>#REF!</v>
      </c>
      <c r="EG227" t="e">
        <f>IF(#REF!,"AAAAAH9f64g=",0)</f>
        <v>#REF!</v>
      </c>
      <c r="EH227" t="e">
        <f>IF(#REF!,"AAAAAH9f64k=",0)</f>
        <v>#REF!</v>
      </c>
      <c r="EI227" t="e">
        <f>IF(#REF!,"AAAAAH9f64o=",0)</f>
        <v>#REF!</v>
      </c>
      <c r="EJ227" t="e">
        <f>IF(#REF!,"AAAAAH9f64s=",0)</f>
        <v>#REF!</v>
      </c>
      <c r="EK227" t="e">
        <f>IF(#REF!,"AAAAAH9f64w=",0)</f>
        <v>#REF!</v>
      </c>
      <c r="EL227" t="e">
        <f>IF(#REF!,"AAAAAH9f640=",0)</f>
        <v>#REF!</v>
      </c>
      <c r="EM227" t="e">
        <f>IF(#REF!,"AAAAAH9f644=",0)</f>
        <v>#REF!</v>
      </c>
      <c r="EN227" t="e">
        <f>IF(#REF!,"AAAAAH9f648=",0)</f>
        <v>#REF!</v>
      </c>
      <c r="EO227" t="e">
        <f>IF(#REF!,"AAAAAH9f65A=",0)</f>
        <v>#REF!</v>
      </c>
      <c r="EP227" t="e">
        <f>IF(#REF!,"AAAAAH9f65E=",0)</f>
        <v>#REF!</v>
      </c>
      <c r="EQ227" t="e">
        <f>IF(#REF!,"AAAAAH9f65I=",0)</f>
        <v>#REF!</v>
      </c>
      <c r="ER227" t="e">
        <f>IF(#REF!,"AAAAAH9f65M=",0)</f>
        <v>#REF!</v>
      </c>
      <c r="ES227" t="e">
        <f>IF(#REF!,"AAAAAH9f65Q=",0)</f>
        <v>#REF!</v>
      </c>
      <c r="ET227" t="e">
        <f>IF(#REF!,"AAAAAH9f65U=",0)</f>
        <v>#REF!</v>
      </c>
      <c r="EU227" t="e">
        <f>IF(#REF!,"AAAAAH9f65Y=",0)</f>
        <v>#REF!</v>
      </c>
      <c r="EV227" t="e">
        <f>IF(#REF!,"AAAAAH9f65c=",0)</f>
        <v>#REF!</v>
      </c>
      <c r="EW227" t="e">
        <f>IF(#REF!,"AAAAAH9f65g=",0)</f>
        <v>#REF!</v>
      </c>
      <c r="EX227" t="e">
        <f>IF(#REF!,"AAAAAH9f65k=",0)</f>
        <v>#REF!</v>
      </c>
      <c r="EY227" t="e">
        <f>IF(#REF!,"AAAAAH9f65o=",0)</f>
        <v>#REF!</v>
      </c>
      <c r="EZ227" t="e">
        <f>IF(#REF!,"AAAAAH9f65s=",0)</f>
        <v>#REF!</v>
      </c>
      <c r="FA227" t="e">
        <f>IF(#REF!,"AAAAAH9f65w=",0)</f>
        <v>#REF!</v>
      </c>
      <c r="FB227" t="e">
        <f>IF(#REF!,"AAAAAH9f650=",0)</f>
        <v>#REF!</v>
      </c>
      <c r="FC227" t="e">
        <f>IF(#REF!,"AAAAAH9f654=",0)</f>
        <v>#REF!</v>
      </c>
      <c r="FD227" t="e">
        <f>IF(#REF!,"AAAAAH9f658=",0)</f>
        <v>#REF!</v>
      </c>
      <c r="FE227" t="e">
        <f>IF(#REF!,"AAAAAH9f66A=",0)</f>
        <v>#REF!</v>
      </c>
      <c r="FF227" t="e">
        <f>IF(#REF!,"AAAAAH9f66E=",0)</f>
        <v>#REF!</v>
      </c>
      <c r="FG227" t="e">
        <f>IF(#REF!,"AAAAAH9f66I=",0)</f>
        <v>#REF!</v>
      </c>
      <c r="FH227" t="e">
        <f>IF(#REF!,"AAAAAH9f66M=",0)</f>
        <v>#REF!</v>
      </c>
      <c r="FI227" t="e">
        <f>IF(#REF!,"AAAAAH9f66Q=",0)</f>
        <v>#REF!</v>
      </c>
      <c r="FJ227" t="e">
        <f>IF(#REF!,"AAAAAH9f66U=",0)</f>
        <v>#REF!</v>
      </c>
      <c r="FK227" t="e">
        <f>IF(#REF!,"AAAAAH9f66Y=",0)</f>
        <v>#REF!</v>
      </c>
      <c r="FL227" t="e">
        <f>IF(#REF!,"AAAAAH9f66c=",0)</f>
        <v>#REF!</v>
      </c>
      <c r="FM227" t="e">
        <f>IF(#REF!,"AAAAAH9f66g=",0)</f>
        <v>#REF!</v>
      </c>
      <c r="FN227" t="e">
        <f>IF(#REF!,"AAAAAH9f66k=",0)</f>
        <v>#REF!</v>
      </c>
      <c r="FO227" t="e">
        <f>IF(#REF!,"AAAAAH9f66o=",0)</f>
        <v>#REF!</v>
      </c>
      <c r="FP227" t="e">
        <f>IF(#REF!,"AAAAAH9f66s=",0)</f>
        <v>#REF!</v>
      </c>
      <c r="FQ227" t="e">
        <f>IF(#REF!,"AAAAAH9f66w=",0)</f>
        <v>#REF!</v>
      </c>
      <c r="FR227" t="e">
        <f>IF(#REF!,"AAAAAH9f660=",0)</f>
        <v>#REF!</v>
      </c>
      <c r="FS227" t="e">
        <f>IF(#REF!,"AAAAAH9f664=",0)</f>
        <v>#REF!</v>
      </c>
      <c r="FT227" t="e">
        <f>IF(#REF!,"AAAAAH9f668=",0)</f>
        <v>#REF!</v>
      </c>
      <c r="FU227" t="e">
        <f>IF(#REF!,"AAAAAH9f67A=",0)</f>
        <v>#REF!</v>
      </c>
      <c r="FV227" t="e">
        <f>IF(#REF!,"AAAAAH9f67E=",0)</f>
        <v>#REF!</v>
      </c>
      <c r="FW227" t="e">
        <f>IF(#REF!,"AAAAAH9f67I=",0)</f>
        <v>#REF!</v>
      </c>
      <c r="FX227" t="e">
        <f>IF(#REF!,"AAAAAH9f67M=",0)</f>
        <v>#REF!</v>
      </c>
      <c r="FY227" t="e">
        <f>IF(#REF!,"AAAAAH9f67Q=",0)</f>
        <v>#REF!</v>
      </c>
      <c r="FZ227" t="e">
        <f>IF(#REF!,"AAAAAH9f67U=",0)</f>
        <v>#REF!</v>
      </c>
      <c r="GA227" t="e">
        <f>IF(#REF!,"AAAAAH9f67Y=",0)</f>
        <v>#REF!</v>
      </c>
      <c r="GB227" t="e">
        <f>IF(#REF!,"AAAAAH9f67c=",0)</f>
        <v>#REF!</v>
      </c>
      <c r="GC227" t="e">
        <f>IF(#REF!,"AAAAAH9f67g=",0)</f>
        <v>#REF!</v>
      </c>
      <c r="GD227" t="e">
        <f>IF(#REF!,"AAAAAH9f67k=",0)</f>
        <v>#REF!</v>
      </c>
      <c r="GE227" t="e">
        <f>IF(#REF!,"AAAAAH9f67o=",0)</f>
        <v>#REF!</v>
      </c>
      <c r="GF227" t="e">
        <f>IF(#REF!,"AAAAAH9f67s=",0)</f>
        <v>#REF!</v>
      </c>
      <c r="GG227" t="e">
        <f>IF(#REF!,"AAAAAH9f67w=",0)</f>
        <v>#REF!</v>
      </c>
      <c r="GH227" t="e">
        <f>IF(#REF!,"AAAAAH9f670=",0)</f>
        <v>#REF!</v>
      </c>
      <c r="GI227" t="e">
        <f>IF(#REF!,"AAAAAH9f674=",0)</f>
        <v>#REF!</v>
      </c>
      <c r="GJ227" t="e">
        <f>IF(#REF!,"AAAAAH9f678=",0)</f>
        <v>#REF!</v>
      </c>
      <c r="GK227" t="e">
        <f>IF(#REF!,"AAAAAH9f68A=",0)</f>
        <v>#REF!</v>
      </c>
      <c r="GL227" t="e">
        <f>IF(#REF!,"AAAAAH9f68E=",0)</f>
        <v>#REF!</v>
      </c>
      <c r="GM227" t="e">
        <f>IF(#REF!,"AAAAAH9f68I=",0)</f>
        <v>#REF!</v>
      </c>
      <c r="GN227" t="e">
        <f>IF(#REF!,"AAAAAH9f68M=",0)</f>
        <v>#REF!</v>
      </c>
      <c r="GO227" t="e">
        <f>IF(#REF!,"AAAAAH9f68Q=",0)</f>
        <v>#REF!</v>
      </c>
      <c r="GP227" t="e">
        <f>IF(#REF!,"AAAAAH9f68U=",0)</f>
        <v>#REF!</v>
      </c>
      <c r="GQ227" t="e">
        <f>IF(#REF!,"AAAAAH9f68Y=",0)</f>
        <v>#REF!</v>
      </c>
      <c r="GR227" t="e">
        <f>IF(#REF!,"AAAAAH9f68c=",0)</f>
        <v>#REF!</v>
      </c>
      <c r="GS227" t="e">
        <f>IF(#REF!,"AAAAAH9f68g=",0)</f>
        <v>#REF!</v>
      </c>
      <c r="GT227" t="e">
        <f>IF(#REF!,"AAAAAH9f68k=",0)</f>
        <v>#REF!</v>
      </c>
      <c r="GU227" t="e">
        <f>IF(#REF!,"AAAAAH9f68o=",0)</f>
        <v>#REF!</v>
      </c>
      <c r="GV227" t="e">
        <f>IF(#REF!,"AAAAAH9f68s=",0)</f>
        <v>#REF!</v>
      </c>
      <c r="GW227" t="e">
        <f>IF(#REF!,"AAAAAH9f68w=",0)</f>
        <v>#REF!</v>
      </c>
      <c r="GX227" t="e">
        <f>IF(#REF!,"AAAAAH9f680=",0)</f>
        <v>#REF!</v>
      </c>
      <c r="GY227" t="e">
        <f>IF(#REF!,"AAAAAH9f684=",0)</f>
        <v>#REF!</v>
      </c>
      <c r="GZ227" t="e">
        <f>IF(#REF!,"AAAAAH9f688=",0)</f>
        <v>#REF!</v>
      </c>
      <c r="HA227" t="e">
        <f>IF(#REF!,"AAAAAH9f69A=",0)</f>
        <v>#REF!</v>
      </c>
      <c r="HB227" t="e">
        <f>IF(#REF!,"AAAAAH9f69E=",0)</f>
        <v>#REF!</v>
      </c>
      <c r="HC227" t="e">
        <f>IF(#REF!,"AAAAAH9f69I=",0)</f>
        <v>#REF!</v>
      </c>
      <c r="HD227" t="e">
        <f>IF(#REF!,"AAAAAH9f69M=",0)</f>
        <v>#REF!</v>
      </c>
      <c r="HE227" t="e">
        <f>IF(#REF!,"AAAAAH9f69Q=",0)</f>
        <v>#REF!</v>
      </c>
      <c r="HF227" t="e">
        <f>IF(#REF!,"AAAAAH9f69U=",0)</f>
        <v>#REF!</v>
      </c>
      <c r="HG227" t="e">
        <f>IF(#REF!,"AAAAAH9f69Y=",0)</f>
        <v>#REF!</v>
      </c>
      <c r="HH227" t="e">
        <f>IF(#REF!,"AAAAAH9f69c=",0)</f>
        <v>#REF!</v>
      </c>
      <c r="HI227" t="e">
        <f>IF(#REF!,"AAAAAH9f69g=",0)</f>
        <v>#REF!</v>
      </c>
      <c r="HJ227" t="e">
        <f>IF(#REF!,"AAAAAH9f69k=",0)</f>
        <v>#REF!</v>
      </c>
      <c r="HK227" t="e">
        <f>IF(#REF!,"AAAAAH9f69o=",0)</f>
        <v>#REF!</v>
      </c>
      <c r="HL227" t="e">
        <f>IF(#REF!,"AAAAAH9f69s=",0)</f>
        <v>#REF!</v>
      </c>
      <c r="HM227" t="e">
        <f>IF(#REF!,"AAAAAH9f69w=",0)</f>
        <v>#REF!</v>
      </c>
      <c r="HN227" t="e">
        <f>IF(#REF!,"AAAAAH9f690=",0)</f>
        <v>#REF!</v>
      </c>
      <c r="HO227" t="e">
        <f>IF(#REF!,"AAAAAH9f694=",0)</f>
        <v>#REF!</v>
      </c>
      <c r="HP227" t="e">
        <f>IF(#REF!,"AAAAAH9f698=",0)</f>
        <v>#REF!</v>
      </c>
      <c r="HQ227" t="e">
        <f>IF(#REF!,"AAAAAH9f6+A=",0)</f>
        <v>#REF!</v>
      </c>
      <c r="HR227" t="e">
        <f>IF(#REF!,"AAAAAH9f6+E=",0)</f>
        <v>#REF!</v>
      </c>
      <c r="HS227" t="e">
        <f>IF(#REF!,"AAAAAH9f6+I=",0)</f>
        <v>#REF!</v>
      </c>
      <c r="HT227" t="e">
        <f>IF(#REF!,"AAAAAH9f6+M=",0)</f>
        <v>#REF!</v>
      </c>
      <c r="HU227" t="e">
        <f>IF(#REF!,"AAAAAH9f6+Q=",0)</f>
        <v>#REF!</v>
      </c>
      <c r="HV227" t="e">
        <f>IF(#REF!,"AAAAAH9f6+U=",0)</f>
        <v>#REF!</v>
      </c>
      <c r="HW227" t="e">
        <f>IF(#REF!,"AAAAAH9f6+Y=",0)</f>
        <v>#REF!</v>
      </c>
      <c r="HX227" t="e">
        <f>IF(#REF!,"AAAAAH9f6+c=",0)</f>
        <v>#REF!</v>
      </c>
      <c r="HY227" t="e">
        <f>IF(#REF!,"AAAAAH9f6+g=",0)</f>
        <v>#REF!</v>
      </c>
      <c r="HZ227" t="e">
        <f>IF(#REF!,"AAAAAH9f6+k=",0)</f>
        <v>#REF!</v>
      </c>
      <c r="IA227" t="e">
        <f>IF(#REF!,"AAAAAH9f6+o=",0)</f>
        <v>#REF!</v>
      </c>
      <c r="IB227" t="e">
        <f>IF(#REF!,"AAAAAH9f6+s=",0)</f>
        <v>#REF!</v>
      </c>
      <c r="IC227" t="e">
        <f>IF(#REF!,"AAAAAH9f6+w=",0)</f>
        <v>#REF!</v>
      </c>
      <c r="ID227" t="e">
        <f>IF(#REF!,"AAAAAH9f6+0=",0)</f>
        <v>#REF!</v>
      </c>
      <c r="IE227" t="e">
        <f>IF(#REF!,"AAAAAH9f6+4=",0)</f>
        <v>#REF!</v>
      </c>
      <c r="IF227" t="e">
        <f>IF(#REF!,"AAAAAH9f6+8=",0)</f>
        <v>#REF!</v>
      </c>
      <c r="IG227" t="e">
        <f>IF(#REF!,"AAAAAH9f6/A=",0)</f>
        <v>#REF!</v>
      </c>
      <c r="IH227" t="e">
        <f>IF(#REF!,"AAAAAH9f6/E=",0)</f>
        <v>#REF!</v>
      </c>
      <c r="II227" t="e">
        <f>IF(#REF!,"AAAAAH9f6/I=",0)</f>
        <v>#REF!</v>
      </c>
      <c r="IJ227" t="e">
        <f>IF(#REF!,"AAAAAH9f6/M=",0)</f>
        <v>#REF!</v>
      </c>
      <c r="IK227" t="e">
        <f>IF(#REF!,"AAAAAH9f6/Q=",0)</f>
        <v>#REF!</v>
      </c>
      <c r="IL227" t="e">
        <f>IF(#REF!,"AAAAAH9f6/U=",0)</f>
        <v>#REF!</v>
      </c>
      <c r="IM227" t="e">
        <f>IF(#REF!,"AAAAAH9f6/Y=",0)</f>
        <v>#REF!</v>
      </c>
      <c r="IN227" t="e">
        <f>IF(#REF!,"AAAAAH9f6/c=",0)</f>
        <v>#REF!</v>
      </c>
      <c r="IO227" t="e">
        <f>IF(#REF!,"AAAAAH9f6/g=",0)</f>
        <v>#REF!</v>
      </c>
      <c r="IP227" t="e">
        <f>IF(#REF!,"AAAAAH9f6/k=",0)</f>
        <v>#REF!</v>
      </c>
      <c r="IQ227" t="e">
        <f>IF(#REF!,"AAAAAH9f6/o=",0)</f>
        <v>#REF!</v>
      </c>
      <c r="IR227" t="e">
        <f>IF(#REF!,"AAAAAH9f6/s=",0)</f>
        <v>#REF!</v>
      </c>
      <c r="IS227" t="e">
        <f>IF(#REF!,"AAAAAH9f6/w=",0)</f>
        <v>#REF!</v>
      </c>
      <c r="IT227" t="e">
        <f>IF(#REF!,"AAAAAH9f6/0=",0)</f>
        <v>#REF!</v>
      </c>
      <c r="IU227" t="e">
        <f>IF(#REF!,"AAAAAH9f6/4=",0)</f>
        <v>#REF!</v>
      </c>
      <c r="IV227" t="e">
        <f>IF(#REF!,"AAAAAH9f6/8=",0)</f>
        <v>#REF!</v>
      </c>
    </row>
    <row r="228" spans="1:256">
      <c r="A228" t="e">
        <f>IF(#REF!,"AAAAAH776wA=",0)</f>
        <v>#REF!</v>
      </c>
      <c r="B228" t="e">
        <f>IF(#REF!,"AAAAAH776wE=",0)</f>
        <v>#REF!</v>
      </c>
      <c r="C228" t="e">
        <f>IF(#REF!,"AAAAAH776wI=",0)</f>
        <v>#REF!</v>
      </c>
      <c r="D228" t="e">
        <f>IF(#REF!,"AAAAAH776wM=",0)</f>
        <v>#REF!</v>
      </c>
      <c r="E228" t="e">
        <f>IF(#REF!,"AAAAAH776wQ=",0)</f>
        <v>#REF!</v>
      </c>
      <c r="F228" t="e">
        <f>IF(#REF!,"AAAAAH776wU=",0)</f>
        <v>#REF!</v>
      </c>
      <c r="G228" t="e">
        <f>IF(#REF!,"AAAAAH776wY=",0)</f>
        <v>#REF!</v>
      </c>
      <c r="H228" t="e">
        <f>IF(#REF!,"AAAAAH776wc=",0)</f>
        <v>#REF!</v>
      </c>
      <c r="I228" t="e">
        <f>IF(#REF!,"AAAAAH776wg=",0)</f>
        <v>#REF!</v>
      </c>
      <c r="J228" t="e">
        <f>IF(#REF!,"AAAAAH776wk=",0)</f>
        <v>#REF!</v>
      </c>
      <c r="K228" t="e">
        <f>IF(#REF!,"AAAAAH776wo=",0)</f>
        <v>#REF!</v>
      </c>
      <c r="L228" t="e">
        <f>IF(#REF!,"AAAAAH776ws=",0)</f>
        <v>#REF!</v>
      </c>
      <c r="M228" t="e">
        <f>IF(#REF!,"AAAAAH776ww=",0)</f>
        <v>#REF!</v>
      </c>
      <c r="N228" t="e">
        <f>IF(#REF!,"AAAAAH776w0=",0)</f>
        <v>#REF!</v>
      </c>
      <c r="O228" t="e">
        <f>IF(#REF!,"AAAAAH776w4=",0)</f>
        <v>#REF!</v>
      </c>
      <c r="P228" t="e">
        <f>IF(#REF!,"AAAAAH776w8=",0)</f>
        <v>#REF!</v>
      </c>
      <c r="Q228" t="e">
        <f>IF(#REF!,"AAAAAH776xA=",0)</f>
        <v>#REF!</v>
      </c>
      <c r="R228" t="e">
        <f>IF(#REF!,"AAAAAH776xE=",0)</f>
        <v>#REF!</v>
      </c>
      <c r="S228" t="e">
        <f>IF(#REF!,"AAAAAH776xI=",0)</f>
        <v>#REF!</v>
      </c>
      <c r="T228" t="e">
        <f>IF(#REF!,"AAAAAH776xM=",0)</f>
        <v>#REF!</v>
      </c>
      <c r="U228" t="e">
        <f>IF(#REF!,"AAAAAH776xQ=",0)</f>
        <v>#REF!</v>
      </c>
      <c r="V228" t="e">
        <f>IF(#REF!,"AAAAAH776xU=",0)</f>
        <v>#REF!</v>
      </c>
      <c r="W228" t="e">
        <f>IF(#REF!,"AAAAAH776xY=",0)</f>
        <v>#REF!</v>
      </c>
      <c r="X228" t="e">
        <f>IF(#REF!,"AAAAAH776xc=",0)</f>
        <v>#REF!</v>
      </c>
      <c r="Y228" t="e">
        <f>IF(#REF!,"AAAAAH776xg=",0)</f>
        <v>#REF!</v>
      </c>
      <c r="Z228" t="e">
        <f>IF(#REF!,"AAAAAH776xk=",0)</f>
        <v>#REF!</v>
      </c>
      <c r="AA228" t="e">
        <f>IF(#REF!,"AAAAAH776xo=",0)</f>
        <v>#REF!</v>
      </c>
      <c r="AB228" t="e">
        <f>IF(#REF!,"AAAAAH776xs=",0)</f>
        <v>#REF!</v>
      </c>
      <c r="AC228" t="e">
        <f>IF(#REF!,"AAAAAH776xw=",0)</f>
        <v>#REF!</v>
      </c>
      <c r="AD228" t="e">
        <f>IF(#REF!,"AAAAAH776x0=",0)</f>
        <v>#REF!</v>
      </c>
      <c r="AE228" t="e">
        <f>IF(#REF!,"AAAAAH776x4=",0)</f>
        <v>#REF!</v>
      </c>
      <c r="AF228" t="e">
        <f>IF(#REF!,"AAAAAH776x8=",0)</f>
        <v>#REF!</v>
      </c>
      <c r="AG228" t="e">
        <f>IF(#REF!,"AAAAAH776yA=",0)</f>
        <v>#REF!</v>
      </c>
      <c r="AH228" t="e">
        <f>IF(#REF!,"AAAAAH776yE=",0)</f>
        <v>#REF!</v>
      </c>
      <c r="AI228" t="e">
        <f>IF(#REF!,"AAAAAH776yI=",0)</f>
        <v>#REF!</v>
      </c>
      <c r="AJ228" t="e">
        <f>IF(#REF!,"AAAAAH776yM=",0)</f>
        <v>#REF!</v>
      </c>
      <c r="AK228" t="e">
        <f>IF(#REF!,"AAAAAH776yQ=",0)</f>
        <v>#REF!</v>
      </c>
      <c r="AL228" t="e">
        <f>IF(#REF!,"AAAAAH776yU=",0)</f>
        <v>#REF!</v>
      </c>
      <c r="AM228" t="e">
        <f>IF(#REF!,"AAAAAH776yY=",0)</f>
        <v>#REF!</v>
      </c>
      <c r="AN228" t="e">
        <f>IF(#REF!,"AAAAAH776yc=",0)</f>
        <v>#REF!</v>
      </c>
      <c r="AO228" t="e">
        <f>IF(#REF!,"AAAAAH776yg=",0)</f>
        <v>#REF!</v>
      </c>
      <c r="AP228" t="e">
        <f>IF(#REF!,"AAAAAH776yk=",0)</f>
        <v>#REF!</v>
      </c>
      <c r="AQ228" t="e">
        <f>IF(#REF!,"AAAAAH776yo=",0)</f>
        <v>#REF!</v>
      </c>
      <c r="AR228" t="e">
        <f>IF(#REF!,"AAAAAH776ys=",0)</f>
        <v>#REF!</v>
      </c>
      <c r="AS228" t="e">
        <f>IF(#REF!,"AAAAAH776yw=",0)</f>
        <v>#REF!</v>
      </c>
      <c r="AT228" t="e">
        <f>IF(#REF!,"AAAAAH776y0=",0)</f>
        <v>#REF!</v>
      </c>
      <c r="AU228" t="e">
        <f>IF(#REF!,"AAAAAH776y4=",0)</f>
        <v>#REF!</v>
      </c>
      <c r="AV228" t="e">
        <f>IF(#REF!,"AAAAAH776y8=",0)</f>
        <v>#REF!</v>
      </c>
      <c r="AW228" t="e">
        <f>IF(#REF!,"AAAAAH776zA=",0)</f>
        <v>#REF!</v>
      </c>
      <c r="AX228" t="e">
        <f>IF(#REF!,"AAAAAH776zE=",0)</f>
        <v>#REF!</v>
      </c>
      <c r="AY228" t="e">
        <f>IF(#REF!,"AAAAAH776zI=",0)</f>
        <v>#REF!</v>
      </c>
      <c r="AZ228" t="e">
        <f>IF(#REF!,"AAAAAH776zM=",0)</f>
        <v>#REF!</v>
      </c>
      <c r="BA228" t="e">
        <f>IF(#REF!,"AAAAAH776zQ=",0)</f>
        <v>#REF!</v>
      </c>
      <c r="BB228" t="e">
        <f>IF(#REF!,"AAAAAH776zU=",0)</f>
        <v>#REF!</v>
      </c>
      <c r="BC228" t="e">
        <f>IF(#REF!,"AAAAAH776zY=",0)</f>
        <v>#REF!</v>
      </c>
      <c r="BD228" t="e">
        <f>IF(#REF!,"AAAAAH776zc=",0)</f>
        <v>#REF!</v>
      </c>
      <c r="BE228" t="e">
        <f>IF(#REF!,"AAAAAH776zg=",0)</f>
        <v>#REF!</v>
      </c>
      <c r="BF228" t="e">
        <f>IF(#REF!,"AAAAAH776zk=",0)</f>
        <v>#REF!</v>
      </c>
      <c r="BG228" t="e">
        <f>IF(#REF!,"AAAAAH776zo=",0)</f>
        <v>#REF!</v>
      </c>
      <c r="BH228" t="e">
        <f>IF(#REF!,"AAAAAH776zs=",0)</f>
        <v>#REF!</v>
      </c>
      <c r="BI228" t="e">
        <f>IF(#REF!,"AAAAAH776zw=",0)</f>
        <v>#REF!</v>
      </c>
      <c r="BJ228" t="e">
        <f>IF(#REF!,"AAAAAH776z0=",0)</f>
        <v>#REF!</v>
      </c>
      <c r="BK228" t="e">
        <f>IF(#REF!,"AAAAAH776z4=",0)</f>
        <v>#REF!</v>
      </c>
      <c r="BL228" t="e">
        <f>IF(#REF!,"AAAAAH776z8=",0)</f>
        <v>#REF!</v>
      </c>
      <c r="BM228" t="e">
        <f>IF(#REF!,"AAAAAH7760A=",0)</f>
        <v>#REF!</v>
      </c>
      <c r="BN228" t="e">
        <f>IF(#REF!,"AAAAAH7760E=",0)</f>
        <v>#REF!</v>
      </c>
      <c r="BO228" t="e">
        <f>IF(#REF!,"AAAAAH7760I=",0)</f>
        <v>#REF!</v>
      </c>
      <c r="BP228" t="e">
        <f>IF(#REF!,"AAAAAH7760M=",0)</f>
        <v>#REF!</v>
      </c>
      <c r="BQ228" t="e">
        <f>IF(#REF!,"AAAAAH7760Q=",0)</f>
        <v>#REF!</v>
      </c>
      <c r="BR228" t="e">
        <f>IF(#REF!,"AAAAAH7760U=",0)</f>
        <v>#REF!</v>
      </c>
      <c r="BS228" t="e">
        <f>IF(#REF!,"AAAAAH7760Y=",0)</f>
        <v>#REF!</v>
      </c>
      <c r="BT228" t="e">
        <f>IF(#REF!,"AAAAAH7760c=",0)</f>
        <v>#REF!</v>
      </c>
      <c r="BU228" t="e">
        <f>IF(#REF!,"AAAAAH7760g=",0)</f>
        <v>#REF!</v>
      </c>
      <c r="BV228" t="e">
        <f>IF(#REF!,"AAAAAH7760k=",0)</f>
        <v>#REF!</v>
      </c>
      <c r="BW228" t="e">
        <f>IF(#REF!,"AAAAAH7760o=",0)</f>
        <v>#REF!</v>
      </c>
      <c r="BX228" t="e">
        <f>IF(#REF!,"AAAAAH7760s=",0)</f>
        <v>#REF!</v>
      </c>
      <c r="BY228" t="e">
        <f>IF(#REF!,"AAAAAH7760w=",0)</f>
        <v>#REF!</v>
      </c>
      <c r="BZ228" t="e">
        <f>IF(#REF!,"AAAAAH77600=",0)</f>
        <v>#REF!</v>
      </c>
      <c r="CA228" t="e">
        <f>IF(#REF!,"AAAAAH77604=",0)</f>
        <v>#REF!</v>
      </c>
      <c r="CB228" t="e">
        <f>IF(#REF!,"AAAAAH77608=",0)</f>
        <v>#REF!</v>
      </c>
      <c r="CC228" t="e">
        <f>IF(#REF!,"AAAAAH7761A=",0)</f>
        <v>#REF!</v>
      </c>
      <c r="CD228" t="e">
        <f>IF(#REF!,"AAAAAH7761E=",0)</f>
        <v>#REF!</v>
      </c>
      <c r="CE228" t="e">
        <f>IF(#REF!,"AAAAAH7761I=",0)</f>
        <v>#REF!</v>
      </c>
      <c r="CF228" t="e">
        <f>IF(#REF!,"AAAAAH7761M=",0)</f>
        <v>#REF!</v>
      </c>
      <c r="CG228" t="e">
        <f>IF(#REF!,"AAAAAH7761Q=",0)</f>
        <v>#REF!</v>
      </c>
      <c r="CH228" t="e">
        <f>IF(#REF!,"AAAAAH7761U=",0)</f>
        <v>#REF!</v>
      </c>
      <c r="CI228" t="e">
        <f>IF(#REF!,"AAAAAH7761Y=",0)</f>
        <v>#REF!</v>
      </c>
      <c r="CJ228" t="e">
        <f>IF(#REF!,"AAAAAH7761c=",0)</f>
        <v>#REF!</v>
      </c>
      <c r="CK228" t="e">
        <f>IF(#REF!,"AAAAAH7761g=",0)</f>
        <v>#REF!</v>
      </c>
      <c r="CL228" t="e">
        <f>IF(#REF!,"AAAAAH7761k=",0)</f>
        <v>#REF!</v>
      </c>
      <c r="CM228" t="e">
        <f>IF(#REF!,"AAAAAH7761o=",0)</f>
        <v>#REF!</v>
      </c>
      <c r="CN228" t="e">
        <f>IF(#REF!,"AAAAAH7761s=",0)</f>
        <v>#REF!</v>
      </c>
      <c r="CO228" t="e">
        <f>IF(#REF!,"AAAAAH7761w=",0)</f>
        <v>#REF!</v>
      </c>
      <c r="CP228" t="e">
        <f>IF(#REF!,"AAAAAH77610=",0)</f>
        <v>#REF!</v>
      </c>
      <c r="CQ228" t="e">
        <f>IF(#REF!,"AAAAAH77614=",0)</f>
        <v>#REF!</v>
      </c>
      <c r="CR228" t="e">
        <f>IF(#REF!,"AAAAAH77618=",0)</f>
        <v>#REF!</v>
      </c>
      <c r="CS228" t="e">
        <f>IF(#REF!,"AAAAAH7762A=",0)</f>
        <v>#REF!</v>
      </c>
      <c r="CT228" t="e">
        <f>IF(#REF!,"AAAAAH7762E=",0)</f>
        <v>#REF!</v>
      </c>
      <c r="CU228" t="e">
        <f>IF(#REF!,"AAAAAH7762I=",0)</f>
        <v>#REF!</v>
      </c>
      <c r="CV228" t="e">
        <f>IF(#REF!,"AAAAAH7762M=",0)</f>
        <v>#REF!</v>
      </c>
      <c r="CW228" t="e">
        <f>IF(#REF!,"AAAAAH7762Q=",0)</f>
        <v>#REF!</v>
      </c>
      <c r="CX228" t="e">
        <f>IF(#REF!,"AAAAAH7762U=",0)</f>
        <v>#REF!</v>
      </c>
      <c r="CY228" t="e">
        <f>IF(#REF!,"AAAAAH7762Y=",0)</f>
        <v>#REF!</v>
      </c>
      <c r="CZ228" t="e">
        <f>IF(#REF!,"AAAAAH7762c=",0)</f>
        <v>#REF!</v>
      </c>
      <c r="DA228" t="e">
        <f>IF(#REF!,"AAAAAH7762g=",0)</f>
        <v>#REF!</v>
      </c>
      <c r="DB228" t="e">
        <f>IF(#REF!,"AAAAAH7762k=",0)</f>
        <v>#REF!</v>
      </c>
      <c r="DC228" t="e">
        <f>IF(#REF!,"AAAAAH7762o=",0)</f>
        <v>#REF!</v>
      </c>
      <c r="DD228" t="e">
        <f>IF(#REF!,"AAAAAH7762s=",0)</f>
        <v>#REF!</v>
      </c>
      <c r="DE228" t="e">
        <f>IF(#REF!,"AAAAAH7762w=",0)</f>
        <v>#REF!</v>
      </c>
      <c r="DF228" t="e">
        <f>IF(#REF!,"AAAAAH77620=",0)</f>
        <v>#REF!</v>
      </c>
      <c r="DG228" t="e">
        <f>IF(#REF!,"AAAAAH77624=",0)</f>
        <v>#REF!</v>
      </c>
      <c r="DH228" t="e">
        <f>IF(#REF!,"AAAAAH77628=",0)</f>
        <v>#REF!</v>
      </c>
      <c r="DI228" t="e">
        <f>IF(#REF!,"AAAAAH7763A=",0)</f>
        <v>#REF!</v>
      </c>
      <c r="DJ228" t="e">
        <f>IF(#REF!,"AAAAAH7763E=",0)</f>
        <v>#REF!</v>
      </c>
      <c r="DK228" t="e">
        <f>IF(#REF!,"AAAAAH7763I=",0)</f>
        <v>#REF!</v>
      </c>
      <c r="DL228" t="e">
        <f>IF(#REF!,"AAAAAH7763M=",0)</f>
        <v>#REF!</v>
      </c>
      <c r="DM228" t="e">
        <f>IF(#REF!,"AAAAAH7763Q=",0)</f>
        <v>#REF!</v>
      </c>
      <c r="DN228" t="e">
        <f>IF(#REF!,"AAAAAH7763U=",0)</f>
        <v>#REF!</v>
      </c>
      <c r="DO228" t="e">
        <f>IF(#REF!,"AAAAAH7763Y=",0)</f>
        <v>#REF!</v>
      </c>
      <c r="DP228" t="e">
        <f>IF(#REF!,"AAAAAH7763c=",0)</f>
        <v>#REF!</v>
      </c>
      <c r="DQ228" t="e">
        <f>IF(#REF!,"AAAAAH7763g=",0)</f>
        <v>#REF!</v>
      </c>
      <c r="DR228" t="e">
        <f>IF(#REF!,"AAAAAH7763k=",0)</f>
        <v>#REF!</v>
      </c>
      <c r="DS228" t="e">
        <f>IF(#REF!,"AAAAAH7763o=",0)</f>
        <v>#REF!</v>
      </c>
      <c r="DT228" t="e">
        <f>IF(#REF!,"AAAAAH7763s=",0)</f>
        <v>#REF!</v>
      </c>
      <c r="DU228" t="e">
        <f>IF(#REF!,"AAAAAH7763w=",0)</f>
        <v>#REF!</v>
      </c>
      <c r="DV228" t="e">
        <f>IF(#REF!,"AAAAAH77630=",0)</f>
        <v>#REF!</v>
      </c>
      <c r="DW228" t="e">
        <f>IF(#REF!,"AAAAAH77634=",0)</f>
        <v>#REF!</v>
      </c>
      <c r="DX228" t="e">
        <f>IF(#REF!,"AAAAAH77638=",0)</f>
        <v>#REF!</v>
      </c>
      <c r="DY228" t="e">
        <f>IF(#REF!,"AAAAAH7764A=",0)</f>
        <v>#REF!</v>
      </c>
      <c r="DZ228" t="e">
        <f>IF(#REF!,"AAAAAH7764E=",0)</f>
        <v>#REF!</v>
      </c>
      <c r="EA228" t="e">
        <f>IF(#REF!,"AAAAAH7764I=",0)</f>
        <v>#REF!</v>
      </c>
      <c r="EB228" t="e">
        <f>IF(#REF!,"AAAAAH7764M=",0)</f>
        <v>#REF!</v>
      </c>
      <c r="EC228" t="e">
        <f>IF(#REF!,"AAAAAH7764Q=",0)</f>
        <v>#REF!</v>
      </c>
      <c r="ED228" t="e">
        <f>IF(#REF!,"AAAAAH7764U=",0)</f>
        <v>#REF!</v>
      </c>
      <c r="EE228" t="e">
        <f>IF(#REF!,"AAAAAH7764Y=",0)</f>
        <v>#REF!</v>
      </c>
      <c r="EF228" t="e">
        <f>IF(#REF!,"AAAAAH7764c=",0)</f>
        <v>#REF!</v>
      </c>
      <c r="EG228" t="e">
        <f>IF(#REF!,"AAAAAH7764g=",0)</f>
        <v>#REF!</v>
      </c>
      <c r="EH228" t="e">
        <f>IF(#REF!,"AAAAAH7764k=",0)</f>
        <v>#REF!</v>
      </c>
      <c r="EI228" t="e">
        <f>IF(#REF!,"AAAAAH7764o=",0)</f>
        <v>#REF!</v>
      </c>
      <c r="EJ228" t="e">
        <f>IF(#REF!,"AAAAAH7764s=",0)</f>
        <v>#REF!</v>
      </c>
      <c r="EK228" t="e">
        <f>IF(#REF!,"AAAAAH7764w=",0)</f>
        <v>#REF!</v>
      </c>
      <c r="EL228" t="e">
        <f>IF(#REF!,"AAAAAH77640=",0)</f>
        <v>#REF!</v>
      </c>
      <c r="EM228" t="e">
        <f>IF(#REF!,"AAAAAH77644=",0)</f>
        <v>#REF!</v>
      </c>
      <c r="EN228" t="e">
        <f>IF(#REF!,"AAAAAH77648=",0)</f>
        <v>#REF!</v>
      </c>
      <c r="EO228" t="e">
        <f>IF(#REF!,"AAAAAH7765A=",0)</f>
        <v>#REF!</v>
      </c>
      <c r="EP228" t="e">
        <f>IF(#REF!,"AAAAAH7765E=",0)</f>
        <v>#REF!</v>
      </c>
      <c r="EQ228" t="e">
        <f>IF(#REF!,"AAAAAH7765I=",0)</f>
        <v>#REF!</v>
      </c>
      <c r="ER228" t="e">
        <f>IF(#REF!,"AAAAAH7765M=",0)</f>
        <v>#REF!</v>
      </c>
      <c r="ES228" t="e">
        <f>IF(#REF!,"AAAAAH7765Q=",0)</f>
        <v>#REF!</v>
      </c>
      <c r="ET228" t="e">
        <f>IF(#REF!,"AAAAAH7765U=",0)</f>
        <v>#REF!</v>
      </c>
      <c r="EU228" t="e">
        <f>IF(#REF!,"AAAAAH7765Y=",0)</f>
        <v>#REF!</v>
      </c>
      <c r="EV228" t="e">
        <f>IF(#REF!,"AAAAAH7765c=",0)</f>
        <v>#REF!</v>
      </c>
      <c r="EW228" t="e">
        <f>IF(#REF!,"AAAAAH7765g=",0)</f>
        <v>#REF!</v>
      </c>
      <c r="EX228" t="e">
        <f>IF(#REF!,"AAAAAH7765k=",0)</f>
        <v>#REF!</v>
      </c>
      <c r="EY228" t="e">
        <f>IF(#REF!,"AAAAAH7765o=",0)</f>
        <v>#REF!</v>
      </c>
      <c r="EZ228" t="e">
        <f>IF(#REF!,"AAAAAH7765s=",0)</f>
        <v>#REF!</v>
      </c>
      <c r="FA228" t="e">
        <f>IF(#REF!,"AAAAAH7765w=",0)</f>
        <v>#REF!</v>
      </c>
      <c r="FB228" t="e">
        <f>IF(#REF!,"AAAAAH77650=",0)</f>
        <v>#REF!</v>
      </c>
      <c r="FC228" t="e">
        <f>IF(#REF!,"AAAAAH77654=",0)</f>
        <v>#REF!</v>
      </c>
      <c r="FD228" t="e">
        <f>IF(#REF!,"AAAAAH77658=",0)</f>
        <v>#REF!</v>
      </c>
      <c r="FE228" t="e">
        <f>IF(#REF!,"AAAAAH7766A=",0)</f>
        <v>#REF!</v>
      </c>
      <c r="FF228" t="e">
        <f>IF(#REF!,"AAAAAH7766E=",0)</f>
        <v>#REF!</v>
      </c>
      <c r="FG228" t="e">
        <f>IF(#REF!,"AAAAAH7766I=",0)</f>
        <v>#REF!</v>
      </c>
      <c r="FH228" t="e">
        <f>IF(#REF!,"AAAAAH7766M=",0)</f>
        <v>#REF!</v>
      </c>
      <c r="FI228" t="e">
        <f>IF(#REF!,"AAAAAH7766Q=",0)</f>
        <v>#REF!</v>
      </c>
      <c r="FJ228" t="e">
        <f>IF(#REF!,"AAAAAH7766U=",0)</f>
        <v>#REF!</v>
      </c>
      <c r="FK228" t="e">
        <f>IF(#REF!,"AAAAAH7766Y=",0)</f>
        <v>#REF!</v>
      </c>
      <c r="FL228" t="e">
        <f>IF(#REF!,"AAAAAH7766c=",0)</f>
        <v>#REF!</v>
      </c>
      <c r="FM228" t="e">
        <f>IF(#REF!,"AAAAAH7766g=",0)</f>
        <v>#REF!</v>
      </c>
      <c r="FN228" t="e">
        <f>IF(#REF!,"AAAAAH7766k=",0)</f>
        <v>#REF!</v>
      </c>
      <c r="FO228" t="e">
        <f>IF(#REF!,"AAAAAH7766o=",0)</f>
        <v>#REF!</v>
      </c>
      <c r="FP228" t="e">
        <f>IF(#REF!,"AAAAAH7766s=",0)</f>
        <v>#REF!</v>
      </c>
      <c r="FQ228" t="e">
        <f>IF(#REF!,"AAAAAH7766w=",0)</f>
        <v>#REF!</v>
      </c>
      <c r="FR228" t="e">
        <f>IF(#REF!,"AAAAAH77660=",0)</f>
        <v>#REF!</v>
      </c>
      <c r="FS228" t="e">
        <f>IF(#REF!,"AAAAAH77664=",0)</f>
        <v>#REF!</v>
      </c>
      <c r="FT228" t="e">
        <f>IF(#REF!,"AAAAAH77668=",0)</f>
        <v>#REF!</v>
      </c>
      <c r="FU228" t="e">
        <f>IF(#REF!,"AAAAAH7767A=",0)</f>
        <v>#REF!</v>
      </c>
      <c r="FV228" t="e">
        <f>IF(#REF!,"AAAAAH7767E=",0)</f>
        <v>#REF!</v>
      </c>
      <c r="FW228" t="e">
        <f>IF(#REF!,"AAAAAH7767I=",0)</f>
        <v>#REF!</v>
      </c>
      <c r="FX228" t="e">
        <f>IF(#REF!,"AAAAAH7767M=",0)</f>
        <v>#REF!</v>
      </c>
      <c r="FY228" t="e">
        <f>IF(#REF!,"AAAAAH7767Q=",0)</f>
        <v>#REF!</v>
      </c>
      <c r="FZ228" t="e">
        <f>IF(#REF!,"AAAAAH7767U=",0)</f>
        <v>#REF!</v>
      </c>
      <c r="GA228" t="e">
        <f>IF(#REF!,"AAAAAH7767Y=",0)</f>
        <v>#REF!</v>
      </c>
      <c r="GB228" t="e">
        <f>IF(#REF!,"AAAAAH7767c=",0)</f>
        <v>#REF!</v>
      </c>
      <c r="GC228" t="e">
        <f>IF(#REF!,"AAAAAH7767g=",0)</f>
        <v>#REF!</v>
      </c>
      <c r="GD228" t="e">
        <f>IF(#REF!,"AAAAAH7767k=",0)</f>
        <v>#REF!</v>
      </c>
      <c r="GE228" t="e">
        <f>IF(#REF!,"AAAAAH7767o=",0)</f>
        <v>#REF!</v>
      </c>
      <c r="GF228" t="e">
        <f>IF(#REF!,"AAAAAH7767s=",0)</f>
        <v>#REF!</v>
      </c>
      <c r="GG228" t="e">
        <f>IF(#REF!,"AAAAAH7767w=",0)</f>
        <v>#REF!</v>
      </c>
      <c r="GH228" t="e">
        <f>IF(#REF!,"AAAAAH77670=",0)</f>
        <v>#REF!</v>
      </c>
      <c r="GI228" t="e">
        <f>IF(#REF!,"AAAAAH77674=",0)</f>
        <v>#REF!</v>
      </c>
      <c r="GJ228" t="e">
        <f>IF(#REF!,"AAAAAH77678=",0)</f>
        <v>#REF!</v>
      </c>
      <c r="GK228" t="e">
        <f>IF(#REF!,"AAAAAH7768A=",0)</f>
        <v>#REF!</v>
      </c>
      <c r="GL228" t="e">
        <f>IF(#REF!,"AAAAAH7768E=",0)</f>
        <v>#REF!</v>
      </c>
      <c r="GM228" t="e">
        <f>IF(#REF!,"AAAAAH7768I=",0)</f>
        <v>#REF!</v>
      </c>
      <c r="GN228" t="e">
        <f>IF(#REF!,"AAAAAH7768M=",0)</f>
        <v>#REF!</v>
      </c>
      <c r="GO228" t="e">
        <f>IF(#REF!,"AAAAAH7768Q=",0)</f>
        <v>#REF!</v>
      </c>
      <c r="GP228" t="e">
        <f>IF(#REF!,"AAAAAH7768U=",0)</f>
        <v>#REF!</v>
      </c>
      <c r="GQ228" t="e">
        <f>IF(#REF!,"AAAAAH7768Y=",0)</f>
        <v>#REF!</v>
      </c>
      <c r="GR228" t="e">
        <f>IF(#REF!,"AAAAAH7768c=",0)</f>
        <v>#REF!</v>
      </c>
      <c r="GS228" t="e">
        <f>IF(#REF!,"AAAAAH7768g=",0)</f>
        <v>#REF!</v>
      </c>
      <c r="GT228" t="e">
        <f>IF(#REF!,"AAAAAH7768k=",0)</f>
        <v>#REF!</v>
      </c>
      <c r="GU228" t="e">
        <f>IF(#REF!,"AAAAAH7768o=",0)</f>
        <v>#REF!</v>
      </c>
      <c r="GV228" t="e">
        <f>IF(#REF!,"AAAAAH7768s=",0)</f>
        <v>#REF!</v>
      </c>
      <c r="GW228" t="e">
        <f>IF(#REF!,"AAAAAH7768w=",0)</f>
        <v>#REF!</v>
      </c>
      <c r="GX228" t="e">
        <f>IF(#REF!,"AAAAAH77680=",0)</f>
        <v>#REF!</v>
      </c>
      <c r="GY228" t="e">
        <f>IF(#REF!,"AAAAAH77684=",0)</f>
        <v>#REF!</v>
      </c>
      <c r="GZ228" t="e">
        <f>IF(#REF!,"AAAAAH77688=",0)</f>
        <v>#REF!</v>
      </c>
      <c r="HA228" t="e">
        <f>IF(#REF!,"AAAAAH7769A=",0)</f>
        <v>#REF!</v>
      </c>
      <c r="HB228" t="e">
        <f>IF(#REF!,"AAAAAH7769E=",0)</f>
        <v>#REF!</v>
      </c>
      <c r="HC228" t="e">
        <f>IF(#REF!,"AAAAAH7769I=",0)</f>
        <v>#REF!</v>
      </c>
      <c r="HD228" t="e">
        <f>IF(#REF!,"AAAAAH7769M=",0)</f>
        <v>#REF!</v>
      </c>
      <c r="HE228" t="e">
        <f>IF(#REF!,"AAAAAH7769Q=",0)</f>
        <v>#REF!</v>
      </c>
      <c r="HF228" t="e">
        <f>IF(#REF!,"AAAAAH7769U=",0)</f>
        <v>#REF!</v>
      </c>
      <c r="HG228" t="e">
        <f>IF(#REF!,"AAAAAH7769Y=",0)</f>
        <v>#REF!</v>
      </c>
      <c r="HH228" t="e">
        <f>IF(#REF!,"AAAAAH7769c=",0)</f>
        <v>#REF!</v>
      </c>
      <c r="HI228" t="e">
        <f>IF(#REF!,"AAAAAH7769g=",0)</f>
        <v>#REF!</v>
      </c>
      <c r="HJ228" t="e">
        <f>IF(#REF!,"AAAAAH7769k=",0)</f>
        <v>#REF!</v>
      </c>
      <c r="HK228" t="e">
        <f>IF(#REF!,"AAAAAH7769o=",0)</f>
        <v>#REF!</v>
      </c>
      <c r="HL228" t="e">
        <f>IF(#REF!,"AAAAAH7769s=",0)</f>
        <v>#REF!</v>
      </c>
      <c r="HM228" t="e">
        <f>IF(#REF!,"AAAAAH7769w=",0)</f>
        <v>#REF!</v>
      </c>
      <c r="HN228" t="e">
        <f>IF(#REF!,"AAAAAH77690=",0)</f>
        <v>#REF!</v>
      </c>
      <c r="HO228" t="e">
        <f>IF(#REF!,"AAAAAH77694=",0)</f>
        <v>#REF!</v>
      </c>
      <c r="HP228" t="e">
        <f>IF(#REF!,"AAAAAH77698=",0)</f>
        <v>#REF!</v>
      </c>
      <c r="HQ228" t="e">
        <f>IF(#REF!,"AAAAAH776+A=",0)</f>
        <v>#REF!</v>
      </c>
      <c r="HR228" t="e">
        <f>IF(#REF!,"AAAAAH776+E=",0)</f>
        <v>#REF!</v>
      </c>
      <c r="HS228" t="e">
        <f>IF(#REF!,"AAAAAH776+I=",0)</f>
        <v>#REF!</v>
      </c>
      <c r="HT228" t="e">
        <f>IF(#REF!,"AAAAAH776+M=",0)</f>
        <v>#REF!</v>
      </c>
      <c r="HU228" t="e">
        <f>IF(#REF!,"AAAAAH776+Q=",0)</f>
        <v>#REF!</v>
      </c>
      <c r="HV228" t="e">
        <f>IF(#REF!,"AAAAAH776+U=",0)</f>
        <v>#REF!</v>
      </c>
      <c r="HW228" t="e">
        <f>IF(#REF!,"AAAAAH776+Y=",0)</f>
        <v>#REF!</v>
      </c>
      <c r="HX228" t="e">
        <f>IF(#REF!,"AAAAAH776+c=",0)</f>
        <v>#REF!</v>
      </c>
      <c r="HY228" t="e">
        <f>IF(#REF!,"AAAAAH776+g=",0)</f>
        <v>#REF!</v>
      </c>
      <c r="HZ228" t="e">
        <f>IF(#REF!,"AAAAAH776+k=",0)</f>
        <v>#REF!</v>
      </c>
      <c r="IA228" t="e">
        <f>IF(#REF!,"AAAAAH776+o=",0)</f>
        <v>#REF!</v>
      </c>
      <c r="IB228" t="e">
        <f>IF(#REF!,"AAAAAH776+s=",0)</f>
        <v>#REF!</v>
      </c>
      <c r="IC228" t="e">
        <f>IF(#REF!,"AAAAAH776+w=",0)</f>
        <v>#REF!</v>
      </c>
      <c r="ID228" t="e">
        <f>IF(#REF!,"AAAAAH776+0=",0)</f>
        <v>#REF!</v>
      </c>
      <c r="IE228" t="e">
        <f>IF(#REF!,"AAAAAH776+4=",0)</f>
        <v>#REF!</v>
      </c>
      <c r="IF228" t="e">
        <f>IF(#REF!,"AAAAAH776+8=",0)</f>
        <v>#REF!</v>
      </c>
      <c r="IG228" t="e">
        <f>IF(#REF!,"AAAAAH776/A=",0)</f>
        <v>#REF!</v>
      </c>
      <c r="IH228" t="e">
        <f>IF(#REF!,"AAAAAH776/E=",0)</f>
        <v>#REF!</v>
      </c>
      <c r="II228" t="e">
        <f>IF(#REF!,"AAAAAH776/I=",0)</f>
        <v>#REF!</v>
      </c>
      <c r="IJ228" t="e">
        <f>IF(#REF!,"AAAAAH776/M=",0)</f>
        <v>#REF!</v>
      </c>
      <c r="IK228" t="e">
        <f>IF(#REF!,"AAAAAH776/Q=",0)</f>
        <v>#REF!</v>
      </c>
      <c r="IL228" t="e">
        <f>IF(#REF!,"AAAAAH776/U=",0)</f>
        <v>#REF!</v>
      </c>
      <c r="IM228" t="e">
        <f>IF(#REF!,"AAAAAH776/Y=",0)</f>
        <v>#REF!</v>
      </c>
      <c r="IN228" t="e">
        <f>IF(#REF!,"AAAAAH776/c=",0)</f>
        <v>#REF!</v>
      </c>
      <c r="IO228" t="e">
        <f>IF(#REF!,"AAAAAH776/g=",0)</f>
        <v>#REF!</v>
      </c>
      <c r="IP228" t="e">
        <f>IF(#REF!,"AAAAAH776/k=",0)</f>
        <v>#REF!</v>
      </c>
      <c r="IQ228" t="e">
        <f>IF(#REF!,"AAAAAH776/o=",0)</f>
        <v>#REF!</v>
      </c>
      <c r="IR228" t="e">
        <f>IF(#REF!,"AAAAAH776/s=",0)</f>
        <v>#REF!</v>
      </c>
      <c r="IS228" t="e">
        <f>IF(#REF!,"AAAAAH776/w=",0)</f>
        <v>#REF!</v>
      </c>
      <c r="IT228" t="e">
        <f>IF(#REF!,"AAAAAH776/0=",0)</f>
        <v>#REF!</v>
      </c>
      <c r="IU228" t="e">
        <f>IF(#REF!,"AAAAAH776/4=",0)</f>
        <v>#REF!</v>
      </c>
      <c r="IV228" t="e">
        <f>IF(#REF!,"AAAAAH776/8=",0)</f>
        <v>#REF!</v>
      </c>
    </row>
    <row r="229" spans="1:256">
      <c r="A229" t="e">
        <f>IF(#REF!,"AAAAAG1//gA=",0)</f>
        <v>#REF!</v>
      </c>
      <c r="B229" t="e">
        <f>IF(#REF!,"AAAAAG1//gE=",0)</f>
        <v>#REF!</v>
      </c>
      <c r="C229" t="e">
        <f>IF(#REF!,"AAAAAG1//gI=",0)</f>
        <v>#REF!</v>
      </c>
      <c r="D229" t="e">
        <f>IF(#REF!,"AAAAAG1//gM=",0)</f>
        <v>#REF!</v>
      </c>
      <c r="E229" t="e">
        <f>IF(#REF!,"AAAAAG1//gQ=",0)</f>
        <v>#REF!</v>
      </c>
      <c r="F229" t="e">
        <f>IF(#REF!,"AAAAAG1//gU=",0)</f>
        <v>#REF!</v>
      </c>
      <c r="G229" t="e">
        <f>IF(#REF!,"AAAAAG1//gY=",0)</f>
        <v>#REF!</v>
      </c>
      <c r="H229" t="e">
        <f>IF(#REF!,"AAAAAG1//gc=",0)</f>
        <v>#REF!</v>
      </c>
      <c r="I229" t="e">
        <f>IF(#REF!,"AAAAAG1//gg=",0)</f>
        <v>#REF!</v>
      </c>
      <c r="J229" t="e">
        <f>IF(#REF!,"AAAAAG1//gk=",0)</f>
        <v>#REF!</v>
      </c>
      <c r="K229" t="e">
        <f>IF(#REF!,"AAAAAG1//go=",0)</f>
        <v>#REF!</v>
      </c>
      <c r="L229" t="e">
        <f>IF(#REF!,"AAAAAG1//gs=",0)</f>
        <v>#REF!</v>
      </c>
      <c r="M229" t="e">
        <f>IF(#REF!,"AAAAAG1//gw=",0)</f>
        <v>#REF!</v>
      </c>
      <c r="N229" t="e">
        <f>IF(#REF!,"AAAAAG1//g0=",0)</f>
        <v>#REF!</v>
      </c>
      <c r="O229" t="e">
        <f>IF(#REF!,"AAAAAG1//g4=",0)</f>
        <v>#REF!</v>
      </c>
      <c r="P229" t="e">
        <f>IF(#REF!,"AAAAAG1//g8=",0)</f>
        <v>#REF!</v>
      </c>
      <c r="Q229" t="e">
        <f>IF(#REF!,"AAAAAG1//hA=",0)</f>
        <v>#REF!</v>
      </c>
      <c r="R229" t="e">
        <f>IF(#REF!,"AAAAAG1//hE=",0)</f>
        <v>#REF!</v>
      </c>
      <c r="S229" t="e">
        <f>IF(#REF!,"AAAAAG1//hI=",0)</f>
        <v>#REF!</v>
      </c>
      <c r="T229" t="e">
        <f>IF(#REF!,"AAAAAG1//hM=",0)</f>
        <v>#REF!</v>
      </c>
      <c r="U229" t="e">
        <f>IF(#REF!,"AAAAAG1//hQ=",0)</f>
        <v>#REF!</v>
      </c>
      <c r="V229" t="e">
        <f>IF(#REF!,"AAAAAG1//hU=",0)</f>
        <v>#REF!</v>
      </c>
      <c r="W229" t="e">
        <f>IF(#REF!,"AAAAAG1//hY=",0)</f>
        <v>#REF!</v>
      </c>
      <c r="X229" t="e">
        <f>IF(#REF!,"AAAAAG1//hc=",0)</f>
        <v>#REF!</v>
      </c>
      <c r="Y229" t="e">
        <f>IF(#REF!,"AAAAAG1//hg=",0)</f>
        <v>#REF!</v>
      </c>
      <c r="Z229" t="e">
        <f>IF(#REF!,"AAAAAG1//hk=",0)</f>
        <v>#REF!</v>
      </c>
      <c r="AA229" t="e">
        <f>IF(#REF!,"AAAAAG1//ho=",0)</f>
        <v>#REF!</v>
      </c>
      <c r="AB229" t="e">
        <f>IF(#REF!,"AAAAAG1//hs=",0)</f>
        <v>#REF!</v>
      </c>
      <c r="AC229" t="e">
        <f>IF(#REF!,"AAAAAG1//hw=",0)</f>
        <v>#REF!</v>
      </c>
      <c r="AD229" t="e">
        <f>IF(#REF!,"AAAAAG1//h0=",0)</f>
        <v>#REF!</v>
      </c>
      <c r="AE229" t="e">
        <f>IF(#REF!,"AAAAAG1//h4=",0)</f>
        <v>#REF!</v>
      </c>
      <c r="AF229" t="e">
        <f>IF(#REF!,"AAAAAG1//h8=",0)</f>
        <v>#REF!</v>
      </c>
      <c r="AG229" t="e">
        <f>IF(#REF!,"AAAAAG1//iA=",0)</f>
        <v>#REF!</v>
      </c>
      <c r="AH229" t="e">
        <f>IF(#REF!,"AAAAAG1//iE=",0)</f>
        <v>#REF!</v>
      </c>
      <c r="AI229" t="e">
        <f>IF(#REF!,"AAAAAG1//iI=",0)</f>
        <v>#REF!</v>
      </c>
      <c r="AJ229" t="e">
        <f>IF(#REF!,"AAAAAG1//iM=",0)</f>
        <v>#REF!</v>
      </c>
      <c r="AK229" t="e">
        <f>IF(#REF!,"AAAAAG1//iQ=",0)</f>
        <v>#REF!</v>
      </c>
      <c r="AL229" t="e">
        <f>IF(#REF!,"AAAAAG1//iU=",0)</f>
        <v>#REF!</v>
      </c>
      <c r="AM229" t="e">
        <f>IF(#REF!,"AAAAAG1//iY=",0)</f>
        <v>#REF!</v>
      </c>
      <c r="AN229" t="e">
        <f>IF(#REF!,"AAAAAG1//ic=",0)</f>
        <v>#REF!</v>
      </c>
      <c r="AO229" t="e">
        <f>IF(#REF!,"AAAAAG1//ig=",0)</f>
        <v>#REF!</v>
      </c>
      <c r="AP229" t="e">
        <f>IF(#REF!,"AAAAAG1//ik=",0)</f>
        <v>#REF!</v>
      </c>
      <c r="AQ229" t="e">
        <f>IF(#REF!,"AAAAAG1//io=",0)</f>
        <v>#REF!</v>
      </c>
      <c r="AR229" t="e">
        <f>IF(#REF!,"AAAAAG1//is=",0)</f>
        <v>#REF!</v>
      </c>
      <c r="AS229" t="e">
        <f>IF(#REF!,"AAAAAG1//iw=",0)</f>
        <v>#REF!</v>
      </c>
      <c r="AT229" t="e">
        <f>IF(#REF!,"AAAAAG1//i0=",0)</f>
        <v>#REF!</v>
      </c>
      <c r="AU229" t="e">
        <f>IF(#REF!,"AAAAAG1//i4=",0)</f>
        <v>#REF!</v>
      </c>
      <c r="AV229" t="e">
        <f>IF(#REF!,"AAAAAG1//i8=",0)</f>
        <v>#REF!</v>
      </c>
      <c r="AW229" t="e">
        <f>IF(#REF!,"AAAAAG1//jA=",0)</f>
        <v>#REF!</v>
      </c>
      <c r="AX229" t="e">
        <f>IF(#REF!,"AAAAAG1//jE=",0)</f>
        <v>#REF!</v>
      </c>
      <c r="AY229" t="e">
        <f>IF(#REF!,"AAAAAG1//jI=",0)</f>
        <v>#REF!</v>
      </c>
      <c r="AZ229" t="e">
        <f>IF(#REF!,"AAAAAG1//jM=",0)</f>
        <v>#REF!</v>
      </c>
      <c r="BA229" t="e">
        <f>IF(#REF!,"AAAAAG1//jQ=",0)</f>
        <v>#REF!</v>
      </c>
      <c r="BB229" t="e">
        <f>IF(#REF!,"AAAAAG1//jU=",0)</f>
        <v>#REF!</v>
      </c>
      <c r="BC229" t="e">
        <f>IF(#REF!,"AAAAAG1//jY=",0)</f>
        <v>#REF!</v>
      </c>
      <c r="BD229" t="e">
        <f>IF(#REF!,"AAAAAG1//jc=",0)</f>
        <v>#REF!</v>
      </c>
      <c r="BE229" t="e">
        <f>IF(#REF!,"AAAAAG1//jg=",0)</f>
        <v>#REF!</v>
      </c>
      <c r="BF229" t="e">
        <f>IF(#REF!,"AAAAAG1//jk=",0)</f>
        <v>#REF!</v>
      </c>
      <c r="BG229" t="e">
        <f>IF(#REF!,"AAAAAG1//jo=",0)</f>
        <v>#REF!</v>
      </c>
      <c r="BH229" t="e">
        <f>IF(#REF!,"AAAAAG1//js=",0)</f>
        <v>#REF!</v>
      </c>
      <c r="BI229" t="e">
        <f>IF(#REF!,"AAAAAG1//jw=",0)</f>
        <v>#REF!</v>
      </c>
      <c r="BJ229" t="e">
        <f>IF(#REF!,"AAAAAG1//j0=",0)</f>
        <v>#REF!</v>
      </c>
      <c r="BK229" t="e">
        <f>IF(#REF!,"AAAAAG1//j4=",0)</f>
        <v>#REF!</v>
      </c>
      <c r="BL229" t="e">
        <f>IF(#REF!,"AAAAAG1//j8=",0)</f>
        <v>#REF!</v>
      </c>
      <c r="BM229" t="e">
        <f>IF(#REF!,"AAAAAG1//kA=",0)</f>
        <v>#REF!</v>
      </c>
      <c r="BN229" t="e">
        <f>IF(#REF!,"AAAAAG1//kE=",0)</f>
        <v>#REF!</v>
      </c>
      <c r="BO229" t="e">
        <f>IF(#REF!,"AAAAAG1//kI=",0)</f>
        <v>#REF!</v>
      </c>
      <c r="BP229" t="e">
        <f>IF(#REF!,"AAAAAG1//kM=",0)</f>
        <v>#REF!</v>
      </c>
      <c r="BQ229" t="e">
        <f>IF(#REF!,"AAAAAG1//kQ=",0)</f>
        <v>#REF!</v>
      </c>
      <c r="BR229" t="e">
        <f>IF(#REF!,"AAAAAG1//kU=",0)</f>
        <v>#REF!</v>
      </c>
      <c r="BS229" t="e">
        <f>IF(#REF!,"AAAAAG1//kY=",0)</f>
        <v>#REF!</v>
      </c>
      <c r="BT229" t="e">
        <f>IF(#REF!,"AAAAAG1//kc=",0)</f>
        <v>#REF!</v>
      </c>
      <c r="BU229" t="e">
        <f>IF(#REF!,"AAAAAG1//kg=",0)</f>
        <v>#REF!</v>
      </c>
      <c r="BV229" t="e">
        <f>IF(#REF!,"AAAAAG1//kk=",0)</f>
        <v>#REF!</v>
      </c>
      <c r="BW229" t="e">
        <f>IF(#REF!,"AAAAAG1//ko=",0)</f>
        <v>#REF!</v>
      </c>
      <c r="BX229" t="e">
        <f>IF(#REF!,"AAAAAG1//ks=",0)</f>
        <v>#REF!</v>
      </c>
      <c r="BY229" t="e">
        <f>IF(#REF!,"AAAAAG1//kw=",0)</f>
        <v>#REF!</v>
      </c>
      <c r="BZ229" t="e">
        <f>IF(#REF!,"AAAAAG1//k0=",0)</f>
        <v>#REF!</v>
      </c>
      <c r="CA229" t="e">
        <f>IF(#REF!,"AAAAAG1//k4=",0)</f>
        <v>#REF!</v>
      </c>
      <c r="CB229" t="e">
        <f>IF(#REF!,"AAAAAG1//k8=",0)</f>
        <v>#REF!</v>
      </c>
      <c r="CC229" t="e">
        <f>IF(#REF!,"AAAAAG1//lA=",0)</f>
        <v>#REF!</v>
      </c>
      <c r="CD229" t="e">
        <f>IF(#REF!,"AAAAAG1//lE=",0)</f>
        <v>#REF!</v>
      </c>
      <c r="CE229" t="e">
        <f>IF(#REF!,"AAAAAG1//lI=",0)</f>
        <v>#REF!</v>
      </c>
      <c r="CF229" t="e">
        <f>IF(#REF!,"AAAAAG1//lM=",0)</f>
        <v>#REF!</v>
      </c>
      <c r="CG229" t="e">
        <f>IF(#REF!,"AAAAAG1//lQ=",0)</f>
        <v>#REF!</v>
      </c>
      <c r="CH229" t="e">
        <f>IF(#REF!,"AAAAAG1//lU=",0)</f>
        <v>#REF!</v>
      </c>
      <c r="CI229" t="e">
        <f>IF(#REF!,"AAAAAG1//lY=",0)</f>
        <v>#REF!</v>
      </c>
      <c r="CJ229" t="e">
        <f>IF(#REF!,"AAAAAG1//lc=",0)</f>
        <v>#REF!</v>
      </c>
      <c r="CK229" t="e">
        <f>IF(#REF!,"AAAAAG1//lg=",0)</f>
        <v>#REF!</v>
      </c>
      <c r="CL229" t="e">
        <f>IF(#REF!,"AAAAAG1//lk=",0)</f>
        <v>#REF!</v>
      </c>
      <c r="CM229" t="e">
        <f>IF(#REF!,"AAAAAG1//lo=",0)</f>
        <v>#REF!</v>
      </c>
      <c r="CN229" t="e">
        <f>IF(#REF!,"AAAAAG1//ls=",0)</f>
        <v>#REF!</v>
      </c>
      <c r="CO229" t="e">
        <f>IF(#REF!,"AAAAAG1//lw=",0)</f>
        <v>#REF!</v>
      </c>
      <c r="CP229" t="e">
        <f>IF(#REF!,"AAAAAG1//l0=",0)</f>
        <v>#REF!</v>
      </c>
      <c r="CQ229" t="e">
        <f>IF(#REF!,"AAAAAG1//l4=",0)</f>
        <v>#REF!</v>
      </c>
      <c r="CR229" t="e">
        <f>IF(#REF!,"AAAAAG1//l8=",0)</f>
        <v>#REF!</v>
      </c>
      <c r="CS229" t="e">
        <f>IF(#REF!,"AAAAAG1//mA=",0)</f>
        <v>#REF!</v>
      </c>
      <c r="CT229" t="e">
        <f>IF(#REF!,"AAAAAG1//mE=",0)</f>
        <v>#REF!</v>
      </c>
      <c r="CU229" t="e">
        <f>IF(#REF!,"AAAAAG1//mI=",0)</f>
        <v>#REF!</v>
      </c>
      <c r="CV229" t="e">
        <f>IF(#REF!,"AAAAAG1//mM=",0)</f>
        <v>#REF!</v>
      </c>
      <c r="CW229" t="e">
        <f>IF(#REF!,"AAAAAG1//mQ=",0)</f>
        <v>#REF!</v>
      </c>
      <c r="CX229" t="e">
        <f>IF(#REF!,"AAAAAG1//mU=",0)</f>
        <v>#REF!</v>
      </c>
      <c r="CY229" t="e">
        <f>IF(#REF!,"AAAAAG1//mY=",0)</f>
        <v>#REF!</v>
      </c>
      <c r="CZ229" t="e">
        <f>IF(#REF!,"AAAAAG1//mc=",0)</f>
        <v>#REF!</v>
      </c>
      <c r="DA229" t="e">
        <f>IF(#REF!,"AAAAAG1//mg=",0)</f>
        <v>#REF!</v>
      </c>
      <c r="DB229" t="e">
        <f>IF(#REF!,"AAAAAG1//mk=",0)</f>
        <v>#REF!</v>
      </c>
      <c r="DC229" t="e">
        <f>IF(#REF!,"AAAAAG1//mo=",0)</f>
        <v>#REF!</v>
      </c>
      <c r="DD229" t="e">
        <f>IF(#REF!,"AAAAAG1//ms=",0)</f>
        <v>#REF!</v>
      </c>
      <c r="DE229" t="e">
        <f>IF(#REF!,"AAAAAG1//mw=",0)</f>
        <v>#REF!</v>
      </c>
      <c r="DF229" t="e">
        <f>IF(#REF!,"AAAAAG1//m0=",0)</f>
        <v>#REF!</v>
      </c>
      <c r="DG229" t="e">
        <f>IF(#REF!,"AAAAAG1//m4=",0)</f>
        <v>#REF!</v>
      </c>
      <c r="DH229" t="e">
        <f>IF(#REF!,"AAAAAG1//m8=",0)</f>
        <v>#REF!</v>
      </c>
      <c r="DI229" t="e">
        <f>IF(#REF!,"AAAAAG1//nA=",0)</f>
        <v>#REF!</v>
      </c>
      <c r="DJ229" t="e">
        <f>IF(#REF!,"AAAAAG1//nE=",0)</f>
        <v>#REF!</v>
      </c>
      <c r="DK229" t="e">
        <f>IF(#REF!,"AAAAAG1//nI=",0)</f>
        <v>#REF!</v>
      </c>
      <c r="DL229" t="e">
        <f>IF(#REF!,"AAAAAG1//nM=",0)</f>
        <v>#REF!</v>
      </c>
      <c r="DM229" t="e">
        <f>IF(#REF!,"AAAAAG1//nQ=",0)</f>
        <v>#REF!</v>
      </c>
      <c r="DN229" t="e">
        <f>IF(#REF!,"AAAAAG1//nU=",0)</f>
        <v>#REF!</v>
      </c>
      <c r="DO229" t="e">
        <f>IF(#REF!,"AAAAAG1//nY=",0)</f>
        <v>#REF!</v>
      </c>
      <c r="DP229" t="e">
        <f>IF(#REF!,"AAAAAG1//nc=",0)</f>
        <v>#REF!</v>
      </c>
      <c r="DQ229" t="e">
        <f>IF(#REF!,"AAAAAG1//ng=",0)</f>
        <v>#REF!</v>
      </c>
      <c r="DR229" t="e">
        <f>IF(#REF!,"AAAAAG1//nk=",0)</f>
        <v>#REF!</v>
      </c>
      <c r="DS229" t="e">
        <f>IF(#REF!,"AAAAAG1//no=",0)</f>
        <v>#REF!</v>
      </c>
      <c r="DT229" t="e">
        <f>IF(#REF!,"AAAAAG1//ns=",0)</f>
        <v>#REF!</v>
      </c>
      <c r="DU229" t="e">
        <f>IF(#REF!,"AAAAAG1//nw=",0)</f>
        <v>#REF!</v>
      </c>
      <c r="DV229" t="e">
        <f>IF(#REF!,"AAAAAG1//n0=",0)</f>
        <v>#REF!</v>
      </c>
      <c r="DW229" t="e">
        <f>IF(#REF!,"AAAAAG1//n4=",0)</f>
        <v>#REF!</v>
      </c>
      <c r="DX229" t="e">
        <f>IF(#REF!,"AAAAAG1//n8=",0)</f>
        <v>#REF!</v>
      </c>
      <c r="DY229" t="e">
        <f>IF(#REF!,"AAAAAG1//oA=",0)</f>
        <v>#REF!</v>
      </c>
      <c r="DZ229" t="e">
        <f>IF(#REF!,"AAAAAG1//oE=",0)</f>
        <v>#REF!</v>
      </c>
      <c r="EA229" t="e">
        <f>IF(#REF!,"AAAAAG1//oI=",0)</f>
        <v>#REF!</v>
      </c>
      <c r="EB229" t="e">
        <f>IF(#REF!,"AAAAAG1//oM=",0)</f>
        <v>#REF!</v>
      </c>
      <c r="EC229" t="e">
        <f>IF(#REF!,"AAAAAG1//oQ=",0)</f>
        <v>#REF!</v>
      </c>
      <c r="ED229" t="e">
        <f>IF(#REF!,"AAAAAG1//oU=",0)</f>
        <v>#REF!</v>
      </c>
      <c r="EE229" t="e">
        <f>IF(#REF!,"AAAAAG1//oY=",0)</f>
        <v>#REF!</v>
      </c>
      <c r="EF229" t="e">
        <f>IF(#REF!,"AAAAAG1//oc=",0)</f>
        <v>#REF!</v>
      </c>
      <c r="EG229" t="e">
        <f>IF(#REF!,"AAAAAG1//og=",0)</f>
        <v>#REF!</v>
      </c>
      <c r="EH229" t="e">
        <f>IF(#REF!,"AAAAAG1//ok=",0)</f>
        <v>#REF!</v>
      </c>
      <c r="EI229" t="e">
        <f>IF(#REF!,"AAAAAG1//oo=",0)</f>
        <v>#REF!</v>
      </c>
      <c r="EJ229" t="e">
        <f>IF(#REF!,"AAAAAG1//os=",0)</f>
        <v>#REF!</v>
      </c>
      <c r="EK229" t="e">
        <f>IF(#REF!,"AAAAAG1//ow=",0)</f>
        <v>#REF!</v>
      </c>
      <c r="EL229" t="e">
        <f>IF(#REF!,"AAAAAG1//o0=",0)</f>
        <v>#REF!</v>
      </c>
      <c r="EM229" t="e">
        <f>IF(#REF!,"AAAAAG1//o4=",0)</f>
        <v>#REF!</v>
      </c>
      <c r="EN229" t="e">
        <f>IF(#REF!,"AAAAAG1//o8=",0)</f>
        <v>#REF!</v>
      </c>
      <c r="EO229" t="e">
        <f>IF(#REF!,"AAAAAG1//pA=",0)</f>
        <v>#REF!</v>
      </c>
      <c r="EP229" t="e">
        <f>IF(#REF!,"AAAAAG1//pE=",0)</f>
        <v>#REF!</v>
      </c>
      <c r="EQ229" t="e">
        <f>IF(#REF!,"AAAAAG1//pI=",0)</f>
        <v>#REF!</v>
      </c>
      <c r="ER229" t="e">
        <f>IF(#REF!,"AAAAAG1//pM=",0)</f>
        <v>#REF!</v>
      </c>
      <c r="ES229" t="e">
        <f>IF(#REF!,"AAAAAG1//pQ=",0)</f>
        <v>#REF!</v>
      </c>
      <c r="ET229" t="e">
        <f>IF(#REF!,"AAAAAG1//pU=",0)</f>
        <v>#REF!</v>
      </c>
      <c r="EU229" t="e">
        <f>IF(#REF!,"AAAAAG1//pY=",0)</f>
        <v>#REF!</v>
      </c>
      <c r="EV229" t="e">
        <f>IF(#REF!,"AAAAAG1//pc=",0)</f>
        <v>#REF!</v>
      </c>
      <c r="EW229" t="e">
        <f>IF(#REF!,"AAAAAG1//pg=",0)</f>
        <v>#REF!</v>
      </c>
      <c r="EX229" t="e">
        <f>IF(#REF!,"AAAAAG1//pk=",0)</f>
        <v>#REF!</v>
      </c>
      <c r="EY229" t="e">
        <f>IF(#REF!,"AAAAAG1//po=",0)</f>
        <v>#REF!</v>
      </c>
      <c r="EZ229" t="e">
        <f>IF(#REF!,"AAAAAG1//ps=",0)</f>
        <v>#REF!</v>
      </c>
      <c r="FA229" t="e">
        <f>IF(#REF!,"AAAAAG1//pw=",0)</f>
        <v>#REF!</v>
      </c>
      <c r="FB229" t="e">
        <f>IF(#REF!,"AAAAAG1//p0=",0)</f>
        <v>#REF!</v>
      </c>
      <c r="FC229" t="e">
        <f>IF(#REF!,"AAAAAG1//p4=",0)</f>
        <v>#REF!</v>
      </c>
      <c r="FD229" t="e">
        <f>IF(#REF!,"AAAAAG1//p8=",0)</f>
        <v>#REF!</v>
      </c>
      <c r="FE229" t="e">
        <f>IF(#REF!,"AAAAAG1//qA=",0)</f>
        <v>#REF!</v>
      </c>
      <c r="FF229" t="e">
        <f>IF(#REF!,"AAAAAG1//qE=",0)</f>
        <v>#REF!</v>
      </c>
      <c r="FG229" t="e">
        <f>IF(#REF!,"AAAAAG1//qI=",0)</f>
        <v>#REF!</v>
      </c>
      <c r="FH229" t="e">
        <f>IF(#REF!,"AAAAAG1//qM=",0)</f>
        <v>#REF!</v>
      </c>
      <c r="FI229" t="e">
        <f>IF(#REF!,"AAAAAG1//qQ=",0)</f>
        <v>#REF!</v>
      </c>
      <c r="FJ229" t="e">
        <f>IF(#REF!,"AAAAAG1//qU=",0)</f>
        <v>#REF!</v>
      </c>
      <c r="FK229" t="e">
        <f>IF(#REF!,"AAAAAG1//qY=",0)</f>
        <v>#REF!</v>
      </c>
      <c r="FL229" t="e">
        <f>IF(#REF!,"AAAAAG1//qc=",0)</f>
        <v>#REF!</v>
      </c>
      <c r="FM229" t="e">
        <f>IF(#REF!,"AAAAAG1//qg=",0)</f>
        <v>#REF!</v>
      </c>
      <c r="FN229" t="e">
        <f>IF(#REF!,"AAAAAG1//qk=",0)</f>
        <v>#REF!</v>
      </c>
      <c r="FO229" t="e">
        <f>IF(#REF!,"AAAAAG1//qo=",0)</f>
        <v>#REF!</v>
      </c>
      <c r="FP229" t="e">
        <f>IF(#REF!,"AAAAAG1//qs=",0)</f>
        <v>#REF!</v>
      </c>
      <c r="FQ229" t="e">
        <f>IF(#REF!,"AAAAAG1//qw=",0)</f>
        <v>#REF!</v>
      </c>
      <c r="FR229" t="e">
        <f>IF(#REF!,"AAAAAG1//q0=",0)</f>
        <v>#REF!</v>
      </c>
      <c r="FS229" t="e">
        <f>IF(#REF!,"AAAAAG1//q4=",0)</f>
        <v>#REF!</v>
      </c>
      <c r="FT229" t="e">
        <f>IF(#REF!,"AAAAAG1//q8=",0)</f>
        <v>#REF!</v>
      </c>
      <c r="FU229" t="e">
        <f>IF(#REF!,"AAAAAG1//rA=",0)</f>
        <v>#REF!</v>
      </c>
      <c r="FV229" t="e">
        <f>IF(#REF!,"AAAAAG1//rE=",0)</f>
        <v>#REF!</v>
      </c>
      <c r="FW229" t="e">
        <f>IF(#REF!,"AAAAAG1//rI=",0)</f>
        <v>#REF!</v>
      </c>
      <c r="FX229" t="e">
        <f>IF(#REF!,"AAAAAG1//rM=",0)</f>
        <v>#REF!</v>
      </c>
      <c r="FY229" t="e">
        <f>IF(#REF!,"AAAAAG1//rQ=",0)</f>
        <v>#REF!</v>
      </c>
      <c r="FZ229" t="e">
        <f>IF(#REF!,"AAAAAG1//rU=",0)</f>
        <v>#REF!</v>
      </c>
      <c r="GA229" t="e">
        <f>IF(#REF!,"AAAAAG1//rY=",0)</f>
        <v>#REF!</v>
      </c>
      <c r="GB229" t="e">
        <f>IF(#REF!,"AAAAAG1//rc=",0)</f>
        <v>#REF!</v>
      </c>
      <c r="GC229" t="e">
        <f>IF(#REF!,"AAAAAG1//rg=",0)</f>
        <v>#REF!</v>
      </c>
      <c r="GD229" t="e">
        <f>IF(#REF!,"AAAAAG1//rk=",0)</f>
        <v>#REF!</v>
      </c>
      <c r="GE229" t="e">
        <f>IF(#REF!,"AAAAAG1//ro=",0)</f>
        <v>#REF!</v>
      </c>
      <c r="GF229" t="e">
        <f>IF(#REF!,"AAAAAG1//rs=",0)</f>
        <v>#REF!</v>
      </c>
      <c r="GG229" t="e">
        <f>IF(#REF!,"AAAAAG1//rw=",0)</f>
        <v>#REF!</v>
      </c>
      <c r="GH229" t="e">
        <f>IF(#REF!,"AAAAAG1//r0=",0)</f>
        <v>#REF!</v>
      </c>
      <c r="GI229" t="e">
        <f>IF(#REF!,"AAAAAG1//r4=",0)</f>
        <v>#REF!</v>
      </c>
      <c r="GJ229" t="e">
        <f>IF(#REF!,"AAAAAG1//r8=",0)</f>
        <v>#REF!</v>
      </c>
      <c r="GK229" t="e">
        <f>IF(#REF!,"AAAAAG1//sA=",0)</f>
        <v>#REF!</v>
      </c>
      <c r="GL229" t="e">
        <f>IF(#REF!,"AAAAAG1//sE=",0)</f>
        <v>#REF!</v>
      </c>
      <c r="GM229" t="e">
        <f>IF(#REF!,"AAAAAG1//sI=",0)</f>
        <v>#REF!</v>
      </c>
      <c r="GN229" t="e">
        <f>IF(#REF!,"AAAAAG1//sM=",0)</f>
        <v>#REF!</v>
      </c>
      <c r="GO229" t="e">
        <f>IF(#REF!,"AAAAAG1//sQ=",0)</f>
        <v>#REF!</v>
      </c>
      <c r="GP229" t="e">
        <f>IF(#REF!,"AAAAAG1//sU=",0)</f>
        <v>#REF!</v>
      </c>
      <c r="GQ229" t="e">
        <f>IF(#REF!,"AAAAAG1//sY=",0)</f>
        <v>#REF!</v>
      </c>
      <c r="GR229" t="e">
        <f>IF(#REF!,"AAAAAG1//sc=",0)</f>
        <v>#REF!</v>
      </c>
      <c r="GS229" t="e">
        <f>IF(#REF!,"AAAAAG1//sg=",0)</f>
        <v>#REF!</v>
      </c>
      <c r="GT229" t="e">
        <f>IF(#REF!,"AAAAAG1//sk=",0)</f>
        <v>#REF!</v>
      </c>
      <c r="GU229" t="e">
        <f>IF(#REF!,"AAAAAG1//so=",0)</f>
        <v>#REF!</v>
      </c>
      <c r="GV229" t="e">
        <f>IF(#REF!,"AAAAAG1//ss=",0)</f>
        <v>#REF!</v>
      </c>
      <c r="GW229" t="e">
        <f>IF(#REF!,"AAAAAG1//sw=",0)</f>
        <v>#REF!</v>
      </c>
      <c r="GX229" t="e">
        <f>IF(#REF!,"AAAAAG1//s0=",0)</f>
        <v>#REF!</v>
      </c>
      <c r="GY229" t="e">
        <f>IF(#REF!,"AAAAAG1//s4=",0)</f>
        <v>#REF!</v>
      </c>
      <c r="GZ229" t="e">
        <f>IF(#REF!,"AAAAAG1//s8=",0)</f>
        <v>#REF!</v>
      </c>
      <c r="HA229" t="e">
        <f>IF(#REF!,"AAAAAG1//tA=",0)</f>
        <v>#REF!</v>
      </c>
      <c r="HB229" t="e">
        <f>IF(#REF!,"AAAAAG1//tE=",0)</f>
        <v>#REF!</v>
      </c>
      <c r="HC229" t="e">
        <f>IF(#REF!,"AAAAAG1//tI=",0)</f>
        <v>#REF!</v>
      </c>
      <c r="HD229" t="e">
        <f>IF(#REF!,"AAAAAG1//tM=",0)</f>
        <v>#REF!</v>
      </c>
      <c r="HE229" t="e">
        <f>IF(#REF!,"AAAAAG1//tQ=",0)</f>
        <v>#REF!</v>
      </c>
      <c r="HF229" t="e">
        <f>IF(#REF!,"AAAAAG1//tU=",0)</f>
        <v>#REF!</v>
      </c>
      <c r="HG229" t="e">
        <f>IF(#REF!,"AAAAAG1//tY=",0)</f>
        <v>#REF!</v>
      </c>
      <c r="HH229" t="e">
        <f>IF(#REF!,"AAAAAG1//tc=",0)</f>
        <v>#REF!</v>
      </c>
      <c r="HI229" t="e">
        <f>IF(#REF!,"AAAAAG1//tg=",0)</f>
        <v>#REF!</v>
      </c>
      <c r="HJ229" t="e">
        <f>IF(#REF!,"AAAAAG1//tk=",0)</f>
        <v>#REF!</v>
      </c>
      <c r="HK229" t="e">
        <f>IF(#REF!,"AAAAAG1//to=",0)</f>
        <v>#REF!</v>
      </c>
      <c r="HL229" t="e">
        <f>IF(#REF!,"AAAAAG1//ts=",0)</f>
        <v>#REF!</v>
      </c>
      <c r="HM229" t="e">
        <f>IF(#REF!,"AAAAAG1//tw=",0)</f>
        <v>#REF!</v>
      </c>
      <c r="HN229" t="e">
        <f>IF(#REF!,"AAAAAG1//t0=",0)</f>
        <v>#REF!</v>
      </c>
      <c r="HO229" t="e">
        <f>IF(#REF!,"AAAAAG1//t4=",0)</f>
        <v>#REF!</v>
      </c>
      <c r="HP229" t="e">
        <f>IF(#REF!,"AAAAAG1//t8=",0)</f>
        <v>#REF!</v>
      </c>
      <c r="HQ229" t="e">
        <f>IF(#REF!,"AAAAAG1//uA=",0)</f>
        <v>#REF!</v>
      </c>
      <c r="HR229" t="e">
        <f>IF(#REF!,"AAAAAG1//uE=",0)</f>
        <v>#REF!</v>
      </c>
      <c r="HS229" t="e">
        <f>IF(#REF!,"AAAAAG1//uI=",0)</f>
        <v>#REF!</v>
      </c>
      <c r="HT229" t="e">
        <f>IF(#REF!,"AAAAAG1//uM=",0)</f>
        <v>#REF!</v>
      </c>
      <c r="HU229" t="e">
        <f>IF(#REF!,"AAAAAG1//uQ=",0)</f>
        <v>#REF!</v>
      </c>
      <c r="HV229" t="e">
        <f>IF(#REF!,"AAAAAG1//uU=",0)</f>
        <v>#REF!</v>
      </c>
      <c r="HW229" t="e">
        <f>IF(#REF!,"AAAAAG1//uY=",0)</f>
        <v>#REF!</v>
      </c>
      <c r="HX229" t="e">
        <f>IF(#REF!,"AAAAAG1//uc=",0)</f>
        <v>#REF!</v>
      </c>
      <c r="HY229" t="e">
        <f>IF(#REF!,"AAAAAG1//ug=",0)</f>
        <v>#REF!</v>
      </c>
      <c r="HZ229" t="e">
        <f>IF(#REF!,"AAAAAG1//uk=",0)</f>
        <v>#REF!</v>
      </c>
      <c r="IA229" t="e">
        <f>IF(#REF!,"AAAAAG1//uo=",0)</f>
        <v>#REF!</v>
      </c>
      <c r="IB229" t="e">
        <f>IF(#REF!,"AAAAAG1//us=",0)</f>
        <v>#REF!</v>
      </c>
      <c r="IC229" t="e">
        <f>IF(#REF!,"AAAAAG1//uw=",0)</f>
        <v>#REF!</v>
      </c>
      <c r="ID229" t="e">
        <f>IF(#REF!,"AAAAAG1//u0=",0)</f>
        <v>#REF!</v>
      </c>
      <c r="IE229" t="e">
        <f>IF(#REF!,"AAAAAG1//u4=",0)</f>
        <v>#REF!</v>
      </c>
      <c r="IF229" t="e">
        <f>IF(#REF!,"AAAAAG1//u8=",0)</f>
        <v>#REF!</v>
      </c>
      <c r="IG229" t="e">
        <f>IF(#REF!,"AAAAAG1//vA=",0)</f>
        <v>#REF!</v>
      </c>
      <c r="IH229" t="e">
        <f>IF(#REF!,"AAAAAG1//vE=",0)</f>
        <v>#REF!</v>
      </c>
      <c r="II229" t="e">
        <f>IF(#REF!,"AAAAAG1//vI=",0)</f>
        <v>#REF!</v>
      </c>
      <c r="IJ229" t="e">
        <f>IF(#REF!,"AAAAAG1//vM=",0)</f>
        <v>#REF!</v>
      </c>
      <c r="IK229" t="e">
        <f>IF(#REF!,"AAAAAG1//vQ=",0)</f>
        <v>#REF!</v>
      </c>
      <c r="IL229" t="e">
        <f>IF(#REF!,"AAAAAG1//vU=",0)</f>
        <v>#REF!</v>
      </c>
      <c r="IM229" t="e">
        <f>IF(#REF!,"AAAAAG1//vY=",0)</f>
        <v>#REF!</v>
      </c>
      <c r="IN229" t="e">
        <f>IF(#REF!,"AAAAAG1//vc=",0)</f>
        <v>#REF!</v>
      </c>
      <c r="IO229" t="e">
        <f>IF(#REF!,"AAAAAG1//vg=",0)</f>
        <v>#REF!</v>
      </c>
      <c r="IP229" t="e">
        <f>IF(#REF!,"AAAAAG1//vk=",0)</f>
        <v>#REF!</v>
      </c>
      <c r="IQ229" t="e">
        <f>IF(#REF!,"AAAAAG1//vo=",0)</f>
        <v>#REF!</v>
      </c>
      <c r="IR229" t="e">
        <f>IF(#REF!,"AAAAAG1//vs=",0)</f>
        <v>#REF!</v>
      </c>
      <c r="IS229" t="e">
        <f>IF(#REF!,"AAAAAG1//vw=",0)</f>
        <v>#REF!</v>
      </c>
      <c r="IT229" t="e">
        <f>IF(#REF!,"AAAAAG1//v0=",0)</f>
        <v>#REF!</v>
      </c>
      <c r="IU229" t="e">
        <f>IF(#REF!,"AAAAAG1//v4=",0)</f>
        <v>#REF!</v>
      </c>
      <c r="IV229" t="e">
        <f>IF(#REF!,"AAAAAG1//v8=",0)</f>
        <v>#REF!</v>
      </c>
    </row>
    <row r="230" spans="1:256">
      <c r="A230" t="e">
        <f>IF(#REF!,"AAAAADfr6wA=",0)</f>
        <v>#REF!</v>
      </c>
      <c r="B230" t="e">
        <f>IF(#REF!,"AAAAADfr6wE=",0)</f>
        <v>#REF!</v>
      </c>
      <c r="C230" t="e">
        <f>IF(#REF!,"AAAAADfr6wI=",0)</f>
        <v>#REF!</v>
      </c>
      <c r="D230" t="e">
        <f>IF(#REF!,"AAAAADfr6wM=",0)</f>
        <v>#REF!</v>
      </c>
      <c r="E230" t="e">
        <f>IF(#REF!,"AAAAADfr6wQ=",0)</f>
        <v>#REF!</v>
      </c>
      <c r="F230" t="e">
        <f>IF(#REF!,"AAAAADfr6wU=",0)</f>
        <v>#REF!</v>
      </c>
      <c r="G230" t="e">
        <f>IF(#REF!,"AAAAADfr6wY=",0)</f>
        <v>#REF!</v>
      </c>
      <c r="H230" t="e">
        <f>IF(#REF!,"AAAAADfr6wc=",0)</f>
        <v>#REF!</v>
      </c>
      <c r="I230" t="e">
        <f>IF(#REF!,"AAAAADfr6wg=",0)</f>
        <v>#REF!</v>
      </c>
      <c r="J230" t="e">
        <f>IF(#REF!,"AAAAADfr6wk=",0)</f>
        <v>#REF!</v>
      </c>
      <c r="K230" t="e">
        <f>IF(#REF!,"AAAAADfr6wo=",0)</f>
        <v>#REF!</v>
      </c>
      <c r="L230" t="e">
        <f>IF(#REF!,"AAAAADfr6ws=",0)</f>
        <v>#REF!</v>
      </c>
      <c r="M230" t="e">
        <f>IF(#REF!,"AAAAADfr6ww=",0)</f>
        <v>#REF!</v>
      </c>
      <c r="N230" t="e">
        <f>IF(#REF!,"AAAAADfr6w0=",0)</f>
        <v>#REF!</v>
      </c>
      <c r="O230" t="e">
        <f>IF(#REF!,"AAAAADfr6w4=",0)</f>
        <v>#REF!</v>
      </c>
      <c r="P230" t="e">
        <f>IF(#REF!,"AAAAADfr6w8=",0)</f>
        <v>#REF!</v>
      </c>
      <c r="Q230" t="e">
        <f>IF(#REF!,"AAAAADfr6xA=",0)</f>
        <v>#REF!</v>
      </c>
      <c r="R230" t="e">
        <f>IF(#REF!,"AAAAADfr6xE=",0)</f>
        <v>#REF!</v>
      </c>
      <c r="S230" t="e">
        <f>IF(#REF!,"AAAAADfr6xI=",0)</f>
        <v>#REF!</v>
      </c>
      <c r="T230" t="e">
        <f>IF(#REF!,"AAAAADfr6xM=",0)</f>
        <v>#REF!</v>
      </c>
      <c r="U230" t="e">
        <f>IF(#REF!,"AAAAADfr6xQ=",0)</f>
        <v>#REF!</v>
      </c>
      <c r="V230" t="e">
        <f>IF(#REF!,"AAAAADfr6xU=",0)</f>
        <v>#REF!</v>
      </c>
      <c r="W230" t="e">
        <f>IF(#REF!,"AAAAADfr6xY=",0)</f>
        <v>#REF!</v>
      </c>
      <c r="X230" t="e">
        <f>IF(#REF!,"AAAAADfr6xc=",0)</f>
        <v>#REF!</v>
      </c>
      <c r="Y230" t="e">
        <f>IF(#REF!,"AAAAADfr6xg=",0)</f>
        <v>#REF!</v>
      </c>
      <c r="Z230" t="e">
        <f>IF(#REF!,"AAAAADfr6xk=",0)</f>
        <v>#REF!</v>
      </c>
      <c r="AA230" t="e">
        <f>IF(#REF!,"AAAAADfr6xo=",0)</f>
        <v>#REF!</v>
      </c>
      <c r="AB230" t="e">
        <f>IF(#REF!,"AAAAADfr6xs=",0)</f>
        <v>#REF!</v>
      </c>
      <c r="AC230" t="e">
        <f>IF(#REF!,"AAAAADfr6xw=",0)</f>
        <v>#REF!</v>
      </c>
      <c r="AD230" t="e">
        <f>IF(#REF!,"AAAAADfr6x0=",0)</f>
        <v>#REF!</v>
      </c>
      <c r="AE230" t="e">
        <f>IF(#REF!,"AAAAADfr6x4=",0)</f>
        <v>#REF!</v>
      </c>
      <c r="AF230" t="e">
        <f>IF(#REF!,"AAAAADfr6x8=",0)</f>
        <v>#REF!</v>
      </c>
      <c r="AG230" t="e">
        <f>IF(#REF!,"AAAAADfr6yA=",0)</f>
        <v>#REF!</v>
      </c>
      <c r="AH230" t="e">
        <f>IF(#REF!,"AAAAADfr6yE=",0)</f>
        <v>#REF!</v>
      </c>
      <c r="AI230" t="e">
        <f>IF(#REF!,"AAAAADfr6yI=",0)</f>
        <v>#REF!</v>
      </c>
      <c r="AJ230" t="e">
        <f>IF(#REF!,"AAAAADfr6yM=",0)</f>
        <v>#REF!</v>
      </c>
      <c r="AK230" t="e">
        <f>IF(#REF!,"AAAAADfr6yQ=",0)</f>
        <v>#REF!</v>
      </c>
      <c r="AL230" t="e">
        <f>IF(#REF!,"AAAAADfr6yU=",0)</f>
        <v>#REF!</v>
      </c>
      <c r="AM230" t="e">
        <f>IF(#REF!,"AAAAADfr6yY=",0)</f>
        <v>#REF!</v>
      </c>
      <c r="AN230" t="e">
        <f>IF(#REF!,"AAAAADfr6yc=",0)</f>
        <v>#REF!</v>
      </c>
      <c r="AO230" t="e">
        <f>IF(#REF!,"AAAAADfr6yg=",0)</f>
        <v>#REF!</v>
      </c>
      <c r="AP230" t="e">
        <f>IF(#REF!,"AAAAADfr6yk=",0)</f>
        <v>#REF!</v>
      </c>
      <c r="AQ230" t="e">
        <f>IF(#REF!,"AAAAADfr6yo=",0)</f>
        <v>#REF!</v>
      </c>
      <c r="AR230" t="e">
        <f>IF(#REF!,"AAAAADfr6ys=",0)</f>
        <v>#REF!</v>
      </c>
      <c r="AS230" t="e">
        <f>IF(#REF!,"AAAAADfr6yw=",0)</f>
        <v>#REF!</v>
      </c>
      <c r="AT230" t="e">
        <f>IF(#REF!,"AAAAADfr6y0=",0)</f>
        <v>#REF!</v>
      </c>
      <c r="AU230" t="e">
        <f>IF(#REF!,"AAAAADfr6y4=",0)</f>
        <v>#REF!</v>
      </c>
      <c r="AV230" t="e">
        <f>IF(#REF!,"AAAAADfr6y8=",0)</f>
        <v>#REF!</v>
      </c>
      <c r="AW230" t="e">
        <f>IF(#REF!,"AAAAADfr6zA=",0)</f>
        <v>#REF!</v>
      </c>
      <c r="AX230" t="e">
        <f>IF(#REF!,"AAAAADfr6zE=",0)</f>
        <v>#REF!</v>
      </c>
      <c r="AY230" t="e">
        <f>IF(#REF!,"AAAAADfr6zI=",0)</f>
        <v>#REF!</v>
      </c>
      <c r="AZ230" t="e">
        <f>IF(#REF!,"AAAAADfr6zM=",0)</f>
        <v>#REF!</v>
      </c>
      <c r="BA230" t="e">
        <f>IF(#REF!,"AAAAADfr6zQ=",0)</f>
        <v>#REF!</v>
      </c>
      <c r="BB230" t="e">
        <f>IF(#REF!,"AAAAADfr6zU=",0)</f>
        <v>#REF!</v>
      </c>
      <c r="BC230" t="e">
        <f>IF(#REF!,"AAAAADfr6zY=",0)</f>
        <v>#REF!</v>
      </c>
      <c r="BD230" t="e">
        <f>IF(#REF!,"AAAAADfr6zc=",0)</f>
        <v>#REF!</v>
      </c>
      <c r="BE230" t="e">
        <f>IF(#REF!,"AAAAADfr6zg=",0)</f>
        <v>#REF!</v>
      </c>
      <c r="BF230" t="e">
        <f>IF(#REF!,"AAAAADfr6zk=",0)</f>
        <v>#REF!</v>
      </c>
      <c r="BG230" t="e">
        <f>IF(#REF!,"AAAAADfr6zo=",0)</f>
        <v>#REF!</v>
      </c>
      <c r="BH230" t="e">
        <f>IF(#REF!,"AAAAADfr6zs=",0)</f>
        <v>#REF!</v>
      </c>
      <c r="BI230" t="e">
        <f>IF(#REF!,"AAAAADfr6zw=",0)</f>
        <v>#REF!</v>
      </c>
      <c r="BJ230" t="e">
        <f>IF(#REF!,"AAAAADfr6z0=",0)</f>
        <v>#REF!</v>
      </c>
      <c r="BK230" t="e">
        <f>IF(#REF!,"AAAAADfr6z4=",0)</f>
        <v>#REF!</v>
      </c>
      <c r="BL230" t="e">
        <f>IF(#REF!,"AAAAADfr6z8=",0)</f>
        <v>#REF!</v>
      </c>
      <c r="BM230" t="e">
        <f>IF(#REF!,"AAAAADfr60A=",0)</f>
        <v>#REF!</v>
      </c>
      <c r="BN230" t="e">
        <f>IF(#REF!,"AAAAADfr60E=",0)</f>
        <v>#REF!</v>
      </c>
      <c r="BO230" t="e">
        <f>IF(#REF!,"AAAAADfr60I=",0)</f>
        <v>#REF!</v>
      </c>
      <c r="BP230" t="e">
        <f>IF(#REF!,"AAAAADfr60M=",0)</f>
        <v>#REF!</v>
      </c>
      <c r="BQ230" t="e">
        <f>IF(#REF!,"AAAAADfr60Q=",0)</f>
        <v>#REF!</v>
      </c>
      <c r="BR230" t="e">
        <f>IF(#REF!,"AAAAADfr60U=",0)</f>
        <v>#REF!</v>
      </c>
      <c r="BS230" t="e">
        <f>IF(#REF!,"AAAAADfr60Y=",0)</f>
        <v>#REF!</v>
      </c>
      <c r="BT230" t="e">
        <f>IF(#REF!,"AAAAADfr60c=",0)</f>
        <v>#REF!</v>
      </c>
      <c r="BU230" t="e">
        <f>IF(#REF!,"AAAAADfr60g=",0)</f>
        <v>#REF!</v>
      </c>
      <c r="BV230" t="e">
        <f>IF(#REF!,"AAAAADfr60k=",0)</f>
        <v>#REF!</v>
      </c>
      <c r="BW230" t="e">
        <f>IF(#REF!,"AAAAADfr60o=",0)</f>
        <v>#REF!</v>
      </c>
      <c r="BX230" t="e">
        <f>IF(#REF!,"AAAAADfr60s=",0)</f>
        <v>#REF!</v>
      </c>
      <c r="BY230" t="e">
        <f>IF(#REF!,"AAAAADfr60w=",0)</f>
        <v>#REF!</v>
      </c>
      <c r="BZ230" t="e">
        <f>IF(#REF!,"AAAAADfr600=",0)</f>
        <v>#REF!</v>
      </c>
      <c r="CA230" t="e">
        <f>IF(#REF!,"AAAAADfr604=",0)</f>
        <v>#REF!</v>
      </c>
      <c r="CB230" t="e">
        <f>IF(#REF!,"AAAAADfr608=",0)</f>
        <v>#REF!</v>
      </c>
      <c r="CC230" t="e">
        <f>IF(#REF!,"AAAAADfr61A=",0)</f>
        <v>#REF!</v>
      </c>
      <c r="CD230" t="e">
        <f>IF(#REF!,"AAAAADfr61E=",0)</f>
        <v>#REF!</v>
      </c>
      <c r="CE230" t="e">
        <f>IF(#REF!,"AAAAADfr61I=",0)</f>
        <v>#REF!</v>
      </c>
      <c r="CF230" t="e">
        <f>IF(#REF!,"AAAAADfr61M=",0)</f>
        <v>#REF!</v>
      </c>
      <c r="CG230" t="e">
        <f>IF(#REF!,"AAAAADfr61Q=",0)</f>
        <v>#REF!</v>
      </c>
      <c r="CH230" t="e">
        <f>IF(#REF!,"AAAAADfr61U=",0)</f>
        <v>#REF!</v>
      </c>
      <c r="CI230" t="e">
        <f>IF(#REF!,"AAAAADfr61Y=",0)</f>
        <v>#REF!</v>
      </c>
      <c r="CJ230" t="e">
        <f>IF(#REF!,"AAAAADfr61c=",0)</f>
        <v>#REF!</v>
      </c>
      <c r="CK230" t="e">
        <f>IF(#REF!,"AAAAADfr61g=",0)</f>
        <v>#REF!</v>
      </c>
      <c r="CL230" t="e">
        <f>IF(#REF!,"AAAAADfr61k=",0)</f>
        <v>#REF!</v>
      </c>
      <c r="CM230" t="e">
        <f>IF(#REF!,"AAAAADfr61o=",0)</f>
        <v>#REF!</v>
      </c>
      <c r="CN230" t="e">
        <f>IF(#REF!,"AAAAADfr61s=",0)</f>
        <v>#REF!</v>
      </c>
      <c r="CO230" t="e">
        <f>IF(#REF!,"AAAAADfr61w=",0)</f>
        <v>#REF!</v>
      </c>
      <c r="CP230" t="e">
        <f>IF(#REF!,"AAAAADfr610=",0)</f>
        <v>#REF!</v>
      </c>
      <c r="CQ230" t="e">
        <f>IF(#REF!,"AAAAADfr614=",0)</f>
        <v>#REF!</v>
      </c>
      <c r="CR230" t="e">
        <f>IF(#REF!,"AAAAADfr618=",0)</f>
        <v>#REF!</v>
      </c>
      <c r="CS230" t="e">
        <f>IF(#REF!,"AAAAADfr62A=",0)</f>
        <v>#REF!</v>
      </c>
      <c r="CT230" t="e">
        <f>IF(#REF!,"AAAAADfr62E=",0)</f>
        <v>#REF!</v>
      </c>
      <c r="CU230" t="e">
        <f>IF(#REF!,"AAAAADfr62I=",0)</f>
        <v>#REF!</v>
      </c>
      <c r="CV230" t="e">
        <f>IF(#REF!,"AAAAADfr62M=",0)</f>
        <v>#REF!</v>
      </c>
      <c r="CW230" t="e">
        <f>IF(#REF!,"AAAAADfr62Q=",0)</f>
        <v>#REF!</v>
      </c>
      <c r="CX230" t="e">
        <f>IF(#REF!,"AAAAADfr62U=",0)</f>
        <v>#REF!</v>
      </c>
      <c r="CY230" t="e">
        <f>IF(#REF!,"AAAAADfr62Y=",0)</f>
        <v>#REF!</v>
      </c>
      <c r="CZ230" t="e">
        <f>IF(#REF!,"AAAAADfr62c=",0)</f>
        <v>#REF!</v>
      </c>
      <c r="DA230" t="e">
        <f>IF(#REF!,"AAAAADfr62g=",0)</f>
        <v>#REF!</v>
      </c>
      <c r="DB230" t="e">
        <f>IF(#REF!,"AAAAADfr62k=",0)</f>
        <v>#REF!</v>
      </c>
      <c r="DC230" t="e">
        <f>IF(#REF!,"AAAAADfr62o=",0)</f>
        <v>#REF!</v>
      </c>
      <c r="DD230" t="e">
        <f>IF(#REF!,"AAAAADfr62s=",0)</f>
        <v>#REF!</v>
      </c>
      <c r="DE230" t="e">
        <f>IF(#REF!,"AAAAADfr62w=",0)</f>
        <v>#REF!</v>
      </c>
      <c r="DF230" t="e">
        <f>IF(#REF!,"AAAAADfr620=",0)</f>
        <v>#REF!</v>
      </c>
      <c r="DG230" t="e">
        <f>IF(#REF!,"AAAAADfr624=",0)</f>
        <v>#REF!</v>
      </c>
      <c r="DH230" t="e">
        <f>IF(#REF!,"AAAAADfr628=",0)</f>
        <v>#REF!</v>
      </c>
      <c r="DI230" t="e">
        <f>IF(#REF!,"AAAAADfr63A=",0)</f>
        <v>#REF!</v>
      </c>
      <c r="DJ230" t="e">
        <f>IF(#REF!,"AAAAADfr63E=",0)</f>
        <v>#REF!</v>
      </c>
      <c r="DK230" t="e">
        <f>IF(#REF!,"AAAAADfr63I=",0)</f>
        <v>#REF!</v>
      </c>
      <c r="DL230" t="e">
        <f>IF(#REF!,"AAAAADfr63M=",0)</f>
        <v>#REF!</v>
      </c>
      <c r="DM230" t="e">
        <f>IF(#REF!,"AAAAADfr63Q=",0)</f>
        <v>#REF!</v>
      </c>
      <c r="DN230" t="e">
        <f>IF(#REF!,"AAAAADfr63U=",0)</f>
        <v>#REF!</v>
      </c>
      <c r="DO230" t="e">
        <f>IF(#REF!,"AAAAADfr63Y=",0)</f>
        <v>#REF!</v>
      </c>
      <c r="DP230" t="e">
        <f>IF(#REF!,"AAAAADfr63c=",0)</f>
        <v>#REF!</v>
      </c>
      <c r="DQ230" t="e">
        <f>IF(#REF!,"AAAAADfr63g=",0)</f>
        <v>#REF!</v>
      </c>
      <c r="DR230" t="e">
        <f>IF(#REF!,"AAAAADfr63k=",0)</f>
        <v>#REF!</v>
      </c>
      <c r="DS230" t="e">
        <f>IF(#REF!,"AAAAADfr63o=",0)</f>
        <v>#REF!</v>
      </c>
      <c r="DT230" t="e">
        <f>IF(#REF!,"AAAAADfr63s=",0)</f>
        <v>#REF!</v>
      </c>
      <c r="DU230" t="e">
        <f>IF(#REF!,"AAAAADfr63w=",0)</f>
        <v>#REF!</v>
      </c>
      <c r="DV230" t="e">
        <f>IF(#REF!,"AAAAADfr630=",0)</f>
        <v>#REF!</v>
      </c>
      <c r="DW230" t="e">
        <f>IF(#REF!,"AAAAADfr634=",0)</f>
        <v>#REF!</v>
      </c>
      <c r="DX230" t="e">
        <f>IF(#REF!,"AAAAADfr638=",0)</f>
        <v>#REF!</v>
      </c>
      <c r="DY230" t="e">
        <f>IF(#REF!,"AAAAADfr64A=",0)</f>
        <v>#REF!</v>
      </c>
      <c r="DZ230" t="e">
        <f>IF(#REF!,"AAAAADfr64E=",0)</f>
        <v>#REF!</v>
      </c>
      <c r="EA230" t="e">
        <f>IF(#REF!,"AAAAADfr64I=",0)</f>
        <v>#REF!</v>
      </c>
      <c r="EB230" t="e">
        <f>IF(#REF!,"AAAAADfr64M=",0)</f>
        <v>#REF!</v>
      </c>
      <c r="EC230" t="e">
        <f>IF(#REF!,"AAAAADfr64Q=",0)</f>
        <v>#REF!</v>
      </c>
      <c r="ED230" t="e">
        <f>IF(#REF!,"AAAAADfr64U=",0)</f>
        <v>#REF!</v>
      </c>
      <c r="EE230" t="e">
        <f>IF(#REF!,"AAAAADfr64Y=",0)</f>
        <v>#REF!</v>
      </c>
      <c r="EF230" t="e">
        <f>IF(#REF!,"AAAAADfr64c=",0)</f>
        <v>#REF!</v>
      </c>
      <c r="EG230" t="e">
        <f>IF(#REF!,"AAAAADfr64g=",0)</f>
        <v>#REF!</v>
      </c>
      <c r="EH230" t="e">
        <f>IF(#REF!,"AAAAADfr64k=",0)</f>
        <v>#REF!</v>
      </c>
      <c r="EI230" t="e">
        <f>IF(#REF!,"AAAAADfr64o=",0)</f>
        <v>#REF!</v>
      </c>
      <c r="EJ230" t="e">
        <f>IF(#REF!,"AAAAADfr64s=",0)</f>
        <v>#REF!</v>
      </c>
      <c r="EK230" t="e">
        <f>IF(#REF!,"AAAAADfr64w=",0)</f>
        <v>#REF!</v>
      </c>
      <c r="EL230" t="e">
        <f>IF(#REF!,"AAAAADfr640=",0)</f>
        <v>#REF!</v>
      </c>
      <c r="EM230" t="e">
        <f>IF(#REF!,"AAAAADfr644=",0)</f>
        <v>#REF!</v>
      </c>
      <c r="EN230" t="e">
        <f>IF(#REF!,"AAAAADfr648=",0)</f>
        <v>#REF!</v>
      </c>
      <c r="EO230" t="e">
        <f>IF(#REF!,"AAAAADfr65A=",0)</f>
        <v>#REF!</v>
      </c>
      <c r="EP230" t="e">
        <f>IF(#REF!,"AAAAADfr65E=",0)</f>
        <v>#REF!</v>
      </c>
      <c r="EQ230" t="e">
        <f>IF(#REF!,"AAAAADfr65I=",0)</f>
        <v>#REF!</v>
      </c>
      <c r="ER230" t="e">
        <f>IF(#REF!,"AAAAADfr65M=",0)</f>
        <v>#REF!</v>
      </c>
      <c r="ES230" t="e">
        <f>IF(#REF!,"AAAAADfr65Q=",0)</f>
        <v>#REF!</v>
      </c>
      <c r="ET230" t="e">
        <f>IF(#REF!,"AAAAADfr65U=",0)</f>
        <v>#REF!</v>
      </c>
      <c r="EU230" t="e">
        <f>IF(#REF!,"AAAAADfr65Y=",0)</f>
        <v>#REF!</v>
      </c>
      <c r="EV230" t="e">
        <f>IF(#REF!,"AAAAADfr65c=",0)</f>
        <v>#REF!</v>
      </c>
      <c r="EW230" t="e">
        <f>IF(#REF!,"AAAAADfr65g=",0)</f>
        <v>#REF!</v>
      </c>
      <c r="EX230" t="e">
        <f>IF(#REF!,"AAAAADfr65k=",0)</f>
        <v>#REF!</v>
      </c>
      <c r="EY230" t="e">
        <f>IF(#REF!,"AAAAADfr65o=",0)</f>
        <v>#REF!</v>
      </c>
      <c r="EZ230" t="e">
        <f>IF(#REF!,"AAAAADfr65s=",0)</f>
        <v>#REF!</v>
      </c>
      <c r="FA230" t="e">
        <f>IF(#REF!,"AAAAADfr65w=",0)</f>
        <v>#REF!</v>
      </c>
      <c r="FB230" t="e">
        <f>IF(#REF!,"AAAAADfr650=",0)</f>
        <v>#REF!</v>
      </c>
      <c r="FC230" t="e">
        <f>IF(#REF!,"AAAAADfr654=",0)</f>
        <v>#REF!</v>
      </c>
      <c r="FD230" t="e">
        <f>IF(#REF!,"AAAAADfr658=",0)</f>
        <v>#REF!</v>
      </c>
      <c r="FE230" t="e">
        <f>IF(#REF!,"AAAAADfr66A=",0)</f>
        <v>#REF!</v>
      </c>
      <c r="FF230" t="e">
        <f>IF(#REF!,"AAAAADfr66E=",0)</f>
        <v>#REF!</v>
      </c>
      <c r="FG230" t="e">
        <f>IF(#REF!,"AAAAADfr66I=",0)</f>
        <v>#REF!</v>
      </c>
      <c r="FH230" t="e">
        <f>IF(#REF!,"AAAAADfr66M=",0)</f>
        <v>#REF!</v>
      </c>
      <c r="FI230" t="e">
        <f>IF(#REF!,"AAAAADfr66Q=",0)</f>
        <v>#REF!</v>
      </c>
      <c r="FJ230" t="e">
        <f>IF(#REF!,"AAAAADfr66U=",0)</f>
        <v>#REF!</v>
      </c>
      <c r="FK230" t="e">
        <f>IF(#REF!,"AAAAADfr66Y=",0)</f>
        <v>#REF!</v>
      </c>
      <c r="FL230" t="e">
        <f>IF(#REF!,"AAAAADfr66c=",0)</f>
        <v>#REF!</v>
      </c>
      <c r="FM230" t="e">
        <f>IF(#REF!,"AAAAADfr66g=",0)</f>
        <v>#REF!</v>
      </c>
      <c r="FN230" t="e">
        <f>IF(#REF!,"AAAAADfr66k=",0)</f>
        <v>#REF!</v>
      </c>
      <c r="FO230" t="e">
        <f>IF(#REF!,"AAAAADfr66o=",0)</f>
        <v>#REF!</v>
      </c>
      <c r="FP230" t="e">
        <f>IF(#REF!,"AAAAADfr66s=",0)</f>
        <v>#REF!</v>
      </c>
      <c r="FQ230" t="e">
        <f>IF(#REF!,"AAAAADfr66w=",0)</f>
        <v>#REF!</v>
      </c>
      <c r="FR230" t="e">
        <f>IF(#REF!,"AAAAADfr660=",0)</f>
        <v>#REF!</v>
      </c>
      <c r="FS230" t="e">
        <f>IF(#REF!,"AAAAADfr664=",0)</f>
        <v>#REF!</v>
      </c>
      <c r="FT230" t="e">
        <f>IF(#REF!,"AAAAADfr668=",0)</f>
        <v>#REF!</v>
      </c>
      <c r="FU230" t="e">
        <f>IF(#REF!,"AAAAADfr67A=",0)</f>
        <v>#REF!</v>
      </c>
      <c r="FV230" t="e">
        <f>IF(#REF!,"AAAAADfr67E=",0)</f>
        <v>#REF!</v>
      </c>
      <c r="FW230" t="e">
        <f>IF(#REF!,"AAAAADfr67I=",0)</f>
        <v>#REF!</v>
      </c>
      <c r="FX230" t="e">
        <f>IF(#REF!,"AAAAADfr67M=",0)</f>
        <v>#REF!</v>
      </c>
      <c r="FY230" t="e">
        <f>IF(#REF!,"AAAAADfr67Q=",0)</f>
        <v>#REF!</v>
      </c>
      <c r="FZ230" t="e">
        <f>IF(#REF!,"AAAAADfr67U=",0)</f>
        <v>#REF!</v>
      </c>
      <c r="GA230" t="e">
        <f>IF(#REF!,"AAAAADfr67Y=",0)</f>
        <v>#REF!</v>
      </c>
      <c r="GB230" t="e">
        <f>IF(#REF!,"AAAAADfr67c=",0)</f>
        <v>#REF!</v>
      </c>
      <c r="GC230" t="e">
        <f>IF(#REF!,"AAAAADfr67g=",0)</f>
        <v>#REF!</v>
      </c>
      <c r="GD230" t="e">
        <f>IF(#REF!,"AAAAADfr67k=",0)</f>
        <v>#REF!</v>
      </c>
      <c r="GE230" t="e">
        <f>IF(#REF!,"AAAAADfr67o=",0)</f>
        <v>#REF!</v>
      </c>
      <c r="GF230" t="e">
        <f>IF(#REF!,"AAAAADfr67s=",0)</f>
        <v>#REF!</v>
      </c>
      <c r="GG230" t="e">
        <f>IF(#REF!,"AAAAADfr67w=",0)</f>
        <v>#REF!</v>
      </c>
      <c r="GH230" t="e">
        <f>IF(#REF!,"AAAAADfr670=",0)</f>
        <v>#REF!</v>
      </c>
      <c r="GI230" t="e">
        <f>IF(#REF!,"AAAAADfr674=",0)</f>
        <v>#REF!</v>
      </c>
      <c r="GJ230" t="e">
        <f>IF(#REF!,"AAAAADfr678=",0)</f>
        <v>#REF!</v>
      </c>
      <c r="GK230" t="e">
        <f>IF(#REF!,"AAAAADfr68A=",0)</f>
        <v>#REF!</v>
      </c>
      <c r="GL230" t="e">
        <f>IF(#REF!,"AAAAADfr68E=",0)</f>
        <v>#REF!</v>
      </c>
      <c r="GM230" t="e">
        <f>IF(#REF!,"AAAAADfr68I=",0)</f>
        <v>#REF!</v>
      </c>
      <c r="GN230" t="e">
        <f>IF(#REF!,"AAAAADfr68M=",0)</f>
        <v>#REF!</v>
      </c>
      <c r="GO230" t="e">
        <f>IF(#REF!,"AAAAADfr68Q=",0)</f>
        <v>#REF!</v>
      </c>
      <c r="GP230" t="e">
        <f>IF(#REF!,"AAAAADfr68U=",0)</f>
        <v>#REF!</v>
      </c>
      <c r="GQ230" t="e">
        <f>IF(#REF!,"AAAAADfr68Y=",0)</f>
        <v>#REF!</v>
      </c>
      <c r="GR230" t="e">
        <f>IF(#REF!,"AAAAADfr68c=",0)</f>
        <v>#REF!</v>
      </c>
      <c r="GS230" t="e">
        <f>IF(#REF!,"AAAAADfr68g=",0)</f>
        <v>#REF!</v>
      </c>
      <c r="GT230" t="e">
        <f>IF(#REF!,"AAAAADfr68k=",0)</f>
        <v>#REF!</v>
      </c>
      <c r="GU230" t="e">
        <f>IF(#REF!,"AAAAADfr68o=",0)</f>
        <v>#REF!</v>
      </c>
      <c r="GV230" t="e">
        <f>IF(#REF!,"AAAAADfr68s=",0)</f>
        <v>#REF!</v>
      </c>
      <c r="GW230" t="e">
        <f>IF(#REF!,"AAAAADfr68w=",0)</f>
        <v>#REF!</v>
      </c>
      <c r="GX230" t="e">
        <f>IF(#REF!,"AAAAADfr680=",0)</f>
        <v>#REF!</v>
      </c>
      <c r="GY230" t="e">
        <f>IF(#REF!,"AAAAADfr684=",0)</f>
        <v>#REF!</v>
      </c>
      <c r="GZ230" t="e">
        <f>IF(#REF!,"AAAAADfr688=",0)</f>
        <v>#REF!</v>
      </c>
      <c r="HA230" t="e">
        <f>IF(#REF!,"AAAAADfr69A=",0)</f>
        <v>#REF!</v>
      </c>
      <c r="HB230" t="e">
        <f>IF(#REF!,"AAAAADfr69E=",0)</f>
        <v>#REF!</v>
      </c>
      <c r="HC230" t="e">
        <f>IF(#REF!,"AAAAADfr69I=",0)</f>
        <v>#REF!</v>
      </c>
      <c r="HD230" t="e">
        <f>IF(#REF!,"AAAAADfr69M=",0)</f>
        <v>#REF!</v>
      </c>
      <c r="HE230" t="e">
        <f>IF(#REF!,"AAAAADfr69Q=",0)</f>
        <v>#REF!</v>
      </c>
      <c r="HF230" t="e">
        <f>IF(#REF!,"AAAAADfr69U=",0)</f>
        <v>#REF!</v>
      </c>
      <c r="HG230" t="e">
        <f>IF(#REF!,"AAAAADfr69Y=",0)</f>
        <v>#REF!</v>
      </c>
      <c r="HH230" t="e">
        <f>IF(#REF!,"AAAAADfr69c=",0)</f>
        <v>#REF!</v>
      </c>
      <c r="HI230" t="e">
        <f>IF(#REF!,"AAAAADfr69g=",0)</f>
        <v>#REF!</v>
      </c>
      <c r="HJ230" t="e">
        <f>IF(#REF!,"AAAAADfr69k=",0)</f>
        <v>#REF!</v>
      </c>
      <c r="HK230" t="e">
        <f>IF(#REF!,"AAAAADfr69o=",0)</f>
        <v>#REF!</v>
      </c>
      <c r="HL230" t="e">
        <f>IF(#REF!,"AAAAADfr69s=",0)</f>
        <v>#REF!</v>
      </c>
      <c r="HM230" t="e">
        <f>IF(#REF!,"AAAAADfr69w=",0)</f>
        <v>#REF!</v>
      </c>
      <c r="HN230" t="e">
        <f>IF(#REF!,"AAAAADfr690=",0)</f>
        <v>#REF!</v>
      </c>
      <c r="HO230" t="e">
        <f>IF(#REF!,"AAAAADfr694=",0)</f>
        <v>#REF!</v>
      </c>
      <c r="HP230" t="e">
        <f>IF(#REF!,"AAAAADfr698=",0)</f>
        <v>#REF!</v>
      </c>
      <c r="HQ230" t="e">
        <f>IF(#REF!,"AAAAADfr6+A=",0)</f>
        <v>#REF!</v>
      </c>
      <c r="HR230" t="e">
        <f>IF(#REF!,"AAAAADfr6+E=",0)</f>
        <v>#REF!</v>
      </c>
      <c r="HS230" t="e">
        <f>IF(#REF!,"AAAAADfr6+I=",0)</f>
        <v>#REF!</v>
      </c>
      <c r="HT230" t="e">
        <f>IF(#REF!,"AAAAADfr6+M=",0)</f>
        <v>#REF!</v>
      </c>
      <c r="HU230" t="e">
        <f>IF(#REF!,"AAAAADfr6+Q=",0)</f>
        <v>#REF!</v>
      </c>
      <c r="HV230" t="e">
        <f>IF(#REF!,"AAAAADfr6+U=",0)</f>
        <v>#REF!</v>
      </c>
      <c r="HW230" t="e">
        <f>IF(#REF!,"AAAAADfr6+Y=",0)</f>
        <v>#REF!</v>
      </c>
      <c r="HX230" t="e">
        <f>IF(#REF!,"AAAAADfr6+c=",0)</f>
        <v>#REF!</v>
      </c>
      <c r="HY230" t="e">
        <f>IF(#REF!,"AAAAADfr6+g=",0)</f>
        <v>#REF!</v>
      </c>
      <c r="HZ230" t="e">
        <f>IF(#REF!,"AAAAADfr6+k=",0)</f>
        <v>#REF!</v>
      </c>
      <c r="IA230" t="e">
        <f>IF(#REF!,"AAAAADfr6+o=",0)</f>
        <v>#REF!</v>
      </c>
      <c r="IB230" t="e">
        <f>IF(#REF!,"AAAAADfr6+s=",0)</f>
        <v>#REF!</v>
      </c>
      <c r="IC230" t="e">
        <f>IF(#REF!,"AAAAADfr6+w=",0)</f>
        <v>#REF!</v>
      </c>
      <c r="ID230" t="e">
        <f>IF(#REF!,"AAAAADfr6+0=",0)</f>
        <v>#REF!</v>
      </c>
      <c r="IE230" t="e">
        <f>IF(#REF!,"AAAAADfr6+4=",0)</f>
        <v>#REF!</v>
      </c>
      <c r="IF230" t="e">
        <f>IF(#REF!,"AAAAADfr6+8=",0)</f>
        <v>#REF!</v>
      </c>
      <c r="IG230" t="e">
        <f>IF(#REF!,"AAAAADfr6/A=",0)</f>
        <v>#REF!</v>
      </c>
      <c r="IH230" t="e">
        <f>IF(#REF!,"AAAAADfr6/E=",0)</f>
        <v>#REF!</v>
      </c>
      <c r="II230" t="e">
        <f>IF(#REF!,"AAAAADfr6/I=",0)</f>
        <v>#REF!</v>
      </c>
      <c r="IJ230" t="e">
        <f>IF(#REF!,"AAAAADfr6/M=",0)</f>
        <v>#REF!</v>
      </c>
      <c r="IK230" t="e">
        <f>IF(#REF!,"AAAAADfr6/Q=",0)</f>
        <v>#REF!</v>
      </c>
      <c r="IL230" t="e">
        <f>IF(#REF!,"AAAAADfr6/U=",0)</f>
        <v>#REF!</v>
      </c>
      <c r="IM230" t="e">
        <f>IF(#REF!,"AAAAADfr6/Y=",0)</f>
        <v>#REF!</v>
      </c>
      <c r="IN230" t="e">
        <f>IF(#REF!,"AAAAADfr6/c=",0)</f>
        <v>#REF!</v>
      </c>
      <c r="IO230" t="e">
        <f>IF(#REF!,"AAAAADfr6/g=",0)</f>
        <v>#REF!</v>
      </c>
      <c r="IP230" t="e">
        <f>IF(#REF!,"AAAAADfr6/k=",0)</f>
        <v>#REF!</v>
      </c>
      <c r="IQ230" t="e">
        <f>IF(#REF!,"AAAAADfr6/o=",0)</f>
        <v>#REF!</v>
      </c>
      <c r="IR230" t="e">
        <f>IF(#REF!,"AAAAADfr6/s=",0)</f>
        <v>#REF!</v>
      </c>
      <c r="IS230" t="e">
        <f>IF(#REF!,"AAAAADfr6/w=",0)</f>
        <v>#REF!</v>
      </c>
      <c r="IT230" t="e">
        <f>IF(#REF!,"AAAAADfr6/0=",0)</f>
        <v>#REF!</v>
      </c>
      <c r="IU230" t="e">
        <f>IF(#REF!,"AAAAADfr6/4=",0)</f>
        <v>#REF!</v>
      </c>
      <c r="IV230" t="e">
        <f>IF(#REF!,"AAAAADfr6/8=",0)</f>
        <v>#REF!</v>
      </c>
    </row>
    <row r="231" spans="1:256">
      <c r="A231" t="e">
        <f>IF(#REF!,"AAAAAE+/3gA=",0)</f>
        <v>#REF!</v>
      </c>
      <c r="B231" t="e">
        <f>IF(#REF!,"AAAAAE+/3gE=",0)</f>
        <v>#REF!</v>
      </c>
      <c r="C231" t="e">
        <f>IF(#REF!,"AAAAAE+/3gI=",0)</f>
        <v>#REF!</v>
      </c>
      <c r="D231" t="e">
        <f>IF(#REF!,"AAAAAE+/3gM=",0)</f>
        <v>#REF!</v>
      </c>
      <c r="E231" t="e">
        <f>IF(#REF!,"AAAAAE+/3gQ=",0)</f>
        <v>#REF!</v>
      </c>
      <c r="F231" t="e">
        <f>IF(#REF!,"AAAAAE+/3gU=",0)</f>
        <v>#REF!</v>
      </c>
      <c r="G231" t="e">
        <f>IF(#REF!,"AAAAAE+/3gY=",0)</f>
        <v>#REF!</v>
      </c>
      <c r="H231" t="e">
        <f>IF(#REF!,"AAAAAE+/3gc=",0)</f>
        <v>#REF!</v>
      </c>
      <c r="I231" t="e">
        <f>IF(#REF!,"AAAAAE+/3gg=",0)</f>
        <v>#REF!</v>
      </c>
      <c r="J231" t="e">
        <f>IF(#REF!,"AAAAAE+/3gk=",0)</f>
        <v>#REF!</v>
      </c>
      <c r="K231" t="e">
        <f>IF(#REF!,"AAAAAE+/3go=",0)</f>
        <v>#REF!</v>
      </c>
      <c r="L231" t="e">
        <f>IF(#REF!,"AAAAAE+/3gs=",0)</f>
        <v>#REF!</v>
      </c>
      <c r="M231" t="e">
        <f>IF(#REF!,"AAAAAE+/3gw=",0)</f>
        <v>#REF!</v>
      </c>
      <c r="N231" t="e">
        <f>IF(#REF!,"AAAAAE+/3g0=",0)</f>
        <v>#REF!</v>
      </c>
      <c r="O231" t="e">
        <f>IF(#REF!,"AAAAAE+/3g4=",0)</f>
        <v>#REF!</v>
      </c>
      <c r="P231" t="e">
        <f>IF(#REF!,"AAAAAE+/3g8=",0)</f>
        <v>#REF!</v>
      </c>
      <c r="Q231" t="e">
        <f>IF(#REF!,"AAAAAE+/3hA=",0)</f>
        <v>#REF!</v>
      </c>
      <c r="R231" t="e">
        <f>IF(#REF!,"AAAAAE+/3hE=",0)</f>
        <v>#REF!</v>
      </c>
      <c r="S231" t="e">
        <f>IF(#REF!,"AAAAAE+/3hI=",0)</f>
        <v>#REF!</v>
      </c>
      <c r="T231" t="e">
        <f>IF(#REF!,"AAAAAE+/3hM=",0)</f>
        <v>#REF!</v>
      </c>
      <c r="U231" t="e">
        <f>IF(#REF!,"AAAAAE+/3hQ=",0)</f>
        <v>#REF!</v>
      </c>
      <c r="V231" t="e">
        <f>IF(#REF!,"AAAAAE+/3hU=",0)</f>
        <v>#REF!</v>
      </c>
      <c r="W231" t="e">
        <f>IF(#REF!,"AAAAAE+/3hY=",0)</f>
        <v>#REF!</v>
      </c>
      <c r="X231" t="e">
        <f>IF(#REF!,"AAAAAE+/3hc=",0)</f>
        <v>#REF!</v>
      </c>
      <c r="Y231" t="e">
        <f>IF(#REF!,"AAAAAE+/3hg=",0)</f>
        <v>#REF!</v>
      </c>
      <c r="Z231" t="e">
        <f>IF(#REF!,"AAAAAE+/3hk=",0)</f>
        <v>#REF!</v>
      </c>
      <c r="AA231" t="e">
        <f>IF(#REF!,"AAAAAE+/3ho=",0)</f>
        <v>#REF!</v>
      </c>
      <c r="AB231" t="e">
        <f>IF(#REF!,"AAAAAE+/3hs=",0)</f>
        <v>#REF!</v>
      </c>
      <c r="AC231" t="e">
        <f>IF(#REF!,"AAAAAE+/3hw=",0)</f>
        <v>#REF!</v>
      </c>
      <c r="AD231" t="e">
        <f>IF(#REF!,"AAAAAE+/3h0=",0)</f>
        <v>#REF!</v>
      </c>
      <c r="AE231" t="e">
        <f>IF(#REF!,"AAAAAE+/3h4=",0)</f>
        <v>#REF!</v>
      </c>
      <c r="AF231" t="e">
        <f>IF(#REF!,"AAAAAE+/3h8=",0)</f>
        <v>#REF!</v>
      </c>
      <c r="AG231" t="e">
        <f>IF(#REF!,"AAAAAE+/3iA=",0)</f>
        <v>#REF!</v>
      </c>
      <c r="AH231" t="e">
        <f>IF(#REF!,"AAAAAE+/3iE=",0)</f>
        <v>#REF!</v>
      </c>
      <c r="AI231" t="e">
        <f>IF(#REF!,"AAAAAE+/3iI=",0)</f>
        <v>#REF!</v>
      </c>
      <c r="AJ231" t="e">
        <f>IF(#REF!,"AAAAAE+/3iM=",0)</f>
        <v>#REF!</v>
      </c>
      <c r="AK231" t="e">
        <f>IF(#REF!,"AAAAAE+/3iQ=",0)</f>
        <v>#REF!</v>
      </c>
      <c r="AL231" t="e">
        <f>IF(#REF!,"AAAAAE+/3iU=",0)</f>
        <v>#REF!</v>
      </c>
      <c r="AM231" t="e">
        <f>IF(#REF!,"AAAAAE+/3iY=",0)</f>
        <v>#REF!</v>
      </c>
      <c r="AN231" t="e">
        <f>IF(#REF!,"AAAAAE+/3ic=",0)</f>
        <v>#REF!</v>
      </c>
      <c r="AO231" t="e">
        <f>IF(#REF!,"AAAAAE+/3ig=",0)</f>
        <v>#REF!</v>
      </c>
      <c r="AP231" t="e">
        <f>IF(#REF!,"AAAAAE+/3ik=",0)</f>
        <v>#REF!</v>
      </c>
      <c r="AQ231" t="e">
        <f>IF(#REF!,"AAAAAE+/3io=",0)</f>
        <v>#REF!</v>
      </c>
      <c r="AR231" t="e">
        <f>IF(#REF!,"AAAAAE+/3is=",0)</f>
        <v>#REF!</v>
      </c>
      <c r="AS231" t="e">
        <f>IF(#REF!,"AAAAAE+/3iw=",0)</f>
        <v>#REF!</v>
      </c>
      <c r="AT231" t="e">
        <f>IF(#REF!,"AAAAAE+/3i0=",0)</f>
        <v>#REF!</v>
      </c>
      <c r="AU231" t="e">
        <f>IF(#REF!,"AAAAAE+/3i4=",0)</f>
        <v>#REF!</v>
      </c>
      <c r="AV231" t="e">
        <f>IF(#REF!,"AAAAAE+/3i8=",0)</f>
        <v>#REF!</v>
      </c>
      <c r="AW231" t="e">
        <f>IF(#REF!,"AAAAAE+/3jA=",0)</f>
        <v>#REF!</v>
      </c>
      <c r="AX231" t="e">
        <f>IF(#REF!,"AAAAAE+/3jE=",0)</f>
        <v>#REF!</v>
      </c>
      <c r="AY231" t="e">
        <f>IF(#REF!,"AAAAAE+/3jI=",0)</f>
        <v>#REF!</v>
      </c>
      <c r="AZ231" t="e">
        <f>IF(#REF!,"AAAAAE+/3jM=",0)</f>
        <v>#REF!</v>
      </c>
      <c r="BA231" t="e">
        <f>IF(#REF!,"AAAAAE+/3jQ=",0)</f>
        <v>#REF!</v>
      </c>
      <c r="BB231" t="e">
        <f>IF(#REF!,"AAAAAE+/3jU=",0)</f>
        <v>#REF!</v>
      </c>
      <c r="BC231" t="e">
        <f>IF(#REF!,"AAAAAE+/3jY=",0)</f>
        <v>#REF!</v>
      </c>
      <c r="BD231" t="e">
        <f>IF(#REF!,"AAAAAE+/3jc=",0)</f>
        <v>#REF!</v>
      </c>
      <c r="BE231" t="e">
        <f>IF(#REF!,"AAAAAE+/3jg=",0)</f>
        <v>#REF!</v>
      </c>
      <c r="BF231" t="e">
        <f>IF(#REF!,"AAAAAE+/3jk=",0)</f>
        <v>#REF!</v>
      </c>
      <c r="BG231" t="e">
        <f>IF(#REF!,"AAAAAE+/3jo=",0)</f>
        <v>#REF!</v>
      </c>
      <c r="BH231" t="e">
        <f>IF(#REF!,"AAAAAE+/3js=",0)</f>
        <v>#REF!</v>
      </c>
      <c r="BI231" t="e">
        <f>IF(#REF!,"AAAAAE+/3jw=",0)</f>
        <v>#REF!</v>
      </c>
      <c r="BJ231" t="e">
        <f>IF(#REF!,"AAAAAE+/3j0=",0)</f>
        <v>#REF!</v>
      </c>
      <c r="BK231" t="e">
        <f>IF(#REF!,"AAAAAE+/3j4=",0)</f>
        <v>#REF!</v>
      </c>
      <c r="BL231" t="e">
        <f>IF(#REF!,"AAAAAE+/3j8=",0)</f>
        <v>#REF!</v>
      </c>
      <c r="BM231" t="e">
        <f>IF(#REF!,"AAAAAE+/3kA=",0)</f>
        <v>#REF!</v>
      </c>
      <c r="BN231" t="e">
        <f>IF(#REF!,"AAAAAE+/3kE=",0)</f>
        <v>#REF!</v>
      </c>
      <c r="BO231" t="e">
        <f>IF(#REF!,"AAAAAE+/3kI=",0)</f>
        <v>#REF!</v>
      </c>
      <c r="BP231" t="e">
        <f>IF(#REF!,"AAAAAE+/3kM=",0)</f>
        <v>#REF!</v>
      </c>
      <c r="BQ231" t="e">
        <f>IF(#REF!,"AAAAAE+/3kQ=",0)</f>
        <v>#REF!</v>
      </c>
      <c r="BR231" t="e">
        <f>IF(#REF!,"AAAAAE+/3kU=",0)</f>
        <v>#REF!</v>
      </c>
      <c r="BS231" t="e">
        <f>IF(#REF!,"AAAAAE+/3kY=",0)</f>
        <v>#REF!</v>
      </c>
      <c r="BT231" t="e">
        <f>IF(#REF!,"AAAAAE+/3kc=",0)</f>
        <v>#REF!</v>
      </c>
      <c r="BU231" t="e">
        <f>IF(#REF!,"AAAAAE+/3kg=",0)</f>
        <v>#REF!</v>
      </c>
      <c r="BV231" t="e">
        <f>IF(#REF!,"AAAAAE+/3kk=",0)</f>
        <v>#REF!</v>
      </c>
      <c r="BW231" t="e">
        <f>IF(#REF!,"AAAAAE+/3ko=",0)</f>
        <v>#REF!</v>
      </c>
      <c r="BX231" t="e">
        <f>IF(#REF!,"AAAAAE+/3ks=",0)</f>
        <v>#REF!</v>
      </c>
      <c r="BY231" t="e">
        <f>IF(#REF!,"AAAAAE+/3kw=",0)</f>
        <v>#REF!</v>
      </c>
      <c r="BZ231" t="e">
        <f>IF(#REF!,"AAAAAE+/3k0=",0)</f>
        <v>#REF!</v>
      </c>
      <c r="CA231" t="e">
        <f>IF(#REF!,"AAAAAE+/3k4=",0)</f>
        <v>#REF!</v>
      </c>
      <c r="CB231" t="e">
        <f>IF(#REF!,"AAAAAE+/3k8=",0)</f>
        <v>#REF!</v>
      </c>
      <c r="CC231" t="e">
        <f>IF(#REF!,"AAAAAE+/3lA=",0)</f>
        <v>#REF!</v>
      </c>
      <c r="CD231" t="e">
        <f>IF(#REF!,"AAAAAE+/3lE=",0)</f>
        <v>#REF!</v>
      </c>
      <c r="CE231" t="e">
        <f>IF(#REF!,"AAAAAE+/3lI=",0)</f>
        <v>#REF!</v>
      </c>
      <c r="CF231" t="e">
        <f>IF(#REF!,"AAAAAE+/3lM=",0)</f>
        <v>#REF!</v>
      </c>
      <c r="CG231" t="e">
        <f>IF(#REF!,"AAAAAE+/3lQ=",0)</f>
        <v>#REF!</v>
      </c>
      <c r="CH231" t="e">
        <f>IF(#REF!,"AAAAAE+/3lU=",0)</f>
        <v>#REF!</v>
      </c>
      <c r="CI231" t="e">
        <f>IF(#REF!,"AAAAAE+/3lY=",0)</f>
        <v>#REF!</v>
      </c>
      <c r="CJ231" t="e">
        <f>IF(#REF!,"AAAAAE+/3lc=",0)</f>
        <v>#REF!</v>
      </c>
      <c r="CK231" t="e">
        <f>IF(#REF!,"AAAAAE+/3lg=",0)</f>
        <v>#REF!</v>
      </c>
      <c r="CL231" t="e">
        <f>IF(#REF!,"AAAAAE+/3lk=",0)</f>
        <v>#REF!</v>
      </c>
      <c r="CM231" t="e">
        <f>IF(#REF!,"AAAAAE+/3lo=",0)</f>
        <v>#REF!</v>
      </c>
      <c r="CN231" t="e">
        <f>IF(#REF!,"AAAAAE+/3ls=",0)</f>
        <v>#REF!</v>
      </c>
      <c r="CO231" t="e">
        <f>IF(#REF!,"AAAAAE+/3lw=",0)</f>
        <v>#REF!</v>
      </c>
      <c r="CP231" t="e">
        <f>IF(#REF!,"AAAAAE+/3l0=",0)</f>
        <v>#REF!</v>
      </c>
      <c r="CQ231" t="e">
        <f>IF(#REF!,"AAAAAE+/3l4=",0)</f>
        <v>#REF!</v>
      </c>
      <c r="CR231" t="e">
        <f>IF(#REF!,"AAAAAE+/3l8=",0)</f>
        <v>#REF!</v>
      </c>
      <c r="CS231" t="e">
        <f>IF(#REF!,"AAAAAE+/3mA=",0)</f>
        <v>#REF!</v>
      </c>
      <c r="CT231" t="e">
        <f>IF(#REF!,"AAAAAE+/3mE=",0)</f>
        <v>#REF!</v>
      </c>
      <c r="CU231" t="e">
        <f>IF(#REF!,"AAAAAE+/3mI=",0)</f>
        <v>#REF!</v>
      </c>
      <c r="CV231" t="e">
        <f>IF(#REF!,"AAAAAE+/3mM=",0)</f>
        <v>#REF!</v>
      </c>
      <c r="CW231" t="e">
        <f>IF(#REF!,"AAAAAE+/3mQ=",0)</f>
        <v>#REF!</v>
      </c>
      <c r="CX231" t="e">
        <f>IF(#REF!,"AAAAAE+/3mU=",0)</f>
        <v>#REF!</v>
      </c>
      <c r="CY231" t="e">
        <f>IF(#REF!,"AAAAAE+/3mY=",0)</f>
        <v>#REF!</v>
      </c>
      <c r="CZ231" t="e">
        <f>IF(#REF!,"AAAAAE+/3mc=",0)</f>
        <v>#REF!</v>
      </c>
      <c r="DA231" t="e">
        <f>IF(#REF!,"AAAAAE+/3mg=",0)</f>
        <v>#REF!</v>
      </c>
      <c r="DB231" t="e">
        <f>IF(#REF!,"AAAAAE+/3mk=",0)</f>
        <v>#REF!</v>
      </c>
      <c r="DC231" t="e">
        <f>IF(#REF!,"AAAAAE+/3mo=",0)</f>
        <v>#REF!</v>
      </c>
      <c r="DD231" t="e">
        <f>IF(#REF!,"AAAAAE+/3ms=",0)</f>
        <v>#REF!</v>
      </c>
      <c r="DE231" t="e">
        <f>IF(#REF!,"AAAAAE+/3mw=",0)</f>
        <v>#REF!</v>
      </c>
      <c r="DF231" t="e">
        <f>IF(#REF!,"AAAAAE+/3m0=",0)</f>
        <v>#REF!</v>
      </c>
      <c r="DG231" t="e">
        <f>IF(#REF!,"AAAAAE+/3m4=",0)</f>
        <v>#REF!</v>
      </c>
      <c r="DH231" t="e">
        <f>IF(#REF!,"AAAAAE+/3m8=",0)</f>
        <v>#REF!</v>
      </c>
      <c r="DI231" t="e">
        <f>IF(#REF!,"AAAAAE+/3nA=",0)</f>
        <v>#REF!</v>
      </c>
      <c r="DJ231" t="e">
        <f>IF(#REF!,"AAAAAE+/3nE=",0)</f>
        <v>#REF!</v>
      </c>
      <c r="DK231" t="e">
        <f>IF(#REF!,"AAAAAE+/3nI=",0)</f>
        <v>#REF!</v>
      </c>
      <c r="DL231" t="e">
        <f>IF(#REF!,"AAAAAE+/3nM=",0)</f>
        <v>#REF!</v>
      </c>
      <c r="DM231" t="e">
        <f>IF(#REF!,"AAAAAE+/3nQ=",0)</f>
        <v>#REF!</v>
      </c>
      <c r="DN231" t="e">
        <f>IF(#REF!,"AAAAAE+/3nU=",0)</f>
        <v>#REF!</v>
      </c>
      <c r="DO231" t="e">
        <f>IF(#REF!,"AAAAAE+/3nY=",0)</f>
        <v>#REF!</v>
      </c>
      <c r="DP231" t="e">
        <f>IF(#REF!,"AAAAAE+/3nc=",0)</f>
        <v>#REF!</v>
      </c>
      <c r="DQ231" t="e">
        <f>IF(#REF!,"AAAAAE+/3ng=",0)</f>
        <v>#REF!</v>
      </c>
      <c r="DR231" t="e">
        <f>IF(#REF!,"AAAAAE+/3nk=",0)</f>
        <v>#REF!</v>
      </c>
      <c r="DS231" t="e">
        <f>IF(#REF!,"AAAAAE+/3no=",0)</f>
        <v>#REF!</v>
      </c>
      <c r="DT231" t="e">
        <f>IF(#REF!,"AAAAAE+/3ns=",0)</f>
        <v>#REF!</v>
      </c>
      <c r="DU231" t="e">
        <f>IF(#REF!,"AAAAAE+/3nw=",0)</f>
        <v>#REF!</v>
      </c>
      <c r="DV231" t="e">
        <f>IF(#REF!,"AAAAAE+/3n0=",0)</f>
        <v>#REF!</v>
      </c>
      <c r="DW231" t="e">
        <f>IF(#REF!,"AAAAAE+/3n4=",0)</f>
        <v>#REF!</v>
      </c>
      <c r="DX231" t="e">
        <f>IF(#REF!,"AAAAAE+/3n8=",0)</f>
        <v>#REF!</v>
      </c>
      <c r="DY231" t="e">
        <f>IF(#REF!,"AAAAAE+/3oA=",0)</f>
        <v>#REF!</v>
      </c>
      <c r="DZ231" t="e">
        <f>IF(#REF!,"AAAAAE+/3oE=",0)</f>
        <v>#REF!</v>
      </c>
      <c r="EA231" t="e">
        <f>IF(#REF!,"AAAAAE+/3oI=",0)</f>
        <v>#REF!</v>
      </c>
      <c r="EB231" t="e">
        <f>IF(#REF!,"AAAAAE+/3oM=",0)</f>
        <v>#REF!</v>
      </c>
      <c r="EC231" t="e">
        <f>IF(#REF!,"AAAAAE+/3oQ=",0)</f>
        <v>#REF!</v>
      </c>
      <c r="ED231" t="e">
        <f>IF(#REF!,"AAAAAE+/3oU=",0)</f>
        <v>#REF!</v>
      </c>
      <c r="EE231" t="e">
        <f>IF(#REF!,"AAAAAE+/3oY=",0)</f>
        <v>#REF!</v>
      </c>
      <c r="EF231" t="e">
        <f>IF(#REF!,"AAAAAE+/3oc=",0)</f>
        <v>#REF!</v>
      </c>
      <c r="EG231" t="e">
        <f>IF(#REF!,"AAAAAE+/3og=",0)</f>
        <v>#REF!</v>
      </c>
      <c r="EH231" t="e">
        <f>IF(#REF!,"AAAAAE+/3ok=",0)</f>
        <v>#REF!</v>
      </c>
      <c r="EI231" t="e">
        <f>IF(#REF!,"AAAAAE+/3oo=",0)</f>
        <v>#REF!</v>
      </c>
      <c r="EJ231" t="e">
        <f>IF(#REF!,"AAAAAE+/3os=",0)</f>
        <v>#REF!</v>
      </c>
      <c r="EK231" t="e">
        <f>IF(#REF!,"AAAAAE+/3ow=",0)</f>
        <v>#REF!</v>
      </c>
      <c r="EL231" t="e">
        <f>IF(#REF!,"AAAAAE+/3o0=",0)</f>
        <v>#REF!</v>
      </c>
      <c r="EM231" t="e">
        <f>IF(#REF!,"AAAAAE+/3o4=",0)</f>
        <v>#REF!</v>
      </c>
      <c r="EN231" t="e">
        <f>IF(#REF!,"AAAAAE+/3o8=",0)</f>
        <v>#REF!</v>
      </c>
      <c r="EO231" t="e">
        <f>IF(#REF!,"AAAAAE+/3pA=",0)</f>
        <v>#REF!</v>
      </c>
      <c r="EP231" t="e">
        <f>IF(#REF!,"AAAAAE+/3pE=",0)</f>
        <v>#REF!</v>
      </c>
      <c r="EQ231" t="e">
        <f>IF(#REF!,"AAAAAE+/3pI=",0)</f>
        <v>#REF!</v>
      </c>
      <c r="ER231" t="e">
        <f>IF(#REF!,"AAAAAE+/3pM=",0)</f>
        <v>#REF!</v>
      </c>
      <c r="ES231" t="e">
        <f>IF(#REF!,"AAAAAE+/3pQ=",0)</f>
        <v>#REF!</v>
      </c>
      <c r="ET231" t="e">
        <f>IF(#REF!,"AAAAAE+/3pU=",0)</f>
        <v>#REF!</v>
      </c>
      <c r="EU231" t="e">
        <f>IF(#REF!,"AAAAAE+/3pY=",0)</f>
        <v>#REF!</v>
      </c>
      <c r="EV231" t="e">
        <f>IF(#REF!,"AAAAAE+/3pc=",0)</f>
        <v>#REF!</v>
      </c>
      <c r="EW231" t="e">
        <f>IF(#REF!,"AAAAAE+/3pg=",0)</f>
        <v>#REF!</v>
      </c>
      <c r="EX231" t="e">
        <f>IF(#REF!,"AAAAAE+/3pk=",0)</f>
        <v>#REF!</v>
      </c>
      <c r="EY231" t="e">
        <f>IF(#REF!,"AAAAAE+/3po=",0)</f>
        <v>#REF!</v>
      </c>
      <c r="EZ231" t="e">
        <f>IF(#REF!,"AAAAAE+/3ps=",0)</f>
        <v>#REF!</v>
      </c>
      <c r="FA231" t="e">
        <f>IF(#REF!,"AAAAAE+/3pw=",0)</f>
        <v>#REF!</v>
      </c>
      <c r="FB231" t="e">
        <f>IF(#REF!,"AAAAAE+/3p0=",0)</f>
        <v>#REF!</v>
      </c>
      <c r="FC231" t="e">
        <f>IF(#REF!,"AAAAAE+/3p4=",0)</f>
        <v>#REF!</v>
      </c>
      <c r="FD231" t="e">
        <f>IF(#REF!,"AAAAAE+/3p8=",0)</f>
        <v>#REF!</v>
      </c>
      <c r="FE231" t="e">
        <f>IF(#REF!,"AAAAAE+/3qA=",0)</f>
        <v>#REF!</v>
      </c>
      <c r="FF231" t="e">
        <f>IF(#REF!,"AAAAAE+/3qE=",0)</f>
        <v>#REF!</v>
      </c>
      <c r="FG231" t="e">
        <f>IF(#REF!,"AAAAAE+/3qI=",0)</f>
        <v>#REF!</v>
      </c>
      <c r="FH231" t="e">
        <f>IF(#REF!,"AAAAAE+/3qM=",0)</f>
        <v>#REF!</v>
      </c>
      <c r="FI231" t="e">
        <f>IF(#REF!,"AAAAAE+/3qQ=",0)</f>
        <v>#REF!</v>
      </c>
      <c r="FJ231" t="e">
        <f>IF(#REF!,"AAAAAE+/3qU=",0)</f>
        <v>#REF!</v>
      </c>
      <c r="FK231" t="e">
        <f>IF(#REF!,"AAAAAE+/3qY=",0)</f>
        <v>#REF!</v>
      </c>
      <c r="FL231" t="e">
        <f>IF(#REF!,"AAAAAE+/3qc=",0)</f>
        <v>#REF!</v>
      </c>
      <c r="FM231" t="e">
        <f>IF(#REF!,"AAAAAE+/3qg=",0)</f>
        <v>#REF!</v>
      </c>
      <c r="FN231" t="e">
        <f>IF(#REF!,"AAAAAE+/3qk=",0)</f>
        <v>#REF!</v>
      </c>
      <c r="FO231" t="e">
        <f>IF(#REF!,"AAAAAE+/3qo=",0)</f>
        <v>#REF!</v>
      </c>
      <c r="FP231" t="e">
        <f>IF(#REF!,"AAAAAE+/3qs=",0)</f>
        <v>#REF!</v>
      </c>
      <c r="FQ231" t="e">
        <f>IF(#REF!,"AAAAAE+/3qw=",0)</f>
        <v>#REF!</v>
      </c>
      <c r="FR231" t="e">
        <f>IF(#REF!,"AAAAAE+/3q0=",0)</f>
        <v>#REF!</v>
      </c>
      <c r="FS231" t="e">
        <f>IF(#REF!,"AAAAAE+/3q4=",0)</f>
        <v>#REF!</v>
      </c>
      <c r="FT231" t="e">
        <f>IF(#REF!,"AAAAAE+/3q8=",0)</f>
        <v>#REF!</v>
      </c>
      <c r="FU231" t="e">
        <f>IF(#REF!,"AAAAAE+/3rA=",0)</f>
        <v>#REF!</v>
      </c>
      <c r="FV231" t="e">
        <f>IF(#REF!,"AAAAAE+/3rE=",0)</f>
        <v>#REF!</v>
      </c>
      <c r="FW231" t="e">
        <f>IF(#REF!,"AAAAAE+/3rI=",0)</f>
        <v>#REF!</v>
      </c>
      <c r="FX231" t="e">
        <f>IF(#REF!,"AAAAAE+/3rM=",0)</f>
        <v>#REF!</v>
      </c>
      <c r="FY231" t="e">
        <f>IF(#REF!,"AAAAAE+/3rQ=",0)</f>
        <v>#REF!</v>
      </c>
      <c r="FZ231" t="e">
        <f>IF(#REF!,"AAAAAE+/3rU=",0)</f>
        <v>#REF!</v>
      </c>
      <c r="GA231" t="e">
        <f>IF(#REF!,"AAAAAE+/3rY=",0)</f>
        <v>#REF!</v>
      </c>
      <c r="GB231" t="e">
        <f>IF(#REF!,"AAAAAE+/3rc=",0)</f>
        <v>#REF!</v>
      </c>
      <c r="GC231" t="e">
        <f>IF(#REF!,"AAAAAE+/3rg=",0)</f>
        <v>#REF!</v>
      </c>
      <c r="GD231" t="e">
        <f>IF(#REF!,"AAAAAE+/3rk=",0)</f>
        <v>#REF!</v>
      </c>
      <c r="GE231" t="e">
        <f>IF(#REF!,"AAAAAE+/3ro=",0)</f>
        <v>#REF!</v>
      </c>
      <c r="GF231" t="e">
        <f>IF(#REF!,"AAAAAE+/3rs=",0)</f>
        <v>#REF!</v>
      </c>
      <c r="GG231" t="e">
        <f>IF(#REF!,"AAAAAE+/3rw=",0)</f>
        <v>#REF!</v>
      </c>
      <c r="GH231" t="e">
        <f>IF(#REF!,"AAAAAE+/3r0=",0)</f>
        <v>#REF!</v>
      </c>
      <c r="GI231" t="e">
        <f>IF(#REF!,"AAAAAE+/3r4=",0)</f>
        <v>#REF!</v>
      </c>
      <c r="GJ231" t="e">
        <f>IF(#REF!,"AAAAAE+/3r8=",0)</f>
        <v>#REF!</v>
      </c>
      <c r="GK231" t="e">
        <f>IF(#REF!,"AAAAAE+/3sA=",0)</f>
        <v>#REF!</v>
      </c>
      <c r="GL231" t="e">
        <f>IF(#REF!,"AAAAAE+/3sE=",0)</f>
        <v>#REF!</v>
      </c>
      <c r="GM231" t="e">
        <f>IF(#REF!,"AAAAAE+/3sI=",0)</f>
        <v>#REF!</v>
      </c>
      <c r="GN231" t="e">
        <f>IF(#REF!,"AAAAAE+/3sM=",0)</f>
        <v>#REF!</v>
      </c>
      <c r="GO231" t="e">
        <f>IF(#REF!,"AAAAAE+/3sQ=",0)</f>
        <v>#REF!</v>
      </c>
      <c r="GP231" t="e">
        <f>IF(#REF!,"AAAAAE+/3sU=",0)</f>
        <v>#REF!</v>
      </c>
      <c r="GQ231" t="e">
        <f>IF(#REF!,"AAAAAE+/3sY=",0)</f>
        <v>#REF!</v>
      </c>
      <c r="GR231" t="e">
        <f>IF(#REF!,"AAAAAE+/3sc=",0)</f>
        <v>#REF!</v>
      </c>
      <c r="GS231" t="e">
        <f>IF(#REF!,"AAAAAE+/3sg=",0)</f>
        <v>#REF!</v>
      </c>
      <c r="GT231" t="e">
        <f>IF(#REF!,"AAAAAE+/3sk=",0)</f>
        <v>#REF!</v>
      </c>
      <c r="GU231" t="e">
        <f>IF(#REF!,"AAAAAE+/3so=",0)</f>
        <v>#REF!</v>
      </c>
      <c r="GV231" t="e">
        <f>IF(#REF!,"AAAAAE+/3ss=",0)</f>
        <v>#REF!</v>
      </c>
      <c r="GW231" t="e">
        <f>IF(#REF!,"AAAAAE+/3sw=",0)</f>
        <v>#REF!</v>
      </c>
      <c r="GX231" t="e">
        <f>IF(#REF!,"AAAAAE+/3s0=",0)</f>
        <v>#REF!</v>
      </c>
      <c r="GY231" t="e">
        <f>IF(#REF!,"AAAAAE+/3s4=",0)</f>
        <v>#REF!</v>
      </c>
      <c r="GZ231" t="e">
        <f>IF(#REF!,"AAAAAE+/3s8=",0)</f>
        <v>#REF!</v>
      </c>
      <c r="HA231" t="e">
        <f>IF(#REF!,"AAAAAE+/3tA=",0)</f>
        <v>#REF!</v>
      </c>
      <c r="HB231" t="e">
        <f>IF(#REF!,"AAAAAE+/3tE=",0)</f>
        <v>#REF!</v>
      </c>
      <c r="HC231" t="e">
        <f>IF(#REF!,"AAAAAE+/3tI=",0)</f>
        <v>#REF!</v>
      </c>
      <c r="HD231" t="e">
        <f>IF(#REF!,"AAAAAE+/3tM=",0)</f>
        <v>#REF!</v>
      </c>
      <c r="HE231" t="e">
        <f>IF(#REF!,"AAAAAE+/3tQ=",0)</f>
        <v>#REF!</v>
      </c>
      <c r="HF231" t="e">
        <f>IF(#REF!,"AAAAAE+/3tU=",0)</f>
        <v>#REF!</v>
      </c>
      <c r="HG231" t="e">
        <f>IF(#REF!,"AAAAAE+/3tY=",0)</f>
        <v>#REF!</v>
      </c>
      <c r="HH231" t="e">
        <f>IF(#REF!,"AAAAAE+/3tc=",0)</f>
        <v>#REF!</v>
      </c>
      <c r="HI231" t="e">
        <f>IF(#REF!,"AAAAAE+/3tg=",0)</f>
        <v>#REF!</v>
      </c>
      <c r="HJ231" t="e">
        <f>IF(#REF!,"AAAAAE+/3tk=",0)</f>
        <v>#REF!</v>
      </c>
      <c r="HK231" t="e">
        <f>IF(#REF!,"AAAAAE+/3to=",0)</f>
        <v>#REF!</v>
      </c>
      <c r="HL231" t="e">
        <f>IF(#REF!,"AAAAAE+/3ts=",0)</f>
        <v>#REF!</v>
      </c>
      <c r="HM231" t="e">
        <f>IF(#REF!,"AAAAAE+/3tw=",0)</f>
        <v>#REF!</v>
      </c>
      <c r="HN231" t="e">
        <f>IF(#REF!,"AAAAAE+/3t0=",0)</f>
        <v>#REF!</v>
      </c>
      <c r="HO231" t="e">
        <f>IF(#REF!,"AAAAAE+/3t4=",0)</f>
        <v>#REF!</v>
      </c>
      <c r="HP231" t="e">
        <f>IF(#REF!,"AAAAAE+/3t8=",0)</f>
        <v>#REF!</v>
      </c>
      <c r="HQ231" t="e">
        <f>IF(#REF!,"AAAAAE+/3uA=",0)</f>
        <v>#REF!</v>
      </c>
      <c r="HR231" t="e">
        <f>IF(#REF!,"AAAAAE+/3uE=",0)</f>
        <v>#REF!</v>
      </c>
      <c r="HS231" t="e">
        <f>IF(#REF!,"AAAAAE+/3uI=",0)</f>
        <v>#REF!</v>
      </c>
      <c r="HT231" t="e">
        <f>IF(#REF!,"AAAAAE+/3uM=",0)</f>
        <v>#REF!</v>
      </c>
      <c r="HU231" t="e">
        <f>IF(#REF!,"AAAAAE+/3uQ=",0)</f>
        <v>#REF!</v>
      </c>
      <c r="HV231" t="e">
        <f>IF(#REF!,"AAAAAE+/3uU=",0)</f>
        <v>#REF!</v>
      </c>
      <c r="HW231" t="e">
        <f>IF(#REF!,"AAAAAE+/3uY=",0)</f>
        <v>#REF!</v>
      </c>
      <c r="HX231" t="e">
        <f>IF(#REF!,"AAAAAE+/3uc=",0)</f>
        <v>#REF!</v>
      </c>
      <c r="HY231" t="e">
        <f>IF(#REF!,"AAAAAE+/3ug=",0)</f>
        <v>#REF!</v>
      </c>
      <c r="HZ231" t="e">
        <f>IF(#REF!,"AAAAAE+/3uk=",0)</f>
        <v>#REF!</v>
      </c>
      <c r="IA231" t="e">
        <f>IF(#REF!,"AAAAAE+/3uo=",0)</f>
        <v>#REF!</v>
      </c>
      <c r="IB231" t="e">
        <f>IF(#REF!,"AAAAAE+/3us=",0)</f>
        <v>#REF!</v>
      </c>
      <c r="IC231" t="e">
        <f>IF(#REF!,"AAAAAE+/3uw=",0)</f>
        <v>#REF!</v>
      </c>
      <c r="ID231" t="e">
        <f>IF(#REF!,"AAAAAE+/3u0=",0)</f>
        <v>#REF!</v>
      </c>
      <c r="IE231" t="e">
        <f>IF(#REF!,"AAAAAE+/3u4=",0)</f>
        <v>#REF!</v>
      </c>
      <c r="IF231" t="e">
        <f>IF(#REF!,"AAAAAE+/3u8=",0)</f>
        <v>#REF!</v>
      </c>
      <c r="IG231" t="e">
        <f>IF(#REF!,"AAAAAE+/3vA=",0)</f>
        <v>#REF!</v>
      </c>
      <c r="IH231" t="e">
        <f>IF(#REF!,"AAAAAE+/3vE=",0)</f>
        <v>#REF!</v>
      </c>
      <c r="II231" t="e">
        <f>IF(#REF!,"AAAAAE+/3vI=",0)</f>
        <v>#REF!</v>
      </c>
      <c r="IJ231" t="e">
        <f>IF(#REF!,"AAAAAE+/3vM=",0)</f>
        <v>#REF!</v>
      </c>
      <c r="IK231" t="e">
        <f>IF(#REF!,"AAAAAE+/3vQ=",0)</f>
        <v>#REF!</v>
      </c>
      <c r="IL231" t="e">
        <f>IF(#REF!,"AAAAAE+/3vU=",0)</f>
        <v>#REF!</v>
      </c>
      <c r="IM231" t="e">
        <f>IF(#REF!,"AAAAAE+/3vY=",0)</f>
        <v>#REF!</v>
      </c>
      <c r="IN231" t="e">
        <f>IF(#REF!,"AAAAAE+/3vc=",0)</f>
        <v>#REF!</v>
      </c>
      <c r="IO231" t="e">
        <f>IF(#REF!,"AAAAAE+/3vg=",0)</f>
        <v>#REF!</v>
      </c>
      <c r="IP231" t="e">
        <f>IF(#REF!,"AAAAAE+/3vk=",0)</f>
        <v>#REF!</v>
      </c>
      <c r="IQ231" t="e">
        <f>IF(#REF!,"AAAAAE+/3vo=",0)</f>
        <v>#REF!</v>
      </c>
      <c r="IR231" t="e">
        <f>IF(#REF!,"AAAAAE+/3vs=",0)</f>
        <v>#REF!</v>
      </c>
      <c r="IS231" t="e">
        <f>IF(#REF!,"AAAAAE+/3vw=",0)</f>
        <v>#REF!</v>
      </c>
      <c r="IT231" t="e">
        <f>IF(#REF!,"AAAAAE+/3v0=",0)</f>
        <v>#REF!</v>
      </c>
      <c r="IU231" t="e">
        <f>IF(#REF!,"AAAAAE+/3v4=",0)</f>
        <v>#REF!</v>
      </c>
      <c r="IV231" t="e">
        <f>IF(#REF!,"AAAAAE+/3v8=",0)</f>
        <v>#REF!</v>
      </c>
    </row>
    <row r="232" spans="1:256">
      <c r="A232" t="e">
        <f>IF(#REF!,"AAAAADq9zwA=",0)</f>
        <v>#REF!</v>
      </c>
      <c r="B232" t="e">
        <f>IF(#REF!,"AAAAADq9zwE=",0)</f>
        <v>#REF!</v>
      </c>
      <c r="C232" t="e">
        <f>IF(#REF!,"AAAAADq9zwI=",0)</f>
        <v>#REF!</v>
      </c>
      <c r="D232" t="e">
        <f>IF(#REF!,"AAAAADq9zwM=",0)</f>
        <v>#REF!</v>
      </c>
      <c r="E232" t="e">
        <f>IF(#REF!,"AAAAADq9zwQ=",0)</f>
        <v>#REF!</v>
      </c>
      <c r="F232" t="e">
        <f>IF(#REF!,"AAAAADq9zwU=",0)</f>
        <v>#REF!</v>
      </c>
      <c r="G232" t="e">
        <f>IF(#REF!,"AAAAADq9zwY=",0)</f>
        <v>#REF!</v>
      </c>
      <c r="H232" t="e">
        <f>IF(#REF!,"AAAAADq9zwc=",0)</f>
        <v>#REF!</v>
      </c>
      <c r="I232" t="e">
        <f>IF(#REF!,"AAAAADq9zwg=",0)</f>
        <v>#REF!</v>
      </c>
      <c r="J232" t="e">
        <f>IF(#REF!,"AAAAADq9zwk=",0)</f>
        <v>#REF!</v>
      </c>
      <c r="K232" t="e">
        <f>IF(#REF!,"AAAAADq9zwo=",0)</f>
        <v>#REF!</v>
      </c>
      <c r="L232" t="e">
        <f>IF(#REF!,"AAAAADq9zws=",0)</f>
        <v>#REF!</v>
      </c>
      <c r="M232" t="e">
        <f>IF(#REF!,"AAAAADq9zww=",0)</f>
        <v>#REF!</v>
      </c>
      <c r="N232" t="e">
        <f>IF(#REF!,"AAAAADq9zw0=",0)</f>
        <v>#REF!</v>
      </c>
      <c r="O232" t="e">
        <f>IF(#REF!,"AAAAADq9zw4=",0)</f>
        <v>#REF!</v>
      </c>
      <c r="P232" t="e">
        <f>IF(#REF!,"AAAAADq9zw8=",0)</f>
        <v>#REF!</v>
      </c>
      <c r="Q232" t="e">
        <f>IF(#REF!,"AAAAADq9zxA=",0)</f>
        <v>#REF!</v>
      </c>
      <c r="R232" t="e">
        <f>IF(#REF!,"AAAAADq9zxE=",0)</f>
        <v>#REF!</v>
      </c>
      <c r="S232" t="e">
        <f>IF(#REF!,"AAAAADq9zxI=",0)</f>
        <v>#REF!</v>
      </c>
      <c r="T232" t="e">
        <f>IF(#REF!,"AAAAADq9zxM=",0)</f>
        <v>#REF!</v>
      </c>
      <c r="U232" t="e">
        <f>IF(#REF!,"AAAAADq9zxQ=",0)</f>
        <v>#REF!</v>
      </c>
      <c r="V232" t="e">
        <f>IF(#REF!,"AAAAADq9zxU=",0)</f>
        <v>#REF!</v>
      </c>
      <c r="W232" t="e">
        <f>IF(#REF!,"AAAAADq9zxY=",0)</f>
        <v>#REF!</v>
      </c>
      <c r="X232" t="e">
        <f>IF(#REF!,"AAAAADq9zxc=",0)</f>
        <v>#REF!</v>
      </c>
      <c r="Y232" t="e">
        <f>IF(#REF!,"AAAAADq9zxg=",0)</f>
        <v>#REF!</v>
      </c>
      <c r="Z232" t="e">
        <f>IF(#REF!,"AAAAADq9zxk=",0)</f>
        <v>#REF!</v>
      </c>
      <c r="AA232" t="e">
        <f>IF(#REF!,"AAAAADq9zxo=",0)</f>
        <v>#REF!</v>
      </c>
      <c r="AB232" t="e">
        <f>IF(#REF!,"AAAAADq9zxs=",0)</f>
        <v>#REF!</v>
      </c>
      <c r="AC232" t="e">
        <f>IF(#REF!,"AAAAADq9zxw=",0)</f>
        <v>#REF!</v>
      </c>
      <c r="AD232" t="e">
        <f>IF(#REF!,"AAAAADq9zx0=",0)</f>
        <v>#REF!</v>
      </c>
      <c r="AE232" t="e">
        <f>IF(#REF!,"AAAAADq9zx4=",0)</f>
        <v>#REF!</v>
      </c>
      <c r="AF232" t="e">
        <f>IF(#REF!,"AAAAADq9zx8=",0)</f>
        <v>#REF!</v>
      </c>
      <c r="AG232" t="e">
        <f>IF(#REF!,"AAAAADq9zyA=",0)</f>
        <v>#REF!</v>
      </c>
      <c r="AH232" t="e">
        <f>IF(#REF!,"AAAAADq9zyE=",0)</f>
        <v>#REF!</v>
      </c>
      <c r="AI232" t="e">
        <f>IF(#REF!,"AAAAADq9zyI=",0)</f>
        <v>#REF!</v>
      </c>
      <c r="AJ232" t="e">
        <f>IF(#REF!,"AAAAADq9zyM=",0)</f>
        <v>#REF!</v>
      </c>
      <c r="AK232" t="e">
        <f>IF(#REF!,"AAAAADq9zyQ=",0)</f>
        <v>#REF!</v>
      </c>
      <c r="AL232" t="e">
        <f>IF(#REF!,"AAAAADq9zyU=",0)</f>
        <v>#REF!</v>
      </c>
      <c r="AM232" t="e">
        <f>IF(#REF!,"AAAAADq9zyY=",0)</f>
        <v>#REF!</v>
      </c>
      <c r="AN232" t="e">
        <f>IF(#REF!,"AAAAADq9zyc=",0)</f>
        <v>#REF!</v>
      </c>
      <c r="AO232" t="e">
        <f>IF(#REF!,"AAAAADq9zyg=",0)</f>
        <v>#REF!</v>
      </c>
      <c r="AP232" t="e">
        <f>IF(#REF!,"AAAAADq9zyk=",0)</f>
        <v>#REF!</v>
      </c>
      <c r="AQ232" t="e">
        <f>IF(#REF!,"AAAAADq9zyo=",0)</f>
        <v>#REF!</v>
      </c>
      <c r="AR232" t="e">
        <f>IF(#REF!,"AAAAADq9zys=",0)</f>
        <v>#REF!</v>
      </c>
      <c r="AS232" t="e">
        <f>IF(#REF!,"AAAAADq9zyw=",0)</f>
        <v>#REF!</v>
      </c>
      <c r="AT232" t="e">
        <f>IF(#REF!,"AAAAADq9zy0=",0)</f>
        <v>#REF!</v>
      </c>
      <c r="AU232" t="e">
        <f>IF(#REF!,"AAAAADq9zy4=",0)</f>
        <v>#REF!</v>
      </c>
      <c r="AV232" t="e">
        <f>IF(#REF!,"AAAAADq9zy8=",0)</f>
        <v>#REF!</v>
      </c>
      <c r="AW232" t="e">
        <f>IF(#REF!,"AAAAADq9zzA=",0)</f>
        <v>#REF!</v>
      </c>
      <c r="AX232" t="e">
        <f>IF(#REF!,"AAAAADq9zzE=",0)</f>
        <v>#REF!</v>
      </c>
      <c r="AY232" t="e">
        <f>IF(#REF!,"AAAAADq9zzI=",0)</f>
        <v>#REF!</v>
      </c>
      <c r="AZ232" t="e">
        <f>IF(#REF!,"AAAAADq9zzM=",0)</f>
        <v>#REF!</v>
      </c>
      <c r="BA232" t="e">
        <f>IF(#REF!,"AAAAADq9zzQ=",0)</f>
        <v>#REF!</v>
      </c>
      <c r="BB232" t="e">
        <f>IF(#REF!,"AAAAADq9zzU=",0)</f>
        <v>#REF!</v>
      </c>
      <c r="BC232" t="e">
        <f>IF(#REF!,"AAAAADq9zzY=",0)</f>
        <v>#REF!</v>
      </c>
      <c r="BD232" t="e">
        <f>IF(#REF!,"AAAAADq9zzc=",0)</f>
        <v>#REF!</v>
      </c>
      <c r="BE232" t="e">
        <f>IF(#REF!,"AAAAADq9zzg=",0)</f>
        <v>#REF!</v>
      </c>
      <c r="BF232" t="e">
        <f>IF(#REF!,"AAAAADq9zzk=",0)</f>
        <v>#REF!</v>
      </c>
      <c r="BG232" t="e">
        <f>IF(#REF!,"AAAAADq9zzo=",0)</f>
        <v>#REF!</v>
      </c>
      <c r="BH232" t="e">
        <f>IF(#REF!,"AAAAADq9zzs=",0)</f>
        <v>#REF!</v>
      </c>
      <c r="BI232" t="e">
        <f>IF(#REF!,"AAAAADq9zzw=",0)</f>
        <v>#REF!</v>
      </c>
      <c r="BJ232" t="e">
        <f>IF(#REF!,"AAAAADq9zz0=",0)</f>
        <v>#REF!</v>
      </c>
      <c r="BK232" t="e">
        <f>IF(#REF!,"AAAAADq9zz4=",0)</f>
        <v>#REF!</v>
      </c>
      <c r="BL232" t="e">
        <f>IF(#REF!,"AAAAADq9zz8=",0)</f>
        <v>#REF!</v>
      </c>
      <c r="BM232" t="e">
        <f>IF(#REF!,"AAAAADq9z0A=",0)</f>
        <v>#REF!</v>
      </c>
      <c r="BN232" t="e">
        <f>IF(#REF!,"AAAAADq9z0E=",0)</f>
        <v>#REF!</v>
      </c>
      <c r="BO232" t="e">
        <f>IF(#REF!,"AAAAADq9z0I=",0)</f>
        <v>#REF!</v>
      </c>
      <c r="BP232" t="e">
        <f>IF(#REF!,"AAAAADq9z0M=",0)</f>
        <v>#REF!</v>
      </c>
      <c r="BQ232" t="e">
        <f>IF(#REF!,"AAAAADq9z0Q=",0)</f>
        <v>#REF!</v>
      </c>
      <c r="BR232" t="e">
        <f>IF(#REF!,"AAAAADq9z0U=",0)</f>
        <v>#REF!</v>
      </c>
      <c r="BS232" t="e">
        <f>IF(#REF!,"AAAAADq9z0Y=",0)</f>
        <v>#REF!</v>
      </c>
      <c r="BT232" t="e">
        <f>IF(#REF!,"AAAAADq9z0c=",0)</f>
        <v>#REF!</v>
      </c>
      <c r="BU232" t="e">
        <f>IF(#REF!,"AAAAADq9z0g=",0)</f>
        <v>#REF!</v>
      </c>
      <c r="BV232" t="e">
        <f>IF(#REF!,"AAAAADq9z0k=",0)</f>
        <v>#REF!</v>
      </c>
      <c r="BW232" t="e">
        <f>IF(#REF!,"AAAAADq9z0o=",0)</f>
        <v>#REF!</v>
      </c>
      <c r="BX232" t="e">
        <f>IF(#REF!,"AAAAADq9z0s=",0)</f>
        <v>#REF!</v>
      </c>
      <c r="BY232" t="e">
        <f>IF(#REF!,"AAAAADq9z0w=",0)</f>
        <v>#REF!</v>
      </c>
      <c r="BZ232" t="e">
        <f>IF(#REF!,"AAAAADq9z00=",0)</f>
        <v>#REF!</v>
      </c>
      <c r="CA232" t="e">
        <f>IF(#REF!,"AAAAADq9z04=",0)</f>
        <v>#REF!</v>
      </c>
      <c r="CB232" t="e">
        <f>IF(#REF!,"AAAAADq9z08=",0)</f>
        <v>#REF!</v>
      </c>
      <c r="CC232" t="e">
        <f>IF(#REF!,"AAAAADq9z1A=",0)</f>
        <v>#REF!</v>
      </c>
      <c r="CD232" t="e">
        <f>IF(#REF!,"AAAAADq9z1E=",0)</f>
        <v>#REF!</v>
      </c>
      <c r="CE232" t="e">
        <f>IF(#REF!,"AAAAADq9z1I=",0)</f>
        <v>#REF!</v>
      </c>
      <c r="CF232" t="e">
        <f>IF(#REF!,"AAAAADq9z1M=",0)</f>
        <v>#REF!</v>
      </c>
      <c r="CG232" t="e">
        <f>IF(#REF!,"AAAAADq9z1Q=",0)</f>
        <v>#REF!</v>
      </c>
      <c r="CH232" t="e">
        <f>IF(#REF!,"AAAAADq9z1U=",0)</f>
        <v>#REF!</v>
      </c>
      <c r="CI232" t="e">
        <f>IF(#REF!,"AAAAADq9z1Y=",0)</f>
        <v>#REF!</v>
      </c>
      <c r="CJ232" t="e">
        <f>IF(#REF!,"AAAAADq9z1c=",0)</f>
        <v>#REF!</v>
      </c>
      <c r="CK232" t="e">
        <f>IF(#REF!,"AAAAADq9z1g=",0)</f>
        <v>#REF!</v>
      </c>
      <c r="CL232" t="e">
        <f>IF(#REF!,"AAAAADq9z1k=",0)</f>
        <v>#REF!</v>
      </c>
      <c r="CM232" t="e">
        <f>IF(#REF!,"AAAAADq9z1o=",0)</f>
        <v>#REF!</v>
      </c>
      <c r="CN232" t="e">
        <f>IF(#REF!,"AAAAADq9z1s=",0)</f>
        <v>#REF!</v>
      </c>
      <c r="CO232" t="e">
        <f>IF(#REF!,"AAAAADq9z1w=",0)</f>
        <v>#REF!</v>
      </c>
      <c r="CP232" t="e">
        <f>IF(#REF!,"AAAAADq9z10=",0)</f>
        <v>#REF!</v>
      </c>
      <c r="CQ232" t="e">
        <f>IF(#REF!,"AAAAADq9z14=",0)</f>
        <v>#REF!</v>
      </c>
      <c r="CR232" t="e">
        <f>IF(#REF!,"AAAAADq9z18=",0)</f>
        <v>#REF!</v>
      </c>
      <c r="CS232" t="e">
        <f>IF(#REF!,"AAAAADq9z2A=",0)</f>
        <v>#REF!</v>
      </c>
      <c r="CT232" t="e">
        <f>IF(#REF!,"AAAAADq9z2E=",0)</f>
        <v>#REF!</v>
      </c>
      <c r="CU232" t="e">
        <f>IF(#REF!,"AAAAADq9z2I=",0)</f>
        <v>#REF!</v>
      </c>
      <c r="CV232" t="e">
        <f>IF(#REF!,"AAAAADq9z2M=",0)</f>
        <v>#REF!</v>
      </c>
      <c r="CW232" t="e">
        <f>IF(#REF!,"AAAAADq9z2Q=",0)</f>
        <v>#REF!</v>
      </c>
      <c r="CX232" t="e">
        <f>IF(#REF!,"AAAAADq9z2U=",0)</f>
        <v>#REF!</v>
      </c>
      <c r="CY232" t="e">
        <f>IF(#REF!,"AAAAADq9z2Y=",0)</f>
        <v>#REF!</v>
      </c>
      <c r="CZ232" t="e">
        <f>IF(#REF!,"AAAAADq9z2c=",0)</f>
        <v>#REF!</v>
      </c>
      <c r="DA232" t="e">
        <f>IF(#REF!,"AAAAADq9z2g=",0)</f>
        <v>#REF!</v>
      </c>
      <c r="DB232" t="e">
        <f>IF(#REF!,"AAAAADq9z2k=",0)</f>
        <v>#REF!</v>
      </c>
      <c r="DC232" t="e">
        <f>IF(#REF!,"AAAAADq9z2o=",0)</f>
        <v>#REF!</v>
      </c>
      <c r="DD232" t="e">
        <f>IF(#REF!,"AAAAADq9z2s=",0)</f>
        <v>#REF!</v>
      </c>
      <c r="DE232" t="e">
        <f>IF(#REF!,"AAAAADq9z2w=",0)</f>
        <v>#REF!</v>
      </c>
      <c r="DF232" t="e">
        <f>IF(#REF!,"AAAAADq9z20=",0)</f>
        <v>#REF!</v>
      </c>
      <c r="DG232" t="e">
        <f>IF(#REF!,"AAAAADq9z24=",0)</f>
        <v>#REF!</v>
      </c>
      <c r="DH232" t="e">
        <f>IF(#REF!,"AAAAADq9z28=",0)</f>
        <v>#REF!</v>
      </c>
      <c r="DI232" t="e">
        <f>IF(#REF!,"AAAAADq9z3A=",0)</f>
        <v>#REF!</v>
      </c>
      <c r="DJ232" t="e">
        <f>IF(#REF!,"AAAAADq9z3E=",0)</f>
        <v>#REF!</v>
      </c>
      <c r="DK232" t="e">
        <f>IF(#REF!,"AAAAADq9z3I=",0)</f>
        <v>#REF!</v>
      </c>
      <c r="DL232" t="e">
        <f>IF(#REF!,"AAAAADq9z3M=",0)</f>
        <v>#REF!</v>
      </c>
      <c r="DM232" t="e">
        <f>IF(#REF!,"AAAAADq9z3Q=",0)</f>
        <v>#REF!</v>
      </c>
      <c r="DN232" t="e">
        <f>IF(#REF!,"AAAAADq9z3U=",0)</f>
        <v>#REF!</v>
      </c>
      <c r="DO232" t="e">
        <f>IF(#REF!,"AAAAADq9z3Y=",0)</f>
        <v>#REF!</v>
      </c>
      <c r="DP232" t="e">
        <f>IF(#REF!,"AAAAADq9z3c=",0)</f>
        <v>#REF!</v>
      </c>
      <c r="DQ232" t="e">
        <f>IF(#REF!,"AAAAADq9z3g=",0)</f>
        <v>#REF!</v>
      </c>
      <c r="DR232" t="e">
        <f>IF(#REF!,"AAAAADq9z3k=",0)</f>
        <v>#REF!</v>
      </c>
      <c r="DS232" t="e">
        <f>IF(#REF!,"AAAAADq9z3o=",0)</f>
        <v>#REF!</v>
      </c>
      <c r="DT232" t="e">
        <f>IF(#REF!,"AAAAADq9z3s=",0)</f>
        <v>#REF!</v>
      </c>
      <c r="DU232" t="e">
        <f>IF(#REF!,"AAAAADq9z3w=",0)</f>
        <v>#REF!</v>
      </c>
      <c r="DV232" t="e">
        <f>IF(#REF!,"AAAAADq9z30=",0)</f>
        <v>#REF!</v>
      </c>
      <c r="DW232" t="e">
        <f>IF(#REF!,"AAAAADq9z34=",0)</f>
        <v>#REF!</v>
      </c>
      <c r="DX232" t="e">
        <f>IF(#REF!,"AAAAADq9z38=",0)</f>
        <v>#REF!</v>
      </c>
      <c r="DY232" t="e">
        <f>IF(#REF!,"AAAAADq9z4A=",0)</f>
        <v>#REF!</v>
      </c>
      <c r="DZ232" t="e">
        <f>IF(#REF!,"AAAAADq9z4E=",0)</f>
        <v>#REF!</v>
      </c>
      <c r="EA232" t="e">
        <f>IF(#REF!,"AAAAADq9z4I=",0)</f>
        <v>#REF!</v>
      </c>
      <c r="EB232" t="e">
        <f>IF(#REF!,"AAAAADq9z4M=",0)</f>
        <v>#REF!</v>
      </c>
      <c r="EC232" t="e">
        <f>IF(#REF!,"AAAAADq9z4Q=",0)</f>
        <v>#REF!</v>
      </c>
      <c r="ED232" t="e">
        <f>IF(#REF!,"AAAAADq9z4U=",0)</f>
        <v>#REF!</v>
      </c>
      <c r="EE232" t="e">
        <f>IF(#REF!,"AAAAADq9z4Y=",0)</f>
        <v>#REF!</v>
      </c>
      <c r="EF232" t="e">
        <f>IF(#REF!,"AAAAADq9z4c=",0)</f>
        <v>#REF!</v>
      </c>
      <c r="EG232" t="e">
        <f>IF(#REF!,"AAAAADq9z4g=",0)</f>
        <v>#REF!</v>
      </c>
      <c r="EH232" t="e">
        <f>IF(#REF!,"AAAAADq9z4k=",0)</f>
        <v>#REF!</v>
      </c>
      <c r="EI232" t="e">
        <f>IF(#REF!,"AAAAADq9z4o=",0)</f>
        <v>#REF!</v>
      </c>
      <c r="EJ232" t="e">
        <f>IF(#REF!,"AAAAADq9z4s=",0)</f>
        <v>#REF!</v>
      </c>
      <c r="EK232" t="e">
        <f>IF(#REF!,"AAAAADq9z4w=",0)</f>
        <v>#REF!</v>
      </c>
      <c r="EL232" t="e">
        <f>IF(#REF!,"AAAAADq9z40=",0)</f>
        <v>#REF!</v>
      </c>
      <c r="EM232" t="e">
        <f>IF(#REF!,"AAAAADq9z44=",0)</f>
        <v>#REF!</v>
      </c>
      <c r="EN232" t="e">
        <f>IF(#REF!,"AAAAADq9z48=",0)</f>
        <v>#REF!</v>
      </c>
      <c r="EO232" t="e">
        <f>IF(#REF!,"AAAAADq9z5A=",0)</f>
        <v>#REF!</v>
      </c>
      <c r="EP232" t="e">
        <f>IF(#REF!,"AAAAADq9z5E=",0)</f>
        <v>#REF!</v>
      </c>
      <c r="EQ232" t="e">
        <f>IF(#REF!,"AAAAADq9z5I=",0)</f>
        <v>#REF!</v>
      </c>
      <c r="ER232" t="e">
        <f>IF(#REF!,"AAAAADq9z5M=",0)</f>
        <v>#REF!</v>
      </c>
      <c r="ES232" t="e">
        <f>IF(#REF!,"AAAAADq9z5Q=",0)</f>
        <v>#REF!</v>
      </c>
      <c r="ET232" t="e">
        <f>IF(#REF!,"AAAAADq9z5U=",0)</f>
        <v>#REF!</v>
      </c>
      <c r="EU232" t="e">
        <f>IF(#REF!,"AAAAADq9z5Y=",0)</f>
        <v>#REF!</v>
      </c>
      <c r="EV232" t="e">
        <f>IF(#REF!,"AAAAADq9z5c=",0)</f>
        <v>#REF!</v>
      </c>
      <c r="EW232" t="e">
        <f>IF(#REF!,"AAAAADq9z5g=",0)</f>
        <v>#REF!</v>
      </c>
      <c r="EX232" t="e">
        <f>IF(#REF!,"AAAAADq9z5k=",0)</f>
        <v>#REF!</v>
      </c>
      <c r="EY232" t="e">
        <f>IF(#REF!,"AAAAADq9z5o=",0)</f>
        <v>#REF!</v>
      </c>
      <c r="EZ232" t="e">
        <f>IF(#REF!,"AAAAADq9z5s=",0)</f>
        <v>#REF!</v>
      </c>
      <c r="FA232" t="e">
        <f>IF(#REF!,"AAAAADq9z5w=",0)</f>
        <v>#REF!</v>
      </c>
      <c r="FB232" t="e">
        <f>IF(#REF!,"AAAAADq9z50=",0)</f>
        <v>#REF!</v>
      </c>
      <c r="FC232" t="e">
        <f>IF(#REF!,"AAAAADq9z54=",0)</f>
        <v>#REF!</v>
      </c>
      <c r="FD232" t="e">
        <f>IF(#REF!,"AAAAADq9z58=",0)</f>
        <v>#REF!</v>
      </c>
      <c r="FE232" t="e">
        <f>IF(#REF!,"AAAAADq9z6A=",0)</f>
        <v>#REF!</v>
      </c>
      <c r="FF232" t="e">
        <f>IF(#REF!,"AAAAADq9z6E=",0)</f>
        <v>#REF!</v>
      </c>
      <c r="FG232" t="e">
        <f>IF(#REF!,"AAAAADq9z6I=",0)</f>
        <v>#REF!</v>
      </c>
      <c r="FH232" t="e">
        <f>IF(#REF!,"AAAAADq9z6M=",0)</f>
        <v>#REF!</v>
      </c>
      <c r="FI232" t="e">
        <f>IF(#REF!,"AAAAADq9z6Q=",0)</f>
        <v>#REF!</v>
      </c>
      <c r="FJ232" t="e">
        <f>IF(#REF!,"AAAAADq9z6U=",0)</f>
        <v>#REF!</v>
      </c>
      <c r="FK232" t="e">
        <f>IF(#REF!,"AAAAADq9z6Y=",0)</f>
        <v>#REF!</v>
      </c>
      <c r="FL232" t="e">
        <f>IF(#REF!,"AAAAADq9z6c=",0)</f>
        <v>#REF!</v>
      </c>
      <c r="FM232" t="e">
        <f>IF(#REF!,"AAAAADq9z6g=",0)</f>
        <v>#REF!</v>
      </c>
      <c r="FN232" t="e">
        <f>IF(#REF!,"AAAAADq9z6k=",0)</f>
        <v>#REF!</v>
      </c>
      <c r="FO232" t="e">
        <f>IF(#REF!,"AAAAADq9z6o=",0)</f>
        <v>#REF!</v>
      </c>
      <c r="FP232" t="e">
        <f>IF(#REF!,"AAAAADq9z6s=",0)</f>
        <v>#REF!</v>
      </c>
      <c r="FQ232" t="e">
        <f>IF(#REF!,"AAAAADq9z6w=",0)</f>
        <v>#REF!</v>
      </c>
      <c r="FR232" t="e">
        <f>IF(#REF!,"AAAAADq9z60=",0)</f>
        <v>#REF!</v>
      </c>
      <c r="FS232" t="e">
        <f>IF(#REF!,"AAAAADq9z64=",0)</f>
        <v>#REF!</v>
      </c>
      <c r="FT232" t="e">
        <f>IF(#REF!,"AAAAADq9z68=",0)</f>
        <v>#REF!</v>
      </c>
      <c r="FU232" t="e">
        <f>IF(#REF!,"AAAAADq9z7A=",0)</f>
        <v>#REF!</v>
      </c>
      <c r="FV232" t="e">
        <f>IF(#REF!,"AAAAADq9z7E=",0)</f>
        <v>#REF!</v>
      </c>
      <c r="FW232" t="e">
        <f>IF(#REF!,"AAAAADq9z7I=",0)</f>
        <v>#REF!</v>
      </c>
      <c r="FX232" t="e">
        <f>IF(#REF!,"AAAAADq9z7M=",0)</f>
        <v>#REF!</v>
      </c>
      <c r="FY232" t="e">
        <f>IF(#REF!,"AAAAADq9z7Q=",0)</f>
        <v>#REF!</v>
      </c>
      <c r="FZ232" t="e">
        <f>IF(#REF!,"AAAAADq9z7U=",0)</f>
        <v>#REF!</v>
      </c>
      <c r="GA232" t="e">
        <f>IF(#REF!,"AAAAADq9z7Y=",0)</f>
        <v>#REF!</v>
      </c>
      <c r="GB232" t="e">
        <f>IF(#REF!,"AAAAADq9z7c=",0)</f>
        <v>#REF!</v>
      </c>
      <c r="GC232" t="e">
        <f>IF(#REF!,"AAAAADq9z7g=",0)</f>
        <v>#REF!</v>
      </c>
      <c r="GD232" t="e">
        <f>IF(#REF!,"AAAAADq9z7k=",0)</f>
        <v>#REF!</v>
      </c>
      <c r="GE232" t="e">
        <f>IF(#REF!,"AAAAADq9z7o=",0)</f>
        <v>#REF!</v>
      </c>
      <c r="GF232" t="e">
        <f>IF(#REF!,"AAAAADq9z7s=",0)</f>
        <v>#REF!</v>
      </c>
      <c r="GG232" t="e">
        <f>IF(#REF!,"AAAAADq9z7w=",0)</f>
        <v>#REF!</v>
      </c>
      <c r="GH232" t="e">
        <f>IF(#REF!,"AAAAADq9z70=",0)</f>
        <v>#REF!</v>
      </c>
      <c r="GI232" t="e">
        <f>IF(#REF!,"AAAAADq9z74=",0)</f>
        <v>#REF!</v>
      </c>
      <c r="GJ232" t="e">
        <f>IF(#REF!,"AAAAADq9z78=",0)</f>
        <v>#REF!</v>
      </c>
      <c r="GK232" t="e">
        <f>IF(#REF!,"AAAAADq9z8A=",0)</f>
        <v>#REF!</v>
      </c>
      <c r="GL232" t="e">
        <f>IF(#REF!,"AAAAADq9z8E=",0)</f>
        <v>#REF!</v>
      </c>
      <c r="GM232" t="e">
        <f>IF(#REF!,"AAAAADq9z8I=",0)</f>
        <v>#REF!</v>
      </c>
      <c r="GN232" t="e">
        <f>IF(#REF!,"AAAAADq9z8M=",0)</f>
        <v>#REF!</v>
      </c>
      <c r="GO232" t="e">
        <f>IF(#REF!,"AAAAADq9z8Q=",0)</f>
        <v>#REF!</v>
      </c>
      <c r="GP232" t="e">
        <f>IF(#REF!,"AAAAADq9z8U=",0)</f>
        <v>#REF!</v>
      </c>
      <c r="GQ232" t="e">
        <f>IF(#REF!,"AAAAADq9z8Y=",0)</f>
        <v>#REF!</v>
      </c>
      <c r="GR232" t="e">
        <f>IF(#REF!,"AAAAADq9z8c=",0)</f>
        <v>#REF!</v>
      </c>
      <c r="GS232" t="e">
        <f>IF(#REF!,"AAAAADq9z8g=",0)</f>
        <v>#REF!</v>
      </c>
      <c r="GT232" t="e">
        <f>IF(#REF!,"AAAAADq9z8k=",0)</f>
        <v>#REF!</v>
      </c>
      <c r="GU232" t="e">
        <f>IF(#REF!,"AAAAADq9z8o=",0)</f>
        <v>#REF!</v>
      </c>
      <c r="GV232" t="e">
        <f>IF(#REF!,"AAAAADq9z8s=",0)</f>
        <v>#REF!</v>
      </c>
      <c r="GW232" t="e">
        <f>IF(#REF!,"AAAAADq9z8w=",0)</f>
        <v>#REF!</v>
      </c>
      <c r="GX232" t="e">
        <f>IF(#REF!,"AAAAADq9z80=",0)</f>
        <v>#REF!</v>
      </c>
      <c r="GY232" t="e">
        <f>IF(#REF!,"AAAAADq9z84=",0)</f>
        <v>#REF!</v>
      </c>
      <c r="GZ232" t="e">
        <f>IF(#REF!,"AAAAADq9z88=",0)</f>
        <v>#REF!</v>
      </c>
      <c r="HA232" t="e">
        <f>IF(#REF!,"AAAAADq9z9A=",0)</f>
        <v>#REF!</v>
      </c>
      <c r="HB232" t="e">
        <f>IF(#REF!,"AAAAADq9z9E=",0)</f>
        <v>#REF!</v>
      </c>
      <c r="HC232" t="e">
        <f>IF(#REF!,"AAAAADq9z9I=",0)</f>
        <v>#REF!</v>
      </c>
      <c r="HD232" t="e">
        <f>IF(#REF!,"AAAAADq9z9M=",0)</f>
        <v>#REF!</v>
      </c>
      <c r="HE232" t="e">
        <f>IF(#REF!,"AAAAADq9z9Q=",0)</f>
        <v>#REF!</v>
      </c>
      <c r="HF232" t="e">
        <f>IF(#REF!,"AAAAADq9z9U=",0)</f>
        <v>#REF!</v>
      </c>
      <c r="HG232" t="e">
        <f>IF(#REF!,"AAAAADq9z9Y=",0)</f>
        <v>#REF!</v>
      </c>
      <c r="HH232" t="e">
        <f>IF(#REF!,"AAAAADq9z9c=",0)</f>
        <v>#REF!</v>
      </c>
      <c r="HI232" t="e">
        <f>IF(#REF!,"AAAAADq9z9g=",0)</f>
        <v>#REF!</v>
      </c>
      <c r="HJ232" t="e">
        <f>IF(#REF!,"AAAAADq9z9k=",0)</f>
        <v>#REF!</v>
      </c>
      <c r="HK232" t="e">
        <f>IF(#REF!,"AAAAADq9z9o=",0)</f>
        <v>#REF!</v>
      </c>
      <c r="HL232" t="e">
        <f>IF(#REF!,"AAAAADq9z9s=",0)</f>
        <v>#REF!</v>
      </c>
      <c r="HM232" t="e">
        <f>IF(#REF!,"AAAAADq9z9w=",0)</f>
        <v>#REF!</v>
      </c>
      <c r="HN232" t="e">
        <f>IF(#REF!,"AAAAADq9z90=",0)</f>
        <v>#REF!</v>
      </c>
      <c r="HO232" t="e">
        <f>IF(#REF!,"AAAAADq9z94=",0)</f>
        <v>#REF!</v>
      </c>
      <c r="HP232" t="e">
        <f>IF(#REF!,"AAAAADq9z98=",0)</f>
        <v>#REF!</v>
      </c>
      <c r="HQ232" t="e">
        <f>IF(#REF!,"AAAAADq9z+A=",0)</f>
        <v>#REF!</v>
      </c>
      <c r="HR232" t="e">
        <f>IF(#REF!,"AAAAADq9z+E=",0)</f>
        <v>#REF!</v>
      </c>
      <c r="HS232" t="e">
        <f>IF(#REF!,"AAAAADq9z+I=",0)</f>
        <v>#REF!</v>
      </c>
      <c r="HT232" t="e">
        <f>IF(#REF!,"AAAAADq9z+M=",0)</f>
        <v>#REF!</v>
      </c>
      <c r="HU232" t="e">
        <f>IF(#REF!,"AAAAADq9z+Q=",0)</f>
        <v>#REF!</v>
      </c>
      <c r="HV232" t="e">
        <f>IF(#REF!,"AAAAADq9z+U=",0)</f>
        <v>#REF!</v>
      </c>
      <c r="HW232" t="e">
        <f>IF(#REF!,"AAAAADq9z+Y=",0)</f>
        <v>#REF!</v>
      </c>
      <c r="HX232" t="e">
        <f>IF(#REF!,"AAAAADq9z+c=",0)</f>
        <v>#REF!</v>
      </c>
      <c r="HY232" t="e">
        <f>IF(#REF!,"AAAAADq9z+g=",0)</f>
        <v>#REF!</v>
      </c>
      <c r="HZ232" t="e">
        <f>IF(#REF!,"AAAAADq9z+k=",0)</f>
        <v>#REF!</v>
      </c>
      <c r="IA232" t="e">
        <f>IF(#REF!,"AAAAADq9z+o=",0)</f>
        <v>#REF!</v>
      </c>
      <c r="IB232" t="e">
        <f>IF(#REF!,"AAAAADq9z+s=",0)</f>
        <v>#REF!</v>
      </c>
      <c r="IC232" t="e">
        <f>IF(#REF!,"AAAAADq9z+w=",0)</f>
        <v>#REF!</v>
      </c>
      <c r="ID232" t="e">
        <f>IF(#REF!,"AAAAADq9z+0=",0)</f>
        <v>#REF!</v>
      </c>
      <c r="IE232" t="e">
        <f>IF(#REF!,"AAAAADq9z+4=",0)</f>
        <v>#REF!</v>
      </c>
      <c r="IF232" t="e">
        <f>IF(#REF!,"AAAAADq9z+8=",0)</f>
        <v>#REF!</v>
      </c>
      <c r="IG232" t="e">
        <f>IF(#REF!,"AAAAADq9z/A=",0)</f>
        <v>#REF!</v>
      </c>
      <c r="IH232" t="e">
        <f>IF(#REF!,"AAAAADq9z/E=",0)</f>
        <v>#REF!</v>
      </c>
      <c r="II232" t="e">
        <f>IF(#REF!,"AAAAADq9z/I=",0)</f>
        <v>#REF!</v>
      </c>
      <c r="IJ232" t="e">
        <f>IF(#REF!,"AAAAADq9z/M=",0)</f>
        <v>#REF!</v>
      </c>
      <c r="IK232" t="e">
        <f>IF(#REF!,"AAAAADq9z/Q=",0)</f>
        <v>#REF!</v>
      </c>
      <c r="IL232" t="e">
        <f>IF(#REF!,"AAAAADq9z/U=",0)</f>
        <v>#REF!</v>
      </c>
      <c r="IM232" t="e">
        <f>IF(#REF!,"AAAAADq9z/Y=",0)</f>
        <v>#REF!</v>
      </c>
      <c r="IN232" t="e">
        <f>IF(#REF!,"AAAAADq9z/c=",0)</f>
        <v>#REF!</v>
      </c>
      <c r="IO232" t="e">
        <f>IF(#REF!,"AAAAADq9z/g=",0)</f>
        <v>#REF!</v>
      </c>
      <c r="IP232" t="e">
        <f>IF(#REF!,"AAAAADq9z/k=",0)</f>
        <v>#REF!</v>
      </c>
      <c r="IQ232" t="e">
        <f>IF(#REF!,"AAAAADq9z/o=",0)</f>
        <v>#REF!</v>
      </c>
      <c r="IR232" t="e">
        <f>IF(#REF!,"AAAAADq9z/s=",0)</f>
        <v>#REF!</v>
      </c>
      <c r="IS232" t="e">
        <f>IF(#REF!,"AAAAADq9z/w=",0)</f>
        <v>#REF!</v>
      </c>
      <c r="IT232" t="e">
        <f>IF(#REF!,"AAAAADq9z/0=",0)</f>
        <v>#REF!</v>
      </c>
      <c r="IU232" t="e">
        <f>IF(#REF!,"AAAAADq9z/4=",0)</f>
        <v>#REF!</v>
      </c>
      <c r="IV232" t="e">
        <f>IF(#REF!,"AAAAADq9z/8=",0)</f>
        <v>#REF!</v>
      </c>
    </row>
    <row r="233" spans="1:256">
      <c r="A233" t="e">
        <f>IF(#REF!,"AAAAAHtb3wA=",0)</f>
        <v>#REF!</v>
      </c>
      <c r="B233" t="e">
        <f>IF(#REF!,"AAAAAHtb3wE=",0)</f>
        <v>#REF!</v>
      </c>
      <c r="C233" t="e">
        <f>IF(#REF!,"AAAAAHtb3wI=",0)</f>
        <v>#REF!</v>
      </c>
      <c r="D233" t="e">
        <f>IF(#REF!,"AAAAAHtb3wM=",0)</f>
        <v>#REF!</v>
      </c>
      <c r="E233" t="e">
        <f>IF(#REF!,"AAAAAHtb3wQ=",0)</f>
        <v>#REF!</v>
      </c>
      <c r="F233" t="e">
        <f>IF(#REF!,"AAAAAHtb3wU=",0)</f>
        <v>#REF!</v>
      </c>
      <c r="G233" t="e">
        <f>IF(#REF!,"AAAAAHtb3wY=",0)</f>
        <v>#REF!</v>
      </c>
      <c r="H233" t="e">
        <f>IF(#REF!,"AAAAAHtb3wc=",0)</f>
        <v>#REF!</v>
      </c>
      <c r="I233" t="e">
        <f>IF(#REF!,"AAAAAHtb3wg=",0)</f>
        <v>#REF!</v>
      </c>
      <c r="J233" t="e">
        <f>IF(#REF!,"AAAAAHtb3wk=",0)</f>
        <v>#REF!</v>
      </c>
      <c r="K233" t="e">
        <f>IF(#REF!,"AAAAAHtb3wo=",0)</f>
        <v>#REF!</v>
      </c>
      <c r="L233" t="e">
        <f>IF(#REF!,"AAAAAHtb3ws=",0)</f>
        <v>#REF!</v>
      </c>
      <c r="M233" t="e">
        <f>IF(#REF!,"AAAAAHtb3ww=",0)</f>
        <v>#REF!</v>
      </c>
      <c r="N233" t="e">
        <f>IF(#REF!,"AAAAAHtb3w0=",0)</f>
        <v>#REF!</v>
      </c>
      <c r="O233" t="e">
        <f>IF(#REF!,"AAAAAHtb3w4=",0)</f>
        <v>#REF!</v>
      </c>
      <c r="P233" t="e">
        <f>IF(#REF!,"AAAAAHtb3w8=",0)</f>
        <v>#REF!</v>
      </c>
      <c r="Q233" t="e">
        <f>IF(#REF!,"AAAAAHtb3xA=",0)</f>
        <v>#REF!</v>
      </c>
      <c r="R233" t="e">
        <f>IF(#REF!,"AAAAAHtb3xE=",0)</f>
        <v>#REF!</v>
      </c>
      <c r="S233" t="e">
        <f>IF(#REF!,"AAAAAHtb3xI=",0)</f>
        <v>#REF!</v>
      </c>
      <c r="T233" t="e">
        <f>IF(#REF!,"AAAAAHtb3xM=",0)</f>
        <v>#REF!</v>
      </c>
      <c r="U233" t="e">
        <f>IF(#REF!,"AAAAAHtb3xQ=",0)</f>
        <v>#REF!</v>
      </c>
      <c r="V233" t="e">
        <f>IF(#REF!,"AAAAAHtb3xU=",0)</f>
        <v>#REF!</v>
      </c>
      <c r="W233" t="e">
        <f>IF(#REF!,"AAAAAHtb3xY=",0)</f>
        <v>#REF!</v>
      </c>
      <c r="X233" t="e">
        <f>IF(#REF!,"AAAAAHtb3xc=",0)</f>
        <v>#REF!</v>
      </c>
      <c r="Y233" t="e">
        <f>IF(#REF!,"AAAAAHtb3xg=",0)</f>
        <v>#REF!</v>
      </c>
      <c r="Z233" t="e">
        <f>IF(#REF!,"AAAAAHtb3xk=",0)</f>
        <v>#REF!</v>
      </c>
      <c r="AA233" t="e">
        <f>IF(#REF!,"AAAAAHtb3xo=",0)</f>
        <v>#REF!</v>
      </c>
      <c r="AB233" t="e">
        <f>IF(#REF!,"AAAAAHtb3xs=",0)</f>
        <v>#REF!</v>
      </c>
      <c r="AC233" t="e">
        <f>IF(#REF!,"AAAAAHtb3xw=",0)</f>
        <v>#REF!</v>
      </c>
      <c r="AD233" t="e">
        <f>IF(#REF!,"AAAAAHtb3x0=",0)</f>
        <v>#REF!</v>
      </c>
      <c r="AE233" t="e">
        <f>IF(#REF!,"AAAAAHtb3x4=",0)</f>
        <v>#REF!</v>
      </c>
      <c r="AF233" t="e">
        <f>IF(#REF!,"AAAAAHtb3x8=",0)</f>
        <v>#REF!</v>
      </c>
      <c r="AG233" t="e">
        <f>IF(#REF!,"AAAAAHtb3yA=",0)</f>
        <v>#REF!</v>
      </c>
      <c r="AH233" t="e">
        <f>IF(#REF!,"AAAAAHtb3yE=",0)</f>
        <v>#REF!</v>
      </c>
      <c r="AI233" t="e">
        <f>IF(#REF!,"AAAAAHtb3yI=",0)</f>
        <v>#REF!</v>
      </c>
      <c r="AJ233" t="e">
        <f>IF(#REF!,"AAAAAHtb3yM=",0)</f>
        <v>#REF!</v>
      </c>
      <c r="AK233" t="e">
        <f>IF(#REF!,"AAAAAHtb3yQ=",0)</f>
        <v>#REF!</v>
      </c>
      <c r="AL233" t="e">
        <f>IF(#REF!,"AAAAAHtb3yU=",0)</f>
        <v>#REF!</v>
      </c>
      <c r="AM233" t="e">
        <f>IF(#REF!,"AAAAAHtb3yY=",0)</f>
        <v>#REF!</v>
      </c>
      <c r="AN233" t="e">
        <f>IF(#REF!,"AAAAAHtb3yc=",0)</f>
        <v>#REF!</v>
      </c>
      <c r="AO233" t="e">
        <f>IF(#REF!,"AAAAAHtb3yg=",0)</f>
        <v>#REF!</v>
      </c>
      <c r="AP233" t="e">
        <f>IF(#REF!,"AAAAAHtb3yk=",0)</f>
        <v>#REF!</v>
      </c>
      <c r="AQ233" t="e">
        <f>IF(#REF!,"AAAAAHtb3yo=",0)</f>
        <v>#REF!</v>
      </c>
      <c r="AR233" t="e">
        <f>IF(#REF!,"AAAAAHtb3ys=",0)</f>
        <v>#REF!</v>
      </c>
      <c r="AS233" t="e">
        <f>IF(#REF!,"AAAAAHtb3yw=",0)</f>
        <v>#REF!</v>
      </c>
      <c r="AT233" t="e">
        <f>IF(#REF!,"AAAAAHtb3y0=",0)</f>
        <v>#REF!</v>
      </c>
      <c r="AU233" t="e">
        <f>IF(#REF!,"AAAAAHtb3y4=",0)</f>
        <v>#REF!</v>
      </c>
      <c r="AV233" t="e">
        <f>IF(#REF!,"AAAAAHtb3y8=",0)</f>
        <v>#REF!</v>
      </c>
      <c r="AW233" t="e">
        <f>IF(#REF!,"AAAAAHtb3zA=",0)</f>
        <v>#REF!</v>
      </c>
      <c r="AX233" t="e">
        <f>IF(#REF!,"AAAAAHtb3zE=",0)</f>
        <v>#REF!</v>
      </c>
      <c r="AY233" t="e">
        <f>IF(#REF!,"AAAAAHtb3zI=",0)</f>
        <v>#REF!</v>
      </c>
      <c r="AZ233" t="e">
        <f>IF(#REF!,"AAAAAHtb3zM=",0)</f>
        <v>#REF!</v>
      </c>
      <c r="BA233" t="e">
        <f>IF(#REF!,"AAAAAHtb3zQ=",0)</f>
        <v>#REF!</v>
      </c>
      <c r="BB233" t="e">
        <f>IF(#REF!,"AAAAAHtb3zU=",0)</f>
        <v>#REF!</v>
      </c>
      <c r="BC233" t="e">
        <f>IF(#REF!,"AAAAAHtb3zY=",0)</f>
        <v>#REF!</v>
      </c>
      <c r="BD233" t="e">
        <f>IF(#REF!,"AAAAAHtb3zc=",0)</f>
        <v>#REF!</v>
      </c>
      <c r="BE233" t="e">
        <f>IF(#REF!,"AAAAAHtb3zg=",0)</f>
        <v>#REF!</v>
      </c>
      <c r="BF233" t="e">
        <f>IF(#REF!,"AAAAAHtb3zk=",0)</f>
        <v>#REF!</v>
      </c>
      <c r="BG233" t="e">
        <f>IF(#REF!,"AAAAAHtb3zo=",0)</f>
        <v>#REF!</v>
      </c>
      <c r="BH233" t="e">
        <f>IF(#REF!,"AAAAAHtb3zs=",0)</f>
        <v>#REF!</v>
      </c>
      <c r="BI233" t="e">
        <f>IF(#REF!,"AAAAAHtb3zw=",0)</f>
        <v>#REF!</v>
      </c>
      <c r="BJ233" t="e">
        <f>IF(#REF!,"AAAAAHtb3z0=",0)</f>
        <v>#REF!</v>
      </c>
      <c r="BK233" t="e">
        <f>IF(#REF!,"AAAAAHtb3z4=",0)</f>
        <v>#REF!</v>
      </c>
      <c r="BL233" t="e">
        <f>IF(#REF!,"AAAAAHtb3z8=",0)</f>
        <v>#REF!</v>
      </c>
      <c r="BM233" t="e">
        <f>IF(#REF!,"AAAAAHtb30A=",0)</f>
        <v>#REF!</v>
      </c>
      <c r="BN233" t="e">
        <f>IF(#REF!,"AAAAAHtb30E=",0)</f>
        <v>#REF!</v>
      </c>
      <c r="BO233" t="e">
        <f>IF(#REF!,"AAAAAHtb30I=",0)</f>
        <v>#REF!</v>
      </c>
      <c r="BP233" t="e">
        <f>IF(#REF!,"AAAAAHtb30M=",0)</f>
        <v>#REF!</v>
      </c>
      <c r="BQ233" t="e">
        <f>IF(#REF!,"AAAAAHtb30Q=",0)</f>
        <v>#REF!</v>
      </c>
      <c r="BR233" t="e">
        <f>IF(#REF!,"AAAAAHtb30U=",0)</f>
        <v>#REF!</v>
      </c>
      <c r="BS233" t="e">
        <f>IF(#REF!,"AAAAAHtb30Y=",0)</f>
        <v>#REF!</v>
      </c>
      <c r="BT233" t="e">
        <f>IF(#REF!,"AAAAAHtb30c=",0)</f>
        <v>#REF!</v>
      </c>
      <c r="BU233" t="e">
        <f>IF(#REF!,"AAAAAHtb30g=",0)</f>
        <v>#REF!</v>
      </c>
      <c r="BV233" t="e">
        <f>IF(#REF!,"AAAAAHtb30k=",0)</f>
        <v>#REF!</v>
      </c>
      <c r="BW233" t="e">
        <f>IF(#REF!,"AAAAAHtb30o=",0)</f>
        <v>#REF!</v>
      </c>
      <c r="BX233" t="e">
        <f>IF(#REF!,"AAAAAHtb30s=",0)</f>
        <v>#REF!</v>
      </c>
      <c r="BY233" t="e">
        <f>IF(#REF!,"AAAAAHtb30w=",0)</f>
        <v>#REF!</v>
      </c>
      <c r="BZ233" t="e">
        <f>IF(#REF!,"AAAAAHtb300=",0)</f>
        <v>#REF!</v>
      </c>
      <c r="CA233" t="e">
        <f>IF(#REF!,"AAAAAHtb304=",0)</f>
        <v>#REF!</v>
      </c>
      <c r="CB233" t="e">
        <f>IF(#REF!,"AAAAAHtb308=",0)</f>
        <v>#REF!</v>
      </c>
      <c r="CC233" t="e">
        <f>IF(#REF!,"AAAAAHtb31A=",0)</f>
        <v>#REF!</v>
      </c>
      <c r="CD233" t="e">
        <f>IF(#REF!,"AAAAAHtb31E=",0)</f>
        <v>#REF!</v>
      </c>
      <c r="CE233" t="e">
        <f>IF(#REF!,"AAAAAHtb31I=",0)</f>
        <v>#REF!</v>
      </c>
      <c r="CF233" t="e">
        <f>IF(#REF!,"AAAAAHtb31M=",0)</f>
        <v>#REF!</v>
      </c>
      <c r="CG233" t="e">
        <f>IF(#REF!,"AAAAAHtb31Q=",0)</f>
        <v>#REF!</v>
      </c>
      <c r="CH233" t="e">
        <f>IF(#REF!,"AAAAAHtb31U=",0)</f>
        <v>#REF!</v>
      </c>
      <c r="CI233" t="e">
        <f>IF(#REF!,"AAAAAHtb31Y=",0)</f>
        <v>#REF!</v>
      </c>
      <c r="CJ233" t="e">
        <f>IF(#REF!,"AAAAAHtb31c=",0)</f>
        <v>#REF!</v>
      </c>
      <c r="CK233" t="e">
        <f>IF(#REF!,"AAAAAHtb31g=",0)</f>
        <v>#REF!</v>
      </c>
      <c r="CL233" t="e">
        <f>IF(#REF!,"AAAAAHtb31k=",0)</f>
        <v>#REF!</v>
      </c>
      <c r="CM233" t="e">
        <f>IF(#REF!,"AAAAAHtb31o=",0)</f>
        <v>#REF!</v>
      </c>
      <c r="CN233" t="e">
        <f>IF(#REF!,"AAAAAHtb31s=",0)</f>
        <v>#REF!</v>
      </c>
      <c r="CO233" t="e">
        <f>IF(#REF!,"AAAAAHtb31w=",0)</f>
        <v>#REF!</v>
      </c>
      <c r="CP233" t="e">
        <f>IF(#REF!,"AAAAAHtb310=",0)</f>
        <v>#REF!</v>
      </c>
      <c r="CQ233" t="e">
        <f>IF(#REF!,"AAAAAHtb314=",0)</f>
        <v>#REF!</v>
      </c>
      <c r="CR233" t="e">
        <f>IF(#REF!,"AAAAAHtb318=",0)</f>
        <v>#REF!</v>
      </c>
      <c r="CS233" t="e">
        <f>IF(#REF!,"AAAAAHtb32A=",0)</f>
        <v>#REF!</v>
      </c>
      <c r="CT233" t="e">
        <f>IF(#REF!,"AAAAAHtb32E=",0)</f>
        <v>#REF!</v>
      </c>
      <c r="CU233" t="e">
        <f>IF(#REF!,"AAAAAHtb32I=",0)</f>
        <v>#REF!</v>
      </c>
      <c r="CV233" t="e">
        <f>IF(#REF!,"AAAAAHtb32M=",0)</f>
        <v>#REF!</v>
      </c>
      <c r="CW233" t="e">
        <f>IF(#REF!,"AAAAAHtb32Q=",0)</f>
        <v>#REF!</v>
      </c>
      <c r="CX233" t="e">
        <f>IF(#REF!,"AAAAAHtb32U=",0)</f>
        <v>#REF!</v>
      </c>
      <c r="CY233" t="e">
        <f>IF(#REF!,"AAAAAHtb32Y=",0)</f>
        <v>#REF!</v>
      </c>
      <c r="CZ233" t="e">
        <f>IF(#REF!,"AAAAAHtb32c=",0)</f>
        <v>#REF!</v>
      </c>
      <c r="DA233" t="e">
        <f>IF(#REF!,"AAAAAHtb32g=",0)</f>
        <v>#REF!</v>
      </c>
      <c r="DB233" t="e">
        <f>IF(#REF!,"AAAAAHtb32k=",0)</f>
        <v>#REF!</v>
      </c>
      <c r="DC233" t="e">
        <f>IF(#REF!,"AAAAAHtb32o=",0)</f>
        <v>#REF!</v>
      </c>
      <c r="DD233" t="e">
        <f>IF(#REF!,"AAAAAHtb32s=",0)</f>
        <v>#REF!</v>
      </c>
      <c r="DE233" t="e">
        <f>IF(#REF!,"AAAAAHtb32w=",0)</f>
        <v>#REF!</v>
      </c>
      <c r="DF233" t="e">
        <f>IF(#REF!,"AAAAAHtb320=",0)</f>
        <v>#REF!</v>
      </c>
      <c r="DG233" t="e">
        <f>IF(#REF!,"AAAAAHtb324=",0)</f>
        <v>#REF!</v>
      </c>
      <c r="DH233" t="e">
        <f>IF(#REF!,"AAAAAHtb328=",0)</f>
        <v>#REF!</v>
      </c>
      <c r="DI233" t="e">
        <f>IF(#REF!,"AAAAAHtb33A=",0)</f>
        <v>#REF!</v>
      </c>
      <c r="DJ233" t="e">
        <f>IF(#REF!,"AAAAAHtb33E=",0)</f>
        <v>#REF!</v>
      </c>
      <c r="DK233" t="e">
        <f>IF(#REF!,"AAAAAHtb33I=",0)</f>
        <v>#REF!</v>
      </c>
      <c r="DL233" t="e">
        <f>IF(#REF!,"AAAAAHtb33M=",0)</f>
        <v>#REF!</v>
      </c>
      <c r="DM233" t="e">
        <f>IF(#REF!,"AAAAAHtb33Q=",0)</f>
        <v>#REF!</v>
      </c>
      <c r="DN233" t="e">
        <f>IF(#REF!,"AAAAAHtb33U=",0)</f>
        <v>#REF!</v>
      </c>
      <c r="DO233" t="e">
        <f>IF(#REF!,"AAAAAHtb33Y=",0)</f>
        <v>#REF!</v>
      </c>
      <c r="DP233" t="e">
        <f>IF(#REF!,"AAAAAHtb33c=",0)</f>
        <v>#REF!</v>
      </c>
      <c r="DQ233" t="e">
        <f>IF(#REF!,"AAAAAHtb33g=",0)</f>
        <v>#REF!</v>
      </c>
      <c r="DR233" t="e">
        <f>IF(#REF!,"AAAAAHtb33k=",0)</f>
        <v>#REF!</v>
      </c>
      <c r="DS233" t="e">
        <f>IF(#REF!,"AAAAAHtb33o=",0)</f>
        <v>#REF!</v>
      </c>
      <c r="DT233" t="e">
        <f>IF(#REF!,"AAAAAHtb33s=",0)</f>
        <v>#REF!</v>
      </c>
      <c r="DU233" t="e">
        <f>IF(#REF!,"AAAAAHtb33w=",0)</f>
        <v>#REF!</v>
      </c>
      <c r="DV233" t="e">
        <f>IF(#REF!,"AAAAAHtb330=",0)</f>
        <v>#REF!</v>
      </c>
      <c r="DW233" t="e">
        <f>IF(#REF!,"AAAAAHtb334=",0)</f>
        <v>#REF!</v>
      </c>
      <c r="DX233" t="e">
        <f>IF(#REF!,"AAAAAHtb338=",0)</f>
        <v>#REF!</v>
      </c>
      <c r="DY233" t="e">
        <f>IF(#REF!,"AAAAAHtb34A=",0)</f>
        <v>#REF!</v>
      </c>
      <c r="DZ233" t="e">
        <f>IF(#REF!,"AAAAAHtb34E=",0)</f>
        <v>#REF!</v>
      </c>
      <c r="EA233" t="e">
        <f>IF(#REF!,"AAAAAHtb34I=",0)</f>
        <v>#REF!</v>
      </c>
      <c r="EB233" t="e">
        <f>IF(#REF!,"AAAAAHtb34M=",0)</f>
        <v>#REF!</v>
      </c>
      <c r="EC233" t="e">
        <f>IF(#REF!,"AAAAAHtb34Q=",0)</f>
        <v>#REF!</v>
      </c>
      <c r="ED233" t="e">
        <f>IF(#REF!,"AAAAAHtb34U=",0)</f>
        <v>#REF!</v>
      </c>
      <c r="EE233" t="e">
        <f>IF(#REF!,"AAAAAHtb34Y=",0)</f>
        <v>#REF!</v>
      </c>
      <c r="EF233" t="e">
        <f>IF(#REF!,"AAAAAHtb34c=",0)</f>
        <v>#REF!</v>
      </c>
      <c r="EG233" t="e">
        <f>IF(#REF!,"AAAAAHtb34g=",0)</f>
        <v>#REF!</v>
      </c>
      <c r="EH233" t="e">
        <f>IF(#REF!,"AAAAAHtb34k=",0)</f>
        <v>#REF!</v>
      </c>
      <c r="EI233" t="e">
        <f>IF(#REF!,"AAAAAHtb34o=",0)</f>
        <v>#REF!</v>
      </c>
      <c r="EJ233" t="e">
        <f>IF(#REF!,"AAAAAHtb34s=",0)</f>
        <v>#REF!</v>
      </c>
      <c r="EK233" t="e">
        <f>IF(#REF!,"AAAAAHtb34w=",0)</f>
        <v>#REF!</v>
      </c>
      <c r="EL233" t="e">
        <f>IF(#REF!,"AAAAAHtb340=",0)</f>
        <v>#REF!</v>
      </c>
      <c r="EM233" t="e">
        <f>IF(#REF!,"AAAAAHtb344=",0)</f>
        <v>#REF!</v>
      </c>
      <c r="EN233" t="e">
        <f>IF(#REF!,"AAAAAHtb348=",0)</f>
        <v>#REF!</v>
      </c>
      <c r="EO233" t="e">
        <f>IF(#REF!,"AAAAAHtb35A=",0)</f>
        <v>#REF!</v>
      </c>
      <c r="EP233" t="e">
        <f>IF(#REF!,"AAAAAHtb35E=",0)</f>
        <v>#REF!</v>
      </c>
      <c r="EQ233" t="e">
        <f>IF(#REF!,"AAAAAHtb35I=",0)</f>
        <v>#REF!</v>
      </c>
      <c r="ER233" t="e">
        <f>IF(#REF!,"AAAAAHtb35M=",0)</f>
        <v>#REF!</v>
      </c>
      <c r="ES233" t="e">
        <f>IF(#REF!,"AAAAAHtb35Q=",0)</f>
        <v>#REF!</v>
      </c>
      <c r="ET233" t="e">
        <f>IF(#REF!,"AAAAAHtb35U=",0)</f>
        <v>#REF!</v>
      </c>
      <c r="EU233" t="e">
        <f>IF(#REF!,"AAAAAHtb35Y=",0)</f>
        <v>#REF!</v>
      </c>
      <c r="EV233" t="e">
        <f>IF(#REF!,"AAAAAHtb35c=",0)</f>
        <v>#REF!</v>
      </c>
      <c r="EW233" t="e">
        <f>IF(#REF!,"AAAAAHtb35g=",0)</f>
        <v>#REF!</v>
      </c>
      <c r="EX233" t="e">
        <f>IF(#REF!,"AAAAAHtb35k=",0)</f>
        <v>#REF!</v>
      </c>
      <c r="EY233" t="e">
        <f>IF(#REF!,"AAAAAHtb35o=",0)</f>
        <v>#REF!</v>
      </c>
      <c r="EZ233" t="e">
        <f>IF(#REF!,"AAAAAHtb35s=",0)</f>
        <v>#REF!</v>
      </c>
      <c r="FA233" t="e">
        <f>IF(#REF!,"AAAAAHtb35w=",0)</f>
        <v>#REF!</v>
      </c>
      <c r="FB233" t="e">
        <f>IF(#REF!,"AAAAAHtb350=",0)</f>
        <v>#REF!</v>
      </c>
      <c r="FC233" t="e">
        <f>IF(#REF!,"AAAAAHtb354=",0)</f>
        <v>#REF!</v>
      </c>
      <c r="FD233" t="e">
        <f>IF(#REF!,"AAAAAHtb358=",0)</f>
        <v>#REF!</v>
      </c>
      <c r="FE233" t="e">
        <f>IF(#REF!,"AAAAAHtb36A=",0)</f>
        <v>#REF!</v>
      </c>
      <c r="FF233" t="e">
        <f>IF(#REF!,"AAAAAHtb36E=",0)</f>
        <v>#REF!</v>
      </c>
      <c r="FG233" t="e">
        <f>IF(#REF!,"AAAAAHtb36I=",0)</f>
        <v>#REF!</v>
      </c>
      <c r="FH233" t="e">
        <f>IF(#REF!,"AAAAAHtb36M=",0)</f>
        <v>#REF!</v>
      </c>
      <c r="FI233" t="e">
        <f>IF(#REF!,"AAAAAHtb36Q=",0)</f>
        <v>#REF!</v>
      </c>
      <c r="FJ233" t="e">
        <f>IF(#REF!,"AAAAAHtb36U=",0)</f>
        <v>#REF!</v>
      </c>
      <c r="FK233" t="e">
        <f>IF(#REF!,"AAAAAHtb36Y=",0)</f>
        <v>#REF!</v>
      </c>
      <c r="FL233" t="e">
        <f>IF(#REF!,"AAAAAHtb36c=",0)</f>
        <v>#REF!</v>
      </c>
      <c r="FM233" t="e">
        <f>IF(#REF!,"AAAAAHtb36g=",0)</f>
        <v>#REF!</v>
      </c>
      <c r="FN233" t="e">
        <f>IF(#REF!,"AAAAAHtb36k=",0)</f>
        <v>#REF!</v>
      </c>
      <c r="FO233" t="e">
        <f>IF(#REF!,"AAAAAHtb36o=",0)</f>
        <v>#REF!</v>
      </c>
      <c r="FP233" t="e">
        <f>IF(#REF!,"AAAAAHtb36s=",0)</f>
        <v>#REF!</v>
      </c>
      <c r="FQ233" t="e">
        <f>IF(#REF!,"AAAAAHtb36w=",0)</f>
        <v>#REF!</v>
      </c>
      <c r="FR233" t="e">
        <f>IF(#REF!,"AAAAAHtb360=",0)</f>
        <v>#REF!</v>
      </c>
      <c r="FS233" t="e">
        <f>IF(#REF!,"AAAAAHtb364=",0)</f>
        <v>#REF!</v>
      </c>
      <c r="FT233" t="e">
        <f>IF(#REF!,"AAAAAHtb368=",0)</f>
        <v>#REF!</v>
      </c>
      <c r="FU233" t="e">
        <f>IF(#REF!,"AAAAAHtb37A=",0)</f>
        <v>#REF!</v>
      </c>
      <c r="FV233" t="e">
        <f>IF(#REF!,"AAAAAHtb37E=",0)</f>
        <v>#REF!</v>
      </c>
      <c r="FW233" t="e">
        <f>IF(#REF!,"AAAAAHtb37I=",0)</f>
        <v>#REF!</v>
      </c>
      <c r="FX233" t="e">
        <f>IF(#REF!,"AAAAAHtb37M=",0)</f>
        <v>#REF!</v>
      </c>
      <c r="FY233" t="e">
        <f>IF(#REF!,"AAAAAHtb37Q=",0)</f>
        <v>#REF!</v>
      </c>
      <c r="FZ233" t="e">
        <f>IF(#REF!,"AAAAAHtb37U=",0)</f>
        <v>#REF!</v>
      </c>
      <c r="GA233" t="e">
        <f>IF(#REF!,"AAAAAHtb37Y=",0)</f>
        <v>#REF!</v>
      </c>
      <c r="GB233" t="e">
        <f>IF(#REF!,"AAAAAHtb37c=",0)</f>
        <v>#REF!</v>
      </c>
      <c r="GC233" t="e">
        <f>IF(#REF!,"AAAAAHtb37g=",0)</f>
        <v>#REF!</v>
      </c>
      <c r="GD233" t="e">
        <f>IF(#REF!,"AAAAAHtb37k=",0)</f>
        <v>#REF!</v>
      </c>
      <c r="GE233" t="e">
        <f>IF(#REF!,"AAAAAHtb37o=",0)</f>
        <v>#REF!</v>
      </c>
      <c r="GF233" t="e">
        <f>IF(#REF!,"AAAAAHtb37s=",0)</f>
        <v>#REF!</v>
      </c>
      <c r="GG233" t="e">
        <f>IF(#REF!,"AAAAAHtb37w=",0)</f>
        <v>#REF!</v>
      </c>
      <c r="GH233" t="e">
        <f>IF(#REF!,"AAAAAHtb370=",0)</f>
        <v>#REF!</v>
      </c>
      <c r="GI233" t="e">
        <f>IF(#REF!,"AAAAAHtb374=",0)</f>
        <v>#REF!</v>
      </c>
      <c r="GJ233" t="e">
        <f>IF(#REF!,"AAAAAHtb378=",0)</f>
        <v>#REF!</v>
      </c>
      <c r="GK233" t="e">
        <f>IF(#REF!,"AAAAAHtb38A=",0)</f>
        <v>#REF!</v>
      </c>
      <c r="GL233" t="e">
        <f>IF(#REF!,"AAAAAHtb38E=",0)</f>
        <v>#REF!</v>
      </c>
      <c r="GM233" t="e">
        <f>IF(#REF!,"AAAAAHtb38I=",0)</f>
        <v>#REF!</v>
      </c>
      <c r="GN233" t="e">
        <f>IF(#REF!,"AAAAAHtb38M=",0)</f>
        <v>#REF!</v>
      </c>
      <c r="GO233" t="e">
        <f>IF(#REF!,"AAAAAHtb38Q=",0)</f>
        <v>#REF!</v>
      </c>
      <c r="GP233" t="e">
        <f>IF(#REF!,"AAAAAHtb38U=",0)</f>
        <v>#REF!</v>
      </c>
      <c r="GQ233" t="e">
        <f>IF(#REF!,"AAAAAHtb38Y=",0)</f>
        <v>#REF!</v>
      </c>
      <c r="GR233" t="e">
        <f>IF(#REF!,"AAAAAHtb38c=",0)</f>
        <v>#REF!</v>
      </c>
      <c r="GS233" t="e">
        <f>IF(#REF!,"AAAAAHtb38g=",0)</f>
        <v>#REF!</v>
      </c>
      <c r="GT233" t="e">
        <f>IF(#REF!,"AAAAAHtb38k=",0)</f>
        <v>#REF!</v>
      </c>
      <c r="GU233" t="e">
        <f>IF(#REF!,"AAAAAHtb38o=",0)</f>
        <v>#REF!</v>
      </c>
      <c r="GV233" t="e">
        <f>IF(#REF!,"AAAAAHtb38s=",0)</f>
        <v>#REF!</v>
      </c>
      <c r="GW233" t="e">
        <f>IF(#REF!,"AAAAAHtb38w=",0)</f>
        <v>#REF!</v>
      </c>
      <c r="GX233" t="e">
        <f>IF(#REF!,"AAAAAHtb380=",0)</f>
        <v>#REF!</v>
      </c>
      <c r="GY233" t="e">
        <f>IF(#REF!,"AAAAAHtb384=",0)</f>
        <v>#REF!</v>
      </c>
      <c r="GZ233" t="e">
        <f>IF(#REF!,"AAAAAHtb388=",0)</f>
        <v>#REF!</v>
      </c>
      <c r="HA233" t="e">
        <f>IF(#REF!,"AAAAAHtb39A=",0)</f>
        <v>#REF!</v>
      </c>
      <c r="HB233" t="e">
        <f>IF(#REF!,"AAAAAHtb39E=",0)</f>
        <v>#REF!</v>
      </c>
      <c r="HC233" t="e">
        <f>IF(#REF!,"AAAAAHtb39I=",0)</f>
        <v>#REF!</v>
      </c>
      <c r="HD233" t="e">
        <f>IF(#REF!,"AAAAAHtb39M=",0)</f>
        <v>#REF!</v>
      </c>
      <c r="HE233" t="e">
        <f>IF(#REF!,"AAAAAHtb39Q=",0)</f>
        <v>#REF!</v>
      </c>
      <c r="HF233" t="e">
        <f>IF(#REF!,"AAAAAHtb39U=",0)</f>
        <v>#REF!</v>
      </c>
      <c r="HG233" t="e">
        <f>IF(#REF!,"AAAAAHtb39Y=",0)</f>
        <v>#REF!</v>
      </c>
      <c r="HH233" t="e">
        <f>IF(#REF!,"AAAAAHtb39c=",0)</f>
        <v>#REF!</v>
      </c>
      <c r="HI233" t="e">
        <f>IF(#REF!,"AAAAAHtb39g=",0)</f>
        <v>#REF!</v>
      </c>
      <c r="HJ233" t="e">
        <f>IF(#REF!,"AAAAAHtb39k=",0)</f>
        <v>#REF!</v>
      </c>
      <c r="HK233" t="e">
        <f>IF(#REF!,"AAAAAHtb39o=",0)</f>
        <v>#REF!</v>
      </c>
      <c r="HL233" t="e">
        <f>IF(#REF!,"AAAAAHtb39s=",0)</f>
        <v>#REF!</v>
      </c>
      <c r="HM233" t="e">
        <f>IF(#REF!,"AAAAAHtb39w=",0)</f>
        <v>#REF!</v>
      </c>
      <c r="HN233" t="e">
        <f>IF(#REF!,"AAAAAHtb390=",0)</f>
        <v>#REF!</v>
      </c>
      <c r="HO233" t="e">
        <f>IF(#REF!,"AAAAAHtb394=",0)</f>
        <v>#REF!</v>
      </c>
      <c r="HP233" t="e">
        <f>IF(#REF!,"AAAAAHtb398=",0)</f>
        <v>#REF!</v>
      </c>
      <c r="HQ233" t="e">
        <f>IF(#REF!,"AAAAAHtb3+A=",0)</f>
        <v>#REF!</v>
      </c>
      <c r="HR233" t="e">
        <f>IF(#REF!,"AAAAAHtb3+E=",0)</f>
        <v>#REF!</v>
      </c>
      <c r="HS233" t="e">
        <f>IF(#REF!,"AAAAAHtb3+I=",0)</f>
        <v>#REF!</v>
      </c>
      <c r="HT233" t="e">
        <f>IF(#REF!,"AAAAAHtb3+M=",0)</f>
        <v>#REF!</v>
      </c>
      <c r="HU233" t="e">
        <f>IF(#REF!,"AAAAAHtb3+Q=",0)</f>
        <v>#REF!</v>
      </c>
      <c r="HV233" t="e">
        <f>IF(#REF!,"AAAAAHtb3+U=",0)</f>
        <v>#REF!</v>
      </c>
      <c r="HW233" t="e">
        <f>IF(#REF!,"AAAAAHtb3+Y=",0)</f>
        <v>#REF!</v>
      </c>
      <c r="HX233" t="e">
        <f>IF(#REF!,"AAAAAHtb3+c=",0)</f>
        <v>#REF!</v>
      </c>
      <c r="HY233" t="e">
        <f>IF(#REF!,"AAAAAHtb3+g=",0)</f>
        <v>#REF!</v>
      </c>
      <c r="HZ233" t="e">
        <f>IF(#REF!,"AAAAAHtb3+k=",0)</f>
        <v>#REF!</v>
      </c>
      <c r="IA233" t="e">
        <f>IF(#REF!,"AAAAAHtb3+o=",0)</f>
        <v>#REF!</v>
      </c>
      <c r="IB233" t="e">
        <f>IF(#REF!,"AAAAAHtb3+s=",0)</f>
        <v>#REF!</v>
      </c>
      <c r="IC233" t="e">
        <f>IF(#REF!,"AAAAAHtb3+w=",0)</f>
        <v>#REF!</v>
      </c>
      <c r="ID233" t="e">
        <f>IF(#REF!,"AAAAAHtb3+0=",0)</f>
        <v>#REF!</v>
      </c>
      <c r="IE233" t="e">
        <f>IF(#REF!,"AAAAAHtb3+4=",0)</f>
        <v>#REF!</v>
      </c>
      <c r="IF233" t="e">
        <f>IF(#REF!,"AAAAAHtb3+8=",0)</f>
        <v>#REF!</v>
      </c>
      <c r="IG233" t="e">
        <f>IF(#REF!,"AAAAAHtb3/A=",0)</f>
        <v>#REF!</v>
      </c>
      <c r="IH233" t="e">
        <f>IF(#REF!,"AAAAAHtb3/E=",0)</f>
        <v>#REF!</v>
      </c>
      <c r="II233" t="e">
        <f>IF(#REF!,"AAAAAHtb3/I=",0)</f>
        <v>#REF!</v>
      </c>
      <c r="IJ233" t="e">
        <f>IF(#REF!,"AAAAAHtb3/M=",0)</f>
        <v>#REF!</v>
      </c>
      <c r="IK233" t="e">
        <f>IF(#REF!,"AAAAAHtb3/Q=",0)</f>
        <v>#REF!</v>
      </c>
      <c r="IL233" t="e">
        <f>IF(#REF!,"AAAAAHtb3/U=",0)</f>
        <v>#REF!</v>
      </c>
      <c r="IM233" t="e">
        <f>IF(#REF!,"AAAAAHtb3/Y=",0)</f>
        <v>#REF!</v>
      </c>
      <c r="IN233" t="e">
        <f>IF(#REF!,"AAAAAHtb3/c=",0)</f>
        <v>#REF!</v>
      </c>
      <c r="IO233" t="e">
        <f>IF(#REF!,"AAAAAHtb3/g=",0)</f>
        <v>#REF!</v>
      </c>
      <c r="IP233" t="e">
        <f>IF(#REF!,"AAAAAHtb3/k=",0)</f>
        <v>#REF!</v>
      </c>
      <c r="IQ233" t="e">
        <f>IF(#REF!,"AAAAAHtb3/o=",0)</f>
        <v>#REF!</v>
      </c>
      <c r="IR233" t="e">
        <f>IF(#REF!,"AAAAAHtb3/s=",0)</f>
        <v>#REF!</v>
      </c>
      <c r="IS233" t="e">
        <f>IF(#REF!,"AAAAAHtb3/w=",0)</f>
        <v>#REF!</v>
      </c>
      <c r="IT233" t="e">
        <f>IF(#REF!,"AAAAAHtb3/0=",0)</f>
        <v>#REF!</v>
      </c>
      <c r="IU233" t="e">
        <f>IF(#REF!,"AAAAAHtb3/4=",0)</f>
        <v>#REF!</v>
      </c>
      <c r="IV233" t="e">
        <f>IF(#REF!,"AAAAAHtb3/8=",0)</f>
        <v>#REF!</v>
      </c>
    </row>
    <row r="234" spans="1:256">
      <c r="A234" t="e">
        <f>IF(#REF!,"AAAAAH673wA=",0)</f>
        <v>#REF!</v>
      </c>
      <c r="B234" t="e">
        <f>IF(#REF!,"AAAAAH673wE=",0)</f>
        <v>#REF!</v>
      </c>
      <c r="C234" t="e">
        <f>IF(#REF!,"AAAAAH673wI=",0)</f>
        <v>#REF!</v>
      </c>
      <c r="D234" t="e">
        <f>IF(#REF!,"AAAAAH673wM=",0)</f>
        <v>#REF!</v>
      </c>
      <c r="E234" t="e">
        <f>IF(#REF!,"AAAAAH673wQ=",0)</f>
        <v>#REF!</v>
      </c>
      <c r="F234" t="e">
        <f>IF(#REF!,"AAAAAH673wU=",0)</f>
        <v>#REF!</v>
      </c>
      <c r="G234" t="e">
        <f>IF(#REF!,"AAAAAH673wY=",0)</f>
        <v>#REF!</v>
      </c>
      <c r="H234" t="e">
        <f>IF(#REF!,"AAAAAH673wc=",0)</f>
        <v>#REF!</v>
      </c>
      <c r="I234" t="e">
        <f>IF(#REF!,"AAAAAH673wg=",0)</f>
        <v>#REF!</v>
      </c>
      <c r="J234" t="e">
        <f>IF(#REF!,"AAAAAH673wk=",0)</f>
        <v>#REF!</v>
      </c>
      <c r="K234" t="e">
        <f>IF(#REF!,"AAAAAH673wo=",0)</f>
        <v>#REF!</v>
      </c>
      <c r="L234" t="e">
        <f>IF(#REF!,"AAAAAH673ws=",0)</f>
        <v>#REF!</v>
      </c>
      <c r="M234" t="e">
        <f>IF(#REF!,"AAAAAH673ww=",0)</f>
        <v>#REF!</v>
      </c>
      <c r="N234" t="e">
        <f>IF(#REF!,"AAAAAH673w0=",0)</f>
        <v>#REF!</v>
      </c>
      <c r="O234" t="e">
        <f>IF(#REF!,"AAAAAH673w4=",0)</f>
        <v>#REF!</v>
      </c>
      <c r="P234" t="e">
        <f>IF(#REF!,"AAAAAH673w8=",0)</f>
        <v>#REF!</v>
      </c>
      <c r="Q234" t="e">
        <f>IF(#REF!,"AAAAAH673xA=",0)</f>
        <v>#REF!</v>
      </c>
      <c r="R234" t="e">
        <f>IF(#REF!,"AAAAAH673xE=",0)</f>
        <v>#REF!</v>
      </c>
      <c r="S234" t="e">
        <f>IF(#REF!,"AAAAAH673xI=",0)</f>
        <v>#REF!</v>
      </c>
      <c r="T234" t="e">
        <f>IF(#REF!,"AAAAAH673xM=",0)</f>
        <v>#REF!</v>
      </c>
      <c r="U234" t="e">
        <f>IF(#REF!,"AAAAAH673xQ=",0)</f>
        <v>#REF!</v>
      </c>
      <c r="V234" t="e">
        <f>IF(#REF!,"AAAAAH673xU=",0)</f>
        <v>#REF!</v>
      </c>
      <c r="W234" t="e">
        <f>IF(#REF!,"AAAAAH673xY=",0)</f>
        <v>#REF!</v>
      </c>
      <c r="X234" t="e">
        <f>IF(#REF!,"AAAAAH673xc=",0)</f>
        <v>#REF!</v>
      </c>
      <c r="Y234" t="e">
        <f>IF(#REF!,"AAAAAH673xg=",0)</f>
        <v>#REF!</v>
      </c>
      <c r="Z234" t="e">
        <f>IF(#REF!,"AAAAAH673xk=",0)</f>
        <v>#REF!</v>
      </c>
      <c r="AA234" t="e">
        <f>IF(#REF!,"AAAAAH673xo=",0)</f>
        <v>#REF!</v>
      </c>
      <c r="AB234" t="e">
        <f>IF(#REF!,"AAAAAH673xs=",0)</f>
        <v>#REF!</v>
      </c>
      <c r="AC234" t="e">
        <f>IF(#REF!,"AAAAAH673xw=",0)</f>
        <v>#REF!</v>
      </c>
      <c r="AD234" t="e">
        <f>IF(#REF!,"AAAAAH673x0=",0)</f>
        <v>#REF!</v>
      </c>
      <c r="AE234" t="e">
        <f>IF(#REF!,"AAAAAH673x4=",0)</f>
        <v>#REF!</v>
      </c>
      <c r="AF234" t="e">
        <f>IF(#REF!,"AAAAAH673x8=",0)</f>
        <v>#REF!</v>
      </c>
      <c r="AG234" t="e">
        <f>IF(#REF!,"AAAAAH673yA=",0)</f>
        <v>#REF!</v>
      </c>
      <c r="AH234" t="e">
        <f>IF(#REF!,"AAAAAH673yE=",0)</f>
        <v>#REF!</v>
      </c>
      <c r="AI234" t="e">
        <f>IF(#REF!,"AAAAAH673yI=",0)</f>
        <v>#REF!</v>
      </c>
      <c r="AJ234" t="e">
        <f>IF(#REF!,"AAAAAH673yM=",0)</f>
        <v>#REF!</v>
      </c>
      <c r="AK234" t="e">
        <f>IF(#REF!,"AAAAAH673yQ=",0)</f>
        <v>#REF!</v>
      </c>
      <c r="AL234" t="e">
        <f>IF(#REF!,"AAAAAH673yU=",0)</f>
        <v>#REF!</v>
      </c>
      <c r="AM234" t="e">
        <f>IF(#REF!,"AAAAAH673yY=",0)</f>
        <v>#REF!</v>
      </c>
      <c r="AN234" t="e">
        <f>IF(#REF!,"AAAAAH673yc=",0)</f>
        <v>#REF!</v>
      </c>
      <c r="AO234" t="e">
        <f>IF(#REF!,"AAAAAH673yg=",0)</f>
        <v>#REF!</v>
      </c>
      <c r="AP234" t="e">
        <f>IF(#REF!,"AAAAAH673yk=",0)</f>
        <v>#REF!</v>
      </c>
      <c r="AQ234" t="e">
        <f>IF(#REF!,"AAAAAH673yo=",0)</f>
        <v>#REF!</v>
      </c>
      <c r="AR234" t="e">
        <f>IF(#REF!,"AAAAAH673ys=",0)</f>
        <v>#REF!</v>
      </c>
      <c r="AS234" t="e">
        <f>IF(#REF!,"AAAAAH673yw=",0)</f>
        <v>#REF!</v>
      </c>
      <c r="AT234" t="e">
        <f>IF(#REF!,"AAAAAH673y0=",0)</f>
        <v>#REF!</v>
      </c>
      <c r="AU234" t="e">
        <f>IF(#REF!,"AAAAAH673y4=",0)</f>
        <v>#REF!</v>
      </c>
      <c r="AV234" t="e">
        <f>IF(#REF!,"AAAAAH673y8=",0)</f>
        <v>#REF!</v>
      </c>
      <c r="AW234" t="e">
        <f>IF(#REF!,"AAAAAH673zA=",0)</f>
        <v>#REF!</v>
      </c>
      <c r="AX234" t="e">
        <f>IF(#REF!,"AAAAAH673zE=",0)</f>
        <v>#REF!</v>
      </c>
      <c r="AY234" t="e">
        <f>IF(#REF!,"AAAAAH673zI=",0)</f>
        <v>#REF!</v>
      </c>
      <c r="AZ234" t="e">
        <f>IF(#REF!,"AAAAAH673zM=",0)</f>
        <v>#REF!</v>
      </c>
      <c r="BA234" t="e">
        <f>IF(#REF!,"AAAAAH673zQ=",0)</f>
        <v>#REF!</v>
      </c>
      <c r="BB234" t="e">
        <f>IF(#REF!,"AAAAAH673zU=",0)</f>
        <v>#REF!</v>
      </c>
      <c r="BC234" t="e">
        <f>IF(#REF!,"AAAAAH673zY=",0)</f>
        <v>#REF!</v>
      </c>
      <c r="BD234" t="e">
        <f>IF(#REF!,"AAAAAH673zc=",0)</f>
        <v>#REF!</v>
      </c>
      <c r="BE234" t="e">
        <f>IF(#REF!,"AAAAAH673zg=",0)</f>
        <v>#REF!</v>
      </c>
      <c r="BF234" t="e">
        <f>IF(#REF!,"AAAAAH673zk=",0)</f>
        <v>#REF!</v>
      </c>
      <c r="BG234" t="e">
        <f>IF(#REF!,"AAAAAH673zo=",0)</f>
        <v>#REF!</v>
      </c>
      <c r="BH234" t="e">
        <f>IF(#REF!,"AAAAAH673zs=",0)</f>
        <v>#REF!</v>
      </c>
      <c r="BI234" t="e">
        <f>IF(#REF!,"AAAAAH673zw=",0)</f>
        <v>#REF!</v>
      </c>
      <c r="BJ234" t="e">
        <f>IF(#REF!,"AAAAAH673z0=",0)</f>
        <v>#REF!</v>
      </c>
      <c r="BK234" t="e">
        <f>IF(#REF!,"AAAAAH673z4=",0)</f>
        <v>#REF!</v>
      </c>
      <c r="BL234" t="e">
        <f>IF(#REF!,"AAAAAH673z8=",0)</f>
        <v>#REF!</v>
      </c>
      <c r="BM234" t="e">
        <f>IF(#REF!,"AAAAAH6730A=",0)</f>
        <v>#REF!</v>
      </c>
      <c r="BN234" t="e">
        <f>IF(#REF!,"AAAAAH6730E=",0)</f>
        <v>#REF!</v>
      </c>
      <c r="BO234" t="e">
        <f>IF(#REF!,"AAAAAH6730I=",0)</f>
        <v>#REF!</v>
      </c>
      <c r="BP234" t="e">
        <f>IF(#REF!,"AAAAAH6730M=",0)</f>
        <v>#REF!</v>
      </c>
      <c r="BQ234" t="e">
        <f>IF(#REF!,"AAAAAH6730Q=",0)</f>
        <v>#REF!</v>
      </c>
      <c r="BR234" t="e">
        <f>IF(#REF!,"AAAAAH6730U=",0)</f>
        <v>#REF!</v>
      </c>
      <c r="BS234" t="e">
        <f>IF(#REF!,"AAAAAH6730Y=",0)</f>
        <v>#REF!</v>
      </c>
      <c r="BT234" t="e">
        <f>IF(#REF!,"AAAAAH6730c=",0)</f>
        <v>#REF!</v>
      </c>
      <c r="BU234" t="e">
        <f>IF(#REF!,"AAAAAH6730g=",0)</f>
        <v>#REF!</v>
      </c>
      <c r="BV234" t="e">
        <f>IF(#REF!,"AAAAAH6730k=",0)</f>
        <v>#REF!</v>
      </c>
      <c r="BW234" t="e">
        <f>IF(#REF!,"AAAAAH6730o=",0)</f>
        <v>#REF!</v>
      </c>
      <c r="BX234" t="e">
        <f>IF(#REF!,"AAAAAH6730s=",0)</f>
        <v>#REF!</v>
      </c>
      <c r="BY234" t="e">
        <f>IF(#REF!,"AAAAAH6730w=",0)</f>
        <v>#REF!</v>
      </c>
      <c r="BZ234" t="e">
        <f>IF(#REF!,"AAAAAH67300=",0)</f>
        <v>#REF!</v>
      </c>
      <c r="CA234" t="e">
        <f>IF(#REF!,"AAAAAH67304=",0)</f>
        <v>#REF!</v>
      </c>
      <c r="CB234" t="e">
        <f>IF(#REF!,"AAAAAH67308=",0)</f>
        <v>#REF!</v>
      </c>
      <c r="CC234" t="e">
        <f>IF(#REF!,"AAAAAH6731A=",0)</f>
        <v>#REF!</v>
      </c>
      <c r="CD234" t="e">
        <f>IF(#REF!,"AAAAAH6731E=",0)</f>
        <v>#REF!</v>
      </c>
      <c r="CE234" t="e">
        <f>IF(#REF!,"AAAAAH6731I=",0)</f>
        <v>#REF!</v>
      </c>
      <c r="CF234" t="e">
        <f>IF(#REF!,"AAAAAH6731M=",0)</f>
        <v>#REF!</v>
      </c>
      <c r="CG234" t="e">
        <f>IF(#REF!,"AAAAAH6731Q=",0)</f>
        <v>#REF!</v>
      </c>
      <c r="CH234" t="e">
        <f>IF(#REF!,"AAAAAH6731U=",0)</f>
        <v>#REF!</v>
      </c>
      <c r="CI234" t="e">
        <f>IF(#REF!,"AAAAAH6731Y=",0)</f>
        <v>#REF!</v>
      </c>
      <c r="CJ234" t="e">
        <f>IF(#REF!,"AAAAAH6731c=",0)</f>
        <v>#REF!</v>
      </c>
      <c r="CK234" t="e">
        <f>IF(#REF!,"AAAAAH6731g=",0)</f>
        <v>#REF!</v>
      </c>
      <c r="CL234" t="e">
        <f>IF(#REF!,"AAAAAH6731k=",0)</f>
        <v>#REF!</v>
      </c>
      <c r="CM234" t="e">
        <f>IF(#REF!,"AAAAAH6731o=",0)</f>
        <v>#REF!</v>
      </c>
      <c r="CN234" t="e">
        <f>IF(#REF!,"AAAAAH6731s=",0)</f>
        <v>#REF!</v>
      </c>
      <c r="CO234" t="e">
        <f>IF(#REF!,"AAAAAH6731w=",0)</f>
        <v>#REF!</v>
      </c>
      <c r="CP234" t="e">
        <f>IF(#REF!,"AAAAAH67310=",0)</f>
        <v>#REF!</v>
      </c>
      <c r="CQ234" t="e">
        <f>IF(#REF!,"AAAAAH67314=",0)</f>
        <v>#REF!</v>
      </c>
      <c r="CR234" t="e">
        <f>IF(#REF!,"AAAAAH67318=",0)</f>
        <v>#REF!</v>
      </c>
      <c r="CS234" t="e">
        <f>IF(#REF!,"AAAAAH6732A=",0)</f>
        <v>#REF!</v>
      </c>
      <c r="CT234" t="e">
        <f>IF(#REF!,"AAAAAH6732E=",0)</f>
        <v>#REF!</v>
      </c>
      <c r="CU234" t="e">
        <f>IF(#REF!,"AAAAAH6732I=",0)</f>
        <v>#REF!</v>
      </c>
      <c r="CV234" t="e">
        <f>IF(#REF!,"AAAAAH6732M=",0)</f>
        <v>#REF!</v>
      </c>
      <c r="CW234" t="e">
        <f>IF(#REF!,"AAAAAH6732Q=",0)</f>
        <v>#REF!</v>
      </c>
      <c r="CX234" t="e">
        <f>IF(#REF!,"AAAAAH6732U=",0)</f>
        <v>#REF!</v>
      </c>
      <c r="CY234" t="e">
        <f>IF(#REF!,"AAAAAH6732Y=",0)</f>
        <v>#REF!</v>
      </c>
      <c r="CZ234" t="e">
        <f>IF(#REF!,"AAAAAH6732c=",0)</f>
        <v>#REF!</v>
      </c>
      <c r="DA234" t="e">
        <f>IF(#REF!,"AAAAAH6732g=",0)</f>
        <v>#REF!</v>
      </c>
      <c r="DB234" t="e">
        <f>IF(#REF!,"AAAAAH6732k=",0)</f>
        <v>#REF!</v>
      </c>
      <c r="DC234" t="e">
        <f>IF(#REF!,"AAAAAH6732o=",0)</f>
        <v>#REF!</v>
      </c>
      <c r="DD234" t="e">
        <f>IF(#REF!,"AAAAAH6732s=",0)</f>
        <v>#REF!</v>
      </c>
      <c r="DE234" t="e">
        <f>IF(#REF!,"AAAAAH6732w=",0)</f>
        <v>#REF!</v>
      </c>
      <c r="DF234" t="e">
        <f>IF(#REF!,"AAAAAH67320=",0)</f>
        <v>#REF!</v>
      </c>
      <c r="DG234" t="e">
        <f>IF(#REF!,"AAAAAH67324=",0)</f>
        <v>#REF!</v>
      </c>
      <c r="DH234" t="e">
        <f>IF(#REF!,"AAAAAH67328=",0)</f>
        <v>#REF!</v>
      </c>
      <c r="DI234" t="e">
        <f>IF(#REF!,"AAAAAH6733A=",0)</f>
        <v>#REF!</v>
      </c>
      <c r="DJ234" t="e">
        <f>IF(#REF!,"AAAAAH6733E=",0)</f>
        <v>#REF!</v>
      </c>
      <c r="DK234" t="e">
        <f>IF(#REF!,"AAAAAH6733I=",0)</f>
        <v>#REF!</v>
      </c>
      <c r="DL234" t="e">
        <f>IF(#REF!,"AAAAAH6733M=",0)</f>
        <v>#REF!</v>
      </c>
      <c r="DM234" t="e">
        <f>IF(#REF!,"AAAAAH6733Q=",0)</f>
        <v>#REF!</v>
      </c>
      <c r="DN234" t="e">
        <f>IF(#REF!,"AAAAAH6733U=",0)</f>
        <v>#REF!</v>
      </c>
      <c r="DO234" t="e">
        <f>IF(#REF!,"AAAAAH6733Y=",0)</f>
        <v>#REF!</v>
      </c>
      <c r="DP234" t="e">
        <f>IF(#REF!,"AAAAAH6733c=",0)</f>
        <v>#REF!</v>
      </c>
      <c r="DQ234" t="e">
        <f>IF(#REF!,"AAAAAH6733g=",0)</f>
        <v>#REF!</v>
      </c>
      <c r="DR234" t="e">
        <f>IF(#REF!,"AAAAAH6733k=",0)</f>
        <v>#REF!</v>
      </c>
      <c r="DS234" t="e">
        <f>IF(#REF!,"AAAAAH6733o=",0)</f>
        <v>#REF!</v>
      </c>
      <c r="DT234" t="e">
        <f>IF(#REF!,"AAAAAH6733s=",0)</f>
        <v>#REF!</v>
      </c>
      <c r="DU234" t="e">
        <f>IF(#REF!,"AAAAAH6733w=",0)</f>
        <v>#REF!</v>
      </c>
      <c r="DV234" t="e">
        <f>IF(#REF!,"AAAAAH67330=",0)</f>
        <v>#REF!</v>
      </c>
      <c r="DW234" t="e">
        <f>IF(#REF!,"AAAAAH67334=",0)</f>
        <v>#REF!</v>
      </c>
      <c r="DX234" t="e">
        <f>IF(#REF!,"AAAAAH67338=",0)</f>
        <v>#REF!</v>
      </c>
      <c r="DY234" t="e">
        <f>IF(#REF!,"AAAAAH6734A=",0)</f>
        <v>#REF!</v>
      </c>
      <c r="DZ234" t="e">
        <f>IF(#REF!,"AAAAAH6734E=",0)</f>
        <v>#REF!</v>
      </c>
      <c r="EA234" t="e">
        <f>IF(#REF!,"AAAAAH6734I=",0)</f>
        <v>#REF!</v>
      </c>
      <c r="EB234" t="e">
        <f>IF(#REF!,"AAAAAH6734M=",0)</f>
        <v>#REF!</v>
      </c>
      <c r="EC234" t="e">
        <f>IF(#REF!,"AAAAAH6734Q=",0)</f>
        <v>#REF!</v>
      </c>
      <c r="ED234" t="e">
        <f>IF(#REF!,"AAAAAH6734U=",0)</f>
        <v>#REF!</v>
      </c>
      <c r="EE234" t="e">
        <f>IF(#REF!,"AAAAAH6734Y=",0)</f>
        <v>#REF!</v>
      </c>
      <c r="EF234" t="e">
        <f>IF(#REF!,"AAAAAH6734c=",0)</f>
        <v>#REF!</v>
      </c>
      <c r="EG234" t="e">
        <f>IF(#REF!,"AAAAAH6734g=",0)</f>
        <v>#REF!</v>
      </c>
      <c r="EH234" t="e">
        <f>IF(#REF!,"AAAAAH6734k=",0)</f>
        <v>#REF!</v>
      </c>
      <c r="EI234" t="e">
        <f>IF(#REF!,"AAAAAH6734o=",0)</f>
        <v>#REF!</v>
      </c>
      <c r="EJ234" t="e">
        <f>IF(#REF!,"AAAAAH6734s=",0)</f>
        <v>#REF!</v>
      </c>
      <c r="EK234" t="e">
        <f>IF(#REF!,"AAAAAH6734w=",0)</f>
        <v>#REF!</v>
      </c>
      <c r="EL234" t="e">
        <f>IF(#REF!,"AAAAAH67340=",0)</f>
        <v>#REF!</v>
      </c>
      <c r="EM234" t="e">
        <f>IF(#REF!,"AAAAAH67344=",0)</f>
        <v>#REF!</v>
      </c>
      <c r="EN234" t="e">
        <f>IF(#REF!,"AAAAAH67348=",0)</f>
        <v>#REF!</v>
      </c>
      <c r="EO234" t="e">
        <f>IF(#REF!,"AAAAAH6735A=",0)</f>
        <v>#REF!</v>
      </c>
      <c r="EP234" t="e">
        <f>IF(#REF!,"AAAAAH6735E=",0)</f>
        <v>#REF!</v>
      </c>
      <c r="EQ234" t="e">
        <f>IF(#REF!,"AAAAAH6735I=",0)</f>
        <v>#REF!</v>
      </c>
      <c r="ER234" t="e">
        <f>IF(#REF!,"AAAAAH6735M=",0)</f>
        <v>#REF!</v>
      </c>
      <c r="ES234" t="e">
        <f>IF(#REF!,"AAAAAH6735Q=",0)</f>
        <v>#REF!</v>
      </c>
      <c r="ET234" t="e">
        <f>IF(#REF!,"AAAAAH6735U=",0)</f>
        <v>#REF!</v>
      </c>
      <c r="EU234" t="e">
        <f>IF(#REF!,"AAAAAH6735Y=",0)</f>
        <v>#REF!</v>
      </c>
      <c r="EV234" t="e">
        <f>IF(#REF!,"AAAAAH6735c=",0)</f>
        <v>#REF!</v>
      </c>
      <c r="EW234" t="e">
        <f>IF(#REF!,"AAAAAH6735g=",0)</f>
        <v>#REF!</v>
      </c>
      <c r="EX234" t="e">
        <f>IF(#REF!,"AAAAAH6735k=",0)</f>
        <v>#REF!</v>
      </c>
      <c r="EY234" t="e">
        <f>IF(#REF!,"AAAAAH6735o=",0)</f>
        <v>#REF!</v>
      </c>
      <c r="EZ234" t="e">
        <f>IF(#REF!,"AAAAAH6735s=",0)</f>
        <v>#REF!</v>
      </c>
      <c r="FA234" t="e">
        <f>IF(#REF!,"AAAAAH6735w=",0)</f>
        <v>#REF!</v>
      </c>
      <c r="FB234" t="e">
        <f>IF(#REF!,"AAAAAH67350=",0)</f>
        <v>#REF!</v>
      </c>
      <c r="FC234" t="e">
        <f>IF(#REF!,"AAAAAH67354=",0)</f>
        <v>#REF!</v>
      </c>
      <c r="FD234" t="e">
        <f>IF(#REF!,"AAAAAH67358=",0)</f>
        <v>#REF!</v>
      </c>
      <c r="FE234" t="e">
        <f>IF(#REF!,"AAAAAH6736A=",0)</f>
        <v>#REF!</v>
      </c>
      <c r="FF234" t="e">
        <f>IF(#REF!,"AAAAAH6736E=",0)</f>
        <v>#REF!</v>
      </c>
      <c r="FG234" t="e">
        <f>IF(#REF!,"AAAAAH6736I=",0)</f>
        <v>#REF!</v>
      </c>
      <c r="FH234" t="e">
        <f>IF(#REF!,"AAAAAH6736M=",0)</f>
        <v>#REF!</v>
      </c>
      <c r="FI234" t="e">
        <f>IF(#REF!,"AAAAAH6736Q=",0)</f>
        <v>#REF!</v>
      </c>
      <c r="FJ234" t="e">
        <f>IF(#REF!,"AAAAAH6736U=",0)</f>
        <v>#REF!</v>
      </c>
      <c r="FK234" t="e">
        <f>IF(#REF!,"AAAAAH6736Y=",0)</f>
        <v>#REF!</v>
      </c>
      <c r="FL234" t="e">
        <f>IF(#REF!,"AAAAAH6736c=",0)</f>
        <v>#REF!</v>
      </c>
      <c r="FM234" t="e">
        <f>IF(#REF!,"AAAAAH6736g=",0)</f>
        <v>#REF!</v>
      </c>
      <c r="FN234" t="e">
        <f>IF(#REF!,"AAAAAH6736k=",0)</f>
        <v>#REF!</v>
      </c>
      <c r="FO234" t="e">
        <f>IF(#REF!,"AAAAAH6736o=",0)</f>
        <v>#REF!</v>
      </c>
      <c r="FP234" t="e">
        <f>IF(#REF!,"AAAAAH6736s=",0)</f>
        <v>#REF!</v>
      </c>
      <c r="FQ234" t="e">
        <f>IF(#REF!,"AAAAAH6736w=",0)</f>
        <v>#REF!</v>
      </c>
      <c r="FR234" t="e">
        <f>IF(#REF!,"AAAAAH67360=",0)</f>
        <v>#REF!</v>
      </c>
      <c r="FS234" t="e">
        <f>IF(#REF!,"AAAAAH67364=",0)</f>
        <v>#REF!</v>
      </c>
      <c r="FT234" t="e">
        <f>IF(#REF!,"AAAAAH67368=",0)</f>
        <v>#REF!</v>
      </c>
      <c r="FU234" t="e">
        <f>IF(#REF!,"AAAAAH6737A=",0)</f>
        <v>#REF!</v>
      </c>
      <c r="FV234" t="e">
        <f>IF(#REF!,"AAAAAH6737E=",0)</f>
        <v>#REF!</v>
      </c>
      <c r="FW234" t="e">
        <f>IF(#REF!,"AAAAAH6737I=",0)</f>
        <v>#REF!</v>
      </c>
      <c r="FX234" t="e">
        <f>IF(#REF!,"AAAAAH6737M=",0)</f>
        <v>#REF!</v>
      </c>
      <c r="FY234" t="e">
        <f>IF(#REF!,"AAAAAH6737Q=",0)</f>
        <v>#REF!</v>
      </c>
      <c r="FZ234" t="e">
        <f>IF(#REF!,"AAAAAH6737U=",0)</f>
        <v>#REF!</v>
      </c>
      <c r="GA234" t="e">
        <f>IF(#REF!,"AAAAAH6737Y=",0)</f>
        <v>#REF!</v>
      </c>
      <c r="GB234" t="e">
        <f>IF(#REF!,"AAAAAH6737c=",0)</f>
        <v>#REF!</v>
      </c>
      <c r="GC234" t="e">
        <f>IF(#REF!,"AAAAAH6737g=",0)</f>
        <v>#REF!</v>
      </c>
      <c r="GD234" t="e">
        <f>IF(#REF!,"AAAAAH6737k=",0)</f>
        <v>#REF!</v>
      </c>
      <c r="GE234" t="e">
        <f>IF(#REF!,"AAAAAH6737o=",0)</f>
        <v>#REF!</v>
      </c>
      <c r="GF234" t="e">
        <f>IF(#REF!,"AAAAAH6737s=",0)</f>
        <v>#REF!</v>
      </c>
      <c r="GG234" t="e">
        <f>IF(#REF!,"AAAAAH6737w=",0)</f>
        <v>#REF!</v>
      </c>
      <c r="GH234" t="e">
        <f>IF(#REF!,"AAAAAH67370=",0)</f>
        <v>#REF!</v>
      </c>
      <c r="GI234" t="e">
        <f>IF(#REF!,"AAAAAH67374=",0)</f>
        <v>#REF!</v>
      </c>
      <c r="GJ234" t="e">
        <f>IF(#REF!,"AAAAAH67378=",0)</f>
        <v>#REF!</v>
      </c>
      <c r="GK234" t="e">
        <f>IF(#REF!,"AAAAAH6738A=",0)</f>
        <v>#REF!</v>
      </c>
      <c r="GL234" t="e">
        <f>IF(#REF!,"AAAAAH6738E=",0)</f>
        <v>#REF!</v>
      </c>
      <c r="GM234" t="e">
        <f>IF(#REF!,"AAAAAH6738I=",0)</f>
        <v>#REF!</v>
      </c>
      <c r="GN234" t="e">
        <f>IF(#REF!,"AAAAAH6738M=",0)</f>
        <v>#REF!</v>
      </c>
      <c r="GO234" t="e">
        <f>IF(#REF!,"AAAAAH6738Q=",0)</f>
        <v>#REF!</v>
      </c>
      <c r="GP234" t="e">
        <f>IF(#REF!,"AAAAAH6738U=",0)</f>
        <v>#REF!</v>
      </c>
      <c r="GQ234" t="e">
        <f>IF(#REF!,"AAAAAH6738Y=",0)</f>
        <v>#REF!</v>
      </c>
      <c r="GR234" t="e">
        <f>IF(#REF!,"AAAAAH6738c=",0)</f>
        <v>#REF!</v>
      </c>
      <c r="GS234" t="e">
        <f>IF(#REF!,"AAAAAH6738g=",0)</f>
        <v>#REF!</v>
      </c>
      <c r="GT234" t="e">
        <f>IF(#REF!,"AAAAAH6738k=",0)</f>
        <v>#REF!</v>
      </c>
      <c r="GU234" t="e">
        <f>IF(#REF!,"AAAAAH6738o=",0)</f>
        <v>#REF!</v>
      </c>
      <c r="GV234" t="e">
        <f>IF(#REF!,"AAAAAH6738s=",0)</f>
        <v>#REF!</v>
      </c>
      <c r="GW234" t="e">
        <f>IF(#REF!,"AAAAAH6738w=",0)</f>
        <v>#REF!</v>
      </c>
      <c r="GX234" t="e">
        <f>IF(#REF!,"AAAAAH67380=",0)</f>
        <v>#REF!</v>
      </c>
      <c r="GY234" t="e">
        <f>IF(#REF!,"AAAAAH67384=",0)</f>
        <v>#REF!</v>
      </c>
      <c r="GZ234" t="e">
        <f>IF(#REF!,"AAAAAH67388=",0)</f>
        <v>#REF!</v>
      </c>
      <c r="HA234" t="e">
        <f>IF(#REF!,"AAAAAH6739A=",0)</f>
        <v>#REF!</v>
      </c>
      <c r="HB234" t="e">
        <f>IF(#REF!,"AAAAAH6739E=",0)</f>
        <v>#REF!</v>
      </c>
      <c r="HC234" t="e">
        <f>IF(#REF!,"AAAAAH6739I=",0)</f>
        <v>#REF!</v>
      </c>
      <c r="HD234" t="e">
        <f>IF(#REF!,"AAAAAH6739M=",0)</f>
        <v>#REF!</v>
      </c>
      <c r="HE234" t="e">
        <f>IF(#REF!,"AAAAAH6739Q=",0)</f>
        <v>#REF!</v>
      </c>
      <c r="HF234" t="e">
        <f>IF(#REF!,"AAAAAH6739U=",0)</f>
        <v>#REF!</v>
      </c>
      <c r="HG234" t="e">
        <f>IF(#REF!,"AAAAAH6739Y=",0)</f>
        <v>#REF!</v>
      </c>
      <c r="HH234" t="e">
        <f>IF(#REF!,"AAAAAH6739c=",0)</f>
        <v>#REF!</v>
      </c>
      <c r="HI234" t="e">
        <f>IF(#REF!,"AAAAAH6739g=",0)</f>
        <v>#REF!</v>
      </c>
      <c r="HJ234" t="e">
        <f>IF(#REF!,"AAAAAH6739k=",0)</f>
        <v>#REF!</v>
      </c>
      <c r="HK234" t="e">
        <f>IF(#REF!,"AAAAAH6739o=",0)</f>
        <v>#REF!</v>
      </c>
      <c r="HL234" t="e">
        <f>IF(#REF!,"AAAAAH6739s=",0)</f>
        <v>#REF!</v>
      </c>
      <c r="HM234" t="e">
        <f>IF(#REF!,"AAAAAH6739w=",0)</f>
        <v>#REF!</v>
      </c>
      <c r="HN234" t="e">
        <f>IF(#REF!,"AAAAAH67390=",0)</f>
        <v>#REF!</v>
      </c>
      <c r="HO234" t="e">
        <f>IF(#REF!,"AAAAAH67394=",0)</f>
        <v>#REF!</v>
      </c>
      <c r="HP234" t="e">
        <f>IF(#REF!,"AAAAAH67398=",0)</f>
        <v>#REF!</v>
      </c>
      <c r="HQ234" t="e">
        <f>IF(#REF!,"AAAAAH673+A=",0)</f>
        <v>#REF!</v>
      </c>
      <c r="HR234" t="e">
        <f>IF(#REF!,"AAAAAH673+E=",0)</f>
        <v>#REF!</v>
      </c>
      <c r="HS234" t="e">
        <f>IF(#REF!,"AAAAAH673+I=",0)</f>
        <v>#REF!</v>
      </c>
      <c r="HT234" t="e">
        <f>IF(#REF!,"AAAAAH673+M=",0)</f>
        <v>#REF!</v>
      </c>
      <c r="HU234" t="e">
        <f>IF(#REF!,"AAAAAH673+Q=",0)</f>
        <v>#REF!</v>
      </c>
      <c r="HV234" t="e">
        <f>IF(#REF!,"AAAAAH673+U=",0)</f>
        <v>#REF!</v>
      </c>
      <c r="HW234" t="e">
        <f>IF(#REF!,"AAAAAH673+Y=",0)</f>
        <v>#REF!</v>
      </c>
      <c r="HX234" t="e">
        <f>IF(#REF!,"AAAAAH673+c=",0)</f>
        <v>#REF!</v>
      </c>
      <c r="HY234" t="e">
        <f>IF(#REF!,"AAAAAH673+g=",0)</f>
        <v>#REF!</v>
      </c>
      <c r="HZ234" t="e">
        <f>IF(#REF!,"AAAAAH673+k=",0)</f>
        <v>#REF!</v>
      </c>
      <c r="IA234" t="e">
        <f>IF(#REF!,"AAAAAH673+o=",0)</f>
        <v>#REF!</v>
      </c>
      <c r="IB234" t="e">
        <f>IF(#REF!,"AAAAAH673+s=",0)</f>
        <v>#REF!</v>
      </c>
      <c r="IC234" t="e">
        <f>IF(#REF!,"AAAAAH673+w=",0)</f>
        <v>#REF!</v>
      </c>
      <c r="ID234" t="e">
        <f>IF(#REF!,"AAAAAH673+0=",0)</f>
        <v>#REF!</v>
      </c>
      <c r="IE234" t="e">
        <f>IF(#REF!,"AAAAAH673+4=",0)</f>
        <v>#REF!</v>
      </c>
      <c r="IF234" t="e">
        <f>IF(#REF!,"AAAAAH673+8=",0)</f>
        <v>#REF!</v>
      </c>
      <c r="IG234" t="e">
        <f>IF(#REF!,"AAAAAH673/A=",0)</f>
        <v>#REF!</v>
      </c>
      <c r="IH234" t="e">
        <f>IF(#REF!,"AAAAAH673/E=",0)</f>
        <v>#REF!</v>
      </c>
      <c r="II234" t="e">
        <f>IF(#REF!,"AAAAAH673/I=",0)</f>
        <v>#REF!</v>
      </c>
      <c r="IJ234" t="e">
        <f>IF(#REF!,"AAAAAH673/M=",0)</f>
        <v>#REF!</v>
      </c>
      <c r="IK234" t="e">
        <f>IF(#REF!,"AAAAAH673/Q=",0)</f>
        <v>#REF!</v>
      </c>
      <c r="IL234" t="e">
        <f>IF(#REF!,"AAAAAH673/U=",0)</f>
        <v>#REF!</v>
      </c>
      <c r="IM234" t="e">
        <f>IF(#REF!,"AAAAAH673/Y=",0)</f>
        <v>#REF!</v>
      </c>
      <c r="IN234" t="e">
        <f>IF(#REF!,"AAAAAH673/c=",0)</f>
        <v>#REF!</v>
      </c>
      <c r="IO234" t="e">
        <f>IF(#REF!,"AAAAAH673/g=",0)</f>
        <v>#REF!</v>
      </c>
      <c r="IP234" t="e">
        <f>IF(#REF!,"AAAAAH673/k=",0)</f>
        <v>#REF!</v>
      </c>
      <c r="IQ234" t="e">
        <f>IF(#REF!,"AAAAAH673/o=",0)</f>
        <v>#REF!</v>
      </c>
      <c r="IR234" t="e">
        <f>IF(#REF!,"AAAAAH673/s=",0)</f>
        <v>#REF!</v>
      </c>
      <c r="IS234" t="e">
        <f>IF(#REF!,"AAAAAH673/w=",0)</f>
        <v>#REF!</v>
      </c>
      <c r="IT234" t="e">
        <f>IF(#REF!,"AAAAAH673/0=",0)</f>
        <v>#REF!</v>
      </c>
      <c r="IU234" t="e">
        <f>IF(#REF!,"AAAAAH673/4=",0)</f>
        <v>#REF!</v>
      </c>
      <c r="IV234" t="e">
        <f>IF(#REF!,"AAAAAH673/8=",0)</f>
        <v>#REF!</v>
      </c>
    </row>
    <row r="235" spans="1:256">
      <c r="A235" t="e">
        <f>IF(#REF!,"AAAAAHK8NwA=",0)</f>
        <v>#REF!</v>
      </c>
      <c r="B235" t="e">
        <f>IF(#REF!,"AAAAAHK8NwE=",0)</f>
        <v>#REF!</v>
      </c>
      <c r="C235" t="e">
        <f>IF(#REF!,"AAAAAHK8NwI=",0)</f>
        <v>#REF!</v>
      </c>
      <c r="D235" t="e">
        <f>IF(#REF!,"AAAAAHK8NwM=",0)</f>
        <v>#REF!</v>
      </c>
      <c r="E235" t="e">
        <f>IF(#REF!,"AAAAAHK8NwQ=",0)</f>
        <v>#REF!</v>
      </c>
      <c r="F235" t="e">
        <f>IF(#REF!,"AAAAAHK8NwU=",0)</f>
        <v>#REF!</v>
      </c>
      <c r="G235" t="e">
        <f>IF(#REF!,"AAAAAHK8NwY=",0)</f>
        <v>#REF!</v>
      </c>
      <c r="H235" t="e">
        <f>IF(#REF!,"AAAAAHK8Nwc=",0)</f>
        <v>#REF!</v>
      </c>
      <c r="I235" t="e">
        <f>IF(#REF!,"AAAAAHK8Nwg=",0)</f>
        <v>#REF!</v>
      </c>
      <c r="J235" t="e">
        <f>IF(#REF!,"AAAAAHK8Nwk=",0)</f>
        <v>#REF!</v>
      </c>
      <c r="K235" t="e">
        <f>IF(#REF!,"AAAAAHK8Nwo=",0)</f>
        <v>#REF!</v>
      </c>
      <c r="L235" t="e">
        <f>IF(#REF!,"AAAAAHK8Nws=",0)</f>
        <v>#REF!</v>
      </c>
      <c r="M235" t="e">
        <f>IF(#REF!,"AAAAAHK8Nww=",0)</f>
        <v>#REF!</v>
      </c>
      <c r="N235" t="e">
        <f>IF(#REF!,"AAAAAHK8Nw0=",0)</f>
        <v>#REF!</v>
      </c>
      <c r="O235" t="e">
        <f>IF(#REF!,"AAAAAHK8Nw4=",0)</f>
        <v>#REF!</v>
      </c>
      <c r="P235" t="e">
        <f>IF(#REF!,"AAAAAHK8Nw8=",0)</f>
        <v>#REF!</v>
      </c>
      <c r="Q235" t="e">
        <f>IF(#REF!,"AAAAAHK8NxA=",0)</f>
        <v>#REF!</v>
      </c>
      <c r="R235" t="e">
        <f>IF(#REF!,"AAAAAHK8NxE=",0)</f>
        <v>#REF!</v>
      </c>
      <c r="S235" t="e">
        <f>IF(#REF!,"AAAAAHK8NxI=",0)</f>
        <v>#REF!</v>
      </c>
      <c r="T235" t="e">
        <f>IF(#REF!,"AAAAAHK8NxM=",0)</f>
        <v>#REF!</v>
      </c>
      <c r="U235" t="e">
        <f>IF(#REF!,"AAAAAHK8NxQ=",0)</f>
        <v>#REF!</v>
      </c>
      <c r="V235" t="e">
        <f>IF(#REF!,"AAAAAHK8NxU=",0)</f>
        <v>#REF!</v>
      </c>
      <c r="W235" t="e">
        <f>IF(#REF!,"AAAAAHK8NxY=",0)</f>
        <v>#REF!</v>
      </c>
      <c r="X235" t="e">
        <f>IF(#REF!,"AAAAAHK8Nxc=",0)</f>
        <v>#REF!</v>
      </c>
      <c r="Y235" t="e">
        <f>IF(#REF!,"AAAAAHK8Nxg=",0)</f>
        <v>#REF!</v>
      </c>
      <c r="Z235" t="e">
        <f>IF(#REF!,"AAAAAHK8Nxk=",0)</f>
        <v>#REF!</v>
      </c>
      <c r="AA235" t="e">
        <f>IF(#REF!,"AAAAAHK8Nxo=",0)</f>
        <v>#REF!</v>
      </c>
      <c r="AB235" t="e">
        <f>IF(#REF!,"AAAAAHK8Nxs=",0)</f>
        <v>#REF!</v>
      </c>
      <c r="AC235" t="e">
        <f>IF(#REF!,"AAAAAHK8Nxw=",0)</f>
        <v>#REF!</v>
      </c>
      <c r="AD235" t="e">
        <f>IF(#REF!,"AAAAAHK8Nx0=",0)</f>
        <v>#REF!</v>
      </c>
      <c r="AE235" t="e">
        <f>IF(#REF!,"AAAAAHK8Nx4=",0)</f>
        <v>#REF!</v>
      </c>
      <c r="AF235" t="e">
        <f>IF(#REF!,"AAAAAHK8Nx8=",0)</f>
        <v>#REF!</v>
      </c>
      <c r="AG235" t="e">
        <f>IF(#REF!,"AAAAAHK8NyA=",0)</f>
        <v>#REF!</v>
      </c>
      <c r="AH235" t="e">
        <f>IF(#REF!,"AAAAAHK8NyE=",0)</f>
        <v>#REF!</v>
      </c>
      <c r="AI235" t="e">
        <f>IF(#REF!,"AAAAAHK8NyI=",0)</f>
        <v>#REF!</v>
      </c>
      <c r="AJ235" t="e">
        <f>IF(#REF!,"AAAAAHK8NyM=",0)</f>
        <v>#REF!</v>
      </c>
      <c r="AK235" t="e">
        <f>IF(#REF!,"AAAAAHK8NyQ=",0)</f>
        <v>#REF!</v>
      </c>
      <c r="AL235" t="e">
        <f>IF(#REF!,"AAAAAHK8NyU=",0)</f>
        <v>#REF!</v>
      </c>
      <c r="AM235" t="e">
        <f>IF(#REF!,"AAAAAHK8NyY=",0)</f>
        <v>#REF!</v>
      </c>
      <c r="AN235" t="e">
        <f>IF(#REF!,"AAAAAHK8Nyc=",0)</f>
        <v>#REF!</v>
      </c>
      <c r="AO235" t="e">
        <f>IF(#REF!,"AAAAAHK8Nyg=",0)</f>
        <v>#REF!</v>
      </c>
      <c r="AP235" t="e">
        <f>IF(#REF!,"AAAAAHK8Nyk=",0)</f>
        <v>#REF!</v>
      </c>
      <c r="AQ235" t="e">
        <f>IF(#REF!,"AAAAAHK8Nyo=",0)</f>
        <v>#REF!</v>
      </c>
      <c r="AR235" t="e">
        <f>IF(#REF!,"AAAAAHK8Nys=",0)</f>
        <v>#REF!</v>
      </c>
      <c r="AS235" t="e">
        <f>IF(#REF!,"AAAAAHK8Nyw=",0)</f>
        <v>#REF!</v>
      </c>
      <c r="AT235" t="e">
        <f>IF(#REF!,"AAAAAHK8Ny0=",0)</f>
        <v>#REF!</v>
      </c>
      <c r="AU235" t="e">
        <f>IF(#REF!,"AAAAAHK8Ny4=",0)</f>
        <v>#REF!</v>
      </c>
      <c r="AV235" t="e">
        <f>IF(#REF!,"AAAAAHK8Ny8=",0)</f>
        <v>#REF!</v>
      </c>
      <c r="AW235" t="e">
        <f>IF(#REF!,"AAAAAHK8NzA=",0)</f>
        <v>#REF!</v>
      </c>
      <c r="AX235" t="e">
        <f>IF(#REF!,"AAAAAHK8NzE=",0)</f>
        <v>#REF!</v>
      </c>
      <c r="AY235" t="e">
        <f>IF(#REF!,"AAAAAHK8NzI=",0)</f>
        <v>#REF!</v>
      </c>
      <c r="AZ235" t="e">
        <f>IF(#REF!,"AAAAAHK8NzM=",0)</f>
        <v>#REF!</v>
      </c>
      <c r="BA235" t="e">
        <f>IF(#REF!,"AAAAAHK8NzQ=",0)</f>
        <v>#REF!</v>
      </c>
      <c r="BB235" t="e">
        <f>IF(#REF!,"AAAAAHK8NzU=",0)</f>
        <v>#REF!</v>
      </c>
      <c r="BC235" t="e">
        <f>IF(#REF!,"AAAAAHK8NzY=",0)</f>
        <v>#REF!</v>
      </c>
      <c r="BD235" t="e">
        <f>IF(#REF!,"AAAAAHK8Nzc=",0)</f>
        <v>#REF!</v>
      </c>
      <c r="BE235" t="e">
        <f>IF(#REF!,"AAAAAHK8Nzg=",0)</f>
        <v>#REF!</v>
      </c>
      <c r="BF235" t="e">
        <f>IF(#REF!,"AAAAAHK8Nzk=",0)</f>
        <v>#REF!</v>
      </c>
      <c r="BG235" t="e">
        <f>IF(#REF!,"AAAAAHK8Nzo=",0)</f>
        <v>#REF!</v>
      </c>
      <c r="BH235" t="e">
        <f>IF(#REF!,"AAAAAHK8Nzs=",0)</f>
        <v>#REF!</v>
      </c>
      <c r="BI235" t="e">
        <f>IF(#REF!,"AAAAAHK8Nzw=",0)</f>
        <v>#REF!</v>
      </c>
      <c r="BJ235" t="e">
        <f>IF(#REF!,"AAAAAHK8Nz0=",0)</f>
        <v>#REF!</v>
      </c>
      <c r="BK235" t="e">
        <f>IF(#REF!,"AAAAAHK8Nz4=",0)</f>
        <v>#REF!</v>
      </c>
      <c r="BL235" t="e">
        <f>IF(#REF!,"AAAAAHK8Nz8=",0)</f>
        <v>#REF!</v>
      </c>
      <c r="BM235" t="e">
        <f>IF(#REF!,"AAAAAHK8N0A=",0)</f>
        <v>#REF!</v>
      </c>
      <c r="BN235" t="e">
        <f>IF(#REF!,"AAAAAHK8N0E=",0)</f>
        <v>#REF!</v>
      </c>
      <c r="BO235" t="e">
        <f>IF(#REF!,"AAAAAHK8N0I=",0)</f>
        <v>#REF!</v>
      </c>
      <c r="BP235" t="e">
        <f>IF(#REF!,"AAAAAHK8N0M=",0)</f>
        <v>#REF!</v>
      </c>
      <c r="BQ235" t="e">
        <f>IF(#REF!,"AAAAAHK8N0Q=",0)</f>
        <v>#REF!</v>
      </c>
      <c r="BR235" t="e">
        <f>IF(#REF!,"AAAAAHK8N0U=",0)</f>
        <v>#REF!</v>
      </c>
      <c r="BS235" t="e">
        <f>IF(#REF!,"AAAAAHK8N0Y=",0)</f>
        <v>#REF!</v>
      </c>
      <c r="BT235" t="e">
        <f>IF(#REF!,"AAAAAHK8N0c=",0)</f>
        <v>#REF!</v>
      </c>
      <c r="BU235" t="e">
        <f>IF(#REF!,"AAAAAHK8N0g=",0)</f>
        <v>#REF!</v>
      </c>
      <c r="BV235" t="e">
        <f>IF(#REF!,"AAAAAHK8N0k=",0)</f>
        <v>#REF!</v>
      </c>
      <c r="BW235" t="e">
        <f>IF(#REF!,"AAAAAHK8N0o=",0)</f>
        <v>#REF!</v>
      </c>
      <c r="BX235" t="e">
        <f>IF(#REF!,"AAAAAHK8N0s=",0)</f>
        <v>#REF!</v>
      </c>
      <c r="BY235" t="e">
        <f>IF(#REF!,"AAAAAHK8N0w=",0)</f>
        <v>#REF!</v>
      </c>
      <c r="BZ235" t="e">
        <f>IF(#REF!,"AAAAAHK8N00=",0)</f>
        <v>#REF!</v>
      </c>
      <c r="CA235" t="e">
        <f>IF(#REF!,"AAAAAHK8N04=",0)</f>
        <v>#REF!</v>
      </c>
      <c r="CB235" t="e">
        <f>IF(#REF!,"AAAAAHK8N08=",0)</f>
        <v>#REF!</v>
      </c>
      <c r="CC235" t="e">
        <f>IF(#REF!,"AAAAAHK8N1A=",0)</f>
        <v>#REF!</v>
      </c>
      <c r="CD235" t="e">
        <f>IF(#REF!,"AAAAAHK8N1E=",0)</f>
        <v>#REF!</v>
      </c>
      <c r="CE235" t="e">
        <f>IF(#REF!,"AAAAAHK8N1I=",0)</f>
        <v>#REF!</v>
      </c>
      <c r="CF235" t="e">
        <f>IF(#REF!,"AAAAAHK8N1M=",0)</f>
        <v>#REF!</v>
      </c>
      <c r="CG235" t="e">
        <f>IF(#REF!,"AAAAAHK8N1Q=",0)</f>
        <v>#REF!</v>
      </c>
      <c r="CH235" t="e">
        <f>IF(#REF!,"AAAAAHK8N1U=",0)</f>
        <v>#REF!</v>
      </c>
      <c r="CI235" t="e">
        <f>IF(#REF!,"AAAAAHK8N1Y=",0)</f>
        <v>#REF!</v>
      </c>
      <c r="CJ235" t="e">
        <f>IF(#REF!,"AAAAAHK8N1c=",0)</f>
        <v>#REF!</v>
      </c>
      <c r="CK235" t="e">
        <f>IF(#REF!,"AAAAAHK8N1g=",0)</f>
        <v>#REF!</v>
      </c>
      <c r="CL235" t="e">
        <f>IF(#REF!,"AAAAAHK8N1k=",0)</f>
        <v>#REF!</v>
      </c>
      <c r="CM235" t="e">
        <f>IF(#REF!,"AAAAAHK8N1o=",0)</f>
        <v>#REF!</v>
      </c>
      <c r="CN235" t="e">
        <f>IF(#REF!,"AAAAAHK8N1s=",0)</f>
        <v>#REF!</v>
      </c>
      <c r="CO235" t="e">
        <f>IF(#REF!,"AAAAAHK8N1w=",0)</f>
        <v>#REF!</v>
      </c>
      <c r="CP235" t="e">
        <f>IF(#REF!,"AAAAAHK8N10=",0)</f>
        <v>#REF!</v>
      </c>
      <c r="CQ235" t="e">
        <f>IF(#REF!,"AAAAAHK8N14=",0)</f>
        <v>#REF!</v>
      </c>
      <c r="CR235" t="e">
        <f>IF(#REF!,"AAAAAHK8N18=",0)</f>
        <v>#REF!</v>
      </c>
      <c r="CS235" t="e">
        <f>IF(#REF!,"AAAAAHK8N2A=",0)</f>
        <v>#REF!</v>
      </c>
      <c r="CT235" t="e">
        <f>IF(#REF!,"AAAAAHK8N2E=",0)</f>
        <v>#REF!</v>
      </c>
      <c r="CU235" t="e">
        <f>IF(#REF!,"AAAAAHK8N2I=",0)</f>
        <v>#REF!</v>
      </c>
      <c r="CV235" t="e">
        <f>IF(#REF!,"AAAAAHK8N2M=",0)</f>
        <v>#REF!</v>
      </c>
      <c r="CW235" t="e">
        <f>IF(#REF!,"AAAAAHK8N2Q=",0)</f>
        <v>#REF!</v>
      </c>
      <c r="CX235" t="e">
        <f>IF(#REF!,"AAAAAHK8N2U=",0)</f>
        <v>#REF!</v>
      </c>
      <c r="CY235" t="e">
        <f>IF(#REF!,"AAAAAHK8N2Y=",0)</f>
        <v>#REF!</v>
      </c>
      <c r="CZ235" t="e">
        <f>IF(#REF!,"AAAAAHK8N2c=",0)</f>
        <v>#REF!</v>
      </c>
      <c r="DA235" t="e">
        <f>IF(#REF!,"AAAAAHK8N2g=",0)</f>
        <v>#REF!</v>
      </c>
      <c r="DB235" t="e">
        <f>IF(#REF!,"AAAAAHK8N2k=",0)</f>
        <v>#REF!</v>
      </c>
      <c r="DC235" t="e">
        <f>IF(#REF!,"AAAAAHK8N2o=",0)</f>
        <v>#REF!</v>
      </c>
      <c r="DD235" t="e">
        <f>IF(#REF!,"AAAAAHK8N2s=",0)</f>
        <v>#REF!</v>
      </c>
      <c r="DE235" t="e">
        <f>IF(#REF!,"AAAAAHK8N2w=",0)</f>
        <v>#REF!</v>
      </c>
      <c r="DF235" t="e">
        <f>IF(#REF!,"AAAAAHK8N20=",0)</f>
        <v>#REF!</v>
      </c>
      <c r="DG235" t="e">
        <f>IF(#REF!,"AAAAAHK8N24=",0)</f>
        <v>#REF!</v>
      </c>
      <c r="DH235" t="e">
        <f>IF(#REF!,"AAAAAHK8N28=",0)</f>
        <v>#REF!</v>
      </c>
      <c r="DI235" t="e">
        <f>IF(#REF!,"AAAAAHK8N3A=",0)</f>
        <v>#REF!</v>
      </c>
      <c r="DJ235" t="e">
        <f>IF(#REF!,"AAAAAHK8N3E=",0)</f>
        <v>#REF!</v>
      </c>
      <c r="DK235" t="e">
        <f>IF(#REF!,"AAAAAHK8N3I=",0)</f>
        <v>#REF!</v>
      </c>
      <c r="DL235" t="e">
        <f>IF(#REF!,"AAAAAHK8N3M=",0)</f>
        <v>#REF!</v>
      </c>
      <c r="DM235" t="e">
        <f>IF(#REF!,"AAAAAHK8N3Q=",0)</f>
        <v>#REF!</v>
      </c>
      <c r="DN235" t="e">
        <f>IF(#REF!,"AAAAAHK8N3U=",0)</f>
        <v>#REF!</v>
      </c>
      <c r="DO235" t="e">
        <f>IF(#REF!,"AAAAAHK8N3Y=",0)</f>
        <v>#REF!</v>
      </c>
      <c r="DP235" t="e">
        <f>IF(#REF!,"AAAAAHK8N3c=",0)</f>
        <v>#REF!</v>
      </c>
      <c r="DQ235" t="e">
        <f>IF(#REF!,"AAAAAHK8N3g=",0)</f>
        <v>#REF!</v>
      </c>
      <c r="DR235" t="e">
        <f>IF(#REF!,"AAAAAHK8N3k=",0)</f>
        <v>#REF!</v>
      </c>
      <c r="DS235" t="e">
        <f>IF(#REF!,"AAAAAHK8N3o=",0)</f>
        <v>#REF!</v>
      </c>
      <c r="DT235" t="e">
        <f>IF(#REF!,"AAAAAHK8N3s=",0)</f>
        <v>#REF!</v>
      </c>
      <c r="DU235" t="e">
        <f>IF(#REF!,"AAAAAHK8N3w=",0)</f>
        <v>#REF!</v>
      </c>
      <c r="DV235" t="e">
        <f>IF(#REF!,"AAAAAHK8N30=",0)</f>
        <v>#REF!</v>
      </c>
      <c r="DW235" t="e">
        <f>IF(#REF!,"AAAAAHK8N34=",0)</f>
        <v>#REF!</v>
      </c>
      <c r="DX235" t="e">
        <f>IF(#REF!,"AAAAAHK8N38=",0)</f>
        <v>#REF!</v>
      </c>
      <c r="DY235" t="e">
        <f>IF(#REF!,"AAAAAHK8N4A=",0)</f>
        <v>#REF!</v>
      </c>
      <c r="DZ235" t="e">
        <f>IF(#REF!,"AAAAAHK8N4E=",0)</f>
        <v>#REF!</v>
      </c>
      <c r="EA235" t="e">
        <f>IF(#REF!,"AAAAAHK8N4I=",0)</f>
        <v>#REF!</v>
      </c>
      <c r="EB235" t="e">
        <f>IF(#REF!,"AAAAAHK8N4M=",0)</f>
        <v>#REF!</v>
      </c>
      <c r="EC235" t="e">
        <f>IF(#REF!,"AAAAAHK8N4Q=",0)</f>
        <v>#REF!</v>
      </c>
      <c r="ED235" t="e">
        <f>IF(#REF!,"AAAAAHK8N4U=",0)</f>
        <v>#REF!</v>
      </c>
      <c r="EE235" t="e">
        <f>IF(#REF!,"AAAAAHK8N4Y=",0)</f>
        <v>#REF!</v>
      </c>
      <c r="EF235" t="e">
        <f>IF(#REF!,"AAAAAHK8N4c=",0)</f>
        <v>#REF!</v>
      </c>
      <c r="EG235" t="e">
        <f>IF(#REF!,"AAAAAHK8N4g=",0)</f>
        <v>#REF!</v>
      </c>
      <c r="EH235" t="e">
        <f>IF(#REF!,"AAAAAHK8N4k=",0)</f>
        <v>#REF!</v>
      </c>
      <c r="EI235" t="e">
        <f>IF(#REF!,"AAAAAHK8N4o=",0)</f>
        <v>#REF!</v>
      </c>
      <c r="EJ235" t="e">
        <f>IF(#REF!,"AAAAAHK8N4s=",0)</f>
        <v>#REF!</v>
      </c>
      <c r="EK235" t="e">
        <f>IF(#REF!,"AAAAAHK8N4w=",0)</f>
        <v>#REF!</v>
      </c>
      <c r="EL235" t="e">
        <f>IF(#REF!,"AAAAAHK8N40=",0)</f>
        <v>#REF!</v>
      </c>
      <c r="EM235" t="e">
        <f>IF(#REF!,"AAAAAHK8N44=",0)</f>
        <v>#REF!</v>
      </c>
      <c r="EN235" t="e">
        <f>IF(#REF!,"AAAAAHK8N48=",0)</f>
        <v>#REF!</v>
      </c>
      <c r="EO235" t="e">
        <f>IF(#REF!,"AAAAAHK8N5A=",0)</f>
        <v>#REF!</v>
      </c>
      <c r="EP235" t="e">
        <f>IF(#REF!,"AAAAAHK8N5E=",0)</f>
        <v>#REF!</v>
      </c>
      <c r="EQ235" t="e">
        <f>IF(#REF!,"AAAAAHK8N5I=",0)</f>
        <v>#REF!</v>
      </c>
      <c r="ER235" t="e">
        <f>IF(#REF!,"AAAAAHK8N5M=",0)</f>
        <v>#REF!</v>
      </c>
      <c r="ES235" t="e">
        <f>IF(#REF!,"AAAAAHK8N5Q=",0)</f>
        <v>#REF!</v>
      </c>
      <c r="ET235" t="e">
        <f>IF(#REF!,"AAAAAHK8N5U=",0)</f>
        <v>#REF!</v>
      </c>
      <c r="EU235" t="e">
        <f>IF(#REF!,"AAAAAHK8N5Y=",0)</f>
        <v>#REF!</v>
      </c>
      <c r="EV235" t="e">
        <f>IF(#REF!,"AAAAAHK8N5c=",0)</f>
        <v>#REF!</v>
      </c>
      <c r="EW235" t="e">
        <f>IF(#REF!,"AAAAAHK8N5g=",0)</f>
        <v>#REF!</v>
      </c>
      <c r="EX235" t="e">
        <f>IF(#REF!,"AAAAAHK8N5k=",0)</f>
        <v>#REF!</v>
      </c>
      <c r="EY235" t="e">
        <f>IF(#REF!,"AAAAAHK8N5o=",0)</f>
        <v>#REF!</v>
      </c>
      <c r="EZ235" t="e">
        <f>IF(#REF!,"AAAAAHK8N5s=",0)</f>
        <v>#REF!</v>
      </c>
      <c r="FA235" t="e">
        <f>IF(#REF!,"AAAAAHK8N5w=",0)</f>
        <v>#REF!</v>
      </c>
      <c r="FB235" t="e">
        <f>IF(#REF!,"AAAAAHK8N50=",0)</f>
        <v>#REF!</v>
      </c>
      <c r="FC235" t="e">
        <f>IF(#REF!,"AAAAAHK8N54=",0)</f>
        <v>#REF!</v>
      </c>
      <c r="FD235" t="e">
        <f>IF(#REF!,"AAAAAHK8N58=",0)</f>
        <v>#REF!</v>
      </c>
      <c r="FE235" t="e">
        <f>IF(#REF!,"AAAAAHK8N6A=",0)</f>
        <v>#REF!</v>
      </c>
      <c r="FF235" t="e">
        <f>IF(#REF!,"AAAAAHK8N6E=",0)</f>
        <v>#REF!</v>
      </c>
      <c r="FG235" t="e">
        <f>IF(#REF!,"AAAAAHK8N6I=",0)</f>
        <v>#REF!</v>
      </c>
      <c r="FH235" t="e">
        <f>IF(#REF!,"AAAAAHK8N6M=",0)</f>
        <v>#REF!</v>
      </c>
      <c r="FI235" t="e">
        <f>IF(#REF!,"AAAAAHK8N6Q=",0)</f>
        <v>#REF!</v>
      </c>
      <c r="FJ235" t="e">
        <f>IF(#REF!,"AAAAAHK8N6U=",0)</f>
        <v>#REF!</v>
      </c>
      <c r="FK235" t="e">
        <f>IF(#REF!,"AAAAAHK8N6Y=",0)</f>
        <v>#REF!</v>
      </c>
      <c r="FL235" t="e">
        <f>IF(#REF!,"AAAAAHK8N6c=",0)</f>
        <v>#REF!</v>
      </c>
      <c r="FM235" t="e">
        <f>IF(#REF!,"AAAAAHK8N6g=",0)</f>
        <v>#REF!</v>
      </c>
      <c r="FN235" t="e">
        <f>IF(#REF!,"AAAAAHK8N6k=",0)</f>
        <v>#REF!</v>
      </c>
      <c r="FO235" t="e">
        <f>IF(#REF!,"AAAAAHK8N6o=",0)</f>
        <v>#REF!</v>
      </c>
      <c r="FP235" t="e">
        <f>IF(#REF!,"AAAAAHK8N6s=",0)</f>
        <v>#REF!</v>
      </c>
      <c r="FQ235" t="e">
        <f>IF(#REF!,"AAAAAHK8N6w=",0)</f>
        <v>#REF!</v>
      </c>
      <c r="FR235" t="e">
        <f>IF(#REF!,"AAAAAHK8N60=",0)</f>
        <v>#REF!</v>
      </c>
      <c r="FS235" t="e">
        <f>IF(#REF!,"AAAAAHK8N64=",0)</f>
        <v>#REF!</v>
      </c>
      <c r="FT235" t="e">
        <f>IF(#REF!,"AAAAAHK8N68=",0)</f>
        <v>#REF!</v>
      </c>
      <c r="FU235" t="e">
        <f>IF(#REF!,"AAAAAHK8N7A=",0)</f>
        <v>#REF!</v>
      </c>
      <c r="FV235" t="e">
        <f>IF(#REF!,"AAAAAHK8N7E=",0)</f>
        <v>#REF!</v>
      </c>
      <c r="FW235" t="e">
        <f>IF(#REF!,"AAAAAHK8N7I=",0)</f>
        <v>#REF!</v>
      </c>
      <c r="FX235" t="e">
        <f>IF(#REF!,"AAAAAHK8N7M=",0)</f>
        <v>#REF!</v>
      </c>
      <c r="FY235" t="e">
        <f>IF(#REF!,"AAAAAHK8N7Q=",0)</f>
        <v>#REF!</v>
      </c>
      <c r="FZ235" t="e">
        <f>IF(#REF!,"AAAAAHK8N7U=",0)</f>
        <v>#REF!</v>
      </c>
      <c r="GA235" t="e">
        <f>IF(#REF!,"AAAAAHK8N7Y=",0)</f>
        <v>#REF!</v>
      </c>
      <c r="GB235" t="e">
        <f>IF(#REF!,"AAAAAHK8N7c=",0)</f>
        <v>#REF!</v>
      </c>
      <c r="GC235" t="e">
        <f>IF(#REF!,"AAAAAHK8N7g=",0)</f>
        <v>#REF!</v>
      </c>
      <c r="GD235" t="e">
        <f>IF(#REF!,"AAAAAHK8N7k=",0)</f>
        <v>#REF!</v>
      </c>
      <c r="GE235" t="e">
        <f>IF(#REF!,"AAAAAHK8N7o=",0)</f>
        <v>#REF!</v>
      </c>
      <c r="GF235" t="e">
        <f>IF(#REF!,"AAAAAHK8N7s=",0)</f>
        <v>#REF!</v>
      </c>
      <c r="GG235" t="e">
        <f>IF(#REF!,"AAAAAHK8N7w=",0)</f>
        <v>#REF!</v>
      </c>
      <c r="GH235" t="e">
        <f>IF(#REF!,"AAAAAHK8N70=",0)</f>
        <v>#REF!</v>
      </c>
      <c r="GI235" t="e">
        <f>IF(#REF!,"AAAAAHK8N74=",0)</f>
        <v>#REF!</v>
      </c>
      <c r="GJ235" t="e">
        <f>IF(#REF!,"AAAAAHK8N78=",0)</f>
        <v>#REF!</v>
      </c>
      <c r="GK235" t="e">
        <f>IF(#REF!,"AAAAAHK8N8A=",0)</f>
        <v>#REF!</v>
      </c>
      <c r="GL235" t="e">
        <f>IF(#REF!,"AAAAAHK8N8E=",0)</f>
        <v>#REF!</v>
      </c>
      <c r="GM235" t="e">
        <f>IF(#REF!,"AAAAAHK8N8I=",0)</f>
        <v>#REF!</v>
      </c>
      <c r="GN235" t="e">
        <f>IF(#REF!,"AAAAAHK8N8M=",0)</f>
        <v>#REF!</v>
      </c>
      <c r="GO235" t="e">
        <f>IF(#REF!,"AAAAAHK8N8Q=",0)</f>
        <v>#REF!</v>
      </c>
      <c r="GP235" t="e">
        <f>IF(#REF!,"AAAAAHK8N8U=",0)</f>
        <v>#REF!</v>
      </c>
      <c r="GQ235" t="e">
        <f>IF(#REF!,"AAAAAHK8N8Y=",0)</f>
        <v>#REF!</v>
      </c>
      <c r="GR235" t="e">
        <f>IF(#REF!,"AAAAAHK8N8c=",0)</f>
        <v>#REF!</v>
      </c>
      <c r="GS235" t="e">
        <f>IF(#REF!,"AAAAAHK8N8g=",0)</f>
        <v>#REF!</v>
      </c>
      <c r="GT235" t="e">
        <f>IF(#REF!,"AAAAAHK8N8k=",0)</f>
        <v>#REF!</v>
      </c>
      <c r="GU235" t="e">
        <f>IF(#REF!,"AAAAAHK8N8o=",0)</f>
        <v>#REF!</v>
      </c>
      <c r="GV235" t="e">
        <f>IF(#REF!,"AAAAAHK8N8s=",0)</f>
        <v>#REF!</v>
      </c>
      <c r="GW235" t="e">
        <f>IF(#REF!,"AAAAAHK8N8w=",0)</f>
        <v>#REF!</v>
      </c>
      <c r="GX235" t="e">
        <f>IF(#REF!,"AAAAAHK8N80=",0)</f>
        <v>#REF!</v>
      </c>
      <c r="GY235" t="e">
        <f>IF(#REF!,"AAAAAHK8N84=",0)</f>
        <v>#REF!</v>
      </c>
      <c r="GZ235" t="e">
        <f>IF(#REF!,"AAAAAHK8N88=",0)</f>
        <v>#REF!</v>
      </c>
      <c r="HA235" t="e">
        <f>IF(#REF!,"AAAAAHK8N9A=",0)</f>
        <v>#REF!</v>
      </c>
      <c r="HB235" t="e">
        <f>IF(#REF!,"AAAAAHK8N9E=",0)</f>
        <v>#REF!</v>
      </c>
      <c r="HC235" t="e">
        <f>IF(#REF!,"AAAAAHK8N9I=",0)</f>
        <v>#REF!</v>
      </c>
      <c r="HD235" t="e">
        <f>IF(#REF!,"AAAAAHK8N9M=",0)</f>
        <v>#REF!</v>
      </c>
      <c r="HE235" t="e">
        <f>IF(#REF!,"AAAAAHK8N9Q=",0)</f>
        <v>#REF!</v>
      </c>
      <c r="HF235" t="e">
        <f>IF(#REF!,"AAAAAHK8N9U=",0)</f>
        <v>#REF!</v>
      </c>
      <c r="HG235" t="e">
        <f>IF(#REF!,"AAAAAHK8N9Y=",0)</f>
        <v>#REF!</v>
      </c>
      <c r="HH235" t="e">
        <f>IF(#REF!,"AAAAAHK8N9c=",0)</f>
        <v>#REF!</v>
      </c>
      <c r="HI235" t="e">
        <f>IF(#REF!,"AAAAAHK8N9g=",0)</f>
        <v>#REF!</v>
      </c>
      <c r="HJ235" t="e">
        <f>IF(#REF!,"AAAAAHK8N9k=",0)</f>
        <v>#REF!</v>
      </c>
      <c r="HK235" t="e">
        <f>IF(#REF!,"AAAAAHK8N9o=",0)</f>
        <v>#REF!</v>
      </c>
      <c r="HL235" t="e">
        <f>IF(#REF!,"AAAAAHK8N9s=",0)</f>
        <v>#REF!</v>
      </c>
      <c r="HM235" t="e">
        <f>IF(#REF!,"AAAAAHK8N9w=",0)</f>
        <v>#REF!</v>
      </c>
      <c r="HN235" t="e">
        <f>IF(#REF!,"AAAAAHK8N90=",0)</f>
        <v>#REF!</v>
      </c>
      <c r="HO235" t="e">
        <f>IF(#REF!,"AAAAAHK8N94=",0)</f>
        <v>#REF!</v>
      </c>
      <c r="HP235" t="e">
        <f>IF(#REF!,"AAAAAHK8N98=",0)</f>
        <v>#REF!</v>
      </c>
      <c r="HQ235" t="e">
        <f>IF(#REF!,"AAAAAHK8N+A=",0)</f>
        <v>#REF!</v>
      </c>
      <c r="HR235" t="e">
        <f>IF(#REF!,"AAAAAHK8N+E=",0)</f>
        <v>#REF!</v>
      </c>
      <c r="HS235" t="e">
        <f>IF(#REF!,"AAAAAHK8N+I=",0)</f>
        <v>#REF!</v>
      </c>
      <c r="HT235" t="e">
        <f>IF(#REF!,"AAAAAHK8N+M=",0)</f>
        <v>#REF!</v>
      </c>
      <c r="HU235" t="e">
        <f>IF(#REF!,"AAAAAHK8N+Q=",0)</f>
        <v>#REF!</v>
      </c>
      <c r="HV235" t="e">
        <f>IF(#REF!,"AAAAAHK8N+U=",0)</f>
        <v>#REF!</v>
      </c>
      <c r="HW235" t="e">
        <f>IF(#REF!,"AAAAAHK8N+Y=",0)</f>
        <v>#REF!</v>
      </c>
      <c r="HX235" t="e">
        <f>IF(#REF!,"AAAAAHK8N+c=",0)</f>
        <v>#REF!</v>
      </c>
      <c r="HY235" t="e">
        <f>IF(#REF!,"AAAAAHK8N+g=",0)</f>
        <v>#REF!</v>
      </c>
      <c r="HZ235" t="e">
        <f>IF(#REF!,"AAAAAHK8N+k=",0)</f>
        <v>#REF!</v>
      </c>
      <c r="IA235" t="e">
        <f>IF(#REF!,"AAAAAHK8N+o=",0)</f>
        <v>#REF!</v>
      </c>
      <c r="IB235" t="e">
        <f>IF(#REF!,"AAAAAHK8N+s=",0)</f>
        <v>#REF!</v>
      </c>
      <c r="IC235" t="e">
        <f>IF(#REF!,"AAAAAHK8N+w=",0)</f>
        <v>#REF!</v>
      </c>
      <c r="ID235" t="e">
        <f>IF(#REF!,"AAAAAHK8N+0=",0)</f>
        <v>#REF!</v>
      </c>
      <c r="IE235" t="e">
        <f>IF(#REF!,"AAAAAHK8N+4=",0)</f>
        <v>#REF!</v>
      </c>
      <c r="IF235" t="e">
        <f>IF(#REF!,"AAAAAHK8N+8=",0)</f>
        <v>#REF!</v>
      </c>
      <c r="IG235" t="e">
        <f>IF(#REF!,"AAAAAHK8N/A=",0)</f>
        <v>#REF!</v>
      </c>
      <c r="IH235" t="e">
        <f>IF(#REF!,"AAAAAHK8N/E=",0)</f>
        <v>#REF!</v>
      </c>
      <c r="II235" t="e">
        <f>IF(#REF!,"AAAAAHK8N/I=",0)</f>
        <v>#REF!</v>
      </c>
      <c r="IJ235" t="e">
        <f>IF(#REF!,"AAAAAHK8N/M=",0)</f>
        <v>#REF!</v>
      </c>
      <c r="IK235" t="e">
        <f>IF(#REF!,"AAAAAHK8N/Q=",0)</f>
        <v>#REF!</v>
      </c>
      <c r="IL235" t="e">
        <f>IF(#REF!,"AAAAAHK8N/U=",0)</f>
        <v>#REF!</v>
      </c>
      <c r="IM235" t="e">
        <f>IF(#REF!,"AAAAAHK8N/Y=",0)</f>
        <v>#REF!</v>
      </c>
      <c r="IN235" t="e">
        <f>IF(#REF!,"AAAAAHK8N/c=",0)</f>
        <v>#REF!</v>
      </c>
      <c r="IO235" t="e">
        <f>IF(#REF!,"AAAAAHK8N/g=",0)</f>
        <v>#REF!</v>
      </c>
      <c r="IP235" t="e">
        <f>IF(#REF!,"AAAAAHK8N/k=",0)</f>
        <v>#REF!</v>
      </c>
      <c r="IQ235" t="e">
        <f>IF(#REF!,"AAAAAHK8N/o=",0)</f>
        <v>#REF!</v>
      </c>
      <c r="IR235" t="e">
        <f>IF(#REF!,"AAAAAHK8N/s=",0)</f>
        <v>#REF!</v>
      </c>
      <c r="IS235" t="e">
        <f>IF(#REF!,"AAAAAHK8N/w=",0)</f>
        <v>#REF!</v>
      </c>
      <c r="IT235" t="e">
        <f>IF(#REF!,"AAAAAHK8N/0=",0)</f>
        <v>#REF!</v>
      </c>
      <c r="IU235" t="e">
        <f>IF(#REF!,"AAAAAHK8N/4=",0)</f>
        <v>#REF!</v>
      </c>
      <c r="IV235" t="e">
        <f>IF(#REF!,"AAAAAHK8N/8=",0)</f>
        <v>#REF!</v>
      </c>
    </row>
    <row r="236" spans="1:256">
      <c r="A236" t="e">
        <f>IF(#REF!,"AAAAAHZvzwA=",0)</f>
        <v>#REF!</v>
      </c>
      <c r="B236" t="e">
        <f>IF(#REF!,"AAAAAHZvzwE=",0)</f>
        <v>#REF!</v>
      </c>
      <c r="C236" t="e">
        <f>IF(#REF!,"AAAAAHZvzwI=",0)</f>
        <v>#REF!</v>
      </c>
      <c r="D236" t="e">
        <f>IF(#REF!,"AAAAAHZvzwM=",0)</f>
        <v>#REF!</v>
      </c>
      <c r="E236" t="e">
        <f>IF(#REF!,"AAAAAHZvzwQ=",0)</f>
        <v>#REF!</v>
      </c>
      <c r="F236" t="e">
        <f>IF(#REF!,"AAAAAHZvzwU=",0)</f>
        <v>#REF!</v>
      </c>
      <c r="G236" t="e">
        <f>IF(#REF!,"AAAAAHZvzwY=",0)</f>
        <v>#REF!</v>
      </c>
      <c r="H236" t="e">
        <f>IF(#REF!,"AAAAAHZvzwc=",0)</f>
        <v>#REF!</v>
      </c>
      <c r="I236" t="e">
        <f>IF(#REF!,"AAAAAHZvzwg=",0)</f>
        <v>#REF!</v>
      </c>
      <c r="J236" t="e">
        <f>IF(#REF!,"AAAAAHZvzwk=",0)</f>
        <v>#REF!</v>
      </c>
      <c r="K236" t="e">
        <f>IF(#REF!,"AAAAAHZvzwo=",0)</f>
        <v>#REF!</v>
      </c>
      <c r="L236" t="e">
        <f>IF(#REF!,"AAAAAHZvzws=",0)</f>
        <v>#REF!</v>
      </c>
      <c r="M236" t="e">
        <f>IF(#REF!,"AAAAAHZvzww=",0)</f>
        <v>#REF!</v>
      </c>
      <c r="N236" t="e">
        <f>IF(#REF!,"AAAAAHZvzw0=",0)</f>
        <v>#REF!</v>
      </c>
      <c r="O236" t="e">
        <f>IF(#REF!,"AAAAAHZvzw4=",0)</f>
        <v>#REF!</v>
      </c>
      <c r="P236" t="e">
        <f>IF(#REF!,"AAAAAHZvzw8=",0)</f>
        <v>#REF!</v>
      </c>
      <c r="Q236" t="e">
        <f>IF(#REF!,"AAAAAHZvzxA=",0)</f>
        <v>#REF!</v>
      </c>
      <c r="R236" t="e">
        <f>IF(#REF!,"AAAAAHZvzxE=",0)</f>
        <v>#REF!</v>
      </c>
      <c r="S236" t="e">
        <f>IF(#REF!,"AAAAAHZvzxI=",0)</f>
        <v>#REF!</v>
      </c>
      <c r="T236" t="e">
        <f>IF(#REF!,"AAAAAHZvzxM=",0)</f>
        <v>#REF!</v>
      </c>
      <c r="U236" t="e">
        <f>IF(#REF!,"AAAAAHZvzxQ=",0)</f>
        <v>#REF!</v>
      </c>
      <c r="V236" t="e">
        <f>IF(#REF!,"AAAAAHZvzxU=",0)</f>
        <v>#REF!</v>
      </c>
      <c r="W236" t="e">
        <f>IF(#REF!,"AAAAAHZvzxY=",0)</f>
        <v>#REF!</v>
      </c>
      <c r="X236" t="e">
        <f>IF(#REF!,"AAAAAHZvzxc=",0)</f>
        <v>#REF!</v>
      </c>
      <c r="Y236" t="e">
        <f>IF(#REF!,"AAAAAHZvzxg=",0)</f>
        <v>#REF!</v>
      </c>
      <c r="Z236" t="e">
        <f>IF(#REF!,"AAAAAHZvzxk=",0)</f>
        <v>#REF!</v>
      </c>
      <c r="AA236" t="e">
        <f>IF(#REF!,"AAAAAHZvzxo=",0)</f>
        <v>#REF!</v>
      </c>
      <c r="AB236" t="e">
        <f>IF(#REF!,"AAAAAHZvzxs=",0)</f>
        <v>#REF!</v>
      </c>
      <c r="AC236" t="e">
        <f>IF(#REF!,"AAAAAHZvzxw=",0)</f>
        <v>#REF!</v>
      </c>
      <c r="AD236" t="e">
        <f>IF(#REF!,"AAAAAHZvzx0=",0)</f>
        <v>#REF!</v>
      </c>
      <c r="AE236" t="e">
        <f>IF(#REF!,"AAAAAHZvzx4=",0)</f>
        <v>#REF!</v>
      </c>
      <c r="AF236" t="e">
        <f>IF(#REF!,"AAAAAHZvzx8=",0)</f>
        <v>#REF!</v>
      </c>
      <c r="AG236" t="e">
        <f>IF(#REF!,"AAAAAHZvzyA=",0)</f>
        <v>#REF!</v>
      </c>
      <c r="AH236" t="e">
        <f>IF(#REF!,"AAAAAHZvzyE=",0)</f>
        <v>#REF!</v>
      </c>
      <c r="AI236" t="e">
        <f>IF(#REF!,"AAAAAHZvzyI=",0)</f>
        <v>#REF!</v>
      </c>
      <c r="AJ236" t="e">
        <f>IF(#REF!,"AAAAAHZvzyM=",0)</f>
        <v>#REF!</v>
      </c>
      <c r="AK236" t="e">
        <f>IF(#REF!,"AAAAAHZvzyQ=",0)</f>
        <v>#REF!</v>
      </c>
      <c r="AL236" t="e">
        <f>IF(#REF!,"AAAAAHZvzyU=",0)</f>
        <v>#REF!</v>
      </c>
      <c r="AM236" t="e">
        <f>IF(#REF!,"AAAAAHZvzyY=",0)</f>
        <v>#REF!</v>
      </c>
      <c r="AN236" t="e">
        <f>IF(#REF!,"AAAAAHZvzyc=",0)</f>
        <v>#REF!</v>
      </c>
      <c r="AO236" t="e">
        <f>IF(#REF!,"AAAAAHZvzyg=",0)</f>
        <v>#REF!</v>
      </c>
      <c r="AP236" t="e">
        <f>IF(#REF!,"AAAAAHZvzyk=",0)</f>
        <v>#REF!</v>
      </c>
      <c r="AQ236" t="e">
        <f>IF(#REF!,"AAAAAHZvzyo=",0)</f>
        <v>#REF!</v>
      </c>
      <c r="AR236" t="e">
        <f>IF(#REF!,"AAAAAHZvzys=",0)</f>
        <v>#REF!</v>
      </c>
      <c r="AS236" t="e">
        <f>IF(#REF!,"AAAAAHZvzyw=",0)</f>
        <v>#REF!</v>
      </c>
      <c r="AT236" t="e">
        <f>IF(#REF!,"AAAAAHZvzy0=",0)</f>
        <v>#REF!</v>
      </c>
      <c r="AU236" t="e">
        <f>IF(#REF!,"AAAAAHZvzy4=",0)</f>
        <v>#REF!</v>
      </c>
      <c r="AV236" t="e">
        <f>IF(#REF!,"AAAAAHZvzy8=",0)</f>
        <v>#REF!</v>
      </c>
      <c r="AW236" t="e">
        <f>IF(#REF!,"AAAAAHZvzzA=",0)</f>
        <v>#REF!</v>
      </c>
      <c r="AX236" t="e">
        <f>IF(#REF!,"AAAAAHZvzzE=",0)</f>
        <v>#REF!</v>
      </c>
      <c r="AY236" t="e">
        <f>IF(#REF!,"AAAAAHZvzzI=",0)</f>
        <v>#REF!</v>
      </c>
      <c r="AZ236" t="e">
        <f>IF(#REF!,"AAAAAHZvzzM=",0)</f>
        <v>#REF!</v>
      </c>
      <c r="BA236" t="e">
        <f>IF(#REF!,"AAAAAHZvzzQ=",0)</f>
        <v>#REF!</v>
      </c>
      <c r="BB236" t="e">
        <f>IF(#REF!,"AAAAAHZvzzU=",0)</f>
        <v>#REF!</v>
      </c>
      <c r="BC236" t="e">
        <f>IF(#REF!,"AAAAAHZvzzY=",0)</f>
        <v>#REF!</v>
      </c>
      <c r="BD236" t="e">
        <f>IF(#REF!,"AAAAAHZvzzc=",0)</f>
        <v>#REF!</v>
      </c>
      <c r="BE236" t="e">
        <f>IF(#REF!,"AAAAAHZvzzg=",0)</f>
        <v>#REF!</v>
      </c>
      <c r="BF236" t="e">
        <f>IF(#REF!,"AAAAAHZvzzk=",0)</f>
        <v>#REF!</v>
      </c>
      <c r="BG236" t="e">
        <f>IF(#REF!,"AAAAAHZvzzo=",0)</f>
        <v>#REF!</v>
      </c>
      <c r="BH236" t="e">
        <f>IF(#REF!,"AAAAAHZvzzs=",0)</f>
        <v>#REF!</v>
      </c>
      <c r="BI236" t="e">
        <f>IF(#REF!,"AAAAAHZvzzw=",0)</f>
        <v>#REF!</v>
      </c>
      <c r="BJ236" t="e">
        <f>IF(#REF!,"AAAAAHZvzz0=",0)</f>
        <v>#REF!</v>
      </c>
      <c r="BK236" t="e">
        <f>IF(#REF!,"AAAAAHZvzz4=",0)</f>
        <v>#REF!</v>
      </c>
      <c r="BL236" t="e">
        <f>IF(#REF!,"AAAAAHZvzz8=",0)</f>
        <v>#REF!</v>
      </c>
      <c r="BM236" t="e">
        <f>IF(#REF!,"AAAAAHZvz0A=",0)</f>
        <v>#REF!</v>
      </c>
      <c r="BN236" t="e">
        <f>IF(#REF!,"AAAAAHZvz0E=",0)</f>
        <v>#REF!</v>
      </c>
      <c r="BO236" t="e">
        <f>IF(#REF!,"AAAAAHZvz0I=",0)</f>
        <v>#REF!</v>
      </c>
      <c r="BP236" t="e">
        <f>IF(#REF!,"AAAAAHZvz0M=",0)</f>
        <v>#REF!</v>
      </c>
      <c r="BQ236" t="e">
        <f>IF(#REF!,"AAAAAHZvz0Q=",0)</f>
        <v>#REF!</v>
      </c>
      <c r="BR236" t="e">
        <f>IF(#REF!,"AAAAAHZvz0U=",0)</f>
        <v>#REF!</v>
      </c>
      <c r="BS236" t="e">
        <f>IF(#REF!,"AAAAAHZvz0Y=",0)</f>
        <v>#REF!</v>
      </c>
      <c r="BT236" t="e">
        <f>IF(#REF!,"AAAAAHZvz0c=",0)</f>
        <v>#REF!</v>
      </c>
      <c r="BU236" t="e">
        <f>IF(#REF!,"AAAAAHZvz0g=",0)</f>
        <v>#REF!</v>
      </c>
      <c r="BV236" t="e">
        <f>IF(#REF!,"AAAAAHZvz0k=",0)</f>
        <v>#REF!</v>
      </c>
      <c r="BW236" t="e">
        <f>IF(#REF!,"AAAAAHZvz0o=",0)</f>
        <v>#REF!</v>
      </c>
      <c r="BX236" t="e">
        <f>IF(#REF!,"AAAAAHZvz0s=",0)</f>
        <v>#REF!</v>
      </c>
      <c r="BY236" t="e">
        <f>IF(#REF!,"AAAAAHZvz0w=",0)</f>
        <v>#REF!</v>
      </c>
      <c r="BZ236" t="e">
        <f>IF(#REF!,"AAAAAHZvz00=",0)</f>
        <v>#REF!</v>
      </c>
      <c r="CA236" t="e">
        <f>IF(#REF!,"AAAAAHZvz04=",0)</f>
        <v>#REF!</v>
      </c>
      <c r="CB236" t="e">
        <f>IF(#REF!,"AAAAAHZvz08=",0)</f>
        <v>#REF!</v>
      </c>
      <c r="CC236" t="e">
        <f>IF(#REF!,"AAAAAHZvz1A=",0)</f>
        <v>#REF!</v>
      </c>
      <c r="CD236" t="e">
        <f>IF(#REF!,"AAAAAHZvz1E=",0)</f>
        <v>#REF!</v>
      </c>
      <c r="CE236" t="e">
        <f>IF(#REF!,"AAAAAHZvz1I=",0)</f>
        <v>#REF!</v>
      </c>
      <c r="CF236" t="e">
        <f>IF(#REF!,"AAAAAHZvz1M=",0)</f>
        <v>#REF!</v>
      </c>
      <c r="CG236" t="e">
        <f>IF(#REF!,"AAAAAHZvz1Q=",0)</f>
        <v>#REF!</v>
      </c>
      <c r="CH236" t="e">
        <f>IF(#REF!,"AAAAAHZvz1U=",0)</f>
        <v>#REF!</v>
      </c>
      <c r="CI236" t="e">
        <f>IF(#REF!,"AAAAAHZvz1Y=",0)</f>
        <v>#REF!</v>
      </c>
      <c r="CJ236" t="e">
        <f>IF(#REF!,"AAAAAHZvz1c=",0)</f>
        <v>#REF!</v>
      </c>
      <c r="CK236" t="e">
        <f>IF(#REF!,"AAAAAHZvz1g=",0)</f>
        <v>#REF!</v>
      </c>
      <c r="CL236" t="e">
        <f>IF(#REF!,"AAAAAHZvz1k=",0)</f>
        <v>#REF!</v>
      </c>
      <c r="CM236" t="e">
        <f>IF(#REF!,"AAAAAHZvz1o=",0)</f>
        <v>#REF!</v>
      </c>
      <c r="CN236" t="e">
        <f>IF(#REF!,"AAAAAHZvz1s=",0)</f>
        <v>#REF!</v>
      </c>
      <c r="CO236" t="e">
        <f>IF(#REF!,"AAAAAHZvz1w=",0)</f>
        <v>#REF!</v>
      </c>
      <c r="CP236" t="e">
        <f>IF(#REF!,"AAAAAHZvz10=",0)</f>
        <v>#REF!</v>
      </c>
      <c r="CQ236" t="e">
        <f>IF(#REF!,"AAAAAHZvz14=",0)</f>
        <v>#REF!</v>
      </c>
      <c r="CR236" t="e">
        <f>IF(#REF!,"AAAAAHZvz18=",0)</f>
        <v>#REF!</v>
      </c>
      <c r="CS236" t="e">
        <f>IF(#REF!,"AAAAAHZvz2A=",0)</f>
        <v>#REF!</v>
      </c>
      <c r="CT236" t="e">
        <f>IF(#REF!,"AAAAAHZvz2E=",0)</f>
        <v>#REF!</v>
      </c>
      <c r="CU236" t="e">
        <f>IF(#REF!,"AAAAAHZvz2I=",0)</f>
        <v>#REF!</v>
      </c>
      <c r="CV236" t="e">
        <f>IF(#REF!,"AAAAAHZvz2M=",0)</f>
        <v>#REF!</v>
      </c>
      <c r="CW236" t="e">
        <f>IF(#REF!,"AAAAAHZvz2Q=",0)</f>
        <v>#REF!</v>
      </c>
      <c r="CX236" t="e">
        <f>IF(#REF!,"AAAAAHZvz2U=",0)</f>
        <v>#REF!</v>
      </c>
      <c r="CY236" t="e">
        <f>IF(#REF!,"AAAAAHZvz2Y=",0)</f>
        <v>#REF!</v>
      </c>
      <c r="CZ236" t="e">
        <f>IF(#REF!,"AAAAAHZvz2c=",0)</f>
        <v>#REF!</v>
      </c>
      <c r="DA236" t="e">
        <f>IF(#REF!,"AAAAAHZvz2g=",0)</f>
        <v>#REF!</v>
      </c>
      <c r="DB236" t="e">
        <f>IF(#REF!,"AAAAAHZvz2k=",0)</f>
        <v>#REF!</v>
      </c>
      <c r="DC236" t="e">
        <f>IF(#REF!,"AAAAAHZvz2o=",0)</f>
        <v>#REF!</v>
      </c>
      <c r="DD236" t="e">
        <f>IF(#REF!,"AAAAAHZvz2s=",0)</f>
        <v>#REF!</v>
      </c>
      <c r="DE236" t="e">
        <f>IF(#REF!,"AAAAAHZvz2w=",0)</f>
        <v>#REF!</v>
      </c>
      <c r="DF236" t="e">
        <f>IF(#REF!,"AAAAAHZvz20=",0)</f>
        <v>#REF!</v>
      </c>
      <c r="DG236" t="e">
        <f>IF(#REF!,"AAAAAHZvz24=",0)</f>
        <v>#REF!</v>
      </c>
      <c r="DH236" t="e">
        <f>IF(#REF!,"AAAAAHZvz28=",0)</f>
        <v>#REF!</v>
      </c>
      <c r="DI236" t="e">
        <f>IF(#REF!,"AAAAAHZvz3A=",0)</f>
        <v>#REF!</v>
      </c>
      <c r="DJ236" t="e">
        <f>IF(#REF!,"AAAAAHZvz3E=",0)</f>
        <v>#REF!</v>
      </c>
      <c r="DK236" t="e">
        <f>IF(#REF!,"AAAAAHZvz3I=",0)</f>
        <v>#REF!</v>
      </c>
      <c r="DL236" t="e">
        <f>IF(#REF!,"AAAAAHZvz3M=",0)</f>
        <v>#REF!</v>
      </c>
      <c r="DM236" t="e">
        <f>IF(#REF!,"AAAAAHZvz3Q=",0)</f>
        <v>#REF!</v>
      </c>
      <c r="DN236" t="e">
        <f>IF(#REF!,"AAAAAHZvz3U=",0)</f>
        <v>#REF!</v>
      </c>
      <c r="DO236" t="e">
        <f>IF(#REF!,"AAAAAHZvz3Y=",0)</f>
        <v>#REF!</v>
      </c>
      <c r="DP236" t="e">
        <f>IF(#REF!,"AAAAAHZvz3c=",0)</f>
        <v>#REF!</v>
      </c>
      <c r="DQ236" t="e">
        <f>IF(#REF!,"AAAAAHZvz3g=",0)</f>
        <v>#REF!</v>
      </c>
      <c r="DR236" t="e">
        <f>IF(#REF!,"AAAAAHZvz3k=",0)</f>
        <v>#REF!</v>
      </c>
      <c r="DS236" t="e">
        <f>IF(#REF!,"AAAAAHZvz3o=",0)</f>
        <v>#REF!</v>
      </c>
      <c r="DT236" t="e">
        <f>IF(#REF!,"AAAAAHZvz3s=",0)</f>
        <v>#REF!</v>
      </c>
      <c r="DU236" t="e">
        <f>IF(#REF!,"AAAAAHZvz3w=",0)</f>
        <v>#REF!</v>
      </c>
      <c r="DV236" t="e">
        <f>IF(#REF!,"AAAAAHZvz30=",0)</f>
        <v>#REF!</v>
      </c>
      <c r="DW236" t="e">
        <f>IF(#REF!,"AAAAAHZvz34=",0)</f>
        <v>#REF!</v>
      </c>
      <c r="DX236" t="e">
        <f>IF(#REF!,"AAAAAHZvz38=",0)</f>
        <v>#REF!</v>
      </c>
      <c r="DY236" t="e">
        <f>IF(#REF!,"AAAAAHZvz4A=",0)</f>
        <v>#REF!</v>
      </c>
      <c r="DZ236" t="e">
        <f>IF(#REF!,"AAAAAHZvz4E=",0)</f>
        <v>#REF!</v>
      </c>
      <c r="EA236" t="e">
        <f>IF(#REF!,"AAAAAHZvz4I=",0)</f>
        <v>#REF!</v>
      </c>
      <c r="EB236" t="e">
        <f>IF(#REF!,"AAAAAHZvz4M=",0)</f>
        <v>#REF!</v>
      </c>
      <c r="EC236" t="e">
        <f>IF(#REF!,"AAAAAHZvz4Q=",0)</f>
        <v>#REF!</v>
      </c>
      <c r="ED236" t="e">
        <f>IF(#REF!,"AAAAAHZvz4U=",0)</f>
        <v>#REF!</v>
      </c>
      <c r="EE236" t="e">
        <f>IF(#REF!,"AAAAAHZvz4Y=",0)</f>
        <v>#REF!</v>
      </c>
      <c r="EF236" t="e">
        <f>IF(#REF!,"AAAAAHZvz4c=",0)</f>
        <v>#REF!</v>
      </c>
      <c r="EG236" t="e">
        <f>IF(#REF!,"AAAAAHZvz4g=",0)</f>
        <v>#REF!</v>
      </c>
      <c r="EH236" t="e">
        <f>IF(#REF!,"AAAAAHZvz4k=",0)</f>
        <v>#REF!</v>
      </c>
      <c r="EI236" t="e">
        <f>IF(#REF!,"AAAAAHZvz4o=",0)</f>
        <v>#REF!</v>
      </c>
      <c r="EJ236" t="e">
        <f>IF(#REF!,"AAAAAHZvz4s=",0)</f>
        <v>#REF!</v>
      </c>
      <c r="EK236" t="e">
        <f>IF(#REF!,"AAAAAHZvz4w=",0)</f>
        <v>#REF!</v>
      </c>
      <c r="EL236" t="e">
        <f>IF(#REF!,"AAAAAHZvz40=",0)</f>
        <v>#REF!</v>
      </c>
      <c r="EM236" t="e">
        <f>IF(#REF!,"AAAAAHZvz44=",0)</f>
        <v>#REF!</v>
      </c>
      <c r="EN236" t="e">
        <f>IF(#REF!,"AAAAAHZvz48=",0)</f>
        <v>#REF!</v>
      </c>
      <c r="EO236" t="e">
        <f>IF(#REF!,"AAAAAHZvz5A=",0)</f>
        <v>#REF!</v>
      </c>
      <c r="EP236" t="e">
        <f>IF(#REF!,"AAAAAHZvz5E=",0)</f>
        <v>#REF!</v>
      </c>
      <c r="EQ236" t="e">
        <f>IF(#REF!,"AAAAAHZvz5I=",0)</f>
        <v>#REF!</v>
      </c>
      <c r="ER236" t="e">
        <f>IF(#REF!,"AAAAAHZvz5M=",0)</f>
        <v>#REF!</v>
      </c>
      <c r="ES236" t="e">
        <f>IF(#REF!,"AAAAAHZvz5Q=",0)</f>
        <v>#REF!</v>
      </c>
      <c r="ET236" t="e">
        <f>IF(#REF!,"AAAAAHZvz5U=",0)</f>
        <v>#REF!</v>
      </c>
      <c r="EU236" t="e">
        <f>IF(#REF!,"AAAAAHZvz5Y=",0)</f>
        <v>#REF!</v>
      </c>
      <c r="EV236" t="e">
        <f>IF(#REF!,"AAAAAHZvz5c=",0)</f>
        <v>#REF!</v>
      </c>
      <c r="EW236" t="e">
        <f>IF(#REF!,"AAAAAHZvz5g=",0)</f>
        <v>#REF!</v>
      </c>
      <c r="EX236" t="e">
        <f>IF(#REF!,"AAAAAHZvz5k=",0)</f>
        <v>#REF!</v>
      </c>
      <c r="EY236" t="e">
        <f>IF(#REF!,"AAAAAHZvz5o=",0)</f>
        <v>#REF!</v>
      </c>
      <c r="EZ236" t="e">
        <f>IF(#REF!,"AAAAAHZvz5s=",0)</f>
        <v>#REF!</v>
      </c>
      <c r="FA236" t="e">
        <f>IF(#REF!,"AAAAAHZvz5w=",0)</f>
        <v>#REF!</v>
      </c>
      <c r="FB236" t="e">
        <f>IF(#REF!,"AAAAAHZvz50=",0)</f>
        <v>#REF!</v>
      </c>
      <c r="FC236" t="e">
        <f>IF(#REF!,"AAAAAHZvz54=",0)</f>
        <v>#REF!</v>
      </c>
      <c r="FD236" t="e">
        <f>IF(#REF!,"AAAAAHZvz58=",0)</f>
        <v>#REF!</v>
      </c>
      <c r="FE236" t="e">
        <f>IF(#REF!,"AAAAAHZvz6A=",0)</f>
        <v>#REF!</v>
      </c>
      <c r="FF236" t="e">
        <f>IF(#REF!,"AAAAAHZvz6E=",0)</f>
        <v>#REF!</v>
      </c>
      <c r="FG236" t="e">
        <f>IF(#REF!,"AAAAAHZvz6I=",0)</f>
        <v>#REF!</v>
      </c>
      <c r="FH236" t="e">
        <f>IF(#REF!,"AAAAAHZvz6M=",0)</f>
        <v>#REF!</v>
      </c>
      <c r="FI236" t="e">
        <f>IF(#REF!,"AAAAAHZvz6Q=",0)</f>
        <v>#REF!</v>
      </c>
      <c r="FJ236" t="e">
        <f>IF(#REF!,"AAAAAHZvz6U=",0)</f>
        <v>#REF!</v>
      </c>
      <c r="FK236" t="e">
        <f>IF(#REF!,"AAAAAHZvz6Y=",0)</f>
        <v>#REF!</v>
      </c>
      <c r="FL236" t="e">
        <f>IF(#REF!,"AAAAAHZvz6c=",0)</f>
        <v>#REF!</v>
      </c>
      <c r="FM236" t="e">
        <f>IF(#REF!,"AAAAAHZvz6g=",0)</f>
        <v>#REF!</v>
      </c>
      <c r="FN236" t="e">
        <f>IF(#REF!,"AAAAAHZvz6k=",0)</f>
        <v>#REF!</v>
      </c>
      <c r="FO236" t="e">
        <f>IF(#REF!,"AAAAAHZvz6o=",0)</f>
        <v>#REF!</v>
      </c>
      <c r="FP236" t="e">
        <f>IF(#REF!,"AAAAAHZvz6s=",0)</f>
        <v>#REF!</v>
      </c>
      <c r="FQ236" t="e">
        <f>IF(#REF!,"AAAAAHZvz6w=",0)</f>
        <v>#REF!</v>
      </c>
      <c r="FR236" t="e">
        <f>IF(#REF!,"AAAAAHZvz60=",0)</f>
        <v>#REF!</v>
      </c>
      <c r="FS236" t="e">
        <f>IF(#REF!,"AAAAAHZvz64=",0)</f>
        <v>#REF!</v>
      </c>
      <c r="FT236" t="e">
        <f>IF(#REF!,"AAAAAHZvz68=",0)</f>
        <v>#REF!</v>
      </c>
      <c r="FU236" t="e">
        <f>IF(#REF!,"AAAAAHZvz7A=",0)</f>
        <v>#REF!</v>
      </c>
      <c r="FV236" t="e">
        <f>IF(#REF!,"AAAAAHZvz7E=",0)</f>
        <v>#REF!</v>
      </c>
      <c r="FW236" t="e">
        <f>IF(#REF!,"AAAAAHZvz7I=",0)</f>
        <v>#REF!</v>
      </c>
      <c r="FX236" t="e">
        <f>IF(#REF!,"AAAAAHZvz7M=",0)</f>
        <v>#REF!</v>
      </c>
      <c r="FY236" t="e">
        <f>IF(#REF!,"AAAAAHZvz7Q=",0)</f>
        <v>#REF!</v>
      </c>
      <c r="FZ236" t="e">
        <f>IF(#REF!,"AAAAAHZvz7U=",0)</f>
        <v>#REF!</v>
      </c>
      <c r="GA236" t="e">
        <f>IF(#REF!,"AAAAAHZvz7Y=",0)</f>
        <v>#REF!</v>
      </c>
      <c r="GB236" t="e">
        <f>IF(#REF!,"AAAAAHZvz7c=",0)</f>
        <v>#REF!</v>
      </c>
      <c r="GC236" t="e">
        <f>IF(#REF!,"AAAAAHZvz7g=",0)</f>
        <v>#REF!</v>
      </c>
      <c r="GD236" t="e">
        <f>IF(#REF!,"AAAAAHZvz7k=",0)</f>
        <v>#REF!</v>
      </c>
      <c r="GE236" t="e">
        <f>IF(#REF!,"AAAAAHZvz7o=",0)</f>
        <v>#REF!</v>
      </c>
      <c r="GF236" t="e">
        <f>IF(#REF!,"AAAAAHZvz7s=",0)</f>
        <v>#REF!</v>
      </c>
      <c r="GG236" t="e">
        <f>IF(#REF!,"AAAAAHZvz7w=",0)</f>
        <v>#REF!</v>
      </c>
      <c r="GH236" t="e">
        <f>IF(#REF!,"AAAAAHZvz70=",0)</f>
        <v>#REF!</v>
      </c>
      <c r="GI236" t="e">
        <f>IF(#REF!,"AAAAAHZvz74=",0)</f>
        <v>#REF!</v>
      </c>
      <c r="GJ236" t="e">
        <f>IF(#REF!,"AAAAAHZvz78=",0)</f>
        <v>#REF!</v>
      </c>
      <c r="GK236" t="e">
        <f>IF(#REF!,"AAAAAHZvz8A=",0)</f>
        <v>#REF!</v>
      </c>
      <c r="GL236" t="e">
        <f>IF(#REF!,"AAAAAHZvz8E=",0)</f>
        <v>#REF!</v>
      </c>
      <c r="GM236" t="e">
        <f>IF(#REF!,"AAAAAHZvz8I=",0)</f>
        <v>#REF!</v>
      </c>
      <c r="GN236" t="e">
        <f>IF(#REF!,"AAAAAHZvz8M=",0)</f>
        <v>#REF!</v>
      </c>
      <c r="GO236" t="e">
        <f>IF(#REF!,"AAAAAHZvz8Q=",0)</f>
        <v>#REF!</v>
      </c>
      <c r="GP236" t="e">
        <f>IF(#REF!,"AAAAAHZvz8U=",0)</f>
        <v>#REF!</v>
      </c>
      <c r="GQ236" t="e">
        <f>IF(#REF!,"AAAAAHZvz8Y=",0)</f>
        <v>#REF!</v>
      </c>
      <c r="GR236" t="e">
        <f>IF(#REF!,"AAAAAHZvz8c=",0)</f>
        <v>#REF!</v>
      </c>
      <c r="GS236" t="e">
        <f>IF(#REF!,"AAAAAHZvz8g=",0)</f>
        <v>#REF!</v>
      </c>
      <c r="GT236" t="e">
        <f>IF(#REF!,"AAAAAHZvz8k=",0)</f>
        <v>#REF!</v>
      </c>
      <c r="GU236" t="e">
        <f>IF(#REF!,"AAAAAHZvz8o=",0)</f>
        <v>#REF!</v>
      </c>
      <c r="GV236" t="e">
        <f>IF(#REF!,"AAAAAHZvz8s=",0)</f>
        <v>#REF!</v>
      </c>
      <c r="GW236" t="e">
        <f>IF(#REF!,"AAAAAHZvz8w=",0)</f>
        <v>#REF!</v>
      </c>
      <c r="GX236" t="e">
        <f>IF(#REF!,"AAAAAHZvz80=",0)</f>
        <v>#REF!</v>
      </c>
      <c r="GY236" t="e">
        <f>IF(#REF!,"AAAAAHZvz84=",0)</f>
        <v>#REF!</v>
      </c>
      <c r="GZ236" t="e">
        <f>IF(#REF!,"AAAAAHZvz88=",0)</f>
        <v>#REF!</v>
      </c>
      <c r="HA236" t="e">
        <f>IF(#REF!,"AAAAAHZvz9A=",0)</f>
        <v>#REF!</v>
      </c>
      <c r="HB236" t="e">
        <f>IF(#REF!,"AAAAAHZvz9E=",0)</f>
        <v>#REF!</v>
      </c>
      <c r="HC236" t="e">
        <f>IF(#REF!,"AAAAAHZvz9I=",0)</f>
        <v>#REF!</v>
      </c>
      <c r="HD236" t="e">
        <f>IF(#REF!,"AAAAAHZvz9M=",0)</f>
        <v>#REF!</v>
      </c>
      <c r="HE236" t="e">
        <f>IF(#REF!,"AAAAAHZvz9Q=",0)</f>
        <v>#REF!</v>
      </c>
      <c r="HF236" t="e">
        <f>IF(#REF!,"AAAAAHZvz9U=",0)</f>
        <v>#REF!</v>
      </c>
      <c r="HG236" t="e">
        <f>IF(#REF!,"AAAAAHZvz9Y=",0)</f>
        <v>#REF!</v>
      </c>
      <c r="HH236" t="e">
        <f>IF(#REF!,"AAAAAHZvz9c=",0)</f>
        <v>#REF!</v>
      </c>
      <c r="HI236" t="e">
        <f>IF(#REF!,"AAAAAHZvz9g=",0)</f>
        <v>#REF!</v>
      </c>
      <c r="HJ236" t="e">
        <f>IF(#REF!,"AAAAAHZvz9k=",0)</f>
        <v>#REF!</v>
      </c>
      <c r="HK236" t="e">
        <f>IF(#REF!,"AAAAAHZvz9o=",0)</f>
        <v>#REF!</v>
      </c>
      <c r="HL236" t="e">
        <f>IF(#REF!,"AAAAAHZvz9s=",0)</f>
        <v>#REF!</v>
      </c>
      <c r="HM236" t="e">
        <f>IF(#REF!,"AAAAAHZvz9w=",0)</f>
        <v>#REF!</v>
      </c>
      <c r="HN236" t="e">
        <f>IF(#REF!,"AAAAAHZvz90=",0)</f>
        <v>#REF!</v>
      </c>
      <c r="HO236" t="e">
        <f>IF(#REF!,"AAAAAHZvz94=",0)</f>
        <v>#REF!</v>
      </c>
      <c r="HP236" t="e">
        <f>IF(#REF!,"AAAAAHZvz98=",0)</f>
        <v>#REF!</v>
      </c>
      <c r="HQ236" t="e">
        <f>IF(#REF!,"AAAAAHZvz+A=",0)</f>
        <v>#REF!</v>
      </c>
      <c r="HR236" t="e">
        <f>IF(#REF!,"AAAAAHZvz+E=",0)</f>
        <v>#REF!</v>
      </c>
      <c r="HS236" t="e">
        <f>IF(#REF!,"AAAAAHZvz+I=",0)</f>
        <v>#REF!</v>
      </c>
      <c r="HT236" t="e">
        <f>IF(#REF!,"AAAAAHZvz+M=",0)</f>
        <v>#REF!</v>
      </c>
      <c r="HU236" t="e">
        <f>IF(#REF!,"AAAAAHZvz+Q=",0)</f>
        <v>#REF!</v>
      </c>
      <c r="HV236" t="e">
        <f>IF(#REF!,"AAAAAHZvz+U=",0)</f>
        <v>#REF!</v>
      </c>
      <c r="HW236" t="e">
        <f>IF(#REF!,"AAAAAHZvz+Y=",0)</f>
        <v>#REF!</v>
      </c>
      <c r="HX236" t="e">
        <f>IF(#REF!,"AAAAAHZvz+c=",0)</f>
        <v>#REF!</v>
      </c>
      <c r="HY236" t="e">
        <f>IF(#REF!,"AAAAAHZvz+g=",0)</f>
        <v>#REF!</v>
      </c>
      <c r="HZ236" t="e">
        <f>IF(#REF!,"AAAAAHZvz+k=",0)</f>
        <v>#REF!</v>
      </c>
      <c r="IA236" t="e">
        <f>IF(#REF!,"AAAAAHZvz+o=",0)</f>
        <v>#REF!</v>
      </c>
      <c r="IB236" t="e">
        <f>IF(#REF!,"AAAAAHZvz+s=",0)</f>
        <v>#REF!</v>
      </c>
      <c r="IC236" t="e">
        <f>IF(#REF!,"AAAAAHZvz+w=",0)</f>
        <v>#REF!</v>
      </c>
      <c r="ID236" t="e">
        <f>IF(#REF!,"AAAAAHZvz+0=",0)</f>
        <v>#REF!</v>
      </c>
      <c r="IE236" t="e">
        <f>IF(#REF!,"AAAAAHZvz+4=",0)</f>
        <v>#REF!</v>
      </c>
      <c r="IF236" t="e">
        <f>IF(#REF!,"AAAAAHZvz+8=",0)</f>
        <v>#REF!</v>
      </c>
      <c r="IG236" t="e">
        <f>IF(#REF!,"AAAAAHZvz/A=",0)</f>
        <v>#REF!</v>
      </c>
      <c r="IH236" t="e">
        <f>IF(#REF!,"AAAAAHZvz/E=",0)</f>
        <v>#REF!</v>
      </c>
      <c r="II236" t="e">
        <f>IF(#REF!,"AAAAAHZvz/I=",0)</f>
        <v>#REF!</v>
      </c>
      <c r="IJ236" t="e">
        <f>IF(#REF!,"AAAAAHZvz/M=",0)</f>
        <v>#REF!</v>
      </c>
      <c r="IK236" t="e">
        <f>IF(#REF!,"AAAAAHZvz/Q=",0)</f>
        <v>#REF!</v>
      </c>
      <c r="IL236" t="e">
        <f>IF(#REF!,"AAAAAHZvz/U=",0)</f>
        <v>#REF!</v>
      </c>
      <c r="IM236" t="e">
        <f>IF(#REF!,"AAAAAHZvz/Y=",0)</f>
        <v>#REF!</v>
      </c>
      <c r="IN236" t="e">
        <f>IF(#REF!,"AAAAAHZvz/c=",0)</f>
        <v>#REF!</v>
      </c>
      <c r="IO236" t="e">
        <f>IF(#REF!,"AAAAAHZvz/g=",0)</f>
        <v>#REF!</v>
      </c>
      <c r="IP236" t="e">
        <f>IF(#REF!,"AAAAAHZvz/k=",0)</f>
        <v>#REF!</v>
      </c>
      <c r="IQ236" t="e">
        <f>IF(#REF!,"AAAAAHZvz/o=",0)</f>
        <v>#REF!</v>
      </c>
      <c r="IR236" t="e">
        <f>IF(#REF!,"AAAAAHZvz/s=",0)</f>
        <v>#REF!</v>
      </c>
      <c r="IS236" t="e">
        <f>IF(#REF!,"AAAAAHZvz/w=",0)</f>
        <v>#REF!</v>
      </c>
      <c r="IT236" t="e">
        <f>IF(#REF!,"AAAAAHZvz/0=",0)</f>
        <v>#REF!</v>
      </c>
      <c r="IU236" t="e">
        <f>IF(#REF!,"AAAAAHZvz/4=",0)</f>
        <v>#REF!</v>
      </c>
      <c r="IV236" t="e">
        <f>IF(#REF!,"AAAAAHZvz/8=",0)</f>
        <v>#REF!</v>
      </c>
    </row>
    <row r="237" spans="1:256">
      <c r="A237" t="e">
        <f>IF(#REF!,"AAAAAD73fwA=",0)</f>
        <v>#REF!</v>
      </c>
      <c r="B237" t="e">
        <f>IF(#REF!,"AAAAAD73fwE=",0)</f>
        <v>#REF!</v>
      </c>
      <c r="C237" t="e">
        <f>IF(#REF!,"AAAAAD73fwI=",0)</f>
        <v>#REF!</v>
      </c>
      <c r="D237" t="e">
        <f>IF(#REF!,"AAAAAD73fwM=",0)</f>
        <v>#REF!</v>
      </c>
      <c r="E237" t="e">
        <f>IF(#REF!,"AAAAAD73fwQ=",0)</f>
        <v>#REF!</v>
      </c>
      <c r="F237" t="e">
        <f>IF(#REF!,"AAAAAD73fwU=",0)</f>
        <v>#REF!</v>
      </c>
      <c r="G237" t="e">
        <f>IF(#REF!,"AAAAAD73fwY=",0)</f>
        <v>#REF!</v>
      </c>
      <c r="H237" t="e">
        <f>IF(#REF!,"AAAAAD73fwc=",0)</f>
        <v>#REF!</v>
      </c>
      <c r="I237" t="e">
        <f>IF(#REF!,"AAAAAD73fwg=",0)</f>
        <v>#REF!</v>
      </c>
      <c r="J237" t="e">
        <f>IF(#REF!,"AAAAAD73fwk=",0)</f>
        <v>#REF!</v>
      </c>
      <c r="K237" t="e">
        <f>IF(#REF!,"AAAAAD73fwo=",0)</f>
        <v>#REF!</v>
      </c>
      <c r="L237" t="e">
        <f>IF(#REF!,"AAAAAD73fws=",0)</f>
        <v>#REF!</v>
      </c>
      <c r="M237" t="e">
        <f>IF(#REF!,"AAAAAD73fww=",0)</f>
        <v>#REF!</v>
      </c>
      <c r="N237" t="e">
        <f>IF(#REF!,"AAAAAD73fw0=",0)</f>
        <v>#REF!</v>
      </c>
      <c r="O237" t="e">
        <f>IF(#REF!,"AAAAAD73fw4=",0)</f>
        <v>#REF!</v>
      </c>
      <c r="P237" t="e">
        <f>IF(#REF!,"AAAAAD73fw8=",0)</f>
        <v>#REF!</v>
      </c>
      <c r="Q237" t="e">
        <f>IF(#REF!,"AAAAAD73fxA=",0)</f>
        <v>#REF!</v>
      </c>
      <c r="R237" t="e">
        <f>IF(#REF!,"AAAAAD73fxE=",0)</f>
        <v>#REF!</v>
      </c>
      <c r="S237" t="e">
        <f>IF(#REF!,"AAAAAD73fxI=",0)</f>
        <v>#REF!</v>
      </c>
      <c r="T237" t="e">
        <f>IF(#REF!,"AAAAAD73fxM=",0)</f>
        <v>#REF!</v>
      </c>
      <c r="U237" t="e">
        <f>IF(#REF!,"AAAAAD73fxQ=",0)</f>
        <v>#REF!</v>
      </c>
      <c r="V237" t="e">
        <f>IF(#REF!,"AAAAAD73fxU=",0)</f>
        <v>#REF!</v>
      </c>
      <c r="W237" t="e">
        <f>IF(#REF!,"AAAAAD73fxY=",0)</f>
        <v>#REF!</v>
      </c>
      <c r="X237" t="e">
        <f>IF(#REF!,"AAAAAD73fxc=",0)</f>
        <v>#REF!</v>
      </c>
      <c r="Y237" t="e">
        <f>IF(#REF!,"AAAAAD73fxg=",0)</f>
        <v>#REF!</v>
      </c>
      <c r="Z237" t="e">
        <f>IF(#REF!,"AAAAAD73fxk=",0)</f>
        <v>#REF!</v>
      </c>
      <c r="AA237" t="e">
        <f>IF(#REF!,"AAAAAD73fxo=",0)</f>
        <v>#REF!</v>
      </c>
      <c r="AB237" t="e">
        <f>IF(#REF!,"AAAAAD73fxs=",0)</f>
        <v>#REF!</v>
      </c>
      <c r="AC237" t="e">
        <f>IF(#REF!,"AAAAAD73fxw=",0)</f>
        <v>#REF!</v>
      </c>
      <c r="AD237" t="e">
        <f>IF(#REF!,"AAAAAD73fx0=",0)</f>
        <v>#REF!</v>
      </c>
      <c r="AE237" t="e">
        <f>IF(#REF!,"AAAAAD73fx4=",0)</f>
        <v>#REF!</v>
      </c>
      <c r="AF237" t="e">
        <f>IF(#REF!,"AAAAAD73fx8=",0)</f>
        <v>#REF!</v>
      </c>
      <c r="AG237" t="e">
        <f>IF(#REF!,"AAAAAD73fyA=",0)</f>
        <v>#REF!</v>
      </c>
      <c r="AH237" t="e">
        <f>IF(#REF!,"AAAAAD73fyE=",0)</f>
        <v>#REF!</v>
      </c>
      <c r="AI237" t="e">
        <f>IF(#REF!,"AAAAAD73fyI=",0)</f>
        <v>#REF!</v>
      </c>
      <c r="AJ237" t="e">
        <f>IF(#REF!,"AAAAAD73fyM=",0)</f>
        <v>#REF!</v>
      </c>
      <c r="AK237" t="e">
        <f>IF(#REF!,"AAAAAD73fyQ=",0)</f>
        <v>#REF!</v>
      </c>
      <c r="AL237" t="e">
        <f>IF(#REF!,"AAAAAD73fyU=",0)</f>
        <v>#REF!</v>
      </c>
      <c r="AM237" t="e">
        <f>IF(#REF!,"AAAAAD73fyY=",0)</f>
        <v>#REF!</v>
      </c>
      <c r="AN237" t="e">
        <f>IF(#REF!,"AAAAAD73fyc=",0)</f>
        <v>#REF!</v>
      </c>
      <c r="AO237" t="e">
        <f>IF(#REF!,"AAAAAD73fyg=",0)</f>
        <v>#REF!</v>
      </c>
      <c r="AP237" t="e">
        <f>IF(#REF!,"AAAAAD73fyk=",0)</f>
        <v>#REF!</v>
      </c>
      <c r="AQ237" t="e">
        <f>IF(#REF!,"AAAAAD73fyo=",0)</f>
        <v>#REF!</v>
      </c>
      <c r="AR237" t="e">
        <f>IF(#REF!,"AAAAAD73fys=",0)</f>
        <v>#REF!</v>
      </c>
      <c r="AS237" t="e">
        <f>IF(#REF!,"AAAAAD73fyw=",0)</f>
        <v>#REF!</v>
      </c>
      <c r="AT237" t="e">
        <f>IF(#REF!,"AAAAAD73fy0=",0)</f>
        <v>#REF!</v>
      </c>
      <c r="AU237" t="e">
        <f>IF(#REF!,"AAAAAD73fy4=",0)</f>
        <v>#REF!</v>
      </c>
      <c r="AV237" t="e">
        <f>IF(#REF!,"AAAAAD73fy8=",0)</f>
        <v>#REF!</v>
      </c>
      <c r="AW237" t="e">
        <f>IF(#REF!,"AAAAAD73fzA=",0)</f>
        <v>#REF!</v>
      </c>
      <c r="AX237" t="e">
        <f>IF(#REF!,"AAAAAD73fzE=",0)</f>
        <v>#REF!</v>
      </c>
      <c r="AY237" t="e">
        <f>IF(#REF!,"AAAAAD73fzI=",0)</f>
        <v>#REF!</v>
      </c>
      <c r="AZ237" t="e">
        <f>IF(#REF!,"AAAAAD73fzM=",0)</f>
        <v>#REF!</v>
      </c>
      <c r="BA237" t="e">
        <f>IF(#REF!,"AAAAAD73fzQ=",0)</f>
        <v>#REF!</v>
      </c>
      <c r="BB237" t="e">
        <f>IF(#REF!,"AAAAAD73fzU=",0)</f>
        <v>#REF!</v>
      </c>
      <c r="BC237" t="e">
        <f>IF(#REF!,"AAAAAD73fzY=",0)</f>
        <v>#REF!</v>
      </c>
      <c r="BD237" t="e">
        <f>IF(#REF!,"AAAAAD73fzc=",0)</f>
        <v>#REF!</v>
      </c>
      <c r="BE237" t="e">
        <f>IF(#REF!,"AAAAAD73fzg=",0)</f>
        <v>#REF!</v>
      </c>
      <c r="BF237" t="e">
        <f>IF(#REF!,"AAAAAD73fzk=",0)</f>
        <v>#REF!</v>
      </c>
      <c r="BG237" t="e">
        <f>IF(#REF!,"AAAAAD73fzo=",0)</f>
        <v>#REF!</v>
      </c>
      <c r="BH237" t="e">
        <f>IF(#REF!,"AAAAAD73fzs=",0)</f>
        <v>#REF!</v>
      </c>
      <c r="BI237" t="e">
        <f>IF(#REF!,"AAAAAD73fzw=",0)</f>
        <v>#REF!</v>
      </c>
      <c r="BJ237" t="e">
        <f>IF(#REF!,"AAAAAD73fz0=",0)</f>
        <v>#REF!</v>
      </c>
      <c r="BK237" t="e">
        <f>IF(#REF!,"AAAAAD73fz4=",0)</f>
        <v>#REF!</v>
      </c>
      <c r="BL237" t="e">
        <f>IF(#REF!,"AAAAAD73fz8=",0)</f>
        <v>#REF!</v>
      </c>
      <c r="BM237" t="e">
        <f>IF(#REF!,"AAAAAD73f0A=",0)</f>
        <v>#REF!</v>
      </c>
      <c r="BN237" t="e">
        <f>IF(#REF!,"AAAAAD73f0E=",0)</f>
        <v>#REF!</v>
      </c>
      <c r="BO237" t="e">
        <f>IF(#REF!,"AAAAAD73f0I=",0)</f>
        <v>#REF!</v>
      </c>
      <c r="BP237" t="e">
        <f>IF(#REF!,"AAAAAD73f0M=",0)</f>
        <v>#REF!</v>
      </c>
      <c r="BQ237" t="e">
        <f>IF(#REF!,"AAAAAD73f0Q=",0)</f>
        <v>#REF!</v>
      </c>
      <c r="BR237" t="e">
        <f>IF(#REF!,"AAAAAD73f0U=",0)</f>
        <v>#REF!</v>
      </c>
      <c r="BS237" t="e">
        <f>IF(#REF!,"AAAAAD73f0Y=",0)</f>
        <v>#REF!</v>
      </c>
      <c r="BT237" t="e">
        <f>IF(#REF!,"AAAAAD73f0c=",0)</f>
        <v>#REF!</v>
      </c>
      <c r="BU237" t="e">
        <f>IF(#REF!,"AAAAAD73f0g=",0)</f>
        <v>#REF!</v>
      </c>
      <c r="BV237" t="e">
        <f>IF(#REF!,"AAAAAD73f0k=",0)</f>
        <v>#REF!</v>
      </c>
      <c r="BW237" t="e">
        <f>IF(#REF!,"AAAAAD73f0o=",0)</f>
        <v>#REF!</v>
      </c>
      <c r="BX237" t="e">
        <f>IF(#REF!,"AAAAAD73f0s=",0)</f>
        <v>#REF!</v>
      </c>
      <c r="BY237" t="e">
        <f>IF(#REF!,"AAAAAD73f0w=",0)</f>
        <v>#REF!</v>
      </c>
      <c r="BZ237" t="e">
        <f>IF(#REF!,"AAAAAD73f00=",0)</f>
        <v>#REF!</v>
      </c>
      <c r="CA237" t="e">
        <f>IF(#REF!,"AAAAAD73f04=",0)</f>
        <v>#REF!</v>
      </c>
      <c r="CB237" t="e">
        <f>IF(#REF!,"AAAAAD73f08=",0)</f>
        <v>#REF!</v>
      </c>
      <c r="CC237" t="e">
        <f>IF(#REF!,"AAAAAD73f1A=",0)</f>
        <v>#REF!</v>
      </c>
      <c r="CD237" t="e">
        <f>IF(#REF!,"AAAAAD73f1E=",0)</f>
        <v>#REF!</v>
      </c>
      <c r="CE237" t="e">
        <f>IF(#REF!,"AAAAAD73f1I=",0)</f>
        <v>#REF!</v>
      </c>
      <c r="CF237" t="e">
        <f>IF(#REF!,"AAAAAD73f1M=",0)</f>
        <v>#REF!</v>
      </c>
      <c r="CG237" t="e">
        <f>IF(#REF!,"AAAAAD73f1Q=",0)</f>
        <v>#REF!</v>
      </c>
      <c r="CH237" t="e">
        <f>IF(#REF!,"AAAAAD73f1U=",0)</f>
        <v>#REF!</v>
      </c>
      <c r="CI237" t="e">
        <f>IF(#REF!,"AAAAAD73f1Y=",0)</f>
        <v>#REF!</v>
      </c>
      <c r="CJ237" t="e">
        <f>IF(#REF!,"AAAAAD73f1c=",0)</f>
        <v>#REF!</v>
      </c>
      <c r="CK237" t="e">
        <f>IF(#REF!,"AAAAAD73f1g=",0)</f>
        <v>#REF!</v>
      </c>
      <c r="CL237" t="e">
        <f>IF(#REF!,"AAAAAD73f1k=",0)</f>
        <v>#REF!</v>
      </c>
      <c r="CM237" t="e">
        <f>IF(#REF!,"AAAAAD73f1o=",0)</f>
        <v>#REF!</v>
      </c>
      <c r="CN237" t="e">
        <f>IF(#REF!,"AAAAAD73f1s=",0)</f>
        <v>#REF!</v>
      </c>
      <c r="CO237" t="e">
        <f>IF(#REF!,"AAAAAD73f1w=",0)</f>
        <v>#REF!</v>
      </c>
      <c r="CP237" t="e">
        <f>IF(#REF!,"AAAAAD73f10=",0)</f>
        <v>#REF!</v>
      </c>
      <c r="CQ237" t="e">
        <f>IF(#REF!,"AAAAAD73f14=",0)</f>
        <v>#REF!</v>
      </c>
      <c r="CR237" t="e">
        <f>IF(#REF!,"AAAAAD73f18=",0)</f>
        <v>#REF!</v>
      </c>
      <c r="CS237" t="e">
        <f>IF(#REF!,"AAAAAD73f2A=",0)</f>
        <v>#REF!</v>
      </c>
      <c r="CT237" t="e">
        <f>IF(#REF!,"AAAAAD73f2E=",0)</f>
        <v>#REF!</v>
      </c>
      <c r="CU237" t="e">
        <f>IF(#REF!,"AAAAAD73f2I=",0)</f>
        <v>#REF!</v>
      </c>
      <c r="CV237" t="e">
        <f>IF(#REF!,"AAAAAD73f2M=",0)</f>
        <v>#REF!</v>
      </c>
      <c r="CW237" t="e">
        <f>IF(#REF!,"AAAAAD73f2Q=",0)</f>
        <v>#REF!</v>
      </c>
      <c r="CX237" t="e">
        <f>IF(#REF!,"AAAAAD73f2U=",0)</f>
        <v>#REF!</v>
      </c>
      <c r="CY237" t="e">
        <f>IF(#REF!,"AAAAAD73f2Y=",0)</f>
        <v>#REF!</v>
      </c>
      <c r="CZ237" t="e">
        <f>IF(#REF!,"AAAAAD73f2c=",0)</f>
        <v>#REF!</v>
      </c>
      <c r="DA237" t="e">
        <f>IF(#REF!,"AAAAAD73f2g=",0)</f>
        <v>#REF!</v>
      </c>
      <c r="DB237" t="e">
        <f>IF(#REF!,"AAAAAD73f2k=",0)</f>
        <v>#REF!</v>
      </c>
      <c r="DC237" t="e">
        <f>IF(#REF!,"AAAAAD73f2o=",0)</f>
        <v>#REF!</v>
      </c>
      <c r="DD237" t="e">
        <f>IF(#REF!,"AAAAAD73f2s=",0)</f>
        <v>#REF!</v>
      </c>
      <c r="DE237" t="e">
        <f>IF(#REF!,"AAAAAD73f2w=",0)</f>
        <v>#REF!</v>
      </c>
      <c r="DF237" t="e">
        <f>IF(#REF!,"AAAAAD73f20=",0)</f>
        <v>#REF!</v>
      </c>
      <c r="DG237" t="e">
        <f>IF(#REF!,"AAAAAD73f24=",0)</f>
        <v>#REF!</v>
      </c>
      <c r="DH237" t="e">
        <f>IF(#REF!,"AAAAAD73f28=",0)</f>
        <v>#REF!</v>
      </c>
      <c r="DI237" t="e">
        <f>IF(#REF!,"AAAAAD73f3A=",0)</f>
        <v>#REF!</v>
      </c>
      <c r="DJ237" t="e">
        <f>IF(#REF!,"AAAAAD73f3E=",0)</f>
        <v>#REF!</v>
      </c>
      <c r="DK237" t="e">
        <f>IF(#REF!,"AAAAAD73f3I=",0)</f>
        <v>#REF!</v>
      </c>
      <c r="DL237" t="e">
        <f>IF(#REF!,"AAAAAD73f3M=",0)</f>
        <v>#REF!</v>
      </c>
      <c r="DM237" t="e">
        <f>IF(#REF!,"AAAAAD73f3Q=",0)</f>
        <v>#REF!</v>
      </c>
      <c r="DN237" t="e">
        <f>IF(#REF!,"AAAAAD73f3U=",0)</f>
        <v>#REF!</v>
      </c>
      <c r="DO237" t="e">
        <f>IF(#REF!,"AAAAAD73f3Y=",0)</f>
        <v>#REF!</v>
      </c>
      <c r="DP237" t="e">
        <f>IF(#REF!,"AAAAAD73f3c=",0)</f>
        <v>#REF!</v>
      </c>
      <c r="DQ237" t="e">
        <f>IF(#REF!,"AAAAAD73f3g=",0)</f>
        <v>#REF!</v>
      </c>
      <c r="DR237" t="e">
        <f>IF(#REF!,"AAAAAD73f3k=",0)</f>
        <v>#REF!</v>
      </c>
      <c r="DS237" t="e">
        <f>IF(#REF!,"AAAAAD73f3o=",0)</f>
        <v>#REF!</v>
      </c>
      <c r="DT237" t="e">
        <f>IF(#REF!,"AAAAAD73f3s=",0)</f>
        <v>#REF!</v>
      </c>
      <c r="DU237" t="e">
        <f>IF(#REF!,"AAAAAD73f3w=",0)</f>
        <v>#REF!</v>
      </c>
      <c r="DV237" t="e">
        <f>IF(#REF!,"AAAAAD73f30=",0)</f>
        <v>#REF!</v>
      </c>
      <c r="DW237" t="e">
        <f>IF(#REF!,"AAAAAD73f34=",0)</f>
        <v>#REF!</v>
      </c>
      <c r="DX237" t="e">
        <f>IF(#REF!,"AAAAAD73f38=",0)</f>
        <v>#REF!</v>
      </c>
      <c r="DY237" t="e">
        <f>IF(#REF!,"AAAAAD73f4A=",0)</f>
        <v>#REF!</v>
      </c>
      <c r="DZ237" t="e">
        <f>IF(#REF!,"AAAAAD73f4E=",0)</f>
        <v>#REF!</v>
      </c>
      <c r="EA237" t="e">
        <f>IF(#REF!,"AAAAAD73f4I=",0)</f>
        <v>#REF!</v>
      </c>
      <c r="EB237" t="e">
        <f>IF(#REF!,"AAAAAD73f4M=",0)</f>
        <v>#REF!</v>
      </c>
      <c r="EC237" t="e">
        <f>IF(#REF!,"AAAAAD73f4Q=",0)</f>
        <v>#REF!</v>
      </c>
      <c r="ED237" t="e">
        <f>IF(#REF!,"AAAAAD73f4U=",0)</f>
        <v>#REF!</v>
      </c>
      <c r="EE237" t="e">
        <f>IF(#REF!,"AAAAAD73f4Y=",0)</f>
        <v>#REF!</v>
      </c>
      <c r="EF237" t="e">
        <f>IF(#REF!,"AAAAAD73f4c=",0)</f>
        <v>#REF!</v>
      </c>
      <c r="EG237" t="e">
        <f>IF(#REF!,"AAAAAD73f4g=",0)</f>
        <v>#REF!</v>
      </c>
      <c r="EH237" t="e">
        <f>IF(#REF!,"AAAAAD73f4k=",0)</f>
        <v>#REF!</v>
      </c>
      <c r="EI237" t="e">
        <f>IF(#REF!,"AAAAAD73f4o=",0)</f>
        <v>#REF!</v>
      </c>
      <c r="EJ237" t="e">
        <f>IF(#REF!,"AAAAAD73f4s=",0)</f>
        <v>#REF!</v>
      </c>
      <c r="EK237" t="e">
        <f>IF(#REF!,"AAAAAD73f4w=",0)</f>
        <v>#REF!</v>
      </c>
      <c r="EL237" t="e">
        <f>IF(#REF!,"AAAAAD73f40=",0)</f>
        <v>#REF!</v>
      </c>
      <c r="EM237" t="e">
        <f>IF(#REF!,"AAAAAD73f44=",0)</f>
        <v>#REF!</v>
      </c>
      <c r="EN237" t="e">
        <f>IF(#REF!,"AAAAAD73f48=",0)</f>
        <v>#REF!</v>
      </c>
      <c r="EO237" t="e">
        <f>IF(#REF!,"AAAAAD73f5A=",0)</f>
        <v>#REF!</v>
      </c>
      <c r="EP237" t="e">
        <f>IF(#REF!,"AAAAAD73f5E=",0)</f>
        <v>#REF!</v>
      </c>
      <c r="EQ237" t="e">
        <f>IF(#REF!,"AAAAAD73f5I=",0)</f>
        <v>#REF!</v>
      </c>
      <c r="ER237" t="e">
        <f>IF(#REF!,"AAAAAD73f5M=",0)</f>
        <v>#REF!</v>
      </c>
      <c r="ES237" t="e">
        <f>IF(#REF!,"AAAAAD73f5Q=",0)</f>
        <v>#REF!</v>
      </c>
      <c r="ET237" t="e">
        <f>IF(#REF!,"AAAAAD73f5U=",0)</f>
        <v>#REF!</v>
      </c>
      <c r="EU237" t="e">
        <f>IF(#REF!,"AAAAAD73f5Y=",0)</f>
        <v>#REF!</v>
      </c>
      <c r="EV237" t="e">
        <f>IF(#REF!,"AAAAAD73f5c=",0)</f>
        <v>#REF!</v>
      </c>
      <c r="EW237" t="e">
        <f>IF(#REF!,"AAAAAD73f5g=",0)</f>
        <v>#REF!</v>
      </c>
      <c r="EX237" t="e">
        <f>IF(#REF!,"AAAAAD73f5k=",0)</f>
        <v>#REF!</v>
      </c>
      <c r="EY237" t="e">
        <f>IF(#REF!,"AAAAAD73f5o=",0)</f>
        <v>#REF!</v>
      </c>
      <c r="EZ237" t="e">
        <f>IF(#REF!,"AAAAAD73f5s=",0)</f>
        <v>#REF!</v>
      </c>
      <c r="FA237" t="e">
        <f>IF(#REF!,"AAAAAD73f5w=",0)</f>
        <v>#REF!</v>
      </c>
      <c r="FB237" t="e">
        <f>IF(#REF!,"AAAAAD73f50=",0)</f>
        <v>#REF!</v>
      </c>
      <c r="FC237" t="e">
        <f>IF(#REF!,"AAAAAD73f54=",0)</f>
        <v>#REF!</v>
      </c>
      <c r="FD237" t="e">
        <f>IF(#REF!,"AAAAAD73f58=",0)</f>
        <v>#REF!</v>
      </c>
      <c r="FE237" t="e">
        <f>IF(#REF!,"AAAAAD73f6A=",0)</f>
        <v>#REF!</v>
      </c>
      <c r="FF237" t="e">
        <f>IF(#REF!,"AAAAAD73f6E=",0)</f>
        <v>#REF!</v>
      </c>
      <c r="FG237" t="e">
        <f>IF(#REF!,"AAAAAD73f6I=",0)</f>
        <v>#REF!</v>
      </c>
      <c r="FH237" t="e">
        <f>IF(#REF!,"AAAAAD73f6M=",0)</f>
        <v>#REF!</v>
      </c>
      <c r="FI237" t="e">
        <f>IF(#REF!,"AAAAAD73f6Q=",0)</f>
        <v>#REF!</v>
      </c>
      <c r="FJ237" t="e">
        <f>IF(#REF!,"AAAAAD73f6U=",0)</f>
        <v>#REF!</v>
      </c>
      <c r="FK237" t="e">
        <f>IF(#REF!,"AAAAAD73f6Y=",0)</f>
        <v>#REF!</v>
      </c>
      <c r="FL237" t="e">
        <f>IF(#REF!,"AAAAAD73f6c=",0)</f>
        <v>#REF!</v>
      </c>
      <c r="FM237" t="e">
        <f>IF(#REF!,"AAAAAD73f6g=",0)</f>
        <v>#REF!</v>
      </c>
      <c r="FN237" t="e">
        <f>IF(#REF!,"AAAAAD73f6k=",0)</f>
        <v>#REF!</v>
      </c>
      <c r="FO237" t="e">
        <f>IF(#REF!,"AAAAAD73f6o=",0)</f>
        <v>#REF!</v>
      </c>
      <c r="FP237" t="e">
        <f>IF(#REF!,"AAAAAD73f6s=",0)</f>
        <v>#REF!</v>
      </c>
      <c r="FQ237" t="e">
        <f>IF(#REF!,"AAAAAD73f6w=",0)</f>
        <v>#REF!</v>
      </c>
      <c r="FR237" t="e">
        <f>IF(#REF!,"AAAAAD73f60=",0)</f>
        <v>#REF!</v>
      </c>
      <c r="FS237" t="e">
        <f>IF(#REF!,"AAAAAD73f64=",0)</f>
        <v>#REF!</v>
      </c>
      <c r="FT237" t="e">
        <f>IF(#REF!,"AAAAAD73f68=",0)</f>
        <v>#REF!</v>
      </c>
      <c r="FU237" t="e">
        <f>IF(#REF!,"AAAAAD73f7A=",0)</f>
        <v>#REF!</v>
      </c>
      <c r="FV237" t="e">
        <f>IF(#REF!,"AAAAAD73f7E=",0)</f>
        <v>#REF!</v>
      </c>
      <c r="FW237" t="e">
        <f>IF(#REF!,"AAAAAD73f7I=",0)</f>
        <v>#REF!</v>
      </c>
      <c r="FX237" t="e">
        <f>IF(#REF!,"AAAAAD73f7M=",0)</f>
        <v>#REF!</v>
      </c>
      <c r="FY237" t="e">
        <f>IF(#REF!,"AAAAAD73f7Q=",0)</f>
        <v>#REF!</v>
      </c>
      <c r="FZ237" t="e">
        <f>IF(#REF!,"AAAAAD73f7U=",0)</f>
        <v>#REF!</v>
      </c>
      <c r="GA237" t="e">
        <f>IF(#REF!,"AAAAAD73f7Y=",0)</f>
        <v>#REF!</v>
      </c>
      <c r="GB237" t="e">
        <f>IF(#REF!,"AAAAAD73f7c=",0)</f>
        <v>#REF!</v>
      </c>
      <c r="GC237" t="e">
        <f>IF(#REF!,"AAAAAD73f7g=",0)</f>
        <v>#REF!</v>
      </c>
      <c r="GD237" t="e">
        <f>IF(#REF!,"AAAAAD73f7k=",0)</f>
        <v>#REF!</v>
      </c>
      <c r="GE237" t="e">
        <f>IF(#REF!,"AAAAAD73f7o=",0)</f>
        <v>#REF!</v>
      </c>
      <c r="GF237" t="e">
        <f>IF(#REF!,"AAAAAD73f7s=",0)</f>
        <v>#REF!</v>
      </c>
      <c r="GG237" t="e">
        <f>IF(#REF!,"AAAAAD73f7w=",0)</f>
        <v>#REF!</v>
      </c>
      <c r="GH237" t="e">
        <f>IF(#REF!,"AAAAAD73f70=",0)</f>
        <v>#REF!</v>
      </c>
      <c r="GI237" t="e">
        <f>IF(#REF!,"AAAAAD73f74=",0)</f>
        <v>#REF!</v>
      </c>
      <c r="GJ237" t="e">
        <f>IF(#REF!,"AAAAAD73f78=",0)</f>
        <v>#REF!</v>
      </c>
      <c r="GK237" t="e">
        <f>IF(#REF!,"AAAAAD73f8A=",0)</f>
        <v>#REF!</v>
      </c>
      <c r="GL237" t="e">
        <f>IF(#REF!,"AAAAAD73f8E=",0)</f>
        <v>#REF!</v>
      </c>
      <c r="GM237" t="e">
        <f>IF(#REF!,"AAAAAD73f8I=",0)</f>
        <v>#REF!</v>
      </c>
      <c r="GN237" t="e">
        <f>IF(#REF!,"AAAAAD73f8M=",0)</f>
        <v>#REF!</v>
      </c>
      <c r="GO237" t="e">
        <f>IF(#REF!,"AAAAAD73f8Q=",0)</f>
        <v>#REF!</v>
      </c>
      <c r="GP237" t="e">
        <f>IF(#REF!,"AAAAAD73f8U=",0)</f>
        <v>#REF!</v>
      </c>
      <c r="GQ237" t="e">
        <f>IF(#REF!,"AAAAAD73f8Y=",0)</f>
        <v>#REF!</v>
      </c>
      <c r="GR237" t="e">
        <f>IF(#REF!,"AAAAAD73f8c=",0)</f>
        <v>#REF!</v>
      </c>
      <c r="GS237" t="e">
        <f>IF(#REF!,"AAAAAD73f8g=",0)</f>
        <v>#REF!</v>
      </c>
      <c r="GT237" t="e">
        <f>IF(#REF!,"AAAAAD73f8k=",0)</f>
        <v>#REF!</v>
      </c>
      <c r="GU237" t="e">
        <f>IF(#REF!,"AAAAAD73f8o=",0)</f>
        <v>#REF!</v>
      </c>
      <c r="GV237" t="e">
        <f>IF(#REF!,"AAAAAD73f8s=",0)</f>
        <v>#REF!</v>
      </c>
      <c r="GW237" t="e">
        <f>IF(#REF!,"AAAAAD73f8w=",0)</f>
        <v>#REF!</v>
      </c>
      <c r="GX237" t="e">
        <f>IF(#REF!,"AAAAAD73f80=",0)</f>
        <v>#REF!</v>
      </c>
      <c r="GY237" t="e">
        <f>IF(#REF!,"AAAAAD73f84=",0)</f>
        <v>#REF!</v>
      </c>
      <c r="GZ237" t="e">
        <f>IF(#REF!,"AAAAAD73f88=",0)</f>
        <v>#REF!</v>
      </c>
      <c r="HA237" t="e">
        <f>IF(#REF!,"AAAAAD73f9A=",0)</f>
        <v>#REF!</v>
      </c>
      <c r="HB237" t="e">
        <f>IF(#REF!,"AAAAAD73f9E=",0)</f>
        <v>#REF!</v>
      </c>
      <c r="HC237" t="e">
        <f>IF(#REF!,"AAAAAD73f9I=",0)</f>
        <v>#REF!</v>
      </c>
      <c r="HD237" t="e">
        <f>IF(#REF!,"AAAAAD73f9M=",0)</f>
        <v>#REF!</v>
      </c>
      <c r="HE237" t="e">
        <f>IF(#REF!,"AAAAAD73f9Q=",0)</f>
        <v>#REF!</v>
      </c>
      <c r="HF237" t="e">
        <f>IF(#REF!,"AAAAAD73f9U=",0)</f>
        <v>#REF!</v>
      </c>
      <c r="HG237" t="e">
        <f>IF(#REF!,"AAAAAD73f9Y=",0)</f>
        <v>#REF!</v>
      </c>
      <c r="HH237" t="e">
        <f>IF(#REF!,"AAAAAD73f9c=",0)</f>
        <v>#REF!</v>
      </c>
      <c r="HI237" t="e">
        <f>IF(#REF!,"AAAAAD73f9g=",0)</f>
        <v>#REF!</v>
      </c>
      <c r="HJ237" t="e">
        <f>IF(#REF!,"AAAAAD73f9k=",0)</f>
        <v>#REF!</v>
      </c>
      <c r="HK237" t="e">
        <f>IF(#REF!,"AAAAAD73f9o=",0)</f>
        <v>#REF!</v>
      </c>
      <c r="HL237" t="e">
        <f>IF(#REF!,"AAAAAD73f9s=",0)</f>
        <v>#REF!</v>
      </c>
      <c r="HM237" t="e">
        <f>IF(#REF!,"AAAAAD73f9w=",0)</f>
        <v>#REF!</v>
      </c>
      <c r="HN237" t="e">
        <f>IF(#REF!,"AAAAAD73f90=",0)</f>
        <v>#REF!</v>
      </c>
      <c r="HO237" t="e">
        <f>IF(#REF!,"AAAAAD73f94=",0)</f>
        <v>#REF!</v>
      </c>
      <c r="HP237" t="e">
        <f>IF(#REF!,"AAAAAD73f98=",0)</f>
        <v>#REF!</v>
      </c>
      <c r="HQ237" t="e">
        <f>IF(#REF!,"AAAAAD73f+A=",0)</f>
        <v>#REF!</v>
      </c>
      <c r="HR237" t="e">
        <f>IF(#REF!,"AAAAAD73f+E=",0)</f>
        <v>#REF!</v>
      </c>
      <c r="HS237" t="e">
        <f>IF(#REF!,"AAAAAD73f+I=",0)</f>
        <v>#REF!</v>
      </c>
      <c r="HT237" t="e">
        <f>IF(#REF!,"AAAAAD73f+M=",0)</f>
        <v>#REF!</v>
      </c>
      <c r="HU237" t="e">
        <f>IF(#REF!,"AAAAAD73f+Q=",0)</f>
        <v>#REF!</v>
      </c>
      <c r="HV237" t="e">
        <f>IF(#REF!,"AAAAAD73f+U=",0)</f>
        <v>#REF!</v>
      </c>
      <c r="HW237" t="e">
        <f>IF(#REF!,"AAAAAD73f+Y=",0)</f>
        <v>#REF!</v>
      </c>
      <c r="HX237" t="e">
        <f>IF(#REF!,"AAAAAD73f+c=",0)</f>
        <v>#REF!</v>
      </c>
      <c r="HY237" t="e">
        <f>IF(#REF!,"AAAAAD73f+g=",0)</f>
        <v>#REF!</v>
      </c>
      <c r="HZ237" t="e">
        <f>IF(#REF!,"AAAAAD73f+k=",0)</f>
        <v>#REF!</v>
      </c>
      <c r="IA237" t="e">
        <f>IF(#REF!,"AAAAAD73f+o=",0)</f>
        <v>#REF!</v>
      </c>
      <c r="IB237" t="e">
        <f>IF(#REF!,"AAAAAD73f+s=",0)</f>
        <v>#REF!</v>
      </c>
      <c r="IC237" t="e">
        <f>IF(#REF!,"AAAAAD73f+w=",0)</f>
        <v>#REF!</v>
      </c>
      <c r="ID237" t="e">
        <f>IF(#REF!,"AAAAAD73f+0=",0)</f>
        <v>#REF!</v>
      </c>
      <c r="IE237" t="e">
        <f>IF(#REF!,"AAAAAD73f+4=",0)</f>
        <v>#REF!</v>
      </c>
      <c r="IF237" t="e">
        <f>IF(#REF!,"AAAAAD73f+8=",0)</f>
        <v>#REF!</v>
      </c>
      <c r="IG237" t="e">
        <f>IF(#REF!,"AAAAAD73f/A=",0)</f>
        <v>#REF!</v>
      </c>
      <c r="IH237" t="e">
        <f>IF(#REF!,"AAAAAD73f/E=",0)</f>
        <v>#REF!</v>
      </c>
      <c r="II237" t="e">
        <f>IF(#REF!,"AAAAAD73f/I=",0)</f>
        <v>#REF!</v>
      </c>
      <c r="IJ237" t="e">
        <f>IF(#REF!,"AAAAAD73f/M=",0)</f>
        <v>#REF!</v>
      </c>
      <c r="IK237" t="e">
        <f>IF(#REF!,"AAAAAD73f/Q=",0)</f>
        <v>#REF!</v>
      </c>
      <c r="IL237" t="e">
        <f>IF(#REF!,"AAAAAD73f/U=",0)</f>
        <v>#REF!</v>
      </c>
      <c r="IM237" t="e">
        <f>IF(#REF!,"AAAAAD73f/Y=",0)</f>
        <v>#REF!</v>
      </c>
      <c r="IN237" t="e">
        <f>IF(#REF!,"AAAAAD73f/c=",0)</f>
        <v>#REF!</v>
      </c>
      <c r="IO237" t="e">
        <f>IF(#REF!,"AAAAAD73f/g=",0)</f>
        <v>#REF!</v>
      </c>
      <c r="IP237" t="e">
        <f>IF(#REF!,"AAAAAD73f/k=",0)</f>
        <v>#REF!</v>
      </c>
      <c r="IQ237" t="e">
        <f>IF(#REF!,"AAAAAD73f/o=",0)</f>
        <v>#REF!</v>
      </c>
      <c r="IR237" t="e">
        <f>IF(#REF!,"AAAAAD73f/s=",0)</f>
        <v>#REF!</v>
      </c>
      <c r="IS237" t="e">
        <f>IF(#REF!,"AAAAAD73f/w=",0)</f>
        <v>#REF!</v>
      </c>
      <c r="IT237" t="e">
        <f>IF(#REF!,"AAAAAD73f/0=",0)</f>
        <v>#REF!</v>
      </c>
      <c r="IU237" t="e">
        <f>IF(#REF!,"AAAAAD73f/4=",0)</f>
        <v>#REF!</v>
      </c>
      <c r="IV237" t="e">
        <f>IF(#REF!,"AAAAAD73f/8=",0)</f>
        <v>#REF!</v>
      </c>
    </row>
    <row r="238" spans="1:256">
      <c r="A238" t="e">
        <f>IF(#REF!,"AAAAAH/t9wA=",0)</f>
        <v>#REF!</v>
      </c>
      <c r="B238" t="e">
        <f>IF(#REF!,"AAAAAH/t9wE=",0)</f>
        <v>#REF!</v>
      </c>
      <c r="C238" t="e">
        <f>IF(#REF!,"AAAAAH/t9wI=",0)</f>
        <v>#REF!</v>
      </c>
      <c r="D238" t="e">
        <f>IF(#REF!,"AAAAAH/t9wM=",0)</f>
        <v>#REF!</v>
      </c>
      <c r="E238" t="e">
        <f>IF(#REF!,"AAAAAH/t9wQ=",0)</f>
        <v>#REF!</v>
      </c>
      <c r="F238" t="e">
        <f>IF(#REF!,"AAAAAH/t9wU=",0)</f>
        <v>#REF!</v>
      </c>
      <c r="G238" t="e">
        <f>IF(#REF!,"AAAAAH/t9wY=",0)</f>
        <v>#REF!</v>
      </c>
      <c r="H238" t="e">
        <f>IF(#REF!,"AAAAAH/t9wc=",0)</f>
        <v>#REF!</v>
      </c>
      <c r="I238" t="e">
        <f>IF(#REF!,"AAAAAH/t9wg=",0)</f>
        <v>#REF!</v>
      </c>
      <c r="J238" t="e">
        <f>IF(#REF!,"AAAAAH/t9wk=",0)</f>
        <v>#REF!</v>
      </c>
      <c r="K238" t="e">
        <f>IF(#REF!,"AAAAAH/t9wo=",0)</f>
        <v>#REF!</v>
      </c>
      <c r="L238" t="e">
        <f>IF(#REF!,"AAAAAH/t9ws=",0)</f>
        <v>#REF!</v>
      </c>
      <c r="M238" t="e">
        <f>IF(#REF!,"AAAAAH/t9ww=",0)</f>
        <v>#REF!</v>
      </c>
      <c r="N238" t="e">
        <f>IF(#REF!,"AAAAAH/t9w0=",0)</f>
        <v>#REF!</v>
      </c>
      <c r="O238" t="e">
        <f>IF(#REF!,"AAAAAH/t9w4=",0)</f>
        <v>#REF!</v>
      </c>
      <c r="P238" t="e">
        <f>IF(#REF!,"AAAAAH/t9w8=",0)</f>
        <v>#REF!</v>
      </c>
      <c r="Q238" t="e">
        <f>IF(#REF!,"AAAAAH/t9xA=",0)</f>
        <v>#REF!</v>
      </c>
      <c r="R238" t="e">
        <f>IF(#REF!,"AAAAAH/t9xE=",0)</f>
        <v>#REF!</v>
      </c>
      <c r="S238" t="e">
        <f>IF(#REF!,"AAAAAH/t9xI=",0)</f>
        <v>#REF!</v>
      </c>
      <c r="T238" t="e">
        <f>IF(#REF!,"AAAAAH/t9xM=",0)</f>
        <v>#REF!</v>
      </c>
      <c r="U238" t="e">
        <f>IF(#REF!,"AAAAAH/t9xQ=",0)</f>
        <v>#REF!</v>
      </c>
      <c r="V238" t="e">
        <f>IF(#REF!,"AAAAAH/t9xU=",0)</f>
        <v>#REF!</v>
      </c>
      <c r="W238" t="e">
        <f>IF(#REF!,"AAAAAH/t9xY=",0)</f>
        <v>#REF!</v>
      </c>
      <c r="X238" t="e">
        <f>IF(#REF!,"AAAAAH/t9xc=",0)</f>
        <v>#REF!</v>
      </c>
      <c r="Y238" t="e">
        <f>IF(#REF!,"AAAAAH/t9xg=",0)</f>
        <v>#REF!</v>
      </c>
      <c r="Z238" t="e">
        <f>IF(#REF!,"AAAAAH/t9xk=",0)</f>
        <v>#REF!</v>
      </c>
      <c r="AA238" t="e">
        <f>IF(#REF!,"AAAAAH/t9xo=",0)</f>
        <v>#REF!</v>
      </c>
      <c r="AB238" t="e">
        <f>IF(#REF!,"AAAAAH/t9xs=",0)</f>
        <v>#REF!</v>
      </c>
      <c r="AC238" t="e">
        <f>IF(#REF!,"AAAAAH/t9xw=",0)</f>
        <v>#REF!</v>
      </c>
      <c r="AD238" t="e">
        <f>IF(#REF!,"AAAAAH/t9x0=",0)</f>
        <v>#REF!</v>
      </c>
      <c r="AE238" t="e">
        <f>IF(#REF!,"AAAAAH/t9x4=",0)</f>
        <v>#REF!</v>
      </c>
      <c r="AF238" t="e">
        <f>IF(#REF!,"AAAAAH/t9x8=",0)</f>
        <v>#REF!</v>
      </c>
      <c r="AG238" t="e">
        <f>IF(#REF!,"AAAAAH/t9yA=",0)</f>
        <v>#REF!</v>
      </c>
      <c r="AH238" t="e">
        <f>IF(#REF!,"AAAAAH/t9yE=",0)</f>
        <v>#REF!</v>
      </c>
      <c r="AI238" t="e">
        <f>IF(#REF!,"AAAAAH/t9yI=",0)</f>
        <v>#REF!</v>
      </c>
      <c r="AJ238" t="e">
        <f>IF(#REF!,"AAAAAH/t9yM=",0)</f>
        <v>#REF!</v>
      </c>
      <c r="AK238" t="e">
        <f>IF(#REF!,"AAAAAH/t9yQ=",0)</f>
        <v>#REF!</v>
      </c>
      <c r="AL238" t="e">
        <f>IF(#REF!,"AAAAAH/t9yU=",0)</f>
        <v>#REF!</v>
      </c>
      <c r="AM238" t="e">
        <f>IF(#REF!,"AAAAAH/t9yY=",0)</f>
        <v>#REF!</v>
      </c>
      <c r="AN238" t="e">
        <f>IF(#REF!,"AAAAAH/t9yc=",0)</f>
        <v>#REF!</v>
      </c>
      <c r="AO238" t="e">
        <f>IF(#REF!,"AAAAAH/t9yg=",0)</f>
        <v>#REF!</v>
      </c>
      <c r="AP238" t="e">
        <f>IF(#REF!,"AAAAAH/t9yk=",0)</f>
        <v>#REF!</v>
      </c>
      <c r="AQ238" t="e">
        <f>IF(#REF!,"AAAAAH/t9yo=",0)</f>
        <v>#REF!</v>
      </c>
      <c r="AR238" t="e">
        <f>IF(#REF!,"AAAAAH/t9ys=",0)</f>
        <v>#REF!</v>
      </c>
      <c r="AS238" t="e">
        <f>IF(#REF!,"AAAAAH/t9yw=",0)</f>
        <v>#REF!</v>
      </c>
      <c r="AT238" t="e">
        <f>IF(#REF!,"AAAAAH/t9y0=",0)</f>
        <v>#REF!</v>
      </c>
      <c r="AU238" t="e">
        <f>IF(#REF!,"AAAAAH/t9y4=",0)</f>
        <v>#REF!</v>
      </c>
      <c r="AV238" t="e">
        <f>IF(#REF!,"AAAAAH/t9y8=",0)</f>
        <v>#REF!</v>
      </c>
      <c r="AW238" t="e">
        <f>IF(#REF!,"AAAAAH/t9zA=",0)</f>
        <v>#REF!</v>
      </c>
      <c r="AX238" t="e">
        <f>IF(#REF!,"AAAAAH/t9zE=",0)</f>
        <v>#REF!</v>
      </c>
      <c r="AY238" t="e">
        <f>IF(#REF!,"AAAAAH/t9zI=",0)</f>
        <v>#REF!</v>
      </c>
      <c r="AZ238" t="e">
        <f>IF(#REF!,"AAAAAH/t9zM=",0)</f>
        <v>#REF!</v>
      </c>
      <c r="BA238" t="e">
        <f>IF(#REF!,"AAAAAH/t9zQ=",0)</f>
        <v>#REF!</v>
      </c>
      <c r="BB238" t="e">
        <f>IF(#REF!,"AAAAAH/t9zU=",0)</f>
        <v>#REF!</v>
      </c>
      <c r="BC238" t="e">
        <f>IF(#REF!,"AAAAAH/t9zY=",0)</f>
        <v>#REF!</v>
      </c>
      <c r="BD238" t="e">
        <f>IF(#REF!,"AAAAAH/t9zc=",0)</f>
        <v>#REF!</v>
      </c>
      <c r="BE238" t="e">
        <f>IF(#REF!,"AAAAAH/t9zg=",0)</f>
        <v>#REF!</v>
      </c>
      <c r="BF238" t="e">
        <f>IF(#REF!,"AAAAAH/t9zk=",0)</f>
        <v>#REF!</v>
      </c>
      <c r="BG238" t="e">
        <f>IF(#REF!,"AAAAAH/t9zo=",0)</f>
        <v>#REF!</v>
      </c>
      <c r="BH238" t="e">
        <f>IF(#REF!,"AAAAAH/t9zs=",0)</f>
        <v>#REF!</v>
      </c>
      <c r="BI238" t="e">
        <f>IF(#REF!,"AAAAAH/t9zw=",0)</f>
        <v>#REF!</v>
      </c>
      <c r="BJ238" t="e">
        <f>IF(#REF!,"AAAAAH/t9z0=",0)</f>
        <v>#REF!</v>
      </c>
      <c r="BK238" t="e">
        <f>IF(#REF!,"AAAAAH/t9z4=",0)</f>
        <v>#REF!</v>
      </c>
      <c r="BL238" t="e">
        <f>IF(#REF!,"AAAAAH/t9z8=",0)</f>
        <v>#REF!</v>
      </c>
      <c r="BM238" t="e">
        <f>IF(#REF!,"AAAAAH/t90A=",0)</f>
        <v>#REF!</v>
      </c>
      <c r="BN238" t="e">
        <f>IF(#REF!,"AAAAAH/t90E=",0)</f>
        <v>#REF!</v>
      </c>
      <c r="BO238" t="e">
        <f>IF(#REF!,"AAAAAH/t90I=",0)</f>
        <v>#REF!</v>
      </c>
      <c r="BP238" t="e">
        <f>IF(#REF!,"AAAAAH/t90M=",0)</f>
        <v>#REF!</v>
      </c>
      <c r="BQ238" t="e">
        <f>IF(#REF!,"AAAAAH/t90Q=",0)</f>
        <v>#REF!</v>
      </c>
      <c r="BR238" t="e">
        <f>IF(#REF!,"AAAAAH/t90U=",0)</f>
        <v>#REF!</v>
      </c>
      <c r="BS238" t="e">
        <f>IF(#REF!,"AAAAAH/t90Y=",0)</f>
        <v>#REF!</v>
      </c>
      <c r="BT238" t="e">
        <f>IF(#REF!,"AAAAAH/t90c=",0)</f>
        <v>#REF!</v>
      </c>
      <c r="BU238" t="e">
        <f>IF(#REF!,"AAAAAH/t90g=",0)</f>
        <v>#REF!</v>
      </c>
      <c r="BV238" t="e">
        <f>IF(#REF!,"AAAAAH/t90k=",0)</f>
        <v>#REF!</v>
      </c>
      <c r="BW238" t="e">
        <f>IF(#REF!,"AAAAAH/t90o=",0)</f>
        <v>#REF!</v>
      </c>
      <c r="BX238" t="e">
        <f>IF(#REF!,"AAAAAH/t90s=",0)</f>
        <v>#REF!</v>
      </c>
      <c r="BY238" t="e">
        <f>IF(#REF!,"AAAAAH/t90w=",0)</f>
        <v>#REF!</v>
      </c>
      <c r="BZ238" t="e">
        <f>IF(#REF!,"AAAAAH/t900=",0)</f>
        <v>#REF!</v>
      </c>
      <c r="CA238" t="e">
        <f>IF(#REF!,"AAAAAH/t904=",0)</f>
        <v>#REF!</v>
      </c>
      <c r="CB238" t="e">
        <f>IF(#REF!,"AAAAAH/t908=",0)</f>
        <v>#REF!</v>
      </c>
      <c r="CC238" t="e">
        <f>IF(#REF!,"AAAAAH/t91A=",0)</f>
        <v>#REF!</v>
      </c>
      <c r="CD238" t="e">
        <f>IF(#REF!,"AAAAAH/t91E=",0)</f>
        <v>#REF!</v>
      </c>
      <c r="CE238" t="e">
        <f>IF(#REF!,"AAAAAH/t91I=",0)</f>
        <v>#REF!</v>
      </c>
      <c r="CF238" t="e">
        <f>IF(#REF!,"AAAAAH/t91M=",0)</f>
        <v>#REF!</v>
      </c>
      <c r="CG238" t="e">
        <f>IF(#REF!,"AAAAAH/t91Q=",0)</f>
        <v>#REF!</v>
      </c>
      <c r="CH238" t="e">
        <f>IF(#REF!,"AAAAAH/t91U=",0)</f>
        <v>#REF!</v>
      </c>
      <c r="CI238" t="e">
        <f>IF(#REF!,"AAAAAH/t91Y=",0)</f>
        <v>#REF!</v>
      </c>
      <c r="CJ238" t="e">
        <f>IF(#REF!,"AAAAAH/t91c=",0)</f>
        <v>#REF!</v>
      </c>
      <c r="CK238" t="e">
        <f>IF(#REF!,"AAAAAH/t91g=",0)</f>
        <v>#REF!</v>
      </c>
      <c r="CL238" t="e">
        <f>IF(#REF!,"AAAAAH/t91k=",0)</f>
        <v>#REF!</v>
      </c>
      <c r="CM238" t="e">
        <f>IF(#REF!,"AAAAAH/t91o=",0)</f>
        <v>#REF!</v>
      </c>
      <c r="CN238" t="e">
        <f>IF(#REF!,"AAAAAH/t91s=",0)</f>
        <v>#REF!</v>
      </c>
      <c r="CO238" t="e">
        <f>IF(#REF!,"AAAAAH/t91w=",0)</f>
        <v>#REF!</v>
      </c>
      <c r="CP238" t="e">
        <f>IF(#REF!,"AAAAAH/t910=",0)</f>
        <v>#REF!</v>
      </c>
      <c r="CQ238" t="e">
        <f>IF(#REF!,"AAAAAH/t914=",0)</f>
        <v>#REF!</v>
      </c>
      <c r="CR238" t="e">
        <f>IF(#REF!,"AAAAAH/t918=",0)</f>
        <v>#REF!</v>
      </c>
      <c r="CS238" t="e">
        <f>IF(#REF!,"AAAAAH/t92A=",0)</f>
        <v>#REF!</v>
      </c>
      <c r="CT238" t="e">
        <f>IF(#REF!,"AAAAAH/t92E=",0)</f>
        <v>#REF!</v>
      </c>
      <c r="CU238" t="e">
        <f>IF(#REF!,"AAAAAH/t92I=",0)</f>
        <v>#REF!</v>
      </c>
      <c r="CV238" t="e">
        <f>IF(#REF!,"AAAAAH/t92M=",0)</f>
        <v>#REF!</v>
      </c>
      <c r="CW238" t="e">
        <f>IF(#REF!,"AAAAAH/t92Q=",0)</f>
        <v>#REF!</v>
      </c>
      <c r="CX238" t="e">
        <f>IF(#REF!,"AAAAAH/t92U=",0)</f>
        <v>#REF!</v>
      </c>
      <c r="CY238" t="e">
        <f>IF(#REF!,"AAAAAH/t92Y=",0)</f>
        <v>#REF!</v>
      </c>
      <c r="CZ238" t="e">
        <f>IF(#REF!,"AAAAAH/t92c=",0)</f>
        <v>#REF!</v>
      </c>
      <c r="DA238" t="e">
        <f>IF(#REF!,"AAAAAH/t92g=",0)</f>
        <v>#REF!</v>
      </c>
      <c r="DB238" t="e">
        <f>IF(#REF!,"AAAAAH/t92k=",0)</f>
        <v>#REF!</v>
      </c>
      <c r="DC238" t="e">
        <f>IF(#REF!,"AAAAAH/t92o=",0)</f>
        <v>#REF!</v>
      </c>
      <c r="DD238" t="e">
        <f>IF(#REF!,"AAAAAH/t92s=",0)</f>
        <v>#REF!</v>
      </c>
      <c r="DE238" t="e">
        <f>IF(#REF!,"AAAAAH/t92w=",0)</f>
        <v>#REF!</v>
      </c>
      <c r="DF238" t="e">
        <f>IF(#REF!,"AAAAAH/t920=",0)</f>
        <v>#REF!</v>
      </c>
      <c r="DG238" t="e">
        <f>IF(#REF!,"AAAAAH/t924=",0)</f>
        <v>#REF!</v>
      </c>
      <c r="DH238" t="e">
        <f>IF(#REF!,"AAAAAH/t928=",0)</f>
        <v>#REF!</v>
      </c>
      <c r="DI238" t="e">
        <f>IF(#REF!,"AAAAAH/t93A=",0)</f>
        <v>#REF!</v>
      </c>
      <c r="DJ238" t="e">
        <f>IF(#REF!,"AAAAAH/t93E=",0)</f>
        <v>#REF!</v>
      </c>
      <c r="DK238" t="e">
        <f>IF(#REF!,"AAAAAH/t93I=",0)</f>
        <v>#REF!</v>
      </c>
      <c r="DL238" t="e">
        <f>IF(#REF!,"AAAAAH/t93M=",0)</f>
        <v>#REF!</v>
      </c>
      <c r="DM238" t="e">
        <f>IF(#REF!,"AAAAAH/t93Q=",0)</f>
        <v>#REF!</v>
      </c>
      <c r="DN238" t="e">
        <f>IF(#REF!,"AAAAAH/t93U=",0)</f>
        <v>#REF!</v>
      </c>
      <c r="DO238" t="e">
        <f>IF(#REF!,"AAAAAH/t93Y=",0)</f>
        <v>#REF!</v>
      </c>
      <c r="DP238" t="e">
        <f>IF(#REF!,"AAAAAH/t93c=",0)</f>
        <v>#REF!</v>
      </c>
      <c r="DQ238" t="e">
        <f>IF(#REF!,"AAAAAH/t93g=",0)</f>
        <v>#REF!</v>
      </c>
      <c r="DR238" t="e">
        <f>IF(#REF!,"AAAAAH/t93k=",0)</f>
        <v>#REF!</v>
      </c>
      <c r="DS238" t="e">
        <f>IF(#REF!,"AAAAAH/t93o=",0)</f>
        <v>#REF!</v>
      </c>
      <c r="DT238" t="e">
        <f>IF(#REF!,"AAAAAH/t93s=",0)</f>
        <v>#REF!</v>
      </c>
      <c r="DU238" t="e">
        <f>IF(#REF!,"AAAAAH/t93w=",0)</f>
        <v>#REF!</v>
      </c>
      <c r="DV238" t="e">
        <f>IF(#REF!,"AAAAAH/t930=",0)</f>
        <v>#REF!</v>
      </c>
      <c r="DW238" t="e">
        <f>IF(#REF!,"AAAAAH/t934=",0)</f>
        <v>#REF!</v>
      </c>
      <c r="DX238" t="e">
        <f>IF(#REF!,"AAAAAH/t938=",0)</f>
        <v>#REF!</v>
      </c>
      <c r="DY238" t="e">
        <f>IF(#REF!,"AAAAAH/t94A=",0)</f>
        <v>#REF!</v>
      </c>
      <c r="DZ238" t="e">
        <f>IF(#REF!,"AAAAAH/t94E=",0)</f>
        <v>#REF!</v>
      </c>
      <c r="EA238" t="e">
        <f>IF(#REF!,"AAAAAH/t94I=",0)</f>
        <v>#REF!</v>
      </c>
      <c r="EB238" t="e">
        <f>IF(#REF!,"AAAAAH/t94M=",0)</f>
        <v>#REF!</v>
      </c>
      <c r="EC238" t="e">
        <f>IF(#REF!,"AAAAAH/t94Q=",0)</f>
        <v>#REF!</v>
      </c>
      <c r="ED238" t="e">
        <f>IF(#REF!,"AAAAAH/t94U=",0)</f>
        <v>#REF!</v>
      </c>
      <c r="EE238" t="e">
        <f>IF(#REF!,"AAAAAH/t94Y=",0)</f>
        <v>#REF!</v>
      </c>
      <c r="EF238" t="e">
        <f>IF(#REF!,"AAAAAH/t94c=",0)</f>
        <v>#REF!</v>
      </c>
      <c r="EG238" t="e">
        <f>IF(#REF!,"AAAAAH/t94g=",0)</f>
        <v>#REF!</v>
      </c>
      <c r="EH238" t="e">
        <f>IF(#REF!,"AAAAAH/t94k=",0)</f>
        <v>#REF!</v>
      </c>
      <c r="EI238" t="e">
        <f>IF(#REF!,"AAAAAH/t94o=",0)</f>
        <v>#REF!</v>
      </c>
      <c r="EJ238" t="e">
        <f>IF(#REF!,"AAAAAH/t94s=",0)</f>
        <v>#REF!</v>
      </c>
      <c r="EK238" t="e">
        <f>IF(#REF!,"AAAAAH/t94w=",0)</f>
        <v>#REF!</v>
      </c>
      <c r="EL238" t="e">
        <f>IF(#REF!,"AAAAAH/t940=",0)</f>
        <v>#REF!</v>
      </c>
      <c r="EM238" t="e">
        <f>IF(#REF!,"AAAAAH/t944=",0)</f>
        <v>#REF!</v>
      </c>
      <c r="EN238" t="e">
        <f>IF(#REF!,"AAAAAH/t948=",0)</f>
        <v>#REF!</v>
      </c>
      <c r="EO238" t="e">
        <f>IF(#REF!,"AAAAAH/t95A=",0)</f>
        <v>#REF!</v>
      </c>
      <c r="EP238" t="e">
        <f>IF(#REF!,"AAAAAH/t95E=",0)</f>
        <v>#REF!</v>
      </c>
      <c r="EQ238" t="e">
        <f>IF(#REF!,"AAAAAH/t95I=",0)</f>
        <v>#REF!</v>
      </c>
      <c r="ER238" t="e">
        <f>IF(#REF!,"AAAAAH/t95M=",0)</f>
        <v>#REF!</v>
      </c>
      <c r="ES238" t="e">
        <f>IF(#REF!,"AAAAAH/t95Q=",0)</f>
        <v>#REF!</v>
      </c>
      <c r="ET238" t="e">
        <f>IF(#REF!,"AAAAAH/t95U=",0)</f>
        <v>#REF!</v>
      </c>
      <c r="EU238" t="e">
        <f>IF(#REF!,"AAAAAH/t95Y=",0)</f>
        <v>#REF!</v>
      </c>
      <c r="EV238" t="e">
        <f>IF(#REF!,"AAAAAH/t95c=",0)</f>
        <v>#REF!</v>
      </c>
      <c r="EW238" t="e">
        <f>IF(#REF!,"AAAAAH/t95g=",0)</f>
        <v>#REF!</v>
      </c>
      <c r="EX238" t="e">
        <f>IF(#REF!,"AAAAAH/t95k=",0)</f>
        <v>#REF!</v>
      </c>
      <c r="EY238" t="e">
        <f>IF(#REF!,"AAAAAH/t95o=",0)</f>
        <v>#REF!</v>
      </c>
      <c r="EZ238" t="e">
        <f>IF(#REF!,"AAAAAH/t95s=",0)</f>
        <v>#REF!</v>
      </c>
      <c r="FA238" t="e">
        <f>IF(#REF!,"AAAAAH/t95w=",0)</f>
        <v>#REF!</v>
      </c>
      <c r="FB238" t="e">
        <f>IF(#REF!,"AAAAAH/t950=",0)</f>
        <v>#REF!</v>
      </c>
      <c r="FC238" t="e">
        <f>IF(#REF!,"AAAAAH/t954=",0)</f>
        <v>#REF!</v>
      </c>
      <c r="FD238" t="e">
        <f>IF(#REF!,"AAAAAH/t958=",0)</f>
        <v>#REF!</v>
      </c>
      <c r="FE238" t="e">
        <f>IF(#REF!,"AAAAAH/t96A=",0)</f>
        <v>#REF!</v>
      </c>
      <c r="FF238" t="e">
        <f>IF(#REF!,"AAAAAH/t96E=",0)</f>
        <v>#REF!</v>
      </c>
      <c r="FG238" t="e">
        <f>IF(#REF!,"AAAAAH/t96I=",0)</f>
        <v>#REF!</v>
      </c>
      <c r="FH238" t="e">
        <f>IF(#REF!,"AAAAAH/t96M=",0)</f>
        <v>#REF!</v>
      </c>
      <c r="FI238" t="e">
        <f>IF(#REF!,"AAAAAH/t96Q=",0)</f>
        <v>#REF!</v>
      </c>
      <c r="FJ238" t="e">
        <f>IF(#REF!,"AAAAAH/t96U=",0)</f>
        <v>#REF!</v>
      </c>
      <c r="FK238" t="e">
        <f>IF(#REF!,"AAAAAH/t96Y=",0)</f>
        <v>#REF!</v>
      </c>
      <c r="FL238" t="e">
        <f>IF(#REF!,"AAAAAH/t96c=",0)</f>
        <v>#REF!</v>
      </c>
      <c r="FM238" t="e">
        <f>IF(#REF!,"AAAAAH/t96g=",0)</f>
        <v>#REF!</v>
      </c>
      <c r="FN238" t="e">
        <f>IF(#REF!,"AAAAAH/t96k=",0)</f>
        <v>#REF!</v>
      </c>
      <c r="FO238" t="e">
        <f>IF(#REF!,"AAAAAH/t96o=",0)</f>
        <v>#REF!</v>
      </c>
      <c r="FP238" t="e">
        <f>IF(#REF!,"AAAAAH/t96s=",0)</f>
        <v>#REF!</v>
      </c>
      <c r="FQ238" t="e">
        <f>IF(#REF!,"AAAAAH/t96w=",0)</f>
        <v>#REF!</v>
      </c>
      <c r="FR238" t="e">
        <f>IF(#REF!,"AAAAAH/t960=",0)</f>
        <v>#REF!</v>
      </c>
      <c r="FS238" t="e">
        <f>IF(#REF!,"AAAAAH/t964=",0)</f>
        <v>#REF!</v>
      </c>
      <c r="FT238" t="e">
        <f>IF(#REF!,"AAAAAH/t968=",0)</f>
        <v>#REF!</v>
      </c>
      <c r="FU238" t="e">
        <f>IF(#REF!,"AAAAAH/t97A=",0)</f>
        <v>#REF!</v>
      </c>
      <c r="FV238" t="e">
        <f>IF(#REF!,"AAAAAH/t97E=",0)</f>
        <v>#REF!</v>
      </c>
      <c r="FW238" t="e">
        <f>IF(#REF!,"AAAAAH/t97I=",0)</f>
        <v>#REF!</v>
      </c>
      <c r="FX238" t="e">
        <f>IF(#REF!,"AAAAAH/t97M=",0)</f>
        <v>#REF!</v>
      </c>
      <c r="FY238" t="e">
        <f>IF(#REF!,"AAAAAH/t97Q=",0)</f>
        <v>#REF!</v>
      </c>
      <c r="FZ238" t="e">
        <f>IF(#REF!,"AAAAAH/t97U=",0)</f>
        <v>#REF!</v>
      </c>
      <c r="GA238" t="e">
        <f>IF(#REF!,"AAAAAH/t97Y=",0)</f>
        <v>#REF!</v>
      </c>
      <c r="GB238" t="e">
        <f>IF(#REF!,"AAAAAH/t97c=",0)</f>
        <v>#REF!</v>
      </c>
      <c r="GC238" t="e">
        <f>IF(#REF!,"AAAAAH/t97g=",0)</f>
        <v>#REF!</v>
      </c>
      <c r="GD238" t="e">
        <f>IF(#REF!,"AAAAAH/t97k=",0)</f>
        <v>#REF!</v>
      </c>
      <c r="GE238" t="e">
        <f>IF(#REF!,"AAAAAH/t97o=",0)</f>
        <v>#REF!</v>
      </c>
      <c r="GF238" t="e">
        <f>IF(#REF!,"AAAAAH/t97s=",0)</f>
        <v>#REF!</v>
      </c>
      <c r="GG238" t="e">
        <f>IF(#REF!,"AAAAAH/t97w=",0)</f>
        <v>#REF!</v>
      </c>
      <c r="GH238" t="e">
        <f>IF(#REF!,"AAAAAH/t970=",0)</f>
        <v>#REF!</v>
      </c>
      <c r="GI238" t="e">
        <f>IF(#REF!,"AAAAAH/t974=",0)</f>
        <v>#REF!</v>
      </c>
      <c r="GJ238" t="e">
        <f>IF(#REF!,"AAAAAH/t978=",0)</f>
        <v>#REF!</v>
      </c>
      <c r="GK238" t="e">
        <f>IF(#REF!,"AAAAAH/t98A=",0)</f>
        <v>#REF!</v>
      </c>
      <c r="GL238" t="e">
        <f>IF(#REF!,"AAAAAH/t98E=",0)</f>
        <v>#REF!</v>
      </c>
      <c r="GM238" t="e">
        <f>IF(#REF!,"AAAAAH/t98I=",0)</f>
        <v>#REF!</v>
      </c>
      <c r="GN238" t="e">
        <f>IF(#REF!,"AAAAAH/t98M=",0)</f>
        <v>#REF!</v>
      </c>
      <c r="GO238" t="e">
        <f>IF(#REF!,"AAAAAH/t98Q=",0)</f>
        <v>#REF!</v>
      </c>
      <c r="GP238" t="e">
        <f>IF(#REF!,"AAAAAH/t98U=",0)</f>
        <v>#REF!</v>
      </c>
      <c r="GQ238" t="e">
        <f>IF(#REF!,"AAAAAH/t98Y=",0)</f>
        <v>#REF!</v>
      </c>
      <c r="GR238" t="e">
        <f>IF(#REF!,"AAAAAH/t98c=",0)</f>
        <v>#REF!</v>
      </c>
      <c r="GS238" t="e">
        <f>IF(#REF!,"AAAAAH/t98g=",0)</f>
        <v>#REF!</v>
      </c>
      <c r="GT238" t="e">
        <f>IF(#REF!,"AAAAAH/t98k=",0)</f>
        <v>#REF!</v>
      </c>
      <c r="GU238" t="e">
        <f>IF(#REF!,"AAAAAH/t98o=",0)</f>
        <v>#REF!</v>
      </c>
      <c r="GV238" t="e">
        <f>IF(#REF!,"AAAAAH/t98s=",0)</f>
        <v>#REF!</v>
      </c>
      <c r="GW238" t="e">
        <f>IF(#REF!,"AAAAAH/t98w=",0)</f>
        <v>#REF!</v>
      </c>
      <c r="GX238" t="e">
        <f>IF(#REF!,"AAAAAH/t980=",0)</f>
        <v>#REF!</v>
      </c>
      <c r="GY238" t="e">
        <f>IF(#REF!,"AAAAAH/t984=",0)</f>
        <v>#REF!</v>
      </c>
      <c r="GZ238" t="e">
        <f>IF(#REF!,"AAAAAH/t988=",0)</f>
        <v>#REF!</v>
      </c>
      <c r="HA238" t="e">
        <f>IF(#REF!,"AAAAAH/t99A=",0)</f>
        <v>#REF!</v>
      </c>
      <c r="HB238" t="e">
        <f>IF(#REF!,"AAAAAH/t99E=",0)</f>
        <v>#REF!</v>
      </c>
      <c r="HC238" t="e">
        <f>IF(#REF!,"AAAAAH/t99I=",0)</f>
        <v>#REF!</v>
      </c>
      <c r="HD238" t="e">
        <f>IF(#REF!,"AAAAAH/t99M=",0)</f>
        <v>#REF!</v>
      </c>
      <c r="HE238" t="e">
        <f>IF(#REF!,"AAAAAH/t99Q=",0)</f>
        <v>#REF!</v>
      </c>
      <c r="HF238" t="e">
        <f>IF(#REF!,"AAAAAH/t99U=",0)</f>
        <v>#REF!</v>
      </c>
      <c r="HG238" t="e">
        <f>IF(#REF!,"AAAAAH/t99Y=",0)</f>
        <v>#REF!</v>
      </c>
      <c r="HH238" t="e">
        <f>IF(#REF!,"AAAAAH/t99c=",0)</f>
        <v>#REF!</v>
      </c>
      <c r="HI238" t="e">
        <f>IF(#REF!,"AAAAAH/t99g=",0)</f>
        <v>#REF!</v>
      </c>
      <c r="HJ238" t="e">
        <f>IF(#REF!,"AAAAAH/t99k=",0)</f>
        <v>#REF!</v>
      </c>
      <c r="HK238" t="e">
        <f>IF(#REF!,"AAAAAH/t99o=",0)</f>
        <v>#REF!</v>
      </c>
      <c r="HL238" t="e">
        <f>IF(#REF!,"AAAAAH/t99s=",0)</f>
        <v>#REF!</v>
      </c>
      <c r="HM238" t="e">
        <f>IF(#REF!,"AAAAAH/t99w=",0)</f>
        <v>#REF!</v>
      </c>
      <c r="HN238" t="e">
        <f>IF(#REF!,"AAAAAH/t990=",0)</f>
        <v>#REF!</v>
      </c>
      <c r="HO238" t="e">
        <f>IF(#REF!,"AAAAAH/t994=",0)</f>
        <v>#REF!</v>
      </c>
      <c r="HP238" t="e">
        <f>IF(#REF!,"AAAAAH/t998=",0)</f>
        <v>#REF!</v>
      </c>
      <c r="HQ238" t="e">
        <f>IF(#REF!,"AAAAAH/t9+A=",0)</f>
        <v>#REF!</v>
      </c>
      <c r="HR238" t="e">
        <f>IF(#REF!,"AAAAAH/t9+E=",0)</f>
        <v>#REF!</v>
      </c>
      <c r="HS238" t="e">
        <f>IF(#REF!,"AAAAAH/t9+I=",0)</f>
        <v>#REF!</v>
      </c>
      <c r="HT238" t="e">
        <f>IF(#REF!,"AAAAAH/t9+M=",0)</f>
        <v>#REF!</v>
      </c>
      <c r="HU238" t="e">
        <f>IF(#REF!,"AAAAAH/t9+Q=",0)</f>
        <v>#REF!</v>
      </c>
      <c r="HV238" t="e">
        <f>IF(#REF!,"AAAAAH/t9+U=",0)</f>
        <v>#REF!</v>
      </c>
      <c r="HW238" t="e">
        <f>IF(#REF!,"AAAAAH/t9+Y=",0)</f>
        <v>#REF!</v>
      </c>
      <c r="HX238" t="e">
        <f>IF(#REF!,"AAAAAH/t9+c=",0)</f>
        <v>#REF!</v>
      </c>
      <c r="HY238" t="e">
        <f>IF(#REF!,"AAAAAH/t9+g=",0)</f>
        <v>#REF!</v>
      </c>
      <c r="HZ238" t="e">
        <f>IF(#REF!,"AAAAAH/t9+k=",0)</f>
        <v>#REF!</v>
      </c>
      <c r="IA238" t="e">
        <f>IF(#REF!,"AAAAAH/t9+o=",0)</f>
        <v>#REF!</v>
      </c>
      <c r="IB238" t="e">
        <f>IF(#REF!,"AAAAAH/t9+s=",0)</f>
        <v>#REF!</v>
      </c>
      <c r="IC238" t="e">
        <f>IF(#REF!,"AAAAAH/t9+w=",0)</f>
        <v>#REF!</v>
      </c>
      <c r="ID238" t="e">
        <f>IF(#REF!,"AAAAAH/t9+0=",0)</f>
        <v>#REF!</v>
      </c>
      <c r="IE238" t="e">
        <f>IF(#REF!,"AAAAAH/t9+4=",0)</f>
        <v>#REF!</v>
      </c>
      <c r="IF238" t="e">
        <f>IF(#REF!,"AAAAAH/t9+8=",0)</f>
        <v>#REF!</v>
      </c>
      <c r="IG238" t="e">
        <f>IF(#REF!,"AAAAAH/t9/A=",0)</f>
        <v>#REF!</v>
      </c>
      <c r="IH238" t="e">
        <f>IF(#REF!,"AAAAAH/t9/E=",0)</f>
        <v>#REF!</v>
      </c>
      <c r="II238" t="e">
        <f>IF(#REF!,"AAAAAH/t9/I=",0)</f>
        <v>#REF!</v>
      </c>
      <c r="IJ238" t="e">
        <f>IF(#REF!,"AAAAAH/t9/M=",0)</f>
        <v>#REF!</v>
      </c>
      <c r="IK238" t="e">
        <f>IF(#REF!,"AAAAAH/t9/Q=",0)</f>
        <v>#REF!</v>
      </c>
      <c r="IL238" t="e">
        <f>IF(#REF!,"AAAAAH/t9/U=",0)</f>
        <v>#REF!</v>
      </c>
      <c r="IM238" t="e">
        <f>IF(#REF!,"AAAAAH/t9/Y=",0)</f>
        <v>#REF!</v>
      </c>
      <c r="IN238" t="e">
        <f>IF(#REF!,"AAAAAH/t9/c=",0)</f>
        <v>#REF!</v>
      </c>
      <c r="IO238" t="e">
        <f>IF(#REF!,"AAAAAH/t9/g=",0)</f>
        <v>#REF!</v>
      </c>
      <c r="IP238" t="e">
        <f>IF(#REF!,"AAAAAH/t9/k=",0)</f>
        <v>#REF!</v>
      </c>
      <c r="IQ238" t="e">
        <f>IF(#REF!,"AAAAAH/t9/o=",0)</f>
        <v>#REF!</v>
      </c>
      <c r="IR238" t="e">
        <f>IF(#REF!,"AAAAAH/t9/s=",0)</f>
        <v>#REF!</v>
      </c>
      <c r="IS238" t="e">
        <f>IF(#REF!,"AAAAAH/t9/w=",0)</f>
        <v>#REF!</v>
      </c>
      <c r="IT238" t="e">
        <f>IF(#REF!,"AAAAAH/t9/0=",0)</f>
        <v>#REF!</v>
      </c>
      <c r="IU238" t="e">
        <f>IF(#REF!,"AAAAAH/t9/4=",0)</f>
        <v>#REF!</v>
      </c>
      <c r="IV238" t="e">
        <f>IF(#REF!,"AAAAAH/t9/8=",0)</f>
        <v>#REF!</v>
      </c>
    </row>
    <row r="239" spans="1:256">
      <c r="A239" t="e">
        <f>IF(#REF!,"AAAAAHv9qwA=",0)</f>
        <v>#REF!</v>
      </c>
      <c r="B239" t="e">
        <f>IF(#REF!,"AAAAAHv9qwE=",0)</f>
        <v>#REF!</v>
      </c>
      <c r="C239" t="e">
        <f>IF(#REF!,"AAAAAHv9qwI=",0)</f>
        <v>#REF!</v>
      </c>
      <c r="D239" t="e">
        <f>IF(#REF!,"AAAAAHv9qwM=",0)</f>
        <v>#REF!</v>
      </c>
      <c r="E239" t="e">
        <f>IF(#REF!,"AAAAAHv9qwQ=",0)</f>
        <v>#REF!</v>
      </c>
      <c r="F239" t="e">
        <f>IF(#REF!,"AAAAAHv9qwU=",0)</f>
        <v>#REF!</v>
      </c>
      <c r="G239" t="e">
        <f>IF(#REF!,"AAAAAHv9qwY=",0)</f>
        <v>#REF!</v>
      </c>
      <c r="H239" t="e">
        <f>IF(#REF!,"AAAAAHv9qwc=",0)</f>
        <v>#REF!</v>
      </c>
      <c r="I239" t="e">
        <f>IF(#REF!,"AAAAAHv9qwg=",0)</f>
        <v>#REF!</v>
      </c>
      <c r="J239" t="e">
        <f>IF(#REF!,"AAAAAHv9qwk=",0)</f>
        <v>#REF!</v>
      </c>
      <c r="K239" t="e">
        <f>IF(#REF!,"AAAAAHv9qwo=",0)</f>
        <v>#REF!</v>
      </c>
      <c r="L239" t="e">
        <f>IF(#REF!,"AAAAAHv9qws=",0)</f>
        <v>#REF!</v>
      </c>
      <c r="M239" t="e">
        <f>IF(#REF!,"AAAAAHv9qww=",0)</f>
        <v>#REF!</v>
      </c>
      <c r="N239" t="e">
        <f>IF(#REF!,"AAAAAHv9qw0=",0)</f>
        <v>#REF!</v>
      </c>
      <c r="O239" t="e">
        <f>IF(#REF!,"AAAAAHv9qw4=",0)</f>
        <v>#REF!</v>
      </c>
      <c r="P239" t="e">
        <f>IF(#REF!,"AAAAAHv9qw8=",0)</f>
        <v>#REF!</v>
      </c>
      <c r="Q239" t="e">
        <f>IF(#REF!,"AAAAAHv9qxA=",0)</f>
        <v>#REF!</v>
      </c>
      <c r="R239" t="e">
        <f>IF(#REF!,"AAAAAHv9qxE=",0)</f>
        <v>#REF!</v>
      </c>
      <c r="S239" t="e">
        <f>IF(#REF!,"AAAAAHv9qxI=",0)</f>
        <v>#REF!</v>
      </c>
      <c r="T239" t="e">
        <f>IF(#REF!,"AAAAAHv9qxM=",0)</f>
        <v>#REF!</v>
      </c>
      <c r="U239" t="e">
        <f>IF(#REF!,"AAAAAHv9qxQ=",0)</f>
        <v>#REF!</v>
      </c>
      <c r="V239" t="e">
        <f>IF(#REF!,"AAAAAHv9qxU=",0)</f>
        <v>#REF!</v>
      </c>
      <c r="W239" t="e">
        <f>IF(#REF!,"AAAAAHv9qxY=",0)</f>
        <v>#REF!</v>
      </c>
      <c r="X239" t="e">
        <f>IF(#REF!,"AAAAAHv9qxc=",0)</f>
        <v>#REF!</v>
      </c>
      <c r="Y239" t="e">
        <f>IF(#REF!,"AAAAAHv9qxg=",0)</f>
        <v>#REF!</v>
      </c>
      <c r="Z239" t="e">
        <f>IF(#REF!,"AAAAAHv9qxk=",0)</f>
        <v>#REF!</v>
      </c>
      <c r="AA239" t="e">
        <f>IF(#REF!,"AAAAAHv9qxo=",0)</f>
        <v>#REF!</v>
      </c>
      <c r="AB239" t="e">
        <f>IF(#REF!,"AAAAAHv9qxs=",0)</f>
        <v>#REF!</v>
      </c>
      <c r="AC239" t="e">
        <f>IF(#REF!,"AAAAAHv9qxw=",0)</f>
        <v>#REF!</v>
      </c>
      <c r="AD239" t="e">
        <f>IF(#REF!,"AAAAAHv9qx0=",0)</f>
        <v>#REF!</v>
      </c>
      <c r="AE239" t="e">
        <f>IF(#REF!,"AAAAAHv9qx4=",0)</f>
        <v>#REF!</v>
      </c>
      <c r="AF239" t="e">
        <f>IF(#REF!,"AAAAAHv9qx8=",0)</f>
        <v>#REF!</v>
      </c>
      <c r="AG239" t="e">
        <f>IF(#REF!,"AAAAAHv9qyA=",0)</f>
        <v>#REF!</v>
      </c>
      <c r="AH239" t="e">
        <f>IF(#REF!,"AAAAAHv9qyE=",0)</f>
        <v>#REF!</v>
      </c>
      <c r="AI239" t="e">
        <f>IF(#REF!,"AAAAAHv9qyI=",0)</f>
        <v>#REF!</v>
      </c>
      <c r="AJ239" t="e">
        <f>IF(#REF!,"AAAAAHv9qyM=",0)</f>
        <v>#REF!</v>
      </c>
      <c r="AK239" t="e">
        <f>IF(#REF!,"AAAAAHv9qyQ=",0)</f>
        <v>#REF!</v>
      </c>
      <c r="AL239" t="e">
        <f>IF(#REF!,"AAAAAHv9qyU=",0)</f>
        <v>#REF!</v>
      </c>
      <c r="AM239" t="e">
        <f>IF(#REF!,"AAAAAHv9qyY=",0)</f>
        <v>#REF!</v>
      </c>
      <c r="AN239" t="e">
        <f>IF(#REF!,"AAAAAHv9qyc=",0)</f>
        <v>#REF!</v>
      </c>
      <c r="AO239" t="e">
        <f>IF(#REF!,"AAAAAHv9qyg=",0)</f>
        <v>#REF!</v>
      </c>
      <c r="AP239" t="e">
        <f>IF(#REF!,"AAAAAHv9qyk=",0)</f>
        <v>#REF!</v>
      </c>
      <c r="AQ239" t="e">
        <f>IF(#REF!,"AAAAAHv9qyo=",0)</f>
        <v>#REF!</v>
      </c>
      <c r="AR239" t="e">
        <f>IF(#REF!,"AAAAAHv9qys=",0)</f>
        <v>#REF!</v>
      </c>
      <c r="AS239" t="e">
        <f>IF(#REF!,"AAAAAHv9qyw=",0)</f>
        <v>#REF!</v>
      </c>
      <c r="AT239" t="e">
        <f>IF(#REF!,"AAAAAHv9qy0=",0)</f>
        <v>#REF!</v>
      </c>
      <c r="AU239" t="e">
        <f>IF(#REF!,"AAAAAHv9qy4=",0)</f>
        <v>#REF!</v>
      </c>
      <c r="AV239" t="e">
        <f>IF(#REF!,"AAAAAHv9qy8=",0)</f>
        <v>#REF!</v>
      </c>
      <c r="AW239" t="e">
        <f>IF(#REF!,"AAAAAHv9qzA=",0)</f>
        <v>#REF!</v>
      </c>
      <c r="AX239" t="e">
        <f>IF(#REF!,"AAAAAHv9qzE=",0)</f>
        <v>#REF!</v>
      </c>
      <c r="AY239" t="e">
        <f>IF(#REF!,"AAAAAHv9qzI=",0)</f>
        <v>#REF!</v>
      </c>
      <c r="AZ239" t="e">
        <f>IF(#REF!,"AAAAAHv9qzM=",0)</f>
        <v>#REF!</v>
      </c>
      <c r="BA239" t="e">
        <f>IF(#REF!,"AAAAAHv9qzQ=",0)</f>
        <v>#REF!</v>
      </c>
      <c r="BB239" t="e">
        <f>IF(#REF!,"AAAAAHv9qzU=",0)</f>
        <v>#REF!</v>
      </c>
      <c r="BC239" t="e">
        <f>IF(#REF!,"AAAAAHv9qzY=",0)</f>
        <v>#REF!</v>
      </c>
      <c r="BD239" t="e">
        <f>IF(#REF!,"AAAAAHv9qzc=",0)</f>
        <v>#REF!</v>
      </c>
      <c r="BE239" t="e">
        <f>IF(#REF!,"AAAAAHv9qzg=",0)</f>
        <v>#REF!</v>
      </c>
      <c r="BF239" t="e">
        <f>IF(#REF!,"AAAAAHv9qzk=",0)</f>
        <v>#REF!</v>
      </c>
      <c r="BG239" t="e">
        <f>IF(#REF!,"AAAAAHv9qzo=",0)</f>
        <v>#REF!</v>
      </c>
      <c r="BH239" t="e">
        <f>IF(#REF!,"AAAAAHv9qzs=",0)</f>
        <v>#REF!</v>
      </c>
      <c r="BI239" t="e">
        <f>IF(#REF!,"AAAAAHv9qzw=",0)</f>
        <v>#REF!</v>
      </c>
      <c r="BJ239" t="e">
        <f>IF(#REF!,"AAAAAHv9qz0=",0)</f>
        <v>#REF!</v>
      </c>
      <c r="BK239" t="e">
        <f>IF(#REF!,"AAAAAHv9qz4=",0)</f>
        <v>#REF!</v>
      </c>
      <c r="BL239" t="e">
        <f>IF(#REF!,"AAAAAHv9qz8=",0)</f>
        <v>#REF!</v>
      </c>
      <c r="BM239" t="e">
        <f>IF(#REF!,"AAAAAHv9q0A=",0)</f>
        <v>#REF!</v>
      </c>
      <c r="BN239" t="e">
        <f>IF(#REF!,"AAAAAHv9q0E=",0)</f>
        <v>#REF!</v>
      </c>
      <c r="BO239" t="e">
        <f>IF(#REF!,"AAAAAHv9q0I=",0)</f>
        <v>#REF!</v>
      </c>
      <c r="BP239" t="e">
        <f>IF(#REF!,"AAAAAHv9q0M=",0)</f>
        <v>#REF!</v>
      </c>
      <c r="BQ239" t="e">
        <f>IF(#REF!,"AAAAAHv9q0Q=",0)</f>
        <v>#REF!</v>
      </c>
      <c r="BR239" t="e">
        <f>IF(#REF!,"AAAAAHv9q0U=",0)</f>
        <v>#REF!</v>
      </c>
      <c r="BS239" t="e">
        <f>IF(#REF!,"AAAAAHv9q0Y=",0)</f>
        <v>#REF!</v>
      </c>
      <c r="BT239" t="e">
        <f>IF(#REF!,"AAAAAHv9q0c=",0)</f>
        <v>#REF!</v>
      </c>
      <c r="BU239" t="e">
        <f>IF(#REF!,"AAAAAHv9q0g=",0)</f>
        <v>#REF!</v>
      </c>
      <c r="BV239" t="e">
        <f>IF(#REF!,"AAAAAHv9q0k=",0)</f>
        <v>#REF!</v>
      </c>
      <c r="BW239" t="e">
        <f>IF(#REF!,"AAAAAHv9q0o=",0)</f>
        <v>#REF!</v>
      </c>
      <c r="BX239" t="e">
        <f>IF(#REF!,"AAAAAHv9q0s=",0)</f>
        <v>#REF!</v>
      </c>
      <c r="BY239" t="e">
        <f>IF(#REF!,"AAAAAHv9q0w=",0)</f>
        <v>#REF!</v>
      </c>
      <c r="BZ239" t="e">
        <f>IF(#REF!,"AAAAAHv9q00=",0)</f>
        <v>#REF!</v>
      </c>
      <c r="CA239" t="e">
        <f>IF(#REF!,"AAAAAHv9q04=",0)</f>
        <v>#REF!</v>
      </c>
      <c r="CB239" t="e">
        <f>IF(#REF!,"AAAAAHv9q08=",0)</f>
        <v>#REF!</v>
      </c>
      <c r="CC239" t="e">
        <f>IF(#REF!,"AAAAAHv9q1A=",0)</f>
        <v>#REF!</v>
      </c>
      <c r="CD239" t="e">
        <f>IF(#REF!,"AAAAAHv9q1E=",0)</f>
        <v>#REF!</v>
      </c>
      <c r="CE239" t="e">
        <f>IF(#REF!,"AAAAAHv9q1I=",0)</f>
        <v>#REF!</v>
      </c>
      <c r="CF239" t="e">
        <f>IF(#REF!,"AAAAAHv9q1M=",0)</f>
        <v>#REF!</v>
      </c>
      <c r="CG239" t="e">
        <f>IF(#REF!,"AAAAAHv9q1Q=",0)</f>
        <v>#REF!</v>
      </c>
      <c r="CH239" t="e">
        <f>IF(#REF!,"AAAAAHv9q1U=",0)</f>
        <v>#REF!</v>
      </c>
      <c r="CI239" t="e">
        <f>IF(#REF!,"AAAAAHv9q1Y=",0)</f>
        <v>#REF!</v>
      </c>
      <c r="CJ239" t="e">
        <f>IF(#REF!,"AAAAAHv9q1c=",0)</f>
        <v>#REF!</v>
      </c>
      <c r="CK239" t="e">
        <f>IF(#REF!,"AAAAAHv9q1g=",0)</f>
        <v>#REF!</v>
      </c>
      <c r="CL239" t="e">
        <f>IF(#REF!,"AAAAAHv9q1k=",0)</f>
        <v>#REF!</v>
      </c>
      <c r="CM239" t="e">
        <f>IF(#REF!,"AAAAAHv9q1o=",0)</f>
        <v>#REF!</v>
      </c>
      <c r="CN239" t="e">
        <f>IF(#REF!,"AAAAAHv9q1s=",0)</f>
        <v>#REF!</v>
      </c>
      <c r="CO239" t="e">
        <f>IF(#REF!,"AAAAAHv9q1w=",0)</f>
        <v>#REF!</v>
      </c>
      <c r="CP239" t="e">
        <f>IF(#REF!,"AAAAAHv9q10=",0)</f>
        <v>#REF!</v>
      </c>
      <c r="CQ239" t="e">
        <f>IF(#REF!,"AAAAAHv9q14=",0)</f>
        <v>#REF!</v>
      </c>
      <c r="CR239" t="e">
        <f>IF(#REF!,"AAAAAHv9q18=",0)</f>
        <v>#REF!</v>
      </c>
      <c r="CS239" t="e">
        <f>IF(#REF!,"AAAAAHv9q2A=",0)</f>
        <v>#REF!</v>
      </c>
      <c r="CT239" t="e">
        <f>IF(#REF!,"AAAAAHv9q2E=",0)</f>
        <v>#REF!</v>
      </c>
      <c r="CU239" t="e">
        <f>IF(#REF!,"AAAAAHv9q2I=",0)</f>
        <v>#REF!</v>
      </c>
      <c r="CV239" t="e">
        <f>IF(#REF!,"AAAAAHv9q2M=",0)</f>
        <v>#REF!</v>
      </c>
      <c r="CW239" t="e">
        <f>IF(#REF!,"AAAAAHv9q2Q=",0)</f>
        <v>#REF!</v>
      </c>
      <c r="CX239" t="e">
        <f>IF(#REF!,"AAAAAHv9q2U=",0)</f>
        <v>#REF!</v>
      </c>
      <c r="CY239" t="e">
        <f>IF(#REF!,"AAAAAHv9q2Y=",0)</f>
        <v>#REF!</v>
      </c>
      <c r="CZ239" t="e">
        <f>IF(#REF!,"AAAAAHv9q2c=",0)</f>
        <v>#REF!</v>
      </c>
      <c r="DA239" t="e">
        <f>IF(#REF!,"AAAAAHv9q2g=",0)</f>
        <v>#REF!</v>
      </c>
      <c r="DB239" t="e">
        <f>IF(#REF!,"AAAAAHv9q2k=",0)</f>
        <v>#REF!</v>
      </c>
      <c r="DC239" t="e">
        <f>IF(#REF!,"AAAAAHv9q2o=",0)</f>
        <v>#REF!</v>
      </c>
      <c r="DD239" t="e">
        <f>IF(#REF!,"AAAAAHv9q2s=",0)</f>
        <v>#REF!</v>
      </c>
      <c r="DE239" t="e">
        <f>IF(#REF!,"AAAAAHv9q2w=",0)</f>
        <v>#REF!</v>
      </c>
      <c r="DF239" t="e">
        <f>IF(#REF!,"AAAAAHv9q20=",0)</f>
        <v>#REF!</v>
      </c>
      <c r="DG239" t="e">
        <f>IF(#REF!,"AAAAAHv9q24=",0)</f>
        <v>#REF!</v>
      </c>
      <c r="DH239" t="e">
        <f>IF(#REF!,"AAAAAHv9q28=",0)</f>
        <v>#REF!</v>
      </c>
      <c r="DI239" t="e">
        <f>IF(#REF!,"AAAAAHv9q3A=",0)</f>
        <v>#REF!</v>
      </c>
      <c r="DJ239" t="e">
        <f>IF(#REF!,"AAAAAHv9q3E=",0)</f>
        <v>#REF!</v>
      </c>
      <c r="DK239" t="e">
        <f>IF(#REF!,"AAAAAHv9q3I=",0)</f>
        <v>#REF!</v>
      </c>
      <c r="DL239" t="e">
        <f>IF(#REF!,"AAAAAHv9q3M=",0)</f>
        <v>#REF!</v>
      </c>
      <c r="DM239" t="e">
        <f>IF(#REF!,"AAAAAHv9q3Q=",0)</f>
        <v>#REF!</v>
      </c>
      <c r="DN239" t="e">
        <f>IF(#REF!,"AAAAAHv9q3U=",0)</f>
        <v>#REF!</v>
      </c>
      <c r="DO239" t="e">
        <f>IF(#REF!,"AAAAAHv9q3Y=",0)</f>
        <v>#REF!</v>
      </c>
      <c r="DP239" t="e">
        <f>IF(#REF!,"AAAAAHv9q3c=",0)</f>
        <v>#REF!</v>
      </c>
      <c r="DQ239" t="e">
        <f>IF(#REF!,"AAAAAHv9q3g=",0)</f>
        <v>#REF!</v>
      </c>
      <c r="DR239" t="e">
        <f>IF(#REF!,"AAAAAHv9q3k=",0)</f>
        <v>#REF!</v>
      </c>
      <c r="DS239" t="e">
        <f>IF(#REF!,"AAAAAHv9q3o=",0)</f>
        <v>#REF!</v>
      </c>
      <c r="DT239" t="e">
        <f>IF(#REF!,"AAAAAHv9q3s=",0)</f>
        <v>#REF!</v>
      </c>
      <c r="DU239" t="e">
        <f>IF(#REF!,"AAAAAHv9q3w=",0)</f>
        <v>#REF!</v>
      </c>
      <c r="DV239" t="e">
        <f>IF(#REF!,"AAAAAHv9q30=",0)</f>
        <v>#REF!</v>
      </c>
      <c r="DW239" t="e">
        <f>IF(#REF!,"AAAAAHv9q34=",0)</f>
        <v>#REF!</v>
      </c>
      <c r="DX239" t="e">
        <f>IF(#REF!,"AAAAAHv9q38=",0)</f>
        <v>#REF!</v>
      </c>
      <c r="DY239" t="e">
        <f>IF(#REF!,"AAAAAHv9q4A=",0)</f>
        <v>#REF!</v>
      </c>
      <c r="DZ239" t="e">
        <f>IF(#REF!,"AAAAAHv9q4E=",0)</f>
        <v>#REF!</v>
      </c>
      <c r="EA239" t="e">
        <f>IF(#REF!,"AAAAAHv9q4I=",0)</f>
        <v>#REF!</v>
      </c>
      <c r="EB239" t="e">
        <f>IF(#REF!,"AAAAAHv9q4M=",0)</f>
        <v>#REF!</v>
      </c>
      <c r="EC239" t="e">
        <f>IF(#REF!,"AAAAAHv9q4Q=",0)</f>
        <v>#REF!</v>
      </c>
      <c r="ED239" t="e">
        <f>IF(#REF!,"AAAAAHv9q4U=",0)</f>
        <v>#REF!</v>
      </c>
      <c r="EE239" t="e">
        <f>IF(#REF!,"AAAAAHv9q4Y=",0)</f>
        <v>#REF!</v>
      </c>
      <c r="EF239" t="e">
        <f>IF(#REF!,"AAAAAHv9q4c=",0)</f>
        <v>#REF!</v>
      </c>
      <c r="EG239" t="e">
        <f>IF(#REF!,"AAAAAHv9q4g=",0)</f>
        <v>#REF!</v>
      </c>
      <c r="EH239" t="e">
        <f>IF(#REF!,"AAAAAHv9q4k=",0)</f>
        <v>#REF!</v>
      </c>
      <c r="EI239" t="e">
        <f>IF(#REF!,"AAAAAHv9q4o=",0)</f>
        <v>#REF!</v>
      </c>
      <c r="EJ239" t="e">
        <f>IF(#REF!,"AAAAAHv9q4s=",0)</f>
        <v>#REF!</v>
      </c>
      <c r="EK239" t="e">
        <f>IF(#REF!,"AAAAAHv9q4w=",0)</f>
        <v>#REF!</v>
      </c>
      <c r="EL239" t="e">
        <f>IF(#REF!,"AAAAAHv9q40=",0)</f>
        <v>#REF!</v>
      </c>
      <c r="EM239" t="e">
        <f>IF(#REF!,"AAAAAHv9q44=",0)</f>
        <v>#REF!</v>
      </c>
      <c r="EN239" t="e">
        <f>IF(#REF!,"AAAAAHv9q48=",0)</f>
        <v>#REF!</v>
      </c>
      <c r="EO239" t="e">
        <f>IF(#REF!,"AAAAAHv9q5A=",0)</f>
        <v>#REF!</v>
      </c>
      <c r="EP239" t="e">
        <f>IF(#REF!,"AAAAAHv9q5E=",0)</f>
        <v>#REF!</v>
      </c>
      <c r="EQ239" t="e">
        <f>IF(#REF!,"AAAAAHv9q5I=",0)</f>
        <v>#REF!</v>
      </c>
      <c r="ER239" t="e">
        <f>IF(#REF!,"AAAAAHv9q5M=",0)</f>
        <v>#REF!</v>
      </c>
      <c r="ES239" t="e">
        <f>IF(#REF!,"AAAAAHv9q5Q=",0)</f>
        <v>#REF!</v>
      </c>
      <c r="ET239" t="e">
        <f>IF(#REF!,"AAAAAHv9q5U=",0)</f>
        <v>#REF!</v>
      </c>
      <c r="EU239" t="e">
        <f>IF(#REF!,"AAAAAHv9q5Y=",0)</f>
        <v>#REF!</v>
      </c>
      <c r="EV239" t="e">
        <f>IF(#REF!,"AAAAAHv9q5c=",0)</f>
        <v>#REF!</v>
      </c>
      <c r="EW239" t="e">
        <f>IF(#REF!,"AAAAAHv9q5g=",0)</f>
        <v>#REF!</v>
      </c>
      <c r="EX239" t="e">
        <f>IF(#REF!,"AAAAAHv9q5k=",0)</f>
        <v>#REF!</v>
      </c>
      <c r="EY239" t="e">
        <f>IF(#REF!,"AAAAAHv9q5o=",0)</f>
        <v>#REF!</v>
      </c>
      <c r="EZ239" t="e">
        <f>IF(#REF!,"AAAAAHv9q5s=",0)</f>
        <v>#REF!</v>
      </c>
      <c r="FA239" t="e">
        <f>IF(#REF!,"AAAAAHv9q5w=",0)</f>
        <v>#REF!</v>
      </c>
      <c r="FB239" t="e">
        <f>IF(#REF!,"AAAAAHv9q50=",0)</f>
        <v>#REF!</v>
      </c>
      <c r="FC239" t="e">
        <f>IF(#REF!,"AAAAAHv9q54=",0)</f>
        <v>#REF!</v>
      </c>
      <c r="FD239" t="e">
        <f>IF(#REF!,"AAAAAHv9q58=",0)</f>
        <v>#REF!</v>
      </c>
      <c r="FE239" t="e">
        <f>IF(#REF!,"AAAAAHv9q6A=",0)</f>
        <v>#REF!</v>
      </c>
      <c r="FF239" t="e">
        <f>IF(#REF!,"AAAAAHv9q6E=",0)</f>
        <v>#REF!</v>
      </c>
      <c r="FG239" t="e">
        <f>IF(#REF!,"AAAAAHv9q6I=",0)</f>
        <v>#REF!</v>
      </c>
      <c r="FH239" t="e">
        <f>IF(#REF!,"AAAAAHv9q6M=",0)</f>
        <v>#REF!</v>
      </c>
      <c r="FI239" t="e">
        <f>IF(#REF!,"AAAAAHv9q6Q=",0)</f>
        <v>#REF!</v>
      </c>
      <c r="FJ239" t="e">
        <f>IF(#REF!,"AAAAAHv9q6U=",0)</f>
        <v>#REF!</v>
      </c>
      <c r="FK239" t="e">
        <f>IF(#REF!,"AAAAAHv9q6Y=",0)</f>
        <v>#REF!</v>
      </c>
      <c r="FL239" t="e">
        <f>IF(#REF!,"AAAAAHv9q6c=",0)</f>
        <v>#REF!</v>
      </c>
      <c r="FM239" t="e">
        <f>IF(#REF!,"AAAAAHv9q6g=",0)</f>
        <v>#REF!</v>
      </c>
      <c r="FN239" t="e">
        <f>IF(#REF!,"AAAAAHv9q6k=",0)</f>
        <v>#REF!</v>
      </c>
      <c r="FO239" t="e">
        <f>IF(#REF!,"AAAAAHv9q6o=",0)</f>
        <v>#REF!</v>
      </c>
      <c r="FP239" t="e">
        <f>IF(#REF!,"AAAAAHv9q6s=",0)</f>
        <v>#REF!</v>
      </c>
      <c r="FQ239" t="e">
        <f>IF(#REF!,"AAAAAHv9q6w=",0)</f>
        <v>#REF!</v>
      </c>
      <c r="FR239" t="e">
        <f>IF(#REF!,"AAAAAHv9q60=",0)</f>
        <v>#REF!</v>
      </c>
      <c r="FS239" t="e">
        <f>IF(#REF!,"AAAAAHv9q64=",0)</f>
        <v>#REF!</v>
      </c>
      <c r="FT239" t="e">
        <f>IF(#REF!,"AAAAAHv9q68=",0)</f>
        <v>#REF!</v>
      </c>
      <c r="FU239" t="e">
        <f>IF(#REF!,"AAAAAHv9q7A=",0)</f>
        <v>#REF!</v>
      </c>
      <c r="FV239" t="e">
        <f>IF(#REF!,"AAAAAHv9q7E=",0)</f>
        <v>#REF!</v>
      </c>
      <c r="FW239" t="e">
        <f>IF(#REF!,"AAAAAHv9q7I=",0)</f>
        <v>#REF!</v>
      </c>
      <c r="FX239" t="e">
        <f>IF(#REF!,"AAAAAHv9q7M=",0)</f>
        <v>#REF!</v>
      </c>
      <c r="FY239" t="e">
        <f>IF(#REF!,"AAAAAHv9q7Q=",0)</f>
        <v>#REF!</v>
      </c>
      <c r="FZ239" t="e">
        <f>IF(#REF!,"AAAAAHv9q7U=",0)</f>
        <v>#REF!</v>
      </c>
      <c r="GA239" t="e">
        <f>IF(#REF!,"AAAAAHv9q7Y=",0)</f>
        <v>#REF!</v>
      </c>
      <c r="GB239" t="e">
        <f>IF(#REF!,"AAAAAHv9q7c=",0)</f>
        <v>#REF!</v>
      </c>
      <c r="GC239" t="e">
        <f>IF(#REF!,"AAAAAHv9q7g=",0)</f>
        <v>#REF!</v>
      </c>
      <c r="GD239" t="e">
        <f>IF(#REF!,"AAAAAHv9q7k=",0)</f>
        <v>#REF!</v>
      </c>
      <c r="GE239" t="e">
        <f>IF(#REF!,"AAAAAHv9q7o=",0)</f>
        <v>#REF!</v>
      </c>
      <c r="GF239" t="e">
        <f>IF(#REF!,"AAAAAHv9q7s=",0)</f>
        <v>#REF!</v>
      </c>
      <c r="GG239" t="e">
        <f>IF(#REF!,"AAAAAHv9q7w=",0)</f>
        <v>#REF!</v>
      </c>
      <c r="GH239" t="e">
        <f>IF(#REF!,"AAAAAHv9q70=",0)</f>
        <v>#REF!</v>
      </c>
      <c r="GI239" t="e">
        <f>IF(#REF!,"AAAAAHv9q74=",0)</f>
        <v>#REF!</v>
      </c>
      <c r="GJ239" t="e">
        <f>IF(#REF!,"AAAAAHv9q78=",0)</f>
        <v>#REF!</v>
      </c>
      <c r="GK239" t="e">
        <f>IF(#REF!,"AAAAAHv9q8A=",0)</f>
        <v>#REF!</v>
      </c>
      <c r="GL239" t="e">
        <f>IF(#REF!,"AAAAAHv9q8E=",0)</f>
        <v>#REF!</v>
      </c>
      <c r="GM239" t="e">
        <f>IF(#REF!,"AAAAAHv9q8I=",0)</f>
        <v>#REF!</v>
      </c>
      <c r="GN239" t="e">
        <f>IF(#REF!,"AAAAAHv9q8M=",0)</f>
        <v>#REF!</v>
      </c>
      <c r="GO239" t="e">
        <f>IF(#REF!,"AAAAAHv9q8Q=",0)</f>
        <v>#REF!</v>
      </c>
      <c r="GP239" t="e">
        <f>IF(#REF!,"AAAAAHv9q8U=",0)</f>
        <v>#REF!</v>
      </c>
      <c r="GQ239" t="e">
        <f>IF(#REF!,"AAAAAHv9q8Y=",0)</f>
        <v>#REF!</v>
      </c>
      <c r="GR239" t="e">
        <f>IF(#REF!,"AAAAAHv9q8c=",0)</f>
        <v>#REF!</v>
      </c>
      <c r="GS239" t="e">
        <f>IF(#REF!,"AAAAAHv9q8g=",0)</f>
        <v>#REF!</v>
      </c>
      <c r="GT239" t="e">
        <f>IF(#REF!,"AAAAAHv9q8k=",0)</f>
        <v>#REF!</v>
      </c>
      <c r="GU239" t="e">
        <f>IF(#REF!,"AAAAAHv9q8o=",0)</f>
        <v>#REF!</v>
      </c>
      <c r="GV239" t="e">
        <f>IF(#REF!,"AAAAAHv9q8s=",0)</f>
        <v>#REF!</v>
      </c>
      <c r="GW239" t="e">
        <f>IF(#REF!,"AAAAAHv9q8w=",0)</f>
        <v>#REF!</v>
      </c>
      <c r="GX239" t="e">
        <f>IF(#REF!,"AAAAAHv9q80=",0)</f>
        <v>#REF!</v>
      </c>
      <c r="GY239" t="e">
        <f>IF(#REF!,"AAAAAHv9q84=",0)</f>
        <v>#REF!</v>
      </c>
      <c r="GZ239" t="e">
        <f>IF(#REF!,"AAAAAHv9q88=",0)</f>
        <v>#REF!</v>
      </c>
      <c r="HA239" t="e">
        <f>IF(#REF!,"AAAAAHv9q9A=",0)</f>
        <v>#REF!</v>
      </c>
      <c r="HB239" t="e">
        <f>IF(#REF!,"AAAAAHv9q9E=",0)</f>
        <v>#REF!</v>
      </c>
      <c r="HC239" t="e">
        <f>IF(#REF!,"AAAAAHv9q9I=",0)</f>
        <v>#REF!</v>
      </c>
      <c r="HD239" t="e">
        <f>IF(#REF!,"AAAAAHv9q9M=",0)</f>
        <v>#REF!</v>
      </c>
      <c r="HE239" t="e">
        <f>IF(#REF!,"AAAAAHv9q9Q=",0)</f>
        <v>#REF!</v>
      </c>
      <c r="HF239" t="e">
        <f>IF(#REF!,"AAAAAHv9q9U=",0)</f>
        <v>#REF!</v>
      </c>
      <c r="HG239" t="e">
        <f>IF(#REF!,"AAAAAHv9q9Y=",0)</f>
        <v>#REF!</v>
      </c>
      <c r="HH239" t="e">
        <f>IF(#REF!,"AAAAAHv9q9c=",0)</f>
        <v>#REF!</v>
      </c>
      <c r="HI239" t="e">
        <f>IF(#REF!,"AAAAAHv9q9g=",0)</f>
        <v>#REF!</v>
      </c>
      <c r="HJ239" t="e">
        <f>IF(#REF!,"AAAAAHv9q9k=",0)</f>
        <v>#REF!</v>
      </c>
      <c r="HK239" t="e">
        <f>IF(#REF!,"AAAAAHv9q9o=",0)</f>
        <v>#REF!</v>
      </c>
      <c r="HL239" t="e">
        <f>IF(#REF!,"AAAAAHv9q9s=",0)</f>
        <v>#REF!</v>
      </c>
      <c r="HM239" t="e">
        <f>IF(#REF!,"AAAAAHv9q9w=",0)</f>
        <v>#REF!</v>
      </c>
      <c r="HN239" t="e">
        <f>IF(#REF!,"AAAAAHv9q90=",0)</f>
        <v>#REF!</v>
      </c>
      <c r="HO239" t="e">
        <f>IF(#REF!,"AAAAAHv9q94=",0)</f>
        <v>#REF!</v>
      </c>
      <c r="HP239" t="e">
        <f>IF(#REF!,"AAAAAHv9q98=",0)</f>
        <v>#REF!</v>
      </c>
      <c r="HQ239" t="e">
        <f>IF(#REF!,"AAAAAHv9q+A=",0)</f>
        <v>#REF!</v>
      </c>
      <c r="HR239" t="e">
        <f>IF(#REF!,"AAAAAHv9q+E=",0)</f>
        <v>#REF!</v>
      </c>
      <c r="HS239" t="e">
        <f>IF(#REF!,"AAAAAHv9q+I=",0)</f>
        <v>#REF!</v>
      </c>
      <c r="HT239" t="e">
        <f>IF(#REF!,"AAAAAHv9q+M=",0)</f>
        <v>#REF!</v>
      </c>
      <c r="HU239" t="e">
        <f>IF(#REF!,"AAAAAHv9q+Q=",0)</f>
        <v>#REF!</v>
      </c>
      <c r="HV239" t="e">
        <f>IF(#REF!,"AAAAAHv9q+U=",0)</f>
        <v>#REF!</v>
      </c>
      <c r="HW239" t="e">
        <f>IF(#REF!,"AAAAAHv9q+Y=",0)</f>
        <v>#REF!</v>
      </c>
      <c r="HX239" t="e">
        <f>IF(#REF!,"AAAAAHv9q+c=",0)</f>
        <v>#REF!</v>
      </c>
      <c r="HY239" t="e">
        <f>IF(#REF!,"AAAAAHv9q+g=",0)</f>
        <v>#REF!</v>
      </c>
      <c r="HZ239" t="e">
        <f>IF(#REF!,"AAAAAHv9q+k=",0)</f>
        <v>#REF!</v>
      </c>
      <c r="IA239" t="e">
        <f>IF(#REF!,"AAAAAHv9q+o=",0)</f>
        <v>#REF!</v>
      </c>
      <c r="IB239" t="e">
        <f>IF(#REF!,"AAAAAHv9q+s=",0)</f>
        <v>#REF!</v>
      </c>
      <c r="IC239" t="e">
        <f>IF(#REF!,"AAAAAHv9q+w=",0)</f>
        <v>#REF!</v>
      </c>
      <c r="ID239" t="e">
        <f>IF(#REF!,"AAAAAHv9q+0=",0)</f>
        <v>#REF!</v>
      </c>
      <c r="IE239" t="e">
        <f>IF(#REF!,"AAAAAHv9q+4=",0)</f>
        <v>#REF!</v>
      </c>
      <c r="IF239" t="e">
        <f>IF(#REF!,"AAAAAHv9q+8=",0)</f>
        <v>#REF!</v>
      </c>
      <c r="IG239" t="e">
        <f>IF(#REF!,"AAAAAHv9q/A=",0)</f>
        <v>#REF!</v>
      </c>
      <c r="IH239" t="e">
        <f>IF(#REF!,"AAAAAHv9q/E=",0)</f>
        <v>#REF!</v>
      </c>
      <c r="II239" t="e">
        <f>IF(#REF!,"AAAAAHv9q/I=",0)</f>
        <v>#REF!</v>
      </c>
      <c r="IJ239" t="e">
        <f>IF(#REF!,"AAAAAHv9q/M=",0)</f>
        <v>#REF!</v>
      </c>
      <c r="IK239" t="e">
        <f>IF(#REF!,"AAAAAHv9q/Q=",0)</f>
        <v>#REF!</v>
      </c>
      <c r="IL239" t="e">
        <f>IF(#REF!,"AAAAAHv9q/U=",0)</f>
        <v>#REF!</v>
      </c>
      <c r="IM239" t="e">
        <f>IF(#REF!,"AAAAAHv9q/Y=",0)</f>
        <v>#REF!</v>
      </c>
      <c r="IN239" t="e">
        <f>IF(#REF!,"AAAAAHv9q/c=",0)</f>
        <v>#REF!</v>
      </c>
      <c r="IO239" t="e">
        <f>IF(#REF!,"AAAAAHv9q/g=",0)</f>
        <v>#REF!</v>
      </c>
      <c r="IP239" t="e">
        <f>IF(#REF!,"AAAAAHv9q/k=",0)</f>
        <v>#REF!</v>
      </c>
      <c r="IQ239" t="e">
        <f>IF(#REF!,"AAAAAHv9q/o=",0)</f>
        <v>#REF!</v>
      </c>
      <c r="IR239" t="e">
        <f>IF(#REF!,"AAAAAHv9q/s=",0)</f>
        <v>#REF!</v>
      </c>
      <c r="IS239" t="e">
        <f>IF(#REF!,"AAAAAHv9q/w=",0)</f>
        <v>#REF!</v>
      </c>
      <c r="IT239" t="e">
        <f>IF(#REF!,"AAAAAHv9q/0=",0)</f>
        <v>#REF!</v>
      </c>
      <c r="IU239" t="e">
        <f>IF(#REF!,"AAAAAHv9q/4=",0)</f>
        <v>#REF!</v>
      </c>
      <c r="IV239" t="e">
        <f>IF(#REF!,"AAAAAHv9q/8=",0)</f>
        <v>#REF!</v>
      </c>
    </row>
    <row r="240" spans="1:256">
      <c r="A240" t="e">
        <f>IF(#REF!,"AAAAAE1/+wA=",0)</f>
        <v>#REF!</v>
      </c>
      <c r="B240" t="e">
        <f>IF(#REF!,"AAAAAE1/+wE=",0)</f>
        <v>#REF!</v>
      </c>
      <c r="C240" t="e">
        <f>IF(#REF!,"AAAAAE1/+wI=",0)</f>
        <v>#REF!</v>
      </c>
      <c r="D240" t="e">
        <f>IF(#REF!,"AAAAAE1/+wM=",0)</f>
        <v>#REF!</v>
      </c>
      <c r="E240" t="e">
        <f>IF(#REF!,"AAAAAE1/+wQ=",0)</f>
        <v>#REF!</v>
      </c>
      <c r="F240" t="e">
        <f>IF(#REF!,"AAAAAE1/+wU=",0)</f>
        <v>#REF!</v>
      </c>
      <c r="G240" t="e">
        <f>IF(#REF!,"AAAAAE1/+wY=",0)</f>
        <v>#REF!</v>
      </c>
      <c r="H240" t="e">
        <f>IF(#REF!,"AAAAAE1/+wc=",0)</f>
        <v>#REF!</v>
      </c>
      <c r="I240" t="e">
        <f>IF(#REF!,"AAAAAE1/+wg=",0)</f>
        <v>#REF!</v>
      </c>
      <c r="J240" t="e">
        <f>IF(#REF!,"AAAAAE1/+wk=",0)</f>
        <v>#REF!</v>
      </c>
      <c r="K240" t="e">
        <f>IF(#REF!,"AAAAAE1/+wo=",0)</f>
        <v>#REF!</v>
      </c>
      <c r="L240" t="e">
        <f>IF(#REF!,"AAAAAE1/+ws=",0)</f>
        <v>#REF!</v>
      </c>
      <c r="M240" t="e">
        <f>IF(#REF!,"AAAAAE1/+ww=",0)</f>
        <v>#REF!</v>
      </c>
      <c r="N240" t="e">
        <f>IF(#REF!,"AAAAAE1/+w0=",0)</f>
        <v>#REF!</v>
      </c>
      <c r="O240" t="e">
        <f>IF(#REF!,"AAAAAE1/+w4=",0)</f>
        <v>#REF!</v>
      </c>
      <c r="P240" t="e">
        <f>IF(#REF!,"AAAAAE1/+w8=",0)</f>
        <v>#REF!</v>
      </c>
      <c r="Q240" t="e">
        <f>IF(#REF!,"AAAAAE1/+xA=",0)</f>
        <v>#REF!</v>
      </c>
      <c r="R240" t="e">
        <f>IF(#REF!,"AAAAAE1/+xE=",0)</f>
        <v>#REF!</v>
      </c>
      <c r="S240" t="e">
        <f>IF(#REF!,"AAAAAE1/+xI=",0)</f>
        <v>#REF!</v>
      </c>
      <c r="T240" t="e">
        <f>IF(#REF!,"AAAAAE1/+xM=",0)</f>
        <v>#REF!</v>
      </c>
      <c r="U240" t="e">
        <f>IF(#REF!,"AAAAAE1/+xQ=",0)</f>
        <v>#REF!</v>
      </c>
      <c r="V240" t="e">
        <f>IF(#REF!,"AAAAAE1/+xU=",0)</f>
        <v>#REF!</v>
      </c>
      <c r="W240" t="e">
        <f>IF(#REF!,"AAAAAE1/+xY=",0)</f>
        <v>#REF!</v>
      </c>
      <c r="X240" t="e">
        <f>IF(#REF!,"AAAAAE1/+xc=",0)</f>
        <v>#REF!</v>
      </c>
      <c r="Y240" t="e">
        <f>IF(#REF!,"AAAAAE1/+xg=",0)</f>
        <v>#REF!</v>
      </c>
      <c r="Z240" t="e">
        <f>IF(#REF!,"AAAAAE1/+xk=",0)</f>
        <v>#REF!</v>
      </c>
      <c r="AA240" t="e">
        <f>IF(#REF!,"AAAAAE1/+xo=",0)</f>
        <v>#REF!</v>
      </c>
      <c r="AB240" t="e">
        <f>IF(#REF!,"AAAAAE1/+xs=",0)</f>
        <v>#REF!</v>
      </c>
      <c r="AC240" t="e">
        <f>IF(#REF!,"AAAAAE1/+xw=",0)</f>
        <v>#REF!</v>
      </c>
      <c r="AD240" t="e">
        <f>IF(#REF!,"AAAAAE1/+x0=",0)</f>
        <v>#REF!</v>
      </c>
      <c r="AE240" t="e">
        <f>IF(#REF!,"AAAAAE1/+x4=",0)</f>
        <v>#REF!</v>
      </c>
      <c r="AF240" t="e">
        <f>IF(#REF!,"AAAAAE1/+x8=",0)</f>
        <v>#REF!</v>
      </c>
      <c r="AG240" t="e">
        <f>IF(#REF!,"AAAAAE1/+yA=",0)</f>
        <v>#REF!</v>
      </c>
      <c r="AH240" t="e">
        <f>IF(#REF!,"AAAAAE1/+yE=",0)</f>
        <v>#REF!</v>
      </c>
      <c r="AI240" t="e">
        <f>IF(#REF!,"AAAAAE1/+yI=",0)</f>
        <v>#REF!</v>
      </c>
      <c r="AJ240" t="e">
        <f>IF(#REF!,"AAAAAE1/+yM=",0)</f>
        <v>#REF!</v>
      </c>
      <c r="AK240" t="e">
        <f>IF(#REF!,"AAAAAE1/+yQ=",0)</f>
        <v>#REF!</v>
      </c>
      <c r="AL240" t="e">
        <f>IF(#REF!,"AAAAAE1/+yU=",0)</f>
        <v>#REF!</v>
      </c>
      <c r="AM240" t="e">
        <f>IF(#REF!,"AAAAAE1/+yY=",0)</f>
        <v>#REF!</v>
      </c>
      <c r="AN240" t="e">
        <f>IF(#REF!,"AAAAAE1/+yc=",0)</f>
        <v>#REF!</v>
      </c>
      <c r="AO240" t="e">
        <f>IF(#REF!,"AAAAAE1/+yg=",0)</f>
        <v>#REF!</v>
      </c>
      <c r="AP240" t="e">
        <f>IF(#REF!,"AAAAAE1/+yk=",0)</f>
        <v>#REF!</v>
      </c>
      <c r="AQ240" t="e">
        <f>IF(#REF!,"AAAAAE1/+yo=",0)</f>
        <v>#REF!</v>
      </c>
      <c r="AR240" t="e">
        <f>IF(#REF!,"AAAAAE1/+ys=",0)</f>
        <v>#REF!</v>
      </c>
      <c r="AS240" t="e">
        <f>IF(#REF!,"AAAAAE1/+yw=",0)</f>
        <v>#REF!</v>
      </c>
      <c r="AT240" t="e">
        <f>IF(#REF!,"AAAAAE1/+y0=",0)</f>
        <v>#REF!</v>
      </c>
      <c r="AU240" t="e">
        <f>IF(#REF!,"AAAAAE1/+y4=",0)</f>
        <v>#REF!</v>
      </c>
      <c r="AV240" t="e">
        <f>IF(#REF!,"AAAAAE1/+y8=",0)</f>
        <v>#REF!</v>
      </c>
      <c r="AW240" t="e">
        <f>IF(#REF!,"AAAAAE1/+zA=",0)</f>
        <v>#REF!</v>
      </c>
      <c r="AX240" t="e">
        <f>IF(#REF!,"AAAAAE1/+zE=",0)</f>
        <v>#REF!</v>
      </c>
      <c r="AY240" t="e">
        <f>IF(#REF!,"AAAAAE1/+zI=",0)</f>
        <v>#REF!</v>
      </c>
      <c r="AZ240" t="e">
        <f>IF(#REF!,"AAAAAE1/+zM=",0)</f>
        <v>#REF!</v>
      </c>
      <c r="BA240" t="e">
        <f>IF(#REF!,"AAAAAE1/+zQ=",0)</f>
        <v>#REF!</v>
      </c>
      <c r="BB240" t="e">
        <f>IF(#REF!,"AAAAAE1/+zU=",0)</f>
        <v>#REF!</v>
      </c>
      <c r="BC240" t="e">
        <f>IF(#REF!,"AAAAAE1/+zY=",0)</f>
        <v>#REF!</v>
      </c>
      <c r="BD240" t="e">
        <f>IF(#REF!,"AAAAAE1/+zc=",0)</f>
        <v>#REF!</v>
      </c>
      <c r="BE240" t="e">
        <f>IF(#REF!,"AAAAAE1/+zg=",0)</f>
        <v>#REF!</v>
      </c>
      <c r="BF240" t="e">
        <f>IF(#REF!,"AAAAAE1/+zk=",0)</f>
        <v>#REF!</v>
      </c>
      <c r="BG240" t="e">
        <f>IF(#REF!,"AAAAAE1/+zo=",0)</f>
        <v>#REF!</v>
      </c>
      <c r="BH240" t="e">
        <f>IF(#REF!,"AAAAAE1/+zs=",0)</f>
        <v>#REF!</v>
      </c>
      <c r="BI240" t="e">
        <f>IF(#REF!,"AAAAAE1/+zw=",0)</f>
        <v>#REF!</v>
      </c>
      <c r="BJ240" t="e">
        <f>IF(#REF!,"AAAAAE1/+z0=",0)</f>
        <v>#REF!</v>
      </c>
      <c r="BK240" t="e">
        <f>IF(#REF!,"AAAAAE1/+z4=",0)</f>
        <v>#REF!</v>
      </c>
      <c r="BL240" t="e">
        <f>IF(#REF!,"AAAAAE1/+z8=",0)</f>
        <v>#REF!</v>
      </c>
      <c r="BM240" t="e">
        <f>IF(#REF!,"AAAAAE1/+0A=",0)</f>
        <v>#REF!</v>
      </c>
      <c r="BN240" t="e">
        <f>IF(#REF!,"AAAAAE1/+0E=",0)</f>
        <v>#REF!</v>
      </c>
      <c r="BO240" t="e">
        <f>IF(#REF!,"AAAAAE1/+0I=",0)</f>
        <v>#REF!</v>
      </c>
      <c r="BP240" t="e">
        <f>IF(#REF!,"AAAAAE1/+0M=",0)</f>
        <v>#REF!</v>
      </c>
      <c r="BQ240" t="e">
        <f>IF(#REF!,"AAAAAE1/+0Q=",0)</f>
        <v>#REF!</v>
      </c>
      <c r="BR240" t="e">
        <f>IF(#REF!,"AAAAAE1/+0U=",0)</f>
        <v>#REF!</v>
      </c>
      <c r="BS240" t="e">
        <f>IF(#REF!,"AAAAAE1/+0Y=",0)</f>
        <v>#REF!</v>
      </c>
      <c r="BT240" t="e">
        <f>IF(#REF!,"AAAAAE1/+0c=",0)</f>
        <v>#REF!</v>
      </c>
      <c r="BU240" t="e">
        <f>IF(#REF!,"AAAAAE1/+0g=",0)</f>
        <v>#REF!</v>
      </c>
      <c r="BV240" t="e">
        <f>IF(#REF!,"AAAAAE1/+0k=",0)</f>
        <v>#REF!</v>
      </c>
      <c r="BW240" t="e">
        <f>IF(#REF!,"AAAAAE1/+0o=",0)</f>
        <v>#REF!</v>
      </c>
      <c r="BX240" t="e">
        <f>IF(#REF!,"AAAAAE1/+0s=",0)</f>
        <v>#REF!</v>
      </c>
      <c r="BY240" t="e">
        <f>IF(#REF!,"AAAAAE1/+0w=",0)</f>
        <v>#REF!</v>
      </c>
      <c r="BZ240" t="e">
        <f>IF(#REF!,"AAAAAE1/+00=",0)</f>
        <v>#REF!</v>
      </c>
      <c r="CA240" t="e">
        <f>IF(#REF!,"AAAAAE1/+04=",0)</f>
        <v>#REF!</v>
      </c>
      <c r="CB240" t="e">
        <f>IF(#REF!,"AAAAAE1/+08=",0)</f>
        <v>#REF!</v>
      </c>
      <c r="CC240" t="e">
        <f>IF(#REF!,"AAAAAE1/+1A=",0)</f>
        <v>#REF!</v>
      </c>
      <c r="CD240" t="e">
        <f>IF(#REF!,"AAAAAE1/+1E=",0)</f>
        <v>#REF!</v>
      </c>
      <c r="CE240" t="e">
        <f>IF(#REF!,"AAAAAE1/+1I=",0)</f>
        <v>#REF!</v>
      </c>
      <c r="CF240" t="e">
        <f>IF(#REF!,"AAAAAE1/+1M=",0)</f>
        <v>#REF!</v>
      </c>
      <c r="CG240" t="e">
        <f>IF(#REF!,"AAAAAE1/+1Q=",0)</f>
        <v>#REF!</v>
      </c>
      <c r="CH240" t="e">
        <f>IF(#REF!,"AAAAAE1/+1U=",0)</f>
        <v>#REF!</v>
      </c>
      <c r="CI240" t="e">
        <f>IF(#REF!,"AAAAAE1/+1Y=",0)</f>
        <v>#REF!</v>
      </c>
      <c r="CJ240" t="e">
        <f>IF(#REF!,"AAAAAE1/+1c=",0)</f>
        <v>#REF!</v>
      </c>
      <c r="CK240" t="e">
        <f>IF(#REF!,"AAAAAE1/+1g=",0)</f>
        <v>#REF!</v>
      </c>
      <c r="CL240" t="e">
        <f>IF(#REF!,"AAAAAE1/+1k=",0)</f>
        <v>#REF!</v>
      </c>
      <c r="CM240" t="e">
        <f>IF(#REF!,"AAAAAE1/+1o=",0)</f>
        <v>#REF!</v>
      </c>
      <c r="CN240" t="e">
        <f>IF(#REF!,"AAAAAE1/+1s=",0)</f>
        <v>#REF!</v>
      </c>
      <c r="CO240" t="e">
        <f>IF(#REF!,"AAAAAE1/+1w=",0)</f>
        <v>#REF!</v>
      </c>
      <c r="CP240" t="e">
        <f>IF(#REF!,"AAAAAE1/+10=",0)</f>
        <v>#REF!</v>
      </c>
      <c r="CQ240" t="e">
        <f>IF(#REF!,"AAAAAE1/+14=",0)</f>
        <v>#REF!</v>
      </c>
      <c r="CR240" t="e">
        <f>IF(#REF!,"AAAAAE1/+18=",0)</f>
        <v>#REF!</v>
      </c>
      <c r="CS240" t="e">
        <f>IF(#REF!,"AAAAAE1/+2A=",0)</f>
        <v>#REF!</v>
      </c>
      <c r="CT240" t="e">
        <f>IF(#REF!,"AAAAAE1/+2E=",0)</f>
        <v>#REF!</v>
      </c>
      <c r="CU240" t="e">
        <f>IF(#REF!,"AAAAAE1/+2I=",0)</f>
        <v>#REF!</v>
      </c>
      <c r="CV240" t="e">
        <f>IF(#REF!,"AAAAAE1/+2M=",0)</f>
        <v>#REF!</v>
      </c>
      <c r="CW240" t="e">
        <f>IF(#REF!,"AAAAAE1/+2Q=",0)</f>
        <v>#REF!</v>
      </c>
      <c r="CX240" t="e">
        <f>IF(#REF!,"AAAAAE1/+2U=",0)</f>
        <v>#REF!</v>
      </c>
      <c r="CY240" t="e">
        <f>IF(#REF!,"AAAAAE1/+2Y=",0)</f>
        <v>#REF!</v>
      </c>
      <c r="CZ240" t="e">
        <f>IF(#REF!,"AAAAAE1/+2c=",0)</f>
        <v>#REF!</v>
      </c>
      <c r="DA240" t="e">
        <f>IF(#REF!,"AAAAAE1/+2g=",0)</f>
        <v>#REF!</v>
      </c>
      <c r="DB240" t="e">
        <f>IF(#REF!,"AAAAAE1/+2k=",0)</f>
        <v>#REF!</v>
      </c>
      <c r="DC240" t="e">
        <f>IF(#REF!,"AAAAAE1/+2o=",0)</f>
        <v>#REF!</v>
      </c>
      <c r="DD240" t="e">
        <f>IF(#REF!,"AAAAAE1/+2s=",0)</f>
        <v>#REF!</v>
      </c>
      <c r="DE240" t="e">
        <f>IF(#REF!,"AAAAAE1/+2w=",0)</f>
        <v>#REF!</v>
      </c>
      <c r="DF240" t="e">
        <f>IF(#REF!,"AAAAAE1/+20=",0)</f>
        <v>#REF!</v>
      </c>
      <c r="DG240" t="e">
        <f>IF(#REF!,"AAAAAE1/+24=",0)</f>
        <v>#REF!</v>
      </c>
      <c r="DH240" t="e">
        <f>IF(#REF!,"AAAAAE1/+28=",0)</f>
        <v>#REF!</v>
      </c>
      <c r="DI240" t="e">
        <f>IF(#REF!,"AAAAAE1/+3A=",0)</f>
        <v>#REF!</v>
      </c>
      <c r="DJ240" t="e">
        <f>IF(#REF!,"AAAAAE1/+3E=",0)</f>
        <v>#REF!</v>
      </c>
      <c r="DK240" t="e">
        <f>IF(#REF!,"AAAAAE1/+3I=",0)</f>
        <v>#REF!</v>
      </c>
      <c r="DL240" t="e">
        <f>IF(#REF!,"AAAAAE1/+3M=",0)</f>
        <v>#REF!</v>
      </c>
      <c r="DM240" t="e">
        <f>IF(#REF!,"AAAAAE1/+3Q=",0)</f>
        <v>#REF!</v>
      </c>
      <c r="DN240" t="e">
        <f>IF(#REF!,"AAAAAE1/+3U=",0)</f>
        <v>#REF!</v>
      </c>
      <c r="DO240" t="e">
        <f>IF(#REF!,"AAAAAE1/+3Y=",0)</f>
        <v>#REF!</v>
      </c>
      <c r="DP240" t="e">
        <f>IF(#REF!,"AAAAAE1/+3c=",0)</f>
        <v>#REF!</v>
      </c>
      <c r="DQ240" t="e">
        <f>IF(#REF!,"AAAAAE1/+3g=",0)</f>
        <v>#REF!</v>
      </c>
      <c r="DR240" t="e">
        <f>IF(#REF!,"AAAAAE1/+3k=",0)</f>
        <v>#REF!</v>
      </c>
      <c r="DS240" t="e">
        <f>IF(#REF!,"AAAAAE1/+3o=",0)</f>
        <v>#REF!</v>
      </c>
      <c r="DT240" t="e">
        <f>IF(#REF!,"AAAAAE1/+3s=",0)</f>
        <v>#REF!</v>
      </c>
      <c r="DU240" t="e">
        <f>IF(#REF!,"AAAAAE1/+3w=",0)</f>
        <v>#REF!</v>
      </c>
      <c r="DV240" t="e">
        <f>IF(#REF!,"AAAAAE1/+30=",0)</f>
        <v>#REF!</v>
      </c>
      <c r="DW240" t="e">
        <f>IF(#REF!,"AAAAAE1/+34=",0)</f>
        <v>#REF!</v>
      </c>
      <c r="DX240" t="e">
        <f>IF(#REF!,"AAAAAE1/+38=",0)</f>
        <v>#REF!</v>
      </c>
      <c r="DY240" t="e">
        <f>IF(#REF!,"AAAAAE1/+4A=",0)</f>
        <v>#REF!</v>
      </c>
      <c r="DZ240" t="e">
        <f>IF(#REF!,"AAAAAE1/+4E=",0)</f>
        <v>#REF!</v>
      </c>
      <c r="EA240" t="e">
        <f>IF(#REF!,"AAAAAE1/+4I=",0)</f>
        <v>#REF!</v>
      </c>
      <c r="EB240" t="e">
        <f>IF(#REF!,"AAAAAE1/+4M=",0)</f>
        <v>#REF!</v>
      </c>
      <c r="EC240" t="e">
        <f>IF(#REF!,"AAAAAE1/+4Q=",0)</f>
        <v>#REF!</v>
      </c>
      <c r="ED240" t="e">
        <f>IF(#REF!,"AAAAAE1/+4U=",0)</f>
        <v>#REF!</v>
      </c>
      <c r="EE240" t="e">
        <f>IF(#REF!,"AAAAAE1/+4Y=",0)</f>
        <v>#REF!</v>
      </c>
      <c r="EF240" t="e">
        <f>IF(#REF!,"AAAAAE1/+4c=",0)</f>
        <v>#REF!</v>
      </c>
      <c r="EG240" t="e">
        <f>IF(#REF!,"AAAAAE1/+4g=",0)</f>
        <v>#REF!</v>
      </c>
      <c r="EH240" t="e">
        <f>IF(#REF!,"AAAAAE1/+4k=",0)</f>
        <v>#REF!</v>
      </c>
      <c r="EI240" t="e">
        <f>IF(#REF!,"AAAAAE1/+4o=",0)</f>
        <v>#REF!</v>
      </c>
      <c r="EJ240" t="e">
        <f>IF(#REF!,"AAAAAE1/+4s=",0)</f>
        <v>#REF!</v>
      </c>
      <c r="EK240" t="e">
        <f>IF(#REF!,"AAAAAE1/+4w=",0)</f>
        <v>#REF!</v>
      </c>
      <c r="EL240" t="e">
        <f>IF(#REF!,"AAAAAE1/+40=",0)</f>
        <v>#REF!</v>
      </c>
      <c r="EM240" t="e">
        <f>IF(#REF!,"AAAAAE1/+44=",0)</f>
        <v>#REF!</v>
      </c>
      <c r="EN240" t="e">
        <f>IF(#REF!,"AAAAAE1/+48=",0)</f>
        <v>#REF!</v>
      </c>
      <c r="EO240" t="e">
        <f>IF(#REF!,"AAAAAE1/+5A=",0)</f>
        <v>#REF!</v>
      </c>
      <c r="EP240" t="e">
        <f>IF(#REF!,"AAAAAE1/+5E=",0)</f>
        <v>#REF!</v>
      </c>
      <c r="EQ240" t="e">
        <f>IF(#REF!,"AAAAAE1/+5I=",0)</f>
        <v>#REF!</v>
      </c>
      <c r="ER240" t="e">
        <f>IF(#REF!,"AAAAAE1/+5M=",0)</f>
        <v>#REF!</v>
      </c>
      <c r="ES240" t="e">
        <f>IF(#REF!,"AAAAAE1/+5Q=",0)</f>
        <v>#REF!</v>
      </c>
      <c r="ET240" t="e">
        <f>IF(#REF!,"AAAAAE1/+5U=",0)</f>
        <v>#REF!</v>
      </c>
      <c r="EU240" t="e">
        <f>IF(#REF!,"AAAAAE1/+5Y=",0)</f>
        <v>#REF!</v>
      </c>
      <c r="EV240" t="e">
        <f>IF(#REF!,"AAAAAE1/+5c=",0)</f>
        <v>#REF!</v>
      </c>
      <c r="EW240" t="e">
        <f>IF(#REF!,"AAAAAE1/+5g=",0)</f>
        <v>#REF!</v>
      </c>
      <c r="EX240" t="e">
        <f>IF(#REF!,"AAAAAE1/+5k=",0)</f>
        <v>#REF!</v>
      </c>
      <c r="EY240" t="e">
        <f>IF(#REF!,"AAAAAE1/+5o=",0)</f>
        <v>#REF!</v>
      </c>
      <c r="EZ240" t="e">
        <f>IF(#REF!,"AAAAAE1/+5s=",0)</f>
        <v>#REF!</v>
      </c>
      <c r="FA240" t="e">
        <f>IF(#REF!,"AAAAAE1/+5w=",0)</f>
        <v>#REF!</v>
      </c>
      <c r="FB240" t="e">
        <f>IF(#REF!,"AAAAAE1/+50=",0)</f>
        <v>#REF!</v>
      </c>
      <c r="FC240" t="e">
        <f>IF(#REF!,"AAAAAE1/+54=",0)</f>
        <v>#REF!</v>
      </c>
      <c r="FD240" t="e">
        <f>IF(#REF!,"AAAAAE1/+58=",0)</f>
        <v>#REF!</v>
      </c>
      <c r="FE240" t="e">
        <f>IF(#REF!,"AAAAAE1/+6A=",0)</f>
        <v>#REF!</v>
      </c>
      <c r="FF240" t="e">
        <f>IF(#REF!,"AAAAAE1/+6E=",0)</f>
        <v>#REF!</v>
      </c>
      <c r="FG240" t="e">
        <f>IF(#REF!,"AAAAAE1/+6I=",0)</f>
        <v>#REF!</v>
      </c>
      <c r="FH240" t="e">
        <f>IF(#REF!,"AAAAAE1/+6M=",0)</f>
        <v>#REF!</v>
      </c>
      <c r="FI240" t="e">
        <f>IF(#REF!,"AAAAAE1/+6Q=",0)</f>
        <v>#REF!</v>
      </c>
      <c r="FJ240" t="e">
        <f>IF(#REF!,"AAAAAE1/+6U=",0)</f>
        <v>#REF!</v>
      </c>
      <c r="FK240" t="e">
        <f>IF(#REF!,"AAAAAE1/+6Y=",0)</f>
        <v>#REF!</v>
      </c>
      <c r="FL240" t="e">
        <f>IF(#REF!,"AAAAAE1/+6c=",0)</f>
        <v>#REF!</v>
      </c>
      <c r="FM240" t="e">
        <f>IF(#REF!,"AAAAAE1/+6g=",0)</f>
        <v>#REF!</v>
      </c>
      <c r="FN240" t="e">
        <f>IF(#REF!,"AAAAAE1/+6k=",0)</f>
        <v>#REF!</v>
      </c>
      <c r="FO240" t="e">
        <f>IF(#REF!,"AAAAAE1/+6o=",0)</f>
        <v>#REF!</v>
      </c>
      <c r="FP240" t="e">
        <f>IF(#REF!,"AAAAAE1/+6s=",0)</f>
        <v>#REF!</v>
      </c>
      <c r="FQ240" t="e">
        <f>IF(#REF!,"AAAAAE1/+6w=",0)</f>
        <v>#REF!</v>
      </c>
      <c r="FR240" t="e">
        <f>IF(#REF!,"AAAAAE1/+60=",0)</f>
        <v>#REF!</v>
      </c>
      <c r="FS240" t="e">
        <f>IF(#REF!,"AAAAAE1/+64=",0)</f>
        <v>#REF!</v>
      </c>
      <c r="FT240" t="e">
        <f>IF(#REF!,"AAAAAE1/+68=",0)</f>
        <v>#REF!</v>
      </c>
      <c r="FU240" t="e">
        <f>IF(#REF!,"AAAAAE1/+7A=",0)</f>
        <v>#REF!</v>
      </c>
      <c r="FV240" t="e">
        <f>IF(#REF!,"AAAAAE1/+7E=",0)</f>
        <v>#REF!</v>
      </c>
      <c r="FW240" t="e">
        <f>IF(#REF!,"AAAAAE1/+7I=",0)</f>
        <v>#REF!</v>
      </c>
      <c r="FX240" t="e">
        <f>IF(#REF!,"AAAAAE1/+7M=",0)</f>
        <v>#REF!</v>
      </c>
      <c r="FY240" t="e">
        <f>IF(#REF!,"AAAAAE1/+7Q=",0)</f>
        <v>#REF!</v>
      </c>
      <c r="FZ240" t="e">
        <f>IF(#REF!,"AAAAAE1/+7U=",0)</f>
        <v>#REF!</v>
      </c>
      <c r="GA240" t="e">
        <f>IF(#REF!,"AAAAAE1/+7Y=",0)</f>
        <v>#REF!</v>
      </c>
      <c r="GB240" t="e">
        <f>IF(#REF!,"AAAAAE1/+7c=",0)</f>
        <v>#REF!</v>
      </c>
      <c r="GC240" t="e">
        <f>IF(#REF!,"AAAAAE1/+7g=",0)</f>
        <v>#REF!</v>
      </c>
      <c r="GD240" t="e">
        <f>IF(#REF!,"AAAAAE1/+7k=",0)</f>
        <v>#REF!</v>
      </c>
      <c r="GE240" t="e">
        <f>IF(#REF!,"AAAAAE1/+7o=",0)</f>
        <v>#REF!</v>
      </c>
      <c r="GF240" t="e">
        <f>IF(#REF!,"AAAAAE1/+7s=",0)</f>
        <v>#REF!</v>
      </c>
      <c r="GG240" t="e">
        <f>IF(#REF!,"AAAAAE1/+7w=",0)</f>
        <v>#REF!</v>
      </c>
      <c r="GH240" t="e">
        <f>IF(#REF!,"AAAAAE1/+70=",0)</f>
        <v>#REF!</v>
      </c>
      <c r="GI240" t="e">
        <f>IF(#REF!,"AAAAAE1/+74=",0)</f>
        <v>#REF!</v>
      </c>
      <c r="GJ240" t="e">
        <f>IF(#REF!,"AAAAAE1/+78=",0)</f>
        <v>#REF!</v>
      </c>
      <c r="GK240" t="e">
        <f>IF(#REF!,"AAAAAE1/+8A=",0)</f>
        <v>#REF!</v>
      </c>
      <c r="GL240" t="e">
        <f>IF(#REF!,"AAAAAE1/+8E=",0)</f>
        <v>#REF!</v>
      </c>
      <c r="GM240" t="e">
        <f>IF(#REF!,"AAAAAE1/+8I=",0)</f>
        <v>#REF!</v>
      </c>
      <c r="GN240" t="e">
        <f>IF(#REF!,"AAAAAE1/+8M=",0)</f>
        <v>#REF!</v>
      </c>
      <c r="GO240" t="e">
        <f>IF(#REF!,"AAAAAE1/+8Q=",0)</f>
        <v>#REF!</v>
      </c>
      <c r="GP240" t="e">
        <f>IF(#REF!,"AAAAAE1/+8U=",0)</f>
        <v>#REF!</v>
      </c>
      <c r="GQ240" t="e">
        <f>IF(#REF!,"AAAAAE1/+8Y=",0)</f>
        <v>#REF!</v>
      </c>
      <c r="GR240" t="e">
        <f>IF(#REF!,"AAAAAE1/+8c=",0)</f>
        <v>#REF!</v>
      </c>
      <c r="GS240" t="e">
        <f>IF(#REF!,"AAAAAE1/+8g=",0)</f>
        <v>#REF!</v>
      </c>
      <c r="GT240" t="e">
        <f>IF(#REF!,"AAAAAE1/+8k=",0)</f>
        <v>#REF!</v>
      </c>
      <c r="GU240" t="e">
        <f>IF(#REF!,"AAAAAE1/+8o=",0)</f>
        <v>#REF!</v>
      </c>
      <c r="GV240" t="e">
        <f>IF(#REF!,"AAAAAE1/+8s=",0)</f>
        <v>#REF!</v>
      </c>
      <c r="GW240" t="e">
        <f>IF(#REF!,"AAAAAE1/+8w=",0)</f>
        <v>#REF!</v>
      </c>
      <c r="GX240" t="e">
        <f>IF(#REF!,"AAAAAE1/+80=",0)</f>
        <v>#REF!</v>
      </c>
      <c r="GY240" t="e">
        <f>IF(#REF!,"AAAAAE1/+84=",0)</f>
        <v>#REF!</v>
      </c>
      <c r="GZ240" t="e">
        <f>IF(#REF!,"AAAAAE1/+88=",0)</f>
        <v>#REF!</v>
      </c>
      <c r="HA240" t="e">
        <f>IF(#REF!,"AAAAAE1/+9A=",0)</f>
        <v>#REF!</v>
      </c>
      <c r="HB240" t="e">
        <f>IF(#REF!,"AAAAAE1/+9E=",0)</f>
        <v>#REF!</v>
      </c>
      <c r="HC240" t="e">
        <f>IF(#REF!,"AAAAAE1/+9I=",0)</f>
        <v>#REF!</v>
      </c>
      <c r="HD240" t="e">
        <f>IF(#REF!,"AAAAAE1/+9M=",0)</f>
        <v>#REF!</v>
      </c>
      <c r="HE240" t="e">
        <f>IF(#REF!,"AAAAAE1/+9Q=",0)</f>
        <v>#REF!</v>
      </c>
      <c r="HF240" t="e">
        <f>IF(#REF!,"AAAAAE1/+9U=",0)</f>
        <v>#REF!</v>
      </c>
      <c r="HG240" t="e">
        <f>IF(#REF!,"AAAAAE1/+9Y=",0)</f>
        <v>#REF!</v>
      </c>
      <c r="HH240" t="e">
        <f>IF(#REF!,"AAAAAE1/+9c=",0)</f>
        <v>#REF!</v>
      </c>
      <c r="HI240" t="e">
        <f>IF(#REF!,"AAAAAE1/+9g=",0)</f>
        <v>#REF!</v>
      </c>
      <c r="HJ240" t="e">
        <f>IF(#REF!,"AAAAAE1/+9k=",0)</f>
        <v>#REF!</v>
      </c>
      <c r="HK240" t="e">
        <f>IF(#REF!,"AAAAAE1/+9o=",0)</f>
        <v>#REF!</v>
      </c>
      <c r="HL240" t="e">
        <f>IF(#REF!,"AAAAAE1/+9s=",0)</f>
        <v>#REF!</v>
      </c>
      <c r="HM240" t="e">
        <f>IF(#REF!,"AAAAAE1/+9w=",0)</f>
        <v>#REF!</v>
      </c>
      <c r="HN240" t="e">
        <f>IF(#REF!,"AAAAAE1/+90=",0)</f>
        <v>#REF!</v>
      </c>
      <c r="HO240" t="e">
        <f>IF(#REF!,"AAAAAE1/+94=",0)</f>
        <v>#REF!</v>
      </c>
      <c r="HP240" t="e">
        <f>IF(#REF!,"AAAAAE1/+98=",0)</f>
        <v>#REF!</v>
      </c>
      <c r="HQ240" t="e">
        <f>IF(#REF!,"AAAAAE1/++A=",0)</f>
        <v>#REF!</v>
      </c>
      <c r="HR240" t="e">
        <f>IF(#REF!,"AAAAAE1/++E=",0)</f>
        <v>#REF!</v>
      </c>
      <c r="HS240" t="e">
        <f>IF(#REF!,"AAAAAE1/++I=",0)</f>
        <v>#REF!</v>
      </c>
      <c r="HT240" t="e">
        <f>IF(#REF!,"AAAAAE1/++M=",0)</f>
        <v>#REF!</v>
      </c>
      <c r="HU240" t="e">
        <f>IF(#REF!,"AAAAAE1/++Q=",0)</f>
        <v>#REF!</v>
      </c>
      <c r="HV240" t="e">
        <f>IF(#REF!,"AAAAAE1/++U=",0)</f>
        <v>#REF!</v>
      </c>
      <c r="HW240" t="e">
        <f>IF(#REF!,"AAAAAE1/++Y=",0)</f>
        <v>#REF!</v>
      </c>
      <c r="HX240" t="e">
        <f>IF(#REF!,"AAAAAE1/++c=",0)</f>
        <v>#REF!</v>
      </c>
      <c r="HY240" t="e">
        <f>IF(#REF!,"AAAAAE1/++g=",0)</f>
        <v>#REF!</v>
      </c>
      <c r="HZ240" t="e">
        <f>IF(#REF!,"AAAAAE1/++k=",0)</f>
        <v>#REF!</v>
      </c>
      <c r="IA240" t="e">
        <f>IF(#REF!,"AAAAAE1/++o=",0)</f>
        <v>#REF!</v>
      </c>
      <c r="IB240" t="e">
        <f>IF(#REF!,"AAAAAE1/++s=",0)</f>
        <v>#REF!</v>
      </c>
      <c r="IC240" t="e">
        <f>IF(#REF!,"AAAAAE1/++w=",0)</f>
        <v>#REF!</v>
      </c>
      <c r="ID240" t="e">
        <f>IF(#REF!,"AAAAAE1/++0=",0)</f>
        <v>#REF!</v>
      </c>
      <c r="IE240" t="e">
        <f>IF(#REF!,"AAAAAE1/++4=",0)</f>
        <v>#REF!</v>
      </c>
      <c r="IF240" t="e">
        <f>IF(#REF!,"AAAAAE1/++8=",0)</f>
        <v>#REF!</v>
      </c>
      <c r="IG240" t="e">
        <f>IF(#REF!,"AAAAAE1/+/A=",0)</f>
        <v>#REF!</v>
      </c>
      <c r="IH240" t="e">
        <f>IF(#REF!,"AAAAAE1/+/E=",0)</f>
        <v>#REF!</v>
      </c>
      <c r="II240" t="e">
        <f>IF(#REF!,"AAAAAE1/+/I=",0)</f>
        <v>#REF!</v>
      </c>
      <c r="IJ240" t="e">
        <f>IF(#REF!,"AAAAAE1/+/M=",0)</f>
        <v>#REF!</v>
      </c>
      <c r="IK240" t="e">
        <f>IF(#REF!,"AAAAAE1/+/Q=",0)</f>
        <v>#REF!</v>
      </c>
      <c r="IL240" t="e">
        <f>IF(#REF!,"AAAAAE1/+/U=",0)</f>
        <v>#REF!</v>
      </c>
      <c r="IM240" t="e">
        <f>IF(#REF!,"AAAAAE1/+/Y=",0)</f>
        <v>#REF!</v>
      </c>
      <c r="IN240" t="e">
        <f>IF(#REF!,"AAAAAE1/+/c=",0)</f>
        <v>#REF!</v>
      </c>
      <c r="IO240" t="e">
        <f>IF(#REF!,"AAAAAE1/+/g=",0)</f>
        <v>#REF!</v>
      </c>
      <c r="IP240" t="e">
        <f>IF(#REF!,"AAAAAE1/+/k=",0)</f>
        <v>#REF!</v>
      </c>
      <c r="IQ240" t="e">
        <f>IF(#REF!,"AAAAAE1/+/o=",0)</f>
        <v>#REF!</v>
      </c>
      <c r="IR240" t="e">
        <f>IF(#REF!,"AAAAAE1/+/s=",0)</f>
        <v>#REF!</v>
      </c>
      <c r="IS240" t="e">
        <f>IF(#REF!,"AAAAAE1/+/w=",0)</f>
        <v>#REF!</v>
      </c>
      <c r="IT240" t="e">
        <f>IF(#REF!,"AAAAAE1/+/0=",0)</f>
        <v>#REF!</v>
      </c>
      <c r="IU240" t="e">
        <f>IF(#REF!,"AAAAAE1/+/4=",0)</f>
        <v>#REF!</v>
      </c>
      <c r="IV240" t="e">
        <f>IF(#REF!,"AAAAAE1/+/8=",0)</f>
        <v>#REF!</v>
      </c>
    </row>
    <row r="241" spans="1:256">
      <c r="A241" t="e">
        <f>IF(#REF!,"AAAAADv33wA=",0)</f>
        <v>#REF!</v>
      </c>
      <c r="B241" t="e">
        <f>IF(#REF!,"AAAAADv33wE=",0)</f>
        <v>#REF!</v>
      </c>
      <c r="C241" t="e">
        <f>IF(#REF!,"AAAAADv33wI=",0)</f>
        <v>#REF!</v>
      </c>
      <c r="D241" t="e">
        <f>IF(#REF!,"AAAAADv33wM=",0)</f>
        <v>#REF!</v>
      </c>
      <c r="E241" t="e">
        <f>IF(#REF!,"AAAAADv33wQ=",0)</f>
        <v>#REF!</v>
      </c>
      <c r="F241" t="e">
        <f>IF(#REF!,"AAAAADv33wU=",0)</f>
        <v>#REF!</v>
      </c>
      <c r="G241" t="e">
        <f>IF(#REF!,"AAAAADv33wY=",0)</f>
        <v>#REF!</v>
      </c>
      <c r="H241" t="e">
        <f>IF(#REF!,"AAAAADv33wc=",0)</f>
        <v>#REF!</v>
      </c>
      <c r="I241" t="e">
        <f>IF(#REF!,"AAAAADv33wg=",0)</f>
        <v>#REF!</v>
      </c>
      <c r="J241" t="e">
        <f>IF(#REF!,"AAAAADv33wk=",0)</f>
        <v>#REF!</v>
      </c>
      <c r="K241" t="e">
        <f>IF(#REF!,"AAAAADv33wo=",0)</f>
        <v>#REF!</v>
      </c>
      <c r="L241" t="e">
        <f>IF(#REF!,"AAAAADv33ws=",0)</f>
        <v>#REF!</v>
      </c>
      <c r="M241" t="e">
        <f>IF(#REF!,"AAAAADv33ww=",0)</f>
        <v>#REF!</v>
      </c>
      <c r="N241" t="e">
        <f>IF(#REF!,"AAAAADv33w0=",0)</f>
        <v>#REF!</v>
      </c>
      <c r="O241" t="e">
        <f>IF(#REF!,"AAAAADv33w4=",0)</f>
        <v>#REF!</v>
      </c>
      <c r="P241" t="e">
        <f>IF(#REF!,"AAAAADv33w8=",0)</f>
        <v>#REF!</v>
      </c>
      <c r="Q241" t="e">
        <f>IF(#REF!,"AAAAADv33xA=",0)</f>
        <v>#REF!</v>
      </c>
      <c r="R241" t="e">
        <f>IF(#REF!,"AAAAADv33xE=",0)</f>
        <v>#REF!</v>
      </c>
      <c r="S241" t="e">
        <f>IF(#REF!,"AAAAADv33xI=",0)</f>
        <v>#REF!</v>
      </c>
      <c r="T241" t="e">
        <f>IF(#REF!,"AAAAADv33xM=",0)</f>
        <v>#REF!</v>
      </c>
      <c r="U241" t="e">
        <f>IF(#REF!,"AAAAADv33xQ=",0)</f>
        <v>#REF!</v>
      </c>
      <c r="V241" t="e">
        <f>IF(#REF!,"AAAAADv33xU=",0)</f>
        <v>#REF!</v>
      </c>
      <c r="W241" t="e">
        <f>IF(#REF!,"AAAAADv33xY=",0)</f>
        <v>#REF!</v>
      </c>
      <c r="X241" t="e">
        <f>IF(#REF!,"AAAAADv33xc=",0)</f>
        <v>#REF!</v>
      </c>
      <c r="Y241" t="e">
        <f>IF(#REF!,"AAAAADv33xg=",0)</f>
        <v>#REF!</v>
      </c>
      <c r="Z241" t="e">
        <f>IF(#REF!,"AAAAADv33xk=",0)</f>
        <v>#REF!</v>
      </c>
      <c r="AA241" t="e">
        <f>IF(#REF!,"AAAAADv33xo=",0)</f>
        <v>#REF!</v>
      </c>
      <c r="AB241" t="e">
        <f>IF(#REF!,"AAAAADv33xs=",0)</f>
        <v>#REF!</v>
      </c>
      <c r="AC241" t="e">
        <f>IF(#REF!,"AAAAADv33xw=",0)</f>
        <v>#REF!</v>
      </c>
      <c r="AD241" t="e">
        <f>IF(#REF!,"AAAAADv33x0=",0)</f>
        <v>#REF!</v>
      </c>
      <c r="AE241" t="e">
        <f>IF(#REF!,"AAAAADv33x4=",0)</f>
        <v>#REF!</v>
      </c>
      <c r="AF241" t="e">
        <f>IF(#REF!,"AAAAADv33x8=",0)</f>
        <v>#REF!</v>
      </c>
      <c r="AG241" t="e">
        <f>IF(#REF!,"AAAAADv33yA=",0)</f>
        <v>#REF!</v>
      </c>
      <c r="AH241" t="e">
        <f>IF(#REF!,"AAAAADv33yE=",0)</f>
        <v>#REF!</v>
      </c>
      <c r="AI241" t="e">
        <f>IF(#REF!,"AAAAADv33yI=",0)</f>
        <v>#REF!</v>
      </c>
      <c r="AJ241" t="e">
        <f>IF(#REF!,"AAAAADv33yM=",0)</f>
        <v>#REF!</v>
      </c>
      <c r="AK241" t="e">
        <f>IF(#REF!,"AAAAADv33yQ=",0)</f>
        <v>#REF!</v>
      </c>
      <c r="AL241" t="e">
        <f>IF(#REF!,"AAAAADv33yU=",0)</f>
        <v>#REF!</v>
      </c>
      <c r="AM241" t="e">
        <f>IF(#REF!,"AAAAADv33yY=",0)</f>
        <v>#REF!</v>
      </c>
      <c r="AN241" t="e">
        <f>IF(#REF!,"AAAAADv33yc=",0)</f>
        <v>#REF!</v>
      </c>
      <c r="AO241" t="e">
        <f>IF(#REF!,"AAAAADv33yg=",0)</f>
        <v>#REF!</v>
      </c>
      <c r="AP241" t="e">
        <f>IF(#REF!,"AAAAADv33yk=",0)</f>
        <v>#REF!</v>
      </c>
      <c r="AQ241" t="e">
        <f>IF(#REF!,"AAAAADv33yo=",0)</f>
        <v>#REF!</v>
      </c>
      <c r="AR241" t="e">
        <f>IF(#REF!,"AAAAADv33ys=",0)</f>
        <v>#REF!</v>
      </c>
      <c r="AS241" t="e">
        <f>IF(#REF!,"AAAAADv33yw=",0)</f>
        <v>#REF!</v>
      </c>
      <c r="AT241" t="e">
        <f>IF(#REF!,"AAAAADv33y0=",0)</f>
        <v>#REF!</v>
      </c>
      <c r="AU241" t="e">
        <f>IF(#REF!,"AAAAADv33y4=",0)</f>
        <v>#REF!</v>
      </c>
      <c r="AV241" t="e">
        <f>IF(#REF!,"AAAAADv33y8=",0)</f>
        <v>#REF!</v>
      </c>
      <c r="AW241" t="e">
        <f>IF(#REF!,"AAAAADv33zA=",0)</f>
        <v>#REF!</v>
      </c>
      <c r="AX241" t="e">
        <f>IF(#REF!,"AAAAADv33zE=",0)</f>
        <v>#REF!</v>
      </c>
      <c r="AY241" t="e">
        <f>IF(#REF!,"AAAAADv33zI=",0)</f>
        <v>#REF!</v>
      </c>
      <c r="AZ241" t="e">
        <f>IF(#REF!,"AAAAADv33zM=",0)</f>
        <v>#REF!</v>
      </c>
      <c r="BA241" t="e">
        <f>IF(#REF!,"AAAAADv33zQ=",0)</f>
        <v>#REF!</v>
      </c>
      <c r="BB241" t="e">
        <f>IF(#REF!,"AAAAADv33zU=",0)</f>
        <v>#REF!</v>
      </c>
      <c r="BC241" t="e">
        <f>IF(#REF!,"AAAAADv33zY=",0)</f>
        <v>#REF!</v>
      </c>
      <c r="BD241" t="e">
        <f>IF(#REF!,"AAAAADv33zc=",0)</f>
        <v>#REF!</v>
      </c>
      <c r="BE241" t="e">
        <f>IF(#REF!,"AAAAADv33zg=",0)</f>
        <v>#REF!</v>
      </c>
      <c r="BF241" t="e">
        <f>IF(#REF!,"AAAAADv33zk=",0)</f>
        <v>#REF!</v>
      </c>
      <c r="BG241" t="e">
        <f>IF(#REF!,"AAAAADv33zo=",0)</f>
        <v>#REF!</v>
      </c>
      <c r="BH241" t="e">
        <f>IF(#REF!,"AAAAADv33zs=",0)</f>
        <v>#REF!</v>
      </c>
      <c r="BI241" t="e">
        <f>IF(#REF!,"AAAAADv33zw=",0)</f>
        <v>#REF!</v>
      </c>
      <c r="BJ241" t="e">
        <f>IF(#REF!,"AAAAADv33z0=",0)</f>
        <v>#REF!</v>
      </c>
      <c r="BK241" t="e">
        <f>IF(#REF!,"AAAAADv33z4=",0)</f>
        <v>#REF!</v>
      </c>
      <c r="BL241" t="e">
        <f>IF(#REF!,"AAAAADv33z8=",0)</f>
        <v>#REF!</v>
      </c>
      <c r="BM241" t="e">
        <f>IF(#REF!,"AAAAADv330A=",0)</f>
        <v>#REF!</v>
      </c>
      <c r="BN241" t="e">
        <f>IF(#REF!,"AAAAADv330E=",0)</f>
        <v>#REF!</v>
      </c>
      <c r="BO241" t="e">
        <f>IF(#REF!,"AAAAADv330I=",0)</f>
        <v>#REF!</v>
      </c>
      <c r="BP241" t="e">
        <f>IF(#REF!,"AAAAADv330M=",0)</f>
        <v>#REF!</v>
      </c>
      <c r="BQ241" t="e">
        <f>IF(#REF!,"AAAAADv330Q=",0)</f>
        <v>#REF!</v>
      </c>
      <c r="BR241" t="e">
        <f>IF(#REF!,"AAAAADv330U=",0)</f>
        <v>#REF!</v>
      </c>
      <c r="BS241" t="e">
        <f>IF(#REF!,"AAAAADv330Y=",0)</f>
        <v>#REF!</v>
      </c>
      <c r="BT241" t="e">
        <f>IF(#REF!,"AAAAADv330c=",0)</f>
        <v>#REF!</v>
      </c>
      <c r="BU241" t="e">
        <f>IF(#REF!,"AAAAADv330g=",0)</f>
        <v>#REF!</v>
      </c>
      <c r="BV241" t="e">
        <f>IF(#REF!,"AAAAADv330k=",0)</f>
        <v>#REF!</v>
      </c>
      <c r="BW241" t="e">
        <f>IF(#REF!,"AAAAADv330o=",0)</f>
        <v>#REF!</v>
      </c>
      <c r="BX241" t="e">
        <f>IF(#REF!,"AAAAADv330s=",0)</f>
        <v>#REF!</v>
      </c>
      <c r="BY241" t="e">
        <f>IF(#REF!,"AAAAADv330w=",0)</f>
        <v>#REF!</v>
      </c>
      <c r="BZ241" t="e">
        <f>IF(#REF!,"AAAAADv3300=",0)</f>
        <v>#REF!</v>
      </c>
      <c r="CA241" t="e">
        <f>IF(#REF!,"AAAAADv3304=",0)</f>
        <v>#REF!</v>
      </c>
      <c r="CB241" t="e">
        <f>IF(#REF!,"AAAAADv3308=",0)</f>
        <v>#REF!</v>
      </c>
      <c r="CC241" t="e">
        <f>IF(#REF!,"AAAAADv331A=",0)</f>
        <v>#REF!</v>
      </c>
      <c r="CD241" t="e">
        <f>IF(#REF!,"AAAAADv331E=",0)</f>
        <v>#REF!</v>
      </c>
      <c r="CE241" t="e">
        <f>IF(#REF!,"AAAAADv331I=",0)</f>
        <v>#REF!</v>
      </c>
      <c r="CF241" t="e">
        <f>IF(#REF!,"AAAAADv331M=",0)</f>
        <v>#REF!</v>
      </c>
      <c r="CG241" t="e">
        <f>IF(#REF!,"AAAAADv331Q=",0)</f>
        <v>#REF!</v>
      </c>
      <c r="CH241" t="e">
        <f>IF(#REF!,"AAAAADv331U=",0)</f>
        <v>#REF!</v>
      </c>
      <c r="CI241" t="e">
        <f>IF(#REF!,"AAAAADv331Y=",0)</f>
        <v>#REF!</v>
      </c>
      <c r="CJ241" t="e">
        <f>IF(#REF!,"AAAAADv331c=",0)</f>
        <v>#REF!</v>
      </c>
      <c r="CK241" t="e">
        <f>IF(#REF!,"AAAAADv331g=",0)</f>
        <v>#REF!</v>
      </c>
      <c r="CL241" t="e">
        <f>IF(#REF!,"AAAAADv331k=",0)</f>
        <v>#REF!</v>
      </c>
      <c r="CM241" t="e">
        <f>IF(#REF!,"AAAAADv331o=",0)</f>
        <v>#REF!</v>
      </c>
      <c r="CN241" t="e">
        <f>IF(#REF!,"AAAAADv331s=",0)</f>
        <v>#REF!</v>
      </c>
      <c r="CO241" t="e">
        <f>IF(#REF!,"AAAAADv331w=",0)</f>
        <v>#REF!</v>
      </c>
      <c r="CP241" t="e">
        <f>IF(#REF!,"AAAAADv3310=",0)</f>
        <v>#REF!</v>
      </c>
      <c r="CQ241" t="e">
        <f>IF(#REF!,"AAAAADv3314=",0)</f>
        <v>#REF!</v>
      </c>
      <c r="CR241" t="e">
        <f>IF(#REF!,"AAAAADv3318=",0)</f>
        <v>#REF!</v>
      </c>
      <c r="CS241" t="e">
        <f>IF(#REF!,"AAAAADv332A=",0)</f>
        <v>#REF!</v>
      </c>
      <c r="CT241" t="e">
        <f>IF(#REF!,"AAAAADv332E=",0)</f>
        <v>#REF!</v>
      </c>
      <c r="CU241" t="e">
        <f>IF(#REF!,"AAAAADv332I=",0)</f>
        <v>#REF!</v>
      </c>
      <c r="CV241" t="e">
        <f>IF(#REF!,"AAAAADv332M=",0)</f>
        <v>#REF!</v>
      </c>
      <c r="CW241" t="e">
        <f>IF(#REF!,"AAAAADv332Q=",0)</f>
        <v>#REF!</v>
      </c>
      <c r="CX241" t="e">
        <f>IF(#REF!,"AAAAADv332U=",0)</f>
        <v>#REF!</v>
      </c>
      <c r="CY241" t="e">
        <f>IF(#REF!,"AAAAADv332Y=",0)</f>
        <v>#REF!</v>
      </c>
      <c r="CZ241" t="e">
        <f>IF(#REF!,"AAAAADv332c=",0)</f>
        <v>#REF!</v>
      </c>
      <c r="DA241" t="e">
        <f>IF(#REF!,"AAAAADv332g=",0)</f>
        <v>#REF!</v>
      </c>
      <c r="DB241" t="e">
        <f>IF(#REF!,"AAAAADv332k=",0)</f>
        <v>#REF!</v>
      </c>
      <c r="DC241" t="e">
        <f>IF(#REF!,"AAAAADv332o=",0)</f>
        <v>#REF!</v>
      </c>
      <c r="DD241" t="e">
        <f>IF(#REF!,"AAAAADv332s=",0)</f>
        <v>#REF!</v>
      </c>
      <c r="DE241" t="e">
        <f>IF(#REF!,"AAAAADv332w=",0)</f>
        <v>#REF!</v>
      </c>
      <c r="DF241" t="e">
        <f>IF(#REF!,"AAAAADv3320=",0)</f>
        <v>#REF!</v>
      </c>
      <c r="DG241" t="e">
        <f>IF(#REF!,"AAAAADv3324=",0)</f>
        <v>#REF!</v>
      </c>
      <c r="DH241" t="e">
        <f>IF(#REF!,"AAAAADv3328=",0)</f>
        <v>#REF!</v>
      </c>
      <c r="DI241" t="e">
        <f>IF(#REF!,"AAAAADv333A=",0)</f>
        <v>#REF!</v>
      </c>
      <c r="DJ241" t="e">
        <f>IF(#REF!,"AAAAADv333E=",0)</f>
        <v>#REF!</v>
      </c>
      <c r="DK241" t="e">
        <f>IF(#REF!,"AAAAADv333I=",0)</f>
        <v>#REF!</v>
      </c>
      <c r="DL241" t="e">
        <f>IF(#REF!,"AAAAADv333M=",0)</f>
        <v>#REF!</v>
      </c>
      <c r="DM241" t="e">
        <f>IF(#REF!,"AAAAADv333Q=",0)</f>
        <v>#REF!</v>
      </c>
      <c r="DN241" t="e">
        <f>IF(#REF!,"AAAAADv333U=",0)</f>
        <v>#REF!</v>
      </c>
      <c r="DO241" t="e">
        <f>IF(#REF!,"AAAAADv333Y=",0)</f>
        <v>#REF!</v>
      </c>
      <c r="DP241" t="e">
        <f>IF(#REF!,"AAAAADv333c=",0)</f>
        <v>#REF!</v>
      </c>
      <c r="DQ241" t="e">
        <f>IF(#REF!,"AAAAADv333g=",0)</f>
        <v>#REF!</v>
      </c>
      <c r="DR241" t="e">
        <f>IF(#REF!,"AAAAADv333k=",0)</f>
        <v>#REF!</v>
      </c>
      <c r="DS241" t="e">
        <f>IF(#REF!,"AAAAADv333o=",0)</f>
        <v>#REF!</v>
      </c>
      <c r="DT241" t="e">
        <f>IF(#REF!,"AAAAADv333s=",0)</f>
        <v>#REF!</v>
      </c>
      <c r="DU241" t="e">
        <f>IF(#REF!,"AAAAADv333w=",0)</f>
        <v>#REF!</v>
      </c>
      <c r="DV241" t="e">
        <f>IF(#REF!,"AAAAADv3330=",0)</f>
        <v>#REF!</v>
      </c>
      <c r="DW241" t="e">
        <f>IF(#REF!,"AAAAADv3334=",0)</f>
        <v>#REF!</v>
      </c>
      <c r="DX241" t="e">
        <f>IF(#REF!,"AAAAADv3338=",0)</f>
        <v>#REF!</v>
      </c>
      <c r="DY241" t="e">
        <f>IF(#REF!,"AAAAADv334A=",0)</f>
        <v>#REF!</v>
      </c>
      <c r="DZ241" t="e">
        <f>IF(#REF!,"AAAAADv334E=",0)</f>
        <v>#REF!</v>
      </c>
      <c r="EA241" t="e">
        <f>IF(#REF!,"AAAAADv334I=",0)</f>
        <v>#REF!</v>
      </c>
      <c r="EB241" t="e">
        <f>IF(#REF!,"AAAAADv334M=",0)</f>
        <v>#REF!</v>
      </c>
      <c r="EC241" t="e">
        <f>IF(#REF!,"AAAAADv334Q=",0)</f>
        <v>#REF!</v>
      </c>
      <c r="ED241" t="e">
        <f>IF(#REF!,"AAAAADv334U=",0)</f>
        <v>#REF!</v>
      </c>
      <c r="EE241" t="e">
        <f>IF(#REF!,"AAAAADv334Y=",0)</f>
        <v>#REF!</v>
      </c>
      <c r="EF241" t="e">
        <f>IF(#REF!,"AAAAADv334c=",0)</f>
        <v>#REF!</v>
      </c>
      <c r="EG241" t="e">
        <f>IF(#REF!,"AAAAADv334g=",0)</f>
        <v>#REF!</v>
      </c>
      <c r="EH241" t="e">
        <f>IF(#REF!,"AAAAADv334k=",0)</f>
        <v>#REF!</v>
      </c>
      <c r="EI241" t="e">
        <f>IF(#REF!,"AAAAADv334o=",0)</f>
        <v>#REF!</v>
      </c>
      <c r="EJ241" t="e">
        <f>IF(#REF!,"AAAAADv334s=",0)</f>
        <v>#REF!</v>
      </c>
      <c r="EK241" t="e">
        <f>IF(#REF!,"AAAAADv334w=",0)</f>
        <v>#REF!</v>
      </c>
      <c r="EL241" t="e">
        <f>IF(#REF!,"AAAAADv3340=",0)</f>
        <v>#REF!</v>
      </c>
      <c r="EM241" t="e">
        <f>IF(#REF!,"AAAAADv3344=",0)</f>
        <v>#REF!</v>
      </c>
      <c r="EN241" t="e">
        <f>IF(#REF!,"AAAAADv3348=",0)</f>
        <v>#REF!</v>
      </c>
      <c r="EO241" t="e">
        <f>IF(#REF!,"AAAAADv335A=",0)</f>
        <v>#REF!</v>
      </c>
      <c r="EP241" t="e">
        <f>IF(#REF!,"AAAAADv335E=",0)</f>
        <v>#REF!</v>
      </c>
      <c r="EQ241" t="e">
        <f>IF(#REF!,"AAAAADv335I=",0)</f>
        <v>#REF!</v>
      </c>
      <c r="ER241" t="e">
        <f>IF(#REF!,"AAAAADv335M=",0)</f>
        <v>#REF!</v>
      </c>
      <c r="ES241" t="e">
        <f>IF(#REF!,"AAAAADv335Q=",0)</f>
        <v>#REF!</v>
      </c>
      <c r="ET241" t="e">
        <f>IF(#REF!,"AAAAADv335U=",0)</f>
        <v>#REF!</v>
      </c>
      <c r="EU241" t="e">
        <f>IF(#REF!,"AAAAADv335Y=",0)</f>
        <v>#REF!</v>
      </c>
      <c r="EV241" t="e">
        <f>IF(#REF!,"AAAAADv335c=",0)</f>
        <v>#REF!</v>
      </c>
      <c r="EW241" t="e">
        <f>IF(#REF!,"AAAAADv335g=",0)</f>
        <v>#REF!</v>
      </c>
      <c r="EX241" t="e">
        <f>IF(#REF!,"AAAAADv335k=",0)</f>
        <v>#REF!</v>
      </c>
      <c r="EY241" t="e">
        <f>IF(#REF!,"AAAAADv335o=",0)</f>
        <v>#REF!</v>
      </c>
      <c r="EZ241" t="e">
        <f>IF(#REF!,"AAAAADv335s=",0)</f>
        <v>#REF!</v>
      </c>
      <c r="FA241" t="e">
        <f>IF(#REF!,"AAAAADv335w=",0)</f>
        <v>#REF!</v>
      </c>
      <c r="FB241" t="e">
        <f>IF(#REF!,"AAAAADv3350=",0)</f>
        <v>#REF!</v>
      </c>
      <c r="FC241" t="e">
        <f>IF(#REF!,"AAAAADv3354=",0)</f>
        <v>#REF!</v>
      </c>
      <c r="FD241" t="e">
        <f>IF(#REF!,"AAAAADv3358=",0)</f>
        <v>#REF!</v>
      </c>
      <c r="FE241" t="e">
        <f>IF(#REF!,"AAAAADv336A=",0)</f>
        <v>#REF!</v>
      </c>
      <c r="FF241" t="e">
        <f>IF(#REF!,"AAAAADv336E=",0)</f>
        <v>#REF!</v>
      </c>
      <c r="FG241" t="e">
        <f>IF(#REF!,"AAAAADv336I=",0)</f>
        <v>#REF!</v>
      </c>
      <c r="FH241" t="e">
        <f>IF(#REF!,"AAAAADv336M=",0)</f>
        <v>#REF!</v>
      </c>
      <c r="FI241" t="e">
        <f>IF(#REF!,"AAAAADv336Q=",0)</f>
        <v>#REF!</v>
      </c>
      <c r="FJ241" t="e">
        <f>IF(#REF!,"AAAAADv336U=",0)</f>
        <v>#REF!</v>
      </c>
      <c r="FK241" t="e">
        <f>IF(#REF!,"AAAAADv336Y=",0)</f>
        <v>#REF!</v>
      </c>
      <c r="FL241" t="e">
        <f>IF(#REF!,"AAAAADv336c=",0)</f>
        <v>#REF!</v>
      </c>
      <c r="FM241" t="e">
        <f>IF(#REF!,"AAAAADv336g=",0)</f>
        <v>#REF!</v>
      </c>
      <c r="FN241" t="e">
        <f>IF(#REF!,"AAAAADv336k=",0)</f>
        <v>#REF!</v>
      </c>
      <c r="FO241" t="e">
        <f>IF(#REF!,"AAAAADv336o=",0)</f>
        <v>#REF!</v>
      </c>
      <c r="FP241" t="e">
        <f>IF(#REF!,"AAAAADv336s=",0)</f>
        <v>#REF!</v>
      </c>
      <c r="FQ241" t="e">
        <f>IF(#REF!,"AAAAADv336w=",0)</f>
        <v>#REF!</v>
      </c>
      <c r="FR241" t="e">
        <f>IF(#REF!,"AAAAADv3360=",0)</f>
        <v>#REF!</v>
      </c>
      <c r="FS241" t="e">
        <f>IF(#REF!,"AAAAADv3364=",0)</f>
        <v>#REF!</v>
      </c>
      <c r="FT241" t="e">
        <f>IF(#REF!,"AAAAADv3368=",0)</f>
        <v>#REF!</v>
      </c>
      <c r="FU241" t="e">
        <f>IF(#REF!,"AAAAADv337A=",0)</f>
        <v>#REF!</v>
      </c>
      <c r="FV241" t="e">
        <f>IF(#REF!,"AAAAADv337E=",0)</f>
        <v>#REF!</v>
      </c>
      <c r="FW241" t="e">
        <f>IF(#REF!,"AAAAADv337I=",0)</f>
        <v>#REF!</v>
      </c>
      <c r="FX241" t="e">
        <f>IF(#REF!,"AAAAADv337M=",0)</f>
        <v>#REF!</v>
      </c>
      <c r="FY241" t="e">
        <f>IF(#REF!,"AAAAADv337Q=",0)</f>
        <v>#REF!</v>
      </c>
      <c r="FZ241" t="e">
        <f>IF(#REF!,"AAAAADv337U=",0)</f>
        <v>#REF!</v>
      </c>
      <c r="GA241" t="e">
        <f>IF(#REF!,"AAAAADv337Y=",0)</f>
        <v>#REF!</v>
      </c>
      <c r="GB241" t="e">
        <f>IF(#REF!,"AAAAADv337c=",0)</f>
        <v>#REF!</v>
      </c>
      <c r="GC241" t="e">
        <f>IF(#REF!,"AAAAADv337g=",0)</f>
        <v>#REF!</v>
      </c>
      <c r="GD241" t="e">
        <f>IF(#REF!,"AAAAADv337k=",0)</f>
        <v>#REF!</v>
      </c>
      <c r="GE241" t="e">
        <f>IF(#REF!,"AAAAADv337o=",0)</f>
        <v>#REF!</v>
      </c>
      <c r="GF241" t="e">
        <f>IF(#REF!,"AAAAADv337s=",0)</f>
        <v>#REF!</v>
      </c>
      <c r="GG241" t="e">
        <f>IF(#REF!,"AAAAADv337w=",0)</f>
        <v>#REF!</v>
      </c>
      <c r="GH241" t="e">
        <f>IF(#REF!,"AAAAADv3370=",0)</f>
        <v>#REF!</v>
      </c>
      <c r="GI241" t="e">
        <f>IF(#REF!,"AAAAADv3374=",0)</f>
        <v>#REF!</v>
      </c>
      <c r="GJ241" t="e">
        <f>IF(#REF!,"AAAAADv3378=",0)</f>
        <v>#REF!</v>
      </c>
      <c r="GK241" t="e">
        <f>IF(#REF!,"AAAAADv338A=",0)</f>
        <v>#REF!</v>
      </c>
      <c r="GL241" t="e">
        <f>IF(#REF!,"AAAAADv338E=",0)</f>
        <v>#REF!</v>
      </c>
      <c r="GM241" t="e">
        <f>IF(#REF!,"AAAAADv338I=",0)</f>
        <v>#REF!</v>
      </c>
      <c r="GN241" t="e">
        <f>IF(#REF!,"AAAAADv338M=",0)</f>
        <v>#REF!</v>
      </c>
      <c r="GO241" t="e">
        <f>IF(#REF!,"AAAAADv338Q=",0)</f>
        <v>#REF!</v>
      </c>
      <c r="GP241" t="e">
        <f>IF(#REF!,"AAAAADv338U=",0)</f>
        <v>#REF!</v>
      </c>
      <c r="GQ241" t="e">
        <f>IF(#REF!,"AAAAADv338Y=",0)</f>
        <v>#REF!</v>
      </c>
      <c r="GR241" t="e">
        <f>IF(#REF!,"AAAAADv338c=",0)</f>
        <v>#REF!</v>
      </c>
      <c r="GS241" t="e">
        <f>IF(#REF!,"AAAAADv338g=",0)</f>
        <v>#REF!</v>
      </c>
      <c r="GT241" t="e">
        <f>IF(#REF!,"AAAAADv338k=",0)</f>
        <v>#REF!</v>
      </c>
      <c r="GU241" t="e">
        <f>IF(#REF!,"AAAAADv338o=",0)</f>
        <v>#REF!</v>
      </c>
      <c r="GV241" t="e">
        <f>IF(#REF!,"AAAAADv338s=",0)</f>
        <v>#REF!</v>
      </c>
      <c r="GW241" t="e">
        <f>IF(#REF!,"AAAAADv338w=",0)</f>
        <v>#REF!</v>
      </c>
      <c r="GX241" t="e">
        <f>IF(#REF!,"AAAAADv3380=",0)</f>
        <v>#REF!</v>
      </c>
      <c r="GY241" t="e">
        <f>IF(#REF!,"AAAAADv3384=",0)</f>
        <v>#REF!</v>
      </c>
      <c r="GZ241" t="e">
        <f>IF(#REF!,"AAAAADv3388=",0)</f>
        <v>#REF!</v>
      </c>
      <c r="HA241" t="e">
        <f>IF(#REF!,"AAAAADv339A=",0)</f>
        <v>#REF!</v>
      </c>
      <c r="HB241" t="e">
        <f>IF(#REF!,"AAAAADv339E=",0)</f>
        <v>#REF!</v>
      </c>
      <c r="HC241" t="e">
        <f>IF(#REF!,"AAAAADv339I=",0)</f>
        <v>#REF!</v>
      </c>
      <c r="HD241" t="e">
        <f>IF(#REF!,"AAAAADv339M=",0)</f>
        <v>#REF!</v>
      </c>
      <c r="HE241" t="e">
        <f>IF(#REF!,"AAAAADv339Q=",0)</f>
        <v>#REF!</v>
      </c>
      <c r="HF241" t="e">
        <f>IF(#REF!,"AAAAADv339U=",0)</f>
        <v>#REF!</v>
      </c>
      <c r="HG241" t="e">
        <f>IF(#REF!,"AAAAADv339Y=",0)</f>
        <v>#REF!</v>
      </c>
      <c r="HH241" t="e">
        <f>IF(#REF!,"AAAAADv339c=",0)</f>
        <v>#REF!</v>
      </c>
      <c r="HI241" t="e">
        <f>IF(#REF!,"AAAAADv339g=",0)</f>
        <v>#REF!</v>
      </c>
      <c r="HJ241" t="e">
        <f>IF(#REF!,"AAAAADv339k=",0)</f>
        <v>#REF!</v>
      </c>
      <c r="HK241" t="e">
        <f>IF(#REF!,"AAAAADv339o=",0)</f>
        <v>#REF!</v>
      </c>
      <c r="HL241" t="e">
        <f>IF(#REF!,"AAAAADv339s=",0)</f>
        <v>#REF!</v>
      </c>
      <c r="HM241" t="e">
        <f>IF(#REF!,"AAAAADv339w=",0)</f>
        <v>#REF!</v>
      </c>
      <c r="HN241" t="e">
        <f>IF(#REF!,"AAAAADv3390=",0)</f>
        <v>#REF!</v>
      </c>
      <c r="HO241" t="e">
        <f>IF(#REF!,"AAAAADv3394=",0)</f>
        <v>#REF!</v>
      </c>
      <c r="HP241" t="e">
        <f>IF(#REF!,"AAAAADv3398=",0)</f>
        <v>#REF!</v>
      </c>
      <c r="HQ241" t="e">
        <f>IF(#REF!,"AAAAADv33+A=",0)</f>
        <v>#REF!</v>
      </c>
      <c r="HR241" t="e">
        <f>IF(#REF!,"AAAAADv33+E=",0)</f>
        <v>#REF!</v>
      </c>
      <c r="HS241" t="e">
        <f>IF(#REF!,"AAAAADv33+I=",0)</f>
        <v>#REF!</v>
      </c>
      <c r="HT241" t="e">
        <f>IF(#REF!,"AAAAADv33+M=",0)</f>
        <v>#REF!</v>
      </c>
      <c r="HU241" t="e">
        <f>IF(#REF!,"AAAAADv33+Q=",0)</f>
        <v>#REF!</v>
      </c>
      <c r="HV241" t="e">
        <f>IF(#REF!,"AAAAADv33+U=",0)</f>
        <v>#REF!</v>
      </c>
      <c r="HW241" t="e">
        <f>IF(#REF!,"AAAAADv33+Y=",0)</f>
        <v>#REF!</v>
      </c>
      <c r="HX241" t="e">
        <f>IF(#REF!,"AAAAADv33+c=",0)</f>
        <v>#REF!</v>
      </c>
      <c r="HY241" t="e">
        <f>IF(#REF!,"AAAAADv33+g=",0)</f>
        <v>#REF!</v>
      </c>
      <c r="HZ241" t="e">
        <f>IF(#REF!,"AAAAADv33+k=",0)</f>
        <v>#REF!</v>
      </c>
      <c r="IA241" t="e">
        <f>IF(#REF!,"AAAAADv33+o=",0)</f>
        <v>#REF!</v>
      </c>
      <c r="IB241" t="e">
        <f>IF(#REF!,"AAAAADv33+s=",0)</f>
        <v>#REF!</v>
      </c>
      <c r="IC241" t="e">
        <f>IF(#REF!,"AAAAADv33+w=",0)</f>
        <v>#REF!</v>
      </c>
      <c r="ID241" t="e">
        <f>IF(#REF!,"AAAAADv33+0=",0)</f>
        <v>#REF!</v>
      </c>
      <c r="IE241" t="e">
        <f>IF(#REF!,"AAAAADv33+4=",0)</f>
        <v>#REF!</v>
      </c>
      <c r="IF241" t="e">
        <f>IF(#REF!,"AAAAADv33+8=",0)</f>
        <v>#REF!</v>
      </c>
      <c r="IG241" t="e">
        <f>IF(#REF!,"AAAAADv33/A=",0)</f>
        <v>#REF!</v>
      </c>
      <c r="IH241" t="e">
        <f>IF(#REF!,"AAAAADv33/E=",0)</f>
        <v>#REF!</v>
      </c>
      <c r="II241" t="e">
        <f>IF(#REF!,"AAAAADv33/I=",0)</f>
        <v>#REF!</v>
      </c>
      <c r="IJ241" t="e">
        <f>IF(#REF!,"AAAAADv33/M=",0)</f>
        <v>#REF!</v>
      </c>
      <c r="IK241" t="e">
        <f>IF(#REF!,"AAAAADv33/Q=",0)</f>
        <v>#REF!</v>
      </c>
      <c r="IL241" t="e">
        <f>IF(#REF!,"AAAAADv33/U=",0)</f>
        <v>#REF!</v>
      </c>
      <c r="IM241" t="e">
        <f>IF(#REF!,"AAAAADv33/Y=",0)</f>
        <v>#REF!</v>
      </c>
      <c r="IN241" t="e">
        <f>IF(#REF!,"AAAAADv33/c=",0)</f>
        <v>#REF!</v>
      </c>
      <c r="IO241" t="e">
        <f>IF(#REF!,"AAAAADv33/g=",0)</f>
        <v>#REF!</v>
      </c>
      <c r="IP241" t="e">
        <f>IF(#REF!,"AAAAADv33/k=",0)</f>
        <v>#REF!</v>
      </c>
      <c r="IQ241" t="e">
        <f>IF(#REF!,"AAAAADv33/o=",0)</f>
        <v>#REF!</v>
      </c>
      <c r="IR241" t="e">
        <f>IF(#REF!,"AAAAADv33/s=",0)</f>
        <v>#REF!</v>
      </c>
      <c r="IS241" t="e">
        <f>IF(#REF!,"AAAAADv33/w=",0)</f>
        <v>#REF!</v>
      </c>
      <c r="IT241" t="e">
        <f>IF(#REF!,"AAAAADv33/0=",0)</f>
        <v>#REF!</v>
      </c>
      <c r="IU241" t="e">
        <f>IF(#REF!,"AAAAADv33/4=",0)</f>
        <v>#REF!</v>
      </c>
      <c r="IV241" t="e">
        <f>IF(#REF!,"AAAAADv33/8=",0)</f>
        <v>#REF!</v>
      </c>
    </row>
    <row r="242" spans="1:256">
      <c r="A242" t="e">
        <f>IF(#REF!,"AAAAAHF6XwA=",0)</f>
        <v>#REF!</v>
      </c>
      <c r="B242" t="e">
        <f>IF(#REF!,"AAAAAHF6XwE=",0)</f>
        <v>#REF!</v>
      </c>
      <c r="C242" t="e">
        <f>IF(#REF!,"AAAAAHF6XwI=",0)</f>
        <v>#REF!</v>
      </c>
      <c r="D242" t="e">
        <f>IF(#REF!,"AAAAAHF6XwM=",0)</f>
        <v>#REF!</v>
      </c>
      <c r="E242" t="e">
        <f>IF(#REF!,"AAAAAHF6XwQ=",0)</f>
        <v>#REF!</v>
      </c>
      <c r="F242" t="e">
        <f>IF(#REF!,"AAAAAHF6XwU=",0)</f>
        <v>#REF!</v>
      </c>
      <c r="G242" t="e">
        <f>IF(#REF!,"AAAAAHF6XwY=",0)</f>
        <v>#REF!</v>
      </c>
      <c r="H242" t="e">
        <f>IF(#REF!,"AAAAAHF6Xwc=",0)</f>
        <v>#REF!</v>
      </c>
      <c r="I242" t="e">
        <f>IF(#REF!,"AAAAAHF6Xwg=",0)</f>
        <v>#REF!</v>
      </c>
      <c r="J242" t="e">
        <f>IF(#REF!,"AAAAAHF6Xwk=",0)</f>
        <v>#REF!</v>
      </c>
      <c r="K242" t="e">
        <f>IF(#REF!,"AAAAAHF6Xwo=",0)</f>
        <v>#REF!</v>
      </c>
      <c r="L242" t="e">
        <f>IF(#REF!,"AAAAAHF6Xws=",0)</f>
        <v>#REF!</v>
      </c>
      <c r="M242" t="e">
        <f>IF(#REF!,"AAAAAHF6Xww=",0)</f>
        <v>#REF!</v>
      </c>
      <c r="N242" t="e">
        <f>IF(#REF!,"AAAAAHF6Xw0=",0)</f>
        <v>#REF!</v>
      </c>
      <c r="O242" t="e">
        <f>IF(#REF!,"AAAAAHF6Xw4=",0)</f>
        <v>#REF!</v>
      </c>
      <c r="P242" t="e">
        <f>IF(#REF!,"AAAAAHF6Xw8=",0)</f>
        <v>#REF!</v>
      </c>
      <c r="Q242" t="e">
        <f>IF(#REF!,"AAAAAHF6XxA=",0)</f>
        <v>#REF!</v>
      </c>
      <c r="R242" t="e">
        <f>IF(#REF!,"AAAAAHF6XxE=",0)</f>
        <v>#REF!</v>
      </c>
      <c r="S242" t="e">
        <f>IF(#REF!,"AAAAAHF6XxI=",0)</f>
        <v>#REF!</v>
      </c>
      <c r="T242" t="e">
        <f>IF(#REF!,"AAAAAHF6XxM=",0)</f>
        <v>#REF!</v>
      </c>
      <c r="U242" t="e">
        <f>IF(#REF!,"AAAAAHF6XxQ=",0)</f>
        <v>#REF!</v>
      </c>
      <c r="V242" t="e">
        <f>IF(#REF!,"AAAAAHF6XxU=",0)</f>
        <v>#REF!</v>
      </c>
      <c r="W242" t="e">
        <f>IF(#REF!,"AAAAAHF6XxY=",0)</f>
        <v>#REF!</v>
      </c>
      <c r="X242" t="e">
        <f>IF(#REF!,"AAAAAHF6Xxc=",0)</f>
        <v>#REF!</v>
      </c>
      <c r="Y242" t="e">
        <f>IF(#REF!,"AAAAAHF6Xxg=",0)</f>
        <v>#REF!</v>
      </c>
      <c r="Z242" t="e">
        <f>IF(#REF!,"AAAAAHF6Xxk=",0)</f>
        <v>#REF!</v>
      </c>
      <c r="AA242" t="e">
        <f>IF(#REF!,"AAAAAHF6Xxo=",0)</f>
        <v>#REF!</v>
      </c>
      <c r="AB242" t="e">
        <f>IF(#REF!,"AAAAAHF6Xxs=",0)</f>
        <v>#REF!</v>
      </c>
      <c r="AC242" t="e">
        <f>IF(#REF!,"AAAAAHF6Xxw=",0)</f>
        <v>#REF!</v>
      </c>
      <c r="AD242" t="e">
        <f>IF(#REF!,"AAAAAHF6Xx0=",0)</f>
        <v>#REF!</v>
      </c>
      <c r="AE242" t="e">
        <f>IF(#REF!,"AAAAAHF6Xx4=",0)</f>
        <v>#REF!</v>
      </c>
      <c r="AF242" t="e">
        <f>IF(#REF!,"AAAAAHF6Xx8=",0)</f>
        <v>#REF!</v>
      </c>
      <c r="AG242" t="e">
        <f>IF(#REF!,"AAAAAHF6XyA=",0)</f>
        <v>#REF!</v>
      </c>
      <c r="AH242" t="e">
        <f>IF(#REF!,"AAAAAHF6XyE=",0)</f>
        <v>#REF!</v>
      </c>
      <c r="AI242" t="e">
        <f>IF(#REF!,"AAAAAHF6XyI=",0)</f>
        <v>#REF!</v>
      </c>
      <c r="AJ242" t="e">
        <f>IF(#REF!,"AAAAAHF6XyM=",0)</f>
        <v>#REF!</v>
      </c>
      <c r="AK242" t="e">
        <f>IF(#REF!,"AAAAAHF6XyQ=",0)</f>
        <v>#REF!</v>
      </c>
      <c r="AL242" t="e">
        <f>IF(#REF!,"AAAAAHF6XyU=",0)</f>
        <v>#REF!</v>
      </c>
      <c r="AM242" t="e">
        <f>IF(#REF!,"AAAAAHF6XyY=",0)</f>
        <v>#REF!</v>
      </c>
      <c r="AN242" t="e">
        <f>IF(#REF!,"AAAAAHF6Xyc=",0)</f>
        <v>#REF!</v>
      </c>
      <c r="AO242" t="e">
        <f>IF(#REF!,"AAAAAHF6Xyg=",0)</f>
        <v>#REF!</v>
      </c>
      <c r="AP242" t="e">
        <f>IF(#REF!,"AAAAAHF6Xyk=",0)</f>
        <v>#REF!</v>
      </c>
      <c r="AQ242" t="e">
        <f>IF(#REF!,"AAAAAHF6Xyo=",0)</f>
        <v>#REF!</v>
      </c>
      <c r="AR242" t="e">
        <f>IF(#REF!,"AAAAAHF6Xys=",0)</f>
        <v>#REF!</v>
      </c>
      <c r="AS242" t="e">
        <f>IF(#REF!,"AAAAAHF6Xyw=",0)</f>
        <v>#REF!</v>
      </c>
      <c r="AT242" t="e">
        <f>IF(#REF!,"AAAAAHF6Xy0=",0)</f>
        <v>#REF!</v>
      </c>
      <c r="AU242" t="e">
        <f>IF(#REF!,"AAAAAHF6Xy4=",0)</f>
        <v>#REF!</v>
      </c>
      <c r="AV242" t="e">
        <f>IF(#REF!,"AAAAAHF6Xy8=",0)</f>
        <v>#REF!</v>
      </c>
      <c r="AW242" t="e">
        <f>IF(#REF!,"AAAAAHF6XzA=",0)</f>
        <v>#REF!</v>
      </c>
      <c r="AX242" t="e">
        <f>IF(#REF!,"AAAAAHF6XzE=",0)</f>
        <v>#REF!</v>
      </c>
      <c r="AY242" t="e">
        <f>IF(#REF!,"AAAAAHF6XzI=",0)</f>
        <v>#REF!</v>
      </c>
      <c r="AZ242" t="e">
        <f>IF(#REF!,"AAAAAHF6XzM=",0)</f>
        <v>#REF!</v>
      </c>
      <c r="BA242" t="e">
        <f>IF(#REF!,"AAAAAHF6XzQ=",0)</f>
        <v>#REF!</v>
      </c>
      <c r="BB242" t="e">
        <f>IF(#REF!,"AAAAAHF6XzU=",0)</f>
        <v>#REF!</v>
      </c>
      <c r="BC242" t="e">
        <f>IF(#REF!,"AAAAAHF6XzY=",0)</f>
        <v>#REF!</v>
      </c>
      <c r="BD242" t="e">
        <f>IF(#REF!,"AAAAAHF6Xzc=",0)</f>
        <v>#REF!</v>
      </c>
      <c r="BE242" t="e">
        <f>IF(#REF!,"AAAAAHF6Xzg=",0)</f>
        <v>#REF!</v>
      </c>
      <c r="BF242" t="e">
        <f>IF(#REF!,"AAAAAHF6Xzk=",0)</f>
        <v>#REF!</v>
      </c>
      <c r="BG242" t="e">
        <f>IF(#REF!,"AAAAAHF6Xzo=",0)</f>
        <v>#REF!</v>
      </c>
      <c r="BH242" t="e">
        <f>IF(#REF!,"AAAAAHF6Xzs=",0)</f>
        <v>#REF!</v>
      </c>
      <c r="BI242" t="e">
        <f>IF(#REF!,"AAAAAHF6Xzw=",0)</f>
        <v>#REF!</v>
      </c>
      <c r="BJ242" t="e">
        <f>IF(#REF!,"AAAAAHF6Xz0=",0)</f>
        <v>#REF!</v>
      </c>
      <c r="BK242" t="e">
        <f>IF(#REF!,"AAAAAHF6Xz4=",0)</f>
        <v>#REF!</v>
      </c>
      <c r="BL242" t="e">
        <f>IF(#REF!,"AAAAAHF6Xz8=",0)</f>
        <v>#REF!</v>
      </c>
      <c r="BM242" t="e">
        <f>IF(#REF!,"AAAAAHF6X0A=",0)</f>
        <v>#REF!</v>
      </c>
      <c r="BN242" t="e">
        <f>IF(#REF!,"AAAAAHF6X0E=",0)</f>
        <v>#REF!</v>
      </c>
      <c r="BO242" t="e">
        <f>IF(#REF!,"AAAAAHF6X0I=",0)</f>
        <v>#REF!</v>
      </c>
      <c r="BP242" t="e">
        <f>IF(#REF!,"AAAAAHF6X0M=",0)</f>
        <v>#REF!</v>
      </c>
      <c r="BQ242" t="e">
        <f>IF(#REF!,"AAAAAHF6X0Q=",0)</f>
        <v>#REF!</v>
      </c>
      <c r="BR242" t="e">
        <f>IF(#REF!,"AAAAAHF6X0U=",0)</f>
        <v>#REF!</v>
      </c>
      <c r="BS242" t="e">
        <f>IF(#REF!,"AAAAAHF6X0Y=",0)</f>
        <v>#REF!</v>
      </c>
      <c r="BT242" t="e">
        <f>IF(#REF!,"AAAAAHF6X0c=",0)</f>
        <v>#REF!</v>
      </c>
      <c r="BU242" t="e">
        <f>IF(#REF!,"AAAAAHF6X0g=",0)</f>
        <v>#REF!</v>
      </c>
      <c r="BV242" t="e">
        <f>IF(#REF!,"AAAAAHF6X0k=",0)</f>
        <v>#REF!</v>
      </c>
      <c r="BW242" t="e">
        <f>IF(#REF!,"AAAAAHF6X0o=",0)</f>
        <v>#REF!</v>
      </c>
      <c r="BX242" t="e">
        <f>IF(#REF!,"AAAAAHF6X0s=",0)</f>
        <v>#REF!</v>
      </c>
      <c r="BY242" t="e">
        <f>IF(#REF!,"AAAAAHF6X0w=",0)</f>
        <v>#REF!</v>
      </c>
      <c r="BZ242" t="e">
        <f>IF(#REF!,"AAAAAHF6X00=",0)</f>
        <v>#REF!</v>
      </c>
      <c r="CA242" t="e">
        <f>IF(#REF!,"AAAAAHF6X04=",0)</f>
        <v>#REF!</v>
      </c>
      <c r="CB242" t="e">
        <f>IF(#REF!,"AAAAAHF6X08=",0)</f>
        <v>#REF!</v>
      </c>
      <c r="CC242" t="e">
        <f>IF(#REF!,"AAAAAHF6X1A=",0)</f>
        <v>#REF!</v>
      </c>
      <c r="CD242" t="e">
        <f>IF(#REF!,"AAAAAHF6X1E=",0)</f>
        <v>#REF!</v>
      </c>
      <c r="CE242" t="e">
        <f>IF(#REF!,"AAAAAHF6X1I=",0)</f>
        <v>#REF!</v>
      </c>
      <c r="CF242" t="e">
        <f>IF(#REF!,"AAAAAHF6X1M=",0)</f>
        <v>#REF!</v>
      </c>
      <c r="CG242" t="e">
        <f>IF(#REF!,"AAAAAHF6X1Q=",0)</f>
        <v>#REF!</v>
      </c>
      <c r="CH242" t="e">
        <f>IF(#REF!,"AAAAAHF6X1U=",0)</f>
        <v>#REF!</v>
      </c>
      <c r="CI242" t="e">
        <f>IF(#REF!,"AAAAAHF6X1Y=",0)</f>
        <v>#REF!</v>
      </c>
      <c r="CJ242" t="e">
        <f>IF(#REF!,"AAAAAHF6X1c=",0)</f>
        <v>#REF!</v>
      </c>
      <c r="CK242" t="e">
        <f>IF(#REF!,"AAAAAHF6X1g=",0)</f>
        <v>#REF!</v>
      </c>
      <c r="CL242" t="e">
        <f>IF(#REF!,"AAAAAHF6X1k=",0)</f>
        <v>#REF!</v>
      </c>
      <c r="CM242" t="e">
        <f>IF(#REF!,"AAAAAHF6X1o=",0)</f>
        <v>#REF!</v>
      </c>
      <c r="CN242" t="e">
        <f>IF(#REF!,"AAAAAHF6X1s=",0)</f>
        <v>#REF!</v>
      </c>
      <c r="CO242" t="e">
        <f>IF(#REF!,"AAAAAHF6X1w=",0)</f>
        <v>#REF!</v>
      </c>
      <c r="CP242" t="e">
        <f>IF(#REF!,"AAAAAHF6X10=",0)</f>
        <v>#REF!</v>
      </c>
      <c r="CQ242" t="e">
        <f>IF(#REF!,"AAAAAHF6X14=",0)</f>
        <v>#REF!</v>
      </c>
      <c r="CR242" t="e">
        <f>IF(#REF!,"AAAAAHF6X18=",0)</f>
        <v>#REF!</v>
      </c>
      <c r="CS242" t="e">
        <f>IF(#REF!,"AAAAAHF6X2A=",0)</f>
        <v>#REF!</v>
      </c>
      <c r="CT242" t="e">
        <f>IF(#REF!,"AAAAAHF6X2E=",0)</f>
        <v>#REF!</v>
      </c>
      <c r="CU242" t="e">
        <f>IF(#REF!,"AAAAAHF6X2I=",0)</f>
        <v>#REF!</v>
      </c>
      <c r="CV242" t="e">
        <f>IF(#REF!,"AAAAAHF6X2M=",0)</f>
        <v>#REF!</v>
      </c>
      <c r="CW242" t="e">
        <f>IF(#REF!,"AAAAAHF6X2Q=",0)</f>
        <v>#REF!</v>
      </c>
      <c r="CX242" t="e">
        <f>IF(#REF!,"AAAAAHF6X2U=",0)</f>
        <v>#REF!</v>
      </c>
      <c r="CY242" t="e">
        <f>IF(#REF!,"AAAAAHF6X2Y=",0)</f>
        <v>#REF!</v>
      </c>
      <c r="CZ242" t="e">
        <f>IF(#REF!,"AAAAAHF6X2c=",0)</f>
        <v>#REF!</v>
      </c>
      <c r="DA242" t="e">
        <f>IF(#REF!,"AAAAAHF6X2g=",0)</f>
        <v>#REF!</v>
      </c>
      <c r="DB242" t="e">
        <f>IF(#REF!,"AAAAAHF6X2k=",0)</f>
        <v>#REF!</v>
      </c>
      <c r="DC242" t="e">
        <f>IF(#REF!,"AAAAAHF6X2o=",0)</f>
        <v>#REF!</v>
      </c>
      <c r="DD242" t="e">
        <f>IF(#REF!,"AAAAAHF6X2s=",0)</f>
        <v>#REF!</v>
      </c>
      <c r="DE242" t="e">
        <f>IF(#REF!,"AAAAAHF6X2w=",0)</f>
        <v>#REF!</v>
      </c>
      <c r="DF242" t="e">
        <f>IF(#REF!,"AAAAAHF6X20=",0)</f>
        <v>#REF!</v>
      </c>
      <c r="DG242" t="e">
        <f>IF(#REF!,"AAAAAHF6X24=",0)</f>
        <v>#REF!</v>
      </c>
      <c r="DH242" t="e">
        <f>IF(#REF!,"AAAAAHF6X28=",0)</f>
        <v>#REF!</v>
      </c>
      <c r="DI242" t="e">
        <f>IF(#REF!,"AAAAAHF6X3A=",0)</f>
        <v>#REF!</v>
      </c>
      <c r="DJ242" t="e">
        <f>IF(#REF!,"AAAAAHF6X3E=",0)</f>
        <v>#REF!</v>
      </c>
      <c r="DK242" t="e">
        <f>IF(#REF!,"AAAAAHF6X3I=",0)</f>
        <v>#REF!</v>
      </c>
      <c r="DL242" t="e">
        <f>IF(#REF!,"AAAAAHF6X3M=",0)</f>
        <v>#REF!</v>
      </c>
      <c r="DM242" t="e">
        <f>IF(#REF!,"AAAAAHF6X3Q=",0)</f>
        <v>#REF!</v>
      </c>
      <c r="DN242" t="e">
        <f>IF(#REF!,"AAAAAHF6X3U=",0)</f>
        <v>#REF!</v>
      </c>
      <c r="DO242" t="e">
        <f>IF(#REF!,"AAAAAHF6X3Y=",0)</f>
        <v>#REF!</v>
      </c>
      <c r="DP242" t="e">
        <f>IF(#REF!,"AAAAAHF6X3c=",0)</f>
        <v>#REF!</v>
      </c>
      <c r="DQ242" t="e">
        <f>IF(#REF!,"AAAAAHF6X3g=",0)</f>
        <v>#REF!</v>
      </c>
      <c r="DR242" t="e">
        <f>IF(#REF!,"AAAAAHF6X3k=",0)</f>
        <v>#REF!</v>
      </c>
      <c r="DS242" t="e">
        <f>IF(#REF!,"AAAAAHF6X3o=",0)</f>
        <v>#REF!</v>
      </c>
      <c r="DT242" t="e">
        <f>IF(#REF!,"AAAAAHF6X3s=",0)</f>
        <v>#REF!</v>
      </c>
      <c r="DU242" t="e">
        <f>IF(#REF!,"AAAAAHF6X3w=",0)</f>
        <v>#REF!</v>
      </c>
      <c r="DV242" t="e">
        <f>IF(#REF!,"AAAAAHF6X30=",0)</f>
        <v>#REF!</v>
      </c>
      <c r="DW242" t="e">
        <f>IF(#REF!,"AAAAAHF6X34=",0)</f>
        <v>#REF!</v>
      </c>
      <c r="DX242" t="e">
        <f>IF(#REF!,"AAAAAHF6X38=",0)</f>
        <v>#REF!</v>
      </c>
      <c r="DY242" t="e">
        <f>IF(#REF!,"AAAAAHF6X4A=",0)</f>
        <v>#REF!</v>
      </c>
      <c r="DZ242" t="e">
        <f>IF(#REF!,"AAAAAHF6X4E=",0)</f>
        <v>#REF!</v>
      </c>
      <c r="EA242" t="e">
        <f>IF(#REF!,"AAAAAHF6X4I=",0)</f>
        <v>#REF!</v>
      </c>
      <c r="EB242" t="e">
        <f>IF(#REF!,"AAAAAHF6X4M=",0)</f>
        <v>#REF!</v>
      </c>
      <c r="EC242" t="e">
        <f>IF(#REF!,"AAAAAHF6X4Q=",0)</f>
        <v>#REF!</v>
      </c>
      <c r="ED242" t="e">
        <f>IF(#REF!,"AAAAAHF6X4U=",0)</f>
        <v>#REF!</v>
      </c>
      <c r="EE242" t="e">
        <f>IF(#REF!,"AAAAAHF6X4Y=",0)</f>
        <v>#REF!</v>
      </c>
      <c r="EF242" t="e">
        <f>IF(#REF!,"AAAAAHF6X4c=",0)</f>
        <v>#REF!</v>
      </c>
      <c r="EG242" t="e">
        <f>IF(#REF!,"AAAAAHF6X4g=",0)</f>
        <v>#REF!</v>
      </c>
      <c r="EH242" t="e">
        <f>IF(#REF!,"AAAAAHF6X4k=",0)</f>
        <v>#REF!</v>
      </c>
      <c r="EI242" t="e">
        <f>IF(#REF!,"AAAAAHF6X4o=",0)</f>
        <v>#REF!</v>
      </c>
      <c r="EJ242" t="e">
        <f>IF(#REF!,"AAAAAHF6X4s=",0)</f>
        <v>#REF!</v>
      </c>
      <c r="EK242" t="e">
        <f>IF(#REF!,"AAAAAHF6X4w=",0)</f>
        <v>#REF!</v>
      </c>
      <c r="EL242" t="e">
        <f>IF(#REF!,"AAAAAHF6X40=",0)</f>
        <v>#REF!</v>
      </c>
      <c r="EM242" t="e">
        <f>IF(#REF!,"AAAAAHF6X44=",0)</f>
        <v>#REF!</v>
      </c>
      <c r="EN242" t="e">
        <f>IF(#REF!,"AAAAAHF6X48=",0)</f>
        <v>#REF!</v>
      </c>
      <c r="EO242" t="e">
        <f>IF(#REF!,"AAAAAHF6X5A=",0)</f>
        <v>#REF!</v>
      </c>
      <c r="EP242" t="e">
        <f>IF(#REF!,"AAAAAHF6X5E=",0)</f>
        <v>#REF!</v>
      </c>
      <c r="EQ242" t="e">
        <f>IF(#REF!,"AAAAAHF6X5I=",0)</f>
        <v>#REF!</v>
      </c>
      <c r="ER242" t="e">
        <f>IF(#REF!,"AAAAAHF6X5M=",0)</f>
        <v>#REF!</v>
      </c>
      <c r="ES242" t="e">
        <f>IF(#REF!,"AAAAAHF6X5Q=",0)</f>
        <v>#REF!</v>
      </c>
      <c r="ET242" t="e">
        <f>IF(#REF!,"AAAAAHF6X5U=",0)</f>
        <v>#REF!</v>
      </c>
      <c r="EU242" t="e">
        <f>IF(#REF!,"AAAAAHF6X5Y=",0)</f>
        <v>#REF!</v>
      </c>
      <c r="EV242" t="e">
        <f>IF(#REF!,"AAAAAHF6X5c=",0)</f>
        <v>#REF!</v>
      </c>
      <c r="EW242" t="e">
        <f>IF(#REF!,"AAAAAHF6X5g=",0)</f>
        <v>#REF!</v>
      </c>
      <c r="EX242" t="e">
        <f>IF(#REF!,"AAAAAHF6X5k=",0)</f>
        <v>#REF!</v>
      </c>
      <c r="EY242" t="e">
        <f>IF(#REF!,"AAAAAHF6X5o=",0)</f>
        <v>#REF!</v>
      </c>
      <c r="EZ242" t="e">
        <f>IF(#REF!,"AAAAAHF6X5s=",0)</f>
        <v>#REF!</v>
      </c>
      <c r="FA242" t="e">
        <f>IF(#REF!,"AAAAAHF6X5w=",0)</f>
        <v>#REF!</v>
      </c>
      <c r="FB242" t="e">
        <f>IF(#REF!,"AAAAAHF6X50=",0)</f>
        <v>#REF!</v>
      </c>
      <c r="FC242" t="e">
        <f>IF(#REF!,"AAAAAHF6X54=",0)</f>
        <v>#REF!</v>
      </c>
      <c r="FD242" t="e">
        <f>IF(#REF!,"AAAAAHF6X58=",0)</f>
        <v>#REF!</v>
      </c>
      <c r="FE242" t="e">
        <f>IF(#REF!,"AAAAAHF6X6A=",0)</f>
        <v>#REF!</v>
      </c>
      <c r="FF242" t="e">
        <f>IF(#REF!,"AAAAAHF6X6E=",0)</f>
        <v>#REF!</v>
      </c>
      <c r="FG242" t="e">
        <f>IF(#REF!,"AAAAAHF6X6I=",0)</f>
        <v>#REF!</v>
      </c>
      <c r="FH242" t="e">
        <f>IF(#REF!,"AAAAAHF6X6M=",0)</f>
        <v>#REF!</v>
      </c>
      <c r="FI242" t="e">
        <f>IF(#REF!,"AAAAAHF6X6Q=",0)</f>
        <v>#REF!</v>
      </c>
      <c r="FJ242" t="e">
        <f>IF(#REF!,"AAAAAHF6X6U=",0)</f>
        <v>#REF!</v>
      </c>
      <c r="FK242" t="e">
        <f>IF(#REF!,"AAAAAHF6X6Y=",0)</f>
        <v>#REF!</v>
      </c>
      <c r="FL242" t="e">
        <f>IF(#REF!,"AAAAAHF6X6c=",0)</f>
        <v>#REF!</v>
      </c>
      <c r="FM242" t="e">
        <f>IF(#REF!,"AAAAAHF6X6g=",0)</f>
        <v>#REF!</v>
      </c>
      <c r="FN242" t="e">
        <f>IF(#REF!,"AAAAAHF6X6k=",0)</f>
        <v>#REF!</v>
      </c>
      <c r="FO242" t="e">
        <f>IF(#REF!,"AAAAAHF6X6o=",0)</f>
        <v>#REF!</v>
      </c>
      <c r="FP242" t="e">
        <f>IF(#REF!,"AAAAAHF6X6s=",0)</f>
        <v>#REF!</v>
      </c>
      <c r="FQ242" t="e">
        <f>IF(#REF!,"AAAAAHF6X6w=",0)</f>
        <v>#REF!</v>
      </c>
      <c r="FR242" t="e">
        <f>IF(#REF!,"AAAAAHF6X60=",0)</f>
        <v>#REF!</v>
      </c>
      <c r="FS242" t="e">
        <f>IF(#REF!,"AAAAAHF6X64=",0)</f>
        <v>#REF!</v>
      </c>
      <c r="FT242" t="e">
        <f>IF(#REF!,"AAAAAHF6X68=",0)</f>
        <v>#REF!</v>
      </c>
      <c r="FU242" t="e">
        <f>IF(#REF!,"AAAAAHF6X7A=",0)</f>
        <v>#REF!</v>
      </c>
      <c r="FV242" t="e">
        <f>IF(#REF!,"AAAAAHF6X7E=",0)</f>
        <v>#REF!</v>
      </c>
      <c r="FW242" t="e">
        <f>IF(#REF!,"AAAAAHF6X7I=",0)</f>
        <v>#REF!</v>
      </c>
      <c r="FX242" t="e">
        <f>IF(#REF!,"AAAAAHF6X7M=",0)</f>
        <v>#REF!</v>
      </c>
      <c r="FY242" t="e">
        <f>IF(#REF!,"AAAAAHF6X7Q=",0)</f>
        <v>#REF!</v>
      </c>
      <c r="FZ242" t="e">
        <f>IF(#REF!,"AAAAAHF6X7U=",0)</f>
        <v>#REF!</v>
      </c>
      <c r="GA242" t="e">
        <f>IF(#REF!,"AAAAAHF6X7Y=",0)</f>
        <v>#REF!</v>
      </c>
      <c r="GB242" t="e">
        <f>IF(#REF!,"AAAAAHF6X7c=",0)</f>
        <v>#REF!</v>
      </c>
      <c r="GC242" t="e">
        <f>IF(#REF!,"AAAAAHF6X7g=",0)</f>
        <v>#REF!</v>
      </c>
      <c r="GD242" t="e">
        <f>IF(#REF!,"AAAAAHF6X7k=",0)</f>
        <v>#REF!</v>
      </c>
      <c r="GE242" t="e">
        <f>IF(#REF!,"AAAAAHF6X7o=",0)</f>
        <v>#REF!</v>
      </c>
      <c r="GF242" t="e">
        <f>IF(#REF!,"AAAAAHF6X7s=",0)</f>
        <v>#REF!</v>
      </c>
      <c r="GG242" t="e">
        <f>IF(#REF!,"AAAAAHF6X7w=",0)</f>
        <v>#REF!</v>
      </c>
      <c r="GH242" t="e">
        <f>IF(#REF!,"AAAAAHF6X70=",0)</f>
        <v>#REF!</v>
      </c>
      <c r="GI242" t="e">
        <f>IF(#REF!,"AAAAAHF6X74=",0)</f>
        <v>#REF!</v>
      </c>
      <c r="GJ242" t="e">
        <f>IF(#REF!,"AAAAAHF6X78=",0)</f>
        <v>#REF!</v>
      </c>
      <c r="GK242" t="e">
        <f>IF(#REF!,"AAAAAHF6X8A=",0)</f>
        <v>#REF!</v>
      </c>
      <c r="GL242" t="e">
        <f>IF(#REF!,"AAAAAHF6X8E=",0)</f>
        <v>#REF!</v>
      </c>
      <c r="GM242" t="e">
        <f>IF(#REF!,"AAAAAHF6X8I=",0)</f>
        <v>#REF!</v>
      </c>
      <c r="GN242" t="e">
        <f>IF(#REF!,"AAAAAHF6X8M=",0)</f>
        <v>#REF!</v>
      </c>
      <c r="GO242" t="e">
        <f>IF(#REF!,"AAAAAHF6X8Q=",0)</f>
        <v>#REF!</v>
      </c>
      <c r="GP242" t="e">
        <f>IF(#REF!,"AAAAAHF6X8U=",0)</f>
        <v>#REF!</v>
      </c>
      <c r="GQ242" t="e">
        <f>IF(#REF!,"AAAAAHF6X8Y=",0)</f>
        <v>#REF!</v>
      </c>
      <c r="GR242" t="e">
        <f>IF(#REF!,"AAAAAHF6X8c=",0)</f>
        <v>#REF!</v>
      </c>
      <c r="GS242" t="e">
        <f>IF(#REF!,"AAAAAHF6X8g=",0)</f>
        <v>#REF!</v>
      </c>
      <c r="GT242" t="e">
        <f>IF(#REF!,"AAAAAHF6X8k=",0)</f>
        <v>#REF!</v>
      </c>
      <c r="GU242" t="e">
        <f>IF(#REF!,"AAAAAHF6X8o=",0)</f>
        <v>#REF!</v>
      </c>
      <c r="GV242" t="e">
        <f>IF(#REF!,"AAAAAHF6X8s=",0)</f>
        <v>#REF!</v>
      </c>
      <c r="GW242" t="e">
        <f>IF(#REF!,"AAAAAHF6X8w=",0)</f>
        <v>#REF!</v>
      </c>
      <c r="GX242" t="e">
        <f>IF(#REF!,"AAAAAHF6X80=",0)</f>
        <v>#REF!</v>
      </c>
      <c r="GY242" t="e">
        <f>IF(#REF!,"AAAAAHF6X84=",0)</f>
        <v>#REF!</v>
      </c>
      <c r="GZ242" t="e">
        <f>IF(#REF!,"AAAAAHF6X88=",0)</f>
        <v>#REF!</v>
      </c>
      <c r="HA242" t="e">
        <f>IF(#REF!,"AAAAAHF6X9A=",0)</f>
        <v>#REF!</v>
      </c>
      <c r="HB242" t="e">
        <f>IF(#REF!,"AAAAAHF6X9E=",0)</f>
        <v>#REF!</v>
      </c>
      <c r="HC242" t="e">
        <f>IF(#REF!,"AAAAAHF6X9I=",0)</f>
        <v>#REF!</v>
      </c>
      <c r="HD242" t="e">
        <f>IF(#REF!,"AAAAAHF6X9M=",0)</f>
        <v>#REF!</v>
      </c>
      <c r="HE242" t="e">
        <f>IF(#REF!,"AAAAAHF6X9Q=",0)</f>
        <v>#REF!</v>
      </c>
      <c r="HF242" t="e">
        <f>IF(#REF!,"AAAAAHF6X9U=",0)</f>
        <v>#REF!</v>
      </c>
      <c r="HG242" t="e">
        <f>IF(#REF!,"AAAAAHF6X9Y=",0)</f>
        <v>#REF!</v>
      </c>
      <c r="HH242" t="e">
        <f>IF(#REF!,"AAAAAHF6X9c=",0)</f>
        <v>#REF!</v>
      </c>
      <c r="HI242" t="e">
        <f>IF(#REF!,"AAAAAHF6X9g=",0)</f>
        <v>#REF!</v>
      </c>
      <c r="HJ242" t="e">
        <f>IF(#REF!,"AAAAAHF6X9k=",0)</f>
        <v>#REF!</v>
      </c>
      <c r="HK242" t="e">
        <f>IF(#REF!,"AAAAAHF6X9o=",0)</f>
        <v>#REF!</v>
      </c>
      <c r="HL242" t="e">
        <f>IF(#REF!,"AAAAAHF6X9s=",0)</f>
        <v>#REF!</v>
      </c>
      <c r="HM242" t="e">
        <f>IF(#REF!,"AAAAAHF6X9w=",0)</f>
        <v>#REF!</v>
      </c>
      <c r="HN242" t="e">
        <f>IF(#REF!,"AAAAAHF6X90=",0)</f>
        <v>#REF!</v>
      </c>
      <c r="HO242" t="e">
        <f>IF(#REF!,"AAAAAHF6X94=",0)</f>
        <v>#REF!</v>
      </c>
      <c r="HP242" t="e">
        <f>IF(#REF!,"AAAAAHF6X98=",0)</f>
        <v>#REF!</v>
      </c>
      <c r="HQ242" t="e">
        <f>IF(#REF!,"AAAAAHF6X+A=",0)</f>
        <v>#REF!</v>
      </c>
      <c r="HR242" t="e">
        <f>IF(#REF!,"AAAAAHF6X+E=",0)</f>
        <v>#REF!</v>
      </c>
      <c r="HS242" t="e">
        <f>IF(#REF!,"AAAAAHF6X+I=",0)</f>
        <v>#REF!</v>
      </c>
      <c r="HT242" t="e">
        <f>IF(#REF!,"AAAAAHF6X+M=",0)</f>
        <v>#REF!</v>
      </c>
      <c r="HU242" t="e">
        <f>IF(#REF!,"AAAAAHF6X+Q=",0)</f>
        <v>#REF!</v>
      </c>
      <c r="HV242" t="e">
        <f>IF(#REF!,"AAAAAHF6X+U=",0)</f>
        <v>#REF!</v>
      </c>
      <c r="HW242" t="e">
        <f>IF(#REF!,"AAAAAHF6X+Y=",0)</f>
        <v>#REF!</v>
      </c>
      <c r="HX242" t="e">
        <f>IF(#REF!,"AAAAAHF6X+c=",0)</f>
        <v>#REF!</v>
      </c>
      <c r="HY242" t="e">
        <f>IF(#REF!,"AAAAAHF6X+g=",0)</f>
        <v>#REF!</v>
      </c>
      <c r="HZ242" t="e">
        <f>IF(#REF!,"AAAAAHF6X+k=",0)</f>
        <v>#REF!</v>
      </c>
      <c r="IA242" t="e">
        <f>IF(#REF!,"AAAAAHF6X+o=",0)</f>
        <v>#REF!</v>
      </c>
      <c r="IB242" t="e">
        <f>IF(#REF!,"AAAAAHF6X+s=",0)</f>
        <v>#REF!</v>
      </c>
      <c r="IC242" t="e">
        <f>IF(#REF!,"AAAAAHF6X+w=",0)</f>
        <v>#REF!</v>
      </c>
      <c r="ID242" t="e">
        <f>IF(#REF!,"AAAAAHF6X+0=",0)</f>
        <v>#REF!</v>
      </c>
      <c r="IE242" t="e">
        <f>IF(#REF!,"AAAAAHF6X+4=",0)</f>
        <v>#REF!</v>
      </c>
      <c r="IF242" t="e">
        <f>IF(#REF!,"AAAAAHF6X+8=",0)</f>
        <v>#REF!</v>
      </c>
      <c r="IG242" t="e">
        <f>IF(#REF!,"AAAAAHF6X/A=",0)</f>
        <v>#REF!</v>
      </c>
      <c r="IH242" t="e">
        <f>IF(#REF!,"AAAAAHF6X/E=",0)</f>
        <v>#REF!</v>
      </c>
      <c r="II242" t="e">
        <f>IF(#REF!,"AAAAAHF6X/I=",0)</f>
        <v>#REF!</v>
      </c>
      <c r="IJ242" t="e">
        <f>IF(#REF!,"AAAAAHF6X/M=",0)</f>
        <v>#REF!</v>
      </c>
      <c r="IK242" t="e">
        <f>IF(#REF!,"AAAAAHF6X/Q=",0)</f>
        <v>#REF!</v>
      </c>
      <c r="IL242" t="e">
        <f>IF(#REF!,"AAAAAHF6X/U=",0)</f>
        <v>#REF!</v>
      </c>
      <c r="IM242" t="e">
        <f>IF(#REF!,"AAAAAHF6X/Y=",0)</f>
        <v>#REF!</v>
      </c>
      <c r="IN242" t="e">
        <f>IF(#REF!,"AAAAAHF6X/c=",0)</f>
        <v>#REF!</v>
      </c>
      <c r="IO242" t="e">
        <f>IF(#REF!,"AAAAAHF6X/g=",0)</f>
        <v>#REF!</v>
      </c>
      <c r="IP242" t="e">
        <f>IF(#REF!,"AAAAAHF6X/k=",0)</f>
        <v>#REF!</v>
      </c>
      <c r="IQ242" t="e">
        <f>IF(#REF!,"AAAAAHF6X/o=",0)</f>
        <v>#REF!</v>
      </c>
      <c r="IR242" t="e">
        <f>IF(#REF!,"AAAAAHF6X/s=",0)</f>
        <v>#REF!</v>
      </c>
      <c r="IS242" t="e">
        <f>IF(#REF!,"AAAAAHF6X/w=",0)</f>
        <v>#REF!</v>
      </c>
      <c r="IT242" t="e">
        <f>IF(#REF!,"AAAAAHF6X/0=",0)</f>
        <v>#REF!</v>
      </c>
      <c r="IU242" t="e">
        <f>IF(#REF!,"AAAAAHF6X/4=",0)</f>
        <v>#REF!</v>
      </c>
      <c r="IV242" t="e">
        <f>IF(#REF!,"AAAAAHF6X/8=",0)</f>
        <v>#REF!</v>
      </c>
    </row>
    <row r="243" spans="1:256">
      <c r="A243" t="e">
        <f>IF(#REF!,"AAAAAH7v+gA=",0)</f>
        <v>#REF!</v>
      </c>
      <c r="B243" t="e">
        <f>IF(#REF!,"AAAAAH7v+gE=",0)</f>
        <v>#REF!</v>
      </c>
      <c r="C243" t="e">
        <f>IF(#REF!,"AAAAAH7v+gI=",0)</f>
        <v>#REF!</v>
      </c>
      <c r="D243" t="e">
        <f>IF(#REF!,"AAAAAH7v+gM=",0)</f>
        <v>#REF!</v>
      </c>
      <c r="E243" t="e">
        <f>IF(#REF!,"AAAAAH7v+gQ=",0)</f>
        <v>#REF!</v>
      </c>
      <c r="F243" t="e">
        <f>IF(#REF!,"AAAAAH7v+gU=",0)</f>
        <v>#REF!</v>
      </c>
      <c r="G243" t="e">
        <f>IF(#REF!,"AAAAAH7v+gY=",0)</f>
        <v>#REF!</v>
      </c>
      <c r="H243" t="e">
        <f>IF(#REF!,"AAAAAH7v+gc=",0)</f>
        <v>#REF!</v>
      </c>
      <c r="I243" t="e">
        <f>IF(#REF!,"AAAAAH7v+gg=",0)</f>
        <v>#REF!</v>
      </c>
      <c r="J243" t="e">
        <f>IF(#REF!,"AAAAAH7v+gk=",0)</f>
        <v>#REF!</v>
      </c>
      <c r="K243" t="e">
        <f>IF(#REF!,"AAAAAH7v+go=",0)</f>
        <v>#REF!</v>
      </c>
      <c r="L243" t="e">
        <f>IF(#REF!,"AAAAAH7v+gs=",0)</f>
        <v>#REF!</v>
      </c>
      <c r="M243" t="e">
        <f>IF(#REF!,"AAAAAH7v+gw=",0)</f>
        <v>#REF!</v>
      </c>
      <c r="N243" t="e">
        <f>IF(#REF!,"AAAAAH7v+g0=",0)</f>
        <v>#REF!</v>
      </c>
      <c r="O243" t="e">
        <f>IF(#REF!,"AAAAAH7v+g4=",0)</f>
        <v>#REF!</v>
      </c>
      <c r="P243" t="e">
        <f>IF(#REF!,"AAAAAH7v+g8=",0)</f>
        <v>#REF!</v>
      </c>
      <c r="Q243" t="e">
        <f>IF(#REF!,"AAAAAH7v+hA=",0)</f>
        <v>#REF!</v>
      </c>
      <c r="R243" t="e">
        <f>IF(#REF!,"AAAAAH7v+hE=",0)</f>
        <v>#REF!</v>
      </c>
      <c r="S243" t="e">
        <f>IF(#REF!,"AAAAAH7v+hI=",0)</f>
        <v>#REF!</v>
      </c>
      <c r="T243" t="e">
        <f>IF(#REF!,"AAAAAH7v+hM=",0)</f>
        <v>#REF!</v>
      </c>
      <c r="U243" t="e">
        <f>IF(#REF!,"AAAAAH7v+hQ=",0)</f>
        <v>#REF!</v>
      </c>
      <c r="V243" t="e">
        <f>IF(#REF!,"AAAAAH7v+hU=",0)</f>
        <v>#REF!</v>
      </c>
      <c r="W243" t="e">
        <f>IF(#REF!,"AAAAAH7v+hY=",0)</f>
        <v>#REF!</v>
      </c>
      <c r="X243" t="e">
        <f>IF(#REF!,"AAAAAH7v+hc=",0)</f>
        <v>#REF!</v>
      </c>
      <c r="Y243" t="e">
        <f>IF(#REF!,"AAAAAH7v+hg=",0)</f>
        <v>#REF!</v>
      </c>
      <c r="Z243" t="e">
        <f>IF(#REF!,"AAAAAH7v+hk=",0)</f>
        <v>#REF!</v>
      </c>
      <c r="AA243" t="e">
        <f>IF(#REF!,"AAAAAH7v+ho=",0)</f>
        <v>#REF!</v>
      </c>
      <c r="AB243" t="e">
        <f>IF(#REF!,"AAAAAH7v+hs=",0)</f>
        <v>#REF!</v>
      </c>
      <c r="AC243" t="e">
        <f>IF(#REF!,"AAAAAH7v+hw=",0)</f>
        <v>#REF!</v>
      </c>
      <c r="AD243" t="e">
        <f>IF(#REF!,"AAAAAH7v+h0=",0)</f>
        <v>#REF!</v>
      </c>
      <c r="AE243" t="e">
        <f>IF(#REF!,"AAAAAH7v+h4=",0)</f>
        <v>#REF!</v>
      </c>
      <c r="AF243" t="e">
        <f>IF(#REF!,"AAAAAH7v+h8=",0)</f>
        <v>#REF!</v>
      </c>
      <c r="AG243" t="e">
        <f>IF(#REF!,"AAAAAH7v+iA=",0)</f>
        <v>#REF!</v>
      </c>
      <c r="AH243" t="e">
        <f>IF(#REF!,"AAAAAH7v+iE=",0)</f>
        <v>#REF!</v>
      </c>
      <c r="AI243" t="e">
        <f>IF(#REF!,"AAAAAH7v+iI=",0)</f>
        <v>#REF!</v>
      </c>
      <c r="AJ243" t="e">
        <f>IF(#REF!,"AAAAAH7v+iM=",0)</f>
        <v>#REF!</v>
      </c>
      <c r="AK243" t="e">
        <f>IF(#REF!,"AAAAAH7v+iQ=",0)</f>
        <v>#REF!</v>
      </c>
      <c r="AL243" t="e">
        <f>IF(#REF!,"AAAAAH7v+iU=",0)</f>
        <v>#REF!</v>
      </c>
      <c r="AM243" t="e">
        <f>IF(#REF!,"AAAAAH7v+iY=",0)</f>
        <v>#REF!</v>
      </c>
      <c r="AN243" t="e">
        <f>IF(#REF!,"AAAAAH7v+ic=",0)</f>
        <v>#REF!</v>
      </c>
      <c r="AO243" t="e">
        <f>IF(#REF!,"AAAAAH7v+ig=",0)</f>
        <v>#REF!</v>
      </c>
      <c r="AP243" t="e">
        <f>IF(#REF!,"AAAAAH7v+ik=",0)</f>
        <v>#REF!</v>
      </c>
      <c r="AQ243" t="e">
        <f>IF(#REF!,"AAAAAH7v+io=",0)</f>
        <v>#REF!</v>
      </c>
      <c r="AR243" t="e">
        <f>IF(#REF!,"AAAAAH7v+is=",0)</f>
        <v>#REF!</v>
      </c>
      <c r="AS243" t="e">
        <f>IF(#REF!,"AAAAAH7v+iw=",0)</f>
        <v>#REF!</v>
      </c>
      <c r="AT243" t="e">
        <f>IF(#REF!,"AAAAAH7v+i0=",0)</f>
        <v>#REF!</v>
      </c>
      <c r="AU243" t="e">
        <f>IF(#REF!,"AAAAAH7v+i4=",0)</f>
        <v>#REF!</v>
      </c>
      <c r="AV243" t="e">
        <f>IF(#REF!,"AAAAAH7v+i8=",0)</f>
        <v>#REF!</v>
      </c>
      <c r="AW243" t="e">
        <f>IF(#REF!,"AAAAAH7v+jA=",0)</f>
        <v>#REF!</v>
      </c>
      <c r="AX243" t="e">
        <f>IF(#REF!,"AAAAAH7v+jE=",0)</f>
        <v>#REF!</v>
      </c>
      <c r="AY243" t="e">
        <f>IF(#REF!,"AAAAAH7v+jI=",0)</f>
        <v>#REF!</v>
      </c>
      <c r="AZ243" t="e">
        <f>IF(#REF!,"AAAAAH7v+jM=",0)</f>
        <v>#REF!</v>
      </c>
      <c r="BA243" t="e">
        <f>IF(#REF!,"AAAAAH7v+jQ=",0)</f>
        <v>#REF!</v>
      </c>
      <c r="BB243" t="e">
        <f>IF(#REF!,"AAAAAH7v+jU=",0)</f>
        <v>#REF!</v>
      </c>
      <c r="BC243" t="e">
        <f>IF(#REF!,"AAAAAH7v+jY=",0)</f>
        <v>#REF!</v>
      </c>
      <c r="BD243" t="e">
        <f>IF(#REF!,"AAAAAH7v+jc=",0)</f>
        <v>#REF!</v>
      </c>
      <c r="BE243" t="e">
        <f>IF(#REF!,"AAAAAH7v+jg=",0)</f>
        <v>#REF!</v>
      </c>
      <c r="BF243" t="e">
        <f>IF(#REF!,"AAAAAH7v+jk=",0)</f>
        <v>#REF!</v>
      </c>
      <c r="BG243" t="e">
        <f>IF(#REF!,"AAAAAH7v+jo=",0)</f>
        <v>#REF!</v>
      </c>
      <c r="BH243" t="e">
        <f>IF(#REF!,"AAAAAH7v+js=",0)</f>
        <v>#REF!</v>
      </c>
      <c r="BI243" t="e">
        <f>IF(#REF!,"AAAAAH7v+jw=",0)</f>
        <v>#REF!</v>
      </c>
      <c r="BJ243" t="e">
        <f>IF(#REF!,"AAAAAH7v+j0=",0)</f>
        <v>#REF!</v>
      </c>
      <c r="BK243" t="e">
        <f>IF(#REF!,"AAAAAH7v+j4=",0)</f>
        <v>#REF!</v>
      </c>
      <c r="BL243" t="e">
        <f>IF(#REF!,"AAAAAH7v+j8=",0)</f>
        <v>#REF!</v>
      </c>
      <c r="BM243" t="e">
        <f>IF(#REF!,"AAAAAH7v+kA=",0)</f>
        <v>#REF!</v>
      </c>
      <c r="BN243" t="e">
        <f>IF(#REF!,"AAAAAH7v+kE=",0)</f>
        <v>#REF!</v>
      </c>
      <c r="BO243" t="e">
        <f>IF(#REF!,"AAAAAH7v+kI=",0)</f>
        <v>#REF!</v>
      </c>
      <c r="BP243" t="e">
        <f>IF(#REF!,"AAAAAH7v+kM=",0)</f>
        <v>#REF!</v>
      </c>
      <c r="BQ243" t="e">
        <f>IF(#REF!,"AAAAAH7v+kQ=",0)</f>
        <v>#REF!</v>
      </c>
      <c r="BR243" t="e">
        <f>IF(#REF!,"AAAAAH7v+kU=",0)</f>
        <v>#REF!</v>
      </c>
      <c r="BS243" t="e">
        <f>IF(#REF!,"AAAAAH7v+kY=",0)</f>
        <v>#REF!</v>
      </c>
      <c r="BT243" t="e">
        <f>IF(#REF!,"AAAAAH7v+kc=",0)</f>
        <v>#REF!</v>
      </c>
      <c r="BU243" t="e">
        <f>IF(#REF!,"AAAAAH7v+kg=",0)</f>
        <v>#REF!</v>
      </c>
      <c r="BV243" t="e">
        <f>IF(#REF!,"AAAAAH7v+kk=",0)</f>
        <v>#REF!</v>
      </c>
      <c r="BW243" t="e">
        <f>IF(#REF!,"AAAAAH7v+ko=",0)</f>
        <v>#REF!</v>
      </c>
      <c r="BX243" t="e">
        <f>IF(#REF!,"AAAAAH7v+ks=",0)</f>
        <v>#REF!</v>
      </c>
      <c r="BY243" t="e">
        <f>IF(#REF!,"AAAAAH7v+kw=",0)</f>
        <v>#REF!</v>
      </c>
      <c r="BZ243" t="e">
        <f>IF(#REF!,"AAAAAH7v+k0=",0)</f>
        <v>#REF!</v>
      </c>
      <c r="CA243" t="e">
        <f>IF(#REF!,"AAAAAH7v+k4=",0)</f>
        <v>#REF!</v>
      </c>
      <c r="CB243" t="e">
        <f>IF(#REF!,"AAAAAH7v+k8=",0)</f>
        <v>#REF!</v>
      </c>
      <c r="CC243" t="e">
        <f>IF(#REF!,"AAAAAH7v+lA=",0)</f>
        <v>#REF!</v>
      </c>
      <c r="CD243" t="e">
        <f>IF(#REF!,"AAAAAH7v+lE=",0)</f>
        <v>#REF!</v>
      </c>
      <c r="CE243" t="e">
        <f>IF(#REF!,"AAAAAH7v+lI=",0)</f>
        <v>#REF!</v>
      </c>
      <c r="CF243" t="e">
        <f>IF(#REF!,"AAAAAH7v+lM=",0)</f>
        <v>#REF!</v>
      </c>
      <c r="CG243" t="e">
        <f>IF(#REF!,"AAAAAH7v+lQ=",0)</f>
        <v>#REF!</v>
      </c>
      <c r="CH243" t="e">
        <f>IF(#REF!,"AAAAAH7v+lU=",0)</f>
        <v>#REF!</v>
      </c>
      <c r="CI243" t="e">
        <f>IF(#REF!,"AAAAAH7v+lY=",0)</f>
        <v>#REF!</v>
      </c>
      <c r="CJ243" t="e">
        <f>IF(#REF!,"AAAAAH7v+lc=",0)</f>
        <v>#REF!</v>
      </c>
      <c r="CK243" t="e">
        <f>IF(#REF!,"AAAAAH7v+lg=",0)</f>
        <v>#REF!</v>
      </c>
      <c r="CL243" t="e">
        <f>IF(#REF!,"AAAAAH7v+lk=",0)</f>
        <v>#REF!</v>
      </c>
      <c r="CM243" t="e">
        <f>IF(#REF!,"AAAAAH7v+lo=",0)</f>
        <v>#REF!</v>
      </c>
      <c r="CN243" t="e">
        <f>IF(#REF!,"AAAAAH7v+ls=",0)</f>
        <v>#REF!</v>
      </c>
      <c r="CO243" t="e">
        <f>IF(#REF!,"AAAAAH7v+lw=",0)</f>
        <v>#REF!</v>
      </c>
      <c r="CP243" t="e">
        <f>IF(#REF!,"AAAAAH7v+l0=",0)</f>
        <v>#REF!</v>
      </c>
      <c r="CQ243" t="e">
        <f>IF(#REF!,"AAAAAH7v+l4=",0)</f>
        <v>#REF!</v>
      </c>
      <c r="CR243" t="e">
        <f>IF(#REF!,"AAAAAH7v+l8=",0)</f>
        <v>#REF!</v>
      </c>
      <c r="CS243" t="e">
        <f>IF(#REF!,"AAAAAH7v+mA=",0)</f>
        <v>#REF!</v>
      </c>
      <c r="CT243" t="e">
        <f>IF(#REF!,"AAAAAH7v+mE=",0)</f>
        <v>#REF!</v>
      </c>
      <c r="CU243" t="e">
        <f>IF(#REF!,"AAAAAH7v+mI=",0)</f>
        <v>#REF!</v>
      </c>
      <c r="CV243" t="e">
        <f>IF(#REF!,"AAAAAH7v+mM=",0)</f>
        <v>#REF!</v>
      </c>
      <c r="CW243" t="e">
        <f>IF(#REF!,"AAAAAH7v+mQ=",0)</f>
        <v>#REF!</v>
      </c>
      <c r="CX243" t="e">
        <f>IF(#REF!,"AAAAAH7v+mU=",0)</f>
        <v>#REF!</v>
      </c>
      <c r="CY243" t="e">
        <f>IF(#REF!,"AAAAAH7v+mY=",0)</f>
        <v>#REF!</v>
      </c>
      <c r="CZ243" t="e">
        <f>IF(#REF!,"AAAAAH7v+mc=",0)</f>
        <v>#REF!</v>
      </c>
      <c r="DA243" t="e">
        <f>IF(#REF!,"AAAAAH7v+mg=",0)</f>
        <v>#REF!</v>
      </c>
      <c r="DB243" t="e">
        <f>IF(#REF!,"AAAAAH7v+mk=",0)</f>
        <v>#REF!</v>
      </c>
      <c r="DC243" t="e">
        <f>IF(#REF!,"AAAAAH7v+mo=",0)</f>
        <v>#REF!</v>
      </c>
      <c r="DD243" t="e">
        <f>IF(#REF!,"AAAAAH7v+ms=",0)</f>
        <v>#REF!</v>
      </c>
      <c r="DE243" t="e">
        <f>IF(#REF!,"AAAAAH7v+mw=",0)</f>
        <v>#REF!</v>
      </c>
      <c r="DF243" t="e">
        <f>IF(#REF!,"AAAAAH7v+m0=",0)</f>
        <v>#REF!</v>
      </c>
      <c r="DG243" t="e">
        <f>IF(#REF!,"AAAAAH7v+m4=",0)</f>
        <v>#REF!</v>
      </c>
      <c r="DH243" t="e">
        <f>IF(#REF!,"AAAAAH7v+m8=",0)</f>
        <v>#REF!</v>
      </c>
      <c r="DI243" t="e">
        <f>IF(#REF!,"AAAAAH7v+nA=",0)</f>
        <v>#REF!</v>
      </c>
      <c r="DJ243" t="e">
        <f>IF(#REF!,"AAAAAH7v+nE=",0)</f>
        <v>#REF!</v>
      </c>
      <c r="DK243" t="e">
        <f>IF(#REF!,"AAAAAH7v+nI=",0)</f>
        <v>#REF!</v>
      </c>
      <c r="DL243" t="e">
        <f>IF(#REF!,"AAAAAH7v+nM=",0)</f>
        <v>#REF!</v>
      </c>
      <c r="DM243" t="e">
        <f>IF(#REF!,"AAAAAH7v+nQ=",0)</f>
        <v>#REF!</v>
      </c>
      <c r="DN243" t="e">
        <f>IF(#REF!,"AAAAAH7v+nU=",0)</f>
        <v>#REF!</v>
      </c>
      <c r="DO243" t="e">
        <f>IF(#REF!,"AAAAAH7v+nY=",0)</f>
        <v>#REF!</v>
      </c>
      <c r="DP243" t="e">
        <f>IF(#REF!,"AAAAAH7v+nc=",0)</f>
        <v>#REF!</v>
      </c>
      <c r="DQ243" t="e">
        <f>IF(#REF!,"AAAAAH7v+ng=",0)</f>
        <v>#REF!</v>
      </c>
      <c r="DR243" t="e">
        <f>IF(#REF!,"AAAAAH7v+nk=",0)</f>
        <v>#REF!</v>
      </c>
      <c r="DS243" t="e">
        <f>IF(#REF!,"AAAAAH7v+no=",0)</f>
        <v>#REF!</v>
      </c>
      <c r="DT243" t="e">
        <f>IF(#REF!,"AAAAAH7v+ns=",0)</f>
        <v>#REF!</v>
      </c>
      <c r="DU243" t="e">
        <f>IF(#REF!,"AAAAAH7v+nw=",0)</f>
        <v>#REF!</v>
      </c>
      <c r="DV243" t="e">
        <f>IF(#REF!,"AAAAAH7v+n0=",0)</f>
        <v>#REF!</v>
      </c>
      <c r="DW243" t="e">
        <f>IF(#REF!,"AAAAAH7v+n4=",0)</f>
        <v>#REF!</v>
      </c>
      <c r="DX243" t="e">
        <f>IF(#REF!,"AAAAAH7v+n8=",0)</f>
        <v>#REF!</v>
      </c>
      <c r="DY243" t="e">
        <f>IF(#REF!,"AAAAAH7v+oA=",0)</f>
        <v>#REF!</v>
      </c>
      <c r="DZ243" t="e">
        <f>IF(#REF!,"AAAAAH7v+oE=",0)</f>
        <v>#REF!</v>
      </c>
      <c r="EA243" t="e">
        <f>IF(#REF!,"AAAAAH7v+oI=",0)</f>
        <v>#REF!</v>
      </c>
      <c r="EB243" t="e">
        <f>IF(#REF!,"AAAAAH7v+oM=",0)</f>
        <v>#REF!</v>
      </c>
      <c r="EC243" t="e">
        <f>IF(#REF!,"AAAAAH7v+oQ=",0)</f>
        <v>#REF!</v>
      </c>
      <c r="ED243" t="e">
        <f>IF(#REF!,"AAAAAH7v+oU=",0)</f>
        <v>#REF!</v>
      </c>
      <c r="EE243" t="e">
        <f>IF(#REF!,"AAAAAH7v+oY=",0)</f>
        <v>#REF!</v>
      </c>
      <c r="EF243" t="e">
        <f>IF(#REF!,"AAAAAH7v+oc=",0)</f>
        <v>#REF!</v>
      </c>
      <c r="EG243" t="e">
        <f>IF(#REF!,"AAAAAH7v+og=",0)</f>
        <v>#REF!</v>
      </c>
      <c r="EH243" t="e">
        <f>IF(#REF!,"AAAAAH7v+ok=",0)</f>
        <v>#REF!</v>
      </c>
      <c r="EI243" t="e">
        <f>IF(#REF!,"AAAAAH7v+oo=",0)</f>
        <v>#REF!</v>
      </c>
      <c r="EJ243" t="e">
        <f>IF(#REF!,"AAAAAH7v+os=",0)</f>
        <v>#REF!</v>
      </c>
      <c r="EK243" t="e">
        <f>IF(#REF!,"AAAAAH7v+ow=",0)</f>
        <v>#REF!</v>
      </c>
      <c r="EL243" t="e">
        <f>IF(#REF!,"AAAAAH7v+o0=",0)</f>
        <v>#REF!</v>
      </c>
      <c r="EM243" t="e">
        <f>IF(#REF!,"AAAAAH7v+o4=",0)</f>
        <v>#REF!</v>
      </c>
      <c r="EN243" t="e">
        <f>IF(#REF!,"AAAAAH7v+o8=",0)</f>
        <v>#REF!</v>
      </c>
      <c r="EO243" t="e">
        <f>IF(#REF!,"AAAAAH7v+pA=",0)</f>
        <v>#REF!</v>
      </c>
      <c r="EP243" t="e">
        <f>IF(#REF!,"AAAAAH7v+pE=",0)</f>
        <v>#REF!</v>
      </c>
      <c r="EQ243" t="e">
        <f>IF(#REF!,"AAAAAH7v+pI=",0)</f>
        <v>#REF!</v>
      </c>
      <c r="ER243" t="e">
        <f>IF(#REF!,"AAAAAH7v+pM=",0)</f>
        <v>#REF!</v>
      </c>
      <c r="ES243" t="e">
        <f>IF(#REF!,"AAAAAH7v+pQ=",0)</f>
        <v>#REF!</v>
      </c>
      <c r="ET243" t="e">
        <f>IF(#REF!,"AAAAAH7v+pU=",0)</f>
        <v>#REF!</v>
      </c>
      <c r="EU243" t="e">
        <f>IF(#REF!,"AAAAAH7v+pY=",0)</f>
        <v>#REF!</v>
      </c>
      <c r="EV243" t="e">
        <f>IF(#REF!,"AAAAAH7v+pc=",0)</f>
        <v>#REF!</v>
      </c>
      <c r="EW243" t="e">
        <f>IF(#REF!,"AAAAAH7v+pg=",0)</f>
        <v>#REF!</v>
      </c>
      <c r="EX243" t="e">
        <f>IF(#REF!,"AAAAAH7v+pk=",0)</f>
        <v>#REF!</v>
      </c>
      <c r="EY243" t="e">
        <f>IF(#REF!,"AAAAAH7v+po=",0)</f>
        <v>#REF!</v>
      </c>
      <c r="EZ243" t="e">
        <f>IF(#REF!,"AAAAAH7v+ps=",0)</f>
        <v>#REF!</v>
      </c>
      <c r="FA243" t="e">
        <f>IF(#REF!,"AAAAAH7v+pw=",0)</f>
        <v>#REF!</v>
      </c>
      <c r="FB243" t="e">
        <f>IF(#REF!,"AAAAAH7v+p0=",0)</f>
        <v>#REF!</v>
      </c>
      <c r="FC243" t="e">
        <f>IF(#REF!,"AAAAAH7v+p4=",0)</f>
        <v>#REF!</v>
      </c>
      <c r="FD243" t="e">
        <f>IF(#REF!,"AAAAAH7v+p8=",0)</f>
        <v>#REF!</v>
      </c>
      <c r="FE243" t="e">
        <f>IF(#REF!,"AAAAAH7v+qA=",0)</f>
        <v>#REF!</v>
      </c>
      <c r="FF243" t="e">
        <f>IF(#REF!,"AAAAAH7v+qE=",0)</f>
        <v>#REF!</v>
      </c>
      <c r="FG243" t="e">
        <f>IF(#REF!,"AAAAAH7v+qI=",0)</f>
        <v>#REF!</v>
      </c>
      <c r="FH243" t="e">
        <f>IF(#REF!,"AAAAAH7v+qM=",0)</f>
        <v>#REF!</v>
      </c>
      <c r="FI243" t="e">
        <f>IF(#REF!,"AAAAAH7v+qQ=",0)</f>
        <v>#REF!</v>
      </c>
      <c r="FJ243" t="e">
        <f>IF(#REF!,"AAAAAH7v+qU=",0)</f>
        <v>#REF!</v>
      </c>
      <c r="FK243" t="e">
        <f>IF(#REF!,"AAAAAH7v+qY=",0)</f>
        <v>#REF!</v>
      </c>
      <c r="FL243" t="e">
        <f>IF(#REF!,"AAAAAH7v+qc=",0)</f>
        <v>#REF!</v>
      </c>
      <c r="FM243" t="e">
        <f>IF(#REF!,"AAAAAH7v+qg=",0)</f>
        <v>#REF!</v>
      </c>
      <c r="FN243" t="e">
        <f>IF(#REF!,"AAAAAH7v+qk=",0)</f>
        <v>#REF!</v>
      </c>
      <c r="FO243" t="e">
        <f>IF(#REF!,"AAAAAH7v+qo=",0)</f>
        <v>#REF!</v>
      </c>
      <c r="FP243" t="e">
        <f>IF(#REF!,"AAAAAH7v+qs=",0)</f>
        <v>#REF!</v>
      </c>
      <c r="FQ243" t="e">
        <f>IF(#REF!,"AAAAAH7v+qw=",0)</f>
        <v>#REF!</v>
      </c>
      <c r="FR243" t="e">
        <f>IF(#REF!,"AAAAAH7v+q0=",0)</f>
        <v>#REF!</v>
      </c>
      <c r="FS243" t="e">
        <f>IF(#REF!,"AAAAAH7v+q4=",0)</f>
        <v>#REF!</v>
      </c>
      <c r="FT243" t="e">
        <f>IF(#REF!,"AAAAAH7v+q8=",0)</f>
        <v>#REF!</v>
      </c>
      <c r="FU243" t="e">
        <f>IF(#REF!,"AAAAAH7v+rA=",0)</f>
        <v>#REF!</v>
      </c>
      <c r="FV243" t="e">
        <f>IF(#REF!,"AAAAAH7v+rE=",0)</f>
        <v>#REF!</v>
      </c>
      <c r="FW243" t="e">
        <f>IF(#REF!,"AAAAAH7v+rI=",0)</f>
        <v>#REF!</v>
      </c>
      <c r="FX243" t="e">
        <f>IF(#REF!,"AAAAAH7v+rM=",0)</f>
        <v>#REF!</v>
      </c>
      <c r="FY243" t="e">
        <f>IF(#REF!,"AAAAAH7v+rQ=",0)</f>
        <v>#REF!</v>
      </c>
      <c r="FZ243" t="e">
        <f>IF(#REF!,"AAAAAH7v+rU=",0)</f>
        <v>#REF!</v>
      </c>
      <c r="GA243" t="e">
        <f>IF(#REF!,"AAAAAH7v+rY=",0)</f>
        <v>#REF!</v>
      </c>
      <c r="GB243" t="e">
        <f>IF(#REF!,"AAAAAH7v+rc=",0)</f>
        <v>#REF!</v>
      </c>
      <c r="GC243" t="e">
        <f>IF(#REF!,"AAAAAH7v+rg=",0)</f>
        <v>#REF!</v>
      </c>
      <c r="GD243" t="e">
        <f>IF(#REF!,"AAAAAH7v+rk=",0)</f>
        <v>#REF!</v>
      </c>
      <c r="GE243" t="e">
        <f>IF(#REF!,"AAAAAH7v+ro=",0)</f>
        <v>#REF!</v>
      </c>
      <c r="GF243" t="e">
        <f>IF(#REF!,"AAAAAH7v+rs=",0)</f>
        <v>#REF!</v>
      </c>
      <c r="GG243" t="e">
        <f>IF(#REF!,"AAAAAH7v+rw=",0)</f>
        <v>#REF!</v>
      </c>
      <c r="GH243" t="e">
        <f>IF(#REF!,"AAAAAH7v+r0=",0)</f>
        <v>#REF!</v>
      </c>
      <c r="GI243" t="e">
        <f>IF(#REF!,"AAAAAH7v+r4=",0)</f>
        <v>#REF!</v>
      </c>
      <c r="GJ243" t="e">
        <f>IF(#REF!,"AAAAAH7v+r8=",0)</f>
        <v>#REF!</v>
      </c>
      <c r="GK243" t="e">
        <f>IF(#REF!,"AAAAAH7v+sA=",0)</f>
        <v>#REF!</v>
      </c>
      <c r="GL243" t="e">
        <f>IF(#REF!,"AAAAAH7v+sE=",0)</f>
        <v>#REF!</v>
      </c>
      <c r="GM243" t="e">
        <f>IF(#REF!,"AAAAAH7v+sI=",0)</f>
        <v>#REF!</v>
      </c>
      <c r="GN243" t="e">
        <f>IF(#REF!,"AAAAAH7v+sM=",0)</f>
        <v>#REF!</v>
      </c>
      <c r="GO243" t="e">
        <f>IF(#REF!,"AAAAAH7v+sQ=",0)</f>
        <v>#REF!</v>
      </c>
      <c r="GP243" t="e">
        <f>IF(#REF!,"AAAAAH7v+sU=",0)</f>
        <v>#REF!</v>
      </c>
      <c r="GQ243" t="e">
        <f>IF(#REF!,"AAAAAH7v+sY=",0)</f>
        <v>#REF!</v>
      </c>
      <c r="GR243" t="e">
        <f>IF(#REF!,"AAAAAH7v+sc=",0)</f>
        <v>#REF!</v>
      </c>
      <c r="GS243" t="e">
        <f>IF(#REF!,"AAAAAH7v+sg=",0)</f>
        <v>#REF!</v>
      </c>
      <c r="GT243" t="e">
        <f>IF(#REF!,"AAAAAH7v+sk=",0)</f>
        <v>#REF!</v>
      </c>
      <c r="GU243" t="e">
        <f>IF(#REF!,"AAAAAH7v+so=",0)</f>
        <v>#REF!</v>
      </c>
      <c r="GV243" t="e">
        <f>IF(#REF!,"AAAAAH7v+ss=",0)</f>
        <v>#REF!</v>
      </c>
      <c r="GW243" t="e">
        <f>IF(#REF!,"AAAAAH7v+sw=",0)</f>
        <v>#REF!</v>
      </c>
      <c r="GX243" t="e">
        <f>IF(#REF!,"AAAAAH7v+s0=",0)</f>
        <v>#REF!</v>
      </c>
      <c r="GY243" t="e">
        <f>IF(#REF!,"AAAAAH7v+s4=",0)</f>
        <v>#REF!</v>
      </c>
      <c r="GZ243" t="e">
        <f>IF(#REF!,"AAAAAH7v+s8=",0)</f>
        <v>#REF!</v>
      </c>
      <c r="HA243" t="e">
        <f>IF(#REF!,"AAAAAH7v+tA=",0)</f>
        <v>#REF!</v>
      </c>
      <c r="HB243" t="e">
        <f>IF(#REF!,"AAAAAH7v+tE=",0)</f>
        <v>#REF!</v>
      </c>
      <c r="HC243" t="e">
        <f>IF(#REF!,"AAAAAH7v+tI=",0)</f>
        <v>#REF!</v>
      </c>
      <c r="HD243" t="e">
        <f>IF(#REF!,"AAAAAH7v+tM=",0)</f>
        <v>#REF!</v>
      </c>
      <c r="HE243" t="e">
        <f>IF(#REF!,"AAAAAH7v+tQ=",0)</f>
        <v>#REF!</v>
      </c>
      <c r="HF243" t="e">
        <f>IF(#REF!,"AAAAAH7v+tU=",0)</f>
        <v>#REF!</v>
      </c>
      <c r="HG243" t="e">
        <f>IF(#REF!,"AAAAAH7v+tY=",0)</f>
        <v>#REF!</v>
      </c>
      <c r="HH243" t="e">
        <f>IF(#REF!,"AAAAAH7v+tc=",0)</f>
        <v>#REF!</v>
      </c>
      <c r="HI243" t="e">
        <f>IF(#REF!,"AAAAAH7v+tg=",0)</f>
        <v>#REF!</v>
      </c>
      <c r="HJ243" t="e">
        <f>IF(#REF!,"AAAAAH7v+tk=",0)</f>
        <v>#REF!</v>
      </c>
      <c r="HK243" t="e">
        <f>IF(#REF!,"AAAAAH7v+to=",0)</f>
        <v>#REF!</v>
      </c>
      <c r="HL243" t="e">
        <f>IF(#REF!,"AAAAAH7v+ts=",0)</f>
        <v>#REF!</v>
      </c>
      <c r="HM243" t="e">
        <f>IF(#REF!,"AAAAAH7v+tw=",0)</f>
        <v>#REF!</v>
      </c>
      <c r="HN243" t="e">
        <f>IF(#REF!,"AAAAAH7v+t0=",0)</f>
        <v>#REF!</v>
      </c>
      <c r="HO243" t="e">
        <f>IF(#REF!,"AAAAAH7v+t4=",0)</f>
        <v>#REF!</v>
      </c>
      <c r="HP243" t="e">
        <f>IF(#REF!,"AAAAAH7v+t8=",0)</f>
        <v>#REF!</v>
      </c>
      <c r="HQ243" t="e">
        <f>IF(#REF!,"AAAAAH7v+uA=",0)</f>
        <v>#REF!</v>
      </c>
      <c r="HR243" t="e">
        <f>IF(#REF!,"AAAAAH7v+uE=",0)</f>
        <v>#REF!</v>
      </c>
      <c r="HS243" t="e">
        <f>IF(#REF!,"AAAAAH7v+uI=",0)</f>
        <v>#REF!</v>
      </c>
      <c r="HT243" t="e">
        <f>IF(#REF!,"AAAAAH7v+uM=",0)</f>
        <v>#REF!</v>
      </c>
      <c r="HU243" t="e">
        <f>IF(#REF!,"AAAAAH7v+uQ=",0)</f>
        <v>#REF!</v>
      </c>
      <c r="HV243" t="e">
        <f>IF(#REF!,"AAAAAH7v+uU=",0)</f>
        <v>#REF!</v>
      </c>
      <c r="HW243" t="e">
        <f>IF(#REF!,"AAAAAH7v+uY=",0)</f>
        <v>#REF!</v>
      </c>
      <c r="HX243" t="e">
        <f>IF(#REF!,"AAAAAH7v+uc=",0)</f>
        <v>#REF!</v>
      </c>
      <c r="HY243" t="e">
        <f>IF(#REF!,"AAAAAH7v+ug=",0)</f>
        <v>#REF!</v>
      </c>
      <c r="HZ243" t="e">
        <f>IF(#REF!,"AAAAAH7v+uk=",0)</f>
        <v>#REF!</v>
      </c>
      <c r="IA243" t="e">
        <f>IF(#REF!,"AAAAAH7v+uo=",0)</f>
        <v>#REF!</v>
      </c>
      <c r="IB243" t="e">
        <f>IF(#REF!,"AAAAAH7v+us=",0)</f>
        <v>#REF!</v>
      </c>
      <c r="IC243" t="e">
        <f>IF(#REF!,"AAAAAH7v+uw=",0)</f>
        <v>#REF!</v>
      </c>
      <c r="ID243" t="e">
        <f>IF(#REF!,"AAAAAH7v+u0=",0)</f>
        <v>#REF!</v>
      </c>
      <c r="IE243" t="e">
        <f>IF(#REF!,"AAAAAH7v+u4=",0)</f>
        <v>#REF!</v>
      </c>
      <c r="IF243" t="e">
        <f>IF(#REF!,"AAAAAH7v+u8=",0)</f>
        <v>#REF!</v>
      </c>
      <c r="IG243" t="e">
        <f>IF(#REF!,"AAAAAH7v+vA=",0)</f>
        <v>#REF!</v>
      </c>
      <c r="IH243" t="e">
        <f>IF(#REF!,"AAAAAH7v+vE=",0)</f>
        <v>#REF!</v>
      </c>
      <c r="II243" t="e">
        <f>IF(#REF!,"AAAAAH7v+vI=",0)</f>
        <v>#REF!</v>
      </c>
      <c r="IJ243" t="e">
        <f>IF(#REF!,"AAAAAH7v+vM=",0)</f>
        <v>#REF!</v>
      </c>
      <c r="IK243" t="e">
        <f>IF(#REF!,"AAAAAH7v+vQ=",0)</f>
        <v>#REF!</v>
      </c>
      <c r="IL243" t="e">
        <f>IF(#REF!,"AAAAAH7v+vU=",0)</f>
        <v>#REF!</v>
      </c>
      <c r="IM243" t="e">
        <f>IF(#REF!,"AAAAAH7v+vY=",0)</f>
        <v>#REF!</v>
      </c>
      <c r="IN243" t="e">
        <f>IF(#REF!,"AAAAAH7v+vc=",0)</f>
        <v>#REF!</v>
      </c>
      <c r="IO243" t="e">
        <f>IF(#REF!,"AAAAAH7v+vg=",0)</f>
        <v>#REF!</v>
      </c>
      <c r="IP243" t="e">
        <f>IF(#REF!,"AAAAAH7v+vk=",0)</f>
        <v>#REF!</v>
      </c>
      <c r="IQ243" t="e">
        <f>IF(#REF!,"AAAAAH7v+vo=",0)</f>
        <v>#REF!</v>
      </c>
      <c r="IR243" t="e">
        <f>IF(#REF!,"AAAAAH7v+vs=",0)</f>
        <v>#REF!</v>
      </c>
      <c r="IS243" t="e">
        <f>IF(#REF!,"AAAAAH7v+vw=",0)</f>
        <v>#REF!</v>
      </c>
      <c r="IT243" t="e">
        <f>IF(#REF!,"AAAAAH7v+v0=",0)</f>
        <v>#REF!</v>
      </c>
      <c r="IU243" t="e">
        <f>IF(#REF!,"AAAAAH7v+v4=",0)</f>
        <v>#REF!</v>
      </c>
      <c r="IV243" t="e">
        <f>IF(#REF!,"AAAAAH7v+v8=",0)</f>
        <v>#REF!</v>
      </c>
    </row>
    <row r="244" spans="1:256">
      <c r="A244" t="e">
        <f>IF(#REF!,"AAAAAH/9nQA=",0)</f>
        <v>#REF!</v>
      </c>
      <c r="B244" t="e">
        <f>IF(#REF!,"AAAAAH/9nQE=",0)</f>
        <v>#REF!</v>
      </c>
      <c r="C244" t="e">
        <f>IF(#REF!,"AAAAAH/9nQI=",0)</f>
        <v>#REF!</v>
      </c>
      <c r="D244" t="e">
        <f>IF(#REF!,"AAAAAH/9nQM=",0)</f>
        <v>#REF!</v>
      </c>
      <c r="E244" t="e">
        <f>IF(#REF!,"AAAAAH/9nQQ=",0)</f>
        <v>#REF!</v>
      </c>
      <c r="F244" t="e">
        <f>IF(#REF!,"AAAAAH/9nQU=",0)</f>
        <v>#REF!</v>
      </c>
      <c r="G244" t="e">
        <f>IF(#REF!,"AAAAAH/9nQY=",0)</f>
        <v>#REF!</v>
      </c>
      <c r="H244" t="e">
        <f>IF(#REF!,"AAAAAH/9nQc=",0)</f>
        <v>#REF!</v>
      </c>
      <c r="I244" t="e">
        <f>IF(#REF!,"AAAAAH/9nQg=",0)</f>
        <v>#REF!</v>
      </c>
      <c r="J244" t="e">
        <f>IF(#REF!,"AAAAAH/9nQk=",0)</f>
        <v>#REF!</v>
      </c>
      <c r="K244" t="e">
        <f>IF(#REF!,"AAAAAH/9nQo=",0)</f>
        <v>#REF!</v>
      </c>
      <c r="L244" t="e">
        <f>IF(#REF!,"AAAAAH/9nQs=",0)</f>
        <v>#REF!</v>
      </c>
      <c r="M244" t="e">
        <f>IF(#REF!,"AAAAAH/9nQw=",0)</f>
        <v>#REF!</v>
      </c>
      <c r="N244" t="e">
        <f>IF(#REF!,"AAAAAH/9nQ0=",0)</f>
        <v>#REF!</v>
      </c>
      <c r="O244" t="e">
        <f>IF(#REF!,"AAAAAH/9nQ4=",0)</f>
        <v>#REF!</v>
      </c>
      <c r="P244" t="e">
        <f>IF(#REF!,"AAAAAH/9nQ8=",0)</f>
        <v>#REF!</v>
      </c>
      <c r="Q244" t="e">
        <f>IF(#REF!,"AAAAAH/9nRA=",0)</f>
        <v>#REF!</v>
      </c>
      <c r="R244" t="e">
        <f>IF(#REF!,"AAAAAH/9nRE=",0)</f>
        <v>#REF!</v>
      </c>
      <c r="S244" t="e">
        <f>IF(#REF!,"AAAAAH/9nRI=",0)</f>
        <v>#REF!</v>
      </c>
      <c r="T244" t="e">
        <f>IF(#REF!,"AAAAAH/9nRM=",0)</f>
        <v>#REF!</v>
      </c>
      <c r="U244" t="e">
        <f>IF(#REF!,"AAAAAH/9nRQ=",0)</f>
        <v>#REF!</v>
      </c>
      <c r="V244" t="e">
        <f>IF(#REF!,"AAAAAH/9nRU=",0)</f>
        <v>#REF!</v>
      </c>
      <c r="W244" t="e">
        <f>IF(#REF!,"AAAAAH/9nRY=",0)</f>
        <v>#REF!</v>
      </c>
      <c r="X244" t="e">
        <f>IF(#REF!,"AAAAAH/9nRc=",0)</f>
        <v>#REF!</v>
      </c>
      <c r="Y244" t="e">
        <f>IF(#REF!,"AAAAAH/9nRg=",0)</f>
        <v>#REF!</v>
      </c>
      <c r="Z244" t="e">
        <f>IF(#REF!,"AAAAAH/9nRk=",0)</f>
        <v>#REF!</v>
      </c>
      <c r="AA244" t="e">
        <f>IF(#REF!,"AAAAAH/9nRo=",0)</f>
        <v>#REF!</v>
      </c>
      <c r="AB244" t="e">
        <f>IF(#REF!,"AAAAAH/9nRs=",0)</f>
        <v>#REF!</v>
      </c>
      <c r="AC244" t="e">
        <f>IF(#REF!,"AAAAAH/9nRw=",0)</f>
        <v>#REF!</v>
      </c>
      <c r="AD244" t="e">
        <f>IF(#REF!,"AAAAAH/9nR0=",0)</f>
        <v>#REF!</v>
      </c>
      <c r="AE244" t="e">
        <f>IF(#REF!,"AAAAAH/9nR4=",0)</f>
        <v>#REF!</v>
      </c>
      <c r="AF244" t="e">
        <f>IF(#REF!,"AAAAAH/9nR8=",0)</f>
        <v>#REF!</v>
      </c>
      <c r="AG244" t="e">
        <f>IF(#REF!,"AAAAAH/9nSA=",0)</f>
        <v>#REF!</v>
      </c>
      <c r="AH244" t="e">
        <f>IF(#REF!,"AAAAAH/9nSE=",0)</f>
        <v>#REF!</v>
      </c>
      <c r="AI244" t="e">
        <f>IF(#REF!,"AAAAAH/9nSI=",0)</f>
        <v>#REF!</v>
      </c>
      <c r="AJ244" t="e">
        <f>IF(#REF!,"AAAAAH/9nSM=",0)</f>
        <v>#REF!</v>
      </c>
      <c r="AK244" t="e">
        <f>IF(#REF!,"AAAAAH/9nSQ=",0)</f>
        <v>#REF!</v>
      </c>
      <c r="AL244" t="e">
        <f>IF(#REF!,"AAAAAH/9nSU=",0)</f>
        <v>#REF!</v>
      </c>
      <c r="AM244" t="e">
        <f>IF(#REF!,"AAAAAH/9nSY=",0)</f>
        <v>#REF!</v>
      </c>
      <c r="AN244" t="e">
        <f>IF(#REF!,"AAAAAH/9nSc=",0)</f>
        <v>#REF!</v>
      </c>
      <c r="AO244" t="e">
        <f>IF(#REF!,"AAAAAH/9nSg=",0)</f>
        <v>#REF!</v>
      </c>
      <c r="AP244" t="e">
        <f>IF(#REF!,"AAAAAH/9nSk=",0)</f>
        <v>#REF!</v>
      </c>
      <c r="AQ244" t="e">
        <f>IF(#REF!,"AAAAAH/9nSo=",0)</f>
        <v>#REF!</v>
      </c>
      <c r="AR244" t="e">
        <f>IF(#REF!,"AAAAAH/9nSs=",0)</f>
        <v>#REF!</v>
      </c>
      <c r="AS244" t="e">
        <f>IF(#REF!,"AAAAAH/9nSw=",0)</f>
        <v>#REF!</v>
      </c>
      <c r="AT244" t="e">
        <f>IF(#REF!,"AAAAAH/9nS0=",0)</f>
        <v>#REF!</v>
      </c>
      <c r="AU244" t="e">
        <f>IF(#REF!,"AAAAAH/9nS4=",0)</f>
        <v>#REF!</v>
      </c>
      <c r="AV244" t="e">
        <f>IF(#REF!,"AAAAAH/9nS8=",0)</f>
        <v>#REF!</v>
      </c>
      <c r="AW244" t="e">
        <f>IF(#REF!,"AAAAAH/9nTA=",0)</f>
        <v>#REF!</v>
      </c>
      <c r="AX244" t="e">
        <f>IF(#REF!,"AAAAAH/9nTE=",0)</f>
        <v>#REF!</v>
      </c>
      <c r="AY244" t="e">
        <f>IF(#REF!,"AAAAAH/9nTI=",0)</f>
        <v>#REF!</v>
      </c>
      <c r="AZ244" t="e">
        <f>IF(#REF!,"AAAAAH/9nTM=",0)</f>
        <v>#REF!</v>
      </c>
      <c r="BA244" t="e">
        <f>IF(#REF!,"AAAAAH/9nTQ=",0)</f>
        <v>#REF!</v>
      </c>
      <c r="BB244" t="e">
        <f>IF(#REF!,"AAAAAH/9nTU=",0)</f>
        <v>#REF!</v>
      </c>
      <c r="BC244" t="e">
        <f>IF(#REF!,"AAAAAH/9nTY=",0)</f>
        <v>#REF!</v>
      </c>
      <c r="BD244" t="e">
        <f>IF(#REF!,"AAAAAH/9nTc=",0)</f>
        <v>#REF!</v>
      </c>
      <c r="BE244" t="e">
        <f>IF(#REF!,"AAAAAH/9nTg=",0)</f>
        <v>#REF!</v>
      </c>
      <c r="BF244" t="e">
        <f>IF(#REF!,"AAAAAH/9nTk=",0)</f>
        <v>#REF!</v>
      </c>
      <c r="BG244" t="e">
        <f>IF(#REF!,"AAAAAH/9nTo=",0)</f>
        <v>#REF!</v>
      </c>
      <c r="BH244" t="e">
        <f>IF(#REF!,"AAAAAH/9nTs=",0)</f>
        <v>#REF!</v>
      </c>
      <c r="BI244" t="e">
        <f>IF(#REF!,"AAAAAH/9nTw=",0)</f>
        <v>#REF!</v>
      </c>
      <c r="BJ244" t="e">
        <f>IF(#REF!,"AAAAAH/9nT0=",0)</f>
        <v>#REF!</v>
      </c>
      <c r="BK244" t="e">
        <f>IF(#REF!,"AAAAAH/9nT4=",0)</f>
        <v>#REF!</v>
      </c>
      <c r="BL244" t="e">
        <f>IF(#REF!,"AAAAAH/9nT8=",0)</f>
        <v>#REF!</v>
      </c>
      <c r="BM244" t="e">
        <f>IF(#REF!,"AAAAAH/9nUA=",0)</f>
        <v>#REF!</v>
      </c>
      <c r="BN244" t="e">
        <f>IF(#REF!,"AAAAAH/9nUE=",0)</f>
        <v>#REF!</v>
      </c>
      <c r="BO244" t="e">
        <f>IF(#REF!,"AAAAAH/9nUI=",0)</f>
        <v>#REF!</v>
      </c>
      <c r="BP244" t="e">
        <f>IF(#REF!,"AAAAAH/9nUM=",0)</f>
        <v>#REF!</v>
      </c>
      <c r="BQ244" t="e">
        <f>IF(#REF!,"AAAAAH/9nUQ=",0)</f>
        <v>#REF!</v>
      </c>
      <c r="BR244" t="e">
        <f>IF(#REF!,"AAAAAH/9nUU=",0)</f>
        <v>#REF!</v>
      </c>
      <c r="BS244" t="e">
        <f>IF(#REF!,"AAAAAH/9nUY=",0)</f>
        <v>#REF!</v>
      </c>
      <c r="BT244" t="e">
        <f>IF(#REF!,"AAAAAH/9nUc=",0)</f>
        <v>#REF!</v>
      </c>
      <c r="BU244" t="e">
        <f>IF(#REF!,"AAAAAH/9nUg=",0)</f>
        <v>#REF!</v>
      </c>
      <c r="BV244" t="e">
        <f>IF(#REF!,"AAAAAH/9nUk=",0)</f>
        <v>#REF!</v>
      </c>
      <c r="BW244" t="e">
        <f>IF(#REF!,"AAAAAH/9nUo=",0)</f>
        <v>#REF!</v>
      </c>
      <c r="BX244" t="e">
        <f>IF(#REF!,"AAAAAH/9nUs=",0)</f>
        <v>#REF!</v>
      </c>
      <c r="BY244" t="e">
        <f>IF(#REF!,"AAAAAH/9nUw=",0)</f>
        <v>#REF!</v>
      </c>
      <c r="BZ244" t="e">
        <f>IF(#REF!,"AAAAAH/9nU0=",0)</f>
        <v>#REF!</v>
      </c>
      <c r="CA244" t="e">
        <f>IF(#REF!,"AAAAAH/9nU4=",0)</f>
        <v>#REF!</v>
      </c>
      <c r="CB244" t="e">
        <f>IF(#REF!,"AAAAAH/9nU8=",0)</f>
        <v>#REF!</v>
      </c>
      <c r="CC244" t="e">
        <f>IF(#REF!,"AAAAAH/9nVA=",0)</f>
        <v>#REF!</v>
      </c>
      <c r="CD244" t="e">
        <f>IF(#REF!,"AAAAAH/9nVE=",0)</f>
        <v>#REF!</v>
      </c>
      <c r="CE244" t="e">
        <f>IF(#REF!,"AAAAAH/9nVI=",0)</f>
        <v>#REF!</v>
      </c>
      <c r="CF244" t="e">
        <f>IF(#REF!,"AAAAAH/9nVM=",0)</f>
        <v>#REF!</v>
      </c>
      <c r="CG244" t="e">
        <f>IF(#REF!,"AAAAAH/9nVQ=",0)</f>
        <v>#REF!</v>
      </c>
      <c r="CH244" t="e">
        <f>IF(#REF!,"AAAAAH/9nVU=",0)</f>
        <v>#REF!</v>
      </c>
      <c r="CI244" t="e">
        <f>IF(#REF!,"AAAAAH/9nVY=",0)</f>
        <v>#REF!</v>
      </c>
      <c r="CJ244" t="e">
        <f>IF(#REF!,"AAAAAH/9nVc=",0)</f>
        <v>#REF!</v>
      </c>
      <c r="CK244" t="e">
        <f>IF(#REF!,"AAAAAH/9nVg=",0)</f>
        <v>#REF!</v>
      </c>
      <c r="CL244" t="e">
        <f>IF(#REF!,"AAAAAH/9nVk=",0)</f>
        <v>#REF!</v>
      </c>
      <c r="CM244" t="e">
        <f>IF(#REF!,"AAAAAH/9nVo=",0)</f>
        <v>#REF!</v>
      </c>
      <c r="CN244" t="e">
        <f>IF(#REF!,"AAAAAH/9nVs=",0)</f>
        <v>#REF!</v>
      </c>
      <c r="CO244" t="e">
        <f>IF(#REF!,"AAAAAH/9nVw=",0)</f>
        <v>#REF!</v>
      </c>
      <c r="CP244" t="e">
        <f>IF(#REF!,"AAAAAH/9nV0=",0)</f>
        <v>#REF!</v>
      </c>
      <c r="CQ244" t="e">
        <f>IF(#REF!,"AAAAAH/9nV4=",0)</f>
        <v>#REF!</v>
      </c>
      <c r="CR244" t="e">
        <f>IF(#REF!,"AAAAAH/9nV8=",0)</f>
        <v>#REF!</v>
      </c>
      <c r="CS244" t="e">
        <f>IF(#REF!,"AAAAAH/9nWA=",0)</f>
        <v>#REF!</v>
      </c>
      <c r="CT244" t="e">
        <f>IF(#REF!,"AAAAAH/9nWE=",0)</f>
        <v>#REF!</v>
      </c>
      <c r="CU244" t="e">
        <f>IF(#REF!,"AAAAAH/9nWI=",0)</f>
        <v>#REF!</v>
      </c>
      <c r="CV244" t="e">
        <f>IF(#REF!,"AAAAAH/9nWM=",0)</f>
        <v>#REF!</v>
      </c>
      <c r="CW244" t="e">
        <f>IF(#REF!,"AAAAAH/9nWQ=",0)</f>
        <v>#REF!</v>
      </c>
      <c r="CX244" t="e">
        <f>IF(#REF!,"AAAAAH/9nWU=",0)</f>
        <v>#REF!</v>
      </c>
      <c r="CY244" t="e">
        <f>IF(#REF!,"AAAAAH/9nWY=",0)</f>
        <v>#REF!</v>
      </c>
      <c r="CZ244" t="e">
        <f>IF(#REF!,"AAAAAH/9nWc=",0)</f>
        <v>#REF!</v>
      </c>
      <c r="DA244" t="e">
        <f>IF(#REF!,"AAAAAH/9nWg=",0)</f>
        <v>#REF!</v>
      </c>
      <c r="DB244" t="e">
        <f>IF(#REF!,"AAAAAH/9nWk=",0)</f>
        <v>#REF!</v>
      </c>
      <c r="DC244" t="e">
        <f>IF(#REF!,"AAAAAH/9nWo=",0)</f>
        <v>#REF!</v>
      </c>
      <c r="DD244" t="e">
        <f>IF(#REF!,"AAAAAH/9nWs=",0)</f>
        <v>#REF!</v>
      </c>
      <c r="DE244" t="e">
        <f>IF(#REF!,"AAAAAH/9nWw=",0)</f>
        <v>#REF!</v>
      </c>
      <c r="DF244" t="e">
        <f>IF(#REF!,"AAAAAH/9nW0=",0)</f>
        <v>#REF!</v>
      </c>
      <c r="DG244" t="e">
        <f>IF(#REF!,"AAAAAH/9nW4=",0)</f>
        <v>#REF!</v>
      </c>
      <c r="DH244" t="e">
        <f>IF(#REF!,"AAAAAH/9nW8=",0)</f>
        <v>#REF!</v>
      </c>
      <c r="DI244" t="e">
        <f>IF(#REF!,"AAAAAH/9nXA=",0)</f>
        <v>#REF!</v>
      </c>
      <c r="DJ244" t="e">
        <f>IF(#REF!,"AAAAAH/9nXE=",0)</f>
        <v>#REF!</v>
      </c>
      <c r="DK244" t="e">
        <f>IF(#REF!,"AAAAAH/9nXI=",0)</f>
        <v>#REF!</v>
      </c>
      <c r="DL244" t="e">
        <f>IF(#REF!,"AAAAAH/9nXM=",0)</f>
        <v>#REF!</v>
      </c>
      <c r="DM244" t="e">
        <f>IF(#REF!,"AAAAAH/9nXQ=",0)</f>
        <v>#REF!</v>
      </c>
      <c r="DN244" t="e">
        <f>IF(#REF!,"AAAAAH/9nXU=",0)</f>
        <v>#REF!</v>
      </c>
      <c r="DO244" t="e">
        <f>IF(#REF!,"AAAAAH/9nXY=",0)</f>
        <v>#REF!</v>
      </c>
      <c r="DP244" t="e">
        <f>IF(#REF!,"AAAAAH/9nXc=",0)</f>
        <v>#REF!</v>
      </c>
      <c r="DQ244" t="e">
        <f>IF(#REF!,"AAAAAH/9nXg=",0)</f>
        <v>#REF!</v>
      </c>
      <c r="DR244" t="e">
        <f>IF(#REF!,"AAAAAH/9nXk=",0)</f>
        <v>#REF!</v>
      </c>
      <c r="DS244" t="e">
        <f>IF(#REF!,"AAAAAH/9nXo=",0)</f>
        <v>#REF!</v>
      </c>
      <c r="DT244" t="e">
        <f>IF(#REF!,"AAAAAH/9nXs=",0)</f>
        <v>#REF!</v>
      </c>
      <c r="DU244" t="e">
        <f>IF(#REF!,"AAAAAH/9nXw=",0)</f>
        <v>#REF!</v>
      </c>
      <c r="DV244" t="e">
        <f>IF(#REF!,"AAAAAH/9nX0=",0)</f>
        <v>#REF!</v>
      </c>
      <c r="DW244" t="e">
        <f>IF(#REF!,"AAAAAH/9nX4=",0)</f>
        <v>#REF!</v>
      </c>
      <c r="DX244" t="e">
        <f>IF(#REF!,"AAAAAH/9nX8=",0)</f>
        <v>#REF!</v>
      </c>
      <c r="DY244" t="e">
        <f>IF(#REF!,"AAAAAH/9nYA=",0)</f>
        <v>#REF!</v>
      </c>
      <c r="DZ244" t="e">
        <f>IF(#REF!,"AAAAAH/9nYE=",0)</f>
        <v>#REF!</v>
      </c>
      <c r="EA244" t="e">
        <f>IF(#REF!,"AAAAAH/9nYI=",0)</f>
        <v>#REF!</v>
      </c>
      <c r="EB244" t="e">
        <f>IF(#REF!,"AAAAAH/9nYM=",0)</f>
        <v>#REF!</v>
      </c>
      <c r="EC244" t="e">
        <f>IF(#REF!,"AAAAAH/9nYQ=",0)</f>
        <v>#REF!</v>
      </c>
      <c r="ED244" t="e">
        <f>IF(#REF!,"AAAAAH/9nYU=",0)</f>
        <v>#REF!</v>
      </c>
      <c r="EE244" t="e">
        <f>IF(#REF!,"AAAAAH/9nYY=",0)</f>
        <v>#REF!</v>
      </c>
      <c r="EF244" t="e">
        <f>IF(#REF!,"AAAAAH/9nYc=",0)</f>
        <v>#REF!</v>
      </c>
      <c r="EG244" t="e">
        <f>IF(#REF!,"AAAAAH/9nYg=",0)</f>
        <v>#REF!</v>
      </c>
      <c r="EH244" t="e">
        <f>IF(#REF!,"AAAAAH/9nYk=",0)</f>
        <v>#REF!</v>
      </c>
      <c r="EI244" t="e">
        <f>IF(#REF!,"AAAAAH/9nYo=",0)</f>
        <v>#REF!</v>
      </c>
      <c r="EJ244" t="e">
        <f>IF(#REF!,"AAAAAH/9nYs=",0)</f>
        <v>#REF!</v>
      </c>
      <c r="EK244" t="e">
        <f>IF(#REF!,"AAAAAH/9nYw=",0)</f>
        <v>#REF!</v>
      </c>
      <c r="EL244" t="e">
        <f>IF(#REF!,"AAAAAH/9nY0=",0)</f>
        <v>#REF!</v>
      </c>
      <c r="EM244" t="e">
        <f>IF(#REF!,"AAAAAH/9nY4=",0)</f>
        <v>#REF!</v>
      </c>
      <c r="EN244" t="e">
        <f>IF(#REF!,"AAAAAH/9nY8=",0)</f>
        <v>#REF!</v>
      </c>
      <c r="EO244" t="e">
        <f>IF(#REF!,"AAAAAH/9nZA=",0)</f>
        <v>#REF!</v>
      </c>
      <c r="EP244" t="e">
        <f>IF(#REF!,"AAAAAH/9nZE=",0)</f>
        <v>#REF!</v>
      </c>
      <c r="EQ244" t="e">
        <f>IF(#REF!,"AAAAAH/9nZI=",0)</f>
        <v>#REF!</v>
      </c>
      <c r="ER244" t="e">
        <f>IF(#REF!,"AAAAAH/9nZM=",0)</f>
        <v>#REF!</v>
      </c>
      <c r="ES244" t="e">
        <f>IF(#REF!,"AAAAAH/9nZQ=",0)</f>
        <v>#REF!</v>
      </c>
      <c r="ET244" t="e">
        <f>IF(#REF!,"AAAAAH/9nZU=",0)</f>
        <v>#REF!</v>
      </c>
      <c r="EU244" t="e">
        <f>IF(#REF!,"AAAAAH/9nZY=",0)</f>
        <v>#REF!</v>
      </c>
      <c r="EV244" t="e">
        <f>IF(#REF!,"AAAAAH/9nZc=",0)</f>
        <v>#REF!</v>
      </c>
      <c r="EW244" t="e">
        <f>IF(#REF!,"AAAAAH/9nZg=",0)</f>
        <v>#REF!</v>
      </c>
      <c r="EX244" t="e">
        <f>IF(#REF!,"AAAAAH/9nZk=",0)</f>
        <v>#REF!</v>
      </c>
      <c r="EY244" t="e">
        <f>IF(#REF!,"AAAAAH/9nZo=",0)</f>
        <v>#REF!</v>
      </c>
      <c r="EZ244" t="e">
        <f>IF(#REF!,"AAAAAH/9nZs=",0)</f>
        <v>#REF!</v>
      </c>
      <c r="FA244" t="e">
        <f>IF(#REF!,"AAAAAH/9nZw=",0)</f>
        <v>#REF!</v>
      </c>
      <c r="FB244" t="e">
        <f>IF(#REF!,"AAAAAH/9nZ0=",0)</f>
        <v>#REF!</v>
      </c>
      <c r="FC244" t="e">
        <f>IF(#REF!,"AAAAAH/9nZ4=",0)</f>
        <v>#REF!</v>
      </c>
      <c r="FD244" t="e">
        <f>IF(#REF!,"AAAAAH/9nZ8=",0)</f>
        <v>#REF!</v>
      </c>
      <c r="FE244" t="e">
        <f>IF(#REF!,"AAAAAH/9naA=",0)</f>
        <v>#REF!</v>
      </c>
      <c r="FF244" t="e">
        <f>IF(#REF!,"AAAAAH/9naE=",0)</f>
        <v>#REF!</v>
      </c>
      <c r="FG244" t="e">
        <f>IF(#REF!,"AAAAAH/9naI=",0)</f>
        <v>#REF!</v>
      </c>
      <c r="FH244" t="e">
        <f>IF(#REF!,"AAAAAH/9naM=",0)</f>
        <v>#REF!</v>
      </c>
      <c r="FI244" t="e">
        <f>IF(#REF!,"AAAAAH/9naQ=",0)</f>
        <v>#REF!</v>
      </c>
      <c r="FJ244" t="e">
        <f>IF(#REF!,"AAAAAH/9naU=",0)</f>
        <v>#REF!</v>
      </c>
      <c r="FK244" t="e">
        <f>IF(#REF!,"AAAAAH/9naY=",0)</f>
        <v>#REF!</v>
      </c>
      <c r="FL244" t="e">
        <f>IF(#REF!,"AAAAAH/9nac=",0)</f>
        <v>#REF!</v>
      </c>
      <c r="FM244" t="e">
        <f>IF(#REF!,"AAAAAH/9nag=",0)</f>
        <v>#REF!</v>
      </c>
      <c r="FN244" t="e">
        <f>IF(#REF!,"AAAAAH/9nak=",0)</f>
        <v>#REF!</v>
      </c>
      <c r="FO244" t="e">
        <f>IF(#REF!,"AAAAAH/9nao=",0)</f>
        <v>#REF!</v>
      </c>
      <c r="FP244" t="e">
        <f>IF(#REF!,"AAAAAH/9nas=",0)</f>
        <v>#REF!</v>
      </c>
      <c r="FQ244" t="e">
        <f>IF(#REF!,"AAAAAH/9naw=",0)</f>
        <v>#REF!</v>
      </c>
      <c r="FR244" t="e">
        <f>IF(#REF!,"AAAAAH/9na0=",0)</f>
        <v>#REF!</v>
      </c>
      <c r="FS244" t="e">
        <f>IF(#REF!,"AAAAAH/9na4=",0)</f>
        <v>#REF!</v>
      </c>
      <c r="FT244" t="e">
        <f>IF(#REF!,"AAAAAH/9na8=",0)</f>
        <v>#REF!</v>
      </c>
      <c r="FU244" t="e">
        <f>IF(#REF!,"AAAAAH/9nbA=",0)</f>
        <v>#REF!</v>
      </c>
      <c r="FV244" t="e">
        <f>IF(#REF!,"AAAAAH/9nbE=",0)</f>
        <v>#REF!</v>
      </c>
      <c r="FW244" t="e">
        <f>IF(#REF!,"AAAAAH/9nbI=",0)</f>
        <v>#REF!</v>
      </c>
      <c r="FX244" t="e">
        <f>IF(#REF!,"AAAAAH/9nbM=",0)</f>
        <v>#REF!</v>
      </c>
      <c r="FY244" t="e">
        <f>IF(#REF!,"AAAAAH/9nbQ=",0)</f>
        <v>#REF!</v>
      </c>
      <c r="FZ244" t="e">
        <f>IF(#REF!,"AAAAAH/9nbU=",0)</f>
        <v>#REF!</v>
      </c>
      <c r="GA244" t="e">
        <f>IF(#REF!,"AAAAAH/9nbY=",0)</f>
        <v>#REF!</v>
      </c>
      <c r="GB244" t="e">
        <f>IF(#REF!,"AAAAAH/9nbc=",0)</f>
        <v>#REF!</v>
      </c>
      <c r="GC244" t="e">
        <f>IF(#REF!,"AAAAAH/9nbg=",0)</f>
        <v>#REF!</v>
      </c>
      <c r="GD244" t="e">
        <f>IF(#REF!,"AAAAAH/9nbk=",0)</f>
        <v>#REF!</v>
      </c>
      <c r="GE244" t="e">
        <f>IF(#REF!,"AAAAAH/9nbo=",0)</f>
        <v>#REF!</v>
      </c>
      <c r="GF244" t="e">
        <f>IF(#REF!,"AAAAAH/9nbs=",0)</f>
        <v>#REF!</v>
      </c>
      <c r="GG244" t="e">
        <f>IF(#REF!,"AAAAAH/9nbw=",0)</f>
        <v>#REF!</v>
      </c>
      <c r="GH244" t="e">
        <f>IF(#REF!,"AAAAAH/9nb0=",0)</f>
        <v>#REF!</v>
      </c>
      <c r="GI244" t="e">
        <f>IF(#REF!,"AAAAAH/9nb4=",0)</f>
        <v>#REF!</v>
      </c>
      <c r="GJ244" t="e">
        <f>IF(#REF!,"AAAAAH/9nb8=",0)</f>
        <v>#REF!</v>
      </c>
      <c r="GK244" t="e">
        <f>IF(#REF!,"AAAAAH/9ncA=",0)</f>
        <v>#REF!</v>
      </c>
      <c r="GL244" t="e">
        <f>IF(#REF!,"AAAAAH/9ncE=",0)</f>
        <v>#REF!</v>
      </c>
      <c r="GM244" t="e">
        <f>IF(#REF!,"AAAAAH/9ncI=",0)</f>
        <v>#REF!</v>
      </c>
      <c r="GN244" t="e">
        <f>IF(#REF!,"AAAAAH/9ncM=",0)</f>
        <v>#REF!</v>
      </c>
      <c r="GO244" t="e">
        <f>IF(#REF!,"AAAAAH/9ncQ=",0)</f>
        <v>#REF!</v>
      </c>
      <c r="GP244" t="e">
        <f>IF(#REF!,"AAAAAH/9ncU=",0)</f>
        <v>#REF!</v>
      </c>
      <c r="GQ244" t="e">
        <f>IF(#REF!,"AAAAAH/9ncY=",0)</f>
        <v>#REF!</v>
      </c>
      <c r="GR244" t="e">
        <f>IF(#REF!,"AAAAAH/9ncc=",0)</f>
        <v>#REF!</v>
      </c>
      <c r="GS244" t="e">
        <f>IF(#REF!,"AAAAAH/9ncg=",0)</f>
        <v>#REF!</v>
      </c>
      <c r="GT244" t="e">
        <f>IF(#REF!,"AAAAAH/9nck=",0)</f>
        <v>#REF!</v>
      </c>
      <c r="GU244" t="e">
        <f>IF(#REF!,"AAAAAH/9nco=",0)</f>
        <v>#REF!</v>
      </c>
      <c r="GV244" t="e">
        <f>IF(#REF!,"AAAAAH/9ncs=",0)</f>
        <v>#REF!</v>
      </c>
      <c r="GW244" t="e">
        <f>IF(#REF!,"AAAAAH/9ncw=",0)</f>
        <v>#REF!</v>
      </c>
      <c r="GX244" t="e">
        <f>IF(#REF!,"AAAAAH/9nc0=",0)</f>
        <v>#REF!</v>
      </c>
      <c r="GY244" t="e">
        <f>IF(#REF!,"AAAAAH/9nc4=",0)</f>
        <v>#REF!</v>
      </c>
      <c r="GZ244" t="e">
        <f>IF(#REF!,"AAAAAH/9nc8=",0)</f>
        <v>#REF!</v>
      </c>
      <c r="HA244" t="e">
        <f>IF(#REF!,"AAAAAH/9ndA=",0)</f>
        <v>#REF!</v>
      </c>
      <c r="HB244" t="e">
        <f>IF(#REF!,"AAAAAH/9ndE=",0)</f>
        <v>#REF!</v>
      </c>
      <c r="HC244" t="e">
        <f>IF(#REF!,"AAAAAH/9ndI=",0)</f>
        <v>#REF!</v>
      </c>
      <c r="HD244" t="e">
        <f>IF(#REF!,"AAAAAH/9ndM=",0)</f>
        <v>#REF!</v>
      </c>
      <c r="HE244" t="e">
        <f>IF(#REF!,"AAAAAH/9ndQ=",0)</f>
        <v>#REF!</v>
      </c>
      <c r="HF244" t="e">
        <f>IF(#REF!,"AAAAAH/9ndU=",0)</f>
        <v>#REF!</v>
      </c>
      <c r="HG244" t="e">
        <f>IF(#REF!,"AAAAAH/9ndY=",0)</f>
        <v>#REF!</v>
      </c>
      <c r="HH244" t="e">
        <f>IF(#REF!,"AAAAAH/9ndc=",0)</f>
        <v>#REF!</v>
      </c>
      <c r="HI244" t="e">
        <f>IF(#REF!,"AAAAAH/9ndg=",0)</f>
        <v>#REF!</v>
      </c>
      <c r="HJ244" t="e">
        <f>IF(#REF!,"AAAAAH/9ndk=",0)</f>
        <v>#REF!</v>
      </c>
      <c r="HK244" t="e">
        <f>IF(#REF!,"AAAAAH/9ndo=",0)</f>
        <v>#REF!</v>
      </c>
      <c r="HL244" t="e">
        <f>IF(#REF!,"AAAAAH/9nds=",0)</f>
        <v>#REF!</v>
      </c>
      <c r="HM244" t="e">
        <f>IF(#REF!,"AAAAAH/9ndw=",0)</f>
        <v>#REF!</v>
      </c>
      <c r="HN244" t="e">
        <f>IF(#REF!,"AAAAAH/9nd0=",0)</f>
        <v>#REF!</v>
      </c>
      <c r="HO244" t="e">
        <f>IF(#REF!,"AAAAAH/9nd4=",0)</f>
        <v>#REF!</v>
      </c>
      <c r="HP244" t="e">
        <f>IF(#REF!,"AAAAAH/9nd8=",0)</f>
        <v>#REF!</v>
      </c>
      <c r="HQ244" t="e">
        <f>IF(#REF!,"AAAAAH/9neA=",0)</f>
        <v>#REF!</v>
      </c>
      <c r="HR244" t="e">
        <f>IF(#REF!,"AAAAAH/9neE=",0)</f>
        <v>#REF!</v>
      </c>
      <c r="HS244" t="e">
        <f>IF(#REF!,"AAAAAH/9neI=",0)</f>
        <v>#REF!</v>
      </c>
      <c r="HT244" t="e">
        <f>IF(#REF!,"AAAAAH/9neM=",0)</f>
        <v>#REF!</v>
      </c>
      <c r="HU244" t="e">
        <f>IF(#REF!,"AAAAAH/9neQ=",0)</f>
        <v>#REF!</v>
      </c>
      <c r="HV244" t="e">
        <f>IF(#REF!,"AAAAAH/9neU=",0)</f>
        <v>#REF!</v>
      </c>
      <c r="HW244" t="e">
        <f>IF(#REF!,"AAAAAH/9neY=",0)</f>
        <v>#REF!</v>
      </c>
      <c r="HX244" t="e">
        <f>IF(#REF!,"AAAAAH/9nec=",0)</f>
        <v>#REF!</v>
      </c>
      <c r="HY244" t="e">
        <f>IF(#REF!,"AAAAAH/9neg=",0)</f>
        <v>#REF!</v>
      </c>
      <c r="HZ244" t="e">
        <f>IF(#REF!,"AAAAAH/9nek=",0)</f>
        <v>#REF!</v>
      </c>
      <c r="IA244" t="e">
        <f>IF(#REF!,"AAAAAH/9neo=",0)</f>
        <v>#REF!</v>
      </c>
      <c r="IB244" t="e">
        <f>IF(#REF!,"AAAAAH/9nes=",0)</f>
        <v>#REF!</v>
      </c>
      <c r="IC244" t="e">
        <f>IF(#REF!,"AAAAAH/9new=",0)</f>
        <v>#REF!</v>
      </c>
      <c r="ID244" t="e">
        <f>IF(#REF!,"AAAAAH/9ne0=",0)</f>
        <v>#REF!</v>
      </c>
      <c r="IE244" t="e">
        <f>IF(#REF!,"AAAAAH/9ne4=",0)</f>
        <v>#REF!</v>
      </c>
      <c r="IF244" t="e">
        <f>IF(#REF!,"AAAAAH/9ne8=",0)</f>
        <v>#REF!</v>
      </c>
      <c r="IG244" t="e">
        <f>IF(#REF!,"AAAAAH/9nfA=",0)</f>
        <v>#REF!</v>
      </c>
      <c r="IH244" t="e">
        <f>IF(#REF!,"AAAAAH/9nfE=",0)</f>
        <v>#REF!</v>
      </c>
      <c r="II244" t="e">
        <f>IF(#REF!,"AAAAAH/9nfI=",0)</f>
        <v>#REF!</v>
      </c>
      <c r="IJ244" t="e">
        <f>IF(#REF!,"AAAAAH/9nfM=",0)</f>
        <v>#REF!</v>
      </c>
      <c r="IK244" t="e">
        <f>IF(#REF!,"AAAAAH/9nfQ=",0)</f>
        <v>#REF!</v>
      </c>
      <c r="IL244" t="e">
        <f>IF(#REF!,"AAAAAH/9nfU=",0)</f>
        <v>#REF!</v>
      </c>
      <c r="IM244" t="e">
        <f>IF(#REF!,"AAAAAH/9nfY=",0)</f>
        <v>#REF!</v>
      </c>
      <c r="IN244" t="e">
        <f>IF(#REF!,"AAAAAH/9nfc=",0)</f>
        <v>#REF!</v>
      </c>
      <c r="IO244" t="e">
        <f>IF(#REF!,"AAAAAH/9nfg=",0)</f>
        <v>#REF!</v>
      </c>
      <c r="IP244" t="e">
        <f>IF(#REF!,"AAAAAH/9nfk=",0)</f>
        <v>#REF!</v>
      </c>
      <c r="IQ244" t="e">
        <f>IF(#REF!,"AAAAAH/9nfo=",0)</f>
        <v>#REF!</v>
      </c>
      <c r="IR244" t="e">
        <f>IF(#REF!,"AAAAAH/9nfs=",0)</f>
        <v>#REF!</v>
      </c>
      <c r="IS244" t="e">
        <f>IF(#REF!,"AAAAAH/9nfw=",0)</f>
        <v>#REF!</v>
      </c>
      <c r="IT244" t="e">
        <f>IF(#REF!,"AAAAAH/9nf0=",0)</f>
        <v>#REF!</v>
      </c>
      <c r="IU244" t="e">
        <f>IF(#REF!,"AAAAAH/9nf4=",0)</f>
        <v>#REF!</v>
      </c>
      <c r="IV244" t="e">
        <f>IF(#REF!,"AAAAAH/9nf8=",0)</f>
        <v>#REF!</v>
      </c>
    </row>
    <row r="245" spans="1:256">
      <c r="A245" t="e">
        <f>IF(#REF!,"AAAAADs1/gA=",0)</f>
        <v>#REF!</v>
      </c>
      <c r="B245" t="e">
        <f>IF(#REF!,"AAAAADs1/gE=",0)</f>
        <v>#REF!</v>
      </c>
      <c r="C245" t="e">
        <f>IF(#REF!,"AAAAADs1/gI=",0)</f>
        <v>#REF!</v>
      </c>
      <c r="D245" t="e">
        <f>IF(#REF!,"AAAAADs1/gM=",0)</f>
        <v>#REF!</v>
      </c>
      <c r="E245" t="e">
        <f>IF(#REF!,"AAAAADs1/gQ=",0)</f>
        <v>#REF!</v>
      </c>
      <c r="F245" t="e">
        <f>IF(#REF!,"AAAAADs1/gU=",0)</f>
        <v>#REF!</v>
      </c>
      <c r="G245" t="e">
        <f>IF(#REF!,"AAAAADs1/gY=",0)</f>
        <v>#REF!</v>
      </c>
      <c r="H245" t="e">
        <f>IF(#REF!,"AAAAADs1/gc=",0)</f>
        <v>#REF!</v>
      </c>
      <c r="I245" t="e">
        <f>IF(#REF!,"AAAAADs1/gg=",0)</f>
        <v>#REF!</v>
      </c>
      <c r="J245" t="e">
        <f>IF(#REF!,"AAAAADs1/gk=",0)</f>
        <v>#REF!</v>
      </c>
      <c r="K245" t="e">
        <f>IF(#REF!,"AAAAADs1/go=",0)</f>
        <v>#REF!</v>
      </c>
      <c r="L245" t="e">
        <f>IF(#REF!,"AAAAADs1/gs=",0)</f>
        <v>#REF!</v>
      </c>
      <c r="M245" t="e">
        <f>IF(#REF!,"AAAAADs1/gw=",0)</f>
        <v>#REF!</v>
      </c>
      <c r="N245" t="e">
        <f>IF(#REF!,"AAAAADs1/g0=",0)</f>
        <v>#REF!</v>
      </c>
      <c r="O245" t="e">
        <f>IF(#REF!,"AAAAADs1/g4=",0)</f>
        <v>#REF!</v>
      </c>
      <c r="P245" t="e">
        <f>IF(#REF!,"AAAAADs1/g8=",0)</f>
        <v>#REF!</v>
      </c>
      <c r="Q245" t="e">
        <f>IF(#REF!,"AAAAADs1/hA=",0)</f>
        <v>#REF!</v>
      </c>
      <c r="R245" t="e">
        <f>IF(#REF!,"AAAAADs1/hE=",0)</f>
        <v>#REF!</v>
      </c>
      <c r="S245" t="e">
        <f>IF(#REF!,"AAAAADs1/hI=",0)</f>
        <v>#REF!</v>
      </c>
      <c r="T245" t="e">
        <f>IF(#REF!,"AAAAADs1/hM=",0)</f>
        <v>#REF!</v>
      </c>
      <c r="U245" t="e">
        <f>IF(#REF!,"AAAAADs1/hQ=",0)</f>
        <v>#REF!</v>
      </c>
      <c r="V245" t="e">
        <f>IF(#REF!,"AAAAADs1/hU=",0)</f>
        <v>#REF!</v>
      </c>
      <c r="W245" t="e">
        <f>IF(#REF!,"AAAAADs1/hY=",0)</f>
        <v>#REF!</v>
      </c>
      <c r="X245" t="e">
        <f>IF(#REF!,"AAAAADs1/hc=",0)</f>
        <v>#REF!</v>
      </c>
      <c r="Y245" t="e">
        <f>IF(#REF!,"AAAAADs1/hg=",0)</f>
        <v>#REF!</v>
      </c>
      <c r="Z245" t="e">
        <f>IF(#REF!,"AAAAADs1/hk=",0)</f>
        <v>#REF!</v>
      </c>
      <c r="AA245" t="e">
        <f>IF(#REF!,"AAAAADs1/ho=",0)</f>
        <v>#REF!</v>
      </c>
      <c r="AB245" t="e">
        <f>IF(#REF!,"AAAAADs1/hs=",0)</f>
        <v>#REF!</v>
      </c>
      <c r="AC245" t="e">
        <f>IF(#REF!,"AAAAADs1/hw=",0)</f>
        <v>#REF!</v>
      </c>
      <c r="AD245" t="e">
        <f>IF(#REF!,"AAAAADs1/h0=",0)</f>
        <v>#REF!</v>
      </c>
      <c r="AE245" t="e">
        <f>IF(#REF!,"AAAAADs1/h4=",0)</f>
        <v>#REF!</v>
      </c>
      <c r="AF245" t="e">
        <f>IF(#REF!,"AAAAADs1/h8=",0)</f>
        <v>#REF!</v>
      </c>
      <c r="AG245" t="e">
        <f>IF(#REF!,"AAAAADs1/iA=",0)</f>
        <v>#REF!</v>
      </c>
      <c r="AH245" t="e">
        <f>IF(#REF!,"AAAAADs1/iE=",0)</f>
        <v>#REF!</v>
      </c>
      <c r="AI245" t="e">
        <f>IF(#REF!,"AAAAADs1/iI=",0)</f>
        <v>#REF!</v>
      </c>
      <c r="AJ245" t="e">
        <f>IF(#REF!,"AAAAADs1/iM=",0)</f>
        <v>#REF!</v>
      </c>
      <c r="AK245" t="e">
        <f>IF(#REF!,"AAAAADs1/iQ=",0)</f>
        <v>#REF!</v>
      </c>
      <c r="AL245" t="e">
        <f>IF(#REF!,"AAAAADs1/iU=",0)</f>
        <v>#REF!</v>
      </c>
      <c r="AM245" t="e">
        <f>IF(#REF!,"AAAAADs1/iY=",0)</f>
        <v>#REF!</v>
      </c>
      <c r="AN245" t="e">
        <f>IF(#REF!,"AAAAADs1/ic=",0)</f>
        <v>#REF!</v>
      </c>
      <c r="AO245" t="e">
        <f>IF(#REF!,"AAAAADs1/ig=",0)</f>
        <v>#REF!</v>
      </c>
      <c r="AP245" t="e">
        <f>IF(#REF!,"AAAAADs1/ik=",0)</f>
        <v>#REF!</v>
      </c>
      <c r="AQ245" t="e">
        <f>IF(#REF!,"AAAAADs1/io=",0)</f>
        <v>#REF!</v>
      </c>
      <c r="AR245" t="e">
        <f>IF(#REF!,"AAAAADs1/is=",0)</f>
        <v>#REF!</v>
      </c>
      <c r="AS245" t="e">
        <f>IF(#REF!,"AAAAADs1/iw=",0)</f>
        <v>#REF!</v>
      </c>
      <c r="AT245" t="e">
        <f>IF(#REF!,"AAAAADs1/i0=",0)</f>
        <v>#REF!</v>
      </c>
      <c r="AU245" t="e">
        <f>IF(#REF!,"AAAAADs1/i4=",0)</f>
        <v>#REF!</v>
      </c>
      <c r="AV245" t="e">
        <f>IF(#REF!,"AAAAADs1/i8=",0)</f>
        <v>#REF!</v>
      </c>
      <c r="AW245" t="e">
        <f>IF(#REF!,"AAAAADs1/jA=",0)</f>
        <v>#REF!</v>
      </c>
      <c r="AX245" t="e">
        <f>IF(#REF!,"AAAAADs1/jE=",0)</f>
        <v>#REF!</v>
      </c>
      <c r="AY245" t="e">
        <f>IF(#REF!,"AAAAADs1/jI=",0)</f>
        <v>#REF!</v>
      </c>
      <c r="AZ245" t="e">
        <f>IF(#REF!,"AAAAADs1/jM=",0)</f>
        <v>#REF!</v>
      </c>
      <c r="BA245" t="e">
        <f>IF(#REF!,"AAAAADs1/jQ=",0)</f>
        <v>#REF!</v>
      </c>
      <c r="BB245" t="e">
        <f>IF(#REF!,"AAAAADs1/jU=",0)</f>
        <v>#REF!</v>
      </c>
      <c r="BC245" t="e">
        <f>IF(#REF!,"AAAAADs1/jY=",0)</f>
        <v>#REF!</v>
      </c>
      <c r="BD245" t="e">
        <f>IF(#REF!,"AAAAADs1/jc=",0)</f>
        <v>#REF!</v>
      </c>
      <c r="BE245" t="e">
        <f>IF(#REF!,"AAAAADs1/jg=",0)</f>
        <v>#REF!</v>
      </c>
      <c r="BF245" t="e">
        <f>IF(#REF!,"AAAAADs1/jk=",0)</f>
        <v>#REF!</v>
      </c>
      <c r="BG245" t="e">
        <f>IF(#REF!,"AAAAADs1/jo=",0)</f>
        <v>#REF!</v>
      </c>
      <c r="BH245" t="e">
        <f>IF(#REF!,"AAAAADs1/js=",0)</f>
        <v>#REF!</v>
      </c>
      <c r="BI245" t="e">
        <f>IF(#REF!,"AAAAADs1/jw=",0)</f>
        <v>#REF!</v>
      </c>
      <c r="BJ245" t="e">
        <f>IF(#REF!,"AAAAADs1/j0=",0)</f>
        <v>#REF!</v>
      </c>
      <c r="BK245" t="e">
        <f>IF(#REF!,"AAAAADs1/j4=",0)</f>
        <v>#REF!</v>
      </c>
      <c r="BL245" t="e">
        <f>IF(#REF!,"AAAAADs1/j8=",0)</f>
        <v>#REF!</v>
      </c>
      <c r="BM245" t="e">
        <f>IF(#REF!,"AAAAADs1/kA=",0)</f>
        <v>#REF!</v>
      </c>
      <c r="BN245" t="e">
        <f>IF(#REF!,"AAAAADs1/kE=",0)</f>
        <v>#REF!</v>
      </c>
      <c r="BO245" t="e">
        <f>IF(#REF!,"AAAAADs1/kI=",0)</f>
        <v>#REF!</v>
      </c>
      <c r="BP245" t="e">
        <f>IF(#REF!,"AAAAADs1/kM=",0)</f>
        <v>#REF!</v>
      </c>
      <c r="BQ245" t="e">
        <f>IF(#REF!,"AAAAADs1/kQ=",0)</f>
        <v>#REF!</v>
      </c>
      <c r="BR245" t="e">
        <f>IF(#REF!,"AAAAADs1/kU=",0)</f>
        <v>#REF!</v>
      </c>
      <c r="BS245" t="e">
        <f>IF(#REF!,"AAAAADs1/kY=",0)</f>
        <v>#REF!</v>
      </c>
      <c r="BT245" t="e">
        <f>IF(#REF!,"AAAAADs1/kc=",0)</f>
        <v>#REF!</v>
      </c>
      <c r="BU245" t="e">
        <f>IF(#REF!,"AAAAADs1/kg=",0)</f>
        <v>#REF!</v>
      </c>
      <c r="BV245" t="e">
        <f>IF(#REF!,"AAAAADs1/kk=",0)</f>
        <v>#REF!</v>
      </c>
      <c r="BW245" t="e">
        <f>IF(#REF!,"AAAAADs1/ko=",0)</f>
        <v>#REF!</v>
      </c>
      <c r="BX245" t="e">
        <f>IF(#REF!,"AAAAADs1/ks=",0)</f>
        <v>#REF!</v>
      </c>
      <c r="BY245" t="e">
        <f>IF(#REF!,"AAAAADs1/kw=",0)</f>
        <v>#REF!</v>
      </c>
      <c r="BZ245" t="e">
        <f>IF(#REF!,"AAAAADs1/k0=",0)</f>
        <v>#REF!</v>
      </c>
      <c r="CA245" t="e">
        <f>IF(#REF!,"AAAAADs1/k4=",0)</f>
        <v>#REF!</v>
      </c>
      <c r="CB245" t="e">
        <f>IF(#REF!,"AAAAADs1/k8=",0)</f>
        <v>#REF!</v>
      </c>
      <c r="CC245" t="e">
        <f>IF(#REF!,"AAAAADs1/lA=",0)</f>
        <v>#REF!</v>
      </c>
      <c r="CD245" t="e">
        <f>IF(#REF!,"AAAAADs1/lE=",0)</f>
        <v>#REF!</v>
      </c>
      <c r="CE245" t="e">
        <f>IF(#REF!,"AAAAADs1/lI=",0)</f>
        <v>#REF!</v>
      </c>
      <c r="CF245" t="e">
        <f>IF(#REF!,"AAAAADs1/lM=",0)</f>
        <v>#REF!</v>
      </c>
      <c r="CG245" t="e">
        <f>IF(#REF!,"AAAAADs1/lQ=",0)</f>
        <v>#REF!</v>
      </c>
      <c r="CH245" t="e">
        <f>IF(#REF!,"AAAAADs1/lU=",0)</f>
        <v>#REF!</v>
      </c>
      <c r="CI245" t="e">
        <f>IF(#REF!,"AAAAADs1/lY=",0)</f>
        <v>#REF!</v>
      </c>
      <c r="CJ245" t="e">
        <f>IF(#REF!,"AAAAADs1/lc=",0)</f>
        <v>#REF!</v>
      </c>
      <c r="CK245" t="e">
        <f>IF(#REF!,"AAAAADs1/lg=",0)</f>
        <v>#REF!</v>
      </c>
      <c r="CL245" t="e">
        <f>IF(#REF!,"AAAAADs1/lk=",0)</f>
        <v>#REF!</v>
      </c>
      <c r="CM245" t="e">
        <f>IF(#REF!,"AAAAADs1/lo=",0)</f>
        <v>#REF!</v>
      </c>
      <c r="CN245" t="e">
        <f>IF(#REF!,"AAAAADs1/ls=",0)</f>
        <v>#REF!</v>
      </c>
      <c r="CO245" t="e">
        <f>IF(#REF!,"AAAAADs1/lw=",0)</f>
        <v>#REF!</v>
      </c>
      <c r="CP245" t="e">
        <f>IF(#REF!,"AAAAADs1/l0=",0)</f>
        <v>#REF!</v>
      </c>
      <c r="CQ245" t="e">
        <f>IF(#REF!,"AAAAADs1/l4=",0)</f>
        <v>#REF!</v>
      </c>
      <c r="CR245" t="e">
        <f>IF(#REF!,"AAAAADs1/l8=",0)</f>
        <v>#REF!</v>
      </c>
      <c r="CS245" t="e">
        <f>IF(#REF!,"AAAAADs1/mA=",0)</f>
        <v>#REF!</v>
      </c>
      <c r="CT245" t="e">
        <f>IF(#REF!,"AAAAADs1/mE=",0)</f>
        <v>#REF!</v>
      </c>
      <c r="CU245" t="e">
        <f>IF(#REF!,"AAAAADs1/mI=",0)</f>
        <v>#REF!</v>
      </c>
      <c r="CV245" t="e">
        <f>IF(#REF!,"AAAAADs1/mM=",0)</f>
        <v>#REF!</v>
      </c>
      <c r="CW245" t="e">
        <f>IF(#REF!,"AAAAADs1/mQ=",0)</f>
        <v>#REF!</v>
      </c>
      <c r="CX245" t="e">
        <f>IF(#REF!,"AAAAADs1/mU=",0)</f>
        <v>#REF!</v>
      </c>
      <c r="CY245" t="e">
        <f>IF(#REF!,"AAAAADs1/mY=",0)</f>
        <v>#REF!</v>
      </c>
      <c r="CZ245" t="e">
        <f>IF(#REF!,"AAAAADs1/mc=",0)</f>
        <v>#REF!</v>
      </c>
      <c r="DA245" t="e">
        <f>IF(#REF!,"AAAAADs1/mg=",0)</f>
        <v>#REF!</v>
      </c>
      <c r="DB245" t="e">
        <f>IF(#REF!,"AAAAADs1/mk=",0)</f>
        <v>#REF!</v>
      </c>
      <c r="DC245" t="e">
        <f>IF(#REF!,"AAAAADs1/mo=",0)</f>
        <v>#REF!</v>
      </c>
      <c r="DD245" t="e">
        <f>IF(#REF!,"AAAAADs1/ms=",0)</f>
        <v>#REF!</v>
      </c>
      <c r="DE245" t="e">
        <f>IF(#REF!,"AAAAADs1/mw=",0)</f>
        <v>#REF!</v>
      </c>
      <c r="DF245" t="e">
        <f>IF(#REF!,"AAAAADs1/m0=",0)</f>
        <v>#REF!</v>
      </c>
      <c r="DG245" t="e">
        <f>IF(#REF!,"AAAAADs1/m4=",0)</f>
        <v>#REF!</v>
      </c>
      <c r="DH245" t="e">
        <f>IF(#REF!,"AAAAADs1/m8=",0)</f>
        <v>#REF!</v>
      </c>
      <c r="DI245" t="e">
        <f>IF(#REF!,"AAAAADs1/nA=",0)</f>
        <v>#REF!</v>
      </c>
      <c r="DJ245" t="e">
        <f>IF(#REF!,"AAAAADs1/nE=",0)</f>
        <v>#REF!</v>
      </c>
      <c r="DK245" t="e">
        <f>IF(#REF!,"AAAAADs1/nI=",0)</f>
        <v>#REF!</v>
      </c>
      <c r="DL245" t="e">
        <f>IF(#REF!,"AAAAADs1/nM=",0)</f>
        <v>#REF!</v>
      </c>
      <c r="DM245" t="e">
        <f>IF(#REF!,"AAAAADs1/nQ=",0)</f>
        <v>#REF!</v>
      </c>
      <c r="DN245" t="e">
        <f>IF(#REF!,"AAAAADs1/nU=",0)</f>
        <v>#REF!</v>
      </c>
      <c r="DO245" t="e">
        <f>IF(#REF!,"AAAAADs1/nY=",0)</f>
        <v>#REF!</v>
      </c>
      <c r="DP245" t="e">
        <f>IF(#REF!,"AAAAADs1/nc=",0)</f>
        <v>#REF!</v>
      </c>
      <c r="DQ245" t="e">
        <f>IF(#REF!,"AAAAADs1/ng=",0)</f>
        <v>#REF!</v>
      </c>
      <c r="DR245" t="e">
        <f>IF(#REF!,"AAAAADs1/nk=",0)</f>
        <v>#REF!</v>
      </c>
      <c r="DS245" t="e">
        <f>IF(#REF!,"AAAAADs1/no=",0)</f>
        <v>#REF!</v>
      </c>
      <c r="DT245" t="e">
        <f>IF(#REF!,"AAAAADs1/ns=",0)</f>
        <v>#REF!</v>
      </c>
      <c r="DU245" t="e">
        <f>IF(#REF!,"AAAAADs1/nw=",0)</f>
        <v>#REF!</v>
      </c>
      <c r="DV245" t="e">
        <f>IF(#REF!,"AAAAADs1/n0=",0)</f>
        <v>#REF!</v>
      </c>
      <c r="DW245" t="e">
        <f>IF(#REF!,"AAAAADs1/n4=",0)</f>
        <v>#REF!</v>
      </c>
      <c r="DX245" t="e">
        <f>IF(#REF!,"AAAAADs1/n8=",0)</f>
        <v>#REF!</v>
      </c>
      <c r="DY245" t="e">
        <f>IF(#REF!,"AAAAADs1/oA=",0)</f>
        <v>#REF!</v>
      </c>
      <c r="DZ245" t="e">
        <f>IF(#REF!,"AAAAADs1/oE=",0)</f>
        <v>#REF!</v>
      </c>
      <c r="EA245" t="e">
        <f>IF(#REF!,"AAAAADs1/oI=",0)</f>
        <v>#REF!</v>
      </c>
      <c r="EB245" t="e">
        <f>IF(#REF!,"AAAAADs1/oM=",0)</f>
        <v>#REF!</v>
      </c>
      <c r="EC245" t="e">
        <f>IF(#REF!,"AAAAADs1/oQ=",0)</f>
        <v>#REF!</v>
      </c>
      <c r="ED245" t="e">
        <f>IF(#REF!,"AAAAADs1/oU=",0)</f>
        <v>#REF!</v>
      </c>
      <c r="EE245" t="e">
        <f>IF(#REF!,"AAAAADs1/oY=",0)</f>
        <v>#REF!</v>
      </c>
      <c r="EF245" t="e">
        <f>IF(#REF!,"AAAAADs1/oc=",0)</f>
        <v>#REF!</v>
      </c>
      <c r="EG245" t="e">
        <f>IF(#REF!,"AAAAADs1/og=",0)</f>
        <v>#REF!</v>
      </c>
      <c r="EH245" t="e">
        <f>IF(#REF!,"AAAAADs1/ok=",0)</f>
        <v>#REF!</v>
      </c>
      <c r="EI245" t="e">
        <f>IF(#REF!,"AAAAADs1/oo=",0)</f>
        <v>#REF!</v>
      </c>
      <c r="EJ245" t="e">
        <f>IF(#REF!,"AAAAADs1/os=",0)</f>
        <v>#REF!</v>
      </c>
      <c r="EK245" t="e">
        <f>IF(#REF!,"AAAAADs1/ow=",0)</f>
        <v>#REF!</v>
      </c>
      <c r="EL245" t="e">
        <f>IF(#REF!,"AAAAADs1/o0=",0)</f>
        <v>#REF!</v>
      </c>
      <c r="EM245" t="e">
        <f>IF(#REF!,"AAAAADs1/o4=",0)</f>
        <v>#REF!</v>
      </c>
      <c r="EN245" t="e">
        <f>IF(#REF!,"AAAAADs1/o8=",0)</f>
        <v>#REF!</v>
      </c>
      <c r="EO245" t="e">
        <f>IF(#REF!,"AAAAADs1/pA=",0)</f>
        <v>#REF!</v>
      </c>
      <c r="EP245" t="e">
        <f>IF(#REF!,"AAAAADs1/pE=",0)</f>
        <v>#REF!</v>
      </c>
      <c r="EQ245" t="e">
        <f>IF(#REF!,"AAAAADs1/pI=",0)</f>
        <v>#REF!</v>
      </c>
      <c r="ER245" t="e">
        <f>IF(#REF!,"AAAAADs1/pM=",0)</f>
        <v>#REF!</v>
      </c>
      <c r="ES245" t="e">
        <f>IF(#REF!,"AAAAADs1/pQ=",0)</f>
        <v>#REF!</v>
      </c>
      <c r="ET245" t="e">
        <f>IF(#REF!,"AAAAADs1/pU=",0)</f>
        <v>#REF!</v>
      </c>
      <c r="EU245" t="e">
        <f>IF(#REF!,"AAAAADs1/pY=",0)</f>
        <v>#REF!</v>
      </c>
      <c r="EV245" t="e">
        <f>IF(#REF!,"AAAAADs1/pc=",0)</f>
        <v>#REF!</v>
      </c>
      <c r="EW245" t="e">
        <f>IF(#REF!,"AAAAADs1/pg=",0)</f>
        <v>#REF!</v>
      </c>
      <c r="EX245" t="e">
        <f>IF(#REF!,"AAAAADs1/pk=",0)</f>
        <v>#REF!</v>
      </c>
      <c r="EY245" t="e">
        <f>IF(#REF!,"AAAAADs1/po=",0)</f>
        <v>#REF!</v>
      </c>
      <c r="EZ245" t="e">
        <f>IF(#REF!,"AAAAADs1/ps=",0)</f>
        <v>#REF!</v>
      </c>
      <c r="FA245" t="e">
        <f>IF(#REF!,"AAAAADs1/pw=",0)</f>
        <v>#REF!</v>
      </c>
      <c r="FB245" t="e">
        <f>IF(#REF!,"AAAAADs1/p0=",0)</f>
        <v>#REF!</v>
      </c>
      <c r="FC245" t="e">
        <f>IF(#REF!,"AAAAADs1/p4=",0)</f>
        <v>#REF!</v>
      </c>
      <c r="FD245" t="e">
        <f>IF(#REF!,"AAAAADs1/p8=",0)</f>
        <v>#REF!</v>
      </c>
      <c r="FE245" t="e">
        <f>IF(#REF!,"AAAAADs1/qA=",0)</f>
        <v>#REF!</v>
      </c>
      <c r="FF245" t="e">
        <f>IF(#REF!,"AAAAADs1/qE=",0)</f>
        <v>#REF!</v>
      </c>
      <c r="FG245" t="e">
        <f>IF(#REF!,"AAAAADs1/qI=",0)</f>
        <v>#REF!</v>
      </c>
      <c r="FH245" t="e">
        <f>IF(#REF!,"AAAAADs1/qM=",0)</f>
        <v>#REF!</v>
      </c>
      <c r="FI245" t="e">
        <f>IF(#REF!,"AAAAADs1/qQ=",0)</f>
        <v>#REF!</v>
      </c>
      <c r="FJ245" t="e">
        <f>IF(#REF!,"AAAAADs1/qU=",0)</f>
        <v>#REF!</v>
      </c>
      <c r="FK245" t="e">
        <f>IF(#REF!,"AAAAADs1/qY=",0)</f>
        <v>#REF!</v>
      </c>
      <c r="FL245" t="e">
        <f>IF(#REF!,"AAAAADs1/qc=",0)</f>
        <v>#REF!</v>
      </c>
      <c r="FM245" t="e">
        <f>IF(#REF!,"AAAAADs1/qg=",0)</f>
        <v>#REF!</v>
      </c>
      <c r="FN245" t="e">
        <f>IF(#REF!,"AAAAADs1/qk=",0)</f>
        <v>#REF!</v>
      </c>
      <c r="FO245" t="e">
        <f>IF(#REF!,"AAAAADs1/qo=",0)</f>
        <v>#REF!</v>
      </c>
      <c r="FP245" t="e">
        <f>IF(#REF!,"AAAAADs1/qs=",0)</f>
        <v>#REF!</v>
      </c>
      <c r="FQ245" t="e">
        <f>IF(#REF!,"AAAAADs1/qw=",0)</f>
        <v>#REF!</v>
      </c>
      <c r="FR245" t="e">
        <f>IF(#REF!,"AAAAADs1/q0=",0)</f>
        <v>#REF!</v>
      </c>
      <c r="FS245" t="e">
        <f>IF(#REF!,"AAAAADs1/q4=",0)</f>
        <v>#REF!</v>
      </c>
      <c r="FT245" t="e">
        <f>IF(#REF!,"AAAAADs1/q8=",0)</f>
        <v>#REF!</v>
      </c>
      <c r="FU245" t="e">
        <f>IF(#REF!,"AAAAADs1/rA=",0)</f>
        <v>#REF!</v>
      </c>
      <c r="FV245" t="e">
        <f>IF(#REF!,"AAAAADs1/rE=",0)</f>
        <v>#REF!</v>
      </c>
      <c r="FW245" t="e">
        <f>IF(#REF!,"AAAAADs1/rI=",0)</f>
        <v>#REF!</v>
      </c>
      <c r="FX245" t="e">
        <f>IF(#REF!,"AAAAADs1/rM=",0)</f>
        <v>#REF!</v>
      </c>
      <c r="FY245" t="e">
        <f>IF(#REF!,"AAAAADs1/rQ=",0)</f>
        <v>#REF!</v>
      </c>
      <c r="FZ245" t="e">
        <f>IF(#REF!,"AAAAADs1/rU=",0)</f>
        <v>#REF!</v>
      </c>
      <c r="GA245" t="e">
        <f>IF(#REF!,"AAAAADs1/rY=",0)</f>
        <v>#REF!</v>
      </c>
      <c r="GB245" t="e">
        <f>IF(#REF!,"AAAAADs1/rc=",0)</f>
        <v>#REF!</v>
      </c>
      <c r="GC245" t="e">
        <f>IF(#REF!,"AAAAADs1/rg=",0)</f>
        <v>#REF!</v>
      </c>
      <c r="GD245" t="e">
        <f>IF(#REF!,"AAAAADs1/rk=",0)</f>
        <v>#REF!</v>
      </c>
      <c r="GE245" t="e">
        <f>IF(#REF!,"AAAAADs1/ro=",0)</f>
        <v>#REF!</v>
      </c>
      <c r="GF245" t="e">
        <f>IF(#REF!,"AAAAADs1/rs=",0)</f>
        <v>#REF!</v>
      </c>
      <c r="GG245" t="e">
        <f>IF(#REF!,"AAAAADs1/rw=",0)</f>
        <v>#REF!</v>
      </c>
      <c r="GH245" t="e">
        <f>IF(#REF!,"AAAAADs1/r0=",0)</f>
        <v>#REF!</v>
      </c>
      <c r="GI245" t="e">
        <f>IF(#REF!,"AAAAADs1/r4=",0)</f>
        <v>#REF!</v>
      </c>
      <c r="GJ245" t="e">
        <f>IF(#REF!,"AAAAADs1/r8=",0)</f>
        <v>#REF!</v>
      </c>
      <c r="GK245" t="e">
        <f>IF(#REF!,"AAAAADs1/sA=",0)</f>
        <v>#REF!</v>
      </c>
      <c r="GL245" t="e">
        <f>IF(#REF!,"AAAAADs1/sE=",0)</f>
        <v>#REF!</v>
      </c>
      <c r="GM245" t="e">
        <f>IF(#REF!,"AAAAADs1/sI=",0)</f>
        <v>#REF!</v>
      </c>
      <c r="GN245" t="e">
        <f>IF(#REF!,"AAAAADs1/sM=",0)</f>
        <v>#REF!</v>
      </c>
      <c r="GO245" t="e">
        <f>IF(#REF!,"AAAAADs1/sQ=",0)</f>
        <v>#REF!</v>
      </c>
      <c r="GP245" t="e">
        <f>IF(#REF!,"AAAAADs1/sU=",0)</f>
        <v>#REF!</v>
      </c>
      <c r="GQ245" t="e">
        <f>IF(#REF!,"AAAAADs1/sY=",0)</f>
        <v>#REF!</v>
      </c>
      <c r="GR245" t="e">
        <f>IF(#REF!,"AAAAADs1/sc=",0)</f>
        <v>#REF!</v>
      </c>
      <c r="GS245" t="e">
        <f>IF(#REF!,"AAAAADs1/sg=",0)</f>
        <v>#REF!</v>
      </c>
      <c r="GT245" t="e">
        <f>IF(#REF!,"AAAAADs1/sk=",0)</f>
        <v>#REF!</v>
      </c>
      <c r="GU245" t="e">
        <f>IF(#REF!,"AAAAADs1/so=",0)</f>
        <v>#REF!</v>
      </c>
      <c r="GV245" t="e">
        <f>IF(#REF!,"AAAAADs1/ss=",0)</f>
        <v>#REF!</v>
      </c>
      <c r="GW245" t="e">
        <f>IF(#REF!,"AAAAADs1/sw=",0)</f>
        <v>#REF!</v>
      </c>
      <c r="GX245" t="e">
        <f>IF(#REF!,"AAAAADs1/s0=",0)</f>
        <v>#REF!</v>
      </c>
      <c r="GY245" t="e">
        <f>IF(#REF!,"AAAAADs1/s4=",0)</f>
        <v>#REF!</v>
      </c>
      <c r="GZ245" t="e">
        <f>IF(#REF!,"AAAAADs1/s8=",0)</f>
        <v>#REF!</v>
      </c>
      <c r="HA245" t="e">
        <f>IF(#REF!,"AAAAADs1/tA=",0)</f>
        <v>#REF!</v>
      </c>
      <c r="HB245" t="e">
        <f>IF(#REF!,"AAAAADs1/tE=",0)</f>
        <v>#REF!</v>
      </c>
      <c r="HC245" t="e">
        <f>IF(#REF!,"AAAAADs1/tI=",0)</f>
        <v>#REF!</v>
      </c>
      <c r="HD245" t="e">
        <f>IF(#REF!,"AAAAADs1/tM=",0)</f>
        <v>#REF!</v>
      </c>
      <c r="HE245" t="e">
        <f>IF(#REF!,"AAAAADs1/tQ=",0)</f>
        <v>#REF!</v>
      </c>
      <c r="HF245" t="e">
        <f>IF(#REF!,"AAAAADs1/tU=",0)</f>
        <v>#REF!</v>
      </c>
      <c r="HG245" t="e">
        <f>IF(#REF!,"AAAAADs1/tY=",0)</f>
        <v>#REF!</v>
      </c>
      <c r="HH245" t="e">
        <f>IF(#REF!,"AAAAADs1/tc=",0)</f>
        <v>#REF!</v>
      </c>
      <c r="HI245" t="e">
        <f>IF(#REF!,"AAAAADs1/tg=",0)</f>
        <v>#REF!</v>
      </c>
      <c r="HJ245" t="e">
        <f>IF(#REF!,"AAAAADs1/tk=",0)</f>
        <v>#REF!</v>
      </c>
      <c r="HK245" t="e">
        <f>IF(#REF!,"AAAAADs1/to=",0)</f>
        <v>#REF!</v>
      </c>
      <c r="HL245" t="e">
        <f>IF(#REF!,"AAAAADs1/ts=",0)</f>
        <v>#REF!</v>
      </c>
      <c r="HM245" t="e">
        <f>IF(#REF!,"AAAAADs1/tw=",0)</f>
        <v>#REF!</v>
      </c>
      <c r="HN245" t="e">
        <f>IF(#REF!,"AAAAADs1/t0=",0)</f>
        <v>#REF!</v>
      </c>
      <c r="HO245" t="e">
        <f>IF(#REF!,"AAAAADs1/t4=",0)</f>
        <v>#REF!</v>
      </c>
      <c r="HP245" t="e">
        <f>IF(#REF!,"AAAAADs1/t8=",0)</f>
        <v>#REF!</v>
      </c>
      <c r="HQ245" t="e">
        <f>IF(#REF!,"AAAAADs1/uA=",0)</f>
        <v>#REF!</v>
      </c>
      <c r="HR245" t="e">
        <f>IF(#REF!,"AAAAADs1/uE=",0)</f>
        <v>#REF!</v>
      </c>
      <c r="HS245" t="e">
        <f>IF(#REF!,"AAAAADs1/uI=",0)</f>
        <v>#REF!</v>
      </c>
      <c r="HT245" t="e">
        <f>IF(#REF!,"AAAAADs1/uM=",0)</f>
        <v>#REF!</v>
      </c>
      <c r="HU245" t="e">
        <f>IF(#REF!,"AAAAADs1/uQ=",0)</f>
        <v>#REF!</v>
      </c>
      <c r="HV245" t="e">
        <f>IF(#REF!,"AAAAADs1/uU=",0)</f>
        <v>#REF!</v>
      </c>
      <c r="HW245" t="e">
        <f>IF(#REF!,"AAAAADs1/uY=",0)</f>
        <v>#REF!</v>
      </c>
      <c r="HX245" t="e">
        <f>IF(#REF!,"AAAAADs1/uc=",0)</f>
        <v>#REF!</v>
      </c>
      <c r="HY245" t="e">
        <f>IF(#REF!,"AAAAADs1/ug=",0)</f>
        <v>#REF!</v>
      </c>
      <c r="HZ245" t="e">
        <f>IF(#REF!,"AAAAADs1/uk=",0)</f>
        <v>#REF!</v>
      </c>
      <c r="IA245" t="e">
        <f>IF(#REF!,"AAAAADs1/uo=",0)</f>
        <v>#REF!</v>
      </c>
      <c r="IB245" t="e">
        <f>IF(#REF!,"AAAAADs1/us=",0)</f>
        <v>#REF!</v>
      </c>
      <c r="IC245" t="e">
        <f>IF(#REF!,"AAAAADs1/uw=",0)</f>
        <v>#REF!</v>
      </c>
      <c r="ID245" t="e">
        <f>IF(#REF!,"AAAAADs1/u0=",0)</f>
        <v>#REF!</v>
      </c>
      <c r="IE245" t="e">
        <f>IF(#REF!,"AAAAADs1/u4=",0)</f>
        <v>#REF!</v>
      </c>
      <c r="IF245" t="e">
        <f>IF(#REF!,"AAAAADs1/u8=",0)</f>
        <v>#REF!</v>
      </c>
      <c r="IG245" t="e">
        <f>IF(#REF!,"AAAAADs1/vA=",0)</f>
        <v>#REF!</v>
      </c>
      <c r="IH245" t="e">
        <f>IF(#REF!,"AAAAADs1/vE=",0)</f>
        <v>#REF!</v>
      </c>
      <c r="II245" t="e">
        <f>IF(#REF!,"AAAAADs1/vI=",0)</f>
        <v>#REF!</v>
      </c>
      <c r="IJ245" t="e">
        <f>IF(#REF!,"AAAAADs1/vM=",0)</f>
        <v>#REF!</v>
      </c>
      <c r="IK245" t="e">
        <f>IF(#REF!,"AAAAADs1/vQ=",0)</f>
        <v>#REF!</v>
      </c>
      <c r="IL245" t="e">
        <f>IF(#REF!,"AAAAADs1/vU=",0)</f>
        <v>#REF!</v>
      </c>
      <c r="IM245" t="e">
        <f>IF(#REF!,"AAAAADs1/vY=",0)</f>
        <v>#REF!</v>
      </c>
      <c r="IN245" t="e">
        <f>IF(#REF!,"AAAAADs1/vc=",0)</f>
        <v>#REF!</v>
      </c>
      <c r="IO245" t="e">
        <f>IF(#REF!,"AAAAADs1/vg=",0)</f>
        <v>#REF!</v>
      </c>
      <c r="IP245" t="e">
        <f>IF(#REF!,"AAAAADs1/vk=",0)</f>
        <v>#REF!</v>
      </c>
      <c r="IQ245" t="e">
        <f>IF(#REF!,"AAAAADs1/vo=",0)</f>
        <v>#REF!</v>
      </c>
      <c r="IR245" t="e">
        <f>IF(#REF!,"AAAAADs1/vs=",0)</f>
        <v>#REF!</v>
      </c>
      <c r="IS245" t="e">
        <f>IF(#REF!,"AAAAADs1/vw=",0)</f>
        <v>#REF!</v>
      </c>
      <c r="IT245" t="e">
        <f>IF(#REF!,"AAAAADs1/v0=",0)</f>
        <v>#REF!</v>
      </c>
      <c r="IU245" t="e">
        <f>IF(#REF!,"AAAAADs1/v4=",0)</f>
        <v>#REF!</v>
      </c>
      <c r="IV245" t="e">
        <f>IF(#REF!,"AAAAADs1/v8=",0)</f>
        <v>#REF!</v>
      </c>
    </row>
    <row r="246" spans="1:256">
      <c r="A246" t="e">
        <f>IF(#REF!,"AAAAAHfvmwA=",0)</f>
        <v>#REF!</v>
      </c>
      <c r="B246" t="e">
        <f>IF(#REF!,"AAAAAHfvmwE=",0)</f>
        <v>#REF!</v>
      </c>
      <c r="C246" t="e">
        <f>IF(#REF!,"AAAAAHfvmwI=",0)</f>
        <v>#REF!</v>
      </c>
      <c r="D246" t="e">
        <f>IF(#REF!,"AAAAAHfvmwM=",0)</f>
        <v>#REF!</v>
      </c>
      <c r="E246" t="e">
        <f>IF(#REF!,"AAAAAHfvmwQ=",0)</f>
        <v>#REF!</v>
      </c>
      <c r="F246" t="e">
        <f>IF(#REF!,"AAAAAHfvmwU=",0)</f>
        <v>#REF!</v>
      </c>
      <c r="G246" t="e">
        <f>IF(#REF!,"AAAAAHfvmwY=",0)</f>
        <v>#REF!</v>
      </c>
      <c r="H246" t="e">
        <f>IF(#REF!,"AAAAAHfvmwc=",0)</f>
        <v>#REF!</v>
      </c>
      <c r="I246" t="e">
        <f>IF(#REF!,"AAAAAHfvmwg=",0)</f>
        <v>#REF!</v>
      </c>
      <c r="J246" t="e">
        <f>IF(#REF!,"AAAAAHfvmwk=",0)</f>
        <v>#REF!</v>
      </c>
      <c r="K246" t="e">
        <f>IF(#REF!,"AAAAAHfvmwo=",0)</f>
        <v>#REF!</v>
      </c>
      <c r="L246" t="e">
        <f>IF(#REF!,"AAAAAHfvmws=",0)</f>
        <v>#REF!</v>
      </c>
      <c r="M246" t="e">
        <f>IF(#REF!,"AAAAAHfvmww=",0)</f>
        <v>#REF!</v>
      </c>
      <c r="N246" t="e">
        <f>IF(#REF!,"AAAAAHfvmw0=",0)</f>
        <v>#REF!</v>
      </c>
      <c r="O246" t="e">
        <f>IF(#REF!,"AAAAAHfvmw4=",0)</f>
        <v>#REF!</v>
      </c>
      <c r="P246" t="e">
        <f>IF(#REF!,"AAAAAHfvmw8=",0)</f>
        <v>#REF!</v>
      </c>
      <c r="Q246" t="e">
        <f>IF(#REF!,"AAAAAHfvmxA=",0)</f>
        <v>#REF!</v>
      </c>
      <c r="R246" t="e">
        <f>IF(#REF!,"AAAAAHfvmxE=",0)</f>
        <v>#REF!</v>
      </c>
      <c r="S246" t="e">
        <f>IF(#REF!,"AAAAAHfvmxI=",0)</f>
        <v>#REF!</v>
      </c>
      <c r="T246" t="e">
        <f>IF(#REF!,"AAAAAHfvmxM=",0)</f>
        <v>#REF!</v>
      </c>
      <c r="U246" t="e">
        <f>IF(#REF!,"AAAAAHfvmxQ=",0)</f>
        <v>#REF!</v>
      </c>
      <c r="V246" t="e">
        <f>IF(#REF!,"AAAAAHfvmxU=",0)</f>
        <v>#REF!</v>
      </c>
      <c r="W246" t="e">
        <f>IF(#REF!,"AAAAAHfvmxY=",0)</f>
        <v>#REF!</v>
      </c>
      <c r="X246" t="e">
        <f>IF(#REF!,"AAAAAHfvmxc=",0)</f>
        <v>#REF!</v>
      </c>
      <c r="Y246" t="e">
        <f>IF(#REF!,"AAAAAHfvmxg=",0)</f>
        <v>#REF!</v>
      </c>
      <c r="Z246" t="e">
        <f>IF(#REF!,"AAAAAHfvmxk=",0)</f>
        <v>#REF!</v>
      </c>
      <c r="AA246" t="e">
        <f>IF(#REF!,"AAAAAHfvmxo=",0)</f>
        <v>#REF!</v>
      </c>
      <c r="AB246" t="e">
        <f>IF(#REF!,"AAAAAHfvmxs=",0)</f>
        <v>#REF!</v>
      </c>
      <c r="AC246" t="e">
        <f>IF(#REF!,"AAAAAHfvmxw=",0)</f>
        <v>#REF!</v>
      </c>
      <c r="AD246" t="e">
        <f>IF(#REF!,"AAAAAHfvmx0=",0)</f>
        <v>#REF!</v>
      </c>
      <c r="AE246" t="e">
        <f>IF(#REF!,"AAAAAHfvmx4=",0)</f>
        <v>#REF!</v>
      </c>
      <c r="AF246" t="e">
        <f>IF(#REF!,"AAAAAHfvmx8=",0)</f>
        <v>#REF!</v>
      </c>
      <c r="AG246" t="e">
        <f>IF(#REF!,"AAAAAHfvmyA=",0)</f>
        <v>#REF!</v>
      </c>
      <c r="AH246" t="e">
        <f>IF(#REF!,"AAAAAHfvmyE=",0)</f>
        <v>#REF!</v>
      </c>
      <c r="AI246" t="e">
        <f>IF(#REF!,"AAAAAHfvmyI=",0)</f>
        <v>#REF!</v>
      </c>
      <c r="AJ246" t="e">
        <f>IF(#REF!,"AAAAAHfvmyM=",0)</f>
        <v>#REF!</v>
      </c>
      <c r="AK246" t="e">
        <f>IF(#REF!,"AAAAAHfvmyQ=",0)</f>
        <v>#REF!</v>
      </c>
      <c r="AL246" t="e">
        <f>IF(#REF!,"AAAAAHfvmyU=",0)</f>
        <v>#REF!</v>
      </c>
      <c r="AM246" t="e">
        <f>IF(#REF!,"AAAAAHfvmyY=",0)</f>
        <v>#REF!</v>
      </c>
      <c r="AN246" t="e">
        <f>IF(#REF!,"AAAAAHfvmyc=",0)</f>
        <v>#REF!</v>
      </c>
      <c r="AO246" t="e">
        <f>IF(#REF!,"AAAAAHfvmyg=",0)</f>
        <v>#REF!</v>
      </c>
      <c r="AP246" t="e">
        <f>IF(#REF!,"AAAAAHfvmyk=",0)</f>
        <v>#REF!</v>
      </c>
      <c r="AQ246" t="e">
        <f>IF(#REF!,"AAAAAHfvmyo=",0)</f>
        <v>#REF!</v>
      </c>
      <c r="AR246" t="e">
        <f>IF(#REF!,"AAAAAHfvmys=",0)</f>
        <v>#REF!</v>
      </c>
      <c r="AS246" t="e">
        <f>IF(#REF!,"AAAAAHfvmyw=",0)</f>
        <v>#REF!</v>
      </c>
      <c r="AT246" t="e">
        <f>IF(#REF!,"AAAAAHfvmy0=",0)</f>
        <v>#REF!</v>
      </c>
      <c r="AU246" t="e">
        <f>IF(#REF!,"AAAAAHfvmy4=",0)</f>
        <v>#REF!</v>
      </c>
      <c r="AV246" t="e">
        <f>IF(#REF!,"AAAAAHfvmy8=",0)</f>
        <v>#REF!</v>
      </c>
      <c r="AW246" t="e">
        <f>IF(#REF!,"AAAAAHfvmzA=",0)</f>
        <v>#REF!</v>
      </c>
      <c r="AX246" t="e">
        <f>IF(#REF!,"AAAAAHfvmzE=",0)</f>
        <v>#REF!</v>
      </c>
      <c r="AY246" t="e">
        <f>IF(#REF!,"AAAAAHfvmzI=",0)</f>
        <v>#REF!</v>
      </c>
      <c r="AZ246" t="e">
        <f>IF(#REF!,"AAAAAHfvmzM=",0)</f>
        <v>#REF!</v>
      </c>
      <c r="BA246" t="e">
        <f>IF(#REF!,"AAAAAHfvmzQ=",0)</f>
        <v>#REF!</v>
      </c>
      <c r="BB246" t="e">
        <f>IF(#REF!,"AAAAAHfvmzU=",0)</f>
        <v>#REF!</v>
      </c>
      <c r="BC246" t="e">
        <f>IF(#REF!,"AAAAAHfvmzY=",0)</f>
        <v>#REF!</v>
      </c>
      <c r="BD246" t="e">
        <f>IF(#REF!,"AAAAAHfvmzc=",0)</f>
        <v>#REF!</v>
      </c>
      <c r="BE246" t="e">
        <f>IF(#REF!,"AAAAAHfvmzg=",0)</f>
        <v>#REF!</v>
      </c>
      <c r="BF246" t="e">
        <f>IF(#REF!,"AAAAAHfvmzk=",0)</f>
        <v>#REF!</v>
      </c>
      <c r="BG246" t="e">
        <f>IF(#REF!,"AAAAAHfvmzo=",0)</f>
        <v>#REF!</v>
      </c>
      <c r="BH246" t="e">
        <f>IF(#REF!,"AAAAAHfvmzs=",0)</f>
        <v>#REF!</v>
      </c>
      <c r="BI246" t="e">
        <f>IF(#REF!,"AAAAAHfvmzw=",0)</f>
        <v>#REF!</v>
      </c>
      <c r="BJ246" t="e">
        <f>IF(#REF!,"AAAAAHfvmz0=",0)</f>
        <v>#REF!</v>
      </c>
      <c r="BK246" t="e">
        <f>IF(#REF!,"AAAAAHfvmz4=",0)</f>
        <v>#REF!</v>
      </c>
      <c r="BL246" t="e">
        <f>IF(#REF!,"AAAAAHfvmz8=",0)</f>
        <v>#REF!</v>
      </c>
      <c r="BM246" t="e">
        <f>IF(#REF!,"AAAAAHfvm0A=",0)</f>
        <v>#REF!</v>
      </c>
      <c r="BN246" t="e">
        <f>IF(#REF!,"AAAAAHfvm0E=",0)</f>
        <v>#REF!</v>
      </c>
      <c r="BO246" t="e">
        <f>IF(#REF!,"AAAAAHfvm0I=",0)</f>
        <v>#REF!</v>
      </c>
      <c r="BP246" t="e">
        <f>IF(#REF!,"AAAAAHfvm0M=",0)</f>
        <v>#REF!</v>
      </c>
      <c r="BQ246" t="e">
        <f>IF(#REF!,"AAAAAHfvm0Q=",0)</f>
        <v>#REF!</v>
      </c>
      <c r="BR246" t="e">
        <f>IF(#REF!,"AAAAAHfvm0U=",0)</f>
        <v>#REF!</v>
      </c>
      <c r="BS246" t="e">
        <f>IF(#REF!,"AAAAAHfvm0Y=",0)</f>
        <v>#REF!</v>
      </c>
      <c r="BT246" t="e">
        <f>IF(#REF!,"AAAAAHfvm0c=",0)</f>
        <v>#REF!</v>
      </c>
      <c r="BU246" t="e">
        <f>IF(#REF!,"AAAAAHfvm0g=",0)</f>
        <v>#REF!</v>
      </c>
      <c r="BV246" t="e">
        <f>IF(#REF!,"AAAAAHfvm0k=",0)</f>
        <v>#REF!</v>
      </c>
      <c r="BW246" t="e">
        <f>IF(#REF!,"AAAAAHfvm0o=",0)</f>
        <v>#REF!</v>
      </c>
      <c r="BX246" t="e">
        <f>IF(#REF!,"AAAAAHfvm0s=",0)</f>
        <v>#REF!</v>
      </c>
      <c r="BY246" t="e">
        <f>IF(#REF!,"AAAAAHfvm0w=",0)</f>
        <v>#REF!</v>
      </c>
      <c r="BZ246" t="e">
        <f>IF(#REF!,"AAAAAHfvm00=",0)</f>
        <v>#REF!</v>
      </c>
      <c r="CA246" t="e">
        <f>IF(#REF!,"AAAAAHfvm04=",0)</f>
        <v>#REF!</v>
      </c>
      <c r="CB246" t="e">
        <f>IF(#REF!,"AAAAAHfvm08=",0)</f>
        <v>#REF!</v>
      </c>
      <c r="CC246" t="e">
        <f>IF(#REF!,"AAAAAHfvm1A=",0)</f>
        <v>#REF!</v>
      </c>
      <c r="CD246" t="e">
        <f>IF(#REF!,"AAAAAHfvm1E=",0)</f>
        <v>#REF!</v>
      </c>
      <c r="CE246" t="e">
        <f>IF(#REF!,"AAAAAHfvm1I=",0)</f>
        <v>#REF!</v>
      </c>
      <c r="CF246" t="e">
        <f>IF(#REF!,"AAAAAHfvm1M=",0)</f>
        <v>#REF!</v>
      </c>
      <c r="CG246" t="e">
        <f>IF(#REF!,"AAAAAHfvm1Q=",0)</f>
        <v>#REF!</v>
      </c>
      <c r="CH246" t="e">
        <f>IF(#REF!,"AAAAAHfvm1U=",0)</f>
        <v>#REF!</v>
      </c>
      <c r="CI246" t="e">
        <f>IF(#REF!,"AAAAAHfvm1Y=",0)</f>
        <v>#REF!</v>
      </c>
      <c r="CJ246" t="e">
        <f>IF(#REF!,"AAAAAHfvm1c=",0)</f>
        <v>#REF!</v>
      </c>
      <c r="CK246" t="e">
        <f>IF(#REF!,"AAAAAHfvm1g=",0)</f>
        <v>#REF!</v>
      </c>
      <c r="CL246" t="e">
        <f>IF(#REF!,"AAAAAHfvm1k=",0)</f>
        <v>#REF!</v>
      </c>
      <c r="CM246" t="e">
        <f>IF(#REF!,"AAAAAHfvm1o=",0)</f>
        <v>#REF!</v>
      </c>
      <c r="CN246" t="e">
        <f>IF(#REF!,"AAAAAHfvm1s=",0)</f>
        <v>#REF!</v>
      </c>
      <c r="CO246" t="e">
        <f>IF(#REF!,"AAAAAHfvm1w=",0)</f>
        <v>#REF!</v>
      </c>
      <c r="CP246" t="e">
        <f>IF(#REF!,"AAAAAHfvm10=",0)</f>
        <v>#REF!</v>
      </c>
      <c r="CQ246" t="e">
        <f>IF(#REF!,"AAAAAHfvm14=",0)</f>
        <v>#REF!</v>
      </c>
      <c r="CR246" t="e">
        <f>IF(#REF!,"AAAAAHfvm18=",0)</f>
        <v>#REF!</v>
      </c>
      <c r="CS246" t="e">
        <f>IF(#REF!,"AAAAAHfvm2A=",0)</f>
        <v>#REF!</v>
      </c>
      <c r="CT246" t="e">
        <f>IF(#REF!,"AAAAAHfvm2E=",0)</f>
        <v>#REF!</v>
      </c>
      <c r="CU246" t="e">
        <f>IF(#REF!,"AAAAAHfvm2I=",0)</f>
        <v>#REF!</v>
      </c>
      <c r="CV246" t="e">
        <f>IF(#REF!,"AAAAAHfvm2M=",0)</f>
        <v>#REF!</v>
      </c>
      <c r="CW246" t="e">
        <f>IF(#REF!,"AAAAAHfvm2Q=",0)</f>
        <v>#REF!</v>
      </c>
      <c r="CX246" t="e">
        <f>IF(#REF!,"AAAAAHfvm2U=",0)</f>
        <v>#REF!</v>
      </c>
      <c r="CY246" t="e">
        <f>IF(#REF!,"AAAAAHfvm2Y=",0)</f>
        <v>#REF!</v>
      </c>
      <c r="CZ246" t="e">
        <f>IF(#REF!,"AAAAAHfvm2c=",0)</f>
        <v>#REF!</v>
      </c>
      <c r="DA246" t="e">
        <f>IF(#REF!,"AAAAAHfvm2g=",0)</f>
        <v>#REF!</v>
      </c>
      <c r="DB246" t="e">
        <f>IF(#REF!,"AAAAAHfvm2k=",0)</f>
        <v>#REF!</v>
      </c>
      <c r="DC246" t="e">
        <f>IF(#REF!,"AAAAAHfvm2o=",0)</f>
        <v>#REF!</v>
      </c>
      <c r="DD246" t="e">
        <f>IF(#REF!,"AAAAAHfvm2s=",0)</f>
        <v>#REF!</v>
      </c>
      <c r="DE246" t="e">
        <f>IF(#REF!,"AAAAAHfvm2w=",0)</f>
        <v>#REF!</v>
      </c>
      <c r="DF246" t="e">
        <f>IF(#REF!,"AAAAAHfvm20=",0)</f>
        <v>#REF!</v>
      </c>
      <c r="DG246" t="e">
        <f>IF(#REF!,"AAAAAHfvm24=",0)</f>
        <v>#REF!</v>
      </c>
      <c r="DH246" t="e">
        <f>IF(#REF!,"AAAAAHfvm28=",0)</f>
        <v>#REF!</v>
      </c>
      <c r="DI246" t="e">
        <f>IF(#REF!,"AAAAAHfvm3A=",0)</f>
        <v>#REF!</v>
      </c>
      <c r="DJ246" t="e">
        <f>IF(#REF!,"AAAAAHfvm3E=",0)</f>
        <v>#REF!</v>
      </c>
      <c r="DK246" t="e">
        <f>IF(#REF!,"AAAAAHfvm3I=",0)</f>
        <v>#REF!</v>
      </c>
      <c r="DL246" t="e">
        <f>IF(#REF!,"AAAAAHfvm3M=",0)</f>
        <v>#REF!</v>
      </c>
      <c r="DM246" t="e">
        <f>IF(#REF!,"AAAAAHfvm3Q=",0)</f>
        <v>#REF!</v>
      </c>
      <c r="DN246" t="e">
        <f>IF(#REF!,"AAAAAHfvm3U=",0)</f>
        <v>#REF!</v>
      </c>
      <c r="DO246" t="e">
        <f>IF(#REF!,"AAAAAHfvm3Y=",0)</f>
        <v>#REF!</v>
      </c>
      <c r="DP246" t="e">
        <f>IF(#REF!,"AAAAAHfvm3c=",0)</f>
        <v>#REF!</v>
      </c>
      <c r="DQ246" t="e">
        <f>IF(#REF!,"AAAAAHfvm3g=",0)</f>
        <v>#REF!</v>
      </c>
      <c r="DR246" t="e">
        <f>IF(#REF!,"AAAAAHfvm3k=",0)</f>
        <v>#REF!</v>
      </c>
      <c r="DS246" t="e">
        <f>IF(#REF!,"AAAAAHfvm3o=",0)</f>
        <v>#REF!</v>
      </c>
      <c r="DT246" t="e">
        <f>IF(#REF!,"AAAAAHfvm3s=",0)</f>
        <v>#REF!</v>
      </c>
      <c r="DU246" t="e">
        <f>IF(#REF!,"AAAAAHfvm3w=",0)</f>
        <v>#REF!</v>
      </c>
      <c r="DV246" t="e">
        <f>IF(#REF!,"AAAAAHfvm30=",0)</f>
        <v>#REF!</v>
      </c>
      <c r="DW246" t="e">
        <f>IF(#REF!,"AAAAAHfvm34=",0)</f>
        <v>#REF!</v>
      </c>
      <c r="DX246" t="e">
        <f>IF(#REF!,"AAAAAHfvm38=",0)</f>
        <v>#REF!</v>
      </c>
      <c r="DY246" t="e">
        <f>IF(#REF!,"AAAAAHfvm4A=",0)</f>
        <v>#REF!</v>
      </c>
      <c r="DZ246" t="e">
        <f>IF(#REF!,"AAAAAHfvm4E=",0)</f>
        <v>#REF!</v>
      </c>
      <c r="EA246" t="e">
        <f>IF(#REF!,"AAAAAHfvm4I=",0)</f>
        <v>#REF!</v>
      </c>
      <c r="EB246" t="e">
        <f>IF(#REF!,"AAAAAHfvm4M=",0)</f>
        <v>#REF!</v>
      </c>
      <c r="EC246" t="e">
        <f>IF(#REF!,"AAAAAHfvm4Q=",0)</f>
        <v>#REF!</v>
      </c>
      <c r="ED246" t="e">
        <f>IF(#REF!,"AAAAAHfvm4U=",0)</f>
        <v>#REF!</v>
      </c>
      <c r="EE246" t="e">
        <f>IF(#REF!,"AAAAAHfvm4Y=",0)</f>
        <v>#REF!</v>
      </c>
      <c r="EF246" t="e">
        <f>IF(#REF!,"AAAAAHfvm4c=",0)</f>
        <v>#REF!</v>
      </c>
      <c r="EG246" t="e">
        <f>IF(#REF!,"AAAAAHfvm4g=",0)</f>
        <v>#REF!</v>
      </c>
      <c r="EH246" t="e">
        <f>IF(#REF!,"AAAAAHfvm4k=",0)</f>
        <v>#REF!</v>
      </c>
      <c r="EI246" t="e">
        <f>IF(#REF!,"AAAAAHfvm4o=",0)</f>
        <v>#REF!</v>
      </c>
      <c r="EJ246" t="e">
        <f>IF(#REF!,"AAAAAHfvm4s=",0)</f>
        <v>#REF!</v>
      </c>
      <c r="EK246" t="e">
        <f>IF(#REF!,"AAAAAHfvm4w=",0)</f>
        <v>#REF!</v>
      </c>
      <c r="EL246" t="e">
        <f>IF(#REF!,"AAAAAHfvm40=",0)</f>
        <v>#REF!</v>
      </c>
      <c r="EM246" t="e">
        <f>IF(#REF!,"AAAAAHfvm44=",0)</f>
        <v>#REF!</v>
      </c>
      <c r="EN246" t="e">
        <f>IF(#REF!,"AAAAAHfvm48=",0)</f>
        <v>#REF!</v>
      </c>
      <c r="EO246" t="e">
        <f>IF(#REF!,"AAAAAHfvm5A=",0)</f>
        <v>#REF!</v>
      </c>
      <c r="EP246" t="e">
        <f>IF(#REF!,"AAAAAHfvm5E=",0)</f>
        <v>#REF!</v>
      </c>
      <c r="EQ246" t="e">
        <f>IF(#REF!,"AAAAAHfvm5I=",0)</f>
        <v>#REF!</v>
      </c>
      <c r="ER246" t="e">
        <f>IF(#REF!,"AAAAAHfvm5M=",0)</f>
        <v>#REF!</v>
      </c>
      <c r="ES246" t="e">
        <f>IF(#REF!,"AAAAAHfvm5Q=",0)</f>
        <v>#REF!</v>
      </c>
      <c r="ET246" t="e">
        <f>IF(#REF!,"AAAAAHfvm5U=",0)</f>
        <v>#REF!</v>
      </c>
      <c r="EU246" t="e">
        <f>IF(#REF!,"AAAAAHfvm5Y=",0)</f>
        <v>#REF!</v>
      </c>
      <c r="EV246" t="e">
        <f>IF(#REF!,"AAAAAHfvm5c=",0)</f>
        <v>#REF!</v>
      </c>
      <c r="EW246" t="e">
        <f>IF(#REF!,"AAAAAHfvm5g=",0)</f>
        <v>#REF!</v>
      </c>
      <c r="EX246" t="e">
        <f>IF(#REF!,"AAAAAHfvm5k=",0)</f>
        <v>#REF!</v>
      </c>
      <c r="EY246" t="e">
        <f>IF(#REF!,"AAAAAHfvm5o=",0)</f>
        <v>#REF!</v>
      </c>
      <c r="EZ246" t="e">
        <f>IF(#REF!,"AAAAAHfvm5s=",0)</f>
        <v>#REF!</v>
      </c>
      <c r="FA246" t="e">
        <f>IF(#REF!,"AAAAAHfvm5w=",0)</f>
        <v>#REF!</v>
      </c>
      <c r="FB246" t="e">
        <f>IF(#REF!,"AAAAAHfvm50=",0)</f>
        <v>#REF!</v>
      </c>
      <c r="FC246" t="e">
        <f>IF(#REF!,"AAAAAHfvm54=",0)</f>
        <v>#REF!</v>
      </c>
      <c r="FD246" t="e">
        <f>IF(#REF!,"AAAAAHfvm58=",0)</f>
        <v>#REF!</v>
      </c>
      <c r="FE246" t="e">
        <f>IF(#REF!,"AAAAAHfvm6A=",0)</f>
        <v>#REF!</v>
      </c>
      <c r="FF246" t="e">
        <f>IF(#REF!,"AAAAAHfvm6E=",0)</f>
        <v>#REF!</v>
      </c>
      <c r="FG246" t="e">
        <f>IF(#REF!,"AAAAAHfvm6I=",0)</f>
        <v>#REF!</v>
      </c>
      <c r="FH246" t="e">
        <f>IF(#REF!,"AAAAAHfvm6M=",0)</f>
        <v>#REF!</v>
      </c>
      <c r="FI246" t="e">
        <f>IF(#REF!,"AAAAAHfvm6Q=",0)</f>
        <v>#REF!</v>
      </c>
      <c r="FJ246" t="e">
        <f>IF(#REF!,"AAAAAHfvm6U=",0)</f>
        <v>#REF!</v>
      </c>
      <c r="FK246" t="e">
        <f>IF(#REF!,"AAAAAHfvm6Y=",0)</f>
        <v>#REF!</v>
      </c>
      <c r="FL246" t="e">
        <f>IF(#REF!,"AAAAAHfvm6c=",0)</f>
        <v>#REF!</v>
      </c>
      <c r="FM246" t="e">
        <f>IF(#REF!,"AAAAAHfvm6g=",0)</f>
        <v>#REF!</v>
      </c>
      <c r="FN246" t="e">
        <f>IF(#REF!,"AAAAAHfvm6k=",0)</f>
        <v>#REF!</v>
      </c>
      <c r="FO246" t="e">
        <f>IF(#REF!,"AAAAAHfvm6o=",0)</f>
        <v>#REF!</v>
      </c>
      <c r="FP246" t="e">
        <f>IF(#REF!,"AAAAAHfvm6s=",0)</f>
        <v>#REF!</v>
      </c>
      <c r="FQ246" t="e">
        <f>IF(#REF!,"AAAAAHfvm6w=",0)</f>
        <v>#REF!</v>
      </c>
      <c r="FR246" t="e">
        <f>IF(#REF!,"AAAAAHfvm60=",0)</f>
        <v>#REF!</v>
      </c>
      <c r="FS246" t="e">
        <f>IF(#REF!,"AAAAAHfvm64=",0)</f>
        <v>#REF!</v>
      </c>
      <c r="FT246" t="e">
        <f>IF(#REF!,"AAAAAHfvm68=",0)</f>
        <v>#REF!</v>
      </c>
      <c r="FU246" t="e">
        <f>IF(#REF!,"AAAAAHfvm7A=",0)</f>
        <v>#REF!</v>
      </c>
      <c r="FV246" t="e">
        <f>IF(#REF!,"AAAAAHfvm7E=",0)</f>
        <v>#REF!</v>
      </c>
      <c r="FW246" t="e">
        <f>IF(#REF!,"AAAAAHfvm7I=",0)</f>
        <v>#REF!</v>
      </c>
      <c r="FX246" t="e">
        <f>IF(#REF!,"AAAAAHfvm7M=",0)</f>
        <v>#REF!</v>
      </c>
      <c r="FY246" t="e">
        <f>IF(#REF!,"AAAAAHfvm7Q=",0)</f>
        <v>#REF!</v>
      </c>
      <c r="FZ246" t="e">
        <f>IF(#REF!,"AAAAAHfvm7U=",0)</f>
        <v>#REF!</v>
      </c>
      <c r="GA246" t="e">
        <f>IF(#REF!,"AAAAAHfvm7Y=",0)</f>
        <v>#REF!</v>
      </c>
      <c r="GB246" t="e">
        <f>IF(#REF!,"AAAAAHfvm7c=",0)</f>
        <v>#REF!</v>
      </c>
      <c r="GC246" t="e">
        <f>IF(#REF!,"AAAAAHfvm7g=",0)</f>
        <v>#REF!</v>
      </c>
      <c r="GD246" t="e">
        <f>IF(#REF!,"AAAAAHfvm7k=",0)</f>
        <v>#REF!</v>
      </c>
      <c r="GE246" t="e">
        <f>IF(#REF!,"AAAAAHfvm7o=",0)</f>
        <v>#REF!</v>
      </c>
      <c r="GF246" t="e">
        <f>IF(#REF!,"AAAAAHfvm7s=",0)</f>
        <v>#REF!</v>
      </c>
      <c r="GG246" t="e">
        <f>IF(#REF!,"AAAAAHfvm7w=",0)</f>
        <v>#REF!</v>
      </c>
      <c r="GH246" t="e">
        <f>IF(#REF!,"AAAAAHfvm70=",0)</f>
        <v>#REF!</v>
      </c>
      <c r="GI246" t="e">
        <f>IF(#REF!,"AAAAAHfvm74=",0)</f>
        <v>#REF!</v>
      </c>
      <c r="GJ246" t="e">
        <f>IF(#REF!,"AAAAAHfvm78=",0)</f>
        <v>#REF!</v>
      </c>
      <c r="GK246" t="e">
        <f>IF(#REF!,"AAAAAHfvm8A=",0)</f>
        <v>#REF!</v>
      </c>
      <c r="GL246" t="e">
        <f>IF(#REF!,"AAAAAHfvm8E=",0)</f>
        <v>#REF!</v>
      </c>
      <c r="GM246" t="e">
        <f>IF(#REF!,"AAAAAHfvm8I=",0)</f>
        <v>#REF!</v>
      </c>
      <c r="GN246" t="e">
        <f>IF(#REF!,"AAAAAHfvm8M=",0)</f>
        <v>#REF!</v>
      </c>
      <c r="GO246" t="e">
        <f>IF(#REF!,"AAAAAHfvm8Q=",0)</f>
        <v>#REF!</v>
      </c>
      <c r="GP246" t="e">
        <f>IF(#REF!,"AAAAAHfvm8U=",0)</f>
        <v>#REF!</v>
      </c>
      <c r="GQ246" t="e">
        <f>IF(#REF!,"AAAAAHfvm8Y=",0)</f>
        <v>#REF!</v>
      </c>
      <c r="GR246" t="e">
        <f>IF(#REF!,"AAAAAHfvm8c=",0)</f>
        <v>#REF!</v>
      </c>
      <c r="GS246" t="e">
        <f>IF(#REF!,"AAAAAHfvm8g=",0)</f>
        <v>#REF!</v>
      </c>
      <c r="GT246" t="e">
        <f>IF(#REF!,"AAAAAHfvm8k=",0)</f>
        <v>#REF!</v>
      </c>
      <c r="GU246" t="e">
        <f>IF(#REF!,"AAAAAHfvm8o=",0)</f>
        <v>#REF!</v>
      </c>
      <c r="GV246" t="e">
        <f>IF(#REF!,"AAAAAHfvm8s=",0)</f>
        <v>#REF!</v>
      </c>
      <c r="GW246" t="e">
        <f>IF(#REF!,"AAAAAHfvm8w=",0)</f>
        <v>#REF!</v>
      </c>
      <c r="GX246" t="e">
        <f>IF(#REF!,"AAAAAHfvm80=",0)</f>
        <v>#REF!</v>
      </c>
      <c r="GY246" t="e">
        <f>IF(#REF!,"AAAAAHfvm84=",0)</f>
        <v>#REF!</v>
      </c>
      <c r="GZ246" t="e">
        <f>IF(#REF!,"AAAAAHfvm88=",0)</f>
        <v>#REF!</v>
      </c>
      <c r="HA246" t="e">
        <f>IF(#REF!,"AAAAAHfvm9A=",0)</f>
        <v>#REF!</v>
      </c>
      <c r="HB246" t="e">
        <f>IF(#REF!,"AAAAAHfvm9E=",0)</f>
        <v>#REF!</v>
      </c>
      <c r="HC246" t="e">
        <f>IF(#REF!,"AAAAAHfvm9I=",0)</f>
        <v>#REF!</v>
      </c>
      <c r="HD246" t="e">
        <f>IF(#REF!,"AAAAAHfvm9M=",0)</f>
        <v>#REF!</v>
      </c>
      <c r="HE246" t="e">
        <f>IF(#REF!,"AAAAAHfvm9Q=",0)</f>
        <v>#REF!</v>
      </c>
      <c r="HF246" t="e">
        <f>IF(#REF!,"AAAAAHfvm9U=",0)</f>
        <v>#REF!</v>
      </c>
      <c r="HG246" t="e">
        <f>IF(#REF!,"AAAAAHfvm9Y=",0)</f>
        <v>#REF!</v>
      </c>
      <c r="HH246" t="e">
        <f>IF(#REF!,"AAAAAHfvm9c=",0)</f>
        <v>#REF!</v>
      </c>
      <c r="HI246" t="e">
        <f>IF(#REF!,"AAAAAHfvm9g=",0)</f>
        <v>#REF!</v>
      </c>
      <c r="HJ246" t="e">
        <f>IF(#REF!,"AAAAAHfvm9k=",0)</f>
        <v>#REF!</v>
      </c>
      <c r="HK246" t="e">
        <f>IF(#REF!,"AAAAAHfvm9o=",0)</f>
        <v>#REF!</v>
      </c>
      <c r="HL246" t="e">
        <f>IF(#REF!,"AAAAAHfvm9s=",0)</f>
        <v>#REF!</v>
      </c>
      <c r="HM246" t="e">
        <f>IF(#REF!,"AAAAAHfvm9w=",0)</f>
        <v>#REF!</v>
      </c>
      <c r="HN246" t="e">
        <f>IF(#REF!,"AAAAAHfvm90=",0)</f>
        <v>#REF!</v>
      </c>
      <c r="HO246" t="e">
        <f>IF(#REF!,"AAAAAHfvm94=",0)</f>
        <v>#REF!</v>
      </c>
      <c r="HP246" t="e">
        <f>IF(#REF!,"AAAAAHfvm98=",0)</f>
        <v>#REF!</v>
      </c>
      <c r="HQ246" t="e">
        <f>IF(#REF!,"AAAAAHfvm+A=",0)</f>
        <v>#REF!</v>
      </c>
      <c r="HR246" t="e">
        <f>IF(#REF!,"AAAAAHfvm+E=",0)</f>
        <v>#REF!</v>
      </c>
      <c r="HS246" t="e">
        <f>IF(#REF!,"AAAAAHfvm+I=",0)</f>
        <v>#REF!</v>
      </c>
      <c r="HT246" t="e">
        <f>IF(#REF!,"AAAAAHfvm+M=",0)</f>
        <v>#REF!</v>
      </c>
      <c r="HU246" t="e">
        <f>IF(#REF!,"AAAAAHfvm+Q=",0)</f>
        <v>#REF!</v>
      </c>
      <c r="HV246" t="e">
        <f>IF(#REF!,"AAAAAHfvm+U=",0)</f>
        <v>#REF!</v>
      </c>
      <c r="HW246" t="e">
        <f>IF(#REF!,"AAAAAHfvm+Y=",0)</f>
        <v>#REF!</v>
      </c>
      <c r="HX246" t="e">
        <f>IF(#REF!,"AAAAAHfvm+c=",0)</f>
        <v>#REF!</v>
      </c>
      <c r="HY246" t="e">
        <f>IF(#REF!,"AAAAAHfvm+g=",0)</f>
        <v>#REF!</v>
      </c>
      <c r="HZ246" t="e">
        <f>IF(#REF!,"AAAAAHfvm+k=",0)</f>
        <v>#REF!</v>
      </c>
      <c r="IA246" t="e">
        <f>IF(#REF!,"AAAAAHfvm+o=",0)</f>
        <v>#REF!</v>
      </c>
      <c r="IB246" t="e">
        <f>IF(#REF!,"AAAAAHfvm+s=",0)</f>
        <v>#REF!</v>
      </c>
      <c r="IC246" t="e">
        <f>IF(#REF!,"AAAAAHfvm+w=",0)</f>
        <v>#REF!</v>
      </c>
      <c r="ID246" t="e">
        <f>IF(#REF!,"AAAAAHfvm+0=",0)</f>
        <v>#REF!</v>
      </c>
      <c r="IE246" t="e">
        <f>IF(#REF!,"AAAAAHfvm+4=",0)</f>
        <v>#REF!</v>
      </c>
      <c r="IF246" t="e">
        <f>IF(#REF!,"AAAAAHfvm+8=",0)</f>
        <v>#REF!</v>
      </c>
      <c r="IG246" t="e">
        <f>IF(#REF!,"AAAAAHfvm/A=",0)</f>
        <v>#REF!</v>
      </c>
      <c r="IH246" t="e">
        <f>IF(#REF!,"AAAAAHfvm/E=",0)</f>
        <v>#REF!</v>
      </c>
      <c r="II246" t="e">
        <f>IF(#REF!,"AAAAAHfvm/I=",0)</f>
        <v>#REF!</v>
      </c>
      <c r="IJ246" t="e">
        <f>IF(#REF!,"AAAAAHfvm/M=",0)</f>
        <v>#REF!</v>
      </c>
      <c r="IK246" t="e">
        <f>IF(#REF!,"AAAAAHfvm/Q=",0)</f>
        <v>#REF!</v>
      </c>
      <c r="IL246" t="e">
        <f>IF(#REF!,"AAAAAHfvm/U=",0)</f>
        <v>#REF!</v>
      </c>
      <c r="IM246" t="e">
        <f>IF(#REF!,"AAAAAHfvm/Y=",0)</f>
        <v>#REF!</v>
      </c>
      <c r="IN246" t="e">
        <f>IF(#REF!,"AAAAAHfvm/c=",0)</f>
        <v>#REF!</v>
      </c>
      <c r="IO246" t="e">
        <f>IF(#REF!,"AAAAAHfvm/g=",0)</f>
        <v>#REF!</v>
      </c>
      <c r="IP246" t="e">
        <f>IF(#REF!,"AAAAAHfvm/k=",0)</f>
        <v>#REF!</v>
      </c>
      <c r="IQ246" t="e">
        <f>IF(#REF!,"AAAAAHfvm/o=",0)</f>
        <v>#REF!</v>
      </c>
      <c r="IR246" t="e">
        <f>IF(#REF!,"AAAAAHfvm/s=",0)</f>
        <v>#REF!</v>
      </c>
      <c r="IS246" t="e">
        <f>IF(#REF!,"AAAAAHfvm/w=",0)</f>
        <v>#REF!</v>
      </c>
      <c r="IT246" t="e">
        <f>IF(#REF!,"AAAAAHfvm/0=",0)</f>
        <v>#REF!</v>
      </c>
      <c r="IU246" t="e">
        <f>IF(#REF!,"AAAAAHfvm/4=",0)</f>
        <v>#REF!</v>
      </c>
      <c r="IV246" t="e">
        <f>IF(#REF!,"AAAAAHfvm/8=",0)</f>
        <v>#REF!</v>
      </c>
    </row>
    <row r="247" spans="1:256">
      <c r="A247" t="e">
        <f>IF(#REF!,"AAAAAHvXNAA=",0)</f>
        <v>#REF!</v>
      </c>
      <c r="B247" t="e">
        <f>IF(#REF!,"AAAAAHvXNAE=",0)</f>
        <v>#REF!</v>
      </c>
      <c r="C247" t="e">
        <f>IF(#REF!,"AAAAAHvXNAI=",0)</f>
        <v>#REF!</v>
      </c>
      <c r="D247" t="e">
        <f>IF(#REF!,"AAAAAHvXNAM=",0)</f>
        <v>#REF!</v>
      </c>
      <c r="E247" t="e">
        <f>IF(#REF!,"AAAAAHvXNAQ=",0)</f>
        <v>#REF!</v>
      </c>
      <c r="F247" t="e">
        <f>IF(#REF!,"AAAAAHvXNAU=",0)</f>
        <v>#REF!</v>
      </c>
      <c r="G247" t="e">
        <f>IF(#REF!,"AAAAAHvXNAY=",0)</f>
        <v>#REF!</v>
      </c>
      <c r="H247" t="e">
        <f>IF(#REF!,"AAAAAHvXNAc=",0)</f>
        <v>#REF!</v>
      </c>
      <c r="I247" t="e">
        <f>IF(#REF!,"AAAAAHvXNAg=",0)</f>
        <v>#REF!</v>
      </c>
      <c r="J247" t="e">
        <f>IF(#REF!,"AAAAAHvXNAk=",0)</f>
        <v>#REF!</v>
      </c>
      <c r="K247" t="e">
        <f>IF(#REF!,"AAAAAHvXNAo=",0)</f>
        <v>#REF!</v>
      </c>
      <c r="L247" t="e">
        <f>IF(#REF!,"AAAAAHvXNAs=",0)</f>
        <v>#REF!</v>
      </c>
      <c r="M247" t="e">
        <f>IF(#REF!,"AAAAAHvXNAw=",0)</f>
        <v>#REF!</v>
      </c>
      <c r="N247" t="e">
        <f>IF(#REF!,"AAAAAHvXNA0=",0)</f>
        <v>#REF!</v>
      </c>
      <c r="O247" t="e">
        <f>IF(#REF!,"AAAAAHvXNA4=",0)</f>
        <v>#REF!</v>
      </c>
      <c r="P247" t="e">
        <f>IF(#REF!,"AAAAAHvXNA8=",0)</f>
        <v>#REF!</v>
      </c>
      <c r="Q247" t="e">
        <f>IF(#REF!,"AAAAAHvXNBA=",0)</f>
        <v>#REF!</v>
      </c>
      <c r="R247" t="e">
        <f>IF(#REF!,"AAAAAHvXNBE=",0)</f>
        <v>#REF!</v>
      </c>
      <c r="S247" t="e">
        <f>IF(#REF!,"AAAAAHvXNBI=",0)</f>
        <v>#REF!</v>
      </c>
      <c r="T247" t="e">
        <f>IF(#REF!,"AAAAAHvXNBM=",0)</f>
        <v>#REF!</v>
      </c>
      <c r="U247" t="e">
        <f>IF(#REF!,"AAAAAHvXNBQ=",0)</f>
        <v>#REF!</v>
      </c>
      <c r="V247" t="e">
        <f>IF(#REF!,"AAAAAHvXNBU=",0)</f>
        <v>#REF!</v>
      </c>
      <c r="W247" t="e">
        <f>IF(#REF!,"AAAAAHvXNBY=",0)</f>
        <v>#REF!</v>
      </c>
      <c r="X247" t="e">
        <f>IF(#REF!,"AAAAAHvXNBc=",0)</f>
        <v>#REF!</v>
      </c>
      <c r="Y247" t="e">
        <f>IF(#REF!,"AAAAAHvXNBg=",0)</f>
        <v>#REF!</v>
      </c>
      <c r="Z247" t="e">
        <f>IF(#REF!,"AAAAAHvXNBk=",0)</f>
        <v>#REF!</v>
      </c>
      <c r="AA247" t="e">
        <f>IF(#REF!,"AAAAAHvXNBo=",0)</f>
        <v>#REF!</v>
      </c>
      <c r="AB247" t="e">
        <f>IF(#REF!,"AAAAAHvXNBs=",0)</f>
        <v>#REF!</v>
      </c>
      <c r="AC247" t="e">
        <f>IF(#REF!,"AAAAAHvXNBw=",0)</f>
        <v>#REF!</v>
      </c>
      <c r="AD247" t="e">
        <f>IF(#REF!,"AAAAAHvXNB0=",0)</f>
        <v>#REF!</v>
      </c>
      <c r="AE247" t="e">
        <f>IF(#REF!,"AAAAAHvXNB4=",0)</f>
        <v>#REF!</v>
      </c>
      <c r="AF247" t="e">
        <f>IF(#REF!,"AAAAAHvXNB8=",0)</f>
        <v>#REF!</v>
      </c>
      <c r="AG247" t="e">
        <f>IF(#REF!,"AAAAAHvXNCA=",0)</f>
        <v>#REF!</v>
      </c>
      <c r="AH247" t="e">
        <f>IF(#REF!,"AAAAAHvXNCE=",0)</f>
        <v>#REF!</v>
      </c>
      <c r="AI247" t="e">
        <f>IF(#REF!,"AAAAAHvXNCI=",0)</f>
        <v>#REF!</v>
      </c>
      <c r="AJ247" t="e">
        <f>IF(#REF!,"AAAAAHvXNCM=",0)</f>
        <v>#REF!</v>
      </c>
      <c r="AK247" t="e">
        <f>IF(#REF!,"AAAAAHvXNCQ=",0)</f>
        <v>#REF!</v>
      </c>
      <c r="AL247" t="e">
        <f>IF(#REF!,"AAAAAHvXNCU=",0)</f>
        <v>#REF!</v>
      </c>
      <c r="AM247" t="e">
        <f>IF(#REF!,"AAAAAHvXNCY=",0)</f>
        <v>#REF!</v>
      </c>
      <c r="AN247" t="e">
        <f>IF(#REF!,"AAAAAHvXNCc=",0)</f>
        <v>#REF!</v>
      </c>
      <c r="AO247" t="e">
        <f>IF(#REF!,"AAAAAHvXNCg=",0)</f>
        <v>#REF!</v>
      </c>
      <c r="AP247" t="e">
        <f>IF(#REF!,"AAAAAHvXNCk=",0)</f>
        <v>#REF!</v>
      </c>
      <c r="AQ247" t="e">
        <f>IF(#REF!,"AAAAAHvXNCo=",0)</f>
        <v>#REF!</v>
      </c>
      <c r="AR247" t="e">
        <f>IF(#REF!,"AAAAAHvXNCs=",0)</f>
        <v>#REF!</v>
      </c>
      <c r="AS247" t="e">
        <f>IF(#REF!,"AAAAAHvXNCw=",0)</f>
        <v>#REF!</v>
      </c>
      <c r="AT247" t="e">
        <f>IF(#REF!,"AAAAAHvXNC0=",0)</f>
        <v>#REF!</v>
      </c>
      <c r="AU247" t="e">
        <f>IF(#REF!,"AAAAAHvXNC4=",0)</f>
        <v>#REF!</v>
      </c>
      <c r="AV247" t="e">
        <f>IF(#REF!,"AAAAAHvXNC8=",0)</f>
        <v>#REF!</v>
      </c>
      <c r="AW247" t="e">
        <f>IF(#REF!,"AAAAAHvXNDA=",0)</f>
        <v>#REF!</v>
      </c>
      <c r="AX247" t="e">
        <f>IF(#REF!,"AAAAAHvXNDE=",0)</f>
        <v>#REF!</v>
      </c>
      <c r="AY247" t="e">
        <f>IF(#REF!,"AAAAAHvXNDI=",0)</f>
        <v>#REF!</v>
      </c>
      <c r="AZ247" t="e">
        <f>IF(#REF!,"AAAAAHvXNDM=",0)</f>
        <v>#REF!</v>
      </c>
      <c r="BA247" t="e">
        <f>IF(#REF!,"AAAAAHvXNDQ=",0)</f>
        <v>#REF!</v>
      </c>
      <c r="BB247" t="e">
        <f>IF(#REF!,"AAAAAHvXNDU=",0)</f>
        <v>#REF!</v>
      </c>
      <c r="BC247" t="e">
        <f>IF(#REF!,"AAAAAHvXNDY=",0)</f>
        <v>#REF!</v>
      </c>
      <c r="BD247" t="e">
        <f>IF(#REF!,"AAAAAHvXNDc=",0)</f>
        <v>#REF!</v>
      </c>
      <c r="BE247" t="e">
        <f>IF(#REF!,"AAAAAHvXNDg=",0)</f>
        <v>#REF!</v>
      </c>
      <c r="BF247" t="e">
        <f>IF(#REF!,"AAAAAHvXNDk=",0)</f>
        <v>#REF!</v>
      </c>
      <c r="BG247" t="e">
        <f>IF(#REF!,"AAAAAHvXNDo=",0)</f>
        <v>#REF!</v>
      </c>
      <c r="BH247" t="e">
        <f>IF(#REF!,"AAAAAHvXNDs=",0)</f>
        <v>#REF!</v>
      </c>
      <c r="BI247" t="e">
        <f>IF(#REF!,"AAAAAHvXNDw=",0)</f>
        <v>#REF!</v>
      </c>
      <c r="BJ247" t="e">
        <f>IF(#REF!,"AAAAAHvXND0=",0)</f>
        <v>#REF!</v>
      </c>
      <c r="BK247" t="e">
        <f>IF(#REF!,"AAAAAHvXND4=",0)</f>
        <v>#REF!</v>
      </c>
      <c r="BL247" t="e">
        <f>IF(#REF!,"AAAAAHvXND8=",0)</f>
        <v>#REF!</v>
      </c>
      <c r="BM247" t="e">
        <f>IF(#REF!,"AAAAAHvXNEA=",0)</f>
        <v>#REF!</v>
      </c>
      <c r="BN247" t="e">
        <f>IF(#REF!,"AAAAAHvXNEE=",0)</f>
        <v>#REF!</v>
      </c>
      <c r="BO247" t="e">
        <f>IF(#REF!,"AAAAAHvXNEI=",0)</f>
        <v>#REF!</v>
      </c>
      <c r="BP247" t="e">
        <f>IF(#REF!,"AAAAAHvXNEM=",0)</f>
        <v>#REF!</v>
      </c>
      <c r="BQ247" t="e">
        <f>IF(#REF!,"AAAAAHvXNEQ=",0)</f>
        <v>#REF!</v>
      </c>
      <c r="BR247" t="e">
        <f>IF(#REF!,"AAAAAHvXNEU=",0)</f>
        <v>#REF!</v>
      </c>
      <c r="BS247" t="e">
        <f>IF(#REF!,"AAAAAHvXNEY=",0)</f>
        <v>#REF!</v>
      </c>
      <c r="BT247" t="e">
        <f>IF(#REF!,"AAAAAHvXNEc=",0)</f>
        <v>#REF!</v>
      </c>
      <c r="BU247" t="e">
        <f>IF(#REF!,"AAAAAHvXNEg=",0)</f>
        <v>#REF!</v>
      </c>
      <c r="BV247" t="e">
        <f>IF(#REF!,"AAAAAHvXNEk=",0)</f>
        <v>#REF!</v>
      </c>
      <c r="BW247" t="e">
        <f>IF(#REF!,"AAAAAHvXNEo=",0)</f>
        <v>#REF!</v>
      </c>
      <c r="BX247" t="e">
        <f>IF(#REF!,"AAAAAHvXNEs=",0)</f>
        <v>#REF!</v>
      </c>
      <c r="BY247" t="e">
        <f>IF(#REF!,"AAAAAHvXNEw=",0)</f>
        <v>#REF!</v>
      </c>
      <c r="BZ247" t="e">
        <f>IF(#REF!,"AAAAAHvXNE0=",0)</f>
        <v>#REF!</v>
      </c>
      <c r="CA247" t="e">
        <f>IF(#REF!,"AAAAAHvXNE4=",0)</f>
        <v>#REF!</v>
      </c>
      <c r="CB247" t="e">
        <f>IF(#REF!,"AAAAAHvXNE8=",0)</f>
        <v>#REF!</v>
      </c>
      <c r="CC247" t="e">
        <f>IF(#REF!,"AAAAAHvXNFA=",0)</f>
        <v>#REF!</v>
      </c>
      <c r="CD247" t="e">
        <f>IF(#REF!,"AAAAAHvXNFE=",0)</f>
        <v>#REF!</v>
      </c>
      <c r="CE247" t="e">
        <f>IF(#REF!,"AAAAAHvXNFI=",0)</f>
        <v>#REF!</v>
      </c>
      <c r="CF247" t="e">
        <f>IF(#REF!,"AAAAAHvXNFM=",0)</f>
        <v>#REF!</v>
      </c>
      <c r="CG247" t="e">
        <f>IF(#REF!,"AAAAAHvXNFQ=",0)</f>
        <v>#REF!</v>
      </c>
      <c r="CH247" t="e">
        <f>IF(#REF!,"AAAAAHvXNFU=",0)</f>
        <v>#REF!</v>
      </c>
      <c r="CI247" t="e">
        <f>IF(#REF!,"AAAAAHvXNFY=",0)</f>
        <v>#REF!</v>
      </c>
      <c r="CJ247" t="e">
        <f>IF(#REF!,"AAAAAHvXNFc=",0)</f>
        <v>#REF!</v>
      </c>
      <c r="CK247" t="e">
        <f>IF(#REF!,"AAAAAHvXNFg=",0)</f>
        <v>#REF!</v>
      </c>
      <c r="CL247" t="e">
        <f>IF(#REF!,"AAAAAHvXNFk=",0)</f>
        <v>#REF!</v>
      </c>
      <c r="CM247" t="e">
        <f>IF(#REF!,"AAAAAHvXNFo=",0)</f>
        <v>#REF!</v>
      </c>
      <c r="CN247" t="e">
        <f>IF(#REF!,"AAAAAHvXNFs=",0)</f>
        <v>#REF!</v>
      </c>
      <c r="CO247" t="e">
        <f>IF(#REF!,"AAAAAHvXNFw=",0)</f>
        <v>#REF!</v>
      </c>
      <c r="CP247" t="e">
        <f>IF(#REF!,"AAAAAHvXNF0=",0)</f>
        <v>#REF!</v>
      </c>
      <c r="CQ247" t="e">
        <f>IF(#REF!,"AAAAAHvXNF4=",0)</f>
        <v>#REF!</v>
      </c>
      <c r="CR247" t="e">
        <f>IF(#REF!,"AAAAAHvXNF8=",0)</f>
        <v>#REF!</v>
      </c>
      <c r="CS247" t="e">
        <f>IF(#REF!,"AAAAAHvXNGA=",0)</f>
        <v>#REF!</v>
      </c>
      <c r="CT247" t="e">
        <f>IF(#REF!,"AAAAAHvXNGE=",0)</f>
        <v>#REF!</v>
      </c>
      <c r="CU247" t="e">
        <f>IF(#REF!,"AAAAAHvXNGI=",0)</f>
        <v>#REF!</v>
      </c>
      <c r="CV247" t="e">
        <f>IF(#REF!,"AAAAAHvXNGM=",0)</f>
        <v>#REF!</v>
      </c>
      <c r="CW247" t="e">
        <f>IF(#REF!,"AAAAAHvXNGQ=",0)</f>
        <v>#REF!</v>
      </c>
      <c r="CX247" t="e">
        <f>IF(#REF!,"AAAAAHvXNGU=",0)</f>
        <v>#REF!</v>
      </c>
      <c r="CY247" t="e">
        <f>IF(#REF!,"AAAAAHvXNGY=",0)</f>
        <v>#REF!</v>
      </c>
      <c r="CZ247" t="e">
        <f>IF(#REF!,"AAAAAHvXNGc=",0)</f>
        <v>#REF!</v>
      </c>
      <c r="DA247" t="e">
        <f>IF(#REF!,"AAAAAHvXNGg=",0)</f>
        <v>#REF!</v>
      </c>
      <c r="DB247" t="e">
        <f>IF(#REF!,"AAAAAHvXNGk=",0)</f>
        <v>#REF!</v>
      </c>
      <c r="DC247" t="e">
        <f>IF(#REF!,"AAAAAHvXNGo=",0)</f>
        <v>#REF!</v>
      </c>
      <c r="DD247" t="e">
        <f>IF(#REF!,"AAAAAHvXNGs=",0)</f>
        <v>#REF!</v>
      </c>
      <c r="DE247" t="e">
        <f>IF(#REF!,"AAAAAHvXNGw=",0)</f>
        <v>#REF!</v>
      </c>
      <c r="DF247" t="e">
        <f>IF(#REF!,"AAAAAHvXNG0=",0)</f>
        <v>#REF!</v>
      </c>
      <c r="DG247" t="e">
        <f>IF(#REF!,"AAAAAHvXNG4=",0)</f>
        <v>#REF!</v>
      </c>
      <c r="DH247" t="e">
        <f>IF(#REF!,"AAAAAHvXNG8=",0)</f>
        <v>#REF!</v>
      </c>
      <c r="DI247" t="e">
        <f>IF(#REF!,"AAAAAHvXNHA=",0)</f>
        <v>#REF!</v>
      </c>
      <c r="DJ247" t="e">
        <f>IF(#REF!,"AAAAAHvXNHE=",0)</f>
        <v>#REF!</v>
      </c>
      <c r="DK247" t="e">
        <f>IF(#REF!,"AAAAAHvXNHI=",0)</f>
        <v>#REF!</v>
      </c>
      <c r="DL247" t="e">
        <f>IF(#REF!,"AAAAAHvXNHM=",0)</f>
        <v>#REF!</v>
      </c>
      <c r="DM247" t="e">
        <f>IF(#REF!,"AAAAAHvXNHQ=",0)</f>
        <v>#REF!</v>
      </c>
      <c r="DN247" t="e">
        <f>IF(#REF!,"AAAAAHvXNHU=",0)</f>
        <v>#REF!</v>
      </c>
      <c r="DO247" t="e">
        <f>IF(#REF!,"AAAAAHvXNHY=",0)</f>
        <v>#REF!</v>
      </c>
      <c r="DP247" t="e">
        <f>IF(#REF!,"AAAAAHvXNHc=",0)</f>
        <v>#REF!</v>
      </c>
      <c r="DQ247" t="e">
        <f>IF(#REF!,"AAAAAHvXNHg=",0)</f>
        <v>#REF!</v>
      </c>
      <c r="DR247" t="e">
        <f>IF(#REF!,"AAAAAHvXNHk=",0)</f>
        <v>#REF!</v>
      </c>
      <c r="DS247" t="e">
        <f>IF(#REF!,"AAAAAHvXNHo=",0)</f>
        <v>#REF!</v>
      </c>
      <c r="DT247" t="e">
        <f>IF(#REF!,"AAAAAHvXNHs=",0)</f>
        <v>#REF!</v>
      </c>
      <c r="DU247" t="e">
        <f>IF(#REF!,"AAAAAHvXNHw=",0)</f>
        <v>#REF!</v>
      </c>
      <c r="DV247" t="e">
        <f>IF(#REF!,"AAAAAHvXNH0=",0)</f>
        <v>#REF!</v>
      </c>
      <c r="DW247" t="e">
        <f>IF(#REF!,"AAAAAHvXNH4=",0)</f>
        <v>#REF!</v>
      </c>
      <c r="DX247" t="e">
        <f>IF(#REF!,"AAAAAHvXNH8=",0)</f>
        <v>#REF!</v>
      </c>
      <c r="DY247" t="e">
        <f>IF(#REF!,"AAAAAHvXNIA=",0)</f>
        <v>#REF!</v>
      </c>
      <c r="DZ247" t="e">
        <f>IF(#REF!,"AAAAAHvXNIE=",0)</f>
        <v>#REF!</v>
      </c>
      <c r="EA247" t="e">
        <f>IF(#REF!,"AAAAAHvXNII=",0)</f>
        <v>#REF!</v>
      </c>
      <c r="EB247" t="e">
        <f>IF(#REF!,"AAAAAHvXNIM=",0)</f>
        <v>#REF!</v>
      </c>
      <c r="EC247" t="e">
        <f>IF(#REF!,"AAAAAHvXNIQ=",0)</f>
        <v>#REF!</v>
      </c>
      <c r="ED247" t="e">
        <f>IF(#REF!,"AAAAAHvXNIU=",0)</f>
        <v>#REF!</v>
      </c>
      <c r="EE247" t="e">
        <f>IF(#REF!,"AAAAAHvXNIY=",0)</f>
        <v>#REF!</v>
      </c>
      <c r="EF247" t="e">
        <f>IF(#REF!,"AAAAAHvXNIc=",0)</f>
        <v>#REF!</v>
      </c>
      <c r="EG247" t="e">
        <f>IF(#REF!,"AAAAAHvXNIg=",0)</f>
        <v>#REF!</v>
      </c>
      <c r="EH247" t="e">
        <f>IF(#REF!,"AAAAAHvXNIk=",0)</f>
        <v>#REF!</v>
      </c>
      <c r="EI247" t="e">
        <f>IF(#REF!,"AAAAAHvXNIo=",0)</f>
        <v>#REF!</v>
      </c>
      <c r="EJ247" t="e">
        <f>IF(#REF!,"AAAAAHvXNIs=",0)</f>
        <v>#REF!</v>
      </c>
      <c r="EK247" t="e">
        <f>IF(#REF!,"AAAAAHvXNIw=",0)</f>
        <v>#REF!</v>
      </c>
      <c r="EL247" t="e">
        <f>IF(#REF!,"AAAAAHvXNI0=",0)</f>
        <v>#REF!</v>
      </c>
      <c r="EM247" t="e">
        <f>IF(#REF!,"AAAAAHvXNI4=",0)</f>
        <v>#REF!</v>
      </c>
      <c r="EN247" t="e">
        <f>IF(#REF!,"AAAAAHvXNI8=",0)</f>
        <v>#REF!</v>
      </c>
      <c r="EO247" t="e">
        <f>IF(#REF!,"AAAAAHvXNJA=",0)</f>
        <v>#REF!</v>
      </c>
      <c r="EP247" t="e">
        <f>IF(#REF!,"AAAAAHvXNJE=",0)</f>
        <v>#REF!</v>
      </c>
      <c r="EQ247" t="e">
        <f>IF(#REF!,"AAAAAHvXNJI=",0)</f>
        <v>#REF!</v>
      </c>
      <c r="ER247" t="e">
        <f>IF(#REF!,"AAAAAHvXNJM=",0)</f>
        <v>#REF!</v>
      </c>
      <c r="ES247" t="e">
        <f>IF(#REF!,"AAAAAHvXNJQ=",0)</f>
        <v>#REF!</v>
      </c>
      <c r="ET247" t="e">
        <f>IF(#REF!,"AAAAAHvXNJU=",0)</f>
        <v>#REF!</v>
      </c>
      <c r="EU247" t="e">
        <f>IF(#REF!,"AAAAAHvXNJY=",0)</f>
        <v>#REF!</v>
      </c>
      <c r="EV247" t="e">
        <f>IF(#REF!,"AAAAAHvXNJc=",0)</f>
        <v>#REF!</v>
      </c>
      <c r="EW247" t="e">
        <f>IF(#REF!,"AAAAAHvXNJg=",0)</f>
        <v>#REF!</v>
      </c>
      <c r="EX247" t="e">
        <f>IF(#REF!,"AAAAAHvXNJk=",0)</f>
        <v>#REF!</v>
      </c>
      <c r="EY247" t="e">
        <f>IF(#REF!,"AAAAAHvXNJo=",0)</f>
        <v>#REF!</v>
      </c>
      <c r="EZ247" t="e">
        <f>IF(#REF!,"AAAAAHvXNJs=",0)</f>
        <v>#REF!</v>
      </c>
      <c r="FA247" t="e">
        <f>IF(#REF!,"AAAAAHvXNJw=",0)</f>
        <v>#REF!</v>
      </c>
      <c r="FB247" t="e">
        <f>IF(#REF!,"AAAAAHvXNJ0=",0)</f>
        <v>#REF!</v>
      </c>
      <c r="FC247" t="e">
        <f>IF(#REF!,"AAAAAHvXNJ4=",0)</f>
        <v>#REF!</v>
      </c>
      <c r="FD247" t="e">
        <f>IF(#REF!,"AAAAAHvXNJ8=",0)</f>
        <v>#REF!</v>
      </c>
      <c r="FE247" t="e">
        <f>IF(#REF!,"AAAAAHvXNKA=",0)</f>
        <v>#REF!</v>
      </c>
      <c r="FF247" t="e">
        <f>IF(#REF!,"AAAAAHvXNKE=",0)</f>
        <v>#REF!</v>
      </c>
      <c r="FG247" t="e">
        <f>IF(#REF!,"AAAAAHvXNKI=",0)</f>
        <v>#REF!</v>
      </c>
      <c r="FH247" t="e">
        <f>IF(#REF!,"AAAAAHvXNKM=",0)</f>
        <v>#REF!</v>
      </c>
      <c r="FI247" t="e">
        <f>IF(#REF!,"AAAAAHvXNKQ=",0)</f>
        <v>#REF!</v>
      </c>
      <c r="FJ247" t="e">
        <f>IF(#REF!,"AAAAAHvXNKU=",0)</f>
        <v>#REF!</v>
      </c>
      <c r="FK247" t="e">
        <f>IF(#REF!,"AAAAAHvXNKY=",0)</f>
        <v>#REF!</v>
      </c>
      <c r="FL247" t="e">
        <f>IF(#REF!,"AAAAAHvXNKc=",0)</f>
        <v>#REF!</v>
      </c>
      <c r="FM247" t="e">
        <f>IF(#REF!,"AAAAAHvXNKg=",0)</f>
        <v>#REF!</v>
      </c>
      <c r="FN247" t="e">
        <f>IF(#REF!,"AAAAAHvXNKk=",0)</f>
        <v>#REF!</v>
      </c>
      <c r="FO247" t="e">
        <f>IF(#REF!,"AAAAAHvXNKo=",0)</f>
        <v>#REF!</v>
      </c>
      <c r="FP247" t="e">
        <f>IF(#REF!,"AAAAAHvXNKs=",0)</f>
        <v>#REF!</v>
      </c>
      <c r="FQ247" t="e">
        <f>IF(#REF!,"AAAAAHvXNKw=",0)</f>
        <v>#REF!</v>
      </c>
      <c r="FR247" t="e">
        <f>IF(#REF!,"AAAAAHvXNK0=",0)</f>
        <v>#REF!</v>
      </c>
      <c r="FS247" t="e">
        <f>IF(#REF!,"AAAAAHvXNK4=",0)</f>
        <v>#REF!</v>
      </c>
      <c r="FT247" t="e">
        <f>IF(#REF!,"AAAAAHvXNK8=",0)</f>
        <v>#REF!</v>
      </c>
      <c r="FU247" t="e">
        <f>IF(#REF!,"AAAAAHvXNLA=",0)</f>
        <v>#REF!</v>
      </c>
      <c r="FV247" t="e">
        <f>IF(#REF!,"AAAAAHvXNLE=",0)</f>
        <v>#REF!</v>
      </c>
      <c r="FW247" t="e">
        <f>IF(#REF!,"AAAAAHvXNLI=",0)</f>
        <v>#REF!</v>
      </c>
      <c r="FX247" t="e">
        <f>IF(#REF!,"AAAAAHvXNLM=",0)</f>
        <v>#REF!</v>
      </c>
      <c r="FY247" t="e">
        <f>IF(#REF!,"AAAAAHvXNLQ=",0)</f>
        <v>#REF!</v>
      </c>
      <c r="FZ247" t="e">
        <f>IF(#REF!,"AAAAAHvXNLU=",0)</f>
        <v>#REF!</v>
      </c>
      <c r="GA247" t="e">
        <f>IF(#REF!,"AAAAAHvXNLY=",0)</f>
        <v>#REF!</v>
      </c>
      <c r="GB247" t="e">
        <f>IF(#REF!,"AAAAAHvXNLc=",0)</f>
        <v>#REF!</v>
      </c>
      <c r="GC247" t="e">
        <f>IF(#REF!,"AAAAAHvXNLg=",0)</f>
        <v>#REF!</v>
      </c>
      <c r="GD247" t="e">
        <f>IF(#REF!,"AAAAAHvXNLk=",0)</f>
        <v>#REF!</v>
      </c>
      <c r="GE247" t="e">
        <f>IF(#REF!,"AAAAAHvXNLo=",0)</f>
        <v>#REF!</v>
      </c>
      <c r="GF247" t="e">
        <f>IF(#REF!,"AAAAAHvXNLs=",0)</f>
        <v>#REF!</v>
      </c>
      <c r="GG247" t="e">
        <f>IF(#REF!,"AAAAAHvXNLw=",0)</f>
        <v>#REF!</v>
      </c>
      <c r="GH247" t="e">
        <f>IF(#REF!,"AAAAAHvXNL0=",0)</f>
        <v>#REF!</v>
      </c>
      <c r="GI247" t="e">
        <f>IF(#REF!,"AAAAAHvXNL4=",0)</f>
        <v>#REF!</v>
      </c>
      <c r="GJ247" t="e">
        <f>IF(#REF!,"AAAAAHvXNL8=",0)</f>
        <v>#REF!</v>
      </c>
      <c r="GK247" t="e">
        <f>IF(#REF!,"AAAAAHvXNMA=",0)</f>
        <v>#REF!</v>
      </c>
      <c r="GL247" t="e">
        <f>IF(#REF!,"AAAAAHvXNME=",0)</f>
        <v>#REF!</v>
      </c>
      <c r="GM247" t="e">
        <f>IF(#REF!,"AAAAAHvXNMI=",0)</f>
        <v>#REF!</v>
      </c>
      <c r="GN247" t="e">
        <f>IF(#REF!,"AAAAAHvXNMM=",0)</f>
        <v>#REF!</v>
      </c>
      <c r="GO247" t="e">
        <f>IF(#REF!,"AAAAAHvXNMQ=",0)</f>
        <v>#REF!</v>
      </c>
      <c r="GP247" t="e">
        <f>IF(#REF!,"AAAAAHvXNMU=",0)</f>
        <v>#REF!</v>
      </c>
      <c r="GQ247" t="e">
        <f>IF(#REF!,"AAAAAHvXNMY=",0)</f>
        <v>#REF!</v>
      </c>
      <c r="GR247" t="e">
        <f>IF(#REF!,"AAAAAHvXNMc=",0)</f>
        <v>#REF!</v>
      </c>
      <c r="GS247" t="e">
        <f>IF(#REF!,"AAAAAHvXNMg=",0)</f>
        <v>#REF!</v>
      </c>
      <c r="GT247" t="e">
        <f>IF(#REF!,"AAAAAHvXNMk=",0)</f>
        <v>#REF!</v>
      </c>
      <c r="GU247" t="e">
        <f>IF(#REF!,"AAAAAHvXNMo=",0)</f>
        <v>#REF!</v>
      </c>
      <c r="GV247" t="e">
        <f>IF(#REF!,"AAAAAHvXNMs=",0)</f>
        <v>#REF!</v>
      </c>
      <c r="GW247" t="e">
        <f>IF(#REF!,"AAAAAHvXNMw=",0)</f>
        <v>#REF!</v>
      </c>
      <c r="GX247" t="e">
        <f>IF(#REF!,"AAAAAHvXNM0=",0)</f>
        <v>#REF!</v>
      </c>
      <c r="GY247" t="e">
        <f>IF(#REF!,"AAAAAHvXNM4=",0)</f>
        <v>#REF!</v>
      </c>
      <c r="GZ247" t="e">
        <f>IF(#REF!,"AAAAAHvXNM8=",0)</f>
        <v>#REF!</v>
      </c>
      <c r="HA247" t="e">
        <f>IF(#REF!,"AAAAAHvXNNA=",0)</f>
        <v>#REF!</v>
      </c>
      <c r="HB247" t="e">
        <f>IF(#REF!,"AAAAAHvXNNE=",0)</f>
        <v>#REF!</v>
      </c>
      <c r="HC247" t="e">
        <f>IF(#REF!,"AAAAAHvXNNI=",0)</f>
        <v>#REF!</v>
      </c>
      <c r="HD247" t="e">
        <f>IF(#REF!,"AAAAAHvXNNM=",0)</f>
        <v>#REF!</v>
      </c>
      <c r="HE247" t="e">
        <f>IF(#REF!,"AAAAAHvXNNQ=",0)</f>
        <v>#REF!</v>
      </c>
      <c r="HF247" t="e">
        <f>IF(#REF!,"AAAAAHvXNNU=",0)</f>
        <v>#REF!</v>
      </c>
      <c r="HG247" t="e">
        <f>IF(#REF!,"AAAAAHvXNNY=",0)</f>
        <v>#REF!</v>
      </c>
      <c r="HH247" t="e">
        <f>IF(#REF!,"AAAAAHvXNNc=",0)</f>
        <v>#REF!</v>
      </c>
      <c r="HI247" t="e">
        <f>IF(#REF!,"AAAAAHvXNNg=",0)</f>
        <v>#REF!</v>
      </c>
      <c r="HJ247" t="e">
        <f>IF(#REF!,"AAAAAHvXNNk=",0)</f>
        <v>#REF!</v>
      </c>
      <c r="HK247" t="e">
        <f>IF(#REF!,"AAAAAHvXNNo=",0)</f>
        <v>#REF!</v>
      </c>
      <c r="HL247" t="e">
        <f>IF(#REF!,"AAAAAHvXNNs=",0)</f>
        <v>#REF!</v>
      </c>
      <c r="HM247" t="e">
        <f>IF(#REF!,"AAAAAHvXNNw=",0)</f>
        <v>#REF!</v>
      </c>
      <c r="HN247" t="e">
        <f>IF(#REF!,"AAAAAHvXNN0=",0)</f>
        <v>#REF!</v>
      </c>
      <c r="HO247" t="e">
        <f>IF(#REF!,"AAAAAHvXNN4=",0)</f>
        <v>#REF!</v>
      </c>
      <c r="HP247" t="e">
        <f>IF(#REF!,"AAAAAHvXNN8=",0)</f>
        <v>#REF!</v>
      </c>
      <c r="HQ247" t="e">
        <f>IF(#REF!,"AAAAAHvXNOA=",0)</f>
        <v>#REF!</v>
      </c>
      <c r="HR247" t="e">
        <f>IF(#REF!,"AAAAAHvXNOE=",0)</f>
        <v>#REF!</v>
      </c>
      <c r="HS247" t="e">
        <f>IF(#REF!,"AAAAAHvXNOI=",0)</f>
        <v>#REF!</v>
      </c>
      <c r="HT247" t="e">
        <f>IF(#REF!,"AAAAAHvXNOM=",0)</f>
        <v>#REF!</v>
      </c>
      <c r="HU247" t="e">
        <f>IF(#REF!,"AAAAAHvXNOQ=",0)</f>
        <v>#REF!</v>
      </c>
      <c r="HV247" t="e">
        <f>IF(#REF!,"AAAAAHvXNOU=",0)</f>
        <v>#REF!</v>
      </c>
      <c r="HW247" t="e">
        <f>IF(#REF!,"AAAAAHvXNOY=",0)</f>
        <v>#REF!</v>
      </c>
      <c r="HX247" t="e">
        <f>IF(#REF!,"AAAAAHvXNOc=",0)</f>
        <v>#REF!</v>
      </c>
      <c r="HY247" t="e">
        <f>IF(#REF!,"AAAAAHvXNOg=",0)</f>
        <v>#REF!</v>
      </c>
      <c r="HZ247" t="e">
        <f>IF(#REF!,"AAAAAHvXNOk=",0)</f>
        <v>#REF!</v>
      </c>
      <c r="IA247" t="e">
        <f>IF(#REF!,"AAAAAHvXNOo=",0)</f>
        <v>#REF!</v>
      </c>
      <c r="IB247" t="e">
        <f>IF(#REF!,"AAAAAHvXNOs=",0)</f>
        <v>#REF!</v>
      </c>
      <c r="IC247" t="e">
        <f>IF(#REF!,"AAAAAHvXNOw=",0)</f>
        <v>#REF!</v>
      </c>
      <c r="ID247" t="e">
        <f>IF(#REF!,"AAAAAHvXNO0=",0)</f>
        <v>#REF!</v>
      </c>
      <c r="IE247" t="e">
        <f>IF(#REF!,"AAAAAHvXNO4=",0)</f>
        <v>#REF!</v>
      </c>
      <c r="IF247" t="e">
        <f>IF(#REF!,"AAAAAHvXNO8=",0)</f>
        <v>#REF!</v>
      </c>
      <c r="IG247" t="e">
        <f>IF(#REF!,"AAAAAHvXNPA=",0)</f>
        <v>#REF!</v>
      </c>
      <c r="IH247" t="e">
        <f>IF(#REF!,"AAAAAHvXNPE=",0)</f>
        <v>#REF!</v>
      </c>
      <c r="II247" t="e">
        <f>IF(#REF!,"AAAAAHvXNPI=",0)</f>
        <v>#REF!</v>
      </c>
      <c r="IJ247" t="e">
        <f>IF(#REF!,"AAAAAHvXNPM=",0)</f>
        <v>#REF!</v>
      </c>
      <c r="IK247" t="e">
        <f>IF(#REF!,"AAAAAHvXNPQ=",0)</f>
        <v>#REF!</v>
      </c>
      <c r="IL247" t="e">
        <f>IF(#REF!,"AAAAAHvXNPU=",0)</f>
        <v>#REF!</v>
      </c>
      <c r="IM247" t="e">
        <f>IF(#REF!,"AAAAAHvXNPY=",0)</f>
        <v>#REF!</v>
      </c>
      <c r="IN247" t="e">
        <f>IF(#REF!,"AAAAAHvXNPc=",0)</f>
        <v>#REF!</v>
      </c>
      <c r="IO247" t="e">
        <f>IF(#REF!,"AAAAAHvXNPg=",0)</f>
        <v>#REF!</v>
      </c>
      <c r="IP247" t="e">
        <f>IF(#REF!,"AAAAAHvXNPk=",0)</f>
        <v>#REF!</v>
      </c>
      <c r="IQ247" t="e">
        <f>IF(#REF!,"AAAAAHvXNPo=",0)</f>
        <v>#REF!</v>
      </c>
      <c r="IR247" t="e">
        <f>IF(#REF!,"AAAAAHvXNPs=",0)</f>
        <v>#REF!</v>
      </c>
      <c r="IS247" t="e">
        <f>IF(#REF!,"AAAAAHvXNPw=",0)</f>
        <v>#REF!</v>
      </c>
      <c r="IT247" t="e">
        <f>IF(#REF!,"AAAAAHvXNP0=",0)</f>
        <v>#REF!</v>
      </c>
      <c r="IU247" t="e">
        <f>IF(#REF!,"AAAAAHvXNP4=",0)</f>
        <v>#REF!</v>
      </c>
      <c r="IV247" t="e">
        <f>IF(#REF!,"AAAAAHvXNP8=",0)</f>
        <v>#REF!</v>
      </c>
    </row>
    <row r="248" spans="1:256">
      <c r="A248" t="e">
        <f>IF(#REF!,"AAAAAD//ZwA=",0)</f>
        <v>#REF!</v>
      </c>
      <c r="B248" t="e">
        <f>IF(#REF!,"AAAAAD//ZwE=",0)</f>
        <v>#REF!</v>
      </c>
      <c r="C248" t="e">
        <f>IF(#REF!,"AAAAAD//ZwI=",0)</f>
        <v>#REF!</v>
      </c>
      <c r="D248" t="e">
        <f>IF(#REF!,"AAAAAD//ZwM=",0)</f>
        <v>#REF!</v>
      </c>
      <c r="E248" t="e">
        <f>IF(#REF!,"AAAAAD//ZwQ=",0)</f>
        <v>#REF!</v>
      </c>
      <c r="F248" t="e">
        <f>IF(#REF!,"AAAAAD//ZwU=",0)</f>
        <v>#REF!</v>
      </c>
      <c r="G248" t="e">
        <f>IF(#REF!,"AAAAAD//ZwY=",0)</f>
        <v>#REF!</v>
      </c>
      <c r="H248" t="e">
        <f>IF(#REF!,"AAAAAD//Zwc=",0)</f>
        <v>#REF!</v>
      </c>
      <c r="I248" t="e">
        <f>IF(#REF!,"AAAAAD//Zwg=",0)</f>
        <v>#REF!</v>
      </c>
      <c r="J248" t="e">
        <f>IF(#REF!,"AAAAAD//Zwk=",0)</f>
        <v>#REF!</v>
      </c>
      <c r="K248" t="e">
        <f>IF(#REF!,"AAAAAD//Zwo=",0)</f>
        <v>#REF!</v>
      </c>
      <c r="L248" t="e">
        <f>IF(#REF!,"AAAAAD//Zws=",0)</f>
        <v>#REF!</v>
      </c>
      <c r="M248" t="e">
        <f>IF(#REF!,"AAAAAD//Zww=",0)</f>
        <v>#REF!</v>
      </c>
      <c r="N248" t="e">
        <f>IF(#REF!,"AAAAAD//Zw0=",0)</f>
        <v>#REF!</v>
      </c>
      <c r="O248" t="e">
        <f>IF(#REF!,"AAAAAD//Zw4=",0)</f>
        <v>#REF!</v>
      </c>
      <c r="P248" t="e">
        <f>IF(#REF!,"AAAAAD//Zw8=",0)</f>
        <v>#REF!</v>
      </c>
      <c r="Q248" t="e">
        <f>IF(#REF!,"AAAAAD//ZxA=",0)</f>
        <v>#REF!</v>
      </c>
      <c r="R248" t="e">
        <f>IF(#REF!,"AAAAAD//ZxE=",0)</f>
        <v>#REF!</v>
      </c>
      <c r="S248" t="e">
        <f>IF(#REF!,"AAAAAD//ZxI=",0)</f>
        <v>#REF!</v>
      </c>
      <c r="T248" t="e">
        <f>IF(#REF!,"AAAAAD//ZxM=",0)</f>
        <v>#REF!</v>
      </c>
      <c r="U248" t="e">
        <f>IF(#REF!,"AAAAAD//ZxQ=",0)</f>
        <v>#REF!</v>
      </c>
      <c r="V248" t="e">
        <f>IF(#REF!,"AAAAAD//ZxU=",0)</f>
        <v>#REF!</v>
      </c>
      <c r="W248" t="e">
        <f>IF(#REF!,"AAAAAD//ZxY=",0)</f>
        <v>#REF!</v>
      </c>
      <c r="X248" t="e">
        <f>IF(#REF!,"AAAAAD//Zxc=",0)</f>
        <v>#REF!</v>
      </c>
      <c r="Y248" t="e">
        <f>IF(#REF!,"AAAAAD//Zxg=",0)</f>
        <v>#REF!</v>
      </c>
      <c r="Z248" t="e">
        <f>IF(#REF!,"AAAAAD//Zxk=",0)</f>
        <v>#REF!</v>
      </c>
      <c r="AA248" t="e">
        <f>IF(#REF!,"AAAAAD//Zxo=",0)</f>
        <v>#REF!</v>
      </c>
      <c r="AB248" t="e">
        <f>IF(#REF!,"AAAAAD//Zxs=",0)</f>
        <v>#REF!</v>
      </c>
      <c r="AC248" t="e">
        <f>IF(#REF!,"AAAAAD//Zxw=",0)</f>
        <v>#REF!</v>
      </c>
      <c r="AD248" t="e">
        <f>IF(#REF!,"AAAAAD//Zx0=",0)</f>
        <v>#REF!</v>
      </c>
      <c r="AE248" t="e">
        <f>IF(#REF!,"AAAAAD//Zx4=",0)</f>
        <v>#REF!</v>
      </c>
      <c r="AF248" t="e">
        <f>IF(#REF!,"AAAAAD//Zx8=",0)</f>
        <v>#REF!</v>
      </c>
      <c r="AG248" t="e">
        <f>IF(#REF!,"AAAAAD//ZyA=",0)</f>
        <v>#REF!</v>
      </c>
      <c r="AH248" t="e">
        <f>IF(#REF!,"AAAAAD//ZyE=",0)</f>
        <v>#REF!</v>
      </c>
      <c r="AI248" t="e">
        <f>IF(#REF!,"AAAAAD//ZyI=",0)</f>
        <v>#REF!</v>
      </c>
      <c r="AJ248" t="e">
        <f>IF(#REF!,"AAAAAD//ZyM=",0)</f>
        <v>#REF!</v>
      </c>
      <c r="AK248" t="e">
        <f>IF(#REF!,"AAAAAD//ZyQ=",0)</f>
        <v>#REF!</v>
      </c>
      <c r="AL248" t="e">
        <f>IF(#REF!,"AAAAAD//ZyU=",0)</f>
        <v>#REF!</v>
      </c>
      <c r="AM248" t="e">
        <f>IF(#REF!,"AAAAAD//ZyY=",0)</f>
        <v>#REF!</v>
      </c>
      <c r="AN248" t="e">
        <f>IF(#REF!,"AAAAAD//Zyc=",0)</f>
        <v>#REF!</v>
      </c>
      <c r="AO248" t="e">
        <f>IF(#REF!,"AAAAAD//Zyg=",0)</f>
        <v>#REF!</v>
      </c>
      <c r="AP248" t="e">
        <f>IF(#REF!,"AAAAAD//Zyk=",0)</f>
        <v>#REF!</v>
      </c>
      <c r="AQ248" t="e">
        <f>IF(#REF!,"AAAAAD//Zyo=",0)</f>
        <v>#REF!</v>
      </c>
      <c r="AR248" t="e">
        <f>IF(#REF!,"AAAAAD//Zys=",0)</f>
        <v>#REF!</v>
      </c>
      <c r="AS248" t="e">
        <f>IF(#REF!,"AAAAAD//Zyw=",0)</f>
        <v>#REF!</v>
      </c>
      <c r="AT248" t="e">
        <f>IF(#REF!,"AAAAAD//Zy0=",0)</f>
        <v>#REF!</v>
      </c>
      <c r="AU248" t="e">
        <f>IF(#REF!,"AAAAAD//Zy4=",0)</f>
        <v>#REF!</v>
      </c>
      <c r="AV248" t="e">
        <f>IF(#REF!,"AAAAAD//Zy8=",0)</f>
        <v>#REF!</v>
      </c>
      <c r="AW248" t="e">
        <f>IF(#REF!,"AAAAAD//ZzA=",0)</f>
        <v>#REF!</v>
      </c>
      <c r="AX248" t="e">
        <f>IF(#REF!,"AAAAAD//ZzE=",0)</f>
        <v>#REF!</v>
      </c>
      <c r="AY248" t="e">
        <f>IF(#REF!,"AAAAAD//ZzI=",0)</f>
        <v>#REF!</v>
      </c>
      <c r="AZ248" t="e">
        <f>IF(#REF!,"AAAAAD//ZzM=",0)</f>
        <v>#REF!</v>
      </c>
      <c r="BA248" t="e">
        <f>IF(#REF!,"AAAAAD//ZzQ=",0)</f>
        <v>#REF!</v>
      </c>
      <c r="BB248" t="e">
        <f>IF(#REF!,"AAAAAD//ZzU=",0)</f>
        <v>#REF!</v>
      </c>
      <c r="BC248" t="e">
        <f>IF(#REF!,"AAAAAD//ZzY=",0)</f>
        <v>#REF!</v>
      </c>
      <c r="BD248" t="e">
        <f>IF(#REF!,"AAAAAD//Zzc=",0)</f>
        <v>#REF!</v>
      </c>
      <c r="BE248" t="e">
        <f>IF(#REF!,"AAAAAD//Zzg=",0)</f>
        <v>#REF!</v>
      </c>
      <c r="BF248" t="e">
        <f>IF(#REF!,"AAAAAD//Zzk=",0)</f>
        <v>#REF!</v>
      </c>
      <c r="BG248" t="e">
        <f>IF(#REF!,"AAAAAD//Zzo=",0)</f>
        <v>#REF!</v>
      </c>
      <c r="BH248" t="e">
        <f>IF(#REF!,"AAAAAD//Zzs=",0)</f>
        <v>#REF!</v>
      </c>
      <c r="BI248" t="e">
        <f>IF(#REF!,"AAAAAD//Zzw=",0)</f>
        <v>#REF!</v>
      </c>
      <c r="BJ248" t="e">
        <f>IF(#REF!,"AAAAAD//Zz0=",0)</f>
        <v>#REF!</v>
      </c>
      <c r="BK248" t="e">
        <f>IF(#REF!,"AAAAAD//Zz4=",0)</f>
        <v>#REF!</v>
      </c>
      <c r="BL248" t="e">
        <f>IF(#REF!,"AAAAAD//Zz8=",0)</f>
        <v>#REF!</v>
      </c>
      <c r="BM248" t="e">
        <f>IF(#REF!,"AAAAAD//Z0A=",0)</f>
        <v>#REF!</v>
      </c>
      <c r="BN248" t="e">
        <f>IF(#REF!,"AAAAAD//Z0E=",0)</f>
        <v>#REF!</v>
      </c>
      <c r="BO248" t="e">
        <f>IF(#REF!,"AAAAAD//Z0I=",0)</f>
        <v>#REF!</v>
      </c>
      <c r="BP248" t="e">
        <f>IF(#REF!,"AAAAAD//Z0M=",0)</f>
        <v>#REF!</v>
      </c>
      <c r="BQ248" t="e">
        <f>IF(#REF!,"AAAAAD//Z0Q=",0)</f>
        <v>#REF!</v>
      </c>
      <c r="BR248" t="e">
        <f>IF(#REF!,"AAAAAD//Z0U=",0)</f>
        <v>#REF!</v>
      </c>
      <c r="BS248" t="e">
        <f>IF(#REF!,"AAAAAD//Z0Y=",0)</f>
        <v>#REF!</v>
      </c>
      <c r="BT248" t="e">
        <f>IF(#REF!,"AAAAAD//Z0c=",0)</f>
        <v>#REF!</v>
      </c>
      <c r="BU248" t="e">
        <f>IF(#REF!,"AAAAAD//Z0g=",0)</f>
        <v>#REF!</v>
      </c>
      <c r="BV248" t="e">
        <f>IF(#REF!,"AAAAAD//Z0k=",0)</f>
        <v>#REF!</v>
      </c>
      <c r="BW248" t="e">
        <f>IF(#REF!,"AAAAAD//Z0o=",0)</f>
        <v>#REF!</v>
      </c>
      <c r="BX248" t="e">
        <f>IF(#REF!,"AAAAAD//Z0s=",0)</f>
        <v>#REF!</v>
      </c>
      <c r="BY248" t="e">
        <f>IF(#REF!,"AAAAAD//Z0w=",0)</f>
        <v>#REF!</v>
      </c>
      <c r="BZ248" t="e">
        <f>IF(#REF!,"AAAAAD//Z00=",0)</f>
        <v>#REF!</v>
      </c>
      <c r="CA248" t="e">
        <f>IF(#REF!,"AAAAAD//Z04=",0)</f>
        <v>#REF!</v>
      </c>
      <c r="CB248" t="e">
        <f>IF(#REF!,"AAAAAD//Z08=",0)</f>
        <v>#REF!</v>
      </c>
      <c r="CC248" t="e">
        <f>IF(#REF!,"AAAAAD//Z1A=",0)</f>
        <v>#REF!</v>
      </c>
      <c r="CD248" t="e">
        <f>IF(#REF!,"AAAAAD//Z1E=",0)</f>
        <v>#REF!</v>
      </c>
      <c r="CE248" t="e">
        <f>IF(#REF!,"AAAAAD//Z1I=",0)</f>
        <v>#REF!</v>
      </c>
      <c r="CF248" t="e">
        <f>IF(#REF!,"AAAAAD//Z1M=",0)</f>
        <v>#REF!</v>
      </c>
      <c r="CG248" t="e">
        <f>IF(#REF!,"AAAAAD//Z1Q=",0)</f>
        <v>#REF!</v>
      </c>
      <c r="CH248" t="e">
        <f>IF(#REF!,"AAAAAD//Z1U=",0)</f>
        <v>#REF!</v>
      </c>
      <c r="CI248" t="e">
        <f>IF(#REF!,"AAAAAD//Z1Y=",0)</f>
        <v>#REF!</v>
      </c>
      <c r="CJ248" t="e">
        <f>IF(#REF!,"AAAAAD//Z1c=",0)</f>
        <v>#REF!</v>
      </c>
      <c r="CK248" t="e">
        <f>IF(#REF!,"AAAAAD//Z1g=",0)</f>
        <v>#REF!</v>
      </c>
      <c r="CL248" t="e">
        <f>IF(#REF!,"AAAAAD//Z1k=",0)</f>
        <v>#REF!</v>
      </c>
      <c r="CM248" t="e">
        <f>IF(#REF!,"AAAAAD//Z1o=",0)</f>
        <v>#REF!</v>
      </c>
      <c r="CN248" t="e">
        <f>IF(#REF!,"AAAAAD//Z1s=",0)</f>
        <v>#REF!</v>
      </c>
      <c r="CO248" t="e">
        <f>IF(#REF!,"AAAAAD//Z1w=",0)</f>
        <v>#REF!</v>
      </c>
      <c r="CP248" t="e">
        <f>IF(#REF!,"AAAAAD//Z10=",0)</f>
        <v>#REF!</v>
      </c>
      <c r="CQ248" t="e">
        <f>IF(#REF!,"AAAAAD//Z14=",0)</f>
        <v>#REF!</v>
      </c>
      <c r="CR248" t="e">
        <f>IF(#REF!,"AAAAAD//Z18=",0)</f>
        <v>#REF!</v>
      </c>
      <c r="CS248" t="e">
        <f>IF(#REF!,"AAAAAD//Z2A=",0)</f>
        <v>#REF!</v>
      </c>
      <c r="CT248" t="e">
        <f>IF(#REF!,"AAAAAD//Z2E=",0)</f>
        <v>#REF!</v>
      </c>
      <c r="CU248" t="e">
        <f>IF(#REF!,"AAAAAD//Z2I=",0)</f>
        <v>#REF!</v>
      </c>
      <c r="CV248" t="e">
        <f>IF(#REF!,"AAAAAD//Z2M=",0)</f>
        <v>#REF!</v>
      </c>
      <c r="CW248" t="e">
        <f>IF(#REF!,"AAAAAD//Z2Q=",0)</f>
        <v>#REF!</v>
      </c>
      <c r="CX248" t="e">
        <f>IF(#REF!,"AAAAAD//Z2U=",0)</f>
        <v>#REF!</v>
      </c>
      <c r="CY248" t="e">
        <f>IF(#REF!,"AAAAAD//Z2Y=",0)</f>
        <v>#REF!</v>
      </c>
      <c r="CZ248" t="e">
        <f>IF(#REF!,"AAAAAD//Z2c=",0)</f>
        <v>#REF!</v>
      </c>
      <c r="DA248" t="e">
        <f>IF(#REF!,"AAAAAD//Z2g=",0)</f>
        <v>#REF!</v>
      </c>
      <c r="DB248" t="e">
        <f>IF(#REF!,"AAAAAD//Z2k=",0)</f>
        <v>#REF!</v>
      </c>
      <c r="DC248" t="e">
        <f>IF(#REF!,"AAAAAD//Z2o=",0)</f>
        <v>#REF!</v>
      </c>
      <c r="DD248" t="e">
        <f>IF(#REF!,"AAAAAD//Z2s=",0)</f>
        <v>#REF!</v>
      </c>
      <c r="DE248" t="e">
        <f>IF(#REF!,"AAAAAD//Z2w=",0)</f>
        <v>#REF!</v>
      </c>
      <c r="DF248" t="e">
        <f>IF(#REF!,"AAAAAD//Z20=",0)</f>
        <v>#REF!</v>
      </c>
      <c r="DG248" t="e">
        <f>IF(#REF!,"AAAAAD//Z24=",0)</f>
        <v>#REF!</v>
      </c>
      <c r="DH248" t="e">
        <f>IF(#REF!,"AAAAAD//Z28=",0)</f>
        <v>#REF!</v>
      </c>
      <c r="DI248" t="e">
        <f>IF(#REF!,"AAAAAD//Z3A=",0)</f>
        <v>#REF!</v>
      </c>
      <c r="DJ248" t="e">
        <f>IF(#REF!,"AAAAAD//Z3E=",0)</f>
        <v>#REF!</v>
      </c>
      <c r="DK248" t="e">
        <f>IF(#REF!,"AAAAAD//Z3I=",0)</f>
        <v>#REF!</v>
      </c>
      <c r="DL248" t="e">
        <f>IF(#REF!,"AAAAAD//Z3M=",0)</f>
        <v>#REF!</v>
      </c>
      <c r="DM248" t="e">
        <f>IF(#REF!,"AAAAAD//Z3Q=",0)</f>
        <v>#REF!</v>
      </c>
      <c r="DN248" t="e">
        <f>IF(#REF!,"AAAAAD//Z3U=",0)</f>
        <v>#REF!</v>
      </c>
      <c r="DO248" t="e">
        <f>IF(#REF!,"AAAAAD//Z3Y=",0)</f>
        <v>#REF!</v>
      </c>
      <c r="DP248" t="e">
        <f>IF(#REF!,"AAAAAD//Z3c=",0)</f>
        <v>#REF!</v>
      </c>
      <c r="DQ248" t="e">
        <f>IF(#REF!,"AAAAAD//Z3g=",0)</f>
        <v>#REF!</v>
      </c>
      <c r="DR248" t="e">
        <f>IF(#REF!,"AAAAAD//Z3k=",0)</f>
        <v>#REF!</v>
      </c>
      <c r="DS248" t="e">
        <f>IF(#REF!,"AAAAAD//Z3o=",0)</f>
        <v>#REF!</v>
      </c>
      <c r="DT248" t="e">
        <f>IF(#REF!,"AAAAAD//Z3s=",0)</f>
        <v>#REF!</v>
      </c>
      <c r="DU248" t="e">
        <f>IF(#REF!,"AAAAAD//Z3w=",0)</f>
        <v>#REF!</v>
      </c>
      <c r="DV248" t="e">
        <f>IF(#REF!,"AAAAAD//Z30=",0)</f>
        <v>#REF!</v>
      </c>
      <c r="DW248" t="e">
        <f>IF(#REF!,"AAAAAD//Z34=",0)</f>
        <v>#REF!</v>
      </c>
      <c r="DX248" t="e">
        <f>IF(#REF!,"AAAAAD//Z38=",0)</f>
        <v>#REF!</v>
      </c>
      <c r="DY248" t="e">
        <f>IF(#REF!,"AAAAAD//Z4A=",0)</f>
        <v>#REF!</v>
      </c>
      <c r="DZ248" t="e">
        <f>IF(#REF!,"AAAAAD//Z4E=",0)</f>
        <v>#REF!</v>
      </c>
      <c r="EA248" t="e">
        <f>IF(#REF!,"AAAAAD//Z4I=",0)</f>
        <v>#REF!</v>
      </c>
      <c r="EB248" t="e">
        <f>IF(#REF!,"AAAAAD//Z4M=",0)</f>
        <v>#REF!</v>
      </c>
      <c r="EC248" t="e">
        <f>IF(#REF!,"AAAAAD//Z4Q=",0)</f>
        <v>#REF!</v>
      </c>
      <c r="ED248" t="e">
        <f>IF(#REF!,"AAAAAD//Z4U=",0)</f>
        <v>#REF!</v>
      </c>
      <c r="EE248" t="e">
        <f>IF(#REF!,"AAAAAD//Z4Y=",0)</f>
        <v>#REF!</v>
      </c>
      <c r="EF248" t="e">
        <f>IF(#REF!,"AAAAAD//Z4c=",0)</f>
        <v>#REF!</v>
      </c>
      <c r="EG248" t="e">
        <f>IF(#REF!,"AAAAAD//Z4g=",0)</f>
        <v>#REF!</v>
      </c>
      <c r="EH248" t="e">
        <f>IF(#REF!,"AAAAAD//Z4k=",0)</f>
        <v>#REF!</v>
      </c>
      <c r="EI248" t="e">
        <f>IF(#REF!,"AAAAAD//Z4o=",0)</f>
        <v>#REF!</v>
      </c>
      <c r="EJ248" t="e">
        <f>IF(#REF!,"AAAAAD//Z4s=",0)</f>
        <v>#REF!</v>
      </c>
      <c r="EK248" t="e">
        <f>IF(#REF!,"AAAAAD//Z4w=",0)</f>
        <v>#REF!</v>
      </c>
      <c r="EL248" t="e">
        <f>IF(#REF!,"AAAAAD//Z40=",0)</f>
        <v>#REF!</v>
      </c>
      <c r="EM248" t="e">
        <f>IF(#REF!,"AAAAAD//Z44=",0)</f>
        <v>#REF!</v>
      </c>
      <c r="EN248" t="e">
        <f>IF(#REF!,"AAAAAD//Z48=",0)</f>
        <v>#REF!</v>
      </c>
      <c r="EO248" t="e">
        <f>IF(#REF!,"AAAAAD//Z5A=",0)</f>
        <v>#REF!</v>
      </c>
      <c r="EP248" t="e">
        <f>IF(#REF!,"AAAAAD//Z5E=",0)</f>
        <v>#REF!</v>
      </c>
      <c r="EQ248" t="e">
        <f>IF(#REF!,"AAAAAD//Z5I=",0)</f>
        <v>#REF!</v>
      </c>
      <c r="ER248" t="e">
        <f>IF(#REF!,"AAAAAD//Z5M=",0)</f>
        <v>#REF!</v>
      </c>
      <c r="ES248" t="e">
        <f>IF(#REF!,"AAAAAD//Z5Q=",0)</f>
        <v>#REF!</v>
      </c>
      <c r="ET248" t="e">
        <f>IF(#REF!,"AAAAAD//Z5U=",0)</f>
        <v>#REF!</v>
      </c>
      <c r="EU248" t="e">
        <f>IF(#REF!,"AAAAAD//Z5Y=",0)</f>
        <v>#REF!</v>
      </c>
      <c r="EV248" t="e">
        <f>IF(#REF!,"AAAAAD//Z5c=",0)</f>
        <v>#REF!</v>
      </c>
      <c r="EW248" t="e">
        <f>IF(#REF!,"AAAAAD//Z5g=",0)</f>
        <v>#REF!</v>
      </c>
      <c r="EX248" t="e">
        <f>IF(#REF!,"AAAAAD//Z5k=",0)</f>
        <v>#REF!</v>
      </c>
      <c r="EY248" t="e">
        <f>IF(#REF!,"AAAAAD//Z5o=",0)</f>
        <v>#REF!</v>
      </c>
      <c r="EZ248" t="e">
        <f>IF(#REF!,"AAAAAD//Z5s=",0)</f>
        <v>#REF!</v>
      </c>
      <c r="FA248" t="e">
        <f>IF(#REF!,"AAAAAD//Z5w=",0)</f>
        <v>#REF!</v>
      </c>
      <c r="FB248" t="e">
        <f>IF(#REF!,"AAAAAD//Z50=",0)</f>
        <v>#REF!</v>
      </c>
      <c r="FC248" t="e">
        <f>IF(#REF!,"AAAAAD//Z54=",0)</f>
        <v>#REF!</v>
      </c>
      <c r="FD248" t="e">
        <f>IF(#REF!,"AAAAAD//Z58=",0)</f>
        <v>#REF!</v>
      </c>
      <c r="FE248" t="e">
        <f>IF(#REF!,"AAAAAD//Z6A=",0)</f>
        <v>#REF!</v>
      </c>
      <c r="FF248" t="e">
        <f>IF(#REF!,"AAAAAD//Z6E=",0)</f>
        <v>#REF!</v>
      </c>
      <c r="FG248" t="e">
        <f>IF(#REF!,"AAAAAD//Z6I=",0)</f>
        <v>#REF!</v>
      </c>
      <c r="FH248" t="e">
        <f>IF(#REF!,"AAAAAD//Z6M=",0)</f>
        <v>#REF!</v>
      </c>
      <c r="FI248" t="e">
        <f>IF(#REF!,"AAAAAD//Z6Q=",0)</f>
        <v>#REF!</v>
      </c>
      <c r="FJ248" t="e">
        <f>IF(#REF!,"AAAAAD//Z6U=",0)</f>
        <v>#REF!</v>
      </c>
      <c r="FK248" t="e">
        <f>IF(#REF!,"AAAAAD//Z6Y=",0)</f>
        <v>#REF!</v>
      </c>
      <c r="FL248" t="e">
        <f>IF(#REF!,"AAAAAD//Z6c=",0)</f>
        <v>#REF!</v>
      </c>
      <c r="FM248" t="e">
        <f>IF(#REF!,"AAAAAD//Z6g=",0)</f>
        <v>#REF!</v>
      </c>
      <c r="FN248" t="e">
        <f>IF(#REF!,"AAAAAD//Z6k=",0)</f>
        <v>#REF!</v>
      </c>
      <c r="FO248" t="e">
        <f>IF(#REF!,"AAAAAD//Z6o=",0)</f>
        <v>#REF!</v>
      </c>
      <c r="FP248" t="e">
        <f>IF(#REF!,"AAAAAD//Z6s=",0)</f>
        <v>#REF!</v>
      </c>
      <c r="FQ248" t="e">
        <f>IF(#REF!,"AAAAAD//Z6w=",0)</f>
        <v>#REF!</v>
      </c>
      <c r="FR248" t="e">
        <f>IF(#REF!,"AAAAAD//Z60=",0)</f>
        <v>#REF!</v>
      </c>
      <c r="FS248" t="e">
        <f>IF(#REF!,"AAAAAD//Z64=",0)</f>
        <v>#REF!</v>
      </c>
      <c r="FT248" t="e">
        <f>IF(#REF!,"AAAAAD//Z68=",0)</f>
        <v>#REF!</v>
      </c>
      <c r="FU248" t="e">
        <f>IF(#REF!,"AAAAAD//Z7A=",0)</f>
        <v>#REF!</v>
      </c>
      <c r="FV248" t="e">
        <f>IF(#REF!,"AAAAAD//Z7E=",0)</f>
        <v>#REF!</v>
      </c>
      <c r="FW248" t="e">
        <f>IF(#REF!,"AAAAAD//Z7I=",0)</f>
        <v>#REF!</v>
      </c>
      <c r="FX248" t="e">
        <f>IF(#REF!,"AAAAAD//Z7M=",0)</f>
        <v>#REF!</v>
      </c>
      <c r="FY248" t="e">
        <f>IF(#REF!,"AAAAAD//Z7Q=",0)</f>
        <v>#REF!</v>
      </c>
      <c r="FZ248" t="e">
        <f>IF(#REF!,"AAAAAD//Z7U=",0)</f>
        <v>#REF!</v>
      </c>
      <c r="GA248" t="e">
        <f>IF(#REF!,"AAAAAD//Z7Y=",0)</f>
        <v>#REF!</v>
      </c>
      <c r="GB248" t="e">
        <f>IF(#REF!,"AAAAAD//Z7c=",0)</f>
        <v>#REF!</v>
      </c>
      <c r="GC248" t="e">
        <f>IF(#REF!,"AAAAAD//Z7g=",0)</f>
        <v>#REF!</v>
      </c>
      <c r="GD248" t="e">
        <f>IF(#REF!,"AAAAAD//Z7k=",0)</f>
        <v>#REF!</v>
      </c>
      <c r="GE248" t="e">
        <f>IF(#REF!,"AAAAAD//Z7o=",0)</f>
        <v>#REF!</v>
      </c>
      <c r="GF248" t="e">
        <f>IF(#REF!,"AAAAAD//Z7s=",0)</f>
        <v>#REF!</v>
      </c>
      <c r="GG248" t="e">
        <f>IF(#REF!,"AAAAAD//Z7w=",0)</f>
        <v>#REF!</v>
      </c>
      <c r="GH248" t="e">
        <f>IF(#REF!,"AAAAAD//Z70=",0)</f>
        <v>#REF!</v>
      </c>
      <c r="GI248" t="e">
        <f>IF(#REF!,"AAAAAD//Z74=",0)</f>
        <v>#REF!</v>
      </c>
      <c r="GJ248" t="e">
        <f>IF(#REF!,"AAAAAD//Z78=",0)</f>
        <v>#REF!</v>
      </c>
      <c r="GK248" t="e">
        <f>IF(#REF!,"AAAAAD//Z8A=",0)</f>
        <v>#REF!</v>
      </c>
      <c r="GL248" t="e">
        <f>IF(#REF!,"AAAAAD//Z8E=",0)</f>
        <v>#REF!</v>
      </c>
      <c r="GM248" t="e">
        <f>IF(#REF!,"AAAAAD//Z8I=",0)</f>
        <v>#REF!</v>
      </c>
      <c r="GN248" t="e">
        <f>IF(#REF!,"AAAAAD//Z8M=",0)</f>
        <v>#REF!</v>
      </c>
      <c r="GO248" t="e">
        <f>IF(#REF!,"AAAAAD//Z8Q=",0)</f>
        <v>#REF!</v>
      </c>
      <c r="GP248" t="e">
        <f>IF(#REF!,"AAAAAD//Z8U=",0)</f>
        <v>#REF!</v>
      </c>
      <c r="GQ248" t="e">
        <f>IF(#REF!,"AAAAAD//Z8Y=",0)</f>
        <v>#REF!</v>
      </c>
      <c r="GR248" t="e">
        <f>IF(#REF!,"AAAAAD//Z8c=",0)</f>
        <v>#REF!</v>
      </c>
      <c r="GS248" t="e">
        <f>IF(#REF!,"AAAAAD//Z8g=",0)</f>
        <v>#REF!</v>
      </c>
      <c r="GT248" t="e">
        <f>IF(#REF!,"AAAAAD//Z8k=",0)</f>
        <v>#REF!</v>
      </c>
      <c r="GU248" t="e">
        <f>IF(#REF!,"AAAAAD//Z8o=",0)</f>
        <v>#REF!</v>
      </c>
      <c r="GV248" t="e">
        <f>IF(#REF!,"AAAAAD//Z8s=",0)</f>
        <v>#REF!</v>
      </c>
      <c r="GW248" t="e">
        <f>IF(#REF!,"AAAAAD//Z8w=",0)</f>
        <v>#REF!</v>
      </c>
      <c r="GX248" t="e">
        <f>IF(#REF!,"AAAAAD//Z80=",0)</f>
        <v>#REF!</v>
      </c>
      <c r="GY248" t="e">
        <f>IF(#REF!,"AAAAAD//Z84=",0)</f>
        <v>#REF!</v>
      </c>
      <c r="GZ248" t="e">
        <f>IF(#REF!,"AAAAAD//Z88=",0)</f>
        <v>#REF!</v>
      </c>
      <c r="HA248" t="e">
        <f>IF(#REF!,"AAAAAD//Z9A=",0)</f>
        <v>#REF!</v>
      </c>
      <c r="HB248" t="e">
        <f>IF(#REF!,"AAAAAD//Z9E=",0)</f>
        <v>#REF!</v>
      </c>
      <c r="HC248" t="e">
        <f>IF(#REF!,"AAAAAD//Z9I=",0)</f>
        <v>#REF!</v>
      </c>
      <c r="HD248" t="e">
        <f>IF(#REF!,"AAAAAD//Z9M=",0)</f>
        <v>#REF!</v>
      </c>
      <c r="HE248" t="e">
        <f>IF(#REF!,"AAAAAD//Z9Q=",0)</f>
        <v>#REF!</v>
      </c>
      <c r="HF248" t="e">
        <f>IF(#REF!,"AAAAAD//Z9U=",0)</f>
        <v>#REF!</v>
      </c>
      <c r="HG248" t="e">
        <f>IF(#REF!,"AAAAAD//Z9Y=",0)</f>
        <v>#REF!</v>
      </c>
      <c r="HH248" t="e">
        <f>IF(#REF!,"AAAAAD//Z9c=",0)</f>
        <v>#REF!</v>
      </c>
      <c r="HI248" t="e">
        <f>IF(#REF!,"AAAAAD//Z9g=",0)</f>
        <v>#REF!</v>
      </c>
      <c r="HJ248" t="e">
        <f>IF(#REF!,"AAAAAD//Z9k=",0)</f>
        <v>#REF!</v>
      </c>
      <c r="HK248" t="e">
        <f>IF(#REF!,"AAAAAD//Z9o=",0)</f>
        <v>#REF!</v>
      </c>
      <c r="HL248" t="e">
        <f>IF(#REF!,"AAAAAD//Z9s=",0)</f>
        <v>#REF!</v>
      </c>
      <c r="HM248" t="e">
        <f>IF(#REF!,"AAAAAD//Z9w=",0)</f>
        <v>#REF!</v>
      </c>
      <c r="HN248" t="e">
        <f>IF(#REF!,"AAAAAD//Z90=",0)</f>
        <v>#REF!</v>
      </c>
      <c r="HO248" t="e">
        <f>IF(#REF!,"AAAAAD//Z94=",0)</f>
        <v>#REF!</v>
      </c>
      <c r="HP248" t="e">
        <f>IF(#REF!,"AAAAAD//Z98=",0)</f>
        <v>#REF!</v>
      </c>
      <c r="HQ248" t="e">
        <f>IF(#REF!,"AAAAAD//Z+A=",0)</f>
        <v>#REF!</v>
      </c>
      <c r="HR248" t="e">
        <f>IF(#REF!,"AAAAAD//Z+E=",0)</f>
        <v>#REF!</v>
      </c>
      <c r="HS248" t="e">
        <f>IF(#REF!,"AAAAAD//Z+I=",0)</f>
        <v>#REF!</v>
      </c>
      <c r="HT248" t="e">
        <f>IF(#REF!,"AAAAAD//Z+M=",0)</f>
        <v>#REF!</v>
      </c>
      <c r="HU248" t="e">
        <f>IF(#REF!,"AAAAAD//Z+Q=",0)</f>
        <v>#REF!</v>
      </c>
      <c r="HV248" t="e">
        <f>IF(#REF!,"AAAAAD//Z+U=",0)</f>
        <v>#REF!</v>
      </c>
      <c r="HW248" t="e">
        <f>IF(#REF!,"AAAAAD//Z+Y=",0)</f>
        <v>#REF!</v>
      </c>
      <c r="HX248" t="e">
        <f>IF(#REF!,"AAAAAD//Z+c=",0)</f>
        <v>#REF!</v>
      </c>
      <c r="HY248" t="e">
        <f>IF(#REF!,"AAAAAD//Z+g=",0)</f>
        <v>#REF!</v>
      </c>
      <c r="HZ248" t="e">
        <f>IF(#REF!,"AAAAAD//Z+k=",0)</f>
        <v>#REF!</v>
      </c>
      <c r="IA248" t="e">
        <f>IF(#REF!,"AAAAAD//Z+o=",0)</f>
        <v>#REF!</v>
      </c>
      <c r="IB248" t="e">
        <f>IF(#REF!,"AAAAAD//Z+s=",0)</f>
        <v>#REF!</v>
      </c>
      <c r="IC248" t="e">
        <f>IF(#REF!,"AAAAAD//Z+w=",0)</f>
        <v>#REF!</v>
      </c>
      <c r="ID248" t="e">
        <f>IF(#REF!,"AAAAAD//Z+0=",0)</f>
        <v>#REF!</v>
      </c>
      <c r="IE248" t="e">
        <f>IF(#REF!,"AAAAAD//Z+4=",0)</f>
        <v>#REF!</v>
      </c>
      <c r="IF248" t="e">
        <f>IF(#REF!,"AAAAAD//Z+8=",0)</f>
        <v>#REF!</v>
      </c>
      <c r="IG248" t="e">
        <f>IF(#REF!,"AAAAAD//Z/A=",0)</f>
        <v>#REF!</v>
      </c>
      <c r="IH248" t="e">
        <f>IF(#REF!,"AAAAAD//Z/E=",0)</f>
        <v>#REF!</v>
      </c>
      <c r="II248" t="e">
        <f>IF(#REF!,"AAAAAD//Z/I=",0)</f>
        <v>#REF!</v>
      </c>
      <c r="IJ248" t="e">
        <f>IF(#REF!,"AAAAAD//Z/M=",0)</f>
        <v>#REF!</v>
      </c>
      <c r="IK248" t="e">
        <f>IF(#REF!,"AAAAAD//Z/Q=",0)</f>
        <v>#REF!</v>
      </c>
      <c r="IL248" t="e">
        <f>IF(#REF!,"AAAAAD//Z/U=",0)</f>
        <v>#REF!</v>
      </c>
      <c r="IM248" t="e">
        <f>IF(#REF!,"AAAAAD//Z/Y=",0)</f>
        <v>#REF!</v>
      </c>
      <c r="IN248" t="e">
        <f>IF(#REF!,"AAAAAD//Z/c=",0)</f>
        <v>#REF!</v>
      </c>
      <c r="IO248" t="e">
        <f>IF(#REF!,"AAAAAD//Z/g=",0)</f>
        <v>#REF!</v>
      </c>
      <c r="IP248" t="e">
        <f>IF(#REF!,"AAAAAD//Z/k=",0)</f>
        <v>#REF!</v>
      </c>
      <c r="IQ248" t="e">
        <f>IF(#REF!,"AAAAAD//Z/o=",0)</f>
        <v>#REF!</v>
      </c>
      <c r="IR248" t="e">
        <f>IF(#REF!,"AAAAAD//Z/s=",0)</f>
        <v>#REF!</v>
      </c>
      <c r="IS248" t="e">
        <f>IF(#REF!,"AAAAAD//Z/w=",0)</f>
        <v>#REF!</v>
      </c>
      <c r="IT248" t="e">
        <f>IF(#REF!,"AAAAAD//Z/0=",0)</f>
        <v>#REF!</v>
      </c>
      <c r="IU248" t="e">
        <f>IF(#REF!,"AAAAAD//Z/4=",0)</f>
        <v>#REF!</v>
      </c>
      <c r="IV248" t="e">
        <f>IF(#REF!,"AAAAAD//Z/8=",0)</f>
        <v>#REF!</v>
      </c>
    </row>
    <row r="249" spans="1:256">
      <c r="A249" t="e">
        <f>IF(#REF!,"AAAAAF5u5AA=",0)</f>
        <v>#REF!</v>
      </c>
      <c r="B249" t="e">
        <f>IF(#REF!,"AAAAAF5u5AE=",0)</f>
        <v>#REF!</v>
      </c>
      <c r="C249" t="e">
        <f>IF(#REF!,"AAAAAF5u5AI=",0)</f>
        <v>#REF!</v>
      </c>
      <c r="D249" t="e">
        <f>IF(#REF!,"AAAAAF5u5AM=",0)</f>
        <v>#REF!</v>
      </c>
      <c r="E249" t="e">
        <f>IF(#REF!,"AAAAAF5u5AQ=",0)</f>
        <v>#REF!</v>
      </c>
      <c r="F249" t="e">
        <f>IF(#REF!,"AAAAAF5u5AU=",0)</f>
        <v>#REF!</v>
      </c>
      <c r="G249" t="e">
        <f>IF(#REF!,"AAAAAF5u5AY=",0)</f>
        <v>#REF!</v>
      </c>
      <c r="H249" t="e">
        <f>IF(#REF!,"AAAAAF5u5Ac=",0)</f>
        <v>#REF!</v>
      </c>
      <c r="I249" t="e">
        <f>IF(#REF!,"AAAAAF5u5Ag=",0)</f>
        <v>#REF!</v>
      </c>
      <c r="J249" t="e">
        <f>IF(#REF!,"AAAAAF5u5Ak=",0)</f>
        <v>#REF!</v>
      </c>
      <c r="K249" t="e">
        <f>IF(#REF!,"AAAAAF5u5Ao=",0)</f>
        <v>#REF!</v>
      </c>
      <c r="L249" t="e">
        <f>IF(#REF!,"AAAAAF5u5As=",0)</f>
        <v>#REF!</v>
      </c>
      <c r="M249" t="e">
        <f>IF(#REF!,"AAAAAF5u5Aw=",0)</f>
        <v>#REF!</v>
      </c>
      <c r="N249" t="e">
        <f>IF(#REF!,"AAAAAF5u5A0=",0)</f>
        <v>#REF!</v>
      </c>
      <c r="O249" t="e">
        <f>IF(#REF!,"AAAAAF5u5A4=",0)</f>
        <v>#REF!</v>
      </c>
      <c r="P249" t="e">
        <f>IF(#REF!,"AAAAAF5u5A8=",0)</f>
        <v>#REF!</v>
      </c>
      <c r="Q249" t="e">
        <f>IF(#REF!,"AAAAAF5u5BA=",0)</f>
        <v>#REF!</v>
      </c>
      <c r="R249" t="e">
        <f>IF(#REF!,"AAAAAF5u5BE=",0)</f>
        <v>#REF!</v>
      </c>
      <c r="S249" t="e">
        <f>IF(#REF!,"AAAAAF5u5BI=",0)</f>
        <v>#REF!</v>
      </c>
      <c r="T249" t="e">
        <f>IF(#REF!,"AAAAAF5u5BM=",0)</f>
        <v>#REF!</v>
      </c>
      <c r="U249" t="e">
        <f>IF(#REF!,"AAAAAF5u5BQ=",0)</f>
        <v>#REF!</v>
      </c>
      <c r="V249" t="e">
        <f>IF(#REF!,"AAAAAF5u5BU=",0)</f>
        <v>#REF!</v>
      </c>
      <c r="W249" t="e">
        <f>IF(#REF!,"AAAAAF5u5BY=",0)</f>
        <v>#REF!</v>
      </c>
      <c r="X249" t="e">
        <f>IF(#REF!,"AAAAAF5u5Bc=",0)</f>
        <v>#REF!</v>
      </c>
      <c r="Y249" t="e">
        <f>IF(#REF!,"AAAAAF5u5Bg=",0)</f>
        <v>#REF!</v>
      </c>
      <c r="Z249" t="e">
        <f>IF(#REF!,"AAAAAF5u5Bk=",0)</f>
        <v>#REF!</v>
      </c>
      <c r="AA249" t="e">
        <f>IF(#REF!,"AAAAAF5u5Bo=",0)</f>
        <v>#REF!</v>
      </c>
      <c r="AB249" t="e">
        <f>IF(#REF!,"AAAAAF5u5Bs=",0)</f>
        <v>#REF!</v>
      </c>
      <c r="AC249" t="e">
        <f>IF(#REF!,"AAAAAF5u5Bw=",0)</f>
        <v>#REF!</v>
      </c>
      <c r="AD249" t="e">
        <f>IF(#REF!,"AAAAAF5u5B0=",0)</f>
        <v>#REF!</v>
      </c>
      <c r="AE249" t="e">
        <f>IF(#REF!,"AAAAAF5u5B4=",0)</f>
        <v>#REF!</v>
      </c>
      <c r="AF249" t="e">
        <f>IF(#REF!,"AAAAAF5u5B8=",0)</f>
        <v>#REF!</v>
      </c>
      <c r="AG249" t="e">
        <f>IF(#REF!,"AAAAAF5u5CA=",0)</f>
        <v>#REF!</v>
      </c>
      <c r="AH249" t="e">
        <f>IF(#REF!,"AAAAAF5u5CE=",0)</f>
        <v>#REF!</v>
      </c>
      <c r="AI249" t="e">
        <f>IF(#REF!,"AAAAAF5u5CI=",0)</f>
        <v>#REF!</v>
      </c>
      <c r="AJ249" t="e">
        <f>IF(#REF!,"AAAAAF5u5CM=",0)</f>
        <v>#REF!</v>
      </c>
      <c r="AK249" t="e">
        <f>IF(#REF!,"AAAAAF5u5CQ=",0)</f>
        <v>#REF!</v>
      </c>
      <c r="AL249" t="e">
        <f>IF(#REF!,"AAAAAF5u5CU=",0)</f>
        <v>#REF!</v>
      </c>
      <c r="AM249" t="e">
        <f>IF(#REF!,"AAAAAF5u5CY=",0)</f>
        <v>#REF!</v>
      </c>
      <c r="AN249" t="e">
        <f>IF(#REF!,"AAAAAF5u5Cc=",0)</f>
        <v>#REF!</v>
      </c>
      <c r="AO249" t="e">
        <f>IF(#REF!,"AAAAAF5u5Cg=",0)</f>
        <v>#REF!</v>
      </c>
      <c r="AP249" t="e">
        <f>IF(#REF!,"AAAAAF5u5Ck=",0)</f>
        <v>#REF!</v>
      </c>
      <c r="AQ249" t="e">
        <f>IF(#REF!,"AAAAAF5u5Co=",0)</f>
        <v>#REF!</v>
      </c>
      <c r="AR249" t="e">
        <f>IF(#REF!,"AAAAAF5u5Cs=",0)</f>
        <v>#REF!</v>
      </c>
      <c r="AS249" t="e">
        <f>IF(#REF!,"AAAAAF5u5Cw=",0)</f>
        <v>#REF!</v>
      </c>
      <c r="AT249" t="e">
        <f>IF(#REF!,"AAAAAF5u5C0=",0)</f>
        <v>#REF!</v>
      </c>
      <c r="AU249" t="e">
        <f>IF(#REF!,"AAAAAF5u5C4=",0)</f>
        <v>#REF!</v>
      </c>
      <c r="AV249" t="e">
        <f>IF(#REF!,"AAAAAF5u5C8=",0)</f>
        <v>#REF!</v>
      </c>
      <c r="AW249" t="e">
        <f>IF(#REF!,"AAAAAF5u5DA=",0)</f>
        <v>#REF!</v>
      </c>
      <c r="AX249" t="e">
        <f>IF(#REF!,"AAAAAF5u5DE=",0)</f>
        <v>#REF!</v>
      </c>
      <c r="AY249" t="e">
        <f>IF(#REF!,"AAAAAF5u5DI=",0)</f>
        <v>#REF!</v>
      </c>
      <c r="AZ249" t="e">
        <f>IF(#REF!,"AAAAAF5u5DM=",0)</f>
        <v>#REF!</v>
      </c>
      <c r="BA249" t="e">
        <f>IF(#REF!,"AAAAAF5u5DQ=",0)</f>
        <v>#REF!</v>
      </c>
      <c r="BB249" t="e">
        <f>IF(#REF!,"AAAAAF5u5DU=",0)</f>
        <v>#REF!</v>
      </c>
      <c r="BC249" t="e">
        <f>IF(#REF!,"AAAAAF5u5DY=",0)</f>
        <v>#REF!</v>
      </c>
      <c r="BD249" t="e">
        <f>IF(#REF!,"AAAAAF5u5Dc=",0)</f>
        <v>#REF!</v>
      </c>
      <c r="BE249" t="e">
        <f>IF(#REF!,"AAAAAF5u5Dg=",0)</f>
        <v>#REF!</v>
      </c>
      <c r="BF249" t="e">
        <f>IF(#REF!,"AAAAAF5u5Dk=",0)</f>
        <v>#REF!</v>
      </c>
      <c r="BG249" t="e">
        <f>IF(#REF!,"AAAAAF5u5Do=",0)</f>
        <v>#REF!</v>
      </c>
      <c r="BH249" t="e">
        <f>IF(#REF!,"AAAAAF5u5Ds=",0)</f>
        <v>#REF!</v>
      </c>
      <c r="BI249" t="e">
        <f>IF(#REF!,"AAAAAF5u5Dw=",0)</f>
        <v>#REF!</v>
      </c>
      <c r="BJ249" t="e">
        <f>IF(#REF!,"AAAAAF5u5D0=",0)</f>
        <v>#REF!</v>
      </c>
      <c r="BK249" t="e">
        <f>IF(#REF!,"AAAAAF5u5D4=",0)</f>
        <v>#REF!</v>
      </c>
      <c r="BL249" t="e">
        <f>IF(#REF!,"AAAAAF5u5D8=",0)</f>
        <v>#REF!</v>
      </c>
      <c r="BM249" t="e">
        <f>IF(#REF!,"AAAAAF5u5EA=",0)</f>
        <v>#REF!</v>
      </c>
      <c r="BN249" t="e">
        <f>IF(#REF!,"AAAAAF5u5EE=",0)</f>
        <v>#REF!</v>
      </c>
      <c r="BO249" t="e">
        <f>IF(#REF!,"AAAAAF5u5EI=",0)</f>
        <v>#REF!</v>
      </c>
      <c r="BP249" t="e">
        <f>IF(#REF!,"AAAAAF5u5EM=",0)</f>
        <v>#REF!</v>
      </c>
      <c r="BQ249" t="e">
        <f>IF(#REF!,"AAAAAF5u5EQ=",0)</f>
        <v>#REF!</v>
      </c>
      <c r="BR249" t="e">
        <f>IF(#REF!,"AAAAAF5u5EU=",0)</f>
        <v>#REF!</v>
      </c>
      <c r="BS249" t="e">
        <f>IF(#REF!,"AAAAAF5u5EY=",0)</f>
        <v>#REF!</v>
      </c>
      <c r="BT249" t="e">
        <f>IF(#REF!,"AAAAAF5u5Ec=",0)</f>
        <v>#REF!</v>
      </c>
      <c r="BU249" t="e">
        <f>IF(#REF!,"AAAAAF5u5Eg=",0)</f>
        <v>#REF!</v>
      </c>
      <c r="BV249" t="e">
        <f>IF(#REF!,"AAAAAF5u5Ek=",0)</f>
        <v>#REF!</v>
      </c>
      <c r="BW249" t="e">
        <f>IF(#REF!,"AAAAAF5u5Eo=",0)</f>
        <v>#REF!</v>
      </c>
      <c r="BX249" t="e">
        <f>IF(#REF!,"AAAAAF5u5Es=",0)</f>
        <v>#REF!</v>
      </c>
      <c r="BY249" t="e">
        <f>IF(#REF!,"AAAAAF5u5Ew=",0)</f>
        <v>#REF!</v>
      </c>
      <c r="BZ249" t="e">
        <f>IF(#REF!,"AAAAAF5u5E0=",0)</f>
        <v>#REF!</v>
      </c>
      <c r="CA249" t="e">
        <f>IF(#REF!,"AAAAAF5u5E4=",0)</f>
        <v>#REF!</v>
      </c>
      <c r="CB249" t="e">
        <f>IF(#REF!,"AAAAAF5u5E8=",0)</f>
        <v>#REF!</v>
      </c>
      <c r="CC249" t="e">
        <f>IF(#REF!,"AAAAAF5u5FA=",0)</f>
        <v>#REF!</v>
      </c>
      <c r="CD249" t="e">
        <f>IF(#REF!,"AAAAAF5u5FE=",0)</f>
        <v>#REF!</v>
      </c>
      <c r="CE249" t="e">
        <f>IF(#REF!,"AAAAAF5u5FI=",0)</f>
        <v>#REF!</v>
      </c>
      <c r="CF249" t="e">
        <f>IF(#REF!,"AAAAAF5u5FM=",0)</f>
        <v>#REF!</v>
      </c>
      <c r="CG249" t="e">
        <f>IF(#REF!,"AAAAAF5u5FQ=",0)</f>
        <v>#REF!</v>
      </c>
      <c r="CH249" t="e">
        <f>IF(#REF!,"AAAAAF5u5FU=",0)</f>
        <v>#REF!</v>
      </c>
      <c r="CI249" t="e">
        <f>IF(#REF!,"AAAAAF5u5FY=",0)</f>
        <v>#REF!</v>
      </c>
      <c r="CJ249" t="e">
        <f>IF(#REF!,"AAAAAF5u5Fc=",0)</f>
        <v>#REF!</v>
      </c>
      <c r="CK249" t="e">
        <f>IF(#REF!,"AAAAAF5u5Fg=",0)</f>
        <v>#REF!</v>
      </c>
      <c r="CL249" t="e">
        <f>IF(#REF!,"AAAAAF5u5Fk=",0)</f>
        <v>#REF!</v>
      </c>
      <c r="CM249" t="e">
        <f>IF(#REF!,"AAAAAF5u5Fo=",0)</f>
        <v>#REF!</v>
      </c>
      <c r="CN249" t="e">
        <f>IF(#REF!,"AAAAAF5u5Fs=",0)</f>
        <v>#REF!</v>
      </c>
      <c r="CO249" t="e">
        <f>IF(#REF!,"AAAAAF5u5Fw=",0)</f>
        <v>#REF!</v>
      </c>
      <c r="CP249" t="e">
        <f>IF(#REF!,"AAAAAF5u5F0=",0)</f>
        <v>#REF!</v>
      </c>
      <c r="CQ249" t="e">
        <f>IF(#REF!,"AAAAAF5u5F4=",0)</f>
        <v>#REF!</v>
      </c>
      <c r="CR249" t="e">
        <f>IF(#REF!,"AAAAAF5u5F8=",0)</f>
        <v>#REF!</v>
      </c>
      <c r="CS249" t="e">
        <f>IF(#REF!,"AAAAAF5u5GA=",0)</f>
        <v>#REF!</v>
      </c>
      <c r="CT249" t="e">
        <f>IF(#REF!,"AAAAAF5u5GE=",0)</f>
        <v>#REF!</v>
      </c>
      <c r="CU249" t="e">
        <f>IF(#REF!,"AAAAAF5u5GI=",0)</f>
        <v>#REF!</v>
      </c>
      <c r="CV249" t="e">
        <f>IF(#REF!,"AAAAAF5u5GM=",0)</f>
        <v>#REF!</v>
      </c>
      <c r="CW249" t="e">
        <f>IF(#REF!,"AAAAAF5u5GQ=",0)</f>
        <v>#REF!</v>
      </c>
      <c r="CX249" t="e">
        <f>IF(#REF!,"AAAAAF5u5GU=",0)</f>
        <v>#REF!</v>
      </c>
      <c r="CY249" t="e">
        <f>IF(#REF!,"AAAAAF5u5GY=",0)</f>
        <v>#REF!</v>
      </c>
      <c r="CZ249" t="e">
        <f>IF(#REF!,"AAAAAF5u5Gc=",0)</f>
        <v>#REF!</v>
      </c>
      <c r="DA249" t="e">
        <f>IF(#REF!,"AAAAAF5u5Gg=",0)</f>
        <v>#REF!</v>
      </c>
      <c r="DB249" t="e">
        <f>IF(#REF!,"AAAAAF5u5Gk=",0)</f>
        <v>#REF!</v>
      </c>
      <c r="DC249" t="e">
        <f>IF(#REF!,"AAAAAF5u5Go=",0)</f>
        <v>#REF!</v>
      </c>
      <c r="DD249" t="e">
        <f>IF(#REF!,"AAAAAF5u5Gs=",0)</f>
        <v>#REF!</v>
      </c>
      <c r="DE249" t="e">
        <f>IF(#REF!,"AAAAAF5u5Gw=",0)</f>
        <v>#REF!</v>
      </c>
      <c r="DF249" t="e">
        <f>IF(#REF!,"AAAAAF5u5G0=",0)</f>
        <v>#REF!</v>
      </c>
      <c r="DG249" t="e">
        <f>IF(#REF!,"AAAAAF5u5G4=",0)</f>
        <v>#REF!</v>
      </c>
      <c r="DH249" t="e">
        <f>IF(#REF!,"AAAAAF5u5G8=",0)</f>
        <v>#REF!</v>
      </c>
      <c r="DI249" t="e">
        <f>IF(#REF!,"AAAAAF5u5HA=",0)</f>
        <v>#REF!</v>
      </c>
      <c r="DJ249" t="e">
        <f>IF(#REF!,"AAAAAF5u5HE=",0)</f>
        <v>#REF!</v>
      </c>
      <c r="DK249" t="e">
        <f>IF(#REF!,"AAAAAF5u5HI=",0)</f>
        <v>#REF!</v>
      </c>
      <c r="DL249" t="e">
        <f>IF(#REF!,"AAAAAF5u5HM=",0)</f>
        <v>#REF!</v>
      </c>
      <c r="DM249" t="e">
        <f>IF(#REF!,"AAAAAF5u5HQ=",0)</f>
        <v>#REF!</v>
      </c>
      <c r="DN249" t="e">
        <f>IF(#REF!,"AAAAAF5u5HU=",0)</f>
        <v>#REF!</v>
      </c>
      <c r="DO249" t="e">
        <f>IF(#REF!,"AAAAAF5u5HY=",0)</f>
        <v>#REF!</v>
      </c>
      <c r="DP249" t="e">
        <f>IF(#REF!,"AAAAAF5u5Hc=",0)</f>
        <v>#REF!</v>
      </c>
      <c r="DQ249" t="e">
        <f>IF(#REF!,"AAAAAF5u5Hg=",0)</f>
        <v>#REF!</v>
      </c>
      <c r="DR249" t="e">
        <f>IF(#REF!,"AAAAAF5u5Hk=",0)</f>
        <v>#REF!</v>
      </c>
      <c r="DS249" t="e">
        <f>IF(#REF!,"AAAAAF5u5Ho=",0)</f>
        <v>#REF!</v>
      </c>
      <c r="DT249" t="e">
        <f>IF(#REF!,"AAAAAF5u5Hs=",0)</f>
        <v>#REF!</v>
      </c>
      <c r="DU249" t="e">
        <f>IF(#REF!,"AAAAAF5u5Hw=",0)</f>
        <v>#REF!</v>
      </c>
      <c r="DV249" t="e">
        <f>IF(#REF!,"AAAAAF5u5H0=",0)</f>
        <v>#REF!</v>
      </c>
      <c r="DW249" t="e">
        <f>IF(#REF!,"AAAAAF5u5H4=",0)</f>
        <v>#REF!</v>
      </c>
      <c r="DX249" t="e">
        <f>IF(#REF!,"AAAAAF5u5H8=",0)</f>
        <v>#REF!</v>
      </c>
      <c r="DY249" t="e">
        <f>IF(#REF!,"AAAAAF5u5IA=",0)</f>
        <v>#REF!</v>
      </c>
      <c r="DZ249" t="e">
        <f>IF(#REF!,"AAAAAF5u5IE=",0)</f>
        <v>#REF!</v>
      </c>
      <c r="EA249" t="e">
        <f>IF(#REF!,"AAAAAF5u5II=",0)</f>
        <v>#REF!</v>
      </c>
      <c r="EB249" t="e">
        <f>IF(#REF!,"AAAAAF5u5IM=",0)</f>
        <v>#REF!</v>
      </c>
      <c r="EC249" t="e">
        <f>IF(#REF!,"AAAAAF5u5IQ=",0)</f>
        <v>#REF!</v>
      </c>
      <c r="ED249" t="e">
        <f>IF(#REF!,"AAAAAF5u5IU=",0)</f>
        <v>#REF!</v>
      </c>
      <c r="EE249" t="e">
        <f>IF(#REF!,"AAAAAF5u5IY=",0)</f>
        <v>#REF!</v>
      </c>
      <c r="EF249" t="e">
        <f>IF(#REF!,"AAAAAF5u5Ic=",0)</f>
        <v>#REF!</v>
      </c>
      <c r="EG249" t="e">
        <f>IF(#REF!,"AAAAAF5u5Ig=",0)</f>
        <v>#REF!</v>
      </c>
      <c r="EH249" t="e">
        <f>IF(#REF!,"AAAAAF5u5Ik=",0)</f>
        <v>#REF!</v>
      </c>
      <c r="EI249" t="e">
        <f>IF(#REF!,"AAAAAF5u5Io=",0)</f>
        <v>#REF!</v>
      </c>
      <c r="EJ249" t="e">
        <f>IF(#REF!,"AAAAAF5u5Is=",0)</f>
        <v>#REF!</v>
      </c>
      <c r="EK249" t="e">
        <f>IF(#REF!,"AAAAAF5u5Iw=",0)</f>
        <v>#REF!</v>
      </c>
      <c r="EL249" t="e">
        <f>IF(#REF!,"AAAAAF5u5I0=",0)</f>
        <v>#REF!</v>
      </c>
      <c r="EM249" t="e">
        <f>IF(#REF!,"AAAAAF5u5I4=",0)</f>
        <v>#REF!</v>
      </c>
      <c r="EN249" t="e">
        <f>IF(#REF!,"AAAAAF5u5I8=",0)</f>
        <v>#REF!</v>
      </c>
      <c r="EO249" t="e">
        <f>IF(#REF!,"AAAAAF5u5JA=",0)</f>
        <v>#REF!</v>
      </c>
      <c r="EP249" t="e">
        <f>IF(#REF!,"AAAAAF5u5JE=",0)</f>
        <v>#REF!</v>
      </c>
      <c r="EQ249" t="e">
        <f>IF(#REF!,"AAAAAF5u5JI=",0)</f>
        <v>#REF!</v>
      </c>
      <c r="ER249" t="e">
        <f>IF(#REF!,"AAAAAF5u5JM=",0)</f>
        <v>#REF!</v>
      </c>
      <c r="ES249" t="e">
        <f>IF(#REF!,"AAAAAF5u5JQ=",0)</f>
        <v>#REF!</v>
      </c>
      <c r="ET249" t="e">
        <f>IF(#REF!,"AAAAAF5u5JU=",0)</f>
        <v>#REF!</v>
      </c>
      <c r="EU249" t="e">
        <f>IF(#REF!,"AAAAAF5u5JY=",0)</f>
        <v>#REF!</v>
      </c>
      <c r="EV249" t="e">
        <f>IF(#REF!,"AAAAAF5u5Jc=",0)</f>
        <v>#REF!</v>
      </c>
      <c r="EW249" t="e">
        <f>IF(#REF!,"AAAAAF5u5Jg=",0)</f>
        <v>#REF!</v>
      </c>
      <c r="EX249" t="e">
        <f>IF(#REF!,"AAAAAF5u5Jk=",0)</f>
        <v>#REF!</v>
      </c>
      <c r="EY249" t="e">
        <f>IF(#REF!,"AAAAAF5u5Jo=",0)</f>
        <v>#REF!</v>
      </c>
      <c r="EZ249" t="e">
        <f>IF(#REF!,"AAAAAF5u5Js=",0)</f>
        <v>#REF!</v>
      </c>
      <c r="FA249" t="e">
        <f>IF(#REF!,"AAAAAF5u5Jw=",0)</f>
        <v>#REF!</v>
      </c>
      <c r="FB249" t="e">
        <f>IF(#REF!,"AAAAAF5u5J0=",0)</f>
        <v>#REF!</v>
      </c>
      <c r="FC249" t="e">
        <f>IF(#REF!,"AAAAAF5u5J4=",0)</f>
        <v>#REF!</v>
      </c>
      <c r="FD249" t="e">
        <f>IF(#REF!,"AAAAAF5u5J8=",0)</f>
        <v>#REF!</v>
      </c>
      <c r="FE249" t="e">
        <f>IF(#REF!,"AAAAAF5u5KA=",0)</f>
        <v>#REF!</v>
      </c>
      <c r="FF249" t="e">
        <f>IF(#REF!,"AAAAAF5u5KE=",0)</f>
        <v>#REF!</v>
      </c>
      <c r="FG249" t="e">
        <f>IF(#REF!,"AAAAAF5u5KI=",0)</f>
        <v>#REF!</v>
      </c>
      <c r="FH249" t="e">
        <f>IF(#REF!,"AAAAAF5u5KM=",0)</f>
        <v>#REF!</v>
      </c>
      <c r="FI249" t="e">
        <f>IF(#REF!,"AAAAAF5u5KQ=",0)</f>
        <v>#REF!</v>
      </c>
      <c r="FJ249" t="e">
        <f>IF(#REF!,"AAAAAF5u5KU=",0)</f>
        <v>#REF!</v>
      </c>
      <c r="FK249" t="e">
        <f>IF(#REF!,"AAAAAF5u5KY=",0)</f>
        <v>#REF!</v>
      </c>
      <c r="FL249" t="e">
        <f>IF(#REF!,"AAAAAF5u5Kc=",0)</f>
        <v>#REF!</v>
      </c>
      <c r="FM249" t="e">
        <f>IF(#REF!,"AAAAAF5u5Kg=",0)</f>
        <v>#REF!</v>
      </c>
      <c r="FN249" t="e">
        <f>IF(#REF!,"AAAAAF5u5Kk=",0)</f>
        <v>#REF!</v>
      </c>
      <c r="FO249" t="e">
        <f>IF(#REF!,"AAAAAF5u5Ko=",0)</f>
        <v>#REF!</v>
      </c>
      <c r="FP249" t="e">
        <f>IF(#REF!,"AAAAAF5u5Ks=",0)</f>
        <v>#REF!</v>
      </c>
      <c r="FQ249" t="e">
        <f>IF(#REF!,"AAAAAF5u5Kw=",0)</f>
        <v>#REF!</v>
      </c>
      <c r="FR249" t="e">
        <f>IF(#REF!,"AAAAAF5u5K0=",0)</f>
        <v>#REF!</v>
      </c>
      <c r="FS249" t="e">
        <f>IF(#REF!,"AAAAAF5u5K4=",0)</f>
        <v>#REF!</v>
      </c>
      <c r="FT249" t="e">
        <f>IF(#REF!,"AAAAAF5u5K8=",0)</f>
        <v>#REF!</v>
      </c>
      <c r="FU249" t="e">
        <f>IF(#REF!,"AAAAAF5u5LA=",0)</f>
        <v>#REF!</v>
      </c>
      <c r="FV249" t="e">
        <f>IF(#REF!,"AAAAAF5u5LE=",0)</f>
        <v>#REF!</v>
      </c>
      <c r="FW249" t="e">
        <f>IF(#REF!,"AAAAAF5u5LI=",0)</f>
        <v>#REF!</v>
      </c>
      <c r="FX249" t="e">
        <f>IF(#REF!,"AAAAAF5u5LM=",0)</f>
        <v>#REF!</v>
      </c>
      <c r="FY249" t="e">
        <f>IF(#REF!,"AAAAAF5u5LQ=",0)</f>
        <v>#REF!</v>
      </c>
      <c r="FZ249" t="e">
        <f>IF(#REF!,"AAAAAF5u5LU=",0)</f>
        <v>#REF!</v>
      </c>
      <c r="GA249" t="e">
        <f>IF(#REF!,"AAAAAF5u5LY=",0)</f>
        <v>#REF!</v>
      </c>
      <c r="GB249" t="e">
        <f>IF(#REF!,"AAAAAF5u5Lc=",0)</f>
        <v>#REF!</v>
      </c>
      <c r="GC249" t="e">
        <f>IF(#REF!,"AAAAAF5u5Lg=",0)</f>
        <v>#REF!</v>
      </c>
      <c r="GD249" t="e">
        <f>IF(#REF!,"AAAAAF5u5Lk=",0)</f>
        <v>#REF!</v>
      </c>
      <c r="GE249" t="e">
        <f>IF(#REF!,"AAAAAF5u5Lo=",0)</f>
        <v>#REF!</v>
      </c>
      <c r="GF249" t="e">
        <f>IF(#REF!,"AAAAAF5u5Ls=",0)</f>
        <v>#REF!</v>
      </c>
      <c r="GG249" t="e">
        <f>IF(#REF!,"AAAAAF5u5Lw=",0)</f>
        <v>#REF!</v>
      </c>
      <c r="GH249" t="e">
        <f>IF(#REF!,"AAAAAF5u5L0=",0)</f>
        <v>#REF!</v>
      </c>
      <c r="GI249" t="e">
        <f>IF(#REF!,"AAAAAF5u5L4=",0)</f>
        <v>#REF!</v>
      </c>
      <c r="GJ249" t="e">
        <f>IF(#REF!,"AAAAAF5u5L8=",0)</f>
        <v>#REF!</v>
      </c>
      <c r="GK249" t="e">
        <f>IF(#REF!,"AAAAAF5u5MA=",0)</f>
        <v>#REF!</v>
      </c>
      <c r="GL249" t="e">
        <f>IF(#REF!,"AAAAAF5u5ME=",0)</f>
        <v>#REF!</v>
      </c>
      <c r="GM249" t="e">
        <f>IF(#REF!,"AAAAAF5u5MI=",0)</f>
        <v>#REF!</v>
      </c>
      <c r="GN249" t="e">
        <f>IF(#REF!,"AAAAAF5u5MM=",0)</f>
        <v>#REF!</v>
      </c>
      <c r="GO249" t="e">
        <f>IF(#REF!,"AAAAAF5u5MQ=",0)</f>
        <v>#REF!</v>
      </c>
      <c r="GP249" t="e">
        <f>IF(#REF!,"AAAAAF5u5MU=",0)</f>
        <v>#REF!</v>
      </c>
      <c r="GQ249" t="e">
        <f>IF(#REF!,"AAAAAF5u5MY=",0)</f>
        <v>#REF!</v>
      </c>
      <c r="GR249" t="e">
        <f>IF(#REF!,"AAAAAF5u5Mc=",0)</f>
        <v>#REF!</v>
      </c>
      <c r="GS249" t="e">
        <f>IF(#REF!,"AAAAAF5u5Mg=",0)</f>
        <v>#REF!</v>
      </c>
      <c r="GT249" t="e">
        <f>IF(#REF!,"AAAAAF5u5Mk=",0)</f>
        <v>#REF!</v>
      </c>
      <c r="GU249" t="e">
        <f>IF(#REF!,"AAAAAF5u5Mo=",0)</f>
        <v>#REF!</v>
      </c>
      <c r="GV249" t="e">
        <f>IF(#REF!,"AAAAAF5u5Ms=",0)</f>
        <v>#REF!</v>
      </c>
      <c r="GW249" t="e">
        <f>IF(#REF!,"AAAAAF5u5Mw=",0)</f>
        <v>#REF!</v>
      </c>
      <c r="GX249" t="e">
        <f>IF(#REF!,"AAAAAF5u5M0=",0)</f>
        <v>#REF!</v>
      </c>
      <c r="GY249" t="e">
        <f>IF(#REF!,"AAAAAF5u5M4=",0)</f>
        <v>#REF!</v>
      </c>
      <c r="GZ249" t="e">
        <f>IF(#REF!,"AAAAAF5u5M8=",0)</f>
        <v>#REF!</v>
      </c>
      <c r="HA249" t="e">
        <f>IF(#REF!,"AAAAAF5u5NA=",0)</f>
        <v>#REF!</v>
      </c>
      <c r="HB249" t="e">
        <f>IF(#REF!,"AAAAAF5u5NE=",0)</f>
        <v>#REF!</v>
      </c>
      <c r="HC249" t="e">
        <f>IF(#REF!,"AAAAAF5u5NI=",0)</f>
        <v>#REF!</v>
      </c>
      <c r="HD249" t="e">
        <f>IF(#REF!,"AAAAAF5u5NM=",0)</f>
        <v>#REF!</v>
      </c>
      <c r="HE249" t="e">
        <f>IF(#REF!,"AAAAAF5u5NQ=",0)</f>
        <v>#REF!</v>
      </c>
      <c r="HF249" t="e">
        <f>IF(#REF!,"AAAAAF5u5NU=",0)</f>
        <v>#REF!</v>
      </c>
      <c r="HG249" t="e">
        <f>IF(#REF!,"AAAAAF5u5NY=",0)</f>
        <v>#REF!</v>
      </c>
      <c r="HH249" t="e">
        <f>IF(#REF!,"AAAAAF5u5Nc=",0)</f>
        <v>#REF!</v>
      </c>
      <c r="HI249" t="e">
        <f>IF(#REF!,"AAAAAF5u5Ng=",0)</f>
        <v>#REF!</v>
      </c>
      <c r="HJ249" t="e">
        <f>IF(#REF!,"AAAAAF5u5Nk=",0)</f>
        <v>#REF!</v>
      </c>
      <c r="HK249" t="e">
        <f>IF(#REF!,"AAAAAF5u5No=",0)</f>
        <v>#REF!</v>
      </c>
      <c r="HL249" t="e">
        <f>IF(#REF!,"AAAAAF5u5Ns=",0)</f>
        <v>#REF!</v>
      </c>
      <c r="HM249" t="e">
        <f>IF(#REF!,"AAAAAF5u5Nw=",0)</f>
        <v>#REF!</v>
      </c>
      <c r="HN249" t="e">
        <f>IF(#REF!,"AAAAAF5u5N0=",0)</f>
        <v>#REF!</v>
      </c>
      <c r="HO249" t="e">
        <f>IF(#REF!,"AAAAAF5u5N4=",0)</f>
        <v>#REF!</v>
      </c>
      <c r="HP249" t="e">
        <f>IF(#REF!,"AAAAAF5u5N8=",0)</f>
        <v>#REF!</v>
      </c>
      <c r="HQ249" t="e">
        <f>IF(#REF!,"AAAAAF5u5OA=",0)</f>
        <v>#REF!</v>
      </c>
      <c r="HR249" t="e">
        <f>IF(#REF!,"AAAAAF5u5OE=",0)</f>
        <v>#REF!</v>
      </c>
      <c r="HS249" t="e">
        <f>IF(#REF!,"AAAAAF5u5OI=",0)</f>
        <v>#REF!</v>
      </c>
      <c r="HT249" t="e">
        <f>IF(#REF!,"AAAAAF5u5OM=",0)</f>
        <v>#REF!</v>
      </c>
      <c r="HU249" t="e">
        <f>IF(#REF!,"AAAAAF5u5OQ=",0)</f>
        <v>#REF!</v>
      </c>
      <c r="HV249" t="e">
        <f>IF(#REF!,"AAAAAF5u5OU=",0)</f>
        <v>#REF!</v>
      </c>
      <c r="HW249" t="e">
        <f>IF(#REF!,"AAAAAF5u5OY=",0)</f>
        <v>#REF!</v>
      </c>
      <c r="HX249" t="e">
        <f>IF(#REF!,"AAAAAF5u5Oc=",0)</f>
        <v>#REF!</v>
      </c>
      <c r="HY249" t="e">
        <f>IF(#REF!,"AAAAAF5u5Og=",0)</f>
        <v>#REF!</v>
      </c>
      <c r="HZ249" t="e">
        <f>IF(#REF!,"AAAAAF5u5Ok=",0)</f>
        <v>#REF!</v>
      </c>
      <c r="IA249" t="e">
        <f>IF(#REF!,"AAAAAF5u5Oo=",0)</f>
        <v>#REF!</v>
      </c>
      <c r="IB249" t="e">
        <f>IF(#REF!,"AAAAAF5u5Os=",0)</f>
        <v>#REF!</v>
      </c>
      <c r="IC249" t="e">
        <f>IF(#REF!,"AAAAAF5u5Ow=",0)</f>
        <v>#REF!</v>
      </c>
      <c r="ID249" t="e">
        <f>IF(#REF!,"AAAAAF5u5O0=",0)</f>
        <v>#REF!</v>
      </c>
      <c r="IE249" t="e">
        <f>IF(#REF!,"AAAAAF5u5O4=",0)</f>
        <v>#REF!</v>
      </c>
      <c r="IF249" t="e">
        <f>IF(#REF!,"AAAAAF5u5O8=",0)</f>
        <v>#REF!</v>
      </c>
      <c r="IG249" t="e">
        <f>IF(#REF!,"AAAAAF5u5PA=",0)</f>
        <v>#REF!</v>
      </c>
      <c r="IH249" t="e">
        <f>IF(#REF!,"AAAAAF5u5PE=",0)</f>
        <v>#REF!</v>
      </c>
      <c r="II249" t="e">
        <f>IF(#REF!,"AAAAAF5u5PI=",0)</f>
        <v>#REF!</v>
      </c>
      <c r="IJ249" t="e">
        <f>IF(#REF!,"AAAAAF5u5PM=",0)</f>
        <v>#REF!</v>
      </c>
      <c r="IK249" t="e">
        <f>IF(#REF!,"AAAAAF5u5PQ=",0)</f>
        <v>#REF!</v>
      </c>
      <c r="IL249" t="e">
        <f>IF(#REF!,"AAAAAF5u5PU=",0)</f>
        <v>#REF!</v>
      </c>
      <c r="IM249" t="e">
        <f>IF(#REF!,"AAAAAF5u5PY=",0)</f>
        <v>#REF!</v>
      </c>
      <c r="IN249" t="e">
        <f>IF(#REF!,"AAAAAF5u5Pc=",0)</f>
        <v>#REF!</v>
      </c>
      <c r="IO249" t="e">
        <f>IF(#REF!,"AAAAAF5u5Pg=",0)</f>
        <v>#REF!</v>
      </c>
      <c r="IP249" t="e">
        <f>IF(#REF!,"AAAAAF5u5Pk=",0)</f>
        <v>#REF!</v>
      </c>
      <c r="IQ249" t="e">
        <f>IF(#REF!,"AAAAAF5u5Po=",0)</f>
        <v>#REF!</v>
      </c>
      <c r="IR249" t="e">
        <f>IF(#REF!,"AAAAAF5u5Ps=",0)</f>
        <v>#REF!</v>
      </c>
      <c r="IS249" t="e">
        <f>IF(#REF!,"AAAAAF5u5Pw=",0)</f>
        <v>#REF!</v>
      </c>
      <c r="IT249" t="e">
        <f>IF(#REF!,"AAAAAF5u5P0=",0)</f>
        <v>#REF!</v>
      </c>
      <c r="IU249" t="e">
        <f>IF(#REF!,"AAAAAF5u5P4=",0)</f>
        <v>#REF!</v>
      </c>
      <c r="IV249" t="e">
        <f>IF(#REF!,"AAAAAF5u5P8=",0)</f>
        <v>#REF!</v>
      </c>
    </row>
    <row r="250" spans="1:256">
      <c r="A250" t="e">
        <f>IF(#REF!,"AAAAAF/rtwA=",0)</f>
        <v>#REF!</v>
      </c>
      <c r="B250" t="e">
        <f>IF(#REF!,"AAAAAF/rtwE=",0)</f>
        <v>#REF!</v>
      </c>
      <c r="C250" t="e">
        <f>IF(#REF!,"AAAAAF/rtwI=",0)</f>
        <v>#REF!</v>
      </c>
      <c r="D250" t="e">
        <f>IF(#REF!,"AAAAAF/rtwM=",0)</f>
        <v>#REF!</v>
      </c>
      <c r="E250" t="e">
        <f>IF(#REF!,"AAAAAF/rtwQ=",0)</f>
        <v>#REF!</v>
      </c>
      <c r="F250" t="e">
        <f>IF(#REF!,"AAAAAF/rtwU=",0)</f>
        <v>#REF!</v>
      </c>
      <c r="G250" t="e">
        <f>IF(#REF!,"AAAAAF/rtwY=",0)</f>
        <v>#REF!</v>
      </c>
      <c r="H250" t="e">
        <f>IF(#REF!,"AAAAAF/rtwc=",0)</f>
        <v>#REF!</v>
      </c>
      <c r="I250" t="e">
        <f>IF(#REF!,"AAAAAF/rtwg=",0)</f>
        <v>#REF!</v>
      </c>
      <c r="J250" t="e">
        <f>IF(#REF!,"AAAAAF/rtwk=",0)</f>
        <v>#REF!</v>
      </c>
      <c r="K250" t="e">
        <f>IF(#REF!,"AAAAAF/rtwo=",0)</f>
        <v>#REF!</v>
      </c>
      <c r="L250" t="e">
        <f>IF(#REF!,"AAAAAF/rtws=",0)</f>
        <v>#REF!</v>
      </c>
      <c r="M250" t="e">
        <f>IF(#REF!,"AAAAAF/rtww=",0)</f>
        <v>#REF!</v>
      </c>
      <c r="N250" t="e">
        <f>IF(#REF!,"AAAAAF/rtw0=",0)</f>
        <v>#REF!</v>
      </c>
      <c r="O250" t="e">
        <f>IF(#REF!,"AAAAAF/rtw4=",0)</f>
        <v>#REF!</v>
      </c>
      <c r="P250" t="e">
        <f>IF(#REF!,"AAAAAF/rtw8=",0)</f>
        <v>#REF!</v>
      </c>
      <c r="Q250" t="e">
        <f>IF(#REF!,"AAAAAF/rtxA=",0)</f>
        <v>#REF!</v>
      </c>
      <c r="R250" t="e">
        <f>IF(#REF!,"AAAAAF/rtxE=",0)</f>
        <v>#REF!</v>
      </c>
      <c r="S250" t="e">
        <f>IF(#REF!,"AAAAAF/rtxI=",0)</f>
        <v>#REF!</v>
      </c>
      <c r="T250" t="e">
        <f>IF(#REF!,"AAAAAF/rtxM=",0)</f>
        <v>#REF!</v>
      </c>
      <c r="U250" t="e">
        <f>IF(#REF!,"AAAAAF/rtxQ=",0)</f>
        <v>#REF!</v>
      </c>
      <c r="V250" t="e">
        <f>IF(#REF!,"AAAAAF/rtxU=",0)</f>
        <v>#REF!</v>
      </c>
      <c r="W250" t="e">
        <f>IF(#REF!,"AAAAAF/rtxY=",0)</f>
        <v>#REF!</v>
      </c>
      <c r="X250" t="e">
        <f>IF(#REF!,"AAAAAF/rtxc=",0)</f>
        <v>#REF!</v>
      </c>
      <c r="Y250" t="e">
        <f>IF(#REF!,"AAAAAF/rtxg=",0)</f>
        <v>#REF!</v>
      </c>
      <c r="Z250" t="e">
        <f>IF(#REF!,"AAAAAF/rtxk=",0)</f>
        <v>#REF!</v>
      </c>
      <c r="AA250" t="e">
        <f>IF(#REF!,"AAAAAF/rtxo=",0)</f>
        <v>#REF!</v>
      </c>
      <c r="AB250" t="e">
        <f>IF(#REF!,"AAAAAF/rtxs=",0)</f>
        <v>#REF!</v>
      </c>
      <c r="AC250" t="e">
        <f>IF(#REF!,"AAAAAF/rtxw=",0)</f>
        <v>#REF!</v>
      </c>
      <c r="AD250" t="e">
        <f>IF(#REF!,"AAAAAF/rtx0=",0)</f>
        <v>#REF!</v>
      </c>
      <c r="AE250" t="e">
        <f>IF(#REF!,"AAAAAF/rtx4=",0)</f>
        <v>#REF!</v>
      </c>
      <c r="AF250" t="e">
        <f>IF(#REF!,"AAAAAF/rtx8=",0)</f>
        <v>#REF!</v>
      </c>
      <c r="AG250" t="e">
        <f>IF(#REF!,"AAAAAF/rtyA=",0)</f>
        <v>#REF!</v>
      </c>
      <c r="AH250" t="e">
        <f>IF(#REF!,"AAAAAF/rtyE=",0)</f>
        <v>#REF!</v>
      </c>
      <c r="AI250" t="e">
        <f>IF(#REF!,"AAAAAF/rtyI=",0)</f>
        <v>#REF!</v>
      </c>
      <c r="AJ250" t="e">
        <f>IF(#REF!,"AAAAAF/rtyM=",0)</f>
        <v>#REF!</v>
      </c>
      <c r="AK250" t="e">
        <f>IF(#REF!,"AAAAAF/rtyQ=",0)</f>
        <v>#REF!</v>
      </c>
      <c r="AL250" t="e">
        <f>IF(#REF!,"AAAAAF/rtyU=",0)</f>
        <v>#REF!</v>
      </c>
      <c r="AM250" t="e">
        <f>IF(#REF!,"AAAAAF/rtyY=",0)</f>
        <v>#REF!</v>
      </c>
      <c r="AN250" t="e">
        <f>IF(#REF!,"AAAAAF/rtyc=",0)</f>
        <v>#REF!</v>
      </c>
      <c r="AO250" t="e">
        <f>IF(#REF!,"AAAAAF/rtyg=",0)</f>
        <v>#REF!</v>
      </c>
      <c r="AP250" t="e">
        <f>IF(#REF!,"AAAAAF/rtyk=",0)</f>
        <v>#REF!</v>
      </c>
      <c r="AQ250" t="e">
        <f>IF(#REF!,"AAAAAF/rtyo=",0)</f>
        <v>#REF!</v>
      </c>
      <c r="AR250" t="e">
        <f>IF(#REF!,"AAAAAF/rtys=",0)</f>
        <v>#REF!</v>
      </c>
      <c r="AS250" t="e">
        <f>IF(#REF!,"AAAAAF/rtyw=",0)</f>
        <v>#REF!</v>
      </c>
      <c r="AT250" t="e">
        <f>IF(#REF!,"AAAAAF/rty0=",0)</f>
        <v>#REF!</v>
      </c>
      <c r="AU250" t="e">
        <f>IF(#REF!,"AAAAAF/rty4=",0)</f>
        <v>#REF!</v>
      </c>
      <c r="AV250" t="e">
        <f>IF(#REF!,"AAAAAF/rty8=",0)</f>
        <v>#REF!</v>
      </c>
      <c r="AW250" t="e">
        <f>IF(#REF!,"AAAAAF/rtzA=",0)</f>
        <v>#REF!</v>
      </c>
      <c r="AX250" t="e">
        <f>IF(#REF!,"AAAAAF/rtzE=",0)</f>
        <v>#REF!</v>
      </c>
      <c r="AY250" t="e">
        <f>IF(#REF!,"AAAAAF/rtzI=",0)</f>
        <v>#REF!</v>
      </c>
      <c r="AZ250" t="e">
        <f>IF(#REF!,"AAAAAF/rtzM=",0)</f>
        <v>#REF!</v>
      </c>
      <c r="BA250" t="e">
        <f>IF(#REF!,"AAAAAF/rtzQ=",0)</f>
        <v>#REF!</v>
      </c>
      <c r="BB250" t="e">
        <f>IF(#REF!,"AAAAAF/rtzU=",0)</f>
        <v>#REF!</v>
      </c>
      <c r="BC250" t="e">
        <f>IF(#REF!,"AAAAAF/rtzY=",0)</f>
        <v>#REF!</v>
      </c>
      <c r="BD250" t="e">
        <f>IF(#REF!,"AAAAAF/rtzc=",0)</f>
        <v>#REF!</v>
      </c>
      <c r="BE250" t="e">
        <f>IF(#REF!,"AAAAAF/rtzg=",0)</f>
        <v>#REF!</v>
      </c>
      <c r="BF250" t="e">
        <f>IF(#REF!,"AAAAAF/rtzk=",0)</f>
        <v>#REF!</v>
      </c>
      <c r="BG250" t="e">
        <f>IF(#REF!,"AAAAAF/rtzo=",0)</f>
        <v>#REF!</v>
      </c>
      <c r="BH250" t="e">
        <f>IF(#REF!,"AAAAAF/rtzs=",0)</f>
        <v>#REF!</v>
      </c>
      <c r="BI250" t="e">
        <f>IF(#REF!,"AAAAAF/rtzw=",0)</f>
        <v>#REF!</v>
      </c>
      <c r="BJ250" t="e">
        <f>IF(#REF!,"AAAAAF/rtz0=",0)</f>
        <v>#REF!</v>
      </c>
      <c r="BK250" t="e">
        <f>IF(#REF!,"AAAAAF/rtz4=",0)</f>
        <v>#REF!</v>
      </c>
      <c r="BL250" t="e">
        <f>IF(#REF!,"AAAAAF/rtz8=",0)</f>
        <v>#REF!</v>
      </c>
      <c r="BM250" t="e">
        <f>IF(#REF!,"AAAAAF/rt0A=",0)</f>
        <v>#REF!</v>
      </c>
      <c r="BN250" t="e">
        <f>IF(#REF!,"AAAAAF/rt0E=",0)</f>
        <v>#REF!</v>
      </c>
      <c r="BO250" t="e">
        <f>IF(#REF!,"AAAAAF/rt0I=",0)</f>
        <v>#REF!</v>
      </c>
      <c r="BP250" t="e">
        <f>IF(#REF!,"AAAAAF/rt0M=",0)</f>
        <v>#REF!</v>
      </c>
      <c r="BQ250" t="e">
        <f>IF(#REF!,"AAAAAF/rt0Q=",0)</f>
        <v>#REF!</v>
      </c>
      <c r="BR250" t="e">
        <f>IF(#REF!,"AAAAAF/rt0U=",0)</f>
        <v>#REF!</v>
      </c>
      <c r="BS250" t="e">
        <f>IF(#REF!,"AAAAAF/rt0Y=",0)</f>
        <v>#REF!</v>
      </c>
      <c r="BT250" t="e">
        <f>IF(#REF!,"AAAAAF/rt0c=",0)</f>
        <v>#REF!</v>
      </c>
      <c r="BU250" t="e">
        <f>IF(#REF!,"AAAAAF/rt0g=",0)</f>
        <v>#REF!</v>
      </c>
      <c r="BV250" t="e">
        <f>IF(#REF!,"AAAAAF/rt0k=",0)</f>
        <v>#REF!</v>
      </c>
      <c r="BW250" t="e">
        <f>IF(#REF!,"AAAAAF/rt0o=",0)</f>
        <v>#REF!</v>
      </c>
      <c r="BX250" t="e">
        <f>IF(#REF!,"AAAAAF/rt0s=",0)</f>
        <v>#REF!</v>
      </c>
      <c r="BY250" t="e">
        <f>IF(#REF!,"AAAAAF/rt0w=",0)</f>
        <v>#REF!</v>
      </c>
      <c r="BZ250" t="e">
        <f>IF(#REF!,"AAAAAF/rt00=",0)</f>
        <v>#REF!</v>
      </c>
      <c r="CA250" t="e">
        <f>IF(#REF!,"AAAAAF/rt04=",0)</f>
        <v>#REF!</v>
      </c>
      <c r="CB250" t="e">
        <f>IF(#REF!,"AAAAAF/rt08=",0)</f>
        <v>#REF!</v>
      </c>
      <c r="CC250" t="e">
        <f>IF(#REF!,"AAAAAF/rt1A=",0)</f>
        <v>#REF!</v>
      </c>
      <c r="CD250" t="e">
        <f>IF(#REF!,"AAAAAF/rt1E=",0)</f>
        <v>#REF!</v>
      </c>
      <c r="CE250" t="e">
        <f>IF(#REF!,"AAAAAF/rt1I=",0)</f>
        <v>#REF!</v>
      </c>
      <c r="CF250" t="e">
        <f>IF(#REF!,"AAAAAF/rt1M=",0)</f>
        <v>#REF!</v>
      </c>
      <c r="CG250" t="e">
        <f>IF(#REF!,"AAAAAF/rt1Q=",0)</f>
        <v>#REF!</v>
      </c>
      <c r="CH250" t="e">
        <f>IF(#REF!,"AAAAAF/rt1U=",0)</f>
        <v>#REF!</v>
      </c>
      <c r="CI250" t="e">
        <f>IF(#REF!,"AAAAAF/rt1Y=",0)</f>
        <v>#REF!</v>
      </c>
      <c r="CJ250" t="e">
        <f>IF(#REF!,"AAAAAF/rt1c=",0)</f>
        <v>#REF!</v>
      </c>
      <c r="CK250" t="e">
        <f>IF(#REF!,"AAAAAF/rt1g=",0)</f>
        <v>#REF!</v>
      </c>
      <c r="CL250" t="e">
        <f>IF(#REF!,"AAAAAF/rt1k=",0)</f>
        <v>#REF!</v>
      </c>
      <c r="CM250" t="e">
        <f>IF(#REF!,"AAAAAF/rt1o=",0)</f>
        <v>#REF!</v>
      </c>
      <c r="CN250" t="e">
        <f>IF(#REF!,"AAAAAF/rt1s=",0)</f>
        <v>#REF!</v>
      </c>
      <c r="CO250" t="e">
        <f>IF(#REF!,"AAAAAF/rt1w=",0)</f>
        <v>#REF!</v>
      </c>
      <c r="CP250" t="e">
        <f>IF(#REF!,"AAAAAF/rt10=",0)</f>
        <v>#REF!</v>
      </c>
      <c r="CQ250" t="e">
        <f>IF(#REF!,"AAAAAF/rt14=",0)</f>
        <v>#REF!</v>
      </c>
      <c r="CR250" t="e">
        <f>IF(#REF!,"AAAAAF/rt18=",0)</f>
        <v>#REF!</v>
      </c>
      <c r="CS250" t="e">
        <f>IF(#REF!,"AAAAAF/rt2A=",0)</f>
        <v>#REF!</v>
      </c>
      <c r="CT250" t="e">
        <f>IF(#REF!,"AAAAAF/rt2E=",0)</f>
        <v>#REF!</v>
      </c>
      <c r="CU250" t="e">
        <f>IF(#REF!,"AAAAAF/rt2I=",0)</f>
        <v>#REF!</v>
      </c>
      <c r="CV250" t="e">
        <f>IF(#REF!,"AAAAAF/rt2M=",0)</f>
        <v>#REF!</v>
      </c>
      <c r="CW250" t="e">
        <f>IF(#REF!,"AAAAAF/rt2Q=",0)</f>
        <v>#REF!</v>
      </c>
      <c r="CX250" t="e">
        <f>IF(#REF!,"AAAAAF/rt2U=",0)</f>
        <v>#REF!</v>
      </c>
      <c r="CY250" t="e">
        <f>IF(#REF!,"AAAAAF/rt2Y=",0)</f>
        <v>#REF!</v>
      </c>
      <c r="CZ250" t="e">
        <f>IF(#REF!,"AAAAAF/rt2c=",0)</f>
        <v>#REF!</v>
      </c>
      <c r="DA250" t="e">
        <f>IF(#REF!,"AAAAAF/rt2g=",0)</f>
        <v>#REF!</v>
      </c>
      <c r="DB250" t="e">
        <f>IF(#REF!,"AAAAAF/rt2k=",0)</f>
        <v>#REF!</v>
      </c>
      <c r="DC250" t="e">
        <f>IF(#REF!,"AAAAAF/rt2o=",0)</f>
        <v>#REF!</v>
      </c>
      <c r="DD250" t="e">
        <f>IF(#REF!,"AAAAAF/rt2s=",0)</f>
        <v>#REF!</v>
      </c>
      <c r="DE250" t="e">
        <f>IF(#REF!,"AAAAAF/rt2w=",0)</f>
        <v>#REF!</v>
      </c>
      <c r="DF250" t="e">
        <f>IF(#REF!,"AAAAAF/rt20=",0)</f>
        <v>#REF!</v>
      </c>
      <c r="DG250" t="e">
        <f>IF(#REF!,"AAAAAF/rt24=",0)</f>
        <v>#REF!</v>
      </c>
      <c r="DH250" t="e">
        <f>IF(#REF!,"AAAAAF/rt28=",0)</f>
        <v>#REF!</v>
      </c>
      <c r="DI250" t="e">
        <f>IF(#REF!,"AAAAAF/rt3A=",0)</f>
        <v>#REF!</v>
      </c>
      <c r="DJ250" t="e">
        <f>IF(#REF!,"AAAAAF/rt3E=",0)</f>
        <v>#REF!</v>
      </c>
      <c r="DK250" t="e">
        <f>IF(#REF!,"AAAAAF/rt3I=",0)</f>
        <v>#REF!</v>
      </c>
      <c r="DL250" t="e">
        <f>IF(#REF!,"AAAAAF/rt3M=",0)</f>
        <v>#REF!</v>
      </c>
      <c r="DM250" t="e">
        <f>IF(#REF!,"AAAAAF/rt3Q=",0)</f>
        <v>#REF!</v>
      </c>
      <c r="DN250" t="e">
        <f>IF(#REF!,"AAAAAF/rt3U=",0)</f>
        <v>#REF!</v>
      </c>
      <c r="DO250" t="e">
        <f>IF(#REF!,"AAAAAF/rt3Y=",0)</f>
        <v>#REF!</v>
      </c>
      <c r="DP250" t="e">
        <f>IF(#REF!,"AAAAAF/rt3c=",0)</f>
        <v>#REF!</v>
      </c>
      <c r="DQ250" t="e">
        <f>IF(#REF!,"AAAAAF/rt3g=",0)</f>
        <v>#REF!</v>
      </c>
      <c r="DR250" t="e">
        <f>IF(#REF!,"AAAAAF/rt3k=",0)</f>
        <v>#REF!</v>
      </c>
      <c r="DS250" t="e">
        <f>IF(#REF!,"AAAAAF/rt3o=",0)</f>
        <v>#REF!</v>
      </c>
      <c r="DT250" t="e">
        <f>IF(#REF!,"AAAAAF/rt3s=",0)</f>
        <v>#REF!</v>
      </c>
      <c r="DU250" t="e">
        <f>IF(#REF!,"AAAAAF/rt3w=",0)</f>
        <v>#REF!</v>
      </c>
      <c r="DV250" t="e">
        <f>IF(#REF!,"AAAAAF/rt30=",0)</f>
        <v>#REF!</v>
      </c>
      <c r="DW250" t="e">
        <f>IF(#REF!,"AAAAAF/rt34=",0)</f>
        <v>#REF!</v>
      </c>
      <c r="DX250" t="e">
        <f>IF(#REF!,"AAAAAF/rt38=",0)</f>
        <v>#REF!</v>
      </c>
      <c r="DY250" t="e">
        <f>IF(#REF!,"AAAAAF/rt4A=",0)</f>
        <v>#REF!</v>
      </c>
      <c r="DZ250" t="e">
        <f>IF(#REF!,"AAAAAF/rt4E=",0)</f>
        <v>#REF!</v>
      </c>
      <c r="EA250" t="e">
        <f>IF(#REF!,"AAAAAF/rt4I=",0)</f>
        <v>#REF!</v>
      </c>
      <c r="EB250" t="e">
        <f>IF(#REF!,"AAAAAF/rt4M=",0)</f>
        <v>#REF!</v>
      </c>
      <c r="EC250" t="e">
        <f>IF(#REF!,"AAAAAF/rt4Q=",0)</f>
        <v>#REF!</v>
      </c>
      <c r="ED250" t="e">
        <f>IF(#REF!,"AAAAAF/rt4U=",0)</f>
        <v>#REF!</v>
      </c>
      <c r="EE250" t="e">
        <f>IF(#REF!,"AAAAAF/rt4Y=",0)</f>
        <v>#REF!</v>
      </c>
      <c r="EF250" t="e">
        <f>IF(#REF!,"AAAAAF/rt4c=",0)</f>
        <v>#REF!</v>
      </c>
      <c r="EG250" t="e">
        <f>IF(#REF!,"AAAAAF/rt4g=",0)</f>
        <v>#REF!</v>
      </c>
      <c r="EH250" t="e">
        <f>IF(#REF!,"AAAAAF/rt4k=",0)</f>
        <v>#REF!</v>
      </c>
      <c r="EI250" t="e">
        <f>IF(#REF!,"AAAAAF/rt4o=",0)</f>
        <v>#REF!</v>
      </c>
      <c r="EJ250" t="e">
        <f>IF(#REF!,"AAAAAF/rt4s=",0)</f>
        <v>#REF!</v>
      </c>
      <c r="EK250" t="e">
        <f>IF(#REF!,"AAAAAF/rt4w=",0)</f>
        <v>#REF!</v>
      </c>
      <c r="EL250" t="e">
        <f>IF(#REF!,"AAAAAF/rt40=",0)</f>
        <v>#REF!</v>
      </c>
      <c r="EM250" t="e">
        <f>IF(#REF!,"AAAAAF/rt44=",0)</f>
        <v>#REF!</v>
      </c>
      <c r="EN250" t="e">
        <f>IF(#REF!,"AAAAAF/rt48=",0)</f>
        <v>#REF!</v>
      </c>
      <c r="EO250" t="e">
        <f>IF(#REF!,"AAAAAF/rt5A=",0)</f>
        <v>#REF!</v>
      </c>
      <c r="EP250" t="e">
        <f>IF(#REF!,"AAAAAF/rt5E=",0)</f>
        <v>#REF!</v>
      </c>
      <c r="EQ250" t="e">
        <f>IF(#REF!,"AAAAAF/rt5I=",0)</f>
        <v>#REF!</v>
      </c>
      <c r="ER250" t="e">
        <f>IF(#REF!,"AAAAAF/rt5M=",0)</f>
        <v>#REF!</v>
      </c>
      <c r="ES250" t="e">
        <f>IF(#REF!,"AAAAAF/rt5Q=",0)</f>
        <v>#REF!</v>
      </c>
      <c r="ET250" t="e">
        <f>IF(#REF!,"AAAAAF/rt5U=",0)</f>
        <v>#REF!</v>
      </c>
      <c r="EU250" t="e">
        <f>IF(#REF!,"AAAAAF/rt5Y=",0)</f>
        <v>#REF!</v>
      </c>
      <c r="EV250" t="e">
        <f>IF(#REF!,"AAAAAF/rt5c=",0)</f>
        <v>#REF!</v>
      </c>
      <c r="EW250" t="e">
        <f>IF(#REF!,"AAAAAF/rt5g=",0)</f>
        <v>#REF!</v>
      </c>
      <c r="EX250" t="e">
        <f>IF(#REF!,"AAAAAF/rt5k=",0)</f>
        <v>#REF!</v>
      </c>
      <c r="EY250" t="e">
        <f>IF(#REF!,"AAAAAF/rt5o=",0)</f>
        <v>#REF!</v>
      </c>
      <c r="EZ250" t="e">
        <f>IF(#REF!,"AAAAAF/rt5s=",0)</f>
        <v>#REF!</v>
      </c>
      <c r="FA250" t="e">
        <f>IF(#REF!,"AAAAAF/rt5w=",0)</f>
        <v>#REF!</v>
      </c>
      <c r="FB250" t="e">
        <f>IF(#REF!,"AAAAAF/rt50=",0)</f>
        <v>#REF!</v>
      </c>
      <c r="FC250" t="e">
        <f>IF(#REF!,"AAAAAF/rt54=",0)</f>
        <v>#REF!</v>
      </c>
      <c r="FD250" t="e">
        <f>IF(#REF!,"AAAAAF/rt58=",0)</f>
        <v>#REF!</v>
      </c>
      <c r="FE250" t="e">
        <f>IF(#REF!,"AAAAAF/rt6A=",0)</f>
        <v>#REF!</v>
      </c>
      <c r="FF250" t="e">
        <f>IF(#REF!,"AAAAAF/rt6E=",0)</f>
        <v>#REF!</v>
      </c>
      <c r="FG250" t="e">
        <f>IF(#REF!,"AAAAAF/rt6I=",0)</f>
        <v>#REF!</v>
      </c>
      <c r="FH250" t="e">
        <f>IF(#REF!,"AAAAAF/rt6M=",0)</f>
        <v>#REF!</v>
      </c>
      <c r="FI250" t="e">
        <f>IF(#REF!,"AAAAAF/rt6Q=",0)</f>
        <v>#REF!</v>
      </c>
      <c r="FJ250" t="e">
        <f>IF(#REF!,"AAAAAF/rt6U=",0)</f>
        <v>#REF!</v>
      </c>
      <c r="FK250" t="e">
        <f>IF(#REF!,"AAAAAF/rt6Y=",0)</f>
        <v>#REF!</v>
      </c>
      <c r="FL250" t="e">
        <f>IF(#REF!,"AAAAAF/rt6c=",0)</f>
        <v>#REF!</v>
      </c>
      <c r="FM250" t="e">
        <f>IF(#REF!,"AAAAAF/rt6g=",0)</f>
        <v>#REF!</v>
      </c>
      <c r="FN250" t="e">
        <f>IF(#REF!,"AAAAAF/rt6k=",0)</f>
        <v>#REF!</v>
      </c>
      <c r="FO250" t="e">
        <f>IF(#REF!,"AAAAAF/rt6o=",0)</f>
        <v>#REF!</v>
      </c>
      <c r="FP250" t="e">
        <f>IF(#REF!,"AAAAAF/rt6s=",0)</f>
        <v>#REF!</v>
      </c>
      <c r="FQ250" t="e">
        <f>IF(#REF!,"AAAAAF/rt6w=",0)</f>
        <v>#REF!</v>
      </c>
      <c r="FR250" t="e">
        <f>IF(#REF!,"AAAAAF/rt60=",0)</f>
        <v>#REF!</v>
      </c>
      <c r="FS250" t="e">
        <f>IF(#REF!,"AAAAAF/rt64=",0)</f>
        <v>#REF!</v>
      </c>
      <c r="FT250" t="e">
        <f>IF(#REF!,"AAAAAF/rt68=",0)</f>
        <v>#REF!</v>
      </c>
      <c r="FU250" t="e">
        <f>IF(#REF!,"AAAAAF/rt7A=",0)</f>
        <v>#REF!</v>
      </c>
      <c r="FV250" t="e">
        <f>IF(#REF!,"AAAAAF/rt7E=",0)</f>
        <v>#REF!</v>
      </c>
      <c r="FW250" t="e">
        <f>IF(#REF!,"AAAAAF/rt7I=",0)</f>
        <v>#REF!</v>
      </c>
      <c r="FX250" t="e">
        <f>IF(#REF!,"AAAAAF/rt7M=",0)</f>
        <v>#REF!</v>
      </c>
      <c r="FY250" t="e">
        <f>IF(#REF!,"AAAAAF/rt7Q=",0)</f>
        <v>#REF!</v>
      </c>
      <c r="FZ250" t="e">
        <f>IF(#REF!,"AAAAAF/rt7U=",0)</f>
        <v>#REF!</v>
      </c>
      <c r="GA250" t="e">
        <f>IF(#REF!,"AAAAAF/rt7Y=",0)</f>
        <v>#REF!</v>
      </c>
      <c r="GB250" t="e">
        <f>IF(#REF!,"AAAAAF/rt7c=",0)</f>
        <v>#REF!</v>
      </c>
      <c r="GC250" t="e">
        <f>IF(#REF!,"AAAAAF/rt7g=",0)</f>
        <v>#REF!</v>
      </c>
      <c r="GD250" t="e">
        <f>IF(#REF!,"AAAAAF/rt7k=",0)</f>
        <v>#REF!</v>
      </c>
      <c r="GE250" t="e">
        <f>IF(#REF!,"AAAAAF/rt7o=",0)</f>
        <v>#REF!</v>
      </c>
      <c r="GF250" t="e">
        <f>IF(#REF!,"AAAAAF/rt7s=",0)</f>
        <v>#REF!</v>
      </c>
      <c r="GG250" t="e">
        <f>IF(#REF!,"AAAAAF/rt7w=",0)</f>
        <v>#REF!</v>
      </c>
      <c r="GH250" t="e">
        <f>IF(#REF!,"AAAAAF/rt70=",0)</f>
        <v>#REF!</v>
      </c>
      <c r="GI250" t="e">
        <f>IF(#REF!,"AAAAAF/rt74=",0)</f>
        <v>#REF!</v>
      </c>
      <c r="GJ250" t="e">
        <f>IF(#REF!,"AAAAAF/rt78=",0)</f>
        <v>#REF!</v>
      </c>
      <c r="GK250" t="e">
        <f>IF(#REF!,"AAAAAF/rt8A=",0)</f>
        <v>#REF!</v>
      </c>
      <c r="GL250" t="e">
        <f>IF(#REF!,"AAAAAF/rt8E=",0)</f>
        <v>#REF!</v>
      </c>
      <c r="GM250" t="e">
        <f>IF(#REF!,"AAAAAF/rt8I=",0)</f>
        <v>#REF!</v>
      </c>
      <c r="GN250" t="e">
        <f>IF(#REF!,"AAAAAF/rt8M=",0)</f>
        <v>#REF!</v>
      </c>
      <c r="GO250" t="e">
        <f>IF(#REF!,"AAAAAF/rt8Q=",0)</f>
        <v>#REF!</v>
      </c>
      <c r="GP250" t="e">
        <f>IF(#REF!,"AAAAAF/rt8U=",0)</f>
        <v>#REF!</v>
      </c>
      <c r="GQ250" t="e">
        <f>IF(#REF!,"AAAAAF/rt8Y=",0)</f>
        <v>#REF!</v>
      </c>
      <c r="GR250" t="e">
        <f>IF(#REF!,"AAAAAF/rt8c=",0)</f>
        <v>#REF!</v>
      </c>
      <c r="GS250" t="e">
        <f>IF(#REF!,"AAAAAF/rt8g=",0)</f>
        <v>#REF!</v>
      </c>
      <c r="GT250" t="e">
        <f>IF(#REF!,"AAAAAF/rt8k=",0)</f>
        <v>#REF!</v>
      </c>
      <c r="GU250" t="e">
        <f>IF(#REF!,"AAAAAF/rt8o=",0)</f>
        <v>#REF!</v>
      </c>
      <c r="GV250" t="e">
        <f>IF(#REF!,"AAAAAF/rt8s=",0)</f>
        <v>#REF!</v>
      </c>
      <c r="GW250" t="e">
        <f>IF(#REF!,"AAAAAF/rt8w=",0)</f>
        <v>#REF!</v>
      </c>
      <c r="GX250" t="e">
        <f>IF(#REF!,"AAAAAF/rt80=",0)</f>
        <v>#REF!</v>
      </c>
      <c r="GY250" t="e">
        <f>IF(#REF!,"AAAAAF/rt84=",0)</f>
        <v>#REF!</v>
      </c>
      <c r="GZ250" t="e">
        <f>IF(#REF!,"AAAAAF/rt88=",0)</f>
        <v>#REF!</v>
      </c>
      <c r="HA250" t="e">
        <f>IF(#REF!,"AAAAAF/rt9A=",0)</f>
        <v>#REF!</v>
      </c>
      <c r="HB250" t="e">
        <f>IF(#REF!,"AAAAAF/rt9E=",0)</f>
        <v>#REF!</v>
      </c>
      <c r="HC250" t="e">
        <f>IF(#REF!,"AAAAAF/rt9I=",0)</f>
        <v>#REF!</v>
      </c>
      <c r="HD250" t="e">
        <f>IF(#REF!,"AAAAAF/rt9M=",0)</f>
        <v>#REF!</v>
      </c>
      <c r="HE250" t="e">
        <f>IF(#REF!,"AAAAAF/rt9Q=",0)</f>
        <v>#REF!</v>
      </c>
      <c r="HF250" t="e">
        <f>IF(#REF!,"AAAAAF/rt9U=",0)</f>
        <v>#REF!</v>
      </c>
      <c r="HG250" t="e">
        <f>IF(#REF!,"AAAAAF/rt9Y=",0)</f>
        <v>#REF!</v>
      </c>
      <c r="HH250" t="e">
        <f>IF(#REF!,"AAAAAF/rt9c=",0)</f>
        <v>#REF!</v>
      </c>
      <c r="HI250" t="e">
        <f>IF(#REF!,"AAAAAF/rt9g=",0)</f>
        <v>#REF!</v>
      </c>
      <c r="HJ250" t="e">
        <f>IF(#REF!,"AAAAAF/rt9k=",0)</f>
        <v>#REF!</v>
      </c>
      <c r="HK250" t="e">
        <f>IF(#REF!,"AAAAAF/rt9o=",0)</f>
        <v>#REF!</v>
      </c>
      <c r="HL250" t="e">
        <f>IF(#REF!,"AAAAAF/rt9s=",0)</f>
        <v>#REF!</v>
      </c>
      <c r="HM250" t="e">
        <f>IF(#REF!,"AAAAAF/rt9w=",0)</f>
        <v>#REF!</v>
      </c>
      <c r="HN250" t="e">
        <f>IF(#REF!,"AAAAAF/rt90=",0)</f>
        <v>#REF!</v>
      </c>
      <c r="HO250" t="e">
        <f>IF(#REF!,"AAAAAF/rt94=",0)</f>
        <v>#REF!</v>
      </c>
      <c r="HP250" t="e">
        <f>IF(#REF!,"AAAAAF/rt98=",0)</f>
        <v>#REF!</v>
      </c>
      <c r="HQ250" t="e">
        <f>IF(#REF!,"AAAAAF/rt+A=",0)</f>
        <v>#REF!</v>
      </c>
      <c r="HR250" t="e">
        <f>IF(#REF!,"AAAAAF/rt+E=",0)</f>
        <v>#REF!</v>
      </c>
      <c r="HS250" t="e">
        <f>IF(#REF!,"AAAAAF/rt+I=",0)</f>
        <v>#REF!</v>
      </c>
      <c r="HT250" t="e">
        <f>IF(#REF!,"AAAAAF/rt+M=",0)</f>
        <v>#REF!</v>
      </c>
      <c r="HU250" t="e">
        <f>IF(#REF!,"AAAAAF/rt+Q=",0)</f>
        <v>#REF!</v>
      </c>
      <c r="HV250" t="e">
        <f>IF(#REF!,"AAAAAF/rt+U=",0)</f>
        <v>#REF!</v>
      </c>
      <c r="HW250" t="e">
        <f>IF(#REF!,"AAAAAF/rt+Y=",0)</f>
        <v>#REF!</v>
      </c>
      <c r="HX250" t="e">
        <f>IF(#REF!,"AAAAAF/rt+c=",0)</f>
        <v>#REF!</v>
      </c>
      <c r="HY250" t="e">
        <f>IF(#REF!,"AAAAAF/rt+g=",0)</f>
        <v>#REF!</v>
      </c>
      <c r="HZ250" t="e">
        <f>IF(#REF!,"AAAAAF/rt+k=",0)</f>
        <v>#REF!</v>
      </c>
      <c r="IA250" t="e">
        <f>IF(#REF!,"AAAAAF/rt+o=",0)</f>
        <v>#REF!</v>
      </c>
      <c r="IB250" t="e">
        <f>IF(#REF!,"AAAAAF/rt+s=",0)</f>
        <v>#REF!</v>
      </c>
      <c r="IC250" t="e">
        <f>IF(#REF!,"AAAAAF/rt+w=",0)</f>
        <v>#REF!</v>
      </c>
      <c r="ID250" t="e">
        <f>IF(#REF!,"AAAAAF/rt+0=",0)</f>
        <v>#REF!</v>
      </c>
      <c r="IE250" t="e">
        <f>IF(#REF!,"AAAAAF/rt+4=",0)</f>
        <v>#REF!</v>
      </c>
      <c r="IF250" t="e">
        <f>IF(#REF!,"AAAAAF/rt+8=",0)</f>
        <v>#REF!</v>
      </c>
      <c r="IG250" t="e">
        <f>IF(#REF!,"AAAAAF/rt/A=",0)</f>
        <v>#REF!</v>
      </c>
      <c r="IH250" t="e">
        <f>IF(#REF!,"AAAAAF/rt/E=",0)</f>
        <v>#REF!</v>
      </c>
      <c r="II250" t="e">
        <f>IF(#REF!,"AAAAAF/rt/I=",0)</f>
        <v>#REF!</v>
      </c>
      <c r="IJ250" t="e">
        <f>IF(#REF!,"AAAAAF/rt/M=",0)</f>
        <v>#REF!</v>
      </c>
      <c r="IK250" t="e">
        <f>IF(#REF!,"AAAAAF/rt/Q=",0)</f>
        <v>#REF!</v>
      </c>
      <c r="IL250" t="e">
        <f>IF(#REF!,"AAAAAF/rt/U=",0)</f>
        <v>#REF!</v>
      </c>
      <c r="IM250" t="e">
        <f>IF(#REF!,"AAAAAF/rt/Y=",0)</f>
        <v>#REF!</v>
      </c>
      <c r="IN250" t="e">
        <f>IF(#REF!,"AAAAAF/rt/c=",0)</f>
        <v>#REF!</v>
      </c>
      <c r="IO250" t="e">
        <f>IF(#REF!,"AAAAAF/rt/g=",0)</f>
        <v>#REF!</v>
      </c>
      <c r="IP250" t="e">
        <f>IF(#REF!,"AAAAAF/rt/k=",0)</f>
        <v>#REF!</v>
      </c>
      <c r="IQ250" t="e">
        <f>IF(#REF!,"AAAAAF/rt/o=",0)</f>
        <v>#REF!</v>
      </c>
      <c r="IR250" t="e">
        <f>IF(#REF!,"AAAAAF/rt/s=",0)</f>
        <v>#REF!</v>
      </c>
      <c r="IS250" t="e">
        <f>IF(#REF!,"AAAAAF/rt/w=",0)</f>
        <v>#REF!</v>
      </c>
      <c r="IT250" t="e">
        <f>IF(#REF!,"AAAAAF/rt/0=",0)</f>
        <v>#REF!</v>
      </c>
      <c r="IU250" t="e">
        <f>IF(#REF!,"AAAAAF/rt/4=",0)</f>
        <v>#REF!</v>
      </c>
      <c r="IV250" t="e">
        <f>IF(#REF!,"AAAAAF/rt/8=",0)</f>
        <v>#REF!</v>
      </c>
    </row>
    <row r="251" spans="1:256">
      <c r="A251" t="e">
        <f>IF(#REF!,"AAAAAE8n6AA=",0)</f>
        <v>#REF!</v>
      </c>
      <c r="B251" t="e">
        <f>IF(#REF!,"AAAAAE8n6AE=",0)</f>
        <v>#REF!</v>
      </c>
      <c r="C251" t="e">
        <f>IF(#REF!,"AAAAAE8n6AI=",0)</f>
        <v>#REF!</v>
      </c>
      <c r="D251" t="e">
        <f>IF(#REF!,"AAAAAE8n6AM=",0)</f>
        <v>#REF!</v>
      </c>
      <c r="E251" t="e">
        <f>IF(#REF!,"AAAAAE8n6AQ=",0)</f>
        <v>#REF!</v>
      </c>
      <c r="F251" t="e">
        <f>IF(#REF!,"AAAAAE8n6AU=",0)</f>
        <v>#REF!</v>
      </c>
      <c r="G251" t="e">
        <f>IF(#REF!,"AAAAAE8n6AY=",0)</f>
        <v>#REF!</v>
      </c>
      <c r="H251" t="e">
        <f>IF(#REF!,"AAAAAE8n6Ac=",0)</f>
        <v>#REF!</v>
      </c>
      <c r="I251" t="e">
        <f>IF(#REF!,"AAAAAE8n6Ag=",0)</f>
        <v>#REF!</v>
      </c>
      <c r="J251" t="e">
        <f>IF(#REF!,"AAAAAE8n6Ak=",0)</f>
        <v>#REF!</v>
      </c>
      <c r="K251" t="e">
        <f>IF(#REF!,"AAAAAE8n6Ao=",0)</f>
        <v>#REF!</v>
      </c>
      <c r="L251" t="e">
        <f>IF(#REF!,"AAAAAE8n6As=",0)</f>
        <v>#REF!</v>
      </c>
      <c r="M251" t="e">
        <f>IF(#REF!,"AAAAAE8n6Aw=",0)</f>
        <v>#REF!</v>
      </c>
      <c r="N251" t="e">
        <f>IF(#REF!,"AAAAAE8n6A0=",0)</f>
        <v>#REF!</v>
      </c>
      <c r="O251" t="e">
        <f>IF(#REF!,"AAAAAE8n6A4=",0)</f>
        <v>#REF!</v>
      </c>
      <c r="P251" t="e">
        <f>IF(#REF!,"AAAAAE8n6A8=",0)</f>
        <v>#REF!</v>
      </c>
      <c r="Q251" t="e">
        <f>IF(#REF!,"AAAAAE8n6BA=",0)</f>
        <v>#REF!</v>
      </c>
      <c r="R251" t="e">
        <f>IF(#REF!,"AAAAAE8n6BE=",0)</f>
        <v>#REF!</v>
      </c>
      <c r="S251" t="e">
        <f>IF(#REF!,"AAAAAE8n6BI=",0)</f>
        <v>#REF!</v>
      </c>
      <c r="T251" t="e">
        <f>IF(#REF!,"AAAAAE8n6BM=",0)</f>
        <v>#REF!</v>
      </c>
      <c r="U251" t="e">
        <f>IF(#REF!,"AAAAAE8n6BQ=",0)</f>
        <v>#REF!</v>
      </c>
      <c r="V251" t="e">
        <f>IF(#REF!,"AAAAAE8n6BU=",0)</f>
        <v>#REF!</v>
      </c>
      <c r="W251" t="e">
        <f>IF(#REF!,"AAAAAE8n6BY=",0)</f>
        <v>#REF!</v>
      </c>
      <c r="X251" t="e">
        <f>IF(#REF!,"AAAAAE8n6Bc=",0)</f>
        <v>#REF!</v>
      </c>
      <c r="Y251" t="e">
        <f>IF(#REF!,"AAAAAE8n6Bg=",0)</f>
        <v>#REF!</v>
      </c>
      <c r="Z251" t="e">
        <f>IF(#REF!,"AAAAAE8n6Bk=",0)</f>
        <v>#REF!</v>
      </c>
      <c r="AA251" t="e">
        <f>IF(#REF!,"AAAAAE8n6Bo=",0)</f>
        <v>#REF!</v>
      </c>
      <c r="AB251" t="e">
        <f>IF(#REF!,"AAAAAE8n6Bs=",0)</f>
        <v>#REF!</v>
      </c>
      <c r="AC251" t="e">
        <f>IF(#REF!,"AAAAAE8n6Bw=",0)</f>
        <v>#REF!</v>
      </c>
      <c r="AD251" t="e">
        <f>IF(#REF!,"AAAAAE8n6B0=",0)</f>
        <v>#REF!</v>
      </c>
      <c r="AE251" t="e">
        <f>IF(#REF!,"AAAAAE8n6B4=",0)</f>
        <v>#REF!</v>
      </c>
      <c r="AF251" t="e">
        <f>IF(#REF!,"AAAAAE8n6B8=",0)</f>
        <v>#REF!</v>
      </c>
      <c r="AG251" t="e">
        <f>IF(#REF!,"AAAAAE8n6CA=",0)</f>
        <v>#REF!</v>
      </c>
      <c r="AH251" t="e">
        <f>IF(#REF!,"AAAAAE8n6CE=",0)</f>
        <v>#REF!</v>
      </c>
      <c r="AI251" t="e">
        <f>IF(#REF!,"AAAAAE8n6CI=",0)</f>
        <v>#REF!</v>
      </c>
      <c r="AJ251" t="e">
        <f>IF(#REF!,"AAAAAE8n6CM=",0)</f>
        <v>#REF!</v>
      </c>
      <c r="AK251" t="e">
        <f>IF(#REF!,"AAAAAE8n6CQ=",0)</f>
        <v>#REF!</v>
      </c>
      <c r="AL251" t="e">
        <f>IF(#REF!,"AAAAAE8n6CU=",0)</f>
        <v>#REF!</v>
      </c>
      <c r="AM251" t="e">
        <f>IF(#REF!,"AAAAAE8n6CY=",0)</f>
        <v>#REF!</v>
      </c>
      <c r="AN251" t="e">
        <f>IF(#REF!,"AAAAAE8n6Cc=",0)</f>
        <v>#REF!</v>
      </c>
      <c r="AO251" t="e">
        <f>IF(#REF!,"AAAAAE8n6Cg=",0)</f>
        <v>#REF!</v>
      </c>
      <c r="AP251" t="e">
        <f>IF(#REF!,"AAAAAE8n6Ck=",0)</f>
        <v>#REF!</v>
      </c>
      <c r="AQ251" t="e">
        <f>IF(#REF!,"AAAAAE8n6Co=",0)</f>
        <v>#REF!</v>
      </c>
      <c r="AR251" t="e">
        <f>IF(#REF!,"AAAAAE8n6Cs=",0)</f>
        <v>#REF!</v>
      </c>
      <c r="AS251" t="e">
        <f>IF(#REF!,"AAAAAE8n6Cw=",0)</f>
        <v>#REF!</v>
      </c>
      <c r="AT251" t="e">
        <f>IF(#REF!,"AAAAAE8n6C0=",0)</f>
        <v>#REF!</v>
      </c>
      <c r="AU251" t="e">
        <f>IF(#REF!,"AAAAAE8n6C4=",0)</f>
        <v>#REF!</v>
      </c>
      <c r="AV251" t="e">
        <f>IF(#REF!,"AAAAAE8n6C8=",0)</f>
        <v>#REF!</v>
      </c>
      <c r="AW251" t="e">
        <f>IF(#REF!,"AAAAAE8n6DA=",0)</f>
        <v>#REF!</v>
      </c>
      <c r="AX251" t="e">
        <f>IF(#REF!,"AAAAAE8n6DE=",0)</f>
        <v>#REF!</v>
      </c>
      <c r="AY251" t="e">
        <f>IF(#REF!,"AAAAAE8n6DI=",0)</f>
        <v>#REF!</v>
      </c>
      <c r="AZ251" t="e">
        <f>IF(#REF!,"AAAAAE8n6DM=",0)</f>
        <v>#REF!</v>
      </c>
      <c r="BA251" t="e">
        <f>IF(#REF!,"AAAAAE8n6DQ=",0)</f>
        <v>#REF!</v>
      </c>
      <c r="BB251" t="e">
        <f>IF(#REF!,"AAAAAE8n6DU=",0)</f>
        <v>#REF!</v>
      </c>
      <c r="BC251" t="e">
        <f>IF(#REF!,"AAAAAE8n6DY=",0)</f>
        <v>#REF!</v>
      </c>
      <c r="BD251" t="e">
        <f>IF(#REF!,"AAAAAE8n6Dc=",0)</f>
        <v>#REF!</v>
      </c>
      <c r="BE251" t="e">
        <f>IF(#REF!,"AAAAAE8n6Dg=",0)</f>
        <v>#REF!</v>
      </c>
      <c r="BF251" t="e">
        <f>IF(#REF!,"AAAAAE8n6Dk=",0)</f>
        <v>#REF!</v>
      </c>
      <c r="BG251" t="e">
        <f>IF(#REF!,"AAAAAE8n6Do=",0)</f>
        <v>#REF!</v>
      </c>
      <c r="BH251" t="e">
        <f>IF(#REF!,"AAAAAE8n6Ds=",0)</f>
        <v>#REF!</v>
      </c>
      <c r="BI251" t="e">
        <f>IF(#REF!,"AAAAAE8n6Dw=",0)</f>
        <v>#REF!</v>
      </c>
      <c r="BJ251" t="e">
        <f>IF(#REF!,"AAAAAE8n6D0=",0)</f>
        <v>#REF!</v>
      </c>
      <c r="BK251" t="e">
        <f>IF(#REF!,"AAAAAE8n6D4=",0)</f>
        <v>#REF!</v>
      </c>
      <c r="BL251" t="e">
        <f>IF(#REF!,"AAAAAE8n6D8=",0)</f>
        <v>#REF!</v>
      </c>
      <c r="BM251" t="e">
        <f>IF(#REF!,"AAAAAE8n6EA=",0)</f>
        <v>#REF!</v>
      </c>
      <c r="BN251" t="e">
        <f>IF(#REF!,"AAAAAE8n6EE=",0)</f>
        <v>#REF!</v>
      </c>
      <c r="BO251" t="e">
        <f>IF(#REF!,"AAAAAE8n6EI=",0)</f>
        <v>#REF!</v>
      </c>
      <c r="BP251" t="e">
        <f>IF(#REF!,"AAAAAE8n6EM=",0)</f>
        <v>#REF!</v>
      </c>
      <c r="BQ251" t="e">
        <f>IF(#REF!,"AAAAAE8n6EQ=",0)</f>
        <v>#REF!</v>
      </c>
      <c r="BR251" t="e">
        <f>IF(#REF!,"AAAAAE8n6EU=",0)</f>
        <v>#REF!</v>
      </c>
      <c r="BS251" t="e">
        <f>IF(#REF!,"AAAAAE8n6EY=",0)</f>
        <v>#REF!</v>
      </c>
      <c r="BT251" t="e">
        <f>IF(#REF!,"AAAAAE8n6Ec=",0)</f>
        <v>#REF!</v>
      </c>
      <c r="BU251" t="e">
        <f>IF(#REF!,"AAAAAE8n6Eg=",0)</f>
        <v>#REF!</v>
      </c>
      <c r="BV251" t="e">
        <f>IF(#REF!,"AAAAAE8n6Ek=",0)</f>
        <v>#REF!</v>
      </c>
      <c r="BW251" t="e">
        <f>IF(#REF!,"AAAAAE8n6Eo=",0)</f>
        <v>#REF!</v>
      </c>
      <c r="BX251" t="e">
        <f>IF(#REF!,"AAAAAE8n6Es=",0)</f>
        <v>#REF!</v>
      </c>
      <c r="BY251" t="e">
        <f>IF(#REF!,"AAAAAE8n6Ew=",0)</f>
        <v>#REF!</v>
      </c>
      <c r="BZ251" t="e">
        <f>IF(#REF!,"AAAAAE8n6E0=",0)</f>
        <v>#REF!</v>
      </c>
      <c r="CA251" t="e">
        <f>IF(#REF!,"AAAAAE8n6E4=",0)</f>
        <v>#REF!</v>
      </c>
      <c r="CB251" t="e">
        <f>IF(#REF!,"AAAAAE8n6E8=",0)</f>
        <v>#REF!</v>
      </c>
      <c r="CC251" t="e">
        <f>IF(#REF!,"AAAAAE8n6FA=",0)</f>
        <v>#REF!</v>
      </c>
      <c r="CD251" t="e">
        <f>IF(#REF!,"AAAAAE8n6FE=",0)</f>
        <v>#REF!</v>
      </c>
      <c r="CE251" t="e">
        <f>IF(#REF!,"AAAAAE8n6FI=",0)</f>
        <v>#REF!</v>
      </c>
      <c r="CF251" t="e">
        <f>IF(#REF!,"AAAAAE8n6FM=",0)</f>
        <v>#REF!</v>
      </c>
      <c r="CG251" t="e">
        <f>IF(#REF!,"AAAAAE8n6FQ=",0)</f>
        <v>#REF!</v>
      </c>
      <c r="CH251" t="e">
        <f>IF(#REF!,"AAAAAE8n6FU=",0)</f>
        <v>#REF!</v>
      </c>
      <c r="CI251" t="e">
        <f>IF(#REF!,"AAAAAE8n6FY=",0)</f>
        <v>#REF!</v>
      </c>
      <c r="CJ251" t="e">
        <f>IF(#REF!,"AAAAAE8n6Fc=",0)</f>
        <v>#REF!</v>
      </c>
      <c r="CK251" t="e">
        <f>IF(#REF!,"AAAAAE8n6Fg=",0)</f>
        <v>#REF!</v>
      </c>
      <c r="CL251" t="e">
        <f>IF(#REF!,"AAAAAE8n6Fk=",0)</f>
        <v>#REF!</v>
      </c>
      <c r="CM251" t="e">
        <f>IF(#REF!,"AAAAAE8n6Fo=",0)</f>
        <v>#REF!</v>
      </c>
      <c r="CN251" t="e">
        <f>IF(#REF!,"AAAAAE8n6Fs=",0)</f>
        <v>#REF!</v>
      </c>
      <c r="CO251" t="e">
        <f>IF(#REF!,"AAAAAE8n6Fw=",0)</f>
        <v>#REF!</v>
      </c>
      <c r="CP251" t="e">
        <f>IF(#REF!,"AAAAAE8n6F0=",0)</f>
        <v>#REF!</v>
      </c>
      <c r="CQ251" t="e">
        <f>IF(#REF!,"AAAAAE8n6F4=",0)</f>
        <v>#REF!</v>
      </c>
      <c r="CR251" t="e">
        <f>IF(#REF!,"AAAAAE8n6F8=",0)</f>
        <v>#REF!</v>
      </c>
      <c r="CS251" t="e">
        <f>IF(#REF!,"AAAAAE8n6GA=",0)</f>
        <v>#REF!</v>
      </c>
      <c r="CT251" t="e">
        <f>IF(#REF!,"AAAAAE8n6GE=",0)</f>
        <v>#REF!</v>
      </c>
      <c r="CU251" t="e">
        <f>IF(#REF!,"AAAAAE8n6GI=",0)</f>
        <v>#REF!</v>
      </c>
      <c r="CV251" t="e">
        <f>IF(#REF!,"AAAAAE8n6GM=",0)</f>
        <v>#REF!</v>
      </c>
      <c r="CW251" t="e">
        <f>IF(#REF!,"AAAAAE8n6GQ=",0)</f>
        <v>#REF!</v>
      </c>
      <c r="CX251" t="e">
        <f>IF(#REF!,"AAAAAE8n6GU=",0)</f>
        <v>#REF!</v>
      </c>
      <c r="CY251" t="e">
        <f>IF(#REF!,"AAAAAE8n6GY=",0)</f>
        <v>#REF!</v>
      </c>
      <c r="CZ251" t="e">
        <f>IF(#REF!,"AAAAAE8n6Gc=",0)</f>
        <v>#REF!</v>
      </c>
      <c r="DA251" t="e">
        <f>IF(#REF!,"AAAAAE8n6Gg=",0)</f>
        <v>#REF!</v>
      </c>
      <c r="DB251" t="e">
        <f>IF(#REF!,"AAAAAE8n6Gk=",0)</f>
        <v>#REF!</v>
      </c>
      <c r="DC251" t="e">
        <f>IF(#REF!,"AAAAAE8n6Go=",0)</f>
        <v>#REF!</v>
      </c>
      <c r="DD251" t="e">
        <f>IF(#REF!,"AAAAAE8n6Gs=",0)</f>
        <v>#REF!</v>
      </c>
      <c r="DE251" t="e">
        <f>IF(#REF!,"AAAAAE8n6Gw=",0)</f>
        <v>#REF!</v>
      </c>
      <c r="DF251" t="e">
        <f>IF(#REF!,"AAAAAE8n6G0=",0)</f>
        <v>#REF!</v>
      </c>
      <c r="DG251" t="e">
        <f>IF(#REF!,"AAAAAE8n6G4=",0)</f>
        <v>#REF!</v>
      </c>
      <c r="DH251" t="e">
        <f>IF(#REF!,"AAAAAE8n6G8=",0)</f>
        <v>#REF!</v>
      </c>
      <c r="DI251" t="e">
        <f>IF(#REF!,"AAAAAE8n6HA=",0)</f>
        <v>#REF!</v>
      </c>
      <c r="DJ251" t="e">
        <f>IF(#REF!,"AAAAAE8n6HE=",0)</f>
        <v>#REF!</v>
      </c>
      <c r="DK251" t="e">
        <f>IF(#REF!,"AAAAAE8n6HI=",0)</f>
        <v>#REF!</v>
      </c>
      <c r="DL251" t="e">
        <f>IF(#REF!,"AAAAAE8n6HM=",0)</f>
        <v>#REF!</v>
      </c>
      <c r="DM251" t="e">
        <f>IF(#REF!,"AAAAAE8n6HQ=",0)</f>
        <v>#REF!</v>
      </c>
      <c r="DN251" t="e">
        <f>IF(#REF!,"AAAAAE8n6HU=",0)</f>
        <v>#REF!</v>
      </c>
      <c r="DO251" t="e">
        <f>IF(#REF!,"AAAAAE8n6HY=",0)</f>
        <v>#REF!</v>
      </c>
      <c r="DP251" t="e">
        <f>IF(#REF!,"AAAAAE8n6Hc=",0)</f>
        <v>#REF!</v>
      </c>
      <c r="DQ251" t="e">
        <f>IF(#REF!,"AAAAAE8n6Hg=",0)</f>
        <v>#REF!</v>
      </c>
      <c r="DR251" t="e">
        <f>IF(#REF!,"AAAAAE8n6Hk=",0)</f>
        <v>#REF!</v>
      </c>
      <c r="DS251" t="e">
        <f>IF(#REF!,"AAAAAE8n6Ho=",0)</f>
        <v>#REF!</v>
      </c>
      <c r="DT251" t="e">
        <f>IF(#REF!,"AAAAAE8n6Hs=",0)</f>
        <v>#REF!</v>
      </c>
      <c r="DU251" t="e">
        <f>IF(#REF!,"AAAAAE8n6Hw=",0)</f>
        <v>#REF!</v>
      </c>
      <c r="DV251" t="e">
        <f>IF(#REF!,"AAAAAE8n6H0=",0)</f>
        <v>#REF!</v>
      </c>
      <c r="DW251" t="e">
        <f>IF(#REF!,"AAAAAE8n6H4=",0)</f>
        <v>#REF!</v>
      </c>
      <c r="DX251" t="e">
        <f>IF(#REF!,"AAAAAE8n6H8=",0)</f>
        <v>#REF!</v>
      </c>
      <c r="DY251" t="e">
        <f>IF(#REF!,"AAAAAE8n6IA=",0)</f>
        <v>#REF!</v>
      </c>
      <c r="DZ251" t="e">
        <f>IF(#REF!,"AAAAAE8n6IE=",0)</f>
        <v>#REF!</v>
      </c>
      <c r="EA251" t="e">
        <f>IF(#REF!,"AAAAAE8n6II=",0)</f>
        <v>#REF!</v>
      </c>
      <c r="EB251" t="e">
        <f>IF(#REF!,"AAAAAE8n6IM=",0)</f>
        <v>#REF!</v>
      </c>
      <c r="EC251" t="e">
        <f>IF(#REF!,"AAAAAE8n6IQ=",0)</f>
        <v>#REF!</v>
      </c>
      <c r="ED251" t="e">
        <f>IF(#REF!,"AAAAAE8n6IU=",0)</f>
        <v>#REF!</v>
      </c>
      <c r="EE251" t="e">
        <f>IF(#REF!,"AAAAAE8n6IY=",0)</f>
        <v>#REF!</v>
      </c>
      <c r="EF251" t="e">
        <f>IF(#REF!,"AAAAAE8n6Ic=",0)</f>
        <v>#REF!</v>
      </c>
      <c r="EG251" t="e">
        <f>IF(#REF!,"AAAAAE8n6Ig=",0)</f>
        <v>#REF!</v>
      </c>
      <c r="EH251" t="e">
        <f>IF(#REF!,"AAAAAE8n6Ik=",0)</f>
        <v>#REF!</v>
      </c>
      <c r="EI251" t="e">
        <f>IF(#REF!,"AAAAAE8n6Io=",0)</f>
        <v>#REF!</v>
      </c>
      <c r="EJ251" t="e">
        <f>IF(#REF!,"AAAAAE8n6Is=",0)</f>
        <v>#REF!</v>
      </c>
      <c r="EK251" t="e">
        <f>IF(#REF!,"AAAAAE8n6Iw=",0)</f>
        <v>#REF!</v>
      </c>
      <c r="EL251" t="e">
        <f>IF(#REF!,"AAAAAE8n6I0=",0)</f>
        <v>#REF!</v>
      </c>
      <c r="EM251" t="e">
        <f>IF(#REF!,"AAAAAE8n6I4=",0)</f>
        <v>#REF!</v>
      </c>
      <c r="EN251" t="e">
        <f>IF(#REF!,"AAAAAE8n6I8=",0)</f>
        <v>#REF!</v>
      </c>
      <c r="EO251" t="e">
        <f>IF(#REF!,"AAAAAE8n6JA=",0)</f>
        <v>#REF!</v>
      </c>
      <c r="EP251" t="e">
        <f>IF(#REF!,"AAAAAE8n6JE=",0)</f>
        <v>#REF!</v>
      </c>
      <c r="EQ251" t="e">
        <f>IF(#REF!,"AAAAAE8n6JI=",0)</f>
        <v>#REF!</v>
      </c>
      <c r="ER251" t="e">
        <f>IF(#REF!,"AAAAAE8n6JM=",0)</f>
        <v>#REF!</v>
      </c>
      <c r="ES251" t="e">
        <f>IF(#REF!,"AAAAAE8n6JQ=",0)</f>
        <v>#REF!</v>
      </c>
      <c r="ET251" t="e">
        <f>IF(#REF!,"AAAAAE8n6JU=",0)</f>
        <v>#REF!</v>
      </c>
      <c r="EU251" t="e">
        <f>IF(#REF!,"AAAAAE8n6JY=",0)</f>
        <v>#REF!</v>
      </c>
      <c r="EV251" t="e">
        <f>IF(#REF!,"AAAAAE8n6Jc=",0)</f>
        <v>#REF!</v>
      </c>
      <c r="EW251" t="e">
        <f>IF(#REF!,"AAAAAE8n6Jg=",0)</f>
        <v>#REF!</v>
      </c>
      <c r="EX251" t="e">
        <f>IF(#REF!,"AAAAAE8n6Jk=",0)</f>
        <v>#REF!</v>
      </c>
      <c r="EY251" t="e">
        <f>IF(#REF!,"AAAAAE8n6Jo=",0)</f>
        <v>#REF!</v>
      </c>
      <c r="EZ251" t="e">
        <f>IF(#REF!,"AAAAAE8n6Js=",0)</f>
        <v>#REF!</v>
      </c>
      <c r="FA251" t="e">
        <f>IF(#REF!,"AAAAAE8n6Jw=",0)</f>
        <v>#REF!</v>
      </c>
      <c r="FB251" t="e">
        <f>IF(#REF!,"AAAAAE8n6J0=",0)</f>
        <v>#REF!</v>
      </c>
      <c r="FC251" t="e">
        <f>IF(#REF!,"AAAAAE8n6J4=",0)</f>
        <v>#REF!</v>
      </c>
      <c r="FD251" t="e">
        <f>IF(#REF!,"AAAAAE8n6J8=",0)</f>
        <v>#REF!</v>
      </c>
      <c r="FE251" t="e">
        <f>IF(#REF!,"AAAAAE8n6KA=",0)</f>
        <v>#REF!</v>
      </c>
      <c r="FF251" t="e">
        <f>IF(#REF!,"AAAAAE8n6KE=",0)</f>
        <v>#REF!</v>
      </c>
      <c r="FG251" t="e">
        <f>IF(#REF!,"AAAAAE8n6KI=",0)</f>
        <v>#REF!</v>
      </c>
      <c r="FH251" t="e">
        <f>IF(#REF!,"AAAAAE8n6KM=",0)</f>
        <v>#REF!</v>
      </c>
      <c r="FI251" t="e">
        <f>IF(#REF!,"AAAAAE8n6KQ=",0)</f>
        <v>#REF!</v>
      </c>
      <c r="FJ251" t="e">
        <f>IF(#REF!,"AAAAAE8n6KU=",0)</f>
        <v>#REF!</v>
      </c>
      <c r="FK251" t="e">
        <f>IF(#REF!,"AAAAAE8n6KY=",0)</f>
        <v>#REF!</v>
      </c>
      <c r="FL251" t="e">
        <f>IF(#REF!,"AAAAAE8n6Kc=",0)</f>
        <v>#REF!</v>
      </c>
      <c r="FM251" t="e">
        <f>IF(#REF!,"AAAAAE8n6Kg=",0)</f>
        <v>#REF!</v>
      </c>
      <c r="FN251" t="e">
        <f>IF(#REF!,"AAAAAE8n6Kk=",0)</f>
        <v>#REF!</v>
      </c>
      <c r="FO251" t="e">
        <f>IF(#REF!,"AAAAAE8n6Ko=",0)</f>
        <v>#REF!</v>
      </c>
      <c r="FP251" t="e">
        <f>IF(#REF!,"AAAAAE8n6Ks=",0)</f>
        <v>#REF!</v>
      </c>
      <c r="FQ251" t="e">
        <f>IF(#REF!,"AAAAAE8n6Kw=",0)</f>
        <v>#REF!</v>
      </c>
      <c r="FR251" t="e">
        <f>IF(#REF!,"AAAAAE8n6K0=",0)</f>
        <v>#REF!</v>
      </c>
      <c r="FS251" t="e">
        <f>IF(#REF!,"AAAAAE8n6K4=",0)</f>
        <v>#REF!</v>
      </c>
      <c r="FT251" t="e">
        <f>IF(#REF!,"AAAAAE8n6K8=",0)</f>
        <v>#REF!</v>
      </c>
      <c r="FU251" t="e">
        <f>IF(#REF!,"AAAAAE8n6LA=",0)</f>
        <v>#REF!</v>
      </c>
      <c r="FV251" t="e">
        <f>IF(#REF!,"AAAAAE8n6LE=",0)</f>
        <v>#REF!</v>
      </c>
      <c r="FW251" t="e">
        <f>IF(#REF!,"AAAAAE8n6LI=",0)</f>
        <v>#REF!</v>
      </c>
      <c r="FX251" t="e">
        <f>IF(#REF!,"AAAAAE8n6LM=",0)</f>
        <v>#REF!</v>
      </c>
      <c r="FY251" t="e">
        <f>IF(#REF!,"AAAAAE8n6LQ=",0)</f>
        <v>#REF!</v>
      </c>
      <c r="FZ251" t="e">
        <f>IF(#REF!,"AAAAAE8n6LU=",0)</f>
        <v>#REF!</v>
      </c>
      <c r="GA251" t="e">
        <f>IF(#REF!,"AAAAAE8n6LY=",0)</f>
        <v>#REF!</v>
      </c>
      <c r="GB251" t="e">
        <f>IF(#REF!,"AAAAAE8n6Lc=",0)</f>
        <v>#REF!</v>
      </c>
      <c r="GC251" t="e">
        <f>IF(#REF!,"AAAAAE8n6Lg=",0)</f>
        <v>#REF!</v>
      </c>
      <c r="GD251" t="e">
        <f>IF(#REF!,"AAAAAE8n6Lk=",0)</f>
        <v>#REF!</v>
      </c>
      <c r="GE251" t="e">
        <f>IF(#REF!,"AAAAAE8n6Lo=",0)</f>
        <v>#REF!</v>
      </c>
      <c r="GF251" t="e">
        <f>IF(#REF!,"AAAAAE8n6Ls=",0)</f>
        <v>#REF!</v>
      </c>
      <c r="GG251" t="e">
        <f>IF(#REF!,"AAAAAE8n6Lw=",0)</f>
        <v>#REF!</v>
      </c>
      <c r="GH251" t="e">
        <f>IF(#REF!,"AAAAAE8n6L0=",0)</f>
        <v>#REF!</v>
      </c>
      <c r="GI251" t="e">
        <f>IF(#REF!,"AAAAAE8n6L4=",0)</f>
        <v>#REF!</v>
      </c>
      <c r="GJ251" t="e">
        <f>IF(#REF!,"AAAAAE8n6L8=",0)</f>
        <v>#REF!</v>
      </c>
      <c r="GK251" t="e">
        <f>IF(#REF!,"AAAAAE8n6MA=",0)</f>
        <v>#REF!</v>
      </c>
      <c r="GL251" t="e">
        <f>IF(#REF!,"AAAAAE8n6ME=",0)</f>
        <v>#REF!</v>
      </c>
      <c r="GM251" t="e">
        <f>IF(#REF!,"AAAAAE8n6MI=",0)</f>
        <v>#REF!</v>
      </c>
      <c r="GN251" t="e">
        <f>IF(#REF!,"AAAAAE8n6MM=",0)</f>
        <v>#REF!</v>
      </c>
      <c r="GO251" t="e">
        <f>IF(#REF!,"AAAAAE8n6MQ=",0)</f>
        <v>#REF!</v>
      </c>
      <c r="GP251" t="e">
        <f>IF(#REF!,"AAAAAE8n6MU=",0)</f>
        <v>#REF!</v>
      </c>
      <c r="GQ251" t="e">
        <f>IF(#REF!,"AAAAAE8n6MY=",0)</f>
        <v>#REF!</v>
      </c>
      <c r="GR251" t="e">
        <f>IF(#REF!,"AAAAAE8n6Mc=",0)</f>
        <v>#REF!</v>
      </c>
      <c r="GS251" t="e">
        <f>IF(#REF!,"AAAAAE8n6Mg=",0)</f>
        <v>#REF!</v>
      </c>
      <c r="GT251" t="e">
        <f>IF(#REF!,"AAAAAE8n6Mk=",0)</f>
        <v>#REF!</v>
      </c>
      <c r="GU251" t="e">
        <f>IF(#REF!,"AAAAAE8n6Mo=",0)</f>
        <v>#REF!</v>
      </c>
      <c r="GV251" t="e">
        <f>IF(#REF!,"AAAAAE8n6Ms=",0)</f>
        <v>#REF!</v>
      </c>
      <c r="GW251" t="e">
        <f>IF(#REF!,"AAAAAE8n6Mw=",0)</f>
        <v>#REF!</v>
      </c>
      <c r="GX251" t="e">
        <f>IF(#REF!,"AAAAAE8n6M0=",0)</f>
        <v>#REF!</v>
      </c>
      <c r="GY251" t="e">
        <f>IF(#REF!,"AAAAAE8n6M4=",0)</f>
        <v>#REF!</v>
      </c>
      <c r="GZ251" t="e">
        <f>IF(#REF!,"AAAAAE8n6M8=",0)</f>
        <v>#REF!</v>
      </c>
      <c r="HA251" t="e">
        <f>IF(#REF!,"AAAAAE8n6NA=",0)</f>
        <v>#REF!</v>
      </c>
      <c r="HB251" t="e">
        <f>IF(#REF!,"AAAAAE8n6NE=",0)</f>
        <v>#REF!</v>
      </c>
      <c r="HC251" t="e">
        <f>IF(#REF!,"AAAAAE8n6NI=",0)</f>
        <v>#REF!</v>
      </c>
      <c r="HD251" t="e">
        <f>IF(#REF!,"AAAAAE8n6NM=",0)</f>
        <v>#REF!</v>
      </c>
      <c r="HE251" t="e">
        <f>IF(#REF!,"AAAAAE8n6NQ=",0)</f>
        <v>#REF!</v>
      </c>
      <c r="HF251" t="e">
        <f>IF(#REF!,"AAAAAE8n6NU=",0)</f>
        <v>#REF!</v>
      </c>
      <c r="HG251" t="e">
        <f>IF(#REF!,"AAAAAE8n6NY=",0)</f>
        <v>#REF!</v>
      </c>
      <c r="HH251" t="e">
        <f>IF(#REF!,"AAAAAE8n6Nc=",0)</f>
        <v>#REF!</v>
      </c>
      <c r="HI251" t="e">
        <f>IF(#REF!,"AAAAAE8n6Ng=",0)</f>
        <v>#REF!</v>
      </c>
      <c r="HJ251" t="e">
        <f>IF(#REF!,"AAAAAE8n6Nk=",0)</f>
        <v>#REF!</v>
      </c>
      <c r="HK251" t="e">
        <f>IF(#REF!,"AAAAAE8n6No=",0)</f>
        <v>#REF!</v>
      </c>
      <c r="HL251" t="e">
        <f>IF(#REF!,"AAAAAE8n6Ns=",0)</f>
        <v>#REF!</v>
      </c>
      <c r="HM251" t="e">
        <f>IF(#REF!,"AAAAAE8n6Nw=",0)</f>
        <v>#REF!</v>
      </c>
      <c r="HN251" t="e">
        <f>IF(#REF!,"AAAAAE8n6N0=",0)</f>
        <v>#REF!</v>
      </c>
      <c r="HO251" t="e">
        <f>IF(#REF!,"AAAAAE8n6N4=",0)</f>
        <v>#REF!</v>
      </c>
      <c r="HP251" t="e">
        <f>IF(#REF!,"AAAAAE8n6N8=",0)</f>
        <v>#REF!</v>
      </c>
      <c r="HQ251" t="e">
        <f>IF(#REF!,"AAAAAE8n6OA=",0)</f>
        <v>#REF!</v>
      </c>
      <c r="HR251" t="e">
        <f>IF(#REF!,"AAAAAE8n6OE=",0)</f>
        <v>#REF!</v>
      </c>
      <c r="HS251" t="e">
        <f>IF(#REF!,"AAAAAE8n6OI=",0)</f>
        <v>#REF!</v>
      </c>
      <c r="HT251" t="e">
        <f>IF(#REF!,"AAAAAE8n6OM=",0)</f>
        <v>#REF!</v>
      </c>
      <c r="HU251" t="e">
        <f>IF(#REF!,"AAAAAE8n6OQ=",0)</f>
        <v>#REF!</v>
      </c>
      <c r="HV251" t="e">
        <f>IF(#REF!,"AAAAAE8n6OU=",0)</f>
        <v>#REF!</v>
      </c>
      <c r="HW251" t="e">
        <f>IF(#REF!,"AAAAAE8n6OY=",0)</f>
        <v>#REF!</v>
      </c>
      <c r="HX251" t="e">
        <f>IF(#REF!,"AAAAAE8n6Oc=",0)</f>
        <v>#REF!</v>
      </c>
      <c r="HY251" t="e">
        <f>IF(#REF!,"AAAAAE8n6Og=",0)</f>
        <v>#REF!</v>
      </c>
      <c r="HZ251" t="e">
        <f>IF(#REF!,"AAAAAE8n6Ok=",0)</f>
        <v>#REF!</v>
      </c>
      <c r="IA251" t="e">
        <f>IF(#REF!,"AAAAAE8n6Oo=",0)</f>
        <v>#REF!</v>
      </c>
      <c r="IB251" t="e">
        <f>IF(#REF!,"AAAAAE8n6Os=",0)</f>
        <v>#REF!</v>
      </c>
      <c r="IC251" t="e">
        <f>IF(#REF!,"AAAAAE8n6Ow=",0)</f>
        <v>#REF!</v>
      </c>
      <c r="ID251" t="e">
        <f>IF(#REF!,"AAAAAE8n6O0=",0)</f>
        <v>#REF!</v>
      </c>
      <c r="IE251" t="e">
        <f>IF(#REF!,"AAAAAE8n6O4=",0)</f>
        <v>#REF!</v>
      </c>
      <c r="IF251" t="e">
        <f>IF(#REF!,"AAAAAE8n6O8=",0)</f>
        <v>#REF!</v>
      </c>
      <c r="IG251" t="e">
        <f>IF(#REF!,"AAAAAE8n6PA=",0)</f>
        <v>#REF!</v>
      </c>
      <c r="IH251" t="e">
        <f>IF(#REF!,"AAAAAE8n6PE=",0)</f>
        <v>#REF!</v>
      </c>
      <c r="II251" t="e">
        <f>IF(#REF!,"AAAAAE8n6PI=",0)</f>
        <v>#REF!</v>
      </c>
      <c r="IJ251" t="e">
        <f>IF(#REF!,"AAAAAE8n6PM=",0)</f>
        <v>#REF!</v>
      </c>
      <c r="IK251" t="e">
        <f>IF(#REF!,"AAAAAE8n6PQ=",0)</f>
        <v>#REF!</v>
      </c>
      <c r="IL251" t="e">
        <f>IF(#REF!,"AAAAAE8n6PU=",0)</f>
        <v>#REF!</v>
      </c>
      <c r="IM251" t="e">
        <f>IF(#REF!,"AAAAAE8n6PY=",0)</f>
        <v>#REF!</v>
      </c>
      <c r="IN251" t="e">
        <f>IF(#REF!,"AAAAAE8n6Pc=",0)</f>
        <v>#REF!</v>
      </c>
      <c r="IO251" t="e">
        <f>IF(#REF!,"AAAAAE8n6Pg=",0)</f>
        <v>#REF!</v>
      </c>
      <c r="IP251" t="e">
        <f>IF(#REF!,"AAAAAE8n6Pk=",0)</f>
        <v>#REF!</v>
      </c>
      <c r="IQ251" t="e">
        <f>IF(#REF!,"AAAAAE8n6Po=",0)</f>
        <v>#REF!</v>
      </c>
      <c r="IR251" t="e">
        <f>IF(#REF!,"AAAAAE8n6Ps=",0)</f>
        <v>#REF!</v>
      </c>
      <c r="IS251" t="e">
        <f>IF(#REF!,"AAAAAE8n6Pw=",0)</f>
        <v>#REF!</v>
      </c>
      <c r="IT251" t="e">
        <f>IF(#REF!,"AAAAAE8n6P0=",0)</f>
        <v>#REF!</v>
      </c>
      <c r="IU251" t="e">
        <f>IF(#REF!,"AAAAAE8n6P4=",0)</f>
        <v>#REF!</v>
      </c>
      <c r="IV251" t="e">
        <f>IF(#REF!,"AAAAAE8n6P8=",0)</f>
        <v>#REF!</v>
      </c>
    </row>
    <row r="252" spans="1:256">
      <c r="A252" t="e">
        <f>IF(#REF!,"AAAAABPr9gA=",0)</f>
        <v>#REF!</v>
      </c>
      <c r="B252" t="e">
        <f>IF(#REF!,"AAAAABPr9gE=",0)</f>
        <v>#REF!</v>
      </c>
      <c r="C252" t="e">
        <f>IF(#REF!,"AAAAABPr9gI=",0)</f>
        <v>#REF!</v>
      </c>
      <c r="D252" t="e">
        <f>IF(#REF!,"AAAAABPr9gM=",0)</f>
        <v>#REF!</v>
      </c>
      <c r="E252" t="e">
        <f>IF(#REF!,"AAAAABPr9gQ=",0)</f>
        <v>#REF!</v>
      </c>
      <c r="F252" t="e">
        <f>IF(#REF!,"AAAAABPr9gU=",0)</f>
        <v>#REF!</v>
      </c>
      <c r="G252" t="e">
        <f>IF(#REF!,"AAAAABPr9gY=",0)</f>
        <v>#REF!</v>
      </c>
      <c r="H252" t="e">
        <f>IF(#REF!,"AAAAABPr9gc=",0)</f>
        <v>#REF!</v>
      </c>
      <c r="I252" t="e">
        <f>IF(#REF!,"AAAAABPr9gg=",0)</f>
        <v>#REF!</v>
      </c>
      <c r="J252" t="e">
        <f>IF(#REF!,"AAAAABPr9gk=",0)</f>
        <v>#REF!</v>
      </c>
      <c r="K252" t="e">
        <f>IF(#REF!,"AAAAABPr9go=",0)</f>
        <v>#REF!</v>
      </c>
      <c r="L252" t="e">
        <f>IF(#REF!,"AAAAABPr9gs=",0)</f>
        <v>#REF!</v>
      </c>
      <c r="M252" t="e">
        <f>IF(#REF!,"AAAAABPr9gw=",0)</f>
        <v>#REF!</v>
      </c>
      <c r="N252" t="e">
        <f>IF(#REF!,"AAAAABPr9g0=",0)</f>
        <v>#REF!</v>
      </c>
      <c r="O252" t="e">
        <f>IF(#REF!,"AAAAABPr9g4=",0)</f>
        <v>#REF!</v>
      </c>
      <c r="P252" t="e">
        <f>IF(#REF!,"AAAAABPr9g8=",0)</f>
        <v>#REF!</v>
      </c>
      <c r="Q252" t="e">
        <f>IF(#REF!,"AAAAABPr9hA=",0)</f>
        <v>#REF!</v>
      </c>
      <c r="R252" t="e">
        <f>IF(#REF!,"AAAAABPr9hE=",0)</f>
        <v>#REF!</v>
      </c>
      <c r="S252" t="e">
        <f>IF(#REF!,"AAAAABPr9hI=",0)</f>
        <v>#REF!</v>
      </c>
      <c r="T252" t="e">
        <f>IF(#REF!,"AAAAABPr9hM=",0)</f>
        <v>#REF!</v>
      </c>
      <c r="U252" t="e">
        <f>IF(#REF!,"AAAAABPr9hQ=",0)</f>
        <v>#REF!</v>
      </c>
      <c r="V252" t="e">
        <f>IF(#REF!,"AAAAABPr9hU=",0)</f>
        <v>#REF!</v>
      </c>
      <c r="W252" t="e">
        <f>IF(#REF!,"AAAAABPr9hY=",0)</f>
        <v>#REF!</v>
      </c>
      <c r="X252" t="e">
        <f>IF(#REF!,"AAAAABPr9hc=",0)</f>
        <v>#REF!</v>
      </c>
      <c r="Y252" t="e">
        <f>IF(#REF!,"AAAAABPr9hg=",0)</f>
        <v>#REF!</v>
      </c>
      <c r="Z252" t="e">
        <f>IF(#REF!,"AAAAABPr9hk=",0)</f>
        <v>#REF!</v>
      </c>
      <c r="AA252" t="e">
        <f>IF(#REF!,"AAAAABPr9ho=",0)</f>
        <v>#REF!</v>
      </c>
      <c r="AB252" t="e">
        <f>IF(#REF!,"AAAAABPr9hs=",0)</f>
        <v>#REF!</v>
      </c>
      <c r="AC252" t="e">
        <f>IF(#REF!,"AAAAABPr9hw=",0)</f>
        <v>#REF!</v>
      </c>
      <c r="AD252" t="e">
        <f>IF(#REF!,"AAAAABPr9h0=",0)</f>
        <v>#REF!</v>
      </c>
      <c r="AE252" t="e">
        <f>IF(#REF!,"AAAAABPr9h4=",0)</f>
        <v>#REF!</v>
      </c>
      <c r="AF252" t="e">
        <f>IF(#REF!,"AAAAABPr9h8=",0)</f>
        <v>#REF!</v>
      </c>
      <c r="AG252" t="e">
        <f>IF(#REF!,"AAAAABPr9iA=",0)</f>
        <v>#REF!</v>
      </c>
      <c r="AH252" t="e">
        <f>IF(#REF!,"AAAAABPr9iE=",0)</f>
        <v>#REF!</v>
      </c>
      <c r="AI252" t="e">
        <f>IF(#REF!,"AAAAABPr9iI=",0)</f>
        <v>#REF!</v>
      </c>
      <c r="AJ252" t="e">
        <f>IF(#REF!,"AAAAABPr9iM=",0)</f>
        <v>#REF!</v>
      </c>
      <c r="AK252" t="e">
        <f>IF(#REF!,"AAAAABPr9iQ=",0)</f>
        <v>#REF!</v>
      </c>
      <c r="AL252" t="e">
        <f>IF(#REF!,"AAAAABPr9iU=",0)</f>
        <v>#REF!</v>
      </c>
      <c r="AM252" t="e">
        <f>IF(#REF!,"AAAAABPr9iY=",0)</f>
        <v>#REF!</v>
      </c>
      <c r="AN252" t="e">
        <f>IF(#REF!,"AAAAABPr9ic=",0)</f>
        <v>#REF!</v>
      </c>
      <c r="AO252" t="e">
        <f>IF(#REF!,"AAAAABPr9ig=",0)</f>
        <v>#REF!</v>
      </c>
      <c r="AP252" t="e">
        <f>IF(#REF!,"AAAAABPr9ik=",0)</f>
        <v>#REF!</v>
      </c>
      <c r="AQ252" t="e">
        <f>IF(#REF!,"AAAAABPr9io=",0)</f>
        <v>#REF!</v>
      </c>
      <c r="AR252" t="e">
        <f>IF(#REF!,"AAAAABPr9is=",0)</f>
        <v>#REF!</v>
      </c>
      <c r="AS252" t="e">
        <f>IF(#REF!,"AAAAABPr9iw=",0)</f>
        <v>#REF!</v>
      </c>
      <c r="AT252" t="e">
        <f>IF(#REF!,"AAAAABPr9i0=",0)</f>
        <v>#REF!</v>
      </c>
      <c r="AU252" t="e">
        <f>IF(#REF!,"AAAAABPr9i4=",0)</f>
        <v>#REF!</v>
      </c>
      <c r="AV252" t="e">
        <f>IF(#REF!,"AAAAABPr9i8=",0)</f>
        <v>#REF!</v>
      </c>
      <c r="AW252" t="e">
        <f>IF(#REF!,"AAAAABPr9jA=",0)</f>
        <v>#REF!</v>
      </c>
      <c r="AX252" t="e">
        <f>IF(#REF!,"AAAAABPr9jE=",0)</f>
        <v>#REF!</v>
      </c>
      <c r="AY252" t="e">
        <f>IF(#REF!,"AAAAABPr9jI=",0)</f>
        <v>#REF!</v>
      </c>
      <c r="AZ252" t="e">
        <f>IF(#REF!,"AAAAABPr9jM=",0)</f>
        <v>#REF!</v>
      </c>
      <c r="BA252" t="e">
        <f>IF(#REF!,"AAAAABPr9jQ=",0)</f>
        <v>#REF!</v>
      </c>
      <c r="BB252" t="e">
        <f>IF(#REF!,"AAAAABPr9jU=",0)</f>
        <v>#REF!</v>
      </c>
      <c r="BC252" t="e">
        <f>IF(#REF!,"AAAAABPr9jY=",0)</f>
        <v>#REF!</v>
      </c>
      <c r="BD252" t="e">
        <f>IF(#REF!,"AAAAABPr9jc=",0)</f>
        <v>#REF!</v>
      </c>
      <c r="BE252" t="e">
        <f>IF(#REF!,"AAAAABPr9jg=",0)</f>
        <v>#REF!</v>
      </c>
      <c r="BF252" t="e">
        <f>IF(#REF!,"AAAAABPr9jk=",0)</f>
        <v>#REF!</v>
      </c>
      <c r="BG252" t="e">
        <f>IF(#REF!,"AAAAABPr9jo=",0)</f>
        <v>#REF!</v>
      </c>
      <c r="BH252" t="e">
        <f>IF(#REF!,"AAAAABPr9js=",0)</f>
        <v>#REF!</v>
      </c>
      <c r="BI252" t="e">
        <f>IF(#REF!,"AAAAABPr9jw=",0)</f>
        <v>#REF!</v>
      </c>
      <c r="BJ252" t="e">
        <f>IF(#REF!,"AAAAABPr9j0=",0)</f>
        <v>#REF!</v>
      </c>
      <c r="BK252" t="e">
        <f>IF(#REF!,"AAAAABPr9j4=",0)</f>
        <v>#REF!</v>
      </c>
      <c r="BL252" t="e">
        <f>IF(#REF!,"AAAAABPr9j8=",0)</f>
        <v>#REF!</v>
      </c>
      <c r="BM252" t="e">
        <f>IF(#REF!,"AAAAABPr9kA=",0)</f>
        <v>#REF!</v>
      </c>
      <c r="BN252" t="e">
        <f>IF(#REF!,"AAAAABPr9kE=",0)</f>
        <v>#REF!</v>
      </c>
      <c r="BO252" t="e">
        <f>IF(#REF!,"AAAAABPr9kI=",0)</f>
        <v>#REF!</v>
      </c>
      <c r="BP252" t="e">
        <f>IF(#REF!,"AAAAABPr9kM=",0)</f>
        <v>#REF!</v>
      </c>
      <c r="BQ252" t="e">
        <f>IF(#REF!,"AAAAABPr9kQ=",0)</f>
        <v>#REF!</v>
      </c>
      <c r="BR252" t="e">
        <f>IF(#REF!,"AAAAABPr9kU=",0)</f>
        <v>#REF!</v>
      </c>
      <c r="BS252" t="e">
        <f>IF(#REF!,"AAAAABPr9kY=",0)</f>
        <v>#REF!</v>
      </c>
      <c r="BT252" t="e">
        <f>IF(#REF!,"AAAAABPr9kc=",0)</f>
        <v>#REF!</v>
      </c>
      <c r="BU252" t="e">
        <f>IF(#REF!,"AAAAABPr9kg=",0)</f>
        <v>#REF!</v>
      </c>
      <c r="BV252" t="e">
        <f>IF(#REF!,"AAAAABPr9kk=",0)</f>
        <v>#REF!</v>
      </c>
      <c r="BW252" t="e">
        <f>IF(#REF!,"AAAAABPr9ko=",0)</f>
        <v>#REF!</v>
      </c>
      <c r="BX252" t="e">
        <f>IF(#REF!,"AAAAABPr9ks=",0)</f>
        <v>#REF!</v>
      </c>
      <c r="BY252" t="e">
        <f>IF(#REF!,"AAAAABPr9kw=",0)</f>
        <v>#REF!</v>
      </c>
      <c r="BZ252" t="e">
        <f>IF(#REF!,"AAAAABPr9k0=",0)</f>
        <v>#REF!</v>
      </c>
      <c r="CA252" t="e">
        <f>IF(#REF!,"AAAAABPr9k4=",0)</f>
        <v>#REF!</v>
      </c>
      <c r="CB252" t="e">
        <f>IF(#REF!,"AAAAABPr9k8=",0)</f>
        <v>#REF!</v>
      </c>
      <c r="CC252" t="e">
        <f>IF(#REF!,"AAAAABPr9lA=",0)</f>
        <v>#REF!</v>
      </c>
      <c r="CD252" t="e">
        <f>IF(#REF!,"AAAAABPr9lE=",0)</f>
        <v>#REF!</v>
      </c>
      <c r="CE252" t="e">
        <f>IF(#REF!,"AAAAABPr9lI=",0)</f>
        <v>#REF!</v>
      </c>
      <c r="CF252" t="e">
        <f>IF(#REF!,"AAAAABPr9lM=",0)</f>
        <v>#REF!</v>
      </c>
      <c r="CG252" t="e">
        <f>IF(#REF!,"AAAAABPr9lQ=",0)</f>
        <v>#REF!</v>
      </c>
      <c r="CH252" t="e">
        <f>IF(#REF!,"AAAAABPr9lU=",0)</f>
        <v>#REF!</v>
      </c>
      <c r="CI252" t="e">
        <f>IF(#REF!,"AAAAABPr9lY=",0)</f>
        <v>#REF!</v>
      </c>
      <c r="CJ252" t="e">
        <f>IF(#REF!,"AAAAABPr9lc=",0)</f>
        <v>#REF!</v>
      </c>
      <c r="CK252" t="e">
        <f>IF(#REF!,"AAAAABPr9lg=",0)</f>
        <v>#REF!</v>
      </c>
      <c r="CL252" t="e">
        <f>IF(#REF!,"AAAAABPr9lk=",0)</f>
        <v>#REF!</v>
      </c>
      <c r="CM252" t="e">
        <f>IF(#REF!,"AAAAABPr9lo=",0)</f>
        <v>#REF!</v>
      </c>
      <c r="CN252" t="e">
        <f>IF(#REF!,"AAAAABPr9ls=",0)</f>
        <v>#REF!</v>
      </c>
      <c r="CO252" t="e">
        <f>IF(#REF!,"AAAAABPr9lw=",0)</f>
        <v>#REF!</v>
      </c>
      <c r="CP252" t="e">
        <f>IF(#REF!,"AAAAABPr9l0=",0)</f>
        <v>#REF!</v>
      </c>
      <c r="CQ252" t="e">
        <f>IF(#REF!,"AAAAABPr9l4=",0)</f>
        <v>#REF!</v>
      </c>
      <c r="CR252" t="e">
        <f>IF(#REF!,"AAAAABPr9l8=",0)</f>
        <v>#REF!</v>
      </c>
      <c r="CS252" t="e">
        <f>IF(#REF!,"AAAAABPr9mA=",0)</f>
        <v>#REF!</v>
      </c>
      <c r="CT252" t="e">
        <f>IF(#REF!,"AAAAABPr9mE=",0)</f>
        <v>#REF!</v>
      </c>
      <c r="CU252" t="e">
        <f>IF(#REF!,"AAAAABPr9mI=",0)</f>
        <v>#REF!</v>
      </c>
      <c r="CV252" t="e">
        <f>IF(#REF!,"AAAAABPr9mM=",0)</f>
        <v>#REF!</v>
      </c>
      <c r="CW252" t="e">
        <f>IF(#REF!,"AAAAABPr9mQ=",0)</f>
        <v>#REF!</v>
      </c>
      <c r="CX252" t="e">
        <f>IF(#REF!,"AAAAABPr9mU=",0)</f>
        <v>#REF!</v>
      </c>
      <c r="CY252" t="e">
        <f>IF(#REF!,"AAAAABPr9mY=",0)</f>
        <v>#REF!</v>
      </c>
      <c r="CZ252" t="e">
        <f>IF(#REF!,"AAAAABPr9mc=",0)</f>
        <v>#REF!</v>
      </c>
      <c r="DA252" t="e">
        <f>IF(#REF!,"AAAAABPr9mg=",0)</f>
        <v>#REF!</v>
      </c>
      <c r="DB252" t="e">
        <f>IF(#REF!,"AAAAABPr9mk=",0)</f>
        <v>#REF!</v>
      </c>
      <c r="DC252" t="e">
        <f>IF(#REF!,"AAAAABPr9mo=",0)</f>
        <v>#REF!</v>
      </c>
      <c r="DD252" t="e">
        <f>IF(#REF!,"AAAAABPr9ms=",0)</f>
        <v>#REF!</v>
      </c>
      <c r="DE252" t="e">
        <f>IF(#REF!,"AAAAABPr9mw=",0)</f>
        <v>#REF!</v>
      </c>
      <c r="DF252" t="e">
        <f>IF(#REF!,"AAAAABPr9m0=",0)</f>
        <v>#REF!</v>
      </c>
      <c r="DG252" t="e">
        <f>IF(#REF!,"AAAAABPr9m4=",0)</f>
        <v>#REF!</v>
      </c>
      <c r="DH252" t="e">
        <f>IF(#REF!,"AAAAABPr9m8=",0)</f>
        <v>#REF!</v>
      </c>
      <c r="DI252" t="e">
        <f>IF(#REF!,"AAAAABPr9nA=",0)</f>
        <v>#REF!</v>
      </c>
      <c r="DJ252" t="e">
        <f>IF(#REF!,"AAAAABPr9nE=",0)</f>
        <v>#REF!</v>
      </c>
      <c r="DK252" t="e">
        <f>IF(#REF!,"AAAAABPr9nI=",0)</f>
        <v>#REF!</v>
      </c>
      <c r="DL252" t="e">
        <f>IF(#REF!,"AAAAABPr9nM=",0)</f>
        <v>#REF!</v>
      </c>
      <c r="DM252" t="e">
        <f>IF(#REF!,"AAAAABPr9nQ=",0)</f>
        <v>#REF!</v>
      </c>
      <c r="DN252" t="e">
        <f>IF(#REF!,"AAAAABPr9nU=",0)</f>
        <v>#REF!</v>
      </c>
      <c r="DO252" t="e">
        <f>IF(#REF!,"AAAAABPr9nY=",0)</f>
        <v>#REF!</v>
      </c>
      <c r="DP252" t="e">
        <f>IF(#REF!,"AAAAABPr9nc=",0)</f>
        <v>#REF!</v>
      </c>
      <c r="DQ252" t="e">
        <f>IF(#REF!,"AAAAABPr9ng=",0)</f>
        <v>#REF!</v>
      </c>
      <c r="DR252" t="e">
        <f>IF(#REF!,"AAAAABPr9nk=",0)</f>
        <v>#REF!</v>
      </c>
      <c r="DS252" t="e">
        <f>IF(#REF!,"AAAAABPr9no=",0)</f>
        <v>#REF!</v>
      </c>
      <c r="DT252" t="e">
        <f>IF(#REF!,"AAAAABPr9ns=",0)</f>
        <v>#REF!</v>
      </c>
      <c r="DU252" t="e">
        <f>IF(#REF!,"AAAAABPr9nw=",0)</f>
        <v>#REF!</v>
      </c>
      <c r="DV252" t="e">
        <f>IF(#REF!,"AAAAABPr9n0=",0)</f>
        <v>#REF!</v>
      </c>
      <c r="DW252" t="e">
        <f>IF(#REF!,"AAAAABPr9n4=",0)</f>
        <v>#REF!</v>
      </c>
      <c r="DX252" t="e">
        <f>IF(#REF!,"AAAAABPr9n8=",0)</f>
        <v>#REF!</v>
      </c>
      <c r="DY252" t="e">
        <f>IF(#REF!,"AAAAABPr9oA=",0)</f>
        <v>#REF!</v>
      </c>
      <c r="DZ252" t="e">
        <f>IF(#REF!,"AAAAABPr9oE=",0)</f>
        <v>#REF!</v>
      </c>
      <c r="EA252" t="e">
        <f>IF(#REF!,"AAAAABPr9oI=",0)</f>
        <v>#REF!</v>
      </c>
      <c r="EB252" t="e">
        <f>IF(#REF!,"AAAAABPr9oM=",0)</f>
        <v>#REF!</v>
      </c>
      <c r="EC252" t="e">
        <f>IF(#REF!,"AAAAABPr9oQ=",0)</f>
        <v>#REF!</v>
      </c>
      <c r="ED252" t="e">
        <f>IF(#REF!,"AAAAABPr9oU=",0)</f>
        <v>#REF!</v>
      </c>
      <c r="EE252" t="e">
        <f>IF(#REF!,"AAAAABPr9oY=",0)</f>
        <v>#REF!</v>
      </c>
      <c r="EF252" t="e">
        <f>IF(#REF!,"AAAAABPr9oc=",0)</f>
        <v>#REF!</v>
      </c>
      <c r="EG252" t="e">
        <f>IF(#REF!,"AAAAABPr9og=",0)</f>
        <v>#REF!</v>
      </c>
      <c r="EH252" t="e">
        <f>IF(#REF!,"AAAAABPr9ok=",0)</f>
        <v>#REF!</v>
      </c>
      <c r="EI252" t="e">
        <f>IF(#REF!,"AAAAABPr9oo=",0)</f>
        <v>#REF!</v>
      </c>
      <c r="EJ252" t="e">
        <f>IF(#REF!,"AAAAABPr9os=",0)</f>
        <v>#REF!</v>
      </c>
      <c r="EK252" t="e">
        <f>IF(#REF!,"AAAAABPr9ow=",0)</f>
        <v>#REF!</v>
      </c>
      <c r="EL252" t="e">
        <f>IF(#REF!,"AAAAABPr9o0=",0)</f>
        <v>#REF!</v>
      </c>
      <c r="EM252" t="e">
        <f>IF(#REF!,"AAAAABPr9o4=",0)</f>
        <v>#REF!</v>
      </c>
      <c r="EN252" t="e">
        <f>IF(#REF!,"AAAAABPr9o8=",0)</f>
        <v>#REF!</v>
      </c>
      <c r="EO252" t="e">
        <f>IF(#REF!,"AAAAABPr9pA=",0)</f>
        <v>#REF!</v>
      </c>
      <c r="EP252" t="e">
        <f>IF(#REF!,"AAAAABPr9pE=",0)</f>
        <v>#REF!</v>
      </c>
      <c r="EQ252" t="e">
        <f>IF(#REF!,"AAAAABPr9pI=",0)</f>
        <v>#REF!</v>
      </c>
      <c r="ER252" t="e">
        <f>IF(#REF!,"AAAAABPr9pM=",0)</f>
        <v>#REF!</v>
      </c>
      <c r="ES252" t="e">
        <f>IF(#REF!,"AAAAABPr9pQ=",0)</f>
        <v>#REF!</v>
      </c>
      <c r="ET252" t="e">
        <f>IF(#REF!,"AAAAABPr9pU=",0)</f>
        <v>#REF!</v>
      </c>
      <c r="EU252" t="e">
        <f>IF(#REF!,"AAAAABPr9pY=",0)</f>
        <v>#REF!</v>
      </c>
      <c r="EV252" t="e">
        <f>IF(#REF!,"AAAAABPr9pc=",0)</f>
        <v>#REF!</v>
      </c>
      <c r="EW252" t="e">
        <f>IF(#REF!,"AAAAABPr9pg=",0)</f>
        <v>#REF!</v>
      </c>
      <c r="EX252" t="e">
        <f>IF(#REF!,"AAAAABPr9pk=",0)</f>
        <v>#REF!</v>
      </c>
      <c r="EY252" t="e">
        <f>IF(#REF!,"AAAAABPr9po=",0)</f>
        <v>#REF!</v>
      </c>
      <c r="EZ252" t="e">
        <f>IF(#REF!,"AAAAABPr9ps=",0)</f>
        <v>#REF!</v>
      </c>
      <c r="FA252" t="e">
        <f>IF(#REF!,"AAAAABPr9pw=",0)</f>
        <v>#REF!</v>
      </c>
      <c r="FB252" t="e">
        <f>IF(#REF!,"AAAAABPr9p0=",0)</f>
        <v>#REF!</v>
      </c>
      <c r="FC252" t="e">
        <f>IF(#REF!,"AAAAABPr9p4=",0)</f>
        <v>#REF!</v>
      </c>
      <c r="FD252" t="e">
        <f>IF(#REF!,"AAAAABPr9p8=",0)</f>
        <v>#REF!</v>
      </c>
      <c r="FE252" t="e">
        <f>IF(#REF!,"AAAAABPr9qA=",0)</f>
        <v>#REF!</v>
      </c>
      <c r="FF252" t="e">
        <f>IF(#REF!,"AAAAABPr9qE=",0)</f>
        <v>#REF!</v>
      </c>
      <c r="FG252" t="e">
        <f>IF(#REF!,"AAAAABPr9qI=",0)</f>
        <v>#REF!</v>
      </c>
      <c r="FH252" t="e">
        <f>IF(#REF!,"AAAAABPr9qM=",0)</f>
        <v>#REF!</v>
      </c>
      <c r="FI252" t="e">
        <f>IF(#REF!,"AAAAABPr9qQ=",0)</f>
        <v>#REF!</v>
      </c>
      <c r="FJ252" t="e">
        <f>IF(#REF!,"AAAAABPr9qU=",0)</f>
        <v>#REF!</v>
      </c>
      <c r="FK252" t="e">
        <f>IF(#REF!,"AAAAABPr9qY=",0)</f>
        <v>#REF!</v>
      </c>
      <c r="FL252" t="e">
        <f>IF(#REF!,"AAAAABPr9qc=",0)</f>
        <v>#REF!</v>
      </c>
      <c r="FM252" t="e">
        <f>IF(#REF!,"AAAAABPr9qg=",0)</f>
        <v>#REF!</v>
      </c>
      <c r="FN252" t="e">
        <f>IF(#REF!,"AAAAABPr9qk=",0)</f>
        <v>#REF!</v>
      </c>
      <c r="FO252" t="e">
        <f>IF(#REF!,"AAAAABPr9qo=",0)</f>
        <v>#REF!</v>
      </c>
      <c r="FP252" t="e">
        <f>IF(#REF!,"AAAAABPr9qs=",0)</f>
        <v>#REF!</v>
      </c>
      <c r="FQ252" t="e">
        <f>IF(#REF!,"AAAAABPr9qw=",0)</f>
        <v>#REF!</v>
      </c>
      <c r="FR252" t="e">
        <f>IF(#REF!,"AAAAABPr9q0=",0)</f>
        <v>#REF!</v>
      </c>
      <c r="FS252" t="e">
        <f>IF(#REF!,"AAAAABPr9q4=",0)</f>
        <v>#REF!</v>
      </c>
      <c r="FT252" t="e">
        <f>IF(#REF!,"AAAAABPr9q8=",0)</f>
        <v>#REF!</v>
      </c>
      <c r="FU252" t="e">
        <f>IF(#REF!,"AAAAABPr9rA=",0)</f>
        <v>#REF!</v>
      </c>
      <c r="FV252" t="e">
        <f>IF(#REF!,"AAAAABPr9rE=",0)</f>
        <v>#REF!</v>
      </c>
      <c r="FW252" t="e">
        <f>IF(#REF!,"AAAAABPr9rI=",0)</f>
        <v>#REF!</v>
      </c>
      <c r="FX252" t="e">
        <f>IF(#REF!,"AAAAABPr9rM=",0)</f>
        <v>#REF!</v>
      </c>
      <c r="FY252" t="e">
        <f>IF(#REF!,"AAAAABPr9rQ=",0)</f>
        <v>#REF!</v>
      </c>
      <c r="FZ252" t="e">
        <f>IF(#REF!,"AAAAABPr9rU=",0)</f>
        <v>#REF!</v>
      </c>
      <c r="GA252" t="e">
        <f>IF(#REF!,"AAAAABPr9rY=",0)</f>
        <v>#REF!</v>
      </c>
      <c r="GB252" t="e">
        <f>IF(#REF!,"AAAAABPr9rc=",0)</f>
        <v>#REF!</v>
      </c>
      <c r="GC252" t="e">
        <f>IF(#REF!,"AAAAABPr9rg=",0)</f>
        <v>#REF!</v>
      </c>
      <c r="GD252" t="e">
        <f>IF(#REF!,"AAAAABPr9rk=",0)</f>
        <v>#REF!</v>
      </c>
      <c r="GE252" t="e">
        <f>IF(#REF!,"AAAAABPr9ro=",0)</f>
        <v>#REF!</v>
      </c>
      <c r="GF252" t="e">
        <f>IF(#REF!,"AAAAABPr9rs=",0)</f>
        <v>#REF!</v>
      </c>
      <c r="GG252" t="e">
        <f>IF(#REF!,"AAAAABPr9rw=",0)</f>
        <v>#REF!</v>
      </c>
      <c r="GH252" t="e">
        <f>IF(#REF!,"AAAAABPr9r0=",0)</f>
        <v>#REF!</v>
      </c>
      <c r="GI252" t="e">
        <f>IF(#REF!,"AAAAABPr9r4=",0)</f>
        <v>#REF!</v>
      </c>
      <c r="GJ252" t="e">
        <f>IF(#REF!,"AAAAABPr9r8=",0)</f>
        <v>#REF!</v>
      </c>
      <c r="GK252" t="e">
        <f>IF(#REF!,"AAAAABPr9sA=",0)</f>
        <v>#REF!</v>
      </c>
      <c r="GL252" t="e">
        <f>IF(#REF!,"AAAAABPr9sE=",0)</f>
        <v>#REF!</v>
      </c>
      <c r="GM252" t="e">
        <f>IF(#REF!,"AAAAABPr9sI=",0)</f>
        <v>#REF!</v>
      </c>
      <c r="GN252" t="e">
        <f>IF(#REF!,"AAAAABPr9sM=",0)</f>
        <v>#REF!</v>
      </c>
      <c r="GO252" t="e">
        <f>IF(#REF!,"AAAAABPr9sQ=",0)</f>
        <v>#REF!</v>
      </c>
      <c r="GP252" t="e">
        <f>IF(#REF!,"AAAAABPr9sU=",0)</f>
        <v>#REF!</v>
      </c>
      <c r="GQ252" t="e">
        <f>IF(#REF!,"AAAAABPr9sY=",0)</f>
        <v>#REF!</v>
      </c>
      <c r="GR252" t="e">
        <f>IF(#REF!,"AAAAABPr9sc=",0)</f>
        <v>#REF!</v>
      </c>
      <c r="GS252" t="e">
        <f>IF(#REF!,"AAAAABPr9sg=",0)</f>
        <v>#REF!</v>
      </c>
      <c r="GT252" t="e">
        <f>IF(#REF!,"AAAAABPr9sk=",0)</f>
        <v>#REF!</v>
      </c>
      <c r="GU252" t="e">
        <f>IF(#REF!,"AAAAABPr9so=",0)</f>
        <v>#REF!</v>
      </c>
      <c r="GV252" t="e">
        <f>IF(#REF!,"AAAAABPr9ss=",0)</f>
        <v>#REF!</v>
      </c>
      <c r="GW252" t="e">
        <f>IF(#REF!,"AAAAABPr9sw=",0)</f>
        <v>#REF!</v>
      </c>
      <c r="GX252" t="e">
        <f>IF(#REF!,"AAAAABPr9s0=",0)</f>
        <v>#REF!</v>
      </c>
      <c r="GY252" t="e">
        <f>IF(#REF!,"AAAAABPr9s4=",0)</f>
        <v>#REF!</v>
      </c>
      <c r="GZ252" t="e">
        <f>IF(#REF!,"AAAAABPr9s8=",0)</f>
        <v>#REF!</v>
      </c>
      <c r="HA252" t="e">
        <f>IF(#REF!,"AAAAABPr9tA=",0)</f>
        <v>#REF!</v>
      </c>
      <c r="HB252" t="e">
        <f>IF(#REF!,"AAAAABPr9tE=",0)</f>
        <v>#REF!</v>
      </c>
      <c r="HC252" t="e">
        <f>IF(#REF!,"AAAAABPr9tI=",0)</f>
        <v>#REF!</v>
      </c>
      <c r="HD252" t="e">
        <f>IF(#REF!,"AAAAABPr9tM=",0)</f>
        <v>#REF!</v>
      </c>
      <c r="HE252" t="e">
        <f>IF(#REF!,"AAAAABPr9tQ=",0)</f>
        <v>#REF!</v>
      </c>
      <c r="HF252" t="e">
        <f>IF(#REF!,"AAAAABPr9tU=",0)</f>
        <v>#REF!</v>
      </c>
      <c r="HG252" t="e">
        <f>IF(#REF!,"AAAAABPr9tY=",0)</f>
        <v>#REF!</v>
      </c>
      <c r="HH252" t="e">
        <f>IF(#REF!,"AAAAABPr9tc=",0)</f>
        <v>#REF!</v>
      </c>
      <c r="HI252" t="e">
        <f>IF(#REF!,"AAAAABPr9tg=",0)</f>
        <v>#REF!</v>
      </c>
      <c r="HJ252" t="e">
        <f>IF(#REF!,"AAAAABPr9tk=",0)</f>
        <v>#REF!</v>
      </c>
      <c r="HK252" t="e">
        <f>IF(#REF!,"AAAAABPr9to=",0)</f>
        <v>#REF!</v>
      </c>
      <c r="HL252" t="e">
        <f>IF(#REF!,"AAAAABPr9ts=",0)</f>
        <v>#REF!</v>
      </c>
      <c r="HM252" t="e">
        <f>IF(#REF!,"AAAAABPr9tw=",0)</f>
        <v>#REF!</v>
      </c>
      <c r="HN252" t="e">
        <f>IF(#REF!,"AAAAABPr9t0=",0)</f>
        <v>#REF!</v>
      </c>
      <c r="HO252" t="e">
        <f>IF(#REF!,"AAAAABPr9t4=",0)</f>
        <v>#REF!</v>
      </c>
      <c r="HP252" t="e">
        <f>IF(#REF!,"AAAAABPr9t8=",0)</f>
        <v>#REF!</v>
      </c>
      <c r="HQ252" t="e">
        <f>IF(#REF!,"AAAAABPr9uA=",0)</f>
        <v>#REF!</v>
      </c>
      <c r="HR252" t="e">
        <f>IF(#REF!,"AAAAABPr9uE=",0)</f>
        <v>#REF!</v>
      </c>
      <c r="HS252" t="e">
        <f>IF(#REF!,"AAAAABPr9uI=",0)</f>
        <v>#REF!</v>
      </c>
      <c r="HT252" t="e">
        <f>IF(#REF!,"AAAAABPr9uM=",0)</f>
        <v>#REF!</v>
      </c>
      <c r="HU252" t="e">
        <f>IF(#REF!,"AAAAABPr9uQ=",0)</f>
        <v>#REF!</v>
      </c>
      <c r="HV252" t="e">
        <f>IF(#REF!,"AAAAABPr9uU=",0)</f>
        <v>#REF!</v>
      </c>
      <c r="HW252" t="e">
        <f>IF(#REF!,"AAAAABPr9uY=",0)</f>
        <v>#REF!</v>
      </c>
      <c r="HX252" t="e">
        <f>IF(#REF!,"AAAAABPr9uc=",0)</f>
        <v>#REF!</v>
      </c>
      <c r="HY252" t="e">
        <f>IF(#REF!,"AAAAABPr9ug=",0)</f>
        <v>#REF!</v>
      </c>
      <c r="HZ252" t="e">
        <f>IF(#REF!,"AAAAABPr9uk=",0)</f>
        <v>#REF!</v>
      </c>
      <c r="IA252" t="e">
        <f>IF(#REF!,"AAAAABPr9uo=",0)</f>
        <v>#REF!</v>
      </c>
      <c r="IB252" t="e">
        <f>IF(#REF!,"AAAAABPr9us=",0)</f>
        <v>#REF!</v>
      </c>
      <c r="IC252" t="e">
        <f>IF(#REF!,"AAAAABPr9uw=",0)</f>
        <v>#REF!</v>
      </c>
      <c r="ID252" t="e">
        <f>IF(#REF!,"AAAAABPr9u0=",0)</f>
        <v>#REF!</v>
      </c>
      <c r="IE252" t="e">
        <f>IF(#REF!,"AAAAABPr9u4=",0)</f>
        <v>#REF!</v>
      </c>
      <c r="IF252" t="e">
        <f>IF(#REF!,"AAAAABPr9u8=",0)</f>
        <v>#REF!</v>
      </c>
      <c r="IG252" t="e">
        <f>IF(#REF!,"AAAAABPr9vA=",0)</f>
        <v>#REF!</v>
      </c>
      <c r="IH252" t="e">
        <f>IF(#REF!,"AAAAABPr9vE=",0)</f>
        <v>#REF!</v>
      </c>
      <c r="II252" t="e">
        <f>IF(#REF!,"AAAAABPr9vI=",0)</f>
        <v>#REF!</v>
      </c>
      <c r="IJ252" t="e">
        <f>IF(#REF!,"AAAAABPr9vM=",0)</f>
        <v>#REF!</v>
      </c>
      <c r="IK252" t="e">
        <f>IF(#REF!,"AAAAABPr9vQ=",0)</f>
        <v>#REF!</v>
      </c>
      <c r="IL252" t="e">
        <f>IF(#REF!,"AAAAABPr9vU=",0)</f>
        <v>#REF!</v>
      </c>
      <c r="IM252" t="e">
        <f>IF(#REF!,"AAAAABPr9vY=",0)</f>
        <v>#REF!</v>
      </c>
      <c r="IN252" t="e">
        <f>IF(#REF!,"AAAAABPr9vc=",0)</f>
        <v>#REF!</v>
      </c>
      <c r="IO252" t="e">
        <f>IF(#REF!,"AAAAABPr9vg=",0)</f>
        <v>#REF!</v>
      </c>
      <c r="IP252" t="e">
        <f>IF(#REF!,"AAAAABPr9vk=",0)</f>
        <v>#REF!</v>
      </c>
      <c r="IQ252" t="e">
        <f>IF(#REF!,"AAAAABPr9vo=",0)</f>
        <v>#REF!</v>
      </c>
      <c r="IR252" t="e">
        <f>IF(#REF!,"AAAAABPr9vs=",0)</f>
        <v>#REF!</v>
      </c>
      <c r="IS252" t="e">
        <f>IF(#REF!,"AAAAABPr9vw=",0)</f>
        <v>#REF!</v>
      </c>
      <c r="IT252" t="e">
        <f>IF(#REF!,"AAAAABPr9v0=",0)</f>
        <v>#REF!</v>
      </c>
      <c r="IU252" t="e">
        <f>IF(#REF!,"AAAAABPr9v4=",0)</f>
        <v>#REF!</v>
      </c>
      <c r="IV252" t="e">
        <f>IF(#REF!,"AAAAABPr9v8=",0)</f>
        <v>#REF!</v>
      </c>
    </row>
    <row r="253" spans="1:256">
      <c r="A253" t="e">
        <f>IF(#REF!,"AAAAACv/uwA=",0)</f>
        <v>#REF!</v>
      </c>
      <c r="B253" t="e">
        <f>IF(#REF!,"AAAAACv/uwE=",0)</f>
        <v>#REF!</v>
      </c>
      <c r="C253" t="e">
        <f>IF(#REF!,"AAAAACv/uwI=",0)</f>
        <v>#REF!</v>
      </c>
      <c r="D253" t="e">
        <f>IF(#REF!,"AAAAACv/uwM=",0)</f>
        <v>#REF!</v>
      </c>
      <c r="E253" t="e">
        <f>IF(#REF!,"AAAAACv/uwQ=",0)</f>
        <v>#REF!</v>
      </c>
      <c r="F253" t="e">
        <f>IF(#REF!,"AAAAACv/uwU=",0)</f>
        <v>#REF!</v>
      </c>
      <c r="G253" t="e">
        <f>IF(#REF!,"AAAAACv/uwY=",0)</f>
        <v>#REF!</v>
      </c>
      <c r="H253" t="e">
        <f>IF(#REF!,"AAAAACv/uwc=",0)</f>
        <v>#REF!</v>
      </c>
      <c r="I253" t="e">
        <f>IF(#REF!,"AAAAACv/uwg=",0)</f>
        <v>#REF!</v>
      </c>
      <c r="J253" t="e">
        <f>IF(#REF!,"AAAAACv/uwk=",0)</f>
        <v>#REF!</v>
      </c>
      <c r="K253" t="e">
        <f>IF(#REF!,"AAAAACv/uwo=",0)</f>
        <v>#REF!</v>
      </c>
      <c r="L253" t="e">
        <f>IF(#REF!,"AAAAACv/uws=",0)</f>
        <v>#REF!</v>
      </c>
      <c r="M253" t="e">
        <f>IF(#REF!,"AAAAACv/uww=",0)</f>
        <v>#REF!</v>
      </c>
      <c r="N253" t="e">
        <f>IF(#REF!,"AAAAACv/uw0=",0)</f>
        <v>#REF!</v>
      </c>
      <c r="O253" t="e">
        <f>IF(#REF!,"AAAAACv/uw4=",0)</f>
        <v>#REF!</v>
      </c>
      <c r="P253" t="e">
        <f>IF(#REF!,"AAAAACv/uw8=",0)</f>
        <v>#REF!</v>
      </c>
      <c r="Q253" t="e">
        <f>IF(#REF!,"AAAAACv/uxA=",0)</f>
        <v>#REF!</v>
      </c>
      <c r="R253" t="e">
        <f>IF(#REF!,"AAAAACv/uxE=",0)</f>
        <v>#REF!</v>
      </c>
      <c r="S253" t="e">
        <f>IF(#REF!,"AAAAACv/uxI=",0)</f>
        <v>#REF!</v>
      </c>
      <c r="T253" t="e">
        <f>IF(#REF!,"AAAAACv/uxM=",0)</f>
        <v>#REF!</v>
      </c>
      <c r="U253" t="e">
        <f>IF(#REF!,"AAAAACv/uxQ=",0)</f>
        <v>#REF!</v>
      </c>
      <c r="V253" t="e">
        <f>IF(#REF!,"AAAAACv/uxU=",0)</f>
        <v>#REF!</v>
      </c>
      <c r="W253" t="e">
        <f>IF(#REF!,"AAAAACv/uxY=",0)</f>
        <v>#REF!</v>
      </c>
      <c r="X253" t="e">
        <f>IF(#REF!,"AAAAACv/uxc=",0)</f>
        <v>#REF!</v>
      </c>
      <c r="Y253" t="e">
        <f>IF(#REF!,"AAAAACv/uxg=",0)</f>
        <v>#REF!</v>
      </c>
      <c r="Z253" t="e">
        <f>IF(#REF!,"AAAAACv/uxk=",0)</f>
        <v>#REF!</v>
      </c>
      <c r="AA253" t="e">
        <f>IF(#REF!,"AAAAACv/uxo=",0)</f>
        <v>#REF!</v>
      </c>
      <c r="AB253" t="e">
        <f>IF(#REF!,"AAAAACv/uxs=",0)</f>
        <v>#REF!</v>
      </c>
      <c r="AC253" t="e">
        <f>IF(#REF!,"AAAAACv/uxw=",0)</f>
        <v>#REF!</v>
      </c>
      <c r="AD253" t="e">
        <f>IF(#REF!,"AAAAACv/ux0=",0)</f>
        <v>#REF!</v>
      </c>
      <c r="AE253" t="e">
        <f>IF(#REF!,"AAAAACv/ux4=",0)</f>
        <v>#REF!</v>
      </c>
      <c r="AF253" t="e">
        <f>IF(#REF!,"AAAAACv/ux8=",0)</f>
        <v>#REF!</v>
      </c>
      <c r="AG253" t="e">
        <f>IF(#REF!,"AAAAACv/uyA=",0)</f>
        <v>#REF!</v>
      </c>
      <c r="AH253" t="e">
        <f>IF(#REF!,"AAAAACv/uyE=",0)</f>
        <v>#REF!</v>
      </c>
      <c r="AI253" t="e">
        <f>IF(#REF!,"AAAAACv/uyI=",0)</f>
        <v>#REF!</v>
      </c>
      <c r="AJ253" t="e">
        <f>IF(#REF!,"AAAAACv/uyM=",0)</f>
        <v>#REF!</v>
      </c>
      <c r="AK253" t="e">
        <f>IF(#REF!,"AAAAACv/uyQ=",0)</f>
        <v>#REF!</v>
      </c>
      <c r="AL253" t="e">
        <f>IF(#REF!,"AAAAACv/uyU=",0)</f>
        <v>#REF!</v>
      </c>
      <c r="AM253" t="e">
        <f>IF(#REF!,"AAAAACv/uyY=",0)</f>
        <v>#REF!</v>
      </c>
      <c r="AN253" t="e">
        <f>IF(#REF!,"AAAAACv/uyc=",0)</f>
        <v>#REF!</v>
      </c>
      <c r="AO253" t="e">
        <f>IF(#REF!,"AAAAACv/uyg=",0)</f>
        <v>#REF!</v>
      </c>
      <c r="AP253" t="e">
        <f>IF(#REF!,"AAAAACv/uyk=",0)</f>
        <v>#REF!</v>
      </c>
      <c r="AQ253" t="e">
        <f>IF(#REF!,"AAAAACv/uyo=",0)</f>
        <v>#REF!</v>
      </c>
      <c r="AR253" t="e">
        <f>IF(#REF!,"AAAAACv/uys=",0)</f>
        <v>#REF!</v>
      </c>
      <c r="AS253" t="e">
        <f>IF(#REF!,"AAAAACv/uyw=",0)</f>
        <v>#REF!</v>
      </c>
      <c r="AT253" t="e">
        <f>IF(#REF!,"AAAAACv/uy0=",0)</f>
        <v>#REF!</v>
      </c>
      <c r="AU253" t="e">
        <f>IF(#REF!,"AAAAACv/uy4=",0)</f>
        <v>#REF!</v>
      </c>
      <c r="AV253" t="e">
        <f>IF(#REF!,"AAAAACv/uy8=",0)</f>
        <v>#REF!</v>
      </c>
      <c r="AW253" t="e">
        <f>IF(#REF!,"AAAAACv/uzA=",0)</f>
        <v>#REF!</v>
      </c>
      <c r="AX253" t="e">
        <f>IF(#REF!,"AAAAACv/uzE=",0)</f>
        <v>#REF!</v>
      </c>
      <c r="AY253" t="e">
        <f>IF(#REF!,"AAAAACv/uzI=",0)</f>
        <v>#REF!</v>
      </c>
      <c r="AZ253" t="e">
        <f>IF(#REF!,"AAAAACv/uzM=",0)</f>
        <v>#REF!</v>
      </c>
      <c r="BA253" t="e">
        <f>IF(#REF!,"AAAAACv/uzQ=",0)</f>
        <v>#REF!</v>
      </c>
      <c r="BB253" t="e">
        <f>IF(#REF!,"AAAAACv/uzU=",0)</f>
        <v>#REF!</v>
      </c>
      <c r="BC253" t="e">
        <f>IF(#REF!,"AAAAACv/uzY=",0)</f>
        <v>#REF!</v>
      </c>
      <c r="BD253" t="e">
        <f>IF(#REF!,"AAAAACv/uzc=",0)</f>
        <v>#REF!</v>
      </c>
      <c r="BE253" t="e">
        <f>IF(#REF!,"AAAAACv/uzg=",0)</f>
        <v>#REF!</v>
      </c>
      <c r="BF253" t="e">
        <f>IF(#REF!,"AAAAACv/uzk=",0)</f>
        <v>#REF!</v>
      </c>
      <c r="BG253" t="e">
        <f>IF(#REF!,"AAAAACv/uzo=",0)</f>
        <v>#REF!</v>
      </c>
      <c r="BH253" t="e">
        <f>IF(#REF!,"AAAAACv/uzs=",0)</f>
        <v>#REF!</v>
      </c>
      <c r="BI253" t="e">
        <f>IF(#REF!,"AAAAACv/uzw=",0)</f>
        <v>#REF!</v>
      </c>
      <c r="BJ253" t="e">
        <f>IF(#REF!,"AAAAACv/uz0=",0)</f>
        <v>#REF!</v>
      </c>
      <c r="BK253" t="e">
        <f>IF(#REF!,"AAAAACv/uz4=",0)</f>
        <v>#REF!</v>
      </c>
      <c r="BL253" t="e">
        <f>IF(#REF!,"AAAAACv/uz8=",0)</f>
        <v>#REF!</v>
      </c>
      <c r="BM253" t="e">
        <f>IF(#REF!,"AAAAACv/u0A=",0)</f>
        <v>#REF!</v>
      </c>
      <c r="BN253" t="e">
        <f>IF(#REF!,"AAAAACv/u0E=",0)</f>
        <v>#REF!</v>
      </c>
      <c r="BO253" t="e">
        <f>IF(#REF!,"AAAAACv/u0I=",0)</f>
        <v>#REF!</v>
      </c>
      <c r="BP253" t="e">
        <f>IF(#REF!,"AAAAACv/u0M=",0)</f>
        <v>#REF!</v>
      </c>
      <c r="BQ253" t="e">
        <f>IF(#REF!,"AAAAACv/u0Q=",0)</f>
        <v>#REF!</v>
      </c>
      <c r="BR253" t="e">
        <f>IF(#REF!,"AAAAACv/u0U=",0)</f>
        <v>#REF!</v>
      </c>
      <c r="BS253" t="e">
        <f>IF(#REF!,"AAAAACv/u0Y=",0)</f>
        <v>#REF!</v>
      </c>
      <c r="BT253" t="e">
        <f>IF(#REF!,"AAAAACv/u0c=",0)</f>
        <v>#REF!</v>
      </c>
      <c r="BU253" t="e">
        <f>IF(#REF!,"AAAAACv/u0g=",0)</f>
        <v>#REF!</v>
      </c>
      <c r="BV253" t="e">
        <f>IF(#REF!,"AAAAACv/u0k=",0)</f>
        <v>#REF!</v>
      </c>
      <c r="BW253" t="e">
        <f>IF(#REF!,"AAAAACv/u0o=",0)</f>
        <v>#REF!</v>
      </c>
      <c r="BX253" t="e">
        <f>IF(#REF!,"AAAAACv/u0s=",0)</f>
        <v>#REF!</v>
      </c>
      <c r="BY253" t="e">
        <f>IF(#REF!,"AAAAACv/u0w=",0)</f>
        <v>#REF!</v>
      </c>
      <c r="BZ253" t="e">
        <f>IF(#REF!,"AAAAACv/u00=",0)</f>
        <v>#REF!</v>
      </c>
      <c r="CA253" t="e">
        <f>IF(#REF!,"AAAAACv/u04=",0)</f>
        <v>#REF!</v>
      </c>
      <c r="CB253" t="e">
        <f>IF(#REF!,"AAAAACv/u08=",0)</f>
        <v>#REF!</v>
      </c>
      <c r="CC253" t="e">
        <f>IF(#REF!,"AAAAACv/u1A=",0)</f>
        <v>#REF!</v>
      </c>
      <c r="CD253" t="e">
        <f>IF(#REF!,"AAAAACv/u1E=",0)</f>
        <v>#REF!</v>
      </c>
      <c r="CE253" t="e">
        <f>IF(#REF!,"AAAAACv/u1I=",0)</f>
        <v>#REF!</v>
      </c>
      <c r="CF253" t="e">
        <f>IF(#REF!,"AAAAACv/u1M=",0)</f>
        <v>#REF!</v>
      </c>
      <c r="CG253" t="e">
        <f>IF(#REF!,"AAAAACv/u1Q=",0)</f>
        <v>#REF!</v>
      </c>
      <c r="CH253" t="e">
        <f>IF(#REF!,"AAAAACv/u1U=",0)</f>
        <v>#REF!</v>
      </c>
      <c r="CI253" t="e">
        <f>IF(#REF!,"AAAAACv/u1Y=",0)</f>
        <v>#REF!</v>
      </c>
      <c r="CJ253" t="e">
        <f>IF(#REF!,"AAAAACv/u1c=",0)</f>
        <v>#REF!</v>
      </c>
      <c r="CK253" t="e">
        <f>IF(#REF!,"AAAAACv/u1g=",0)</f>
        <v>#REF!</v>
      </c>
      <c r="CL253" t="e">
        <f>IF(#REF!,"AAAAACv/u1k=",0)</f>
        <v>#REF!</v>
      </c>
      <c r="CM253" t="e">
        <f>IF(#REF!,"AAAAACv/u1o=",0)</f>
        <v>#REF!</v>
      </c>
      <c r="CN253" t="e">
        <f>IF(#REF!,"AAAAACv/u1s=",0)</f>
        <v>#REF!</v>
      </c>
      <c r="CO253" t="e">
        <f>IF(#REF!,"AAAAACv/u1w=",0)</f>
        <v>#REF!</v>
      </c>
      <c r="CP253" t="e">
        <f>IF(#REF!,"AAAAACv/u10=",0)</f>
        <v>#REF!</v>
      </c>
      <c r="CQ253" t="e">
        <f>IF(#REF!,"AAAAACv/u14=",0)</f>
        <v>#REF!</v>
      </c>
      <c r="CR253" t="e">
        <f>IF(#REF!,"AAAAACv/u18=",0)</f>
        <v>#REF!</v>
      </c>
      <c r="CS253" t="e">
        <f>IF(#REF!,"AAAAACv/u2A=",0)</f>
        <v>#REF!</v>
      </c>
      <c r="CT253" t="e">
        <f>IF(#REF!,"AAAAACv/u2E=",0)</f>
        <v>#REF!</v>
      </c>
      <c r="CU253" t="e">
        <f>IF(#REF!,"AAAAACv/u2I=",0)</f>
        <v>#REF!</v>
      </c>
      <c r="CV253" t="e">
        <f>IF(#REF!,"AAAAACv/u2M=",0)</f>
        <v>#REF!</v>
      </c>
      <c r="CW253" t="e">
        <f>IF(#REF!,"AAAAACv/u2Q=",0)</f>
        <v>#REF!</v>
      </c>
      <c r="CX253" t="e">
        <f>IF(#REF!,"AAAAACv/u2U=",0)</f>
        <v>#REF!</v>
      </c>
      <c r="CY253" t="e">
        <f>IF(#REF!,"AAAAACv/u2Y=",0)</f>
        <v>#REF!</v>
      </c>
      <c r="CZ253" t="e">
        <f>IF(#REF!,"AAAAACv/u2c=",0)</f>
        <v>#REF!</v>
      </c>
      <c r="DA253" t="e">
        <f>IF(#REF!,"AAAAACv/u2g=",0)</f>
        <v>#REF!</v>
      </c>
      <c r="DB253" t="e">
        <f>IF(#REF!,"AAAAACv/u2k=",0)</f>
        <v>#REF!</v>
      </c>
      <c r="DC253" t="e">
        <f>IF(#REF!,"AAAAACv/u2o=",0)</f>
        <v>#REF!</v>
      </c>
      <c r="DD253" t="e">
        <f>IF(#REF!,"AAAAACv/u2s=",0)</f>
        <v>#REF!</v>
      </c>
      <c r="DE253" t="e">
        <f>IF(#REF!,"AAAAACv/u2w=",0)</f>
        <v>#REF!</v>
      </c>
      <c r="DF253" t="e">
        <f>IF(#REF!,"AAAAACv/u20=",0)</f>
        <v>#REF!</v>
      </c>
      <c r="DG253" t="e">
        <f>IF(#REF!,"AAAAACv/u24=",0)</f>
        <v>#REF!</v>
      </c>
      <c r="DH253" t="e">
        <f>IF(#REF!,"AAAAACv/u28=",0)</f>
        <v>#REF!</v>
      </c>
      <c r="DI253" t="e">
        <f>IF(#REF!,"AAAAACv/u3A=",0)</f>
        <v>#REF!</v>
      </c>
      <c r="DJ253" t="e">
        <f>IF(#REF!,"AAAAACv/u3E=",0)</f>
        <v>#REF!</v>
      </c>
      <c r="DK253" t="e">
        <f>IF(#REF!,"AAAAACv/u3I=",0)</f>
        <v>#REF!</v>
      </c>
      <c r="DL253" t="e">
        <f>IF(#REF!,"AAAAACv/u3M=",0)</f>
        <v>#REF!</v>
      </c>
      <c r="DM253" t="e">
        <f>IF(#REF!,"AAAAACv/u3Q=",0)</f>
        <v>#REF!</v>
      </c>
      <c r="DN253" t="e">
        <f>IF(#REF!,"AAAAACv/u3U=",0)</f>
        <v>#REF!</v>
      </c>
      <c r="DO253" t="e">
        <f>IF(#REF!,"AAAAACv/u3Y=",0)</f>
        <v>#REF!</v>
      </c>
      <c r="DP253" t="e">
        <f>IF(#REF!,"AAAAACv/u3c=",0)</f>
        <v>#REF!</v>
      </c>
      <c r="DQ253" t="e">
        <f>IF(#REF!,"AAAAACv/u3g=",0)</f>
        <v>#REF!</v>
      </c>
      <c r="DR253" t="e">
        <f>IF(#REF!,"AAAAACv/u3k=",0)</f>
        <v>#REF!</v>
      </c>
      <c r="DS253" t="e">
        <f>IF(#REF!,"AAAAACv/u3o=",0)</f>
        <v>#REF!</v>
      </c>
      <c r="DT253" t="e">
        <f>IF(#REF!,"AAAAACv/u3s=",0)</f>
        <v>#REF!</v>
      </c>
      <c r="DU253" t="e">
        <f>IF(#REF!,"AAAAACv/u3w=",0)</f>
        <v>#REF!</v>
      </c>
      <c r="DV253" t="e">
        <f>IF(#REF!,"AAAAACv/u30=",0)</f>
        <v>#REF!</v>
      </c>
      <c r="DW253" t="e">
        <f>IF(#REF!,"AAAAACv/u34=",0)</f>
        <v>#REF!</v>
      </c>
      <c r="DX253" t="e">
        <f>IF(#REF!,"AAAAACv/u38=",0)</f>
        <v>#REF!</v>
      </c>
      <c r="DY253" t="e">
        <f>IF(#REF!,"AAAAACv/u4A=",0)</f>
        <v>#REF!</v>
      </c>
      <c r="DZ253" t="e">
        <f>IF(#REF!,"AAAAACv/u4E=",0)</f>
        <v>#REF!</v>
      </c>
      <c r="EA253" t="e">
        <f>IF(#REF!,"AAAAACv/u4I=",0)</f>
        <v>#REF!</v>
      </c>
      <c r="EB253" t="e">
        <f>IF(#REF!,"AAAAACv/u4M=",0)</f>
        <v>#REF!</v>
      </c>
      <c r="EC253" t="e">
        <f>IF(#REF!,"AAAAACv/u4Q=",0)</f>
        <v>#REF!</v>
      </c>
      <c r="ED253" t="e">
        <f>IF(#REF!,"AAAAACv/u4U=",0)</f>
        <v>#REF!</v>
      </c>
      <c r="EE253" t="e">
        <f>IF(#REF!,"AAAAACv/u4Y=",0)</f>
        <v>#REF!</v>
      </c>
      <c r="EF253" t="e">
        <f>IF(#REF!,"AAAAACv/u4c=",0)</f>
        <v>#REF!</v>
      </c>
      <c r="EG253" t="e">
        <f>IF(#REF!,"AAAAACv/u4g=",0)</f>
        <v>#REF!</v>
      </c>
      <c r="EH253" t="e">
        <f>IF(#REF!,"AAAAACv/u4k=",0)</f>
        <v>#REF!</v>
      </c>
      <c r="EI253" t="e">
        <f>IF(#REF!,"AAAAACv/u4o=",0)</f>
        <v>#REF!</v>
      </c>
      <c r="EJ253" t="e">
        <f>IF(#REF!,"AAAAACv/u4s=",0)</f>
        <v>#REF!</v>
      </c>
      <c r="EK253" t="e">
        <f>IF(#REF!,"AAAAACv/u4w=",0)</f>
        <v>#REF!</v>
      </c>
      <c r="EL253" t="e">
        <f>IF(#REF!,"AAAAACv/u40=",0)</f>
        <v>#REF!</v>
      </c>
      <c r="EM253" t="e">
        <f>IF(#REF!,"AAAAACv/u44=",0)</f>
        <v>#REF!</v>
      </c>
      <c r="EN253" t="e">
        <f>IF(#REF!,"AAAAACv/u48=",0)</f>
        <v>#REF!</v>
      </c>
      <c r="EO253" t="e">
        <f>IF(#REF!,"AAAAACv/u5A=",0)</f>
        <v>#REF!</v>
      </c>
      <c r="EP253" t="e">
        <f>IF(#REF!,"AAAAACv/u5E=",0)</f>
        <v>#REF!</v>
      </c>
      <c r="EQ253" t="e">
        <f>IF(#REF!,"AAAAACv/u5I=",0)</f>
        <v>#REF!</v>
      </c>
      <c r="ER253" t="e">
        <f>IF(#REF!,"AAAAACv/u5M=",0)</f>
        <v>#REF!</v>
      </c>
      <c r="ES253" t="e">
        <f>IF(#REF!,"AAAAACv/u5Q=",0)</f>
        <v>#REF!</v>
      </c>
      <c r="ET253" t="e">
        <f>IF(#REF!,"AAAAACv/u5U=",0)</f>
        <v>#REF!</v>
      </c>
      <c r="EU253" t="e">
        <f>IF(#REF!,"AAAAACv/u5Y=",0)</f>
        <v>#REF!</v>
      </c>
      <c r="EV253" t="e">
        <f>IF(#REF!,"AAAAACv/u5c=",0)</f>
        <v>#REF!</v>
      </c>
      <c r="EW253" t="e">
        <f>IF(#REF!,"AAAAACv/u5g=",0)</f>
        <v>#REF!</v>
      </c>
      <c r="EX253" t="e">
        <f>IF(#REF!,"AAAAACv/u5k=",0)</f>
        <v>#REF!</v>
      </c>
      <c r="EY253" t="e">
        <f>IF(#REF!,"AAAAACv/u5o=",0)</f>
        <v>#REF!</v>
      </c>
      <c r="EZ253" t="e">
        <f>IF(#REF!,"AAAAACv/u5s=",0)</f>
        <v>#REF!</v>
      </c>
      <c r="FA253" t="e">
        <f>IF(#REF!,"AAAAACv/u5w=",0)</f>
        <v>#REF!</v>
      </c>
      <c r="FB253" t="e">
        <f>IF(#REF!,"AAAAACv/u50=",0)</f>
        <v>#REF!</v>
      </c>
      <c r="FC253" t="e">
        <f>IF(#REF!,"AAAAACv/u54=",0)</f>
        <v>#REF!</v>
      </c>
      <c r="FD253" t="e">
        <f>IF(#REF!,"AAAAACv/u58=",0)</f>
        <v>#REF!</v>
      </c>
      <c r="FE253" t="e">
        <f>IF(#REF!,"AAAAACv/u6A=",0)</f>
        <v>#REF!</v>
      </c>
      <c r="FF253" t="e">
        <f>IF(#REF!,"AAAAACv/u6E=",0)</f>
        <v>#REF!</v>
      </c>
      <c r="FG253" t="e">
        <f>IF(#REF!,"AAAAACv/u6I=",0)</f>
        <v>#REF!</v>
      </c>
      <c r="FH253" t="e">
        <f>IF(#REF!,"AAAAACv/u6M=",0)</f>
        <v>#REF!</v>
      </c>
      <c r="FI253" t="e">
        <f>IF(#REF!,"AAAAACv/u6Q=",0)</f>
        <v>#REF!</v>
      </c>
      <c r="FJ253" t="e">
        <f>IF(#REF!,"AAAAACv/u6U=",0)</f>
        <v>#REF!</v>
      </c>
      <c r="FK253" t="e">
        <f>IF(#REF!,"AAAAACv/u6Y=",0)</f>
        <v>#REF!</v>
      </c>
      <c r="FL253" t="e">
        <f>IF(#REF!,"AAAAACv/u6c=",0)</f>
        <v>#REF!</v>
      </c>
      <c r="FM253" t="e">
        <f>IF(#REF!,"AAAAACv/u6g=",0)</f>
        <v>#REF!</v>
      </c>
      <c r="FN253" t="e">
        <f>IF(#REF!,"AAAAACv/u6k=",0)</f>
        <v>#REF!</v>
      </c>
      <c r="FO253" t="e">
        <f>IF(#REF!,"AAAAACv/u6o=",0)</f>
        <v>#REF!</v>
      </c>
      <c r="FP253" t="e">
        <f>IF(#REF!,"AAAAACv/u6s=",0)</f>
        <v>#REF!</v>
      </c>
      <c r="FQ253" t="e">
        <f>IF(#REF!,"AAAAACv/u6w=",0)</f>
        <v>#REF!</v>
      </c>
      <c r="FR253" t="e">
        <f>IF(#REF!,"AAAAACv/u60=",0)</f>
        <v>#REF!</v>
      </c>
      <c r="FS253" t="e">
        <f>IF(#REF!,"AAAAACv/u64=",0)</f>
        <v>#REF!</v>
      </c>
      <c r="FT253" t="e">
        <f>IF(#REF!,"AAAAACv/u68=",0)</f>
        <v>#REF!</v>
      </c>
      <c r="FU253" t="e">
        <f>IF(#REF!,"AAAAACv/u7A=",0)</f>
        <v>#REF!</v>
      </c>
      <c r="FV253" t="e">
        <f>IF(#REF!,"AAAAACv/u7E=",0)</f>
        <v>#REF!</v>
      </c>
      <c r="FW253" t="e">
        <f>IF(#REF!,"AAAAACv/u7I=",0)</f>
        <v>#REF!</v>
      </c>
      <c r="FX253" t="e">
        <f>IF(#REF!,"AAAAACv/u7M=",0)</f>
        <v>#REF!</v>
      </c>
      <c r="FY253" t="e">
        <f>IF(#REF!,"AAAAACv/u7Q=",0)</f>
        <v>#REF!</v>
      </c>
      <c r="FZ253" t="e">
        <f>IF(#REF!,"AAAAACv/u7U=",0)</f>
        <v>#REF!</v>
      </c>
      <c r="GA253" t="e">
        <f>IF(#REF!,"AAAAACv/u7Y=",0)</f>
        <v>#REF!</v>
      </c>
      <c r="GB253" t="e">
        <f>IF(#REF!,"AAAAACv/u7c=",0)</f>
        <v>#REF!</v>
      </c>
      <c r="GC253" t="e">
        <f>IF(#REF!,"AAAAACv/u7g=",0)</f>
        <v>#REF!</v>
      </c>
      <c r="GD253" t="e">
        <f>IF(#REF!,"AAAAACv/u7k=",0)</f>
        <v>#REF!</v>
      </c>
      <c r="GE253" t="e">
        <f>IF(#REF!,"AAAAACv/u7o=",0)</f>
        <v>#REF!</v>
      </c>
      <c r="GF253" t="e">
        <f>IF(#REF!,"AAAAACv/u7s=",0)</f>
        <v>#REF!</v>
      </c>
      <c r="GG253" t="e">
        <f>IF(#REF!,"AAAAACv/u7w=",0)</f>
        <v>#REF!</v>
      </c>
      <c r="GH253" t="e">
        <f>IF(#REF!,"AAAAACv/u70=",0)</f>
        <v>#REF!</v>
      </c>
      <c r="GI253" t="e">
        <f>IF(#REF!,"AAAAACv/u74=",0)</f>
        <v>#REF!</v>
      </c>
      <c r="GJ253" t="e">
        <f>IF(#REF!,"AAAAACv/u78=",0)</f>
        <v>#REF!</v>
      </c>
      <c r="GK253" t="e">
        <f>IF(#REF!,"AAAAACv/u8A=",0)</f>
        <v>#REF!</v>
      </c>
      <c r="GL253" t="e">
        <f>IF(#REF!,"AAAAACv/u8E=",0)</f>
        <v>#REF!</v>
      </c>
      <c r="GM253" t="e">
        <f>IF(#REF!,"AAAAACv/u8I=",0)</f>
        <v>#REF!</v>
      </c>
      <c r="GN253" t="e">
        <f>IF(#REF!,"AAAAACv/u8M=",0)</f>
        <v>#REF!</v>
      </c>
      <c r="GO253" t="e">
        <f>IF(#REF!,"AAAAACv/u8Q=",0)</f>
        <v>#REF!</v>
      </c>
      <c r="GP253" t="e">
        <f>IF(#REF!,"AAAAACv/u8U=",0)</f>
        <v>#REF!</v>
      </c>
      <c r="GQ253" t="e">
        <f>IF(#REF!,"AAAAACv/u8Y=",0)</f>
        <v>#REF!</v>
      </c>
      <c r="GR253" t="e">
        <f>IF(#REF!,"AAAAACv/u8c=",0)</f>
        <v>#REF!</v>
      </c>
      <c r="GS253" t="e">
        <f>IF(#REF!,"AAAAACv/u8g=",0)</f>
        <v>#REF!</v>
      </c>
      <c r="GT253" t="e">
        <f>IF(#REF!,"AAAAACv/u8k=",0)</f>
        <v>#REF!</v>
      </c>
      <c r="GU253" t="e">
        <f>IF(#REF!,"AAAAACv/u8o=",0)</f>
        <v>#REF!</v>
      </c>
      <c r="GV253" t="e">
        <f>IF(#REF!,"AAAAACv/u8s=",0)</f>
        <v>#REF!</v>
      </c>
      <c r="GW253" t="e">
        <f>IF(#REF!,"AAAAACv/u8w=",0)</f>
        <v>#REF!</v>
      </c>
      <c r="GX253" t="e">
        <f>IF(#REF!,"AAAAACv/u80=",0)</f>
        <v>#REF!</v>
      </c>
      <c r="GY253" t="e">
        <f>IF(#REF!,"AAAAACv/u84=",0)</f>
        <v>#REF!</v>
      </c>
      <c r="GZ253" t="e">
        <f>IF(#REF!,"AAAAACv/u88=",0)</f>
        <v>#REF!</v>
      </c>
      <c r="HA253" t="e">
        <f>IF(#REF!,"AAAAACv/u9A=",0)</f>
        <v>#REF!</v>
      </c>
      <c r="HB253" t="e">
        <f>IF(#REF!,"AAAAACv/u9E=",0)</f>
        <v>#REF!</v>
      </c>
      <c r="HC253" t="e">
        <f>IF(#REF!,"AAAAACv/u9I=",0)</f>
        <v>#REF!</v>
      </c>
      <c r="HD253" t="e">
        <f>IF(#REF!,"AAAAACv/u9M=",0)</f>
        <v>#REF!</v>
      </c>
      <c r="HE253" t="e">
        <f>IF(#REF!,"AAAAACv/u9Q=",0)</f>
        <v>#REF!</v>
      </c>
      <c r="HF253" t="e">
        <f>IF(#REF!,"AAAAACv/u9U=",0)</f>
        <v>#REF!</v>
      </c>
      <c r="HG253" t="e">
        <f>IF(#REF!,"AAAAACv/u9Y=",0)</f>
        <v>#REF!</v>
      </c>
      <c r="HH253" t="e">
        <f>IF(#REF!,"AAAAACv/u9c=",0)</f>
        <v>#REF!</v>
      </c>
      <c r="HI253" t="e">
        <f>IF(#REF!,"AAAAACv/u9g=",0)</f>
        <v>#REF!</v>
      </c>
      <c r="HJ253" t="e">
        <f>IF(#REF!,"AAAAACv/u9k=",0)</f>
        <v>#REF!</v>
      </c>
      <c r="HK253" t="e">
        <f>IF(#REF!,"AAAAACv/u9o=",0)</f>
        <v>#REF!</v>
      </c>
      <c r="HL253" t="e">
        <f>IF(#REF!,"AAAAACv/u9s=",0)</f>
        <v>#REF!</v>
      </c>
      <c r="HM253" t="e">
        <f>IF(#REF!,"AAAAACv/u9w=",0)</f>
        <v>#REF!</v>
      </c>
      <c r="HN253" t="e">
        <f>IF(#REF!,"AAAAACv/u90=",0)</f>
        <v>#REF!</v>
      </c>
      <c r="HO253" t="e">
        <f>IF(#REF!,"AAAAACv/u94=",0)</f>
        <v>#REF!</v>
      </c>
      <c r="HP253" t="e">
        <f>IF(#REF!,"AAAAACv/u98=",0)</f>
        <v>#REF!</v>
      </c>
      <c r="HQ253" t="e">
        <f>IF(#REF!,"AAAAACv/u+A=",0)</f>
        <v>#REF!</v>
      </c>
      <c r="HR253" t="e">
        <f>IF(#REF!,"AAAAACv/u+E=",0)</f>
        <v>#REF!</v>
      </c>
      <c r="HS253" t="e">
        <f>IF(#REF!,"AAAAACv/u+I=",0)</f>
        <v>#REF!</v>
      </c>
      <c r="HT253" t="e">
        <f>IF(#REF!,"AAAAACv/u+M=",0)</f>
        <v>#REF!</v>
      </c>
      <c r="HU253" t="e">
        <f>IF(#REF!,"AAAAACv/u+Q=",0)</f>
        <v>#REF!</v>
      </c>
      <c r="HV253" t="e">
        <f>IF(#REF!,"AAAAACv/u+U=",0)</f>
        <v>#REF!</v>
      </c>
      <c r="HW253" t="e">
        <f>IF(#REF!,"AAAAACv/u+Y=",0)</f>
        <v>#REF!</v>
      </c>
      <c r="HX253" t="e">
        <f>IF(#REF!,"AAAAACv/u+c=",0)</f>
        <v>#REF!</v>
      </c>
      <c r="HY253" t="e">
        <f>IF(#REF!,"AAAAACv/u+g=",0)</f>
        <v>#REF!</v>
      </c>
      <c r="HZ253" t="e">
        <f>IF(#REF!,"AAAAACv/u+k=",0)</f>
        <v>#REF!</v>
      </c>
      <c r="IA253" t="e">
        <f>IF(#REF!,"AAAAACv/u+o=",0)</f>
        <v>#REF!</v>
      </c>
      <c r="IB253" t="e">
        <f>IF(#REF!,"AAAAACv/u+s=",0)</f>
        <v>#REF!</v>
      </c>
      <c r="IC253" t="e">
        <f>IF(#REF!,"AAAAACv/u+w=",0)</f>
        <v>#REF!</v>
      </c>
      <c r="ID253" t="e">
        <f>IF(#REF!,"AAAAACv/u+0=",0)</f>
        <v>#REF!</v>
      </c>
      <c r="IE253" t="e">
        <f>IF(#REF!,"AAAAACv/u+4=",0)</f>
        <v>#REF!</v>
      </c>
      <c r="IF253" t="e">
        <f>IF(#REF!,"AAAAACv/u+8=",0)</f>
        <v>#REF!</v>
      </c>
      <c r="IG253" t="e">
        <f>IF(#REF!,"AAAAACv/u/A=",0)</f>
        <v>#REF!</v>
      </c>
      <c r="IH253" t="e">
        <f>IF(#REF!,"AAAAACv/u/E=",0)</f>
        <v>#REF!</v>
      </c>
      <c r="II253" t="e">
        <f>IF(#REF!,"AAAAACv/u/I=",0)</f>
        <v>#REF!</v>
      </c>
      <c r="IJ253" t="e">
        <f>IF(#REF!,"AAAAACv/u/M=",0)</f>
        <v>#REF!</v>
      </c>
      <c r="IK253" t="e">
        <f>IF(#REF!,"AAAAACv/u/Q=",0)</f>
        <v>#REF!</v>
      </c>
      <c r="IL253" t="e">
        <f>IF(#REF!,"AAAAACv/u/U=",0)</f>
        <v>#REF!</v>
      </c>
      <c r="IM253" t="e">
        <f>IF(#REF!,"AAAAACv/u/Y=",0)</f>
        <v>#REF!</v>
      </c>
      <c r="IN253" t="e">
        <f>IF(#REF!,"AAAAACv/u/c=",0)</f>
        <v>#REF!</v>
      </c>
      <c r="IO253" t="e">
        <f>IF(#REF!,"AAAAACv/u/g=",0)</f>
        <v>#REF!</v>
      </c>
      <c r="IP253" t="e">
        <f>IF(#REF!,"AAAAACv/u/k=",0)</f>
        <v>#REF!</v>
      </c>
      <c r="IQ253" t="e">
        <f>IF(#REF!,"AAAAACv/u/o=",0)</f>
        <v>#REF!</v>
      </c>
      <c r="IR253" t="e">
        <f>IF(#REF!,"AAAAACv/u/s=",0)</f>
        <v>#REF!</v>
      </c>
      <c r="IS253" t="e">
        <f>IF(#REF!,"AAAAACv/u/w=",0)</f>
        <v>#REF!</v>
      </c>
      <c r="IT253" t="e">
        <f>IF(#REF!,"AAAAACv/u/0=",0)</f>
        <v>#REF!</v>
      </c>
      <c r="IU253" t="e">
        <f>IF(#REF!,"AAAAACv/u/4=",0)</f>
        <v>#REF!</v>
      </c>
      <c r="IV253" t="e">
        <f>IF(#REF!,"AAAAACv/u/8=",0)</f>
        <v>#REF!</v>
      </c>
    </row>
    <row r="254" spans="1:256">
      <c r="A254" t="e">
        <f>IF(#REF!,"AAAAADf37QA=",0)</f>
        <v>#REF!</v>
      </c>
      <c r="B254" t="e">
        <f>IF(#REF!,"AAAAADf37QE=",0)</f>
        <v>#REF!</v>
      </c>
      <c r="C254" t="e">
        <f>IF(#REF!,"AAAAADf37QI=",0)</f>
        <v>#REF!</v>
      </c>
      <c r="D254" t="e">
        <f>IF(#REF!,"AAAAADf37QM=",0)</f>
        <v>#REF!</v>
      </c>
      <c r="E254" t="e">
        <f>IF(#REF!,"AAAAADf37QQ=",0)</f>
        <v>#REF!</v>
      </c>
      <c r="F254" t="e">
        <f>IF(#REF!,"AAAAADf37QU=",0)</f>
        <v>#REF!</v>
      </c>
      <c r="G254" t="e">
        <f>IF(#REF!,"AAAAADf37QY=",0)</f>
        <v>#REF!</v>
      </c>
      <c r="H254" t="e">
        <f>IF(#REF!,"AAAAADf37Qc=",0)</f>
        <v>#REF!</v>
      </c>
      <c r="I254" t="e">
        <f>IF(#REF!,"AAAAADf37Qg=",0)</f>
        <v>#REF!</v>
      </c>
      <c r="J254" t="e">
        <f>IF(#REF!,"AAAAADf37Qk=",0)</f>
        <v>#REF!</v>
      </c>
      <c r="K254" t="e">
        <f>IF(#REF!,"AAAAADf37Qo=",0)</f>
        <v>#REF!</v>
      </c>
      <c r="L254" t="e">
        <f>IF(#REF!,"AAAAADf37Qs=",0)</f>
        <v>#REF!</v>
      </c>
      <c r="M254" t="e">
        <f>IF(#REF!,"AAAAADf37Qw=",0)</f>
        <v>#REF!</v>
      </c>
      <c r="N254" t="e">
        <f>IF(#REF!,"AAAAADf37Q0=",0)</f>
        <v>#REF!</v>
      </c>
      <c r="O254" t="e">
        <f>IF(#REF!,"AAAAADf37Q4=",0)</f>
        <v>#REF!</v>
      </c>
      <c r="P254" t="e">
        <f>IF(#REF!,"AAAAADf37Q8=",0)</f>
        <v>#REF!</v>
      </c>
      <c r="Q254" t="e">
        <f>IF(#REF!,"AAAAADf37RA=",0)</f>
        <v>#REF!</v>
      </c>
      <c r="R254" t="e">
        <f>IF(#REF!,"AAAAADf37RE=",0)</f>
        <v>#REF!</v>
      </c>
      <c r="S254" t="e">
        <f>IF(#REF!,"AAAAADf37RI=",0)</f>
        <v>#REF!</v>
      </c>
      <c r="T254" t="e">
        <f>IF(#REF!,"AAAAADf37RM=",0)</f>
        <v>#REF!</v>
      </c>
      <c r="U254" t="e">
        <f>IF(#REF!,"AAAAADf37RQ=",0)</f>
        <v>#REF!</v>
      </c>
      <c r="V254" t="e">
        <f>IF(#REF!,"AAAAADf37RU=",0)</f>
        <v>#REF!</v>
      </c>
      <c r="W254" t="e">
        <f>IF(#REF!,"AAAAADf37RY=",0)</f>
        <v>#REF!</v>
      </c>
      <c r="X254" t="e">
        <f>IF(#REF!,"AAAAADf37Rc=",0)</f>
        <v>#REF!</v>
      </c>
      <c r="Y254" t="e">
        <f>IF(#REF!,"AAAAADf37Rg=",0)</f>
        <v>#REF!</v>
      </c>
      <c r="Z254" t="e">
        <f>IF(#REF!,"AAAAADf37Rk=",0)</f>
        <v>#REF!</v>
      </c>
      <c r="AA254" t="e">
        <f>IF(#REF!,"AAAAADf37Ro=",0)</f>
        <v>#REF!</v>
      </c>
      <c r="AB254" t="e">
        <f>IF(#REF!,"AAAAADf37Rs=",0)</f>
        <v>#REF!</v>
      </c>
      <c r="AC254" t="e">
        <f>IF(#REF!,"AAAAADf37Rw=",0)</f>
        <v>#REF!</v>
      </c>
      <c r="AD254" t="e">
        <f>IF(#REF!,"AAAAADf37R0=",0)</f>
        <v>#REF!</v>
      </c>
      <c r="AE254" t="e">
        <f>IF(#REF!,"AAAAADf37R4=",0)</f>
        <v>#REF!</v>
      </c>
      <c r="AF254" t="e">
        <f>IF(#REF!,"AAAAADf37R8=",0)</f>
        <v>#REF!</v>
      </c>
      <c r="AG254" t="e">
        <f>IF(#REF!,"AAAAADf37SA=",0)</f>
        <v>#REF!</v>
      </c>
      <c r="AH254" t="e">
        <f>IF(#REF!,"AAAAADf37SE=",0)</f>
        <v>#REF!</v>
      </c>
      <c r="AI254" t="e">
        <f>IF(#REF!,"AAAAADf37SI=",0)</f>
        <v>#REF!</v>
      </c>
      <c r="AJ254" t="e">
        <f>IF(#REF!,"AAAAADf37SM=",0)</f>
        <v>#REF!</v>
      </c>
      <c r="AK254" t="e">
        <f>IF(#REF!,"AAAAADf37SQ=",0)</f>
        <v>#REF!</v>
      </c>
      <c r="AL254" t="e">
        <f>IF(#REF!,"AAAAADf37SU=",0)</f>
        <v>#REF!</v>
      </c>
      <c r="AM254" t="e">
        <f>IF(#REF!,"AAAAADf37SY=",0)</f>
        <v>#REF!</v>
      </c>
      <c r="AN254" t="e">
        <f>IF(#REF!,"AAAAADf37Sc=",0)</f>
        <v>#REF!</v>
      </c>
      <c r="AO254" t="e">
        <f>IF(#REF!,"AAAAADf37Sg=",0)</f>
        <v>#REF!</v>
      </c>
      <c r="AP254" t="e">
        <f>IF(#REF!,"AAAAADf37Sk=",0)</f>
        <v>#REF!</v>
      </c>
      <c r="AQ254" t="e">
        <f>IF(#REF!,"AAAAADf37So=",0)</f>
        <v>#REF!</v>
      </c>
      <c r="AR254" t="e">
        <f>IF(#REF!,"AAAAADf37Ss=",0)</f>
        <v>#REF!</v>
      </c>
      <c r="AS254" t="e">
        <f>IF(#REF!,"AAAAADf37Sw=",0)</f>
        <v>#REF!</v>
      </c>
      <c r="AT254" t="e">
        <f>IF(#REF!,"AAAAADf37S0=",0)</f>
        <v>#REF!</v>
      </c>
      <c r="AU254" t="e">
        <f>IF(#REF!,"AAAAADf37S4=",0)</f>
        <v>#REF!</v>
      </c>
      <c r="AV254" t="e">
        <f>IF(#REF!,"AAAAADf37S8=",0)</f>
        <v>#REF!</v>
      </c>
      <c r="AW254" t="e">
        <f>IF(#REF!,"AAAAADf37TA=",0)</f>
        <v>#REF!</v>
      </c>
      <c r="AX254" t="e">
        <f>IF(#REF!,"AAAAADf37TE=",0)</f>
        <v>#REF!</v>
      </c>
      <c r="AY254" t="e">
        <f>IF(#REF!,"AAAAADf37TI=",0)</f>
        <v>#REF!</v>
      </c>
      <c r="AZ254" t="e">
        <f>IF(#REF!,"AAAAADf37TM=",0)</f>
        <v>#REF!</v>
      </c>
      <c r="BA254" t="e">
        <f>IF(#REF!,"AAAAADf37TQ=",0)</f>
        <v>#REF!</v>
      </c>
      <c r="BB254" t="e">
        <f>IF(#REF!,"AAAAADf37TU=",0)</f>
        <v>#REF!</v>
      </c>
      <c r="BC254" t="e">
        <f>IF(#REF!,"AAAAADf37TY=",0)</f>
        <v>#REF!</v>
      </c>
      <c r="BD254" t="e">
        <f>IF(#REF!,"AAAAADf37Tc=",0)</f>
        <v>#REF!</v>
      </c>
      <c r="BE254" t="e">
        <f>IF(#REF!,"AAAAADf37Tg=",0)</f>
        <v>#REF!</v>
      </c>
      <c r="BF254" t="e">
        <f>IF(#REF!,"AAAAADf37Tk=",0)</f>
        <v>#REF!</v>
      </c>
      <c r="BG254" t="e">
        <f>IF(#REF!,"AAAAADf37To=",0)</f>
        <v>#REF!</v>
      </c>
      <c r="BH254" t="e">
        <f>IF(#REF!,"AAAAADf37Ts=",0)</f>
        <v>#REF!</v>
      </c>
      <c r="BI254" t="e">
        <f>IF(#REF!,"AAAAADf37Tw=",0)</f>
        <v>#REF!</v>
      </c>
      <c r="BJ254" t="e">
        <f>IF(#REF!,"AAAAADf37T0=",0)</f>
        <v>#REF!</v>
      </c>
      <c r="BK254" t="e">
        <f>IF(#REF!,"AAAAADf37T4=",0)</f>
        <v>#REF!</v>
      </c>
      <c r="BL254" t="e">
        <f>IF(#REF!,"AAAAADf37T8=",0)</f>
        <v>#REF!</v>
      </c>
      <c r="BM254" t="e">
        <f>IF(#REF!,"AAAAADf37UA=",0)</f>
        <v>#REF!</v>
      </c>
      <c r="BN254" t="e">
        <f>IF(#REF!,"AAAAADf37UE=",0)</f>
        <v>#REF!</v>
      </c>
      <c r="BO254" t="e">
        <f>IF(#REF!,"AAAAADf37UI=",0)</f>
        <v>#REF!</v>
      </c>
      <c r="BP254" t="e">
        <f>IF(#REF!,"AAAAADf37UM=",0)</f>
        <v>#REF!</v>
      </c>
      <c r="BQ254" t="e">
        <f>IF(#REF!,"AAAAADf37UQ=",0)</f>
        <v>#REF!</v>
      </c>
      <c r="BR254" t="e">
        <f>IF(#REF!,"AAAAADf37UU=",0)</f>
        <v>#REF!</v>
      </c>
      <c r="BS254" t="e">
        <f>IF(#REF!,"AAAAADf37UY=",0)</f>
        <v>#REF!</v>
      </c>
      <c r="BT254" t="e">
        <f>IF(#REF!,"AAAAADf37Uc=",0)</f>
        <v>#REF!</v>
      </c>
      <c r="BU254" t="e">
        <f>IF(#REF!,"AAAAADf37Ug=",0)</f>
        <v>#REF!</v>
      </c>
      <c r="BV254" t="e">
        <f>IF(#REF!,"AAAAADf37Uk=",0)</f>
        <v>#REF!</v>
      </c>
      <c r="BW254" t="e">
        <f>IF(#REF!,"AAAAADf37Uo=",0)</f>
        <v>#REF!</v>
      </c>
      <c r="BX254" t="e">
        <f>IF(#REF!,"AAAAADf37Us=",0)</f>
        <v>#REF!</v>
      </c>
      <c r="BY254" t="e">
        <f>IF(#REF!,"AAAAADf37Uw=",0)</f>
        <v>#REF!</v>
      </c>
      <c r="BZ254" t="e">
        <f>IF(#REF!,"AAAAADf37U0=",0)</f>
        <v>#REF!</v>
      </c>
      <c r="CA254" t="e">
        <f>IF(#REF!,"AAAAADf37U4=",0)</f>
        <v>#REF!</v>
      </c>
      <c r="CB254" t="e">
        <f>IF(#REF!,"AAAAADf37U8=",0)</f>
        <v>#REF!</v>
      </c>
      <c r="CC254" t="e">
        <f>IF(#REF!,"AAAAADf37VA=",0)</f>
        <v>#REF!</v>
      </c>
      <c r="CD254" t="e">
        <f>IF(#REF!,"AAAAADf37VE=",0)</f>
        <v>#REF!</v>
      </c>
      <c r="CE254" t="e">
        <f>IF(#REF!,"AAAAADf37VI=",0)</f>
        <v>#REF!</v>
      </c>
      <c r="CF254" t="e">
        <f>IF(#REF!,"AAAAADf37VM=",0)</f>
        <v>#REF!</v>
      </c>
      <c r="CG254" t="e">
        <f>IF(#REF!,"AAAAADf37VQ=",0)</f>
        <v>#REF!</v>
      </c>
      <c r="CH254" t="e">
        <f>IF(#REF!,"AAAAADf37VU=",0)</f>
        <v>#REF!</v>
      </c>
      <c r="CI254" t="e">
        <f>IF(#REF!,"AAAAADf37VY=",0)</f>
        <v>#REF!</v>
      </c>
      <c r="CJ254" t="e">
        <f>IF(#REF!,"AAAAADf37Vc=",0)</f>
        <v>#REF!</v>
      </c>
      <c r="CK254" t="e">
        <f>IF(#REF!,"AAAAADf37Vg=",0)</f>
        <v>#REF!</v>
      </c>
      <c r="CL254" t="e">
        <f>IF(#REF!,"AAAAADf37Vk=",0)</f>
        <v>#REF!</v>
      </c>
      <c r="CM254" t="e">
        <f>IF(#REF!,"AAAAADf37Vo=",0)</f>
        <v>#REF!</v>
      </c>
      <c r="CN254" t="e">
        <f>IF(#REF!,"AAAAADf37Vs=",0)</f>
        <v>#REF!</v>
      </c>
      <c r="CO254" t="e">
        <f>IF(#REF!,"AAAAADf37Vw=",0)</f>
        <v>#REF!</v>
      </c>
      <c r="CP254" t="e">
        <f>IF(#REF!,"AAAAADf37V0=",0)</f>
        <v>#REF!</v>
      </c>
      <c r="CQ254" t="e">
        <f>IF(#REF!,"AAAAADf37V4=",0)</f>
        <v>#REF!</v>
      </c>
      <c r="CR254" t="e">
        <f>IF(#REF!,"AAAAADf37V8=",0)</f>
        <v>#REF!</v>
      </c>
      <c r="CS254" t="e">
        <f>IF(#REF!,"AAAAADf37WA=",0)</f>
        <v>#REF!</v>
      </c>
      <c r="CT254" t="e">
        <f>IF(#REF!,"AAAAADf37WE=",0)</f>
        <v>#REF!</v>
      </c>
      <c r="CU254" t="e">
        <f>IF(#REF!,"AAAAADf37WI=",0)</f>
        <v>#REF!</v>
      </c>
      <c r="CV254" t="e">
        <f>IF(#REF!,"AAAAADf37WM=",0)</f>
        <v>#REF!</v>
      </c>
      <c r="CW254" t="e">
        <f>IF(#REF!,"AAAAADf37WQ=",0)</f>
        <v>#REF!</v>
      </c>
      <c r="CX254" t="e">
        <f>IF(#REF!,"AAAAADf37WU=",0)</f>
        <v>#REF!</v>
      </c>
      <c r="CY254" t="e">
        <f>IF(#REF!,"AAAAADf37WY=",0)</f>
        <v>#REF!</v>
      </c>
      <c r="CZ254" t="e">
        <f>IF(#REF!,"AAAAADf37Wc=",0)</f>
        <v>#REF!</v>
      </c>
      <c r="DA254" t="e">
        <f>IF(#REF!,"AAAAADf37Wg=",0)</f>
        <v>#REF!</v>
      </c>
      <c r="DB254" t="e">
        <f>IF(#REF!,"AAAAADf37Wk=",0)</f>
        <v>#REF!</v>
      </c>
      <c r="DC254" t="e">
        <f>IF(#REF!,"AAAAADf37Wo=",0)</f>
        <v>#REF!</v>
      </c>
      <c r="DD254" t="e">
        <f>IF(#REF!,"AAAAADf37Ws=",0)</f>
        <v>#REF!</v>
      </c>
      <c r="DE254" t="e">
        <f>IF(#REF!,"AAAAADf37Ww=",0)</f>
        <v>#REF!</v>
      </c>
      <c r="DF254" t="e">
        <f>IF(#REF!,"AAAAADf37W0=",0)</f>
        <v>#REF!</v>
      </c>
      <c r="DG254" t="e">
        <f>IF(#REF!,"AAAAADf37W4=",0)</f>
        <v>#REF!</v>
      </c>
      <c r="DH254" t="e">
        <f>IF(#REF!,"AAAAADf37W8=",0)</f>
        <v>#REF!</v>
      </c>
      <c r="DI254" t="e">
        <f>IF(#REF!,"AAAAADf37XA=",0)</f>
        <v>#REF!</v>
      </c>
      <c r="DJ254" t="e">
        <f>IF(#REF!,"AAAAADf37XE=",0)</f>
        <v>#REF!</v>
      </c>
      <c r="DK254" t="e">
        <f>IF(#REF!,"AAAAADf37XI=",0)</f>
        <v>#REF!</v>
      </c>
      <c r="DL254" t="e">
        <f>IF(#REF!,"AAAAADf37XM=",0)</f>
        <v>#REF!</v>
      </c>
      <c r="DM254" t="e">
        <f>IF(#REF!,"AAAAADf37XQ=",0)</f>
        <v>#REF!</v>
      </c>
      <c r="DN254" t="e">
        <f>IF(#REF!,"AAAAADf37XU=",0)</f>
        <v>#REF!</v>
      </c>
      <c r="DO254" t="e">
        <f>IF(#REF!,"AAAAADf37XY=",0)</f>
        <v>#REF!</v>
      </c>
      <c r="DP254" t="e">
        <f>IF(#REF!,"AAAAADf37Xc=",0)</f>
        <v>#REF!</v>
      </c>
      <c r="DQ254" t="e">
        <f>IF(#REF!,"AAAAADf37Xg=",0)</f>
        <v>#REF!</v>
      </c>
      <c r="DR254" t="e">
        <f>IF(#REF!,"AAAAADf37Xk=",0)</f>
        <v>#REF!</v>
      </c>
      <c r="DS254" t="e">
        <f>IF(#REF!,"AAAAADf37Xo=",0)</f>
        <v>#REF!</v>
      </c>
      <c r="DT254" t="e">
        <f>IF(#REF!,"AAAAADf37Xs=",0)</f>
        <v>#REF!</v>
      </c>
      <c r="DU254" t="e">
        <f>IF(#REF!,"AAAAADf37Xw=",0)</f>
        <v>#REF!</v>
      </c>
      <c r="DV254" t="e">
        <f>IF(#REF!,"AAAAADf37X0=",0)</f>
        <v>#REF!</v>
      </c>
      <c r="DW254" t="e">
        <f>IF(#REF!,"AAAAADf37X4=",0)</f>
        <v>#REF!</v>
      </c>
      <c r="DX254" t="e">
        <f>IF(#REF!,"AAAAADf37X8=",0)</f>
        <v>#REF!</v>
      </c>
      <c r="DY254" t="e">
        <f>IF(#REF!,"AAAAADf37YA=",0)</f>
        <v>#REF!</v>
      </c>
      <c r="DZ254" t="e">
        <f>IF(#REF!,"AAAAADf37YE=",0)</f>
        <v>#REF!</v>
      </c>
      <c r="EA254" t="e">
        <f>IF(#REF!,"AAAAADf37YI=",0)</f>
        <v>#REF!</v>
      </c>
      <c r="EB254" t="e">
        <f>IF(#REF!,"AAAAADf37YM=",0)</f>
        <v>#REF!</v>
      </c>
      <c r="EC254" t="e">
        <f>IF(#REF!,"AAAAADf37YQ=",0)</f>
        <v>#REF!</v>
      </c>
      <c r="ED254" t="e">
        <f>IF(#REF!,"AAAAADf37YU=",0)</f>
        <v>#REF!</v>
      </c>
      <c r="EE254" t="e">
        <f>IF(#REF!,"AAAAADf37YY=",0)</f>
        <v>#REF!</v>
      </c>
      <c r="EF254" t="e">
        <f>IF(#REF!,"AAAAADf37Yc=",0)</f>
        <v>#REF!</v>
      </c>
      <c r="EG254" t="e">
        <f>IF(#REF!,"AAAAADf37Yg=",0)</f>
        <v>#REF!</v>
      </c>
      <c r="EH254" t="e">
        <f>IF(#REF!,"AAAAADf37Yk=",0)</f>
        <v>#REF!</v>
      </c>
      <c r="EI254" t="e">
        <f>IF(#REF!,"AAAAADf37Yo=",0)</f>
        <v>#REF!</v>
      </c>
      <c r="EJ254" t="e">
        <f>IF(#REF!,"AAAAADf37Ys=",0)</f>
        <v>#REF!</v>
      </c>
      <c r="EK254" t="e">
        <f>IF(#REF!,"AAAAADf37Yw=",0)</f>
        <v>#REF!</v>
      </c>
      <c r="EL254" t="e">
        <f>IF(#REF!,"AAAAADf37Y0=",0)</f>
        <v>#REF!</v>
      </c>
      <c r="EM254" t="e">
        <f>IF(#REF!,"AAAAADf37Y4=",0)</f>
        <v>#REF!</v>
      </c>
      <c r="EN254" t="e">
        <f>IF(#REF!,"AAAAADf37Y8=",0)</f>
        <v>#REF!</v>
      </c>
      <c r="EO254" t="e">
        <f>IF(#REF!,"AAAAADf37ZA=",0)</f>
        <v>#REF!</v>
      </c>
      <c r="EP254" t="e">
        <f>IF(#REF!,"AAAAADf37ZE=",0)</f>
        <v>#REF!</v>
      </c>
      <c r="EQ254" t="e">
        <f>IF(#REF!,"AAAAADf37ZI=",0)</f>
        <v>#REF!</v>
      </c>
      <c r="ER254" t="e">
        <f>IF(#REF!,"AAAAADf37ZM=",0)</f>
        <v>#REF!</v>
      </c>
      <c r="ES254" t="e">
        <f>IF(#REF!,"AAAAADf37ZQ=",0)</f>
        <v>#REF!</v>
      </c>
      <c r="ET254" t="e">
        <f>IF(#REF!,"AAAAADf37ZU=",0)</f>
        <v>#REF!</v>
      </c>
      <c r="EU254" t="e">
        <f>IF(#REF!,"AAAAADf37ZY=",0)</f>
        <v>#REF!</v>
      </c>
      <c r="EV254" t="e">
        <f>IF(#REF!,"AAAAADf37Zc=",0)</f>
        <v>#REF!</v>
      </c>
      <c r="EW254" t="e">
        <f>IF(#REF!,"AAAAADf37Zg=",0)</f>
        <v>#REF!</v>
      </c>
      <c r="EX254" t="e">
        <f>IF(#REF!,"AAAAADf37Zk=",0)</f>
        <v>#REF!</v>
      </c>
      <c r="EY254" t="e">
        <f>IF(#REF!,"AAAAADf37Zo=",0)</f>
        <v>#REF!</v>
      </c>
      <c r="EZ254" t="e">
        <f>IF(#REF!,"AAAAADf37Zs=",0)</f>
        <v>#REF!</v>
      </c>
      <c r="FA254" t="e">
        <f>IF(#REF!,"AAAAADf37Zw=",0)</f>
        <v>#REF!</v>
      </c>
      <c r="FB254" t="e">
        <f>IF(#REF!,"AAAAADf37Z0=",0)</f>
        <v>#REF!</v>
      </c>
      <c r="FC254" t="e">
        <f>IF(#REF!,"AAAAADf37Z4=",0)</f>
        <v>#REF!</v>
      </c>
      <c r="FD254" t="e">
        <f>IF(#REF!,"AAAAADf37Z8=",0)</f>
        <v>#REF!</v>
      </c>
      <c r="FE254" t="e">
        <f>IF(#REF!,"AAAAADf37aA=",0)</f>
        <v>#REF!</v>
      </c>
      <c r="FF254" t="e">
        <f>IF(#REF!,"AAAAADf37aE=",0)</f>
        <v>#REF!</v>
      </c>
      <c r="FG254" t="e">
        <f>IF(#REF!,"AAAAADf37aI=",0)</f>
        <v>#REF!</v>
      </c>
      <c r="FH254" t="e">
        <f>IF(#REF!,"AAAAADf37aM=",0)</f>
        <v>#REF!</v>
      </c>
      <c r="FI254" t="e">
        <f>IF(#REF!,"AAAAADf37aQ=",0)</f>
        <v>#REF!</v>
      </c>
      <c r="FJ254" t="e">
        <f>IF(#REF!,"AAAAADf37aU=",0)</f>
        <v>#REF!</v>
      </c>
      <c r="FK254" t="e">
        <f>IF(#REF!,"AAAAADf37aY=",0)</f>
        <v>#REF!</v>
      </c>
      <c r="FL254" t="e">
        <f>IF(#REF!,"AAAAADf37ac=",0)</f>
        <v>#REF!</v>
      </c>
      <c r="FM254" t="e">
        <f>IF(#REF!,"AAAAADf37ag=",0)</f>
        <v>#REF!</v>
      </c>
      <c r="FN254" t="e">
        <f>IF(#REF!,"AAAAADf37ak=",0)</f>
        <v>#REF!</v>
      </c>
      <c r="FO254" t="e">
        <f>IF(#REF!,"AAAAADf37ao=",0)</f>
        <v>#REF!</v>
      </c>
      <c r="FP254" t="e">
        <f>IF(#REF!,"AAAAADf37as=",0)</f>
        <v>#REF!</v>
      </c>
      <c r="FQ254" t="e">
        <f>IF(#REF!,"AAAAADf37aw=",0)</f>
        <v>#REF!</v>
      </c>
      <c r="FR254" t="e">
        <f>IF(#REF!,"AAAAADf37a0=",0)</f>
        <v>#REF!</v>
      </c>
      <c r="FS254" t="e">
        <f>IF(#REF!,"AAAAADf37a4=",0)</f>
        <v>#REF!</v>
      </c>
      <c r="FT254" t="e">
        <f>IF(#REF!,"AAAAADf37a8=",0)</f>
        <v>#REF!</v>
      </c>
      <c r="FU254" t="e">
        <f>IF(#REF!,"AAAAADf37bA=",0)</f>
        <v>#REF!</v>
      </c>
      <c r="FV254" t="e">
        <f>IF(#REF!,"AAAAADf37bE=",0)</f>
        <v>#REF!</v>
      </c>
      <c r="FW254" t="e">
        <f>IF(#REF!,"AAAAADf37bI=",0)</f>
        <v>#REF!</v>
      </c>
      <c r="FX254" t="e">
        <f>IF(#REF!,"AAAAADf37bM=",0)</f>
        <v>#REF!</v>
      </c>
      <c r="FY254" t="e">
        <f>IF(#REF!,"AAAAADf37bQ=",0)</f>
        <v>#REF!</v>
      </c>
      <c r="FZ254" t="e">
        <f>IF(#REF!,"AAAAADf37bU=",0)</f>
        <v>#REF!</v>
      </c>
      <c r="GA254" t="e">
        <f>IF(#REF!,"AAAAADf37bY=",0)</f>
        <v>#REF!</v>
      </c>
      <c r="GB254" t="e">
        <f>IF(#REF!,"AAAAADf37bc=",0)</f>
        <v>#REF!</v>
      </c>
      <c r="GC254" t="e">
        <f>IF(#REF!,"AAAAADf37bg=",0)</f>
        <v>#REF!</v>
      </c>
      <c r="GD254" t="e">
        <f>IF(#REF!,"AAAAADf37bk=",0)</f>
        <v>#REF!</v>
      </c>
      <c r="GE254" t="e">
        <f>IF(#REF!,"AAAAADf37bo=",0)</f>
        <v>#REF!</v>
      </c>
      <c r="GF254" t="e">
        <f>IF(#REF!,"AAAAADf37bs=",0)</f>
        <v>#REF!</v>
      </c>
      <c r="GG254" t="e">
        <f>IF(#REF!,"AAAAADf37bw=",0)</f>
        <v>#REF!</v>
      </c>
      <c r="GH254" t="e">
        <f>IF(#REF!,"AAAAADf37b0=",0)</f>
        <v>#REF!</v>
      </c>
      <c r="GI254" t="e">
        <f>IF(#REF!,"AAAAADf37b4=",0)</f>
        <v>#REF!</v>
      </c>
      <c r="GJ254" t="e">
        <f>IF(#REF!,"AAAAADf37b8=",0)</f>
        <v>#REF!</v>
      </c>
      <c r="GK254" t="e">
        <f>IF(#REF!,"AAAAADf37cA=",0)</f>
        <v>#REF!</v>
      </c>
      <c r="GL254" t="e">
        <f>IF(#REF!,"AAAAADf37cE=",0)</f>
        <v>#REF!</v>
      </c>
      <c r="GM254" t="e">
        <f>IF(#REF!,"AAAAADf37cI=",0)</f>
        <v>#REF!</v>
      </c>
      <c r="GN254" t="e">
        <f>IF(#REF!,"AAAAADf37cM=",0)</f>
        <v>#REF!</v>
      </c>
      <c r="GO254" t="e">
        <f>IF(#REF!,"AAAAADf37cQ=",0)</f>
        <v>#REF!</v>
      </c>
      <c r="GP254" t="e">
        <f>IF(#REF!,"AAAAADf37cU=",0)</f>
        <v>#REF!</v>
      </c>
      <c r="GQ254" t="e">
        <f>IF(#REF!,"AAAAADf37cY=",0)</f>
        <v>#REF!</v>
      </c>
      <c r="GR254" t="e">
        <f>IF(#REF!,"AAAAADf37cc=",0)</f>
        <v>#REF!</v>
      </c>
      <c r="GS254" t="e">
        <f>IF(#REF!,"AAAAADf37cg=",0)</f>
        <v>#REF!</v>
      </c>
      <c r="GT254" t="e">
        <f>IF(#REF!,"AAAAADf37ck=",0)</f>
        <v>#REF!</v>
      </c>
      <c r="GU254" t="e">
        <f>IF(#REF!,"AAAAADf37co=",0)</f>
        <v>#REF!</v>
      </c>
      <c r="GV254" t="e">
        <f>IF(#REF!,"AAAAADf37cs=",0)</f>
        <v>#REF!</v>
      </c>
      <c r="GW254" t="e">
        <f>IF(#REF!,"AAAAADf37cw=",0)</f>
        <v>#REF!</v>
      </c>
      <c r="GX254" t="e">
        <f>IF(#REF!,"AAAAADf37c0=",0)</f>
        <v>#REF!</v>
      </c>
      <c r="GY254" t="e">
        <f>IF(#REF!,"AAAAADf37c4=",0)</f>
        <v>#REF!</v>
      </c>
      <c r="GZ254" t="e">
        <f>IF(#REF!,"AAAAADf37c8=",0)</f>
        <v>#REF!</v>
      </c>
      <c r="HA254" t="e">
        <f>IF(#REF!,"AAAAADf37dA=",0)</f>
        <v>#REF!</v>
      </c>
      <c r="HB254" t="e">
        <f>IF(#REF!,"AAAAADf37dE=",0)</f>
        <v>#REF!</v>
      </c>
      <c r="HC254" t="e">
        <f>IF(#REF!,"AAAAADf37dI=",0)</f>
        <v>#REF!</v>
      </c>
      <c r="HD254" t="e">
        <f>IF(#REF!,"AAAAADf37dM=",0)</f>
        <v>#REF!</v>
      </c>
      <c r="HE254" t="e">
        <f>IF(#REF!,"AAAAADf37dQ=",0)</f>
        <v>#REF!</v>
      </c>
      <c r="HF254" t="e">
        <f>IF(#REF!,"AAAAADf37dU=",0)</f>
        <v>#REF!</v>
      </c>
      <c r="HG254" t="e">
        <f>IF(#REF!,"AAAAADf37dY=",0)</f>
        <v>#REF!</v>
      </c>
      <c r="HH254" t="e">
        <f>IF(#REF!,"AAAAADf37dc=",0)</f>
        <v>#REF!</v>
      </c>
      <c r="HI254" t="e">
        <f>IF(#REF!,"AAAAADf37dg=",0)</f>
        <v>#REF!</v>
      </c>
      <c r="HJ254" t="e">
        <f>IF(#REF!,"AAAAADf37dk=",0)</f>
        <v>#REF!</v>
      </c>
      <c r="HK254" t="e">
        <f>IF(#REF!,"AAAAADf37do=",0)</f>
        <v>#REF!</v>
      </c>
      <c r="HL254" t="e">
        <f>IF(#REF!,"AAAAADf37ds=",0)</f>
        <v>#REF!</v>
      </c>
      <c r="HM254" t="e">
        <f>IF(#REF!,"AAAAADf37dw=",0)</f>
        <v>#REF!</v>
      </c>
      <c r="HN254" t="e">
        <f>IF(#REF!,"AAAAADf37d0=",0)</f>
        <v>#REF!</v>
      </c>
      <c r="HO254" t="e">
        <f>IF(#REF!,"AAAAADf37d4=",0)</f>
        <v>#REF!</v>
      </c>
      <c r="HP254" t="e">
        <f>IF(#REF!,"AAAAADf37d8=",0)</f>
        <v>#REF!</v>
      </c>
      <c r="HQ254" t="e">
        <f>IF(#REF!,"AAAAADf37eA=",0)</f>
        <v>#REF!</v>
      </c>
      <c r="HR254" t="e">
        <f>IF(#REF!,"AAAAADf37eE=",0)</f>
        <v>#REF!</v>
      </c>
      <c r="HS254" t="e">
        <f>IF(#REF!,"AAAAADf37eI=",0)</f>
        <v>#REF!</v>
      </c>
      <c r="HT254" t="e">
        <f>IF(#REF!,"AAAAADf37eM=",0)</f>
        <v>#REF!</v>
      </c>
      <c r="HU254" t="e">
        <f>IF(#REF!,"AAAAADf37eQ=",0)</f>
        <v>#REF!</v>
      </c>
      <c r="HV254" t="e">
        <f>IF(#REF!,"AAAAADf37eU=",0)</f>
        <v>#REF!</v>
      </c>
      <c r="HW254" t="e">
        <f>IF(#REF!,"AAAAADf37eY=",0)</f>
        <v>#REF!</v>
      </c>
      <c r="HX254" t="e">
        <f>IF(#REF!,"AAAAADf37ec=",0)</f>
        <v>#REF!</v>
      </c>
      <c r="HY254" t="e">
        <f>IF(#REF!,"AAAAADf37eg=",0)</f>
        <v>#REF!</v>
      </c>
      <c r="HZ254" t="e">
        <f>IF(#REF!,"AAAAADf37ek=",0)</f>
        <v>#REF!</v>
      </c>
      <c r="IA254" t="e">
        <f>IF(#REF!,"AAAAADf37eo=",0)</f>
        <v>#REF!</v>
      </c>
      <c r="IB254" t="e">
        <f>IF(#REF!,"AAAAADf37es=",0)</f>
        <v>#REF!</v>
      </c>
      <c r="IC254" t="e">
        <f>IF(#REF!,"AAAAADf37ew=",0)</f>
        <v>#REF!</v>
      </c>
      <c r="ID254" t="e">
        <f>IF(#REF!,"AAAAADf37e0=",0)</f>
        <v>#REF!</v>
      </c>
      <c r="IE254" t="e">
        <f>IF(#REF!,"AAAAADf37e4=",0)</f>
        <v>#REF!</v>
      </c>
      <c r="IF254" t="e">
        <f>IF(#REF!,"AAAAADf37e8=",0)</f>
        <v>#REF!</v>
      </c>
      <c r="IG254" t="e">
        <f>IF(#REF!,"AAAAADf37fA=",0)</f>
        <v>#REF!</v>
      </c>
      <c r="IH254" t="e">
        <f>IF(#REF!,"AAAAADf37fE=",0)</f>
        <v>#REF!</v>
      </c>
      <c r="II254" t="e">
        <f>IF(#REF!,"AAAAADf37fI=",0)</f>
        <v>#REF!</v>
      </c>
      <c r="IJ254" t="e">
        <f>IF(#REF!,"AAAAADf37fM=",0)</f>
        <v>#REF!</v>
      </c>
      <c r="IK254" t="e">
        <f>IF(#REF!,"AAAAADf37fQ=",0)</f>
        <v>#REF!</v>
      </c>
      <c r="IL254" t="e">
        <f>IF(#REF!,"AAAAADf37fU=",0)</f>
        <v>#REF!</v>
      </c>
      <c r="IM254" t="e">
        <f>IF(#REF!,"AAAAADf37fY=",0)</f>
        <v>#REF!</v>
      </c>
      <c r="IN254" t="e">
        <f>IF(#REF!,"AAAAADf37fc=",0)</f>
        <v>#REF!</v>
      </c>
      <c r="IO254" t="e">
        <f>IF(#REF!,"AAAAADf37fg=",0)</f>
        <v>#REF!</v>
      </c>
      <c r="IP254" t="e">
        <f>IF(#REF!,"AAAAADf37fk=",0)</f>
        <v>#REF!</v>
      </c>
      <c r="IQ254" t="e">
        <f>IF(#REF!,"AAAAADf37fo=",0)</f>
        <v>#REF!</v>
      </c>
      <c r="IR254" t="e">
        <f>IF(#REF!,"AAAAADf37fs=",0)</f>
        <v>#REF!</v>
      </c>
      <c r="IS254" t="e">
        <f>IF(#REF!,"AAAAADf37fw=",0)</f>
        <v>#REF!</v>
      </c>
      <c r="IT254" t="e">
        <f>IF(#REF!,"AAAAADf37f0=",0)</f>
        <v>#REF!</v>
      </c>
      <c r="IU254" t="e">
        <f>IF(#REF!,"AAAAADf37f4=",0)</f>
        <v>#REF!</v>
      </c>
      <c r="IV254" t="e">
        <f>IF(#REF!,"AAAAADf37f8=",0)</f>
        <v>#REF!</v>
      </c>
    </row>
    <row r="255" spans="1:256">
      <c r="A255" t="e">
        <f>IF(#REF!,"AAAAACuf/wA=",0)</f>
        <v>#REF!</v>
      </c>
      <c r="B255" t="e">
        <f>IF(#REF!,"AAAAACuf/wE=",0)</f>
        <v>#REF!</v>
      </c>
      <c r="C255" t="e">
        <f>IF(#REF!,"AAAAACuf/wI=",0)</f>
        <v>#REF!</v>
      </c>
      <c r="D255" t="e">
        <f>IF(#REF!,"AAAAACuf/wM=",0)</f>
        <v>#REF!</v>
      </c>
      <c r="E255" t="e">
        <f>IF(#REF!,"AAAAACuf/wQ=",0)</f>
        <v>#REF!</v>
      </c>
      <c r="F255" t="e">
        <f>IF(#REF!,"AAAAACuf/wU=",0)</f>
        <v>#REF!</v>
      </c>
      <c r="G255" t="e">
        <f>IF(#REF!,"AAAAACuf/wY=",0)</f>
        <v>#REF!</v>
      </c>
      <c r="H255" t="e">
        <f>IF(#REF!,"AAAAACuf/wc=",0)</f>
        <v>#REF!</v>
      </c>
      <c r="I255" t="e">
        <f>IF(#REF!,"AAAAACuf/wg=",0)</f>
        <v>#REF!</v>
      </c>
      <c r="J255" t="e">
        <f>IF(#REF!,"AAAAACuf/wk=",0)</f>
        <v>#REF!</v>
      </c>
      <c r="K255" t="e">
        <f>IF(#REF!,"AAAAACuf/wo=",0)</f>
        <v>#REF!</v>
      </c>
      <c r="L255" t="e">
        <f>IF(#REF!,"AAAAACuf/ws=",0)</f>
        <v>#REF!</v>
      </c>
      <c r="M255" t="e">
        <f>IF(#REF!,"AAAAACuf/ww=",0)</f>
        <v>#REF!</v>
      </c>
      <c r="N255" t="e">
        <f>IF(#REF!,"AAAAACuf/w0=",0)</f>
        <v>#REF!</v>
      </c>
      <c r="O255" t="e">
        <f>IF(#REF!,"AAAAACuf/w4=",0)</f>
        <v>#REF!</v>
      </c>
      <c r="P255" t="e">
        <f>IF(#REF!,"AAAAACuf/w8=",0)</f>
        <v>#REF!</v>
      </c>
      <c r="Q255" t="e">
        <f>IF(#REF!,"AAAAACuf/xA=",0)</f>
        <v>#REF!</v>
      </c>
      <c r="R255" t="e">
        <f>IF(#REF!,"AAAAACuf/xE=",0)</f>
        <v>#REF!</v>
      </c>
      <c r="S255" t="e">
        <f>IF(#REF!,"AAAAACuf/xI=",0)</f>
        <v>#REF!</v>
      </c>
      <c r="T255" t="e">
        <f>IF(#REF!,"AAAAACuf/xM=",0)</f>
        <v>#REF!</v>
      </c>
      <c r="U255" t="e">
        <f>IF(#REF!,"AAAAACuf/xQ=",0)</f>
        <v>#REF!</v>
      </c>
      <c r="V255" t="e">
        <f>IF(#REF!,"AAAAACuf/xU=",0)</f>
        <v>#REF!</v>
      </c>
      <c r="W255" t="e">
        <f>IF(#REF!,"AAAAACuf/xY=",0)</f>
        <v>#REF!</v>
      </c>
      <c r="X255" t="e">
        <f>IF(#REF!,"AAAAACuf/xc=",0)</f>
        <v>#REF!</v>
      </c>
      <c r="Y255" t="e">
        <f>IF(#REF!,"AAAAACuf/xg=",0)</f>
        <v>#REF!</v>
      </c>
      <c r="Z255" t="e">
        <f>IF(#REF!,"AAAAACuf/xk=",0)</f>
        <v>#REF!</v>
      </c>
      <c r="AA255" t="e">
        <f>IF(#REF!,"AAAAACuf/xo=",0)</f>
        <v>#REF!</v>
      </c>
      <c r="AB255" t="e">
        <f>IF(#REF!,"AAAAACuf/xs=",0)</f>
        <v>#REF!</v>
      </c>
      <c r="AC255" t="e">
        <f>IF(#REF!,"AAAAACuf/xw=",0)</f>
        <v>#REF!</v>
      </c>
      <c r="AD255" t="e">
        <f>IF(#REF!,"AAAAACuf/x0=",0)</f>
        <v>#REF!</v>
      </c>
      <c r="AE255" t="e">
        <f>IF(#REF!,"AAAAACuf/x4=",0)</f>
        <v>#REF!</v>
      </c>
      <c r="AF255" t="e">
        <f>IF(#REF!,"AAAAACuf/x8=",0)</f>
        <v>#REF!</v>
      </c>
      <c r="AG255" t="e">
        <f>IF(#REF!,"AAAAACuf/yA=",0)</f>
        <v>#REF!</v>
      </c>
      <c r="AH255" t="e">
        <f>IF(#REF!,"AAAAACuf/yE=",0)</f>
        <v>#REF!</v>
      </c>
      <c r="AI255" t="e">
        <f>IF(#REF!,"AAAAACuf/yI=",0)</f>
        <v>#REF!</v>
      </c>
      <c r="AJ255" t="e">
        <f>IF(#REF!,"AAAAACuf/yM=",0)</f>
        <v>#REF!</v>
      </c>
      <c r="AK255" t="e">
        <f>IF(#REF!,"AAAAACuf/yQ=",0)</f>
        <v>#REF!</v>
      </c>
      <c r="AL255" t="e">
        <f>IF(#REF!,"AAAAACuf/yU=",0)</f>
        <v>#REF!</v>
      </c>
      <c r="AM255" t="e">
        <f>IF(#REF!,"AAAAACuf/yY=",0)</f>
        <v>#REF!</v>
      </c>
      <c r="AN255" t="e">
        <f>IF(#REF!,"AAAAACuf/yc=",0)</f>
        <v>#REF!</v>
      </c>
      <c r="AO255" t="e">
        <f>IF(#REF!,"AAAAACuf/yg=",0)</f>
        <v>#REF!</v>
      </c>
      <c r="AP255" t="e">
        <f>IF(#REF!,"AAAAACuf/yk=",0)</f>
        <v>#REF!</v>
      </c>
      <c r="AQ255" t="e">
        <f>IF(#REF!,"AAAAACuf/yo=",0)</f>
        <v>#REF!</v>
      </c>
      <c r="AR255" t="e">
        <f>IF(#REF!,"AAAAACuf/ys=",0)</f>
        <v>#REF!</v>
      </c>
      <c r="AS255" t="e">
        <f>IF(#REF!,"AAAAACuf/yw=",0)</f>
        <v>#REF!</v>
      </c>
      <c r="AT255" t="e">
        <f>IF(#REF!,"AAAAACuf/y0=",0)</f>
        <v>#REF!</v>
      </c>
      <c r="AU255" t="e">
        <f>IF(#REF!,"AAAAACuf/y4=",0)</f>
        <v>#REF!</v>
      </c>
      <c r="AV255" t="e">
        <f>IF(#REF!,"AAAAACuf/y8=",0)</f>
        <v>#REF!</v>
      </c>
      <c r="AW255" t="e">
        <f>IF(#REF!,"AAAAACuf/zA=",0)</f>
        <v>#REF!</v>
      </c>
      <c r="AX255" t="e">
        <f>IF(#REF!,"AAAAACuf/zE=",0)</f>
        <v>#REF!</v>
      </c>
      <c r="AY255" t="e">
        <f>IF(#REF!,"AAAAACuf/zI=",0)</f>
        <v>#REF!</v>
      </c>
      <c r="AZ255" t="e">
        <f>IF(#REF!,"AAAAACuf/zM=",0)</f>
        <v>#REF!</v>
      </c>
      <c r="BA255" t="e">
        <f>IF(#REF!,"AAAAACuf/zQ=",0)</f>
        <v>#REF!</v>
      </c>
      <c r="BB255" t="e">
        <f>IF(#REF!,"AAAAACuf/zU=",0)</f>
        <v>#REF!</v>
      </c>
      <c r="BC255" t="e">
        <f>IF(#REF!,"AAAAACuf/zY=",0)</f>
        <v>#REF!</v>
      </c>
      <c r="BD255" t="e">
        <f>IF(#REF!,"AAAAACuf/zc=",0)</f>
        <v>#REF!</v>
      </c>
      <c r="BE255" t="e">
        <f>IF(#REF!,"AAAAACuf/zg=",0)</f>
        <v>#REF!</v>
      </c>
      <c r="BF255" t="e">
        <f>IF(#REF!,"AAAAACuf/zk=",0)</f>
        <v>#REF!</v>
      </c>
      <c r="BG255" t="e">
        <f>IF(#REF!,"AAAAACuf/zo=",0)</f>
        <v>#REF!</v>
      </c>
      <c r="BH255" t="e">
        <f>IF(#REF!,"AAAAACuf/zs=",0)</f>
        <v>#REF!</v>
      </c>
      <c r="BI255" t="e">
        <f>IF(#REF!,"AAAAACuf/zw=",0)</f>
        <v>#REF!</v>
      </c>
      <c r="BJ255" t="e">
        <f>IF(#REF!,"AAAAACuf/z0=",0)</f>
        <v>#REF!</v>
      </c>
      <c r="BK255" t="e">
        <f>IF(#REF!,"AAAAACuf/z4=",0)</f>
        <v>#REF!</v>
      </c>
      <c r="BL255" t="e">
        <f>IF(#REF!,"AAAAACuf/z8=",0)</f>
        <v>#REF!</v>
      </c>
      <c r="BM255" t="e">
        <f>IF(#REF!,"AAAAACuf/0A=",0)</f>
        <v>#REF!</v>
      </c>
      <c r="BN255" t="e">
        <f>IF(#REF!,"AAAAACuf/0E=",0)</f>
        <v>#REF!</v>
      </c>
      <c r="BO255" t="e">
        <f>IF(#REF!,"AAAAACuf/0I=",0)</f>
        <v>#REF!</v>
      </c>
      <c r="BP255" t="e">
        <f>IF(#REF!,"AAAAACuf/0M=",0)</f>
        <v>#REF!</v>
      </c>
      <c r="BQ255" t="e">
        <f>IF(#REF!,"AAAAACuf/0Q=",0)</f>
        <v>#REF!</v>
      </c>
      <c r="BR255" t="e">
        <f>IF(#REF!,"AAAAACuf/0U=",0)</f>
        <v>#REF!</v>
      </c>
      <c r="BS255" t="e">
        <f>IF(#REF!,"AAAAACuf/0Y=",0)</f>
        <v>#REF!</v>
      </c>
      <c r="BT255" t="e">
        <f>IF(#REF!,"AAAAACuf/0c=",0)</f>
        <v>#REF!</v>
      </c>
      <c r="BU255" t="e">
        <f>IF(#REF!,"AAAAACuf/0g=",0)</f>
        <v>#REF!</v>
      </c>
      <c r="BV255" t="e">
        <f>IF(#REF!,"AAAAACuf/0k=",0)</f>
        <v>#REF!</v>
      </c>
      <c r="BW255" t="e">
        <f>IF(#REF!,"AAAAACuf/0o=",0)</f>
        <v>#REF!</v>
      </c>
      <c r="BX255" t="e">
        <f>IF(#REF!,"AAAAACuf/0s=",0)</f>
        <v>#REF!</v>
      </c>
      <c r="BY255" t="e">
        <f>IF(#REF!,"AAAAACuf/0w=",0)</f>
        <v>#REF!</v>
      </c>
      <c r="BZ255" t="e">
        <f>IF(#REF!,"AAAAACuf/00=",0)</f>
        <v>#REF!</v>
      </c>
      <c r="CA255" t="e">
        <f>IF(#REF!,"AAAAACuf/04=",0)</f>
        <v>#REF!</v>
      </c>
      <c r="CB255" t="e">
        <f>IF(#REF!,"AAAAACuf/08=",0)</f>
        <v>#REF!</v>
      </c>
      <c r="CC255" t="e">
        <f>IF(#REF!,"AAAAACuf/1A=",0)</f>
        <v>#REF!</v>
      </c>
      <c r="CD255" t="e">
        <f>IF(#REF!,"AAAAACuf/1E=",0)</f>
        <v>#REF!</v>
      </c>
      <c r="CE255" t="e">
        <f>IF(#REF!,"AAAAACuf/1I=",0)</f>
        <v>#REF!</v>
      </c>
      <c r="CF255" t="e">
        <f>IF(#REF!,"AAAAACuf/1M=",0)</f>
        <v>#REF!</v>
      </c>
      <c r="CG255" t="e">
        <f>IF(#REF!,"AAAAACuf/1Q=",0)</f>
        <v>#REF!</v>
      </c>
      <c r="CH255" t="e">
        <f>IF(#REF!,"AAAAACuf/1U=",0)</f>
        <v>#REF!</v>
      </c>
      <c r="CI255" t="e">
        <f>IF(#REF!,"AAAAACuf/1Y=",0)</f>
        <v>#REF!</v>
      </c>
      <c r="CJ255" t="e">
        <f>IF(#REF!,"AAAAACuf/1c=",0)</f>
        <v>#REF!</v>
      </c>
      <c r="CK255" t="e">
        <f>IF(#REF!,"AAAAACuf/1g=",0)</f>
        <v>#REF!</v>
      </c>
      <c r="CL255" t="e">
        <f>IF(#REF!,"AAAAACuf/1k=",0)</f>
        <v>#REF!</v>
      </c>
      <c r="CM255" t="e">
        <f>IF(#REF!,"AAAAACuf/1o=",0)</f>
        <v>#REF!</v>
      </c>
      <c r="CN255" t="e">
        <f>IF(#REF!,"AAAAACuf/1s=",0)</f>
        <v>#REF!</v>
      </c>
      <c r="CO255" t="e">
        <f>IF(#REF!,"AAAAACuf/1w=",0)</f>
        <v>#REF!</v>
      </c>
      <c r="CP255" t="e">
        <f>IF(#REF!,"AAAAACuf/10=",0)</f>
        <v>#REF!</v>
      </c>
      <c r="CQ255" t="e">
        <f>IF(#REF!,"AAAAACuf/14=",0)</f>
        <v>#REF!</v>
      </c>
      <c r="CR255" t="e">
        <f>IF(#REF!,"AAAAACuf/18=",0)</f>
        <v>#REF!</v>
      </c>
      <c r="CS255" t="e">
        <f>IF(#REF!,"AAAAACuf/2A=",0)</f>
        <v>#REF!</v>
      </c>
      <c r="CT255" t="e">
        <f>IF(#REF!,"AAAAACuf/2E=",0)</f>
        <v>#REF!</v>
      </c>
      <c r="CU255" t="e">
        <f>IF(#REF!,"AAAAACuf/2I=",0)</f>
        <v>#REF!</v>
      </c>
      <c r="CV255" t="e">
        <f>IF(#REF!,"AAAAACuf/2M=",0)</f>
        <v>#REF!</v>
      </c>
      <c r="CW255" t="e">
        <f>IF(#REF!,"AAAAACuf/2Q=",0)</f>
        <v>#REF!</v>
      </c>
      <c r="CX255" t="e">
        <f>IF(#REF!,"AAAAACuf/2U=",0)</f>
        <v>#REF!</v>
      </c>
      <c r="CY255" t="e">
        <f>IF(#REF!,"AAAAACuf/2Y=",0)</f>
        <v>#REF!</v>
      </c>
      <c r="CZ255" t="e">
        <f>IF(#REF!,"AAAAACuf/2c=",0)</f>
        <v>#REF!</v>
      </c>
      <c r="DA255" t="e">
        <f>IF(#REF!,"AAAAACuf/2g=",0)</f>
        <v>#REF!</v>
      </c>
      <c r="DB255" t="e">
        <f>IF(#REF!,"AAAAACuf/2k=",0)</f>
        <v>#REF!</v>
      </c>
      <c r="DC255" t="e">
        <f>IF(#REF!,"AAAAACuf/2o=",0)</f>
        <v>#REF!</v>
      </c>
      <c r="DD255" t="e">
        <f>IF(#REF!,"AAAAACuf/2s=",0)</f>
        <v>#REF!</v>
      </c>
      <c r="DE255" t="e">
        <f>IF(#REF!,"AAAAACuf/2w=",0)</f>
        <v>#REF!</v>
      </c>
      <c r="DF255" t="e">
        <f>IF(#REF!,"AAAAACuf/20=",0)</f>
        <v>#REF!</v>
      </c>
      <c r="DG255" t="e">
        <f>IF(#REF!,"AAAAACuf/24=",0)</f>
        <v>#REF!</v>
      </c>
      <c r="DH255" t="e">
        <f>IF(#REF!,"AAAAACuf/28=",0)</f>
        <v>#REF!</v>
      </c>
      <c r="DI255" t="e">
        <f>IF(#REF!,"AAAAACuf/3A=",0)</f>
        <v>#REF!</v>
      </c>
      <c r="DJ255" t="e">
        <f>IF(#REF!,"AAAAACuf/3E=",0)</f>
        <v>#REF!</v>
      </c>
      <c r="DK255" t="e">
        <f>IF(#REF!,"AAAAACuf/3I=",0)</f>
        <v>#REF!</v>
      </c>
      <c r="DL255" t="e">
        <f>IF(#REF!,"AAAAACuf/3M=",0)</f>
        <v>#REF!</v>
      </c>
      <c r="DM255" t="e">
        <f>IF(#REF!,"AAAAACuf/3Q=",0)</f>
        <v>#REF!</v>
      </c>
      <c r="DN255" t="e">
        <f>IF(#REF!,"AAAAACuf/3U=",0)</f>
        <v>#REF!</v>
      </c>
      <c r="DO255" t="e">
        <f>IF(#REF!,"AAAAACuf/3Y=",0)</f>
        <v>#REF!</v>
      </c>
      <c r="DP255" t="e">
        <f>IF(#REF!,"AAAAACuf/3c=",0)</f>
        <v>#REF!</v>
      </c>
      <c r="DQ255" t="e">
        <f>IF(#REF!,"AAAAACuf/3g=",0)</f>
        <v>#REF!</v>
      </c>
      <c r="DR255" t="e">
        <f>IF(#REF!,"AAAAACuf/3k=",0)</f>
        <v>#REF!</v>
      </c>
      <c r="DS255" t="e">
        <f>IF(#REF!,"AAAAACuf/3o=",0)</f>
        <v>#REF!</v>
      </c>
      <c r="DT255" t="e">
        <f>IF(#REF!,"AAAAACuf/3s=",0)</f>
        <v>#REF!</v>
      </c>
      <c r="DU255" t="e">
        <f>IF(#REF!,"AAAAACuf/3w=",0)</f>
        <v>#REF!</v>
      </c>
      <c r="DV255" t="e">
        <f>IF(#REF!,"AAAAACuf/30=",0)</f>
        <v>#REF!</v>
      </c>
      <c r="DW255" t="e">
        <f>IF(#REF!,"AAAAACuf/34=",0)</f>
        <v>#REF!</v>
      </c>
      <c r="DX255" t="e">
        <f>IF(#REF!,"AAAAACuf/38=",0)</f>
        <v>#REF!</v>
      </c>
      <c r="DY255" t="e">
        <f>IF(#REF!,"AAAAACuf/4A=",0)</f>
        <v>#REF!</v>
      </c>
      <c r="DZ255" t="e">
        <f>IF(#REF!,"AAAAACuf/4E=",0)</f>
        <v>#REF!</v>
      </c>
      <c r="EA255" t="e">
        <f>IF(#REF!,"AAAAACuf/4I=",0)</f>
        <v>#REF!</v>
      </c>
      <c r="EB255" t="e">
        <f>IF(#REF!,"AAAAACuf/4M=",0)</f>
        <v>#REF!</v>
      </c>
      <c r="EC255" t="e">
        <f>IF(#REF!,"AAAAACuf/4Q=",0)</f>
        <v>#REF!</v>
      </c>
      <c r="ED255" t="e">
        <f>IF(#REF!,"AAAAACuf/4U=",0)</f>
        <v>#REF!</v>
      </c>
      <c r="EE255" t="e">
        <f>IF(#REF!,"AAAAACuf/4Y=",0)</f>
        <v>#REF!</v>
      </c>
      <c r="EF255" t="e">
        <f>IF(#REF!,"AAAAACuf/4c=",0)</f>
        <v>#REF!</v>
      </c>
      <c r="EG255" t="e">
        <f>IF(#REF!,"AAAAACuf/4g=",0)</f>
        <v>#REF!</v>
      </c>
      <c r="EH255" t="e">
        <f>IF(#REF!,"AAAAACuf/4k=",0)</f>
        <v>#REF!</v>
      </c>
      <c r="EI255" t="e">
        <f>IF(#REF!,"AAAAACuf/4o=",0)</f>
        <v>#REF!</v>
      </c>
      <c r="EJ255" t="e">
        <f>IF(#REF!,"AAAAACuf/4s=",0)</f>
        <v>#REF!</v>
      </c>
      <c r="EK255" t="e">
        <f>IF(#REF!,"AAAAACuf/4w=",0)</f>
        <v>#REF!</v>
      </c>
      <c r="EL255" t="e">
        <f>IF(#REF!,"AAAAACuf/40=",0)</f>
        <v>#REF!</v>
      </c>
      <c r="EM255" t="e">
        <f>IF(#REF!,"AAAAACuf/44=",0)</f>
        <v>#REF!</v>
      </c>
      <c r="EN255" t="e">
        <f>IF(#REF!,"AAAAACuf/48=",0)</f>
        <v>#REF!</v>
      </c>
      <c r="EO255" t="e">
        <f>IF(#REF!,"AAAAACuf/5A=",0)</f>
        <v>#REF!</v>
      </c>
      <c r="EP255" t="e">
        <f>IF(#REF!,"AAAAACuf/5E=",0)</f>
        <v>#REF!</v>
      </c>
      <c r="EQ255" t="e">
        <f>IF(#REF!,"AAAAACuf/5I=",0)</f>
        <v>#REF!</v>
      </c>
      <c r="ER255" t="e">
        <f>IF(#REF!,"AAAAACuf/5M=",0)</f>
        <v>#REF!</v>
      </c>
      <c r="ES255" t="e">
        <f>IF(#REF!,"AAAAACuf/5Q=",0)</f>
        <v>#REF!</v>
      </c>
      <c r="ET255" t="e">
        <f>IF(#REF!,"AAAAACuf/5U=",0)</f>
        <v>#REF!</v>
      </c>
      <c r="EU255" t="e">
        <f>IF(#REF!,"AAAAACuf/5Y=",0)</f>
        <v>#REF!</v>
      </c>
      <c r="EV255" t="e">
        <f>IF(#REF!,"AAAAACuf/5c=",0)</f>
        <v>#REF!</v>
      </c>
      <c r="EW255" t="e">
        <f>IF(#REF!,"AAAAACuf/5g=",0)</f>
        <v>#REF!</v>
      </c>
      <c r="EX255" t="e">
        <f>IF(#REF!,"AAAAACuf/5k=",0)</f>
        <v>#REF!</v>
      </c>
      <c r="EY255" t="e">
        <f>IF(#REF!,"AAAAACuf/5o=",0)</f>
        <v>#REF!</v>
      </c>
      <c r="EZ255" t="e">
        <f>IF(#REF!,"AAAAACuf/5s=",0)</f>
        <v>#REF!</v>
      </c>
      <c r="FA255" t="e">
        <f>IF(#REF!,"AAAAACuf/5w=",0)</f>
        <v>#REF!</v>
      </c>
      <c r="FB255" t="e">
        <f>IF(#REF!,"AAAAACuf/50=",0)</f>
        <v>#REF!</v>
      </c>
      <c r="FC255" t="e">
        <f>IF(#REF!,"AAAAACuf/54=",0)</f>
        <v>#REF!</v>
      </c>
      <c r="FD255" t="e">
        <f>IF(#REF!,"AAAAACuf/58=",0)</f>
        <v>#REF!</v>
      </c>
      <c r="FE255" t="e">
        <f>IF(#REF!,"AAAAACuf/6A=",0)</f>
        <v>#REF!</v>
      </c>
      <c r="FF255" t="e">
        <f>IF(#REF!,"AAAAACuf/6E=",0)</f>
        <v>#REF!</v>
      </c>
      <c r="FG255" t="e">
        <f>IF(#REF!,"AAAAACuf/6I=",0)</f>
        <v>#REF!</v>
      </c>
      <c r="FH255" t="e">
        <f>IF(#REF!,"AAAAACuf/6M=",0)</f>
        <v>#REF!</v>
      </c>
      <c r="FI255" t="e">
        <f>IF(#REF!,"AAAAACuf/6Q=",0)</f>
        <v>#REF!</v>
      </c>
      <c r="FJ255" t="e">
        <f>IF(#REF!,"AAAAACuf/6U=",0)</f>
        <v>#REF!</v>
      </c>
      <c r="FK255" t="e">
        <f>IF(#REF!,"AAAAACuf/6Y=",0)</f>
        <v>#REF!</v>
      </c>
      <c r="FL255" t="e">
        <f>IF(#REF!,"AAAAACuf/6c=",0)</f>
        <v>#REF!</v>
      </c>
      <c r="FM255" t="e">
        <f>IF(#REF!,"AAAAACuf/6g=",0)</f>
        <v>#REF!</v>
      </c>
      <c r="FN255" t="e">
        <f>IF(#REF!,"AAAAACuf/6k=",0)</f>
        <v>#REF!</v>
      </c>
      <c r="FO255" t="e">
        <f>IF(#REF!,"AAAAACuf/6o=",0)</f>
        <v>#REF!</v>
      </c>
      <c r="FP255" t="e">
        <f>IF(#REF!,"AAAAACuf/6s=",0)</f>
        <v>#REF!</v>
      </c>
      <c r="FQ255" t="e">
        <f>IF(#REF!,"AAAAACuf/6w=",0)</f>
        <v>#REF!</v>
      </c>
      <c r="FR255" t="e">
        <f>IF(#REF!,"AAAAACuf/60=",0)</f>
        <v>#REF!</v>
      </c>
      <c r="FS255" t="e">
        <f>IF(#REF!,"AAAAACuf/64=",0)</f>
        <v>#REF!</v>
      </c>
      <c r="FT255" t="e">
        <f>IF(#REF!,"AAAAACuf/68=",0)</f>
        <v>#REF!</v>
      </c>
      <c r="FU255" t="e">
        <f>IF(#REF!,"AAAAACuf/7A=",0)</f>
        <v>#REF!</v>
      </c>
      <c r="FV255" t="e">
        <f>IF(#REF!,"AAAAACuf/7E=",0)</f>
        <v>#REF!</v>
      </c>
      <c r="FW255" t="e">
        <f>IF(#REF!,"AAAAACuf/7I=",0)</f>
        <v>#REF!</v>
      </c>
      <c r="FX255" t="e">
        <f>IF(#REF!,"AAAAACuf/7M=",0)</f>
        <v>#REF!</v>
      </c>
      <c r="FY255" t="e">
        <f>IF(#REF!,"AAAAACuf/7Q=",0)</f>
        <v>#REF!</v>
      </c>
      <c r="FZ255" t="e">
        <f>IF(#REF!,"AAAAACuf/7U=",0)</f>
        <v>#REF!</v>
      </c>
      <c r="GA255" t="e">
        <f>IF(#REF!,"AAAAACuf/7Y=",0)</f>
        <v>#REF!</v>
      </c>
      <c r="GB255" t="e">
        <f>IF(#REF!,"AAAAACuf/7c=",0)</f>
        <v>#REF!</v>
      </c>
      <c r="GC255" t="e">
        <f>IF(#REF!,"AAAAACuf/7g=",0)</f>
        <v>#REF!</v>
      </c>
      <c r="GD255" t="e">
        <f>IF(#REF!,"AAAAACuf/7k=",0)</f>
        <v>#REF!</v>
      </c>
      <c r="GE255" t="e">
        <f>IF(#REF!,"AAAAACuf/7o=",0)</f>
        <v>#REF!</v>
      </c>
      <c r="GF255" t="e">
        <f>IF(#REF!,"AAAAACuf/7s=",0)</f>
        <v>#REF!</v>
      </c>
      <c r="GG255" t="e">
        <f>IF(#REF!,"AAAAACuf/7w=",0)</f>
        <v>#REF!</v>
      </c>
      <c r="GH255" t="e">
        <f>IF(#REF!,"AAAAACuf/70=",0)</f>
        <v>#REF!</v>
      </c>
      <c r="GI255" t="e">
        <f>IF(#REF!,"AAAAACuf/74=",0)</f>
        <v>#REF!</v>
      </c>
      <c r="GJ255" t="e">
        <f>IF(#REF!,"AAAAACuf/78=",0)</f>
        <v>#REF!</v>
      </c>
      <c r="GK255" t="e">
        <f>IF(#REF!,"AAAAACuf/8A=",0)</f>
        <v>#REF!</v>
      </c>
      <c r="GL255" t="e">
        <f>IF(#REF!,"AAAAACuf/8E=",0)</f>
        <v>#REF!</v>
      </c>
      <c r="GM255" t="e">
        <f>IF(#REF!,"AAAAACuf/8I=",0)</f>
        <v>#REF!</v>
      </c>
      <c r="GN255" t="e">
        <f>IF(#REF!,"AAAAACuf/8M=",0)</f>
        <v>#REF!</v>
      </c>
      <c r="GO255" t="e">
        <f>IF(#REF!,"AAAAACuf/8Q=",0)</f>
        <v>#REF!</v>
      </c>
      <c r="GP255" t="e">
        <f>IF(#REF!,"AAAAACuf/8U=",0)</f>
        <v>#REF!</v>
      </c>
      <c r="GQ255" t="e">
        <f>IF(#REF!,"AAAAACuf/8Y=",0)</f>
        <v>#REF!</v>
      </c>
      <c r="GR255" t="e">
        <f>IF(#REF!,"AAAAACuf/8c=",0)</f>
        <v>#REF!</v>
      </c>
      <c r="GS255" t="e">
        <f>IF(#REF!,"AAAAACuf/8g=",0)</f>
        <v>#REF!</v>
      </c>
      <c r="GT255" t="e">
        <f>IF(#REF!,"AAAAACuf/8k=",0)</f>
        <v>#REF!</v>
      </c>
      <c r="GU255" t="e">
        <f>IF(#REF!,"AAAAACuf/8o=",0)</f>
        <v>#REF!</v>
      </c>
      <c r="GV255" t="e">
        <f>IF(#REF!,"AAAAACuf/8s=",0)</f>
        <v>#REF!</v>
      </c>
      <c r="GW255" t="e">
        <f>IF(#REF!,"AAAAACuf/8w=",0)</f>
        <v>#REF!</v>
      </c>
      <c r="GX255" t="e">
        <f>IF(#REF!,"AAAAACuf/80=",0)</f>
        <v>#REF!</v>
      </c>
      <c r="GY255" t="e">
        <f>IF(#REF!,"AAAAACuf/84=",0)</f>
        <v>#REF!</v>
      </c>
      <c r="GZ255" t="e">
        <f>IF(#REF!,"AAAAACuf/88=",0)</f>
        <v>#REF!</v>
      </c>
      <c r="HA255" t="e">
        <f>IF(#REF!,"AAAAACuf/9A=",0)</f>
        <v>#REF!</v>
      </c>
      <c r="HB255" t="e">
        <f>IF(#REF!,"AAAAACuf/9E=",0)</f>
        <v>#REF!</v>
      </c>
      <c r="HC255" t="e">
        <f>IF(#REF!,"AAAAACuf/9I=",0)</f>
        <v>#REF!</v>
      </c>
      <c r="HD255" t="e">
        <f>IF(#REF!,"AAAAACuf/9M=",0)</f>
        <v>#REF!</v>
      </c>
      <c r="HE255" t="e">
        <f>IF(#REF!,"AAAAACuf/9Q=",0)</f>
        <v>#REF!</v>
      </c>
      <c r="HF255" t="e">
        <f>IF(#REF!,"AAAAACuf/9U=",0)</f>
        <v>#REF!</v>
      </c>
      <c r="HG255" t="e">
        <f>IF(#REF!,"AAAAACuf/9Y=",0)</f>
        <v>#REF!</v>
      </c>
      <c r="HH255" t="e">
        <f>IF(#REF!,"AAAAACuf/9c=",0)</f>
        <v>#REF!</v>
      </c>
      <c r="HI255" t="e">
        <f>IF(#REF!,"AAAAACuf/9g=",0)</f>
        <v>#REF!</v>
      </c>
      <c r="HJ255" t="e">
        <f>IF(#REF!,"AAAAACuf/9k=",0)</f>
        <v>#REF!</v>
      </c>
      <c r="HK255" t="e">
        <f>IF(#REF!,"AAAAACuf/9o=",0)</f>
        <v>#REF!</v>
      </c>
      <c r="HL255" t="e">
        <f>IF(#REF!,"AAAAACuf/9s=",0)</f>
        <v>#REF!</v>
      </c>
      <c r="HM255" t="e">
        <f>IF(#REF!,"AAAAACuf/9w=",0)</f>
        <v>#REF!</v>
      </c>
      <c r="HN255" t="e">
        <f>IF(#REF!,"AAAAACuf/90=",0)</f>
        <v>#REF!</v>
      </c>
      <c r="HO255" t="e">
        <f>IF(#REF!,"AAAAACuf/94=",0)</f>
        <v>#REF!</v>
      </c>
      <c r="HP255" t="e">
        <f>IF(#REF!,"AAAAACuf/98=",0)</f>
        <v>#REF!</v>
      </c>
      <c r="HQ255" t="e">
        <f>IF(#REF!,"AAAAACuf/+A=",0)</f>
        <v>#REF!</v>
      </c>
      <c r="HR255" t="e">
        <f>IF(#REF!,"AAAAACuf/+E=",0)</f>
        <v>#REF!</v>
      </c>
      <c r="HS255" t="e">
        <f>IF(#REF!,"AAAAACuf/+I=",0)</f>
        <v>#REF!</v>
      </c>
      <c r="HT255" t="e">
        <f>IF(#REF!,"AAAAACuf/+M=",0)</f>
        <v>#REF!</v>
      </c>
      <c r="HU255" t="e">
        <f>IF(#REF!,"AAAAACuf/+Q=",0)</f>
        <v>#REF!</v>
      </c>
      <c r="HV255" t="e">
        <f>IF(#REF!,"AAAAACuf/+U=",0)</f>
        <v>#REF!</v>
      </c>
      <c r="HW255" t="e">
        <f>IF(#REF!,"AAAAACuf/+Y=",0)</f>
        <v>#REF!</v>
      </c>
      <c r="HX255" t="e">
        <f>IF(#REF!,"AAAAACuf/+c=",0)</f>
        <v>#REF!</v>
      </c>
      <c r="HY255" t="e">
        <f>IF(#REF!,"AAAAACuf/+g=",0)</f>
        <v>#REF!</v>
      </c>
      <c r="HZ255" t="e">
        <f>IF(#REF!,"AAAAACuf/+k=",0)</f>
        <v>#REF!</v>
      </c>
      <c r="IA255" t="e">
        <f>IF(#REF!,"AAAAACuf/+o=",0)</f>
        <v>#REF!</v>
      </c>
      <c r="IB255" t="e">
        <f>IF(#REF!,"AAAAACuf/+s=",0)</f>
        <v>#REF!</v>
      </c>
      <c r="IC255" t="e">
        <f>IF(#REF!,"AAAAACuf/+w=",0)</f>
        <v>#REF!</v>
      </c>
      <c r="ID255" t="e">
        <f>IF(#REF!,"AAAAACuf/+0=",0)</f>
        <v>#REF!</v>
      </c>
      <c r="IE255" t="e">
        <f>IF(#REF!,"AAAAACuf/+4=",0)</f>
        <v>#REF!</v>
      </c>
      <c r="IF255" t="e">
        <f>IF(#REF!,"AAAAACuf/+8=",0)</f>
        <v>#REF!</v>
      </c>
      <c r="IG255" t="e">
        <f>IF(#REF!,"AAAAACuf//A=",0)</f>
        <v>#REF!</v>
      </c>
      <c r="IH255" t="e">
        <f>IF(#REF!,"AAAAACuf//E=",0)</f>
        <v>#REF!</v>
      </c>
      <c r="II255" t="e">
        <f>IF(#REF!,"AAAAACuf//I=",0)</f>
        <v>#REF!</v>
      </c>
      <c r="IJ255" t="e">
        <f>IF(#REF!,"AAAAACuf//M=",0)</f>
        <v>#REF!</v>
      </c>
      <c r="IK255" t="e">
        <f>IF(#REF!,"AAAAACuf//Q=",0)</f>
        <v>#REF!</v>
      </c>
      <c r="IL255" t="e">
        <f>IF(#REF!,"AAAAACuf//U=",0)</f>
        <v>#REF!</v>
      </c>
      <c r="IM255" t="e">
        <f>IF(#REF!,"AAAAACuf//Y=",0)</f>
        <v>#REF!</v>
      </c>
      <c r="IN255" t="e">
        <f>IF(#REF!,"AAAAACuf//c=",0)</f>
        <v>#REF!</v>
      </c>
      <c r="IO255" t="e">
        <f>IF(#REF!,"AAAAACuf//g=",0)</f>
        <v>#REF!</v>
      </c>
      <c r="IP255" t="e">
        <f>IF(#REF!,"AAAAACuf//k=",0)</f>
        <v>#REF!</v>
      </c>
      <c r="IQ255" t="e">
        <f>IF(#REF!,"AAAAACuf//o=",0)</f>
        <v>#REF!</v>
      </c>
      <c r="IR255" t="e">
        <f>IF(#REF!,"AAAAACuf//s=",0)</f>
        <v>#REF!</v>
      </c>
      <c r="IS255" t="e">
        <f>IF(#REF!,"AAAAACuf//w=",0)</f>
        <v>#REF!</v>
      </c>
      <c r="IT255" t="e">
        <f>IF(#REF!,"AAAAACuf//0=",0)</f>
        <v>#REF!</v>
      </c>
      <c r="IU255" t="e">
        <f>IF(#REF!,"AAAAACuf//4=",0)</f>
        <v>#REF!</v>
      </c>
      <c r="IV255" t="e">
        <f>IF(#REF!,"AAAAACuf//8=",0)</f>
        <v>#REF!</v>
      </c>
    </row>
    <row r="256" spans="1:256">
      <c r="A256" t="e">
        <f>IF(#REF!,"AAAAAE+/XwA=",0)</f>
        <v>#REF!</v>
      </c>
      <c r="B256" t="e">
        <f>IF(#REF!,"AAAAAE+/XwE=",0)</f>
        <v>#REF!</v>
      </c>
      <c r="C256" t="e">
        <f>IF(#REF!,"AAAAAE+/XwI=",0)</f>
        <v>#REF!</v>
      </c>
      <c r="D256" t="e">
        <f>IF(#REF!,"AAAAAE+/XwM=",0)</f>
        <v>#REF!</v>
      </c>
      <c r="E256" t="e">
        <f>IF(#REF!,"AAAAAE+/XwQ=",0)</f>
        <v>#REF!</v>
      </c>
      <c r="F256" t="e">
        <f>IF(#REF!,"AAAAAE+/XwU=",0)</f>
        <v>#REF!</v>
      </c>
      <c r="G256" t="e">
        <f>IF(#REF!,"AAAAAE+/XwY=",0)</f>
        <v>#REF!</v>
      </c>
      <c r="H256" t="e">
        <f>IF(#REF!,"AAAAAE+/Xwc=",0)</f>
        <v>#REF!</v>
      </c>
      <c r="I256" t="e">
        <f>IF(#REF!,"AAAAAE+/Xwg=",0)</f>
        <v>#REF!</v>
      </c>
      <c r="J256" t="e">
        <f>IF(#REF!,"AAAAAE+/Xwk=",0)</f>
        <v>#REF!</v>
      </c>
      <c r="K256" t="e">
        <f>IF(#REF!,"AAAAAE+/Xwo=",0)</f>
        <v>#REF!</v>
      </c>
      <c r="L256" t="e">
        <f>IF(#REF!,"AAAAAE+/Xws=",0)</f>
        <v>#REF!</v>
      </c>
      <c r="M256" t="e">
        <f>IF(#REF!,"AAAAAE+/Xww=",0)</f>
        <v>#REF!</v>
      </c>
      <c r="N256" t="e">
        <f>IF(#REF!,"AAAAAE+/Xw0=",0)</f>
        <v>#REF!</v>
      </c>
      <c r="O256" t="e">
        <f>IF(#REF!,"AAAAAE+/Xw4=",0)</f>
        <v>#REF!</v>
      </c>
      <c r="P256" t="e">
        <f>IF(#REF!,"AAAAAE+/Xw8=",0)</f>
        <v>#REF!</v>
      </c>
      <c r="Q256" t="e">
        <f>IF(#REF!,"AAAAAE+/XxA=",0)</f>
        <v>#REF!</v>
      </c>
      <c r="R256" t="e">
        <f>IF(#REF!,"AAAAAE+/XxE=",0)</f>
        <v>#REF!</v>
      </c>
      <c r="S256" t="e">
        <f>IF(#REF!,"AAAAAE+/XxI=",0)</f>
        <v>#REF!</v>
      </c>
      <c r="T256" t="e">
        <f>IF(#REF!,"AAAAAE+/XxM=",0)</f>
        <v>#REF!</v>
      </c>
      <c r="U256" t="e">
        <f>IF(#REF!,"AAAAAE+/XxQ=",0)</f>
        <v>#REF!</v>
      </c>
      <c r="V256" t="e">
        <f>IF(#REF!,"AAAAAE+/XxU=",0)</f>
        <v>#REF!</v>
      </c>
      <c r="W256" t="e">
        <f>IF(#REF!,"AAAAAE+/XxY=",0)</f>
        <v>#REF!</v>
      </c>
      <c r="X256" t="e">
        <f>IF(#REF!,"AAAAAE+/Xxc=",0)</f>
        <v>#REF!</v>
      </c>
      <c r="Y256" t="e">
        <f>IF(#REF!,"AAAAAE+/Xxg=",0)</f>
        <v>#REF!</v>
      </c>
      <c r="Z256" t="e">
        <f>IF(#REF!,"AAAAAE+/Xxk=",0)</f>
        <v>#REF!</v>
      </c>
      <c r="AA256" t="e">
        <f>IF(#REF!,"AAAAAE+/Xxo=",0)</f>
        <v>#REF!</v>
      </c>
      <c r="AB256" t="e">
        <f>IF(#REF!,"AAAAAE+/Xxs=",0)</f>
        <v>#REF!</v>
      </c>
      <c r="AC256" t="e">
        <f>IF(#REF!,"AAAAAE+/Xxw=",0)</f>
        <v>#REF!</v>
      </c>
      <c r="AD256" t="e">
        <f>IF(#REF!,"AAAAAE+/Xx0=",0)</f>
        <v>#REF!</v>
      </c>
      <c r="AE256" t="e">
        <f>IF(#REF!,"AAAAAE+/Xx4=",0)</f>
        <v>#REF!</v>
      </c>
      <c r="AF256" t="e">
        <f>IF(#REF!,"AAAAAE+/Xx8=",0)</f>
        <v>#REF!</v>
      </c>
      <c r="AG256" t="e">
        <f>IF(#REF!,"AAAAAE+/XyA=",0)</f>
        <v>#REF!</v>
      </c>
      <c r="AH256" t="e">
        <f>IF(#REF!,"AAAAAE+/XyE=",0)</f>
        <v>#REF!</v>
      </c>
      <c r="AI256" t="e">
        <f>IF(#REF!,"AAAAAE+/XyI=",0)</f>
        <v>#REF!</v>
      </c>
      <c r="AJ256" t="e">
        <f>IF(#REF!,"AAAAAE+/XyM=",0)</f>
        <v>#REF!</v>
      </c>
      <c r="AK256" t="e">
        <f>IF(#REF!,"AAAAAE+/XyQ=",0)</f>
        <v>#REF!</v>
      </c>
      <c r="AL256" t="e">
        <f>IF(#REF!,"AAAAAE+/XyU=",0)</f>
        <v>#REF!</v>
      </c>
      <c r="AM256" t="e">
        <f>IF(#REF!,"AAAAAE+/XyY=",0)</f>
        <v>#REF!</v>
      </c>
      <c r="AN256" t="e">
        <f>IF(#REF!,"AAAAAE+/Xyc=",0)</f>
        <v>#REF!</v>
      </c>
      <c r="AO256" t="e">
        <f>IF(#REF!,"AAAAAE+/Xyg=",0)</f>
        <v>#REF!</v>
      </c>
      <c r="AP256" t="e">
        <f>IF(#REF!,"AAAAAE+/Xyk=",0)</f>
        <v>#REF!</v>
      </c>
      <c r="AQ256" t="e">
        <f>IF(#REF!,"AAAAAE+/Xyo=",0)</f>
        <v>#REF!</v>
      </c>
      <c r="AR256" t="e">
        <f>IF(#REF!,"AAAAAE+/Xys=",0)</f>
        <v>#REF!</v>
      </c>
      <c r="AS256" t="e">
        <f>IF(#REF!,"AAAAAE+/Xyw=",0)</f>
        <v>#REF!</v>
      </c>
      <c r="AT256" t="e">
        <f>IF(#REF!,"AAAAAE+/Xy0=",0)</f>
        <v>#REF!</v>
      </c>
      <c r="AU256" t="e">
        <f>IF(#REF!,"AAAAAE+/Xy4=",0)</f>
        <v>#REF!</v>
      </c>
      <c r="AV256" t="e">
        <f>IF(#REF!,"AAAAAE+/Xy8=",0)</f>
        <v>#REF!</v>
      </c>
      <c r="AW256" t="e">
        <f>IF(#REF!,"AAAAAE+/XzA=",0)</f>
        <v>#REF!</v>
      </c>
      <c r="AX256" t="e">
        <f>IF(#REF!,"AAAAAE+/XzE=",0)</f>
        <v>#REF!</v>
      </c>
      <c r="AY256" t="e">
        <f>IF(#REF!,"AAAAAE+/XzI=",0)</f>
        <v>#REF!</v>
      </c>
      <c r="AZ256" t="e">
        <f>IF(#REF!,"AAAAAE+/XzM=",0)</f>
        <v>#REF!</v>
      </c>
      <c r="BA256" t="e">
        <f>IF(#REF!,"AAAAAE+/XzQ=",0)</f>
        <v>#REF!</v>
      </c>
      <c r="BB256" t="e">
        <f>IF(#REF!,"AAAAAE+/XzU=",0)</f>
        <v>#REF!</v>
      </c>
      <c r="BC256" t="e">
        <f>IF(#REF!,"AAAAAE+/XzY=",0)</f>
        <v>#REF!</v>
      </c>
      <c r="BD256" t="e">
        <f>IF(#REF!,"AAAAAE+/Xzc=",0)</f>
        <v>#REF!</v>
      </c>
      <c r="BE256" t="e">
        <f>IF(#REF!,"AAAAAE+/Xzg=",0)</f>
        <v>#REF!</v>
      </c>
      <c r="BF256" t="e">
        <f>IF(#REF!,"AAAAAE+/Xzk=",0)</f>
        <v>#REF!</v>
      </c>
      <c r="BG256" t="e">
        <f>IF(#REF!,"AAAAAE+/Xzo=",0)</f>
        <v>#REF!</v>
      </c>
      <c r="BH256" t="e">
        <f>IF(#REF!,"AAAAAE+/Xzs=",0)</f>
        <v>#REF!</v>
      </c>
      <c r="BI256" t="e">
        <f>IF(#REF!,"AAAAAE+/Xzw=",0)</f>
        <v>#REF!</v>
      </c>
      <c r="BJ256" t="e">
        <f>IF(#REF!,"AAAAAE+/Xz0=",0)</f>
        <v>#REF!</v>
      </c>
      <c r="BK256" t="e">
        <f>IF(#REF!,"AAAAAE+/Xz4=",0)</f>
        <v>#REF!</v>
      </c>
      <c r="BL256" t="e">
        <f>IF(#REF!,"AAAAAE+/Xz8=",0)</f>
        <v>#REF!</v>
      </c>
      <c r="BM256" t="e">
        <f>IF(#REF!,"AAAAAE+/X0A=",0)</f>
        <v>#REF!</v>
      </c>
      <c r="BN256" t="e">
        <f>IF(#REF!,"AAAAAE+/X0E=",0)</f>
        <v>#REF!</v>
      </c>
      <c r="BO256" t="e">
        <f>IF(#REF!,"AAAAAE+/X0I=",0)</f>
        <v>#REF!</v>
      </c>
      <c r="BP256" t="e">
        <f>IF(#REF!,"AAAAAE+/X0M=",0)</f>
        <v>#REF!</v>
      </c>
      <c r="BQ256" t="e">
        <f>IF(#REF!,"AAAAAE+/X0Q=",0)</f>
        <v>#REF!</v>
      </c>
      <c r="BR256" t="e">
        <f>IF(#REF!,"AAAAAE+/X0U=",0)</f>
        <v>#REF!</v>
      </c>
      <c r="BS256" t="e">
        <f>IF(#REF!,"AAAAAE+/X0Y=",0)</f>
        <v>#REF!</v>
      </c>
      <c r="BT256" t="e">
        <f>IF(#REF!,"AAAAAE+/X0c=",0)</f>
        <v>#REF!</v>
      </c>
      <c r="BU256" t="e">
        <f>IF(#REF!,"AAAAAE+/X0g=",0)</f>
        <v>#REF!</v>
      </c>
      <c r="BV256" t="e">
        <f>IF(#REF!,"AAAAAE+/X0k=",0)</f>
        <v>#REF!</v>
      </c>
      <c r="BW256" t="e">
        <f>IF(#REF!,"AAAAAE+/X0o=",0)</f>
        <v>#REF!</v>
      </c>
      <c r="BX256" t="e">
        <f>IF(#REF!,"AAAAAE+/X0s=",0)</f>
        <v>#REF!</v>
      </c>
      <c r="BY256" t="e">
        <f>IF(#REF!,"AAAAAE+/X0w=",0)</f>
        <v>#REF!</v>
      </c>
      <c r="BZ256" t="e">
        <f>IF(#REF!,"AAAAAE+/X00=",0)</f>
        <v>#REF!</v>
      </c>
      <c r="CA256" t="e">
        <f>IF(#REF!,"AAAAAE+/X04=",0)</f>
        <v>#REF!</v>
      </c>
      <c r="CB256" t="e">
        <f>IF(#REF!,"AAAAAE+/X08=",0)</f>
        <v>#REF!</v>
      </c>
      <c r="CC256" t="e">
        <f>IF(#REF!,"AAAAAE+/X1A=",0)</f>
        <v>#REF!</v>
      </c>
      <c r="CD256" t="e">
        <f>IF(#REF!,"AAAAAE+/X1E=",0)</f>
        <v>#REF!</v>
      </c>
      <c r="CE256" t="e">
        <f>IF(#REF!,"AAAAAE+/X1I=",0)</f>
        <v>#REF!</v>
      </c>
      <c r="CF256" t="e">
        <f>IF(#REF!,"AAAAAE+/X1M=",0)</f>
        <v>#REF!</v>
      </c>
      <c r="CG256" t="e">
        <f>IF(#REF!,"AAAAAE+/X1Q=",0)</f>
        <v>#REF!</v>
      </c>
      <c r="CH256" t="e">
        <f>IF(#REF!,"AAAAAE+/X1U=",0)</f>
        <v>#REF!</v>
      </c>
      <c r="CI256" t="e">
        <f>IF(#REF!,"AAAAAE+/X1Y=",0)</f>
        <v>#REF!</v>
      </c>
      <c r="CJ256" t="e">
        <f>IF(#REF!,"AAAAAE+/X1c=",0)</f>
        <v>#REF!</v>
      </c>
      <c r="CK256" t="e">
        <f>IF(#REF!,"AAAAAE+/X1g=",0)</f>
        <v>#REF!</v>
      </c>
      <c r="CL256" t="e">
        <f>IF(#REF!,"AAAAAE+/X1k=",0)</f>
        <v>#REF!</v>
      </c>
      <c r="CM256" t="e">
        <f>IF(#REF!,"AAAAAE+/X1o=",0)</f>
        <v>#REF!</v>
      </c>
      <c r="CN256" t="e">
        <f>IF(#REF!,"AAAAAE+/X1s=",0)</f>
        <v>#REF!</v>
      </c>
      <c r="CO256" t="e">
        <f>IF(#REF!,"AAAAAE+/X1w=",0)</f>
        <v>#REF!</v>
      </c>
      <c r="CP256" t="e">
        <f>IF(#REF!,"AAAAAE+/X10=",0)</f>
        <v>#REF!</v>
      </c>
      <c r="CQ256" t="e">
        <f>IF(#REF!,"AAAAAE+/X14=",0)</f>
        <v>#REF!</v>
      </c>
      <c r="CR256" t="e">
        <f>IF(#REF!,"AAAAAE+/X18=",0)</f>
        <v>#REF!</v>
      </c>
      <c r="CS256" t="e">
        <f>IF(#REF!,"AAAAAE+/X2A=",0)</f>
        <v>#REF!</v>
      </c>
      <c r="CT256" t="e">
        <f>IF(#REF!,"AAAAAE+/X2E=",0)</f>
        <v>#REF!</v>
      </c>
      <c r="CU256" t="e">
        <f>IF(#REF!,"AAAAAE+/X2I=",0)</f>
        <v>#REF!</v>
      </c>
      <c r="CV256" t="e">
        <f>IF(#REF!,"AAAAAE+/X2M=",0)</f>
        <v>#REF!</v>
      </c>
      <c r="CW256" t="e">
        <f>IF(#REF!,"AAAAAE+/X2Q=",0)</f>
        <v>#REF!</v>
      </c>
      <c r="CX256" t="e">
        <f>IF(#REF!,"AAAAAE+/X2U=",0)</f>
        <v>#REF!</v>
      </c>
      <c r="CY256" t="e">
        <f>IF(#REF!,"AAAAAE+/X2Y=",0)</f>
        <v>#REF!</v>
      </c>
      <c r="CZ256" t="e">
        <f>IF(#REF!,"AAAAAE+/X2c=",0)</f>
        <v>#REF!</v>
      </c>
      <c r="DA256" t="e">
        <f>IF(#REF!,"AAAAAE+/X2g=",0)</f>
        <v>#REF!</v>
      </c>
      <c r="DB256" t="e">
        <f>IF(#REF!,"AAAAAE+/X2k=",0)</f>
        <v>#REF!</v>
      </c>
      <c r="DC256" t="e">
        <f>IF(#REF!,"AAAAAE+/X2o=",0)</f>
        <v>#REF!</v>
      </c>
      <c r="DD256" t="e">
        <f>IF(#REF!,"AAAAAE+/X2s=",0)</f>
        <v>#REF!</v>
      </c>
      <c r="DE256" t="e">
        <f>IF(#REF!,"AAAAAE+/X2w=",0)</f>
        <v>#REF!</v>
      </c>
      <c r="DF256" t="e">
        <f>IF(#REF!,"AAAAAE+/X20=",0)</f>
        <v>#REF!</v>
      </c>
      <c r="DG256" t="e">
        <f>IF(#REF!,"AAAAAE+/X24=",0)</f>
        <v>#REF!</v>
      </c>
      <c r="DH256" t="e">
        <f>IF(#REF!,"AAAAAE+/X28=",0)</f>
        <v>#REF!</v>
      </c>
      <c r="DI256" t="e">
        <f>IF(#REF!,"AAAAAE+/X3A=",0)</f>
        <v>#REF!</v>
      </c>
      <c r="DJ256" t="e">
        <f>IF(#REF!,"AAAAAE+/X3E=",0)</f>
        <v>#REF!</v>
      </c>
      <c r="DK256" t="e">
        <f>IF(#REF!,"AAAAAE+/X3I=",0)</f>
        <v>#REF!</v>
      </c>
      <c r="DL256" t="e">
        <f>IF(#REF!,"AAAAAE+/X3M=",0)</f>
        <v>#REF!</v>
      </c>
      <c r="DM256" t="e">
        <f>IF(#REF!,"AAAAAE+/X3Q=",0)</f>
        <v>#REF!</v>
      </c>
      <c r="DN256" t="e">
        <f>IF(#REF!,"AAAAAE+/X3U=",0)</f>
        <v>#REF!</v>
      </c>
      <c r="DO256" t="e">
        <f>IF(#REF!,"AAAAAE+/X3Y=",0)</f>
        <v>#REF!</v>
      </c>
      <c r="DP256" t="e">
        <f>IF(#REF!,"AAAAAE+/X3c=",0)</f>
        <v>#REF!</v>
      </c>
      <c r="DQ256" t="e">
        <f>IF(#REF!,"AAAAAE+/X3g=",0)</f>
        <v>#REF!</v>
      </c>
      <c r="DR256" t="e">
        <f>IF(#REF!,"AAAAAE+/X3k=",0)</f>
        <v>#REF!</v>
      </c>
      <c r="DS256" t="e">
        <f>IF(#REF!,"AAAAAE+/X3o=",0)</f>
        <v>#REF!</v>
      </c>
      <c r="DT256" t="e">
        <f>IF(#REF!,"AAAAAE+/X3s=",0)</f>
        <v>#REF!</v>
      </c>
      <c r="DU256" t="e">
        <f>IF(#REF!,"AAAAAE+/X3w=",0)</f>
        <v>#REF!</v>
      </c>
      <c r="DV256" t="e">
        <f>IF(#REF!,"AAAAAE+/X30=",0)</f>
        <v>#REF!</v>
      </c>
      <c r="DW256" t="e">
        <f>IF(#REF!,"AAAAAE+/X34=",0)</f>
        <v>#REF!</v>
      </c>
      <c r="DX256" t="e">
        <f>IF(#REF!,"AAAAAE+/X38=",0)</f>
        <v>#REF!</v>
      </c>
      <c r="DY256" t="e">
        <f>IF(#REF!,"AAAAAE+/X4A=",0)</f>
        <v>#REF!</v>
      </c>
      <c r="DZ256" t="e">
        <f>IF(#REF!,"AAAAAE+/X4E=",0)</f>
        <v>#REF!</v>
      </c>
      <c r="EA256" t="e">
        <f>IF(#REF!,"AAAAAE+/X4I=",0)</f>
        <v>#REF!</v>
      </c>
      <c r="EB256" t="e">
        <f>IF(#REF!,"AAAAAE+/X4M=",0)</f>
        <v>#REF!</v>
      </c>
      <c r="EC256" t="e">
        <f>IF(#REF!,"AAAAAE+/X4Q=",0)</f>
        <v>#REF!</v>
      </c>
      <c r="ED256" t="e">
        <f>IF(#REF!,"AAAAAE+/X4U=",0)</f>
        <v>#REF!</v>
      </c>
      <c r="EE256" t="e">
        <f>IF(#REF!,"AAAAAE+/X4Y=",0)</f>
        <v>#REF!</v>
      </c>
      <c r="EF256" t="e">
        <f>IF(#REF!,"AAAAAE+/X4c=",0)</f>
        <v>#REF!</v>
      </c>
      <c r="EG256" t="e">
        <f>IF(#REF!,"AAAAAE+/X4g=",0)</f>
        <v>#REF!</v>
      </c>
      <c r="EH256" t="e">
        <f>IF(#REF!,"AAAAAE+/X4k=",0)</f>
        <v>#REF!</v>
      </c>
      <c r="EI256" t="e">
        <f>IF(#REF!,"AAAAAE+/X4o=",0)</f>
        <v>#REF!</v>
      </c>
      <c r="EJ256" t="e">
        <f>IF(#REF!,"AAAAAE+/X4s=",0)</f>
        <v>#REF!</v>
      </c>
      <c r="EK256" t="e">
        <f>IF(#REF!,"AAAAAE+/X4w=",0)</f>
        <v>#REF!</v>
      </c>
      <c r="EL256" t="e">
        <f>IF(#REF!,"AAAAAE+/X40=",0)</f>
        <v>#REF!</v>
      </c>
      <c r="EM256" t="e">
        <f>IF(#REF!,"AAAAAE+/X44=",0)</f>
        <v>#REF!</v>
      </c>
      <c r="EN256" t="e">
        <f>IF(#REF!,"AAAAAE+/X48=",0)</f>
        <v>#REF!</v>
      </c>
      <c r="EO256" t="e">
        <f>IF(#REF!,"AAAAAE+/X5A=",0)</f>
        <v>#REF!</v>
      </c>
      <c r="EP256" t="e">
        <f>IF(#REF!,"AAAAAE+/X5E=",0)</f>
        <v>#REF!</v>
      </c>
      <c r="EQ256" t="e">
        <f>IF(#REF!,"AAAAAE+/X5I=",0)</f>
        <v>#REF!</v>
      </c>
      <c r="ER256" t="e">
        <f>IF(#REF!,"AAAAAE+/X5M=",0)</f>
        <v>#REF!</v>
      </c>
      <c r="ES256" t="e">
        <f>IF(#REF!,"AAAAAE+/X5Q=",0)</f>
        <v>#REF!</v>
      </c>
      <c r="ET256" t="e">
        <f>IF(#REF!,"AAAAAE+/X5U=",0)</f>
        <v>#REF!</v>
      </c>
      <c r="EU256" t="e">
        <f>IF(#REF!,"AAAAAE+/X5Y=",0)</f>
        <v>#REF!</v>
      </c>
      <c r="EV256" t="e">
        <f>IF(#REF!,"AAAAAE+/X5c=",0)</f>
        <v>#REF!</v>
      </c>
      <c r="EW256" t="e">
        <f>IF(#REF!,"AAAAAE+/X5g=",0)</f>
        <v>#REF!</v>
      </c>
      <c r="EX256" t="e">
        <f>IF(#REF!,"AAAAAE+/X5k=",0)</f>
        <v>#REF!</v>
      </c>
      <c r="EY256" t="e">
        <f>IF(#REF!,"AAAAAE+/X5o=",0)</f>
        <v>#REF!</v>
      </c>
      <c r="EZ256" t="e">
        <f>IF(#REF!,"AAAAAE+/X5s=",0)</f>
        <v>#REF!</v>
      </c>
      <c r="FA256" t="e">
        <f>IF(#REF!,"AAAAAE+/X5w=",0)</f>
        <v>#REF!</v>
      </c>
      <c r="FB256" t="e">
        <f>IF(#REF!,"AAAAAE+/X50=",0)</f>
        <v>#REF!</v>
      </c>
      <c r="FC256" t="e">
        <f>IF(#REF!,"AAAAAE+/X54=",0)</f>
        <v>#REF!</v>
      </c>
      <c r="FD256" t="e">
        <f>IF(#REF!,"AAAAAE+/X58=",0)</f>
        <v>#REF!</v>
      </c>
      <c r="FE256" t="e">
        <f>IF(#REF!,"AAAAAE+/X6A=",0)</f>
        <v>#REF!</v>
      </c>
      <c r="FF256" t="e">
        <f>IF(#REF!,"AAAAAE+/X6E=",0)</f>
        <v>#REF!</v>
      </c>
      <c r="FG256" t="e">
        <f>IF(#REF!,"AAAAAE+/X6I=",0)</f>
        <v>#REF!</v>
      </c>
      <c r="FH256" t="e">
        <f>IF(#REF!,"AAAAAE+/X6M=",0)</f>
        <v>#REF!</v>
      </c>
      <c r="FI256" t="e">
        <f>IF(#REF!,"AAAAAE+/X6Q=",0)</f>
        <v>#REF!</v>
      </c>
      <c r="FJ256" t="e">
        <f>IF(#REF!,"AAAAAE+/X6U=",0)</f>
        <v>#REF!</v>
      </c>
      <c r="FK256" t="e">
        <f>IF(#REF!,"AAAAAE+/X6Y=",0)</f>
        <v>#REF!</v>
      </c>
      <c r="FL256" t="e">
        <f>IF(#REF!,"AAAAAE+/X6c=",0)</f>
        <v>#REF!</v>
      </c>
      <c r="FM256" t="e">
        <f>IF(#REF!,"AAAAAE+/X6g=",0)</f>
        <v>#REF!</v>
      </c>
      <c r="FN256" t="e">
        <f>IF(#REF!,"AAAAAE+/X6k=",0)</f>
        <v>#REF!</v>
      </c>
      <c r="FO256" t="e">
        <f>IF(#REF!,"AAAAAE+/X6o=",0)</f>
        <v>#REF!</v>
      </c>
      <c r="FP256" t="e">
        <f>IF(#REF!,"AAAAAE+/X6s=",0)</f>
        <v>#REF!</v>
      </c>
      <c r="FQ256" t="e">
        <f>IF(#REF!,"AAAAAE+/X6w=",0)</f>
        <v>#REF!</v>
      </c>
      <c r="FR256" t="e">
        <f>IF(#REF!,"AAAAAE+/X60=",0)</f>
        <v>#REF!</v>
      </c>
      <c r="FS256" t="e">
        <f>IF(#REF!,"AAAAAE+/X64=",0)</f>
        <v>#REF!</v>
      </c>
      <c r="FT256" t="e">
        <f>IF(#REF!,"AAAAAE+/X68=",0)</f>
        <v>#REF!</v>
      </c>
      <c r="FU256" t="e">
        <f>IF(#REF!,"AAAAAE+/X7A=",0)</f>
        <v>#REF!</v>
      </c>
      <c r="FV256" t="e">
        <f>IF(#REF!,"AAAAAE+/X7E=",0)</f>
        <v>#REF!</v>
      </c>
      <c r="FW256" t="e">
        <f>IF(#REF!,"AAAAAE+/X7I=",0)</f>
        <v>#REF!</v>
      </c>
      <c r="FX256" t="e">
        <f>IF(#REF!,"AAAAAE+/X7M=",0)</f>
        <v>#REF!</v>
      </c>
      <c r="FY256" t="e">
        <f>IF(#REF!,"AAAAAE+/X7Q=",0)</f>
        <v>#REF!</v>
      </c>
      <c r="FZ256" t="e">
        <f>IF(#REF!,"AAAAAE+/X7U=",0)</f>
        <v>#REF!</v>
      </c>
      <c r="GA256" t="e">
        <f>IF(#REF!,"AAAAAE+/X7Y=",0)</f>
        <v>#REF!</v>
      </c>
      <c r="GB256" t="e">
        <f>IF(#REF!,"AAAAAE+/X7c=",0)</f>
        <v>#REF!</v>
      </c>
      <c r="GC256" t="e">
        <f>IF(#REF!,"AAAAAE+/X7g=",0)</f>
        <v>#REF!</v>
      </c>
      <c r="GD256" t="e">
        <f>IF(#REF!,"AAAAAE+/X7k=",0)</f>
        <v>#REF!</v>
      </c>
      <c r="GE256" t="e">
        <f>IF(#REF!,"AAAAAE+/X7o=",0)</f>
        <v>#REF!</v>
      </c>
      <c r="GF256" t="e">
        <f>IF(#REF!,"AAAAAE+/X7s=",0)</f>
        <v>#REF!</v>
      </c>
      <c r="GG256" t="e">
        <f>IF(#REF!,"AAAAAE+/X7w=",0)</f>
        <v>#REF!</v>
      </c>
      <c r="GH256" t="e">
        <f>IF(#REF!,"AAAAAE+/X70=",0)</f>
        <v>#REF!</v>
      </c>
      <c r="GI256" t="e">
        <f>IF(#REF!,"AAAAAE+/X74=",0)</f>
        <v>#REF!</v>
      </c>
      <c r="GJ256" t="e">
        <f>IF(#REF!,"AAAAAE+/X78=",0)</f>
        <v>#REF!</v>
      </c>
      <c r="GK256" t="e">
        <f>IF(#REF!,"AAAAAE+/X8A=",0)</f>
        <v>#REF!</v>
      </c>
      <c r="GL256" t="e">
        <f>IF(#REF!,"AAAAAE+/X8E=",0)</f>
        <v>#REF!</v>
      </c>
      <c r="GM256" t="e">
        <f>IF(#REF!,"AAAAAE+/X8I=",0)</f>
        <v>#REF!</v>
      </c>
      <c r="GN256" t="e">
        <f>IF(#REF!,"AAAAAE+/X8M=",0)</f>
        <v>#REF!</v>
      </c>
      <c r="GO256" t="e">
        <f>IF(#REF!,"AAAAAE+/X8Q=",0)</f>
        <v>#REF!</v>
      </c>
      <c r="GP256" t="e">
        <f>IF(#REF!,"AAAAAE+/X8U=",0)</f>
        <v>#REF!</v>
      </c>
      <c r="GQ256" t="e">
        <f>IF(#REF!,"AAAAAE+/X8Y=",0)</f>
        <v>#REF!</v>
      </c>
      <c r="GR256" t="e">
        <f>IF(#REF!,"AAAAAE+/X8c=",0)</f>
        <v>#REF!</v>
      </c>
      <c r="GS256" t="e">
        <f>IF(#REF!,"AAAAAE+/X8g=",0)</f>
        <v>#REF!</v>
      </c>
      <c r="GT256" t="e">
        <f>IF(#REF!,"AAAAAE+/X8k=",0)</f>
        <v>#REF!</v>
      </c>
      <c r="GU256" t="e">
        <f>IF(#REF!,"AAAAAE+/X8o=",0)</f>
        <v>#REF!</v>
      </c>
      <c r="GV256" t="e">
        <f>IF(#REF!,"AAAAAE+/X8s=",0)</f>
        <v>#REF!</v>
      </c>
      <c r="GW256" t="e">
        <f>IF(#REF!,"AAAAAE+/X8w=",0)</f>
        <v>#REF!</v>
      </c>
      <c r="GX256" t="e">
        <f>IF(#REF!,"AAAAAE+/X80=",0)</f>
        <v>#REF!</v>
      </c>
      <c r="GY256" t="e">
        <f>IF(#REF!,"AAAAAE+/X84=",0)</f>
        <v>#REF!</v>
      </c>
      <c r="GZ256" t="e">
        <f>IF(#REF!,"AAAAAE+/X88=",0)</f>
        <v>#REF!</v>
      </c>
      <c r="HA256" t="e">
        <f>IF(#REF!,"AAAAAE+/X9A=",0)</f>
        <v>#REF!</v>
      </c>
      <c r="HB256" t="e">
        <f>IF(#REF!,"AAAAAE+/X9E=",0)</f>
        <v>#REF!</v>
      </c>
      <c r="HC256" t="e">
        <f>IF(#REF!,"AAAAAE+/X9I=",0)</f>
        <v>#REF!</v>
      </c>
      <c r="HD256" t="e">
        <f>IF(#REF!,"AAAAAE+/X9M=",0)</f>
        <v>#REF!</v>
      </c>
      <c r="HE256" t="e">
        <f>IF(#REF!,"AAAAAE+/X9Q=",0)</f>
        <v>#REF!</v>
      </c>
      <c r="HF256" t="e">
        <f>IF(#REF!,"AAAAAE+/X9U=",0)</f>
        <v>#REF!</v>
      </c>
      <c r="HG256" t="e">
        <f>IF(#REF!,"AAAAAE+/X9Y=",0)</f>
        <v>#REF!</v>
      </c>
      <c r="HH256" t="e">
        <f>IF(#REF!,"AAAAAE+/X9c=",0)</f>
        <v>#REF!</v>
      </c>
      <c r="HI256" t="e">
        <f>IF(#REF!,"AAAAAE+/X9g=",0)</f>
        <v>#REF!</v>
      </c>
      <c r="HJ256" t="e">
        <f>IF(#REF!,"AAAAAE+/X9k=",0)</f>
        <v>#REF!</v>
      </c>
      <c r="HK256" t="e">
        <f>IF(#REF!,"AAAAAE+/X9o=",0)</f>
        <v>#REF!</v>
      </c>
      <c r="HL256" t="e">
        <f>IF(#REF!,"AAAAAE+/X9s=",0)</f>
        <v>#REF!</v>
      </c>
      <c r="HM256" t="e">
        <f>IF(#REF!,"AAAAAE+/X9w=",0)</f>
        <v>#REF!</v>
      </c>
      <c r="HN256" t="e">
        <f>IF(#REF!,"AAAAAE+/X90=",0)</f>
        <v>#REF!</v>
      </c>
      <c r="HO256" t="e">
        <f>IF(#REF!,"AAAAAE+/X94=",0)</f>
        <v>#REF!</v>
      </c>
      <c r="HP256" t="e">
        <f>IF(#REF!,"AAAAAE+/X98=",0)</f>
        <v>#REF!</v>
      </c>
      <c r="HQ256" t="e">
        <f>IF(#REF!,"AAAAAE+/X+A=",0)</f>
        <v>#REF!</v>
      </c>
      <c r="HR256" t="e">
        <f>IF(#REF!,"AAAAAE+/X+E=",0)</f>
        <v>#REF!</v>
      </c>
      <c r="HS256" t="e">
        <f>IF(#REF!,"AAAAAE+/X+I=",0)</f>
        <v>#REF!</v>
      </c>
      <c r="HT256" t="e">
        <f>IF(#REF!,"AAAAAE+/X+M=",0)</f>
        <v>#REF!</v>
      </c>
      <c r="HU256" t="e">
        <f>IF(#REF!,"AAAAAE+/X+Q=",0)</f>
        <v>#REF!</v>
      </c>
      <c r="HV256" t="e">
        <f>IF(#REF!,"AAAAAE+/X+U=",0)</f>
        <v>#REF!</v>
      </c>
      <c r="HW256" t="e">
        <f>IF(#REF!,"AAAAAE+/X+Y=",0)</f>
        <v>#REF!</v>
      </c>
      <c r="HX256" t="e">
        <f>IF(#REF!,"AAAAAE+/X+c=",0)</f>
        <v>#REF!</v>
      </c>
      <c r="HY256" t="e">
        <f>IF(#REF!,"AAAAAE+/X+g=",0)</f>
        <v>#REF!</v>
      </c>
      <c r="HZ256" t="e">
        <f>IF(#REF!,"AAAAAE+/X+k=",0)</f>
        <v>#REF!</v>
      </c>
      <c r="IA256" t="e">
        <f>IF(#REF!,"AAAAAE+/X+o=",0)</f>
        <v>#REF!</v>
      </c>
      <c r="IB256" t="e">
        <f>IF(#REF!,"AAAAAE+/X+s=",0)</f>
        <v>#REF!</v>
      </c>
      <c r="IC256" t="e">
        <f>IF(#REF!,"AAAAAE+/X+w=",0)</f>
        <v>#REF!</v>
      </c>
      <c r="ID256" t="e">
        <f>IF(#REF!,"AAAAAE+/X+0=",0)</f>
        <v>#REF!</v>
      </c>
      <c r="IE256" t="e">
        <f>IF(#REF!,"AAAAAE+/X+4=",0)</f>
        <v>#REF!</v>
      </c>
      <c r="IF256" t="e">
        <f>IF(#REF!,"AAAAAE+/X+8=",0)</f>
        <v>#REF!</v>
      </c>
      <c r="IG256" t="e">
        <f>IF(#REF!,"AAAAAE+/X/A=",0)</f>
        <v>#REF!</v>
      </c>
      <c r="IH256" t="e">
        <f>IF(#REF!,"AAAAAE+/X/E=",0)</f>
        <v>#REF!</v>
      </c>
      <c r="II256" t="e">
        <f>IF(#REF!,"AAAAAE+/X/I=",0)</f>
        <v>#REF!</v>
      </c>
      <c r="IJ256" t="e">
        <f>IF(#REF!,"AAAAAE+/X/M=",0)</f>
        <v>#REF!</v>
      </c>
      <c r="IK256" t="e">
        <f>IF(#REF!,"AAAAAE+/X/Q=",0)</f>
        <v>#REF!</v>
      </c>
      <c r="IL256" t="e">
        <f>IF(#REF!,"AAAAAE+/X/U=",0)</f>
        <v>#REF!</v>
      </c>
      <c r="IM256" t="e">
        <f>IF(#REF!,"AAAAAE+/X/Y=",0)</f>
        <v>#REF!</v>
      </c>
      <c r="IN256" t="e">
        <f>IF(#REF!,"AAAAAE+/X/c=",0)</f>
        <v>#REF!</v>
      </c>
      <c r="IO256" t="e">
        <f>IF(#REF!,"AAAAAE+/X/g=",0)</f>
        <v>#REF!</v>
      </c>
      <c r="IP256" t="e">
        <f>IF(#REF!,"AAAAAE+/X/k=",0)</f>
        <v>#REF!</v>
      </c>
      <c r="IQ256" t="e">
        <f>IF(#REF!,"AAAAAE+/X/o=",0)</f>
        <v>#REF!</v>
      </c>
      <c r="IR256" t="e">
        <f>IF(#REF!,"AAAAAE+/X/s=",0)</f>
        <v>#REF!</v>
      </c>
      <c r="IS256" t="e">
        <f>IF(#REF!,"AAAAAE+/X/w=",0)</f>
        <v>#REF!</v>
      </c>
      <c r="IT256" t="e">
        <f>IF(#REF!,"AAAAAE+/X/0=",0)</f>
        <v>#REF!</v>
      </c>
      <c r="IU256" t="e">
        <f>IF(#REF!,"AAAAAE+/X/4=",0)</f>
        <v>#REF!</v>
      </c>
      <c r="IV256" t="e">
        <f>IF(#REF!,"AAAAAE+/X/8=",0)</f>
        <v>#REF!</v>
      </c>
    </row>
    <row r="257" spans="1:256">
      <c r="A257" t="e">
        <f>IF(#REF!,"AAAAAG2nvwA=",0)</f>
        <v>#REF!</v>
      </c>
      <c r="B257" t="e">
        <f>IF(#REF!,"AAAAAG2nvwE=",0)</f>
        <v>#REF!</v>
      </c>
      <c r="C257" t="e">
        <f>IF(#REF!,"AAAAAG2nvwI=",0)</f>
        <v>#REF!</v>
      </c>
      <c r="D257" t="e">
        <f>IF(#REF!,"AAAAAG2nvwM=",0)</f>
        <v>#REF!</v>
      </c>
      <c r="E257" t="e">
        <f>IF(#REF!,"AAAAAG2nvwQ=",0)</f>
        <v>#REF!</v>
      </c>
      <c r="F257" t="e">
        <f>IF(#REF!,"AAAAAG2nvwU=",0)</f>
        <v>#REF!</v>
      </c>
      <c r="G257" t="e">
        <f>IF(#REF!,"AAAAAG2nvwY=",0)</f>
        <v>#REF!</v>
      </c>
      <c r="H257" t="e">
        <f>IF(#REF!,"AAAAAG2nvwc=",0)</f>
        <v>#REF!</v>
      </c>
      <c r="I257" t="e">
        <f>IF(#REF!,"AAAAAG2nvwg=",0)</f>
        <v>#REF!</v>
      </c>
      <c r="J257" t="e">
        <f>IF(#REF!,"AAAAAG2nvwk=",0)</f>
        <v>#REF!</v>
      </c>
      <c r="K257" t="e">
        <f>IF(#REF!,"AAAAAG2nvwo=",0)</f>
        <v>#REF!</v>
      </c>
      <c r="L257" t="e">
        <f>IF(#REF!,"AAAAAG2nvws=",0)</f>
        <v>#REF!</v>
      </c>
      <c r="M257" t="e">
        <f>IF(#REF!,"AAAAAG2nvww=",0)</f>
        <v>#REF!</v>
      </c>
      <c r="N257" t="e">
        <f>IF(#REF!,"AAAAAG2nvw0=",0)</f>
        <v>#REF!</v>
      </c>
      <c r="O257" t="e">
        <f>IF(#REF!,"AAAAAG2nvw4=",0)</f>
        <v>#REF!</v>
      </c>
      <c r="P257" t="e">
        <f>IF(#REF!,"AAAAAG2nvw8=",0)</f>
        <v>#REF!</v>
      </c>
      <c r="Q257" t="e">
        <f>IF(#REF!,"AAAAAG2nvxA=",0)</f>
        <v>#REF!</v>
      </c>
      <c r="R257" t="e">
        <f>IF(#REF!,"AAAAAG2nvxE=",0)</f>
        <v>#REF!</v>
      </c>
      <c r="S257" t="e">
        <f>IF(#REF!,"AAAAAG2nvxI=",0)</f>
        <v>#REF!</v>
      </c>
      <c r="T257" t="e">
        <f>IF(#REF!,"AAAAAG2nvxM=",0)</f>
        <v>#REF!</v>
      </c>
      <c r="U257" t="e">
        <f>IF(#REF!,"AAAAAG2nvxQ=",0)</f>
        <v>#REF!</v>
      </c>
      <c r="V257" t="e">
        <f>IF(#REF!,"AAAAAG2nvxU=",0)</f>
        <v>#REF!</v>
      </c>
      <c r="W257" t="e">
        <f>IF(#REF!,"AAAAAG2nvxY=",0)</f>
        <v>#REF!</v>
      </c>
      <c r="X257" t="e">
        <f>IF(#REF!,"AAAAAG2nvxc=",0)</f>
        <v>#REF!</v>
      </c>
      <c r="Y257" t="e">
        <f>IF(#REF!,"AAAAAG2nvxg=",0)</f>
        <v>#REF!</v>
      </c>
      <c r="Z257" t="e">
        <f>IF(#REF!,"AAAAAG2nvxk=",0)</f>
        <v>#REF!</v>
      </c>
      <c r="AA257" t="e">
        <f>IF(#REF!,"AAAAAG2nvxo=",0)</f>
        <v>#REF!</v>
      </c>
      <c r="AB257" t="e">
        <f>IF(#REF!,"AAAAAG2nvxs=",0)</f>
        <v>#REF!</v>
      </c>
      <c r="AC257" t="e">
        <f>IF(#REF!,"AAAAAG2nvxw=",0)</f>
        <v>#REF!</v>
      </c>
      <c r="AD257" t="e">
        <f>IF(#REF!,"AAAAAG2nvx0=",0)</f>
        <v>#REF!</v>
      </c>
      <c r="AE257" t="e">
        <f>IF(#REF!,"AAAAAG2nvx4=",0)</f>
        <v>#REF!</v>
      </c>
      <c r="AF257" t="e">
        <f>IF(#REF!,"AAAAAG2nvx8=",0)</f>
        <v>#REF!</v>
      </c>
      <c r="AG257" t="e">
        <f>IF(#REF!,"AAAAAG2nvyA=",0)</f>
        <v>#REF!</v>
      </c>
      <c r="AH257" t="e">
        <f>IF(#REF!,"AAAAAG2nvyE=",0)</f>
        <v>#REF!</v>
      </c>
      <c r="AI257" t="e">
        <f>IF(#REF!,"AAAAAG2nvyI=",0)</f>
        <v>#REF!</v>
      </c>
      <c r="AJ257" t="e">
        <f>IF(#REF!,"AAAAAG2nvyM=",0)</f>
        <v>#REF!</v>
      </c>
      <c r="AK257" t="e">
        <f>IF(#REF!,"AAAAAG2nvyQ=",0)</f>
        <v>#REF!</v>
      </c>
      <c r="AL257" t="e">
        <f>IF(#REF!,"AAAAAG2nvyU=",0)</f>
        <v>#REF!</v>
      </c>
      <c r="AM257" t="e">
        <f>IF(#REF!,"AAAAAG2nvyY=",0)</f>
        <v>#REF!</v>
      </c>
      <c r="AN257" t="e">
        <f>IF(#REF!,"AAAAAG2nvyc=",0)</f>
        <v>#REF!</v>
      </c>
      <c r="AO257" t="e">
        <f>IF(#REF!,"AAAAAG2nvyg=",0)</f>
        <v>#REF!</v>
      </c>
      <c r="AP257" t="e">
        <f>IF(#REF!,"AAAAAG2nvyk=",0)</f>
        <v>#REF!</v>
      </c>
      <c r="AQ257" t="e">
        <f>IF(#REF!,"AAAAAG2nvyo=",0)</f>
        <v>#REF!</v>
      </c>
      <c r="AR257" t="e">
        <f>IF(#REF!,"AAAAAG2nvys=",0)</f>
        <v>#REF!</v>
      </c>
      <c r="AS257" t="e">
        <f>IF(#REF!,"AAAAAG2nvyw=",0)</f>
        <v>#REF!</v>
      </c>
      <c r="AT257" t="e">
        <f>IF(#REF!,"AAAAAG2nvy0=",0)</f>
        <v>#REF!</v>
      </c>
      <c r="AU257" t="e">
        <f>IF(#REF!,"AAAAAG2nvy4=",0)</f>
        <v>#REF!</v>
      </c>
      <c r="AV257" t="e">
        <f>IF(#REF!,"AAAAAG2nvy8=",0)</f>
        <v>#REF!</v>
      </c>
      <c r="AW257" t="e">
        <f>IF(#REF!,"AAAAAG2nvzA=",0)</f>
        <v>#REF!</v>
      </c>
      <c r="AX257" t="e">
        <f>IF(#REF!,"AAAAAG2nvzE=",0)</f>
        <v>#REF!</v>
      </c>
      <c r="AY257" t="e">
        <f>IF(#REF!,"AAAAAG2nvzI=",0)</f>
        <v>#REF!</v>
      </c>
      <c r="AZ257" t="e">
        <f>IF(#REF!,"AAAAAG2nvzM=",0)</f>
        <v>#REF!</v>
      </c>
      <c r="BA257" t="e">
        <f>IF(#REF!,"AAAAAG2nvzQ=",0)</f>
        <v>#REF!</v>
      </c>
      <c r="BB257" t="e">
        <f>IF(#REF!,"AAAAAG2nvzU=",0)</f>
        <v>#REF!</v>
      </c>
      <c r="BC257" t="e">
        <f>IF(#REF!,"AAAAAG2nvzY=",0)</f>
        <v>#REF!</v>
      </c>
      <c r="BD257" t="e">
        <f>IF(#REF!,"AAAAAG2nvzc=",0)</f>
        <v>#REF!</v>
      </c>
      <c r="BE257" t="e">
        <f>IF(#REF!,"AAAAAG2nvzg=",0)</f>
        <v>#REF!</v>
      </c>
      <c r="BF257" t="e">
        <f>IF(#REF!,"AAAAAG2nvzk=",0)</f>
        <v>#REF!</v>
      </c>
      <c r="BG257" t="e">
        <f>IF(#REF!,"AAAAAG2nvzo=",0)</f>
        <v>#REF!</v>
      </c>
      <c r="BH257" t="e">
        <f>IF(#REF!,"AAAAAG2nvzs=",0)</f>
        <v>#REF!</v>
      </c>
      <c r="BI257" t="e">
        <f>IF(#REF!,"AAAAAG2nvzw=",0)</f>
        <v>#REF!</v>
      </c>
      <c r="BJ257" t="e">
        <f>IF(#REF!,"AAAAAG2nvz0=",0)</f>
        <v>#REF!</v>
      </c>
      <c r="BK257" t="e">
        <f>IF(#REF!,"AAAAAG2nvz4=",0)</f>
        <v>#REF!</v>
      </c>
      <c r="BL257" t="e">
        <f>IF(#REF!,"AAAAAG2nvz8=",0)</f>
        <v>#REF!</v>
      </c>
      <c r="BM257" t="e">
        <f>IF(#REF!,"AAAAAG2nv0A=",0)</f>
        <v>#REF!</v>
      </c>
      <c r="BN257" t="e">
        <f>IF(#REF!,"AAAAAG2nv0E=",0)</f>
        <v>#REF!</v>
      </c>
      <c r="BO257" t="e">
        <f>IF(#REF!,"AAAAAG2nv0I=",0)</f>
        <v>#REF!</v>
      </c>
      <c r="BP257" t="e">
        <f>IF(#REF!,"AAAAAG2nv0M=",0)</f>
        <v>#REF!</v>
      </c>
      <c r="BQ257" t="e">
        <f>IF(#REF!,"AAAAAG2nv0Q=",0)</f>
        <v>#REF!</v>
      </c>
      <c r="BR257" t="e">
        <f>IF(#REF!,"AAAAAG2nv0U=",0)</f>
        <v>#REF!</v>
      </c>
      <c r="BS257" t="e">
        <f>IF(#REF!,"AAAAAG2nv0Y=",0)</f>
        <v>#REF!</v>
      </c>
      <c r="BT257" t="e">
        <f>IF(#REF!,"AAAAAG2nv0c=",0)</f>
        <v>#REF!</v>
      </c>
      <c r="BU257" t="e">
        <f>IF(#REF!,"AAAAAG2nv0g=",0)</f>
        <v>#REF!</v>
      </c>
      <c r="BV257" t="e">
        <f>IF(#REF!,"AAAAAG2nv0k=",0)</f>
        <v>#REF!</v>
      </c>
      <c r="BW257" t="e">
        <f>IF(#REF!,"AAAAAG2nv0o=",0)</f>
        <v>#REF!</v>
      </c>
      <c r="BX257" t="e">
        <f>IF(#REF!,"AAAAAG2nv0s=",0)</f>
        <v>#REF!</v>
      </c>
      <c r="BY257" t="e">
        <f>IF(#REF!,"AAAAAG2nv0w=",0)</f>
        <v>#REF!</v>
      </c>
      <c r="BZ257" t="e">
        <f>IF(#REF!,"AAAAAG2nv00=",0)</f>
        <v>#REF!</v>
      </c>
      <c r="CA257" t="e">
        <f>IF(#REF!,"AAAAAG2nv04=",0)</f>
        <v>#REF!</v>
      </c>
      <c r="CB257" t="e">
        <f>IF(#REF!,"AAAAAG2nv08=",0)</f>
        <v>#REF!</v>
      </c>
      <c r="CC257" t="e">
        <f>IF(#REF!,"AAAAAG2nv1A=",0)</f>
        <v>#REF!</v>
      </c>
      <c r="CD257" t="e">
        <f>IF(#REF!,"AAAAAG2nv1E=",0)</f>
        <v>#REF!</v>
      </c>
      <c r="CE257" t="e">
        <f>IF(#REF!,"AAAAAG2nv1I=",0)</f>
        <v>#REF!</v>
      </c>
      <c r="CF257" t="e">
        <f>IF(#REF!,"AAAAAG2nv1M=",0)</f>
        <v>#REF!</v>
      </c>
      <c r="CG257" t="e">
        <f>IF(#REF!,"AAAAAG2nv1Q=",0)</f>
        <v>#REF!</v>
      </c>
      <c r="CH257" t="e">
        <f>IF(#REF!,"AAAAAG2nv1U=",0)</f>
        <v>#REF!</v>
      </c>
      <c r="CI257" t="e">
        <f>IF(#REF!,"AAAAAG2nv1Y=",0)</f>
        <v>#REF!</v>
      </c>
      <c r="CJ257" t="e">
        <f>IF(#REF!,"AAAAAG2nv1c=",0)</f>
        <v>#REF!</v>
      </c>
      <c r="CK257" t="e">
        <f>IF(#REF!,"AAAAAG2nv1g=",0)</f>
        <v>#REF!</v>
      </c>
      <c r="CL257" t="e">
        <f>IF(#REF!,"AAAAAG2nv1k=",0)</f>
        <v>#REF!</v>
      </c>
      <c r="CM257" t="e">
        <f>IF(#REF!,"AAAAAG2nv1o=",0)</f>
        <v>#REF!</v>
      </c>
      <c r="CN257" t="e">
        <f>IF(#REF!,"AAAAAG2nv1s=",0)</f>
        <v>#REF!</v>
      </c>
      <c r="CO257" t="e">
        <f>IF(#REF!,"AAAAAG2nv1w=",0)</f>
        <v>#REF!</v>
      </c>
      <c r="CP257" t="e">
        <f>IF(#REF!,"AAAAAG2nv10=",0)</f>
        <v>#REF!</v>
      </c>
      <c r="CQ257" t="e">
        <f>IF(#REF!,"AAAAAG2nv14=",0)</f>
        <v>#REF!</v>
      </c>
      <c r="CR257" t="e">
        <f>IF(#REF!,"AAAAAG2nv18=",0)</f>
        <v>#REF!</v>
      </c>
      <c r="CS257" t="e">
        <f>IF(#REF!,"AAAAAG2nv2A=",0)</f>
        <v>#REF!</v>
      </c>
      <c r="CT257" t="e">
        <f>IF(#REF!,"AAAAAG2nv2E=",0)</f>
        <v>#REF!</v>
      </c>
      <c r="CU257" t="e">
        <f>IF(#REF!,"AAAAAG2nv2I=",0)</f>
        <v>#REF!</v>
      </c>
      <c r="CV257" t="e">
        <f>IF(#REF!,"AAAAAG2nv2M=",0)</f>
        <v>#REF!</v>
      </c>
      <c r="CW257" t="e">
        <f>IF(#REF!,"AAAAAG2nv2Q=",0)</f>
        <v>#REF!</v>
      </c>
      <c r="CX257" t="e">
        <f>IF(#REF!,"AAAAAG2nv2U=",0)</f>
        <v>#REF!</v>
      </c>
      <c r="CY257" t="e">
        <f>IF(#REF!,"AAAAAG2nv2Y=",0)</f>
        <v>#REF!</v>
      </c>
      <c r="CZ257" t="e">
        <f>IF(#REF!,"AAAAAG2nv2c=",0)</f>
        <v>#REF!</v>
      </c>
      <c r="DA257" t="e">
        <f>IF(#REF!,"AAAAAG2nv2g=",0)</f>
        <v>#REF!</v>
      </c>
      <c r="DB257" t="e">
        <f>IF(#REF!,"AAAAAG2nv2k=",0)</f>
        <v>#REF!</v>
      </c>
      <c r="DC257" t="e">
        <f>IF(#REF!,"AAAAAG2nv2o=",0)</f>
        <v>#REF!</v>
      </c>
      <c r="DD257" t="e">
        <f>IF(#REF!,"AAAAAG2nv2s=",0)</f>
        <v>#REF!</v>
      </c>
      <c r="DE257" t="e">
        <f>IF(#REF!,"AAAAAG2nv2w=",0)</f>
        <v>#REF!</v>
      </c>
      <c r="DF257" t="e">
        <f>IF(#REF!,"AAAAAG2nv20=",0)</f>
        <v>#REF!</v>
      </c>
      <c r="DG257" t="e">
        <f>IF(#REF!,"AAAAAG2nv24=",0)</f>
        <v>#REF!</v>
      </c>
      <c r="DH257" t="e">
        <f>IF(#REF!,"AAAAAG2nv28=",0)</f>
        <v>#REF!</v>
      </c>
      <c r="DI257" t="e">
        <f>IF(#REF!,"AAAAAG2nv3A=",0)</f>
        <v>#REF!</v>
      </c>
      <c r="DJ257" t="e">
        <f>IF(#REF!,"AAAAAG2nv3E=",0)</f>
        <v>#REF!</v>
      </c>
      <c r="DK257" t="e">
        <f>IF(#REF!,"AAAAAG2nv3I=",0)</f>
        <v>#REF!</v>
      </c>
      <c r="DL257" t="e">
        <f>IF(#REF!,"AAAAAG2nv3M=",0)</f>
        <v>#REF!</v>
      </c>
      <c r="DM257" t="e">
        <f>IF(#REF!,"AAAAAG2nv3Q=",0)</f>
        <v>#REF!</v>
      </c>
      <c r="DN257" t="e">
        <f>IF(#REF!,"AAAAAG2nv3U=",0)</f>
        <v>#REF!</v>
      </c>
      <c r="DO257" t="e">
        <f>IF(#REF!,"AAAAAG2nv3Y=",0)</f>
        <v>#REF!</v>
      </c>
      <c r="DP257" t="e">
        <f>IF(#REF!,"AAAAAG2nv3c=",0)</f>
        <v>#REF!</v>
      </c>
      <c r="DQ257" t="e">
        <f>IF(#REF!,"AAAAAG2nv3g=",0)</f>
        <v>#REF!</v>
      </c>
      <c r="DR257" t="e">
        <f>IF(#REF!,"AAAAAG2nv3k=",0)</f>
        <v>#REF!</v>
      </c>
      <c r="DS257" t="e">
        <f>IF(#REF!,"AAAAAG2nv3o=",0)</f>
        <v>#REF!</v>
      </c>
      <c r="DT257" t="e">
        <f>IF(#REF!,"AAAAAG2nv3s=",0)</f>
        <v>#REF!</v>
      </c>
      <c r="DU257" t="e">
        <f>IF(#REF!,"AAAAAG2nv3w=",0)</f>
        <v>#REF!</v>
      </c>
      <c r="DV257" t="e">
        <f>IF(#REF!,"AAAAAG2nv30=",0)</f>
        <v>#REF!</v>
      </c>
      <c r="DW257" t="e">
        <f>IF(#REF!,"AAAAAG2nv34=",0)</f>
        <v>#REF!</v>
      </c>
      <c r="DX257" t="e">
        <f>IF(#REF!,"AAAAAG2nv38=",0)</f>
        <v>#REF!</v>
      </c>
      <c r="DY257" t="e">
        <f>IF(#REF!,"AAAAAG2nv4A=",0)</f>
        <v>#REF!</v>
      </c>
      <c r="DZ257" t="e">
        <f>IF(#REF!,"AAAAAG2nv4E=",0)</f>
        <v>#REF!</v>
      </c>
      <c r="EA257" t="e">
        <f>IF(#REF!,"AAAAAG2nv4I=",0)</f>
        <v>#REF!</v>
      </c>
      <c r="EB257" t="e">
        <f>IF(#REF!,"AAAAAG2nv4M=",0)</f>
        <v>#REF!</v>
      </c>
      <c r="EC257" t="e">
        <f>IF(#REF!,"AAAAAG2nv4Q=",0)</f>
        <v>#REF!</v>
      </c>
      <c r="ED257" t="e">
        <f>IF(#REF!,"AAAAAG2nv4U=",0)</f>
        <v>#REF!</v>
      </c>
      <c r="EE257" t="e">
        <f>IF(#REF!,"AAAAAG2nv4Y=",0)</f>
        <v>#REF!</v>
      </c>
      <c r="EF257" t="e">
        <f>IF(#REF!,"AAAAAG2nv4c=",0)</f>
        <v>#REF!</v>
      </c>
      <c r="EG257" t="e">
        <f>IF(#REF!,"AAAAAG2nv4g=",0)</f>
        <v>#REF!</v>
      </c>
      <c r="EH257" t="e">
        <f>IF(#REF!,"AAAAAG2nv4k=",0)</f>
        <v>#REF!</v>
      </c>
      <c r="EI257" t="e">
        <f>IF(#REF!,"AAAAAG2nv4o=",0)</f>
        <v>#REF!</v>
      </c>
      <c r="EJ257" t="e">
        <f>IF(#REF!,"AAAAAG2nv4s=",0)</f>
        <v>#REF!</v>
      </c>
      <c r="EK257" t="e">
        <f>IF(#REF!,"AAAAAG2nv4w=",0)</f>
        <v>#REF!</v>
      </c>
      <c r="EL257" t="e">
        <f>IF(#REF!,"AAAAAG2nv40=",0)</f>
        <v>#REF!</v>
      </c>
      <c r="EM257" t="e">
        <f>IF(#REF!,"AAAAAG2nv44=",0)</f>
        <v>#REF!</v>
      </c>
      <c r="EN257" t="e">
        <f>IF(#REF!,"AAAAAG2nv48=",0)</f>
        <v>#REF!</v>
      </c>
      <c r="EO257" t="e">
        <f>IF(#REF!,"AAAAAG2nv5A=",0)</f>
        <v>#REF!</v>
      </c>
      <c r="EP257" t="e">
        <f>IF(#REF!,"AAAAAG2nv5E=",0)</f>
        <v>#REF!</v>
      </c>
      <c r="EQ257" t="e">
        <f>IF(#REF!,"AAAAAG2nv5I=",0)</f>
        <v>#REF!</v>
      </c>
      <c r="ER257" t="e">
        <f>IF(#REF!,"AAAAAG2nv5M=",0)</f>
        <v>#REF!</v>
      </c>
      <c r="ES257" t="e">
        <f>IF(#REF!,"AAAAAG2nv5Q=",0)</f>
        <v>#REF!</v>
      </c>
      <c r="ET257" t="e">
        <f>IF(#REF!,"AAAAAG2nv5U=",0)</f>
        <v>#REF!</v>
      </c>
      <c r="EU257" t="e">
        <f>IF(#REF!,"AAAAAG2nv5Y=",0)</f>
        <v>#REF!</v>
      </c>
      <c r="EV257" t="e">
        <f>IF(#REF!,"AAAAAG2nv5c=",0)</f>
        <v>#REF!</v>
      </c>
      <c r="EW257" t="e">
        <f>IF(#REF!,"AAAAAG2nv5g=",0)</f>
        <v>#REF!</v>
      </c>
      <c r="EX257" t="e">
        <f>IF(#REF!,"AAAAAG2nv5k=",0)</f>
        <v>#REF!</v>
      </c>
      <c r="EY257" t="e">
        <f>IF(#REF!,"AAAAAG2nv5o=",0)</f>
        <v>#REF!</v>
      </c>
      <c r="EZ257" t="e">
        <f>IF(#REF!,"AAAAAG2nv5s=",0)</f>
        <v>#REF!</v>
      </c>
      <c r="FA257" t="e">
        <f>IF(#REF!,"AAAAAG2nv5w=",0)</f>
        <v>#REF!</v>
      </c>
      <c r="FB257" t="e">
        <f>IF(#REF!,"AAAAAG2nv50=",0)</f>
        <v>#REF!</v>
      </c>
      <c r="FC257" t="e">
        <f>IF(#REF!,"AAAAAG2nv54=",0)</f>
        <v>#REF!</v>
      </c>
      <c r="FD257" t="e">
        <f>IF(#REF!,"AAAAAG2nv58=",0)</f>
        <v>#REF!</v>
      </c>
      <c r="FE257" t="e">
        <f>IF(#REF!,"AAAAAG2nv6A=",0)</f>
        <v>#REF!</v>
      </c>
      <c r="FF257" t="e">
        <f>IF(#REF!,"AAAAAG2nv6E=",0)</f>
        <v>#REF!</v>
      </c>
      <c r="FG257" t="e">
        <f>IF(#REF!,"AAAAAG2nv6I=",0)</f>
        <v>#REF!</v>
      </c>
      <c r="FH257" t="e">
        <f>IF(#REF!,"AAAAAG2nv6M=",0)</f>
        <v>#REF!</v>
      </c>
      <c r="FI257" t="e">
        <f>IF(#REF!,"AAAAAG2nv6Q=",0)</f>
        <v>#REF!</v>
      </c>
      <c r="FJ257" t="e">
        <f>IF(#REF!,"AAAAAG2nv6U=",0)</f>
        <v>#REF!</v>
      </c>
      <c r="FK257" t="e">
        <f>IF(#REF!,"AAAAAG2nv6Y=",0)</f>
        <v>#REF!</v>
      </c>
      <c r="FL257" t="e">
        <f>IF(#REF!,"AAAAAG2nv6c=",0)</f>
        <v>#REF!</v>
      </c>
      <c r="FM257" t="e">
        <f>IF(#REF!,"AAAAAG2nv6g=",0)</f>
        <v>#REF!</v>
      </c>
      <c r="FN257" t="e">
        <f>IF(#REF!,"AAAAAG2nv6k=",0)</f>
        <v>#REF!</v>
      </c>
      <c r="FO257" t="e">
        <f>IF(#REF!,"AAAAAG2nv6o=",0)</f>
        <v>#REF!</v>
      </c>
      <c r="FP257" t="e">
        <f>IF(#REF!,"AAAAAG2nv6s=",0)</f>
        <v>#REF!</v>
      </c>
      <c r="FQ257" t="e">
        <f>IF(#REF!,"AAAAAG2nv6w=",0)</f>
        <v>#REF!</v>
      </c>
      <c r="FR257" t="e">
        <f>IF(#REF!,"AAAAAG2nv60=",0)</f>
        <v>#REF!</v>
      </c>
      <c r="FS257" t="e">
        <f>IF(#REF!,"AAAAAG2nv64=",0)</f>
        <v>#REF!</v>
      </c>
      <c r="FT257" t="e">
        <f>IF(#REF!,"AAAAAG2nv68=",0)</f>
        <v>#REF!</v>
      </c>
      <c r="FU257" t="e">
        <f>IF(#REF!,"AAAAAG2nv7A=",0)</f>
        <v>#REF!</v>
      </c>
      <c r="FV257" t="e">
        <f>IF(#REF!,"AAAAAG2nv7E=",0)</f>
        <v>#REF!</v>
      </c>
      <c r="FW257" t="e">
        <f>IF(#REF!,"AAAAAG2nv7I=",0)</f>
        <v>#REF!</v>
      </c>
      <c r="FX257" t="e">
        <f>IF(#REF!,"AAAAAG2nv7M=",0)</f>
        <v>#REF!</v>
      </c>
      <c r="FY257" t="e">
        <f>IF(#REF!,"AAAAAG2nv7Q=",0)</f>
        <v>#REF!</v>
      </c>
      <c r="FZ257" t="e">
        <f>IF(#REF!,"AAAAAG2nv7U=",0)</f>
        <v>#REF!</v>
      </c>
      <c r="GA257" t="e">
        <f>IF(#REF!,"AAAAAG2nv7Y=",0)</f>
        <v>#REF!</v>
      </c>
      <c r="GB257" t="e">
        <f>IF(#REF!,"AAAAAG2nv7c=",0)</f>
        <v>#REF!</v>
      </c>
      <c r="GC257" t="e">
        <f>IF(#REF!,"AAAAAG2nv7g=",0)</f>
        <v>#REF!</v>
      </c>
      <c r="GD257" t="e">
        <f>IF(#REF!,"AAAAAG2nv7k=",0)</f>
        <v>#REF!</v>
      </c>
      <c r="GE257" t="e">
        <f>IF(#REF!,"AAAAAG2nv7o=",0)</f>
        <v>#REF!</v>
      </c>
      <c r="GF257" t="e">
        <f>IF(#REF!,"AAAAAG2nv7s=",0)</f>
        <v>#REF!</v>
      </c>
      <c r="GG257" t="e">
        <f>IF(#REF!,"AAAAAG2nv7w=",0)</f>
        <v>#REF!</v>
      </c>
      <c r="GH257" t="e">
        <f>IF(#REF!,"AAAAAG2nv70=",0)</f>
        <v>#REF!</v>
      </c>
      <c r="GI257" t="e">
        <f>IF(#REF!,"AAAAAG2nv74=",0)</f>
        <v>#REF!</v>
      </c>
      <c r="GJ257" t="e">
        <f>IF(#REF!,"AAAAAG2nv78=",0)</f>
        <v>#REF!</v>
      </c>
      <c r="GK257" t="e">
        <f>IF(#REF!,"AAAAAG2nv8A=",0)</f>
        <v>#REF!</v>
      </c>
      <c r="GL257" t="e">
        <f>IF(#REF!,"AAAAAG2nv8E=",0)</f>
        <v>#REF!</v>
      </c>
      <c r="GM257" t="e">
        <f>IF(#REF!,"AAAAAG2nv8I=",0)</f>
        <v>#REF!</v>
      </c>
      <c r="GN257" t="e">
        <f>IF(#REF!,"AAAAAG2nv8M=",0)</f>
        <v>#REF!</v>
      </c>
      <c r="GO257" t="e">
        <f>IF(#REF!,"AAAAAG2nv8Q=",0)</f>
        <v>#REF!</v>
      </c>
      <c r="GP257" t="e">
        <f>IF(#REF!,"AAAAAG2nv8U=",0)</f>
        <v>#REF!</v>
      </c>
      <c r="GQ257" t="e">
        <f>IF(#REF!,"AAAAAG2nv8Y=",0)</f>
        <v>#REF!</v>
      </c>
      <c r="GR257" t="e">
        <f>IF(#REF!,"AAAAAG2nv8c=",0)</f>
        <v>#REF!</v>
      </c>
      <c r="GS257" t="e">
        <f>IF(#REF!,"AAAAAG2nv8g=",0)</f>
        <v>#REF!</v>
      </c>
      <c r="GT257" t="e">
        <f>IF(#REF!,"AAAAAG2nv8k=",0)</f>
        <v>#REF!</v>
      </c>
      <c r="GU257" t="e">
        <f>IF(#REF!,"AAAAAG2nv8o=",0)</f>
        <v>#REF!</v>
      </c>
      <c r="GV257" t="e">
        <f>IF(#REF!,"AAAAAG2nv8s=",0)</f>
        <v>#REF!</v>
      </c>
      <c r="GW257" t="e">
        <f>IF(#REF!,"AAAAAG2nv8w=",0)</f>
        <v>#REF!</v>
      </c>
      <c r="GX257" t="e">
        <f>IF(#REF!,"AAAAAG2nv80=",0)</f>
        <v>#REF!</v>
      </c>
      <c r="GY257" t="e">
        <f>IF(#REF!,"AAAAAG2nv84=",0)</f>
        <v>#REF!</v>
      </c>
      <c r="GZ257" t="e">
        <f>IF(#REF!,"AAAAAG2nv88=",0)</f>
        <v>#REF!</v>
      </c>
      <c r="HA257" t="e">
        <f>IF(#REF!,"AAAAAG2nv9A=",0)</f>
        <v>#REF!</v>
      </c>
      <c r="HB257" t="e">
        <f>IF(#REF!,"AAAAAG2nv9E=",0)</f>
        <v>#REF!</v>
      </c>
      <c r="HC257" t="e">
        <f>IF(#REF!,"AAAAAG2nv9I=",0)</f>
        <v>#REF!</v>
      </c>
      <c r="HD257" t="e">
        <f>IF(#REF!,"AAAAAG2nv9M=",0)</f>
        <v>#REF!</v>
      </c>
      <c r="HE257" t="e">
        <f>IF(#REF!,"AAAAAG2nv9Q=",0)</f>
        <v>#REF!</v>
      </c>
      <c r="HF257" t="e">
        <f>IF(#REF!,"AAAAAG2nv9U=",0)</f>
        <v>#REF!</v>
      </c>
      <c r="HG257" t="e">
        <f>IF(#REF!,"AAAAAG2nv9Y=",0)</f>
        <v>#REF!</v>
      </c>
      <c r="HH257" t="e">
        <f>IF(#REF!,"AAAAAG2nv9c=",0)</f>
        <v>#REF!</v>
      </c>
      <c r="HI257" t="e">
        <f>IF(#REF!,"AAAAAG2nv9g=",0)</f>
        <v>#REF!</v>
      </c>
      <c r="HJ257" t="e">
        <f>IF(#REF!,"AAAAAG2nv9k=",0)</f>
        <v>#REF!</v>
      </c>
      <c r="HK257" t="e">
        <f>IF(#REF!,"AAAAAG2nv9o=",0)</f>
        <v>#REF!</v>
      </c>
      <c r="HL257" t="e">
        <f>IF(#REF!,"AAAAAG2nv9s=",0)</f>
        <v>#REF!</v>
      </c>
      <c r="HM257" t="e">
        <f>IF(#REF!,"AAAAAG2nv9w=",0)</f>
        <v>#REF!</v>
      </c>
      <c r="HN257" t="e">
        <f>IF(#REF!,"AAAAAG2nv90=",0)</f>
        <v>#REF!</v>
      </c>
      <c r="HO257" t="e">
        <f>IF(#REF!,"AAAAAG2nv94=",0)</f>
        <v>#REF!</v>
      </c>
      <c r="HP257" t="e">
        <f>IF(#REF!,"AAAAAG2nv98=",0)</f>
        <v>#REF!</v>
      </c>
      <c r="HQ257" t="e">
        <f>IF(#REF!,"AAAAAG2nv+A=",0)</f>
        <v>#REF!</v>
      </c>
      <c r="HR257" t="e">
        <f>IF(#REF!,"AAAAAG2nv+E=",0)</f>
        <v>#REF!</v>
      </c>
      <c r="HS257" t="e">
        <f>IF(#REF!,"AAAAAG2nv+I=",0)</f>
        <v>#REF!</v>
      </c>
      <c r="HT257" t="e">
        <f>IF(#REF!,"AAAAAG2nv+M=",0)</f>
        <v>#REF!</v>
      </c>
      <c r="HU257" t="e">
        <f>IF(#REF!,"AAAAAG2nv+Q=",0)</f>
        <v>#REF!</v>
      </c>
      <c r="HV257" t="e">
        <f>IF(#REF!,"AAAAAG2nv+U=",0)</f>
        <v>#REF!</v>
      </c>
      <c r="HW257" t="e">
        <f>IF(#REF!,"AAAAAG2nv+Y=",0)</f>
        <v>#REF!</v>
      </c>
      <c r="HX257" t="e">
        <f>IF(#REF!,"AAAAAG2nv+c=",0)</f>
        <v>#REF!</v>
      </c>
      <c r="HY257" t="e">
        <f>IF(#REF!,"AAAAAG2nv+g=",0)</f>
        <v>#REF!</v>
      </c>
      <c r="HZ257" t="e">
        <f>IF(#REF!,"AAAAAG2nv+k=",0)</f>
        <v>#REF!</v>
      </c>
      <c r="IA257" t="e">
        <f>IF(#REF!,"AAAAAG2nv+o=",0)</f>
        <v>#REF!</v>
      </c>
      <c r="IB257" t="e">
        <f>IF(#REF!,"AAAAAG2nv+s=",0)</f>
        <v>#REF!</v>
      </c>
      <c r="IC257" t="e">
        <f>IF(#REF!,"AAAAAG2nv+w=",0)</f>
        <v>#REF!</v>
      </c>
      <c r="ID257" t="e">
        <f>IF(#REF!,"AAAAAG2nv+0=",0)</f>
        <v>#REF!</v>
      </c>
      <c r="IE257" t="e">
        <f>IF(#REF!,"AAAAAG2nv+4=",0)</f>
        <v>#REF!</v>
      </c>
      <c r="IF257" t="e">
        <f>IF(#REF!,"AAAAAG2nv+8=",0)</f>
        <v>#REF!</v>
      </c>
      <c r="IG257" t="e">
        <f>IF(#REF!,"AAAAAG2nv/A=",0)</f>
        <v>#REF!</v>
      </c>
      <c r="IH257" t="e">
        <f>IF(#REF!,"AAAAAG2nv/E=",0)</f>
        <v>#REF!</v>
      </c>
      <c r="II257" t="e">
        <f>IF(#REF!,"AAAAAG2nv/I=",0)</f>
        <v>#REF!</v>
      </c>
      <c r="IJ257" t="e">
        <f>IF(#REF!,"AAAAAG2nv/M=",0)</f>
        <v>#REF!</v>
      </c>
      <c r="IK257" t="e">
        <f>IF(#REF!,"AAAAAG2nv/Q=",0)</f>
        <v>#REF!</v>
      </c>
      <c r="IL257" t="e">
        <f>IF(#REF!,"AAAAAG2nv/U=",0)</f>
        <v>#REF!</v>
      </c>
      <c r="IM257" t="e">
        <f>IF(#REF!,"AAAAAG2nv/Y=",0)</f>
        <v>#REF!</v>
      </c>
      <c r="IN257" t="e">
        <f>IF(#REF!,"AAAAAG2nv/c=",0)</f>
        <v>#REF!</v>
      </c>
      <c r="IO257" t="e">
        <f>IF(#REF!,"AAAAAG2nv/g=",0)</f>
        <v>#REF!</v>
      </c>
      <c r="IP257" t="e">
        <f>IF(#REF!,"AAAAAG2nv/k=",0)</f>
        <v>#REF!</v>
      </c>
      <c r="IQ257" t="e">
        <f>IF(#REF!,"AAAAAG2nv/o=",0)</f>
        <v>#REF!</v>
      </c>
      <c r="IR257" t="e">
        <f>IF(#REF!,"AAAAAG2nv/s=",0)</f>
        <v>#REF!</v>
      </c>
      <c r="IS257" t="e">
        <f>IF(#REF!,"AAAAAG2nv/w=",0)</f>
        <v>#REF!</v>
      </c>
      <c r="IT257" t="e">
        <f>IF(#REF!,"AAAAAG2nv/0=",0)</f>
        <v>#REF!</v>
      </c>
      <c r="IU257" t="e">
        <f>IF(#REF!,"AAAAAG2nv/4=",0)</f>
        <v>#REF!</v>
      </c>
      <c r="IV257" t="e">
        <f>IF(#REF!,"AAAAAG2nv/8=",0)</f>
        <v>#REF!</v>
      </c>
    </row>
    <row r="258" spans="1:256">
      <c r="A258" t="e">
        <f>IF(#REF!,"AAAAAC2+/QA=",0)</f>
        <v>#REF!</v>
      </c>
      <c r="B258" t="e">
        <f>IF(#REF!,"AAAAAC2+/QE=",0)</f>
        <v>#REF!</v>
      </c>
      <c r="C258" t="e">
        <f>IF(#REF!,"AAAAAC2+/QI=",0)</f>
        <v>#REF!</v>
      </c>
      <c r="D258" t="e">
        <f>IF(#REF!,"AAAAAC2+/QM=",0)</f>
        <v>#REF!</v>
      </c>
      <c r="E258" t="e">
        <f>IF(#REF!,"AAAAAC2+/QQ=",0)</f>
        <v>#REF!</v>
      </c>
      <c r="F258" t="e">
        <f>IF(#REF!,"AAAAAC2+/QU=",0)</f>
        <v>#REF!</v>
      </c>
      <c r="G258" t="e">
        <f>IF(#REF!,"AAAAAC2+/QY=",0)</f>
        <v>#REF!</v>
      </c>
      <c r="H258" t="e">
        <f>IF(#REF!,"AAAAAC2+/Qc=",0)</f>
        <v>#REF!</v>
      </c>
      <c r="I258" t="e">
        <f>IF(#REF!,"AAAAAC2+/Qg=",0)</f>
        <v>#REF!</v>
      </c>
      <c r="J258" t="e">
        <f>IF(#REF!,"AAAAAC2+/Qk=",0)</f>
        <v>#REF!</v>
      </c>
      <c r="K258" t="e">
        <f>IF(#REF!,"AAAAAC2+/Qo=",0)</f>
        <v>#REF!</v>
      </c>
      <c r="L258" t="e">
        <f>IF(#REF!,"AAAAAC2+/Qs=",0)</f>
        <v>#REF!</v>
      </c>
      <c r="M258" t="e">
        <f>IF(#REF!,"AAAAAC2+/Qw=",0)</f>
        <v>#REF!</v>
      </c>
      <c r="N258" t="e">
        <f>IF(#REF!,"AAAAAC2+/Q0=",0)</f>
        <v>#REF!</v>
      </c>
      <c r="O258" t="e">
        <f>IF(#REF!,"AAAAAC2+/Q4=",0)</f>
        <v>#REF!</v>
      </c>
      <c r="P258" t="e">
        <f>IF(#REF!,"AAAAAC2+/Q8=",0)</f>
        <v>#REF!</v>
      </c>
      <c r="Q258" t="e">
        <f>IF(#REF!,"AAAAAC2+/RA=",0)</f>
        <v>#REF!</v>
      </c>
      <c r="R258" t="e">
        <f>IF(#REF!,"AAAAAC2+/RE=",0)</f>
        <v>#REF!</v>
      </c>
      <c r="S258" t="e">
        <f>IF(#REF!,"AAAAAC2+/RI=",0)</f>
        <v>#REF!</v>
      </c>
      <c r="T258" t="e">
        <f>IF(#REF!,"AAAAAC2+/RM=",0)</f>
        <v>#REF!</v>
      </c>
      <c r="U258" t="e">
        <f>IF(#REF!,"AAAAAC2+/RQ=",0)</f>
        <v>#REF!</v>
      </c>
      <c r="V258" t="e">
        <f>IF(#REF!,"AAAAAC2+/RU=",0)</f>
        <v>#REF!</v>
      </c>
      <c r="W258" t="e">
        <f>IF(#REF!,"AAAAAC2+/RY=",0)</f>
        <v>#REF!</v>
      </c>
      <c r="X258" t="e">
        <f>IF(#REF!,"AAAAAC2+/Rc=",0)</f>
        <v>#REF!</v>
      </c>
      <c r="Y258" t="e">
        <f>IF(#REF!,"AAAAAC2+/Rg=",0)</f>
        <v>#REF!</v>
      </c>
      <c r="Z258" t="e">
        <f>IF(#REF!,"AAAAAC2+/Rk=",0)</f>
        <v>#REF!</v>
      </c>
      <c r="AA258" t="e">
        <f>IF(#REF!,"AAAAAC2+/Ro=",0)</f>
        <v>#REF!</v>
      </c>
      <c r="AB258" t="e">
        <f>IF(#REF!,"AAAAAC2+/Rs=",0)</f>
        <v>#REF!</v>
      </c>
      <c r="AC258" t="e">
        <f>IF(#REF!,"AAAAAC2+/Rw=",0)</f>
        <v>#REF!</v>
      </c>
      <c r="AD258" t="e">
        <f>IF(#REF!,"AAAAAC2+/R0=",0)</f>
        <v>#REF!</v>
      </c>
      <c r="AE258" t="e">
        <f>IF(#REF!,"AAAAAC2+/R4=",0)</f>
        <v>#REF!</v>
      </c>
      <c r="AF258" t="e">
        <f>IF(#REF!,"AAAAAC2+/R8=",0)</f>
        <v>#REF!</v>
      </c>
      <c r="AG258" t="e">
        <f>IF(#REF!,"AAAAAC2+/SA=",0)</f>
        <v>#REF!</v>
      </c>
      <c r="AH258" t="e">
        <f>IF(#REF!,"AAAAAC2+/SE=",0)</f>
        <v>#REF!</v>
      </c>
      <c r="AI258" t="e">
        <f>IF(#REF!,"AAAAAC2+/SI=",0)</f>
        <v>#REF!</v>
      </c>
      <c r="AJ258" t="e">
        <f>IF(#REF!,"AAAAAC2+/SM=",0)</f>
        <v>#REF!</v>
      </c>
      <c r="AK258" t="e">
        <f>IF(#REF!,"AAAAAC2+/SQ=",0)</f>
        <v>#REF!</v>
      </c>
      <c r="AL258" t="e">
        <f>IF(#REF!,"AAAAAC2+/SU=",0)</f>
        <v>#REF!</v>
      </c>
      <c r="AM258" t="e">
        <f>IF(#REF!,"AAAAAC2+/SY=",0)</f>
        <v>#REF!</v>
      </c>
      <c r="AN258" t="e">
        <f>IF(#REF!,"AAAAAC2+/Sc=",0)</f>
        <v>#REF!</v>
      </c>
      <c r="AO258" t="e">
        <f>IF(#REF!,"AAAAAC2+/Sg=",0)</f>
        <v>#REF!</v>
      </c>
      <c r="AP258" t="e">
        <f>IF(#REF!,"AAAAAC2+/Sk=",0)</f>
        <v>#REF!</v>
      </c>
      <c r="AQ258" t="e">
        <f>IF(#REF!,"AAAAAC2+/So=",0)</f>
        <v>#REF!</v>
      </c>
      <c r="AR258" t="e">
        <f>IF(#REF!,"AAAAAC2+/Ss=",0)</f>
        <v>#REF!</v>
      </c>
      <c r="AS258" t="e">
        <f>IF(#REF!,"AAAAAC2+/Sw=",0)</f>
        <v>#REF!</v>
      </c>
      <c r="AT258" t="e">
        <f>IF(#REF!,"AAAAAC2+/S0=",0)</f>
        <v>#REF!</v>
      </c>
      <c r="AU258" t="e">
        <f>IF(#REF!,"AAAAAC2+/S4=",0)</f>
        <v>#REF!</v>
      </c>
      <c r="AV258" t="e">
        <f>IF(#REF!,"AAAAAC2+/S8=",0)</f>
        <v>#REF!</v>
      </c>
      <c r="AW258" t="e">
        <f>IF(#REF!,"AAAAAC2+/TA=",0)</f>
        <v>#REF!</v>
      </c>
      <c r="AX258" t="e">
        <f>IF(#REF!,"AAAAAC2+/TE=",0)</f>
        <v>#REF!</v>
      </c>
      <c r="AY258" t="e">
        <f>IF(#REF!,"AAAAAC2+/TI=",0)</f>
        <v>#REF!</v>
      </c>
      <c r="AZ258" t="e">
        <f>IF(#REF!,"AAAAAC2+/TM=",0)</f>
        <v>#REF!</v>
      </c>
      <c r="BA258" t="e">
        <f>IF(#REF!,"AAAAAC2+/TQ=",0)</f>
        <v>#REF!</v>
      </c>
      <c r="BB258" t="e">
        <f>IF(#REF!,"AAAAAC2+/TU=",0)</f>
        <v>#REF!</v>
      </c>
      <c r="BC258" t="e">
        <f>IF(#REF!,"AAAAAC2+/TY=",0)</f>
        <v>#REF!</v>
      </c>
      <c r="BD258" t="e">
        <f>IF(#REF!,"AAAAAC2+/Tc=",0)</f>
        <v>#REF!</v>
      </c>
      <c r="BE258" t="e">
        <f>IF(#REF!,"AAAAAC2+/Tg=",0)</f>
        <v>#REF!</v>
      </c>
      <c r="BF258" t="e">
        <f>IF(#REF!,"AAAAAC2+/Tk=",0)</f>
        <v>#REF!</v>
      </c>
      <c r="BG258" t="e">
        <f>IF(#REF!,"AAAAAC2+/To=",0)</f>
        <v>#REF!</v>
      </c>
      <c r="BH258" t="e">
        <f>IF(#REF!,"AAAAAC2+/Ts=",0)</f>
        <v>#REF!</v>
      </c>
      <c r="BI258" t="e">
        <f>IF(#REF!,"AAAAAC2+/Tw=",0)</f>
        <v>#REF!</v>
      </c>
      <c r="BJ258" t="e">
        <f>IF(#REF!,"AAAAAC2+/T0=",0)</f>
        <v>#REF!</v>
      </c>
      <c r="BK258" t="e">
        <f>IF(#REF!,"AAAAAC2+/T4=",0)</f>
        <v>#REF!</v>
      </c>
      <c r="BL258" t="e">
        <f>IF(#REF!,"AAAAAC2+/T8=",0)</f>
        <v>#REF!</v>
      </c>
      <c r="BM258" t="e">
        <f>IF(#REF!,"AAAAAC2+/UA=",0)</f>
        <v>#REF!</v>
      </c>
      <c r="BN258" t="e">
        <f>IF(#REF!,"AAAAAC2+/UE=",0)</f>
        <v>#REF!</v>
      </c>
      <c r="BO258" t="e">
        <f>IF(#REF!,"AAAAAC2+/UI=",0)</f>
        <v>#REF!</v>
      </c>
      <c r="BP258" t="e">
        <f>IF(#REF!,"AAAAAC2+/UM=",0)</f>
        <v>#REF!</v>
      </c>
      <c r="BQ258" t="e">
        <f>IF(#REF!,"AAAAAC2+/UQ=",0)</f>
        <v>#REF!</v>
      </c>
      <c r="BR258" t="e">
        <f>IF(#REF!,"AAAAAC2+/UU=",0)</f>
        <v>#REF!</v>
      </c>
      <c r="BS258" t="e">
        <f>IF(#REF!,"AAAAAC2+/UY=",0)</f>
        <v>#REF!</v>
      </c>
      <c r="BT258" t="e">
        <f>IF(#REF!,"AAAAAC2+/Uc=",0)</f>
        <v>#REF!</v>
      </c>
      <c r="BU258" t="e">
        <f>IF(#REF!,"AAAAAC2+/Ug=",0)</f>
        <v>#REF!</v>
      </c>
      <c r="BV258" t="e">
        <f>IF(#REF!,"AAAAAC2+/Uk=",0)</f>
        <v>#REF!</v>
      </c>
      <c r="BW258" t="e">
        <f>IF(#REF!,"AAAAAC2+/Uo=",0)</f>
        <v>#REF!</v>
      </c>
      <c r="BX258" t="e">
        <f>IF(#REF!,"AAAAAC2+/Us=",0)</f>
        <v>#REF!</v>
      </c>
      <c r="BY258" t="e">
        <f>IF(#REF!,"AAAAAC2+/Uw=",0)</f>
        <v>#REF!</v>
      </c>
      <c r="BZ258" t="e">
        <f>IF(#REF!,"AAAAAC2+/U0=",0)</f>
        <v>#REF!</v>
      </c>
      <c r="CA258" t="e">
        <f>IF(#REF!,"AAAAAC2+/U4=",0)</f>
        <v>#REF!</v>
      </c>
      <c r="CB258" t="e">
        <f>IF(#REF!,"AAAAAC2+/U8=",0)</f>
        <v>#REF!</v>
      </c>
      <c r="CC258" t="e">
        <f>IF(#REF!,"AAAAAC2+/VA=",0)</f>
        <v>#REF!</v>
      </c>
      <c r="CD258" t="e">
        <f>IF(#REF!,"AAAAAC2+/VE=",0)</f>
        <v>#REF!</v>
      </c>
      <c r="CE258" t="e">
        <f>IF(#REF!,"AAAAAC2+/VI=",0)</f>
        <v>#REF!</v>
      </c>
      <c r="CF258" t="e">
        <f>IF(#REF!,"AAAAAC2+/VM=",0)</f>
        <v>#REF!</v>
      </c>
      <c r="CG258" t="e">
        <f>IF(#REF!,"AAAAAC2+/VQ=",0)</f>
        <v>#REF!</v>
      </c>
      <c r="CH258" t="e">
        <f>IF(#REF!,"AAAAAC2+/VU=",0)</f>
        <v>#REF!</v>
      </c>
      <c r="CI258" t="e">
        <f>IF(#REF!,"AAAAAC2+/VY=",0)</f>
        <v>#REF!</v>
      </c>
      <c r="CJ258" t="e">
        <f>IF(#REF!,"AAAAAC2+/Vc=",0)</f>
        <v>#REF!</v>
      </c>
      <c r="CK258" t="e">
        <f>IF(#REF!,"AAAAAC2+/Vg=",0)</f>
        <v>#REF!</v>
      </c>
      <c r="CL258" t="e">
        <f>IF(#REF!,"AAAAAC2+/Vk=",0)</f>
        <v>#REF!</v>
      </c>
      <c r="CM258" t="e">
        <f>IF(#REF!,"AAAAAC2+/Vo=",0)</f>
        <v>#REF!</v>
      </c>
      <c r="CN258" t="e">
        <f>IF(#REF!,"AAAAAC2+/Vs=",0)</f>
        <v>#REF!</v>
      </c>
      <c r="CO258" t="e">
        <f>IF(#REF!,"AAAAAC2+/Vw=",0)</f>
        <v>#REF!</v>
      </c>
      <c r="CP258" t="e">
        <f>IF(#REF!,"AAAAAC2+/V0=",0)</f>
        <v>#REF!</v>
      </c>
      <c r="CQ258" t="e">
        <f>IF(#REF!,"AAAAAC2+/V4=",0)</f>
        <v>#REF!</v>
      </c>
      <c r="CR258" t="e">
        <f>IF(#REF!,"AAAAAC2+/V8=",0)</f>
        <v>#REF!</v>
      </c>
      <c r="CS258" t="e">
        <f>IF(#REF!,"AAAAAC2+/WA=",0)</f>
        <v>#REF!</v>
      </c>
      <c r="CT258" t="e">
        <f>IF(#REF!,"AAAAAC2+/WE=",0)</f>
        <v>#REF!</v>
      </c>
      <c r="CU258" t="e">
        <f>IF(#REF!,"AAAAAC2+/WI=",0)</f>
        <v>#REF!</v>
      </c>
      <c r="CV258" t="e">
        <f>IF(#REF!,"AAAAAC2+/WM=",0)</f>
        <v>#REF!</v>
      </c>
      <c r="CW258" t="e">
        <f>IF(#REF!,"AAAAAC2+/WQ=",0)</f>
        <v>#REF!</v>
      </c>
      <c r="CX258" t="e">
        <f>IF(#REF!,"AAAAAC2+/WU=",0)</f>
        <v>#REF!</v>
      </c>
      <c r="CY258" t="e">
        <f>IF(#REF!,"AAAAAC2+/WY=",0)</f>
        <v>#REF!</v>
      </c>
      <c r="CZ258" t="e">
        <f>IF(#REF!,"AAAAAC2+/Wc=",0)</f>
        <v>#REF!</v>
      </c>
      <c r="DA258" t="e">
        <f>IF(#REF!,"AAAAAC2+/Wg=",0)</f>
        <v>#REF!</v>
      </c>
      <c r="DB258" t="e">
        <f>IF(#REF!,"AAAAAC2+/Wk=",0)</f>
        <v>#REF!</v>
      </c>
      <c r="DC258" t="e">
        <f>IF(#REF!,"AAAAAC2+/Wo=",0)</f>
        <v>#REF!</v>
      </c>
      <c r="DD258" t="e">
        <f>IF(#REF!,"AAAAAC2+/Ws=",0)</f>
        <v>#REF!</v>
      </c>
      <c r="DE258" t="e">
        <f>IF(#REF!,"AAAAAC2+/Ww=",0)</f>
        <v>#REF!</v>
      </c>
      <c r="DF258" t="e">
        <f>IF(#REF!,"AAAAAC2+/W0=",0)</f>
        <v>#REF!</v>
      </c>
      <c r="DG258" t="e">
        <f>IF(#REF!,"AAAAAC2+/W4=",0)</f>
        <v>#REF!</v>
      </c>
      <c r="DH258" t="e">
        <f>IF(#REF!,"AAAAAC2+/W8=",0)</f>
        <v>#REF!</v>
      </c>
      <c r="DI258" t="e">
        <f>IF(#REF!,"AAAAAC2+/XA=",0)</f>
        <v>#REF!</v>
      </c>
      <c r="DJ258" t="e">
        <f>IF(#REF!,"AAAAAC2+/XE=",0)</f>
        <v>#REF!</v>
      </c>
      <c r="DK258" t="e">
        <f>IF(#REF!,"AAAAAC2+/XI=",0)</f>
        <v>#REF!</v>
      </c>
      <c r="DL258" t="e">
        <f>IF(#REF!,"AAAAAC2+/XM=",0)</f>
        <v>#REF!</v>
      </c>
      <c r="DM258" t="e">
        <f>IF(#REF!,"AAAAAC2+/XQ=",0)</f>
        <v>#REF!</v>
      </c>
      <c r="DN258" t="e">
        <f>IF(#REF!,"AAAAAC2+/XU=",0)</f>
        <v>#REF!</v>
      </c>
      <c r="DO258" t="e">
        <f>IF(#REF!,"AAAAAC2+/XY=",0)</f>
        <v>#REF!</v>
      </c>
      <c r="DP258" t="e">
        <f>IF(#REF!,"AAAAAC2+/Xc=",0)</f>
        <v>#REF!</v>
      </c>
      <c r="DQ258" t="e">
        <f>IF(#REF!,"AAAAAC2+/Xg=",0)</f>
        <v>#REF!</v>
      </c>
      <c r="DR258" t="e">
        <f>IF(#REF!,"AAAAAC2+/Xk=",0)</f>
        <v>#REF!</v>
      </c>
      <c r="DS258" t="e">
        <f>IF(#REF!,"AAAAAC2+/Xo=",0)</f>
        <v>#REF!</v>
      </c>
      <c r="DT258" t="e">
        <f>IF(#REF!,"AAAAAC2+/Xs=",0)</f>
        <v>#REF!</v>
      </c>
      <c r="DU258" t="e">
        <f>IF(#REF!,"AAAAAC2+/Xw=",0)</f>
        <v>#REF!</v>
      </c>
      <c r="DV258" t="e">
        <f>IF(#REF!,"AAAAAC2+/X0=",0)</f>
        <v>#REF!</v>
      </c>
      <c r="DW258" t="e">
        <f>IF(#REF!,"AAAAAC2+/X4=",0)</f>
        <v>#REF!</v>
      </c>
      <c r="DX258" t="e">
        <f>IF(#REF!,"AAAAAC2+/X8=",0)</f>
        <v>#REF!</v>
      </c>
      <c r="DY258" t="e">
        <f>IF(#REF!,"AAAAAC2+/YA=",0)</f>
        <v>#REF!</v>
      </c>
      <c r="DZ258" t="e">
        <f>IF(#REF!,"AAAAAC2+/YE=",0)</f>
        <v>#REF!</v>
      </c>
      <c r="EA258" t="e">
        <f>IF(#REF!,"AAAAAC2+/YI=",0)</f>
        <v>#REF!</v>
      </c>
      <c r="EB258" t="e">
        <f>IF(#REF!,"AAAAAC2+/YM=",0)</f>
        <v>#REF!</v>
      </c>
      <c r="EC258" t="e">
        <f>IF(#REF!,"AAAAAC2+/YQ=",0)</f>
        <v>#REF!</v>
      </c>
      <c r="ED258" t="e">
        <f>IF(#REF!,"AAAAAC2+/YU=",0)</f>
        <v>#REF!</v>
      </c>
      <c r="EE258" t="e">
        <f>IF(#REF!,"AAAAAC2+/YY=",0)</f>
        <v>#REF!</v>
      </c>
      <c r="EF258" t="e">
        <f>IF(#REF!,"AAAAAC2+/Yc=",0)</f>
        <v>#REF!</v>
      </c>
      <c r="EG258" t="e">
        <f>IF(#REF!,"AAAAAC2+/Yg=",0)</f>
        <v>#REF!</v>
      </c>
      <c r="EH258" t="e">
        <f>IF(#REF!,"AAAAAC2+/Yk=",0)</f>
        <v>#REF!</v>
      </c>
      <c r="EI258" t="e">
        <f>IF(#REF!,"AAAAAC2+/Yo=",0)</f>
        <v>#REF!</v>
      </c>
      <c r="EJ258" t="e">
        <f>IF(#REF!,"AAAAAC2+/Ys=",0)</f>
        <v>#REF!</v>
      </c>
      <c r="EK258" t="e">
        <f>IF(#REF!,"AAAAAC2+/Yw=",0)</f>
        <v>#REF!</v>
      </c>
      <c r="EL258" t="e">
        <f>IF(#REF!,"AAAAAC2+/Y0=",0)</f>
        <v>#REF!</v>
      </c>
      <c r="EM258" t="e">
        <f>IF(#REF!,"AAAAAC2+/Y4=",0)</f>
        <v>#REF!</v>
      </c>
      <c r="EN258" t="e">
        <f>IF(#REF!,"AAAAAC2+/Y8=",0)</f>
        <v>#REF!</v>
      </c>
      <c r="EO258" t="e">
        <f>IF(#REF!,"AAAAAC2+/ZA=",0)</f>
        <v>#REF!</v>
      </c>
      <c r="EP258" t="e">
        <f>IF(#REF!,"AAAAAC2+/ZE=",0)</f>
        <v>#REF!</v>
      </c>
      <c r="EQ258" t="e">
        <f>IF(#REF!,"AAAAAC2+/ZI=",0)</f>
        <v>#REF!</v>
      </c>
      <c r="ER258" t="e">
        <f>IF(#REF!,"AAAAAC2+/ZM=",0)</f>
        <v>#REF!</v>
      </c>
      <c r="ES258" t="e">
        <f>IF(#REF!,"AAAAAC2+/ZQ=",0)</f>
        <v>#REF!</v>
      </c>
      <c r="ET258" t="e">
        <f>IF(#REF!,"AAAAAC2+/ZU=",0)</f>
        <v>#REF!</v>
      </c>
      <c r="EU258" t="e">
        <f>IF(#REF!,"AAAAAC2+/ZY=",0)</f>
        <v>#REF!</v>
      </c>
      <c r="EV258" t="e">
        <f>IF(#REF!,"AAAAAC2+/Zc=",0)</f>
        <v>#REF!</v>
      </c>
      <c r="EW258" t="e">
        <f>IF(#REF!,"AAAAAC2+/Zg=",0)</f>
        <v>#REF!</v>
      </c>
      <c r="EX258" t="e">
        <f>IF(#REF!,"AAAAAC2+/Zk=",0)</f>
        <v>#REF!</v>
      </c>
      <c r="EY258" t="e">
        <f>IF(#REF!,"AAAAAC2+/Zo=",0)</f>
        <v>#REF!</v>
      </c>
      <c r="EZ258" t="e">
        <f>IF(#REF!,"AAAAAC2+/Zs=",0)</f>
        <v>#REF!</v>
      </c>
      <c r="FA258" t="e">
        <f>IF(#REF!,"AAAAAC2+/Zw=",0)</f>
        <v>#REF!</v>
      </c>
      <c r="FB258" t="e">
        <f>IF(#REF!,"AAAAAC2+/Z0=",0)</f>
        <v>#REF!</v>
      </c>
      <c r="FC258" t="e">
        <f>IF(#REF!,"AAAAAC2+/Z4=",0)</f>
        <v>#REF!</v>
      </c>
      <c r="FD258" t="e">
        <f>IF(#REF!,"AAAAAC2+/Z8=",0)</f>
        <v>#REF!</v>
      </c>
      <c r="FE258" t="e">
        <f>IF(#REF!,"AAAAAC2+/aA=",0)</f>
        <v>#REF!</v>
      </c>
      <c r="FF258" t="e">
        <f>IF(#REF!,"AAAAAC2+/aE=",0)</f>
        <v>#REF!</v>
      </c>
      <c r="FG258" t="e">
        <f>IF(#REF!,"AAAAAC2+/aI=",0)</f>
        <v>#REF!</v>
      </c>
      <c r="FH258" t="e">
        <f>IF(#REF!,"AAAAAC2+/aM=",0)</f>
        <v>#REF!</v>
      </c>
      <c r="FI258" t="e">
        <f>IF(#REF!,"AAAAAC2+/aQ=",0)</f>
        <v>#REF!</v>
      </c>
      <c r="FJ258" t="e">
        <f>IF(#REF!,"AAAAAC2+/aU=",0)</f>
        <v>#REF!</v>
      </c>
      <c r="FK258" t="e">
        <f>IF(#REF!,"AAAAAC2+/aY=",0)</f>
        <v>#REF!</v>
      </c>
      <c r="FL258" t="e">
        <f>IF(#REF!,"AAAAAC2+/ac=",0)</f>
        <v>#REF!</v>
      </c>
      <c r="FM258" t="e">
        <f>IF(#REF!,"AAAAAC2+/ag=",0)</f>
        <v>#REF!</v>
      </c>
      <c r="FN258" t="e">
        <f>IF(#REF!,"AAAAAC2+/ak=",0)</f>
        <v>#REF!</v>
      </c>
      <c r="FO258" t="e">
        <f>IF(#REF!,"AAAAAC2+/ao=",0)</f>
        <v>#REF!</v>
      </c>
      <c r="FP258" t="e">
        <f>IF(#REF!,"AAAAAC2+/as=",0)</f>
        <v>#REF!</v>
      </c>
      <c r="FQ258" t="e">
        <f>IF(#REF!,"AAAAAC2+/aw=",0)</f>
        <v>#REF!</v>
      </c>
      <c r="FR258" t="e">
        <f>IF(#REF!,"AAAAAC2+/a0=",0)</f>
        <v>#REF!</v>
      </c>
      <c r="FS258" t="e">
        <f>IF(#REF!,"AAAAAC2+/a4=",0)</f>
        <v>#REF!</v>
      </c>
      <c r="FT258" t="e">
        <f>IF(#REF!,"AAAAAC2+/a8=",0)</f>
        <v>#REF!</v>
      </c>
      <c r="FU258" t="e">
        <f>IF(#REF!,"AAAAAC2+/bA=",0)</f>
        <v>#REF!</v>
      </c>
      <c r="FV258" t="e">
        <f>IF(#REF!,"AAAAAC2+/bE=",0)</f>
        <v>#REF!</v>
      </c>
      <c r="FW258" t="e">
        <f>IF(#REF!,"AAAAAC2+/bI=",0)</f>
        <v>#REF!</v>
      </c>
      <c r="FX258" t="e">
        <f>IF(#REF!,"AAAAAC2+/bM=",0)</f>
        <v>#REF!</v>
      </c>
      <c r="FY258" t="e">
        <f>IF(#REF!,"AAAAAC2+/bQ=",0)</f>
        <v>#REF!</v>
      </c>
      <c r="FZ258" t="e">
        <f>IF(#REF!,"AAAAAC2+/bU=",0)</f>
        <v>#REF!</v>
      </c>
      <c r="GA258" t="e">
        <f>IF(#REF!,"AAAAAC2+/bY=",0)</f>
        <v>#REF!</v>
      </c>
      <c r="GB258" t="e">
        <f>IF(#REF!,"AAAAAC2+/bc=",0)</f>
        <v>#REF!</v>
      </c>
      <c r="GC258" t="e">
        <f>IF(#REF!,"AAAAAC2+/bg=",0)</f>
        <v>#REF!</v>
      </c>
      <c r="GD258" t="e">
        <f>IF(#REF!,"AAAAAC2+/bk=",0)</f>
        <v>#REF!</v>
      </c>
      <c r="GE258" t="e">
        <f>IF(#REF!,"AAAAAC2+/bo=",0)</f>
        <v>#REF!</v>
      </c>
      <c r="GF258" t="e">
        <f>IF(#REF!,"AAAAAC2+/bs=",0)</f>
        <v>#REF!</v>
      </c>
      <c r="GG258" t="e">
        <f>IF(#REF!,"AAAAAC2+/bw=",0)</f>
        <v>#REF!</v>
      </c>
      <c r="GH258" t="e">
        <f>IF(#REF!,"AAAAAC2+/b0=",0)</f>
        <v>#REF!</v>
      </c>
      <c r="GI258" t="e">
        <f>IF(#REF!,"AAAAAC2+/b4=",0)</f>
        <v>#REF!</v>
      </c>
      <c r="GJ258" t="e">
        <f>IF(#REF!,"AAAAAC2+/b8=",0)</f>
        <v>#REF!</v>
      </c>
      <c r="GK258" t="e">
        <f>IF(#REF!,"AAAAAC2+/cA=",0)</f>
        <v>#REF!</v>
      </c>
      <c r="GL258" t="e">
        <f>IF(#REF!,"AAAAAC2+/cE=",0)</f>
        <v>#REF!</v>
      </c>
      <c r="GM258" t="e">
        <f>IF(#REF!,"AAAAAC2+/cI=",0)</f>
        <v>#REF!</v>
      </c>
      <c r="GN258" t="e">
        <f>IF(#REF!,"AAAAAC2+/cM=",0)</f>
        <v>#REF!</v>
      </c>
      <c r="GO258" t="e">
        <f>IF(#REF!,"AAAAAC2+/cQ=",0)</f>
        <v>#REF!</v>
      </c>
      <c r="GP258" t="e">
        <f>IF(#REF!,"AAAAAC2+/cU=",0)</f>
        <v>#REF!</v>
      </c>
      <c r="GQ258" t="e">
        <f>IF(#REF!,"AAAAAC2+/cY=",0)</f>
        <v>#REF!</v>
      </c>
      <c r="GR258" t="e">
        <f>IF(#REF!,"AAAAAC2+/cc=",0)</f>
        <v>#REF!</v>
      </c>
      <c r="GS258" t="e">
        <f>IF(#REF!,"AAAAAC2+/cg=",0)</f>
        <v>#REF!</v>
      </c>
      <c r="GT258" t="e">
        <f>IF(#REF!,"AAAAAC2+/ck=",0)</f>
        <v>#REF!</v>
      </c>
      <c r="GU258" t="e">
        <f>IF(#REF!,"AAAAAC2+/co=",0)</f>
        <v>#REF!</v>
      </c>
      <c r="GV258" t="e">
        <f>IF(#REF!,"AAAAAC2+/cs=",0)</f>
        <v>#REF!</v>
      </c>
      <c r="GW258" t="e">
        <f>IF(#REF!,"AAAAAC2+/cw=",0)</f>
        <v>#REF!</v>
      </c>
      <c r="GX258" t="e">
        <f>IF(#REF!,"AAAAAC2+/c0=",0)</f>
        <v>#REF!</v>
      </c>
      <c r="GY258" t="e">
        <f>IF(#REF!,"AAAAAC2+/c4=",0)</f>
        <v>#REF!</v>
      </c>
      <c r="GZ258" t="e">
        <f>IF(#REF!,"AAAAAC2+/c8=",0)</f>
        <v>#REF!</v>
      </c>
      <c r="HA258" t="e">
        <f>IF(#REF!,"AAAAAC2+/dA=",0)</f>
        <v>#REF!</v>
      </c>
      <c r="HB258" t="e">
        <f>IF(#REF!,"AAAAAC2+/dE=",0)</f>
        <v>#REF!</v>
      </c>
      <c r="HC258" t="e">
        <f>IF(#REF!,"AAAAAC2+/dI=",0)</f>
        <v>#REF!</v>
      </c>
      <c r="HD258" t="e">
        <f>IF(#REF!,"AAAAAC2+/dM=",0)</f>
        <v>#REF!</v>
      </c>
      <c r="HE258" t="e">
        <f>IF(#REF!,"AAAAAC2+/dQ=",0)</f>
        <v>#REF!</v>
      </c>
      <c r="HF258" t="e">
        <f>IF(#REF!,"AAAAAC2+/dU=",0)</f>
        <v>#REF!</v>
      </c>
      <c r="HG258" t="e">
        <f>IF(#REF!,"AAAAAC2+/dY=",0)</f>
        <v>#REF!</v>
      </c>
      <c r="HH258" t="e">
        <f>IF(#REF!,"AAAAAC2+/dc=",0)</f>
        <v>#REF!</v>
      </c>
      <c r="HI258" t="e">
        <f>IF(#REF!,"AAAAAC2+/dg=",0)</f>
        <v>#REF!</v>
      </c>
      <c r="HJ258" t="e">
        <f>IF(#REF!,"AAAAAC2+/dk=",0)</f>
        <v>#REF!</v>
      </c>
      <c r="HK258" t="e">
        <f>IF(#REF!,"AAAAAC2+/do=",0)</f>
        <v>#REF!</v>
      </c>
      <c r="HL258" t="e">
        <f>IF(#REF!,"AAAAAC2+/ds=",0)</f>
        <v>#REF!</v>
      </c>
      <c r="HM258" t="e">
        <f>IF(#REF!,"AAAAAC2+/dw=",0)</f>
        <v>#REF!</v>
      </c>
      <c r="HN258" t="e">
        <f>IF(#REF!,"AAAAAC2+/d0=",0)</f>
        <v>#REF!</v>
      </c>
      <c r="HO258" t="e">
        <f>IF(#REF!,"AAAAAC2+/d4=",0)</f>
        <v>#REF!</v>
      </c>
      <c r="HP258" t="e">
        <f>IF(#REF!,"AAAAAC2+/d8=",0)</f>
        <v>#REF!</v>
      </c>
      <c r="HQ258" t="e">
        <f>IF(#REF!,"AAAAAC2+/eA=",0)</f>
        <v>#REF!</v>
      </c>
      <c r="HR258" t="e">
        <f>IF(#REF!,"AAAAAC2+/eE=",0)</f>
        <v>#REF!</v>
      </c>
      <c r="HS258" t="e">
        <f>IF(#REF!,"AAAAAC2+/eI=",0)</f>
        <v>#REF!</v>
      </c>
      <c r="HT258" t="e">
        <f>IF(#REF!,"AAAAAC2+/eM=",0)</f>
        <v>#REF!</v>
      </c>
      <c r="HU258" t="e">
        <f>IF(#REF!,"AAAAAC2+/eQ=",0)</f>
        <v>#REF!</v>
      </c>
      <c r="HV258" t="e">
        <f>IF(#REF!,"AAAAAC2+/eU=",0)</f>
        <v>#REF!</v>
      </c>
      <c r="HW258" t="e">
        <f>IF(#REF!,"AAAAAC2+/eY=",0)</f>
        <v>#REF!</v>
      </c>
      <c r="HX258" t="e">
        <f>IF(#REF!,"AAAAAC2+/ec=",0)</f>
        <v>#REF!</v>
      </c>
      <c r="HY258" t="e">
        <f>IF(#REF!,"AAAAAC2+/eg=",0)</f>
        <v>#REF!</v>
      </c>
      <c r="HZ258" t="e">
        <f>IF(#REF!,"AAAAAC2+/ek=",0)</f>
        <v>#REF!</v>
      </c>
      <c r="IA258" t="e">
        <f>IF(#REF!,"AAAAAC2+/eo=",0)</f>
        <v>#REF!</v>
      </c>
      <c r="IB258" t="e">
        <f>IF(#REF!,"AAAAAC2+/es=",0)</f>
        <v>#REF!</v>
      </c>
      <c r="IC258" t="e">
        <f>IF(#REF!,"AAAAAC2+/ew=",0)</f>
        <v>#REF!</v>
      </c>
      <c r="ID258" t="e">
        <f>IF(#REF!,"AAAAAC2+/e0=",0)</f>
        <v>#REF!</v>
      </c>
      <c r="IE258" t="e">
        <f>IF(#REF!,"AAAAAC2+/e4=",0)</f>
        <v>#REF!</v>
      </c>
      <c r="IF258" t="e">
        <f>IF(#REF!,"AAAAAC2+/e8=",0)</f>
        <v>#REF!</v>
      </c>
      <c r="IG258" t="e">
        <f>IF(#REF!,"AAAAAC2+/fA=",0)</f>
        <v>#REF!</v>
      </c>
      <c r="IH258" t="e">
        <f>IF(#REF!,"AAAAAC2+/fE=",0)</f>
        <v>#REF!</v>
      </c>
      <c r="II258" t="e">
        <f>IF(#REF!,"AAAAAC2+/fI=",0)</f>
        <v>#REF!</v>
      </c>
      <c r="IJ258" t="e">
        <f>IF(#REF!,"AAAAAC2+/fM=",0)</f>
        <v>#REF!</v>
      </c>
      <c r="IK258" t="e">
        <f>IF(#REF!,"AAAAAC2+/fQ=",0)</f>
        <v>#REF!</v>
      </c>
      <c r="IL258" t="e">
        <f>IF(#REF!,"AAAAAC2+/fU=",0)</f>
        <v>#REF!</v>
      </c>
      <c r="IM258" t="e">
        <f>IF(#REF!,"AAAAAC2+/fY=",0)</f>
        <v>#REF!</v>
      </c>
      <c r="IN258" t="e">
        <f>IF(#REF!,"AAAAAC2+/fc=",0)</f>
        <v>#REF!</v>
      </c>
      <c r="IO258" t="e">
        <f>IF(#REF!,"AAAAAC2+/fg=",0)</f>
        <v>#REF!</v>
      </c>
      <c r="IP258" t="e">
        <f>IF(#REF!,"AAAAAC2+/fk=",0)</f>
        <v>#REF!</v>
      </c>
      <c r="IQ258" t="e">
        <f>IF(#REF!,"AAAAAC2+/fo=",0)</f>
        <v>#REF!</v>
      </c>
      <c r="IR258" t="e">
        <f>IF(#REF!,"AAAAAC2+/fs=",0)</f>
        <v>#REF!</v>
      </c>
      <c r="IS258" t="e">
        <f>IF(#REF!,"AAAAAC2+/fw=",0)</f>
        <v>#REF!</v>
      </c>
      <c r="IT258" t="e">
        <f>IF(#REF!,"AAAAAC2+/f0=",0)</f>
        <v>#REF!</v>
      </c>
      <c r="IU258" t="e">
        <f>IF(#REF!,"AAAAAC2+/f4=",0)</f>
        <v>#REF!</v>
      </c>
      <c r="IV258" t="e">
        <f>IF(#REF!,"AAAAAC2+/f8=",0)</f>
        <v>#REF!</v>
      </c>
    </row>
    <row r="259" spans="1:256">
      <c r="A259" t="e">
        <f>IF(#REF!,"AAAAAH/L9wA=",0)</f>
        <v>#REF!</v>
      </c>
      <c r="B259" t="e">
        <f>IF(#REF!,"AAAAAH/L9wE=",0)</f>
        <v>#REF!</v>
      </c>
      <c r="C259" t="e">
        <f>IF(#REF!,"AAAAAH/L9wI=",0)</f>
        <v>#REF!</v>
      </c>
      <c r="D259" t="e">
        <f>IF(#REF!,"AAAAAH/L9wM=",0)</f>
        <v>#REF!</v>
      </c>
      <c r="E259" t="e">
        <f>IF(#REF!,"AAAAAH/L9wQ=",0)</f>
        <v>#REF!</v>
      </c>
      <c r="F259" t="e">
        <f>IF(#REF!,"AAAAAH/L9wU=",0)</f>
        <v>#REF!</v>
      </c>
      <c r="G259" t="e">
        <f>IF(#REF!,"AAAAAH/L9wY=",0)</f>
        <v>#REF!</v>
      </c>
      <c r="H259" t="e">
        <f>IF(#REF!,"AAAAAH/L9wc=",0)</f>
        <v>#REF!</v>
      </c>
      <c r="I259" t="e">
        <f>IF(#REF!,"AAAAAH/L9wg=",0)</f>
        <v>#REF!</v>
      </c>
      <c r="J259" t="e">
        <f>IF(#REF!,"AAAAAH/L9wk=",0)</f>
        <v>#REF!</v>
      </c>
      <c r="K259" t="e">
        <f>IF(#REF!,"AAAAAH/L9wo=",0)</f>
        <v>#REF!</v>
      </c>
      <c r="L259" t="e">
        <f>IF(#REF!,"AAAAAH/L9ws=",0)</f>
        <v>#REF!</v>
      </c>
      <c r="M259" t="e">
        <f>IF(#REF!,"AAAAAH/L9ww=",0)</f>
        <v>#REF!</v>
      </c>
      <c r="N259" t="e">
        <f>IF(#REF!,"AAAAAH/L9w0=",0)</f>
        <v>#REF!</v>
      </c>
      <c r="O259" t="e">
        <f>IF(#REF!,"AAAAAH/L9w4=",0)</f>
        <v>#REF!</v>
      </c>
      <c r="P259" t="e">
        <f>IF(#REF!,"AAAAAH/L9w8=",0)</f>
        <v>#REF!</v>
      </c>
      <c r="Q259" t="e">
        <f>IF(#REF!,"AAAAAH/L9xA=",0)</f>
        <v>#REF!</v>
      </c>
      <c r="R259" t="e">
        <f>IF(#REF!,"AAAAAH/L9xE=",0)</f>
        <v>#REF!</v>
      </c>
      <c r="S259" t="e">
        <f>IF(#REF!,"AAAAAH/L9xI=",0)</f>
        <v>#REF!</v>
      </c>
      <c r="T259" t="e">
        <f>IF(#REF!,"AAAAAH/L9xM=",0)</f>
        <v>#REF!</v>
      </c>
      <c r="U259" t="e">
        <f>IF(#REF!,"AAAAAH/L9xQ=",0)</f>
        <v>#REF!</v>
      </c>
      <c r="V259" t="e">
        <f>IF(#REF!,"AAAAAH/L9xU=",0)</f>
        <v>#REF!</v>
      </c>
      <c r="W259" t="e">
        <f>IF(#REF!,"AAAAAH/L9xY=",0)</f>
        <v>#REF!</v>
      </c>
      <c r="X259" t="e">
        <f>IF(#REF!,"AAAAAH/L9xc=",0)</f>
        <v>#REF!</v>
      </c>
      <c r="Y259" t="e">
        <f>IF(#REF!,"AAAAAH/L9xg=",0)</f>
        <v>#REF!</v>
      </c>
      <c r="Z259" t="e">
        <f>IF(#REF!,"AAAAAH/L9xk=",0)</f>
        <v>#REF!</v>
      </c>
      <c r="AA259" t="e">
        <f>IF(#REF!,"AAAAAH/L9xo=",0)</f>
        <v>#REF!</v>
      </c>
      <c r="AB259" t="e">
        <f>IF(#REF!,"AAAAAH/L9xs=",0)</f>
        <v>#REF!</v>
      </c>
      <c r="AC259" t="e">
        <f>IF(#REF!,"AAAAAH/L9xw=",0)</f>
        <v>#REF!</v>
      </c>
      <c r="AD259" t="e">
        <f>IF(#REF!,"AAAAAH/L9x0=",0)</f>
        <v>#REF!</v>
      </c>
      <c r="AE259" t="e">
        <f>IF(#REF!,"AAAAAH/L9x4=",0)</f>
        <v>#REF!</v>
      </c>
      <c r="AF259" t="e">
        <f>IF(#REF!,"AAAAAH/L9x8=",0)</f>
        <v>#REF!</v>
      </c>
      <c r="AG259" t="e">
        <f>IF(#REF!,"AAAAAH/L9yA=",0)</f>
        <v>#REF!</v>
      </c>
      <c r="AH259" t="e">
        <f>IF(#REF!,"AAAAAH/L9yE=",0)</f>
        <v>#REF!</v>
      </c>
      <c r="AI259" t="e">
        <f>IF(#REF!,"AAAAAH/L9yI=",0)</f>
        <v>#REF!</v>
      </c>
      <c r="AJ259" t="e">
        <f>IF(#REF!,"AAAAAH/L9yM=",0)</f>
        <v>#REF!</v>
      </c>
      <c r="AK259" t="e">
        <f>IF(#REF!,"AAAAAH/L9yQ=",0)</f>
        <v>#REF!</v>
      </c>
      <c r="AL259" t="e">
        <f>IF(#REF!,"AAAAAH/L9yU=",0)</f>
        <v>#REF!</v>
      </c>
      <c r="AM259" t="e">
        <f>IF(#REF!,"AAAAAH/L9yY=",0)</f>
        <v>#REF!</v>
      </c>
      <c r="AN259" t="e">
        <f>IF(#REF!,"AAAAAH/L9yc=",0)</f>
        <v>#REF!</v>
      </c>
      <c r="AO259" t="e">
        <f>IF(#REF!,"AAAAAH/L9yg=",0)</f>
        <v>#REF!</v>
      </c>
      <c r="AP259" t="e">
        <f>IF(#REF!,"AAAAAH/L9yk=",0)</f>
        <v>#REF!</v>
      </c>
      <c r="AQ259" t="e">
        <f>IF(#REF!,"AAAAAH/L9yo=",0)</f>
        <v>#REF!</v>
      </c>
      <c r="AR259" t="e">
        <f>IF(#REF!,"AAAAAH/L9ys=",0)</f>
        <v>#REF!</v>
      </c>
      <c r="AS259" t="e">
        <f>IF(#REF!,"AAAAAH/L9yw=",0)</f>
        <v>#REF!</v>
      </c>
      <c r="AT259" t="e">
        <f>IF(#REF!,"AAAAAH/L9y0=",0)</f>
        <v>#REF!</v>
      </c>
      <c r="AU259" t="e">
        <f>IF(#REF!,"AAAAAH/L9y4=",0)</f>
        <v>#REF!</v>
      </c>
      <c r="AV259" t="e">
        <f>IF(#REF!,"AAAAAH/L9y8=",0)</f>
        <v>#REF!</v>
      </c>
      <c r="AW259" t="e">
        <f>IF(#REF!,"AAAAAH/L9zA=",0)</f>
        <v>#REF!</v>
      </c>
      <c r="AX259" t="e">
        <f>IF(#REF!,"AAAAAH/L9zE=",0)</f>
        <v>#REF!</v>
      </c>
      <c r="AY259" t="e">
        <f>IF(#REF!,"AAAAAH/L9zI=",0)</f>
        <v>#REF!</v>
      </c>
      <c r="AZ259" t="e">
        <f>IF(#REF!,"AAAAAH/L9zM=",0)</f>
        <v>#REF!</v>
      </c>
      <c r="BA259" t="e">
        <f>IF(#REF!,"AAAAAH/L9zQ=",0)</f>
        <v>#REF!</v>
      </c>
      <c r="BB259" t="e">
        <f>IF(#REF!,"AAAAAH/L9zU=",0)</f>
        <v>#REF!</v>
      </c>
      <c r="BC259" t="e">
        <f>IF(#REF!,"AAAAAH/L9zY=",0)</f>
        <v>#REF!</v>
      </c>
      <c r="BD259" t="e">
        <f>IF(#REF!,"AAAAAH/L9zc=",0)</f>
        <v>#REF!</v>
      </c>
      <c r="BE259" t="e">
        <f>IF(#REF!,"AAAAAH/L9zg=",0)</f>
        <v>#REF!</v>
      </c>
      <c r="BF259" t="e">
        <f>IF(#REF!,"AAAAAH/L9zk=",0)</f>
        <v>#REF!</v>
      </c>
      <c r="BG259" t="e">
        <f>IF(#REF!,"AAAAAH/L9zo=",0)</f>
        <v>#REF!</v>
      </c>
      <c r="BH259" t="e">
        <f>IF(#REF!,"AAAAAH/L9zs=",0)</f>
        <v>#REF!</v>
      </c>
      <c r="BI259" t="e">
        <f>IF(#REF!,"AAAAAH/L9zw=",0)</f>
        <v>#REF!</v>
      </c>
      <c r="BJ259" t="e">
        <f>IF(#REF!,"AAAAAH/L9z0=",0)</f>
        <v>#REF!</v>
      </c>
      <c r="BK259" t="e">
        <f>IF(#REF!,"AAAAAH/L9z4=",0)</f>
        <v>#REF!</v>
      </c>
      <c r="BL259" t="e">
        <f>IF(#REF!,"AAAAAH/L9z8=",0)</f>
        <v>#REF!</v>
      </c>
      <c r="BM259" t="e">
        <f>IF(#REF!,"AAAAAH/L90A=",0)</f>
        <v>#REF!</v>
      </c>
      <c r="BN259" t="e">
        <f>IF(#REF!,"AAAAAH/L90E=",0)</f>
        <v>#REF!</v>
      </c>
      <c r="BO259" t="e">
        <f>IF(#REF!,"AAAAAH/L90I=",0)</f>
        <v>#REF!</v>
      </c>
      <c r="BP259" t="e">
        <f>IF(#REF!,"AAAAAH/L90M=",0)</f>
        <v>#REF!</v>
      </c>
      <c r="BQ259" t="e">
        <f>IF(#REF!,"AAAAAH/L90Q=",0)</f>
        <v>#REF!</v>
      </c>
      <c r="BR259" t="e">
        <f>IF(#REF!,"AAAAAH/L90U=",0)</f>
        <v>#REF!</v>
      </c>
      <c r="BS259" t="e">
        <f>IF(#REF!,"AAAAAH/L90Y=",0)</f>
        <v>#REF!</v>
      </c>
      <c r="BT259" t="e">
        <f>IF(#REF!,"AAAAAH/L90c=",0)</f>
        <v>#REF!</v>
      </c>
      <c r="BU259" t="e">
        <f>IF(#REF!,"AAAAAH/L90g=",0)</f>
        <v>#REF!</v>
      </c>
      <c r="BV259" t="e">
        <f>IF(#REF!,"AAAAAH/L90k=",0)</f>
        <v>#REF!</v>
      </c>
      <c r="BW259" t="e">
        <f>IF(#REF!,"AAAAAH/L90o=",0)</f>
        <v>#REF!</v>
      </c>
      <c r="BX259" t="e">
        <f>IF(#REF!,"AAAAAH/L90s=",0)</f>
        <v>#REF!</v>
      </c>
      <c r="BY259" t="e">
        <f>IF(#REF!,"AAAAAH/L90w=",0)</f>
        <v>#REF!</v>
      </c>
      <c r="BZ259" t="e">
        <f>IF(#REF!,"AAAAAH/L900=",0)</f>
        <v>#REF!</v>
      </c>
      <c r="CA259" t="e">
        <f>IF(#REF!,"AAAAAH/L904=",0)</f>
        <v>#REF!</v>
      </c>
      <c r="CB259" t="e">
        <f>IF(#REF!,"AAAAAH/L908=",0)</f>
        <v>#REF!</v>
      </c>
      <c r="CC259" t="e">
        <f>IF(#REF!,"AAAAAH/L91A=",0)</f>
        <v>#REF!</v>
      </c>
      <c r="CD259" t="e">
        <f>IF(#REF!,"AAAAAH/L91E=",0)</f>
        <v>#REF!</v>
      </c>
      <c r="CE259" t="e">
        <f>IF(#REF!,"AAAAAH/L91I=",0)</f>
        <v>#REF!</v>
      </c>
      <c r="CF259" t="e">
        <f>IF(#REF!,"AAAAAH/L91M=",0)</f>
        <v>#REF!</v>
      </c>
      <c r="CG259" t="e">
        <f>IF(#REF!,"AAAAAH/L91Q=",0)</f>
        <v>#REF!</v>
      </c>
      <c r="CH259" t="e">
        <f>IF(#REF!,"AAAAAH/L91U=",0)</f>
        <v>#REF!</v>
      </c>
      <c r="CI259" t="e">
        <f>IF(#REF!,"AAAAAH/L91Y=",0)</f>
        <v>#REF!</v>
      </c>
      <c r="CJ259" t="e">
        <f>IF(#REF!,"AAAAAH/L91c=",0)</f>
        <v>#REF!</v>
      </c>
      <c r="CK259" t="e">
        <f>IF(#REF!,"AAAAAH/L91g=",0)</f>
        <v>#REF!</v>
      </c>
      <c r="CL259" t="e">
        <f>IF(#REF!,"AAAAAH/L91k=",0)</f>
        <v>#REF!</v>
      </c>
      <c r="CM259" t="e">
        <f>IF(#REF!,"AAAAAH/L91o=",0)</f>
        <v>#REF!</v>
      </c>
      <c r="CN259" t="e">
        <f>IF(#REF!,"AAAAAH/L91s=",0)</f>
        <v>#REF!</v>
      </c>
      <c r="CO259" t="e">
        <f>IF(#REF!,"AAAAAH/L91w=",0)</f>
        <v>#REF!</v>
      </c>
      <c r="CP259" t="e">
        <f>IF(#REF!,"AAAAAH/L910=",0)</f>
        <v>#REF!</v>
      </c>
      <c r="CQ259" t="e">
        <f>IF(#REF!,"AAAAAH/L914=",0)</f>
        <v>#REF!</v>
      </c>
      <c r="CR259" t="e">
        <f>IF(#REF!,"AAAAAH/L918=",0)</f>
        <v>#REF!</v>
      </c>
      <c r="CS259" t="e">
        <f>IF(#REF!,"AAAAAH/L92A=",0)</f>
        <v>#REF!</v>
      </c>
      <c r="CT259" t="e">
        <f>IF(#REF!,"AAAAAH/L92E=",0)</f>
        <v>#REF!</v>
      </c>
      <c r="CU259" t="e">
        <f>IF(#REF!,"AAAAAH/L92I=",0)</f>
        <v>#REF!</v>
      </c>
      <c r="CV259" t="e">
        <f>IF(#REF!,"AAAAAH/L92M=",0)</f>
        <v>#REF!</v>
      </c>
      <c r="CW259" t="e">
        <f>IF(#REF!,"AAAAAH/L92Q=",0)</f>
        <v>#REF!</v>
      </c>
      <c r="CX259" t="e">
        <f>IF(#REF!,"AAAAAH/L92U=",0)</f>
        <v>#REF!</v>
      </c>
      <c r="CY259" t="e">
        <f>IF(#REF!,"AAAAAH/L92Y=",0)</f>
        <v>#REF!</v>
      </c>
      <c r="CZ259" t="e">
        <f>IF(#REF!,"AAAAAH/L92c=",0)</f>
        <v>#REF!</v>
      </c>
      <c r="DA259" t="e">
        <f>IF(#REF!,"AAAAAH/L92g=",0)</f>
        <v>#REF!</v>
      </c>
      <c r="DB259" t="e">
        <f>IF(#REF!,"AAAAAH/L92k=",0)</f>
        <v>#REF!</v>
      </c>
      <c r="DC259" t="e">
        <f>IF(#REF!,"AAAAAH/L92o=",0)</f>
        <v>#REF!</v>
      </c>
      <c r="DD259" t="e">
        <f>IF(#REF!,"AAAAAH/L92s=",0)</f>
        <v>#REF!</v>
      </c>
      <c r="DE259" t="e">
        <f>IF(#REF!,"AAAAAH/L92w=",0)</f>
        <v>#REF!</v>
      </c>
      <c r="DF259" t="e">
        <f>IF(#REF!,"AAAAAH/L920=",0)</f>
        <v>#REF!</v>
      </c>
      <c r="DG259" t="e">
        <f>IF(#REF!,"AAAAAH/L924=",0)</f>
        <v>#REF!</v>
      </c>
      <c r="DH259" t="e">
        <f>IF(#REF!,"AAAAAH/L928=",0)</f>
        <v>#REF!</v>
      </c>
      <c r="DI259" t="e">
        <f>IF(#REF!,"AAAAAH/L93A=",0)</f>
        <v>#REF!</v>
      </c>
      <c r="DJ259" t="e">
        <f>IF(#REF!,"AAAAAH/L93E=",0)</f>
        <v>#REF!</v>
      </c>
      <c r="DK259" t="e">
        <f>IF(#REF!,"AAAAAH/L93I=",0)</f>
        <v>#REF!</v>
      </c>
      <c r="DL259" t="e">
        <f>IF(#REF!,"AAAAAH/L93M=",0)</f>
        <v>#REF!</v>
      </c>
      <c r="DM259" t="e">
        <f>IF(#REF!,"AAAAAH/L93Q=",0)</f>
        <v>#REF!</v>
      </c>
      <c r="DN259" t="e">
        <f>IF(#REF!,"AAAAAH/L93U=",0)</f>
        <v>#REF!</v>
      </c>
      <c r="DO259" t="e">
        <f>IF(#REF!,"AAAAAH/L93Y=",0)</f>
        <v>#REF!</v>
      </c>
      <c r="DP259" t="e">
        <f>IF(#REF!,"AAAAAH/L93c=",0)</f>
        <v>#REF!</v>
      </c>
      <c r="DQ259" t="e">
        <f>IF(#REF!,"AAAAAH/L93g=",0)</f>
        <v>#REF!</v>
      </c>
      <c r="DR259" t="e">
        <f>IF(#REF!,"AAAAAH/L93k=",0)</f>
        <v>#REF!</v>
      </c>
      <c r="DS259" t="e">
        <f>IF(#REF!,"AAAAAH/L93o=",0)</f>
        <v>#REF!</v>
      </c>
      <c r="DT259" t="e">
        <f>IF(#REF!,"AAAAAH/L93s=",0)</f>
        <v>#REF!</v>
      </c>
      <c r="DU259" t="e">
        <f>IF(#REF!,"AAAAAH/L93w=",0)</f>
        <v>#REF!</v>
      </c>
      <c r="DV259" t="e">
        <f>IF(#REF!,"AAAAAH/L930=",0)</f>
        <v>#REF!</v>
      </c>
      <c r="DW259" t="e">
        <f>IF(#REF!,"AAAAAH/L934=",0)</f>
        <v>#REF!</v>
      </c>
      <c r="DX259" t="e">
        <f>IF(#REF!,"AAAAAH/L938=",0)</f>
        <v>#REF!</v>
      </c>
      <c r="DY259" t="e">
        <f>IF(#REF!,"AAAAAH/L94A=",0)</f>
        <v>#REF!</v>
      </c>
      <c r="DZ259" t="e">
        <f>IF(#REF!,"AAAAAH/L94E=",0)</f>
        <v>#REF!</v>
      </c>
      <c r="EA259" t="e">
        <f>IF(#REF!,"AAAAAH/L94I=",0)</f>
        <v>#REF!</v>
      </c>
      <c r="EB259" t="e">
        <f>IF(#REF!,"AAAAAH/L94M=",0)</f>
        <v>#REF!</v>
      </c>
      <c r="EC259" t="e">
        <f>IF(#REF!,"AAAAAH/L94Q=",0)</f>
        <v>#REF!</v>
      </c>
      <c r="ED259" t="e">
        <f>IF(#REF!,"AAAAAH/L94U=",0)</f>
        <v>#REF!</v>
      </c>
      <c r="EE259" t="e">
        <f>IF(#REF!,"AAAAAH/L94Y=",0)</f>
        <v>#REF!</v>
      </c>
      <c r="EF259" t="e">
        <f>IF(#REF!,"AAAAAH/L94c=",0)</f>
        <v>#REF!</v>
      </c>
      <c r="EG259" t="e">
        <f>IF(#REF!,"AAAAAH/L94g=",0)</f>
        <v>#REF!</v>
      </c>
      <c r="EH259" t="e">
        <f>IF(#REF!,"AAAAAH/L94k=",0)</f>
        <v>#REF!</v>
      </c>
      <c r="EI259" t="e">
        <f>IF(#REF!,"AAAAAH/L94o=",0)</f>
        <v>#REF!</v>
      </c>
      <c r="EJ259" t="e">
        <f>IF(#REF!,"AAAAAH/L94s=",0)</f>
        <v>#REF!</v>
      </c>
      <c r="EK259" t="e">
        <f>IF(#REF!,"AAAAAH/L94w=",0)</f>
        <v>#REF!</v>
      </c>
      <c r="EL259" t="e">
        <f>IF(#REF!,"AAAAAH/L940=",0)</f>
        <v>#REF!</v>
      </c>
      <c r="EM259" t="e">
        <f>IF(#REF!,"AAAAAH/L944=",0)</f>
        <v>#REF!</v>
      </c>
      <c r="EN259" t="e">
        <f>IF(#REF!,"AAAAAH/L948=",0)</f>
        <v>#REF!</v>
      </c>
      <c r="EO259" t="e">
        <f>IF(#REF!,"AAAAAH/L95A=",0)</f>
        <v>#REF!</v>
      </c>
      <c r="EP259" t="e">
        <f>IF(#REF!,"AAAAAH/L95E=",0)</f>
        <v>#REF!</v>
      </c>
      <c r="EQ259" t="e">
        <f>IF(#REF!,"AAAAAH/L95I=",0)</f>
        <v>#REF!</v>
      </c>
      <c r="ER259" t="e">
        <f>IF(#REF!,"AAAAAH/L95M=",0)</f>
        <v>#REF!</v>
      </c>
      <c r="ES259" t="e">
        <f>IF(#REF!,"AAAAAH/L95Q=",0)</f>
        <v>#REF!</v>
      </c>
      <c r="ET259" t="e">
        <f>IF(#REF!,"AAAAAH/L95U=",0)</f>
        <v>#REF!</v>
      </c>
      <c r="EU259" t="e">
        <f>IF(#REF!,"AAAAAH/L95Y=",0)</f>
        <v>#REF!</v>
      </c>
      <c r="EV259" t="e">
        <f>IF(#REF!,"AAAAAH/L95c=",0)</f>
        <v>#REF!</v>
      </c>
      <c r="EW259" t="e">
        <f>IF(#REF!,"AAAAAH/L95g=",0)</f>
        <v>#REF!</v>
      </c>
      <c r="EX259" t="e">
        <f>IF(#REF!,"AAAAAH/L95k=",0)</f>
        <v>#REF!</v>
      </c>
      <c r="EY259" t="e">
        <f>IF(#REF!,"AAAAAH/L95o=",0)</f>
        <v>#REF!</v>
      </c>
      <c r="EZ259" t="e">
        <f>IF(#REF!,"AAAAAH/L95s=",0)</f>
        <v>#REF!</v>
      </c>
      <c r="FA259" t="e">
        <f>IF(#REF!,"AAAAAH/L95w=",0)</f>
        <v>#REF!</v>
      </c>
      <c r="FB259" t="e">
        <f>IF(#REF!,"AAAAAH/L950=",0)</f>
        <v>#REF!</v>
      </c>
      <c r="FC259" t="e">
        <f>IF(#REF!,"AAAAAH/L954=",0)</f>
        <v>#REF!</v>
      </c>
      <c r="FD259" t="e">
        <f>IF(#REF!,"AAAAAH/L958=",0)</f>
        <v>#REF!</v>
      </c>
      <c r="FE259" t="e">
        <f>IF(#REF!,"AAAAAH/L96A=",0)</f>
        <v>#REF!</v>
      </c>
      <c r="FF259" t="e">
        <f>IF(#REF!,"AAAAAH/L96E=",0)</f>
        <v>#REF!</v>
      </c>
      <c r="FG259" t="e">
        <f>IF(#REF!,"AAAAAH/L96I=",0)</f>
        <v>#REF!</v>
      </c>
      <c r="FH259" t="e">
        <f>IF(#REF!,"AAAAAH/L96M=",0)</f>
        <v>#REF!</v>
      </c>
      <c r="FI259" t="e">
        <f>IF(#REF!,"AAAAAH/L96Q=",0)</f>
        <v>#REF!</v>
      </c>
      <c r="FJ259" t="e">
        <f>IF(#REF!,"AAAAAH/L96U=",0)</f>
        <v>#REF!</v>
      </c>
      <c r="FK259" t="e">
        <f>IF(#REF!,"AAAAAH/L96Y=",0)</f>
        <v>#REF!</v>
      </c>
      <c r="FL259" t="e">
        <f>IF(#REF!,"AAAAAH/L96c=",0)</f>
        <v>#REF!</v>
      </c>
      <c r="FM259" t="e">
        <f>IF(#REF!,"AAAAAH/L96g=",0)</f>
        <v>#REF!</v>
      </c>
      <c r="FN259" t="e">
        <f>IF(#REF!,"AAAAAH/L96k=",0)</f>
        <v>#REF!</v>
      </c>
      <c r="FO259" t="e">
        <f>IF(#REF!,"AAAAAH/L96o=",0)</f>
        <v>#REF!</v>
      </c>
      <c r="FP259" t="e">
        <f>IF(#REF!,"AAAAAH/L96s=",0)</f>
        <v>#REF!</v>
      </c>
      <c r="FQ259" t="e">
        <f>IF(#REF!,"AAAAAH/L96w=",0)</f>
        <v>#REF!</v>
      </c>
      <c r="FR259" t="e">
        <f>IF(#REF!,"AAAAAH/L960=",0)</f>
        <v>#REF!</v>
      </c>
      <c r="FS259" t="e">
        <f>IF(#REF!,"AAAAAH/L964=",0)</f>
        <v>#REF!</v>
      </c>
      <c r="FT259" t="e">
        <f>IF(#REF!,"AAAAAH/L968=",0)</f>
        <v>#REF!</v>
      </c>
      <c r="FU259" t="e">
        <f>IF(#REF!,"AAAAAH/L97A=",0)</f>
        <v>#REF!</v>
      </c>
      <c r="FV259" t="e">
        <f>IF(#REF!,"AAAAAH/L97E=",0)</f>
        <v>#REF!</v>
      </c>
      <c r="FW259" t="e">
        <f>IF(#REF!,"AAAAAH/L97I=",0)</f>
        <v>#REF!</v>
      </c>
      <c r="FX259" t="e">
        <f>IF(#REF!,"AAAAAH/L97M=",0)</f>
        <v>#REF!</v>
      </c>
      <c r="FY259" t="e">
        <f>IF(#REF!,"AAAAAH/L97Q=",0)</f>
        <v>#REF!</v>
      </c>
      <c r="FZ259" t="e">
        <f>IF(#REF!,"AAAAAH/L97U=",0)</f>
        <v>#REF!</v>
      </c>
      <c r="GA259" t="e">
        <f>IF(#REF!,"AAAAAH/L97Y=",0)</f>
        <v>#REF!</v>
      </c>
      <c r="GB259" t="e">
        <f>IF(#REF!,"AAAAAH/L97c=",0)</f>
        <v>#REF!</v>
      </c>
      <c r="GC259" t="e">
        <f>IF(#REF!,"AAAAAH/L97g=",0)</f>
        <v>#REF!</v>
      </c>
      <c r="GD259" t="e">
        <f>IF(#REF!,"AAAAAH/L97k=",0)</f>
        <v>#REF!</v>
      </c>
      <c r="GE259" t="e">
        <f>IF(#REF!,"AAAAAH/L97o=",0)</f>
        <v>#REF!</v>
      </c>
      <c r="GF259" t="e">
        <f>IF(#REF!,"AAAAAH/L97s=",0)</f>
        <v>#REF!</v>
      </c>
      <c r="GG259" t="e">
        <f>IF(#REF!,"AAAAAH/L97w=",0)</f>
        <v>#REF!</v>
      </c>
      <c r="GH259" t="e">
        <f>IF(#REF!,"AAAAAH/L970=",0)</f>
        <v>#REF!</v>
      </c>
      <c r="GI259" t="e">
        <f>IF(#REF!,"AAAAAH/L974=",0)</f>
        <v>#REF!</v>
      </c>
      <c r="GJ259" t="e">
        <f>IF(#REF!,"AAAAAH/L978=",0)</f>
        <v>#REF!</v>
      </c>
      <c r="GK259" t="e">
        <f>IF(#REF!,"AAAAAH/L98A=",0)</f>
        <v>#REF!</v>
      </c>
      <c r="GL259" t="e">
        <f>IF(#REF!,"AAAAAH/L98E=",0)</f>
        <v>#REF!</v>
      </c>
      <c r="GM259" t="e">
        <f>IF(#REF!,"AAAAAH/L98I=",0)</f>
        <v>#REF!</v>
      </c>
      <c r="GN259" t="e">
        <f>IF(#REF!,"AAAAAH/L98M=",0)</f>
        <v>#REF!</v>
      </c>
      <c r="GO259" t="e">
        <f>IF(#REF!,"AAAAAH/L98Q=",0)</f>
        <v>#REF!</v>
      </c>
      <c r="GP259" t="e">
        <f>IF(#REF!,"AAAAAH/L98U=",0)</f>
        <v>#REF!</v>
      </c>
      <c r="GQ259" t="e">
        <f>IF(#REF!,"AAAAAH/L98Y=",0)</f>
        <v>#REF!</v>
      </c>
      <c r="GR259" t="e">
        <f>IF(#REF!,"AAAAAH/L98c=",0)</f>
        <v>#REF!</v>
      </c>
      <c r="GS259" t="e">
        <f>IF(#REF!,"AAAAAH/L98g=",0)</f>
        <v>#REF!</v>
      </c>
      <c r="GT259" t="e">
        <f>IF(#REF!,"AAAAAH/L98k=",0)</f>
        <v>#REF!</v>
      </c>
      <c r="GU259" t="e">
        <f>IF(#REF!,"AAAAAH/L98o=",0)</f>
        <v>#REF!</v>
      </c>
      <c r="GV259" t="e">
        <f>IF(#REF!,"AAAAAH/L98s=",0)</f>
        <v>#REF!</v>
      </c>
      <c r="GW259" t="e">
        <f>IF(#REF!,"AAAAAH/L98w=",0)</f>
        <v>#REF!</v>
      </c>
      <c r="GX259" t="e">
        <f>IF(#REF!,"AAAAAH/L980=",0)</f>
        <v>#REF!</v>
      </c>
      <c r="GY259" t="e">
        <f>IF(#REF!,"AAAAAH/L984=",0)</f>
        <v>#REF!</v>
      </c>
      <c r="GZ259" t="e">
        <f>IF(#REF!,"AAAAAH/L988=",0)</f>
        <v>#REF!</v>
      </c>
      <c r="HA259" t="e">
        <f>IF(#REF!,"AAAAAH/L99A=",0)</f>
        <v>#REF!</v>
      </c>
      <c r="HB259" t="e">
        <f>IF(#REF!,"AAAAAH/L99E=",0)</f>
        <v>#REF!</v>
      </c>
      <c r="HC259" t="e">
        <f>IF(#REF!,"AAAAAH/L99I=",0)</f>
        <v>#REF!</v>
      </c>
      <c r="HD259" t="e">
        <f>IF(#REF!,"AAAAAH/L99M=",0)</f>
        <v>#REF!</v>
      </c>
      <c r="HE259" t="e">
        <f>IF(#REF!,"AAAAAH/L99Q=",0)</f>
        <v>#REF!</v>
      </c>
      <c r="HF259" t="e">
        <f>IF(#REF!,"AAAAAH/L99U=",0)</f>
        <v>#REF!</v>
      </c>
      <c r="HG259" t="e">
        <f>IF(#REF!,"AAAAAH/L99Y=",0)</f>
        <v>#REF!</v>
      </c>
      <c r="HH259" t="e">
        <f>IF(#REF!,"AAAAAH/L99c=",0)</f>
        <v>#REF!</v>
      </c>
      <c r="HI259" t="e">
        <f>IF(#REF!,"AAAAAH/L99g=",0)</f>
        <v>#REF!</v>
      </c>
      <c r="HJ259" t="e">
        <f>IF(#REF!,"AAAAAH/L99k=",0)</f>
        <v>#REF!</v>
      </c>
      <c r="HK259" t="e">
        <f>IF(#REF!,"AAAAAH/L99o=",0)</f>
        <v>#REF!</v>
      </c>
      <c r="HL259" t="e">
        <f>IF(#REF!,"AAAAAH/L99s=",0)</f>
        <v>#REF!</v>
      </c>
      <c r="HM259" t="e">
        <f>IF(#REF!,"AAAAAH/L99w=",0)</f>
        <v>#REF!</v>
      </c>
      <c r="HN259" t="e">
        <f>IF(#REF!,"AAAAAH/L990=",0)</f>
        <v>#REF!</v>
      </c>
      <c r="HO259" t="e">
        <f>IF(#REF!,"AAAAAH/L994=",0)</f>
        <v>#REF!</v>
      </c>
      <c r="HP259" t="e">
        <f>IF(#REF!,"AAAAAH/L998=",0)</f>
        <v>#REF!</v>
      </c>
      <c r="HQ259" t="e">
        <f>IF(#REF!,"AAAAAH/L9+A=",0)</f>
        <v>#REF!</v>
      </c>
      <c r="HR259" t="e">
        <f>IF(#REF!,"AAAAAH/L9+E=",0)</f>
        <v>#REF!</v>
      </c>
      <c r="HS259" t="e">
        <f>IF(#REF!,"AAAAAH/L9+I=",0)</f>
        <v>#REF!</v>
      </c>
      <c r="HT259" t="e">
        <f>IF(#REF!,"AAAAAH/L9+M=",0)</f>
        <v>#REF!</v>
      </c>
      <c r="HU259" t="e">
        <f>IF(#REF!,"AAAAAH/L9+Q=",0)</f>
        <v>#REF!</v>
      </c>
      <c r="HV259" t="e">
        <f>IF(#REF!,"AAAAAH/L9+U=",0)</f>
        <v>#REF!</v>
      </c>
      <c r="HW259" t="e">
        <f>IF(#REF!,"AAAAAH/L9+Y=",0)</f>
        <v>#REF!</v>
      </c>
      <c r="HX259" t="e">
        <f>IF(#REF!,"AAAAAH/L9+c=",0)</f>
        <v>#REF!</v>
      </c>
      <c r="HY259" t="e">
        <f>IF(#REF!,"AAAAAH/L9+g=",0)</f>
        <v>#REF!</v>
      </c>
      <c r="HZ259" t="e">
        <f>IF(#REF!,"AAAAAH/L9+k=",0)</f>
        <v>#REF!</v>
      </c>
      <c r="IA259" t="e">
        <f>IF(#REF!,"AAAAAH/L9+o=",0)</f>
        <v>#REF!</v>
      </c>
      <c r="IB259" t="e">
        <f>IF(#REF!,"AAAAAH/L9+s=",0)</f>
        <v>#REF!</v>
      </c>
      <c r="IC259" t="e">
        <f>IF(#REF!,"AAAAAH/L9+w=",0)</f>
        <v>#REF!</v>
      </c>
      <c r="ID259" t="e">
        <f>IF(#REF!,"AAAAAH/L9+0=",0)</f>
        <v>#REF!</v>
      </c>
      <c r="IE259" t="e">
        <f>IF(#REF!,"AAAAAH/L9+4=",0)</f>
        <v>#REF!</v>
      </c>
      <c r="IF259" t="e">
        <f>IF(#REF!,"AAAAAH/L9+8=",0)</f>
        <v>#REF!</v>
      </c>
      <c r="IG259" t="e">
        <f>IF(#REF!,"AAAAAH/L9/A=",0)</f>
        <v>#REF!</v>
      </c>
      <c r="IH259" t="e">
        <f>IF(#REF!,"AAAAAH/L9/E=",0)</f>
        <v>#REF!</v>
      </c>
      <c r="II259" t="e">
        <f>IF(#REF!,"AAAAAH/L9/I=",0)</f>
        <v>#REF!</v>
      </c>
      <c r="IJ259" t="e">
        <f>IF(#REF!,"AAAAAH/L9/M=",0)</f>
        <v>#REF!</v>
      </c>
      <c r="IK259" t="e">
        <f>IF(#REF!,"AAAAAH/L9/Q=",0)</f>
        <v>#REF!</v>
      </c>
      <c r="IL259" t="e">
        <f>IF(#REF!,"AAAAAH/L9/U=",0)</f>
        <v>#REF!</v>
      </c>
      <c r="IM259" t="e">
        <f>IF(#REF!,"AAAAAH/L9/Y=",0)</f>
        <v>#REF!</v>
      </c>
      <c r="IN259" t="e">
        <f>IF(#REF!,"AAAAAH/L9/c=",0)</f>
        <v>#REF!</v>
      </c>
      <c r="IO259" t="e">
        <f>IF(#REF!,"AAAAAH/L9/g=",0)</f>
        <v>#REF!</v>
      </c>
      <c r="IP259" t="e">
        <f>IF(#REF!,"AAAAAH/L9/k=",0)</f>
        <v>#REF!</v>
      </c>
      <c r="IQ259" t="e">
        <f>IF(#REF!,"AAAAAH/L9/o=",0)</f>
        <v>#REF!</v>
      </c>
      <c r="IR259" t="e">
        <f>IF(#REF!,"AAAAAH/L9/s=",0)</f>
        <v>#REF!</v>
      </c>
      <c r="IS259" t="e">
        <f>IF(#REF!,"AAAAAH/L9/w=",0)</f>
        <v>#REF!</v>
      </c>
      <c r="IT259" t="e">
        <f>IF(#REF!,"AAAAAH/L9/0=",0)</f>
        <v>#REF!</v>
      </c>
      <c r="IU259" t="e">
        <f>IF(#REF!,"AAAAAH/L9/4=",0)</f>
        <v>#REF!</v>
      </c>
      <c r="IV259" t="e">
        <f>IF(#REF!,"AAAAAH/L9/8=",0)</f>
        <v>#REF!</v>
      </c>
    </row>
    <row r="260" spans="1:256">
      <c r="A260" t="e">
        <f>IF(#REF!,"AAAAAHPtbgA=",0)</f>
        <v>#REF!</v>
      </c>
      <c r="B260" t="e">
        <f>IF(#REF!,"AAAAAHPtbgE=",0)</f>
        <v>#REF!</v>
      </c>
      <c r="C260" t="e">
        <f>IF(#REF!,"AAAAAHPtbgI=",0)</f>
        <v>#REF!</v>
      </c>
      <c r="D260" t="e">
        <f>IF(#REF!,"AAAAAHPtbgM=",0)</f>
        <v>#REF!</v>
      </c>
      <c r="E260" t="e">
        <f>IF(#REF!,"AAAAAHPtbgQ=",0)</f>
        <v>#REF!</v>
      </c>
      <c r="F260" t="e">
        <f>IF(#REF!,"AAAAAHPtbgU=",0)</f>
        <v>#REF!</v>
      </c>
      <c r="G260" t="e">
        <f>IF(#REF!,"AAAAAHPtbgY=",0)</f>
        <v>#REF!</v>
      </c>
      <c r="H260" t="e">
        <f>IF(#REF!,"AAAAAHPtbgc=",0)</f>
        <v>#REF!</v>
      </c>
      <c r="I260" t="e">
        <f>IF(#REF!,"AAAAAHPtbgg=",0)</f>
        <v>#REF!</v>
      </c>
      <c r="J260" t="e">
        <f>IF(#REF!,"AAAAAHPtbgk=",0)</f>
        <v>#REF!</v>
      </c>
      <c r="K260" t="e">
        <f>IF(#REF!,"AAAAAHPtbgo=",0)</f>
        <v>#REF!</v>
      </c>
      <c r="L260" t="e">
        <f>IF(#REF!,"AAAAAHPtbgs=",0)</f>
        <v>#REF!</v>
      </c>
      <c r="M260" t="e">
        <f>IF(#REF!,"AAAAAHPtbgw=",0)</f>
        <v>#REF!</v>
      </c>
      <c r="N260" t="e">
        <f>IF(#REF!,"AAAAAHPtbg0=",0)</f>
        <v>#REF!</v>
      </c>
      <c r="O260" t="e">
        <f>IF(#REF!,"AAAAAHPtbg4=",0)</f>
        <v>#REF!</v>
      </c>
      <c r="P260" t="e">
        <f>IF(#REF!,"AAAAAHPtbg8=",0)</f>
        <v>#REF!</v>
      </c>
      <c r="Q260" t="e">
        <f>IF(#REF!,"AAAAAHPtbhA=",0)</f>
        <v>#REF!</v>
      </c>
      <c r="R260" t="e">
        <f>IF(#REF!,"AAAAAHPtbhE=",0)</f>
        <v>#REF!</v>
      </c>
      <c r="S260" t="e">
        <f>IF(#REF!,"AAAAAHPtbhI=",0)</f>
        <v>#REF!</v>
      </c>
      <c r="T260" t="e">
        <f>IF(#REF!,"AAAAAHPtbhM=",0)</f>
        <v>#REF!</v>
      </c>
      <c r="U260" t="e">
        <f>IF(#REF!,"AAAAAHPtbhQ=",0)</f>
        <v>#REF!</v>
      </c>
      <c r="V260" t="e">
        <f>IF(#REF!,"AAAAAHPtbhU=",0)</f>
        <v>#REF!</v>
      </c>
      <c r="W260" t="e">
        <f>IF(#REF!,"AAAAAHPtbhY=",0)</f>
        <v>#REF!</v>
      </c>
      <c r="X260" t="e">
        <f>IF(#REF!,"AAAAAHPtbhc=",0)</f>
        <v>#REF!</v>
      </c>
      <c r="Y260" t="e">
        <f>IF(#REF!,"AAAAAHPtbhg=",0)</f>
        <v>#REF!</v>
      </c>
      <c r="Z260" t="e">
        <f>IF(#REF!,"AAAAAHPtbhk=",0)</f>
        <v>#REF!</v>
      </c>
      <c r="AA260" t="e">
        <f>IF(#REF!,"AAAAAHPtbho=",0)</f>
        <v>#REF!</v>
      </c>
      <c r="AB260" t="e">
        <f>IF(#REF!,"AAAAAHPtbhs=",0)</f>
        <v>#REF!</v>
      </c>
      <c r="AC260" t="e">
        <f>IF(#REF!,"AAAAAHPtbhw=",0)</f>
        <v>#REF!</v>
      </c>
      <c r="AD260" t="e">
        <f>IF(#REF!,"AAAAAHPtbh0=",0)</f>
        <v>#REF!</v>
      </c>
      <c r="AE260" t="e">
        <f>IF(#REF!,"AAAAAHPtbh4=",0)</f>
        <v>#REF!</v>
      </c>
      <c r="AF260" t="e">
        <f>IF(#REF!,"AAAAAHPtbh8=",0)</f>
        <v>#REF!</v>
      </c>
      <c r="AG260" t="e">
        <f>IF(#REF!,"AAAAAHPtbiA=",0)</f>
        <v>#REF!</v>
      </c>
      <c r="AH260" t="e">
        <f>IF(#REF!,"AAAAAHPtbiE=",0)</f>
        <v>#REF!</v>
      </c>
      <c r="AI260" t="e">
        <f>IF(#REF!,"AAAAAHPtbiI=",0)</f>
        <v>#REF!</v>
      </c>
      <c r="AJ260" t="e">
        <f>IF(#REF!,"AAAAAHPtbiM=",0)</f>
        <v>#REF!</v>
      </c>
      <c r="AK260" t="e">
        <f>IF(#REF!,"AAAAAHPtbiQ=",0)</f>
        <v>#REF!</v>
      </c>
      <c r="AL260" t="e">
        <f>IF(#REF!,"AAAAAHPtbiU=",0)</f>
        <v>#REF!</v>
      </c>
      <c r="AM260" t="e">
        <f>IF(#REF!,"AAAAAHPtbiY=",0)</f>
        <v>#REF!</v>
      </c>
      <c r="AN260" t="e">
        <f>IF(#REF!,"AAAAAHPtbic=",0)</f>
        <v>#REF!</v>
      </c>
      <c r="AO260" t="e">
        <f>IF(#REF!,"AAAAAHPtbig=",0)</f>
        <v>#REF!</v>
      </c>
      <c r="AP260" t="e">
        <f>IF(#REF!,"AAAAAHPtbik=",0)</f>
        <v>#REF!</v>
      </c>
      <c r="AQ260" t="e">
        <f>IF(#REF!,"AAAAAHPtbio=",0)</f>
        <v>#REF!</v>
      </c>
      <c r="AR260" t="e">
        <f>IF(#REF!,"AAAAAHPtbis=",0)</f>
        <v>#REF!</v>
      </c>
      <c r="AS260" t="e">
        <f>IF(#REF!,"AAAAAHPtbiw=",0)</f>
        <v>#REF!</v>
      </c>
      <c r="AT260" t="e">
        <f>IF(#REF!,"AAAAAHPtbi0=",0)</f>
        <v>#REF!</v>
      </c>
      <c r="AU260" t="e">
        <f>IF(#REF!,"AAAAAHPtbi4=",0)</f>
        <v>#REF!</v>
      </c>
      <c r="AV260" t="e">
        <f>IF(#REF!,"AAAAAHPtbi8=",0)</f>
        <v>#REF!</v>
      </c>
      <c r="AW260" t="e">
        <f>IF(#REF!,"AAAAAHPtbjA=",0)</f>
        <v>#REF!</v>
      </c>
      <c r="AX260" t="e">
        <f>IF(#REF!,"AAAAAHPtbjE=",0)</f>
        <v>#REF!</v>
      </c>
      <c r="AY260" t="e">
        <f>IF(#REF!,"AAAAAHPtbjI=",0)</f>
        <v>#REF!</v>
      </c>
      <c r="AZ260" t="e">
        <f>IF(#REF!,"AAAAAHPtbjM=",0)</f>
        <v>#REF!</v>
      </c>
      <c r="BA260" t="e">
        <f>IF(#REF!,"AAAAAHPtbjQ=",0)</f>
        <v>#REF!</v>
      </c>
      <c r="BB260" t="e">
        <f>IF(#REF!,"AAAAAHPtbjU=",0)</f>
        <v>#REF!</v>
      </c>
      <c r="BC260" t="e">
        <f>IF(#REF!,"AAAAAHPtbjY=",0)</f>
        <v>#REF!</v>
      </c>
      <c r="BD260" t="e">
        <f>IF(#REF!,"AAAAAHPtbjc=",0)</f>
        <v>#REF!</v>
      </c>
      <c r="BE260" t="e">
        <f>IF(#REF!,"AAAAAHPtbjg=",0)</f>
        <v>#REF!</v>
      </c>
      <c r="BF260" t="e">
        <f>IF(#REF!,"AAAAAHPtbjk=",0)</f>
        <v>#REF!</v>
      </c>
      <c r="BG260" t="e">
        <f>IF(#REF!,"AAAAAHPtbjo=",0)</f>
        <v>#REF!</v>
      </c>
      <c r="BH260" t="e">
        <f>IF(#REF!,"AAAAAHPtbjs=",0)</f>
        <v>#REF!</v>
      </c>
      <c r="BI260" t="e">
        <f>IF(#REF!,"AAAAAHPtbjw=",0)</f>
        <v>#REF!</v>
      </c>
      <c r="BJ260" t="e">
        <f>IF(#REF!,"AAAAAHPtbj0=",0)</f>
        <v>#REF!</v>
      </c>
      <c r="BK260" t="e">
        <f>IF(#REF!,"AAAAAHPtbj4=",0)</f>
        <v>#REF!</v>
      </c>
      <c r="BL260" t="e">
        <f>IF(#REF!,"AAAAAHPtbj8=",0)</f>
        <v>#REF!</v>
      </c>
      <c r="BM260" t="e">
        <f>IF(#REF!,"AAAAAHPtbkA=",0)</f>
        <v>#REF!</v>
      </c>
      <c r="BN260" t="e">
        <f>IF(#REF!,"AAAAAHPtbkE=",0)</f>
        <v>#REF!</v>
      </c>
      <c r="BO260" t="e">
        <f>IF(#REF!,"AAAAAHPtbkI=",0)</f>
        <v>#REF!</v>
      </c>
      <c r="BP260" t="e">
        <f>IF(#REF!,"AAAAAHPtbkM=",0)</f>
        <v>#REF!</v>
      </c>
      <c r="BQ260" t="e">
        <f>IF(#REF!,"AAAAAHPtbkQ=",0)</f>
        <v>#REF!</v>
      </c>
      <c r="BR260" t="e">
        <f>IF(#REF!,"AAAAAHPtbkU=",0)</f>
        <v>#REF!</v>
      </c>
      <c r="BS260" t="e">
        <f>IF(#REF!,"AAAAAHPtbkY=",0)</f>
        <v>#REF!</v>
      </c>
      <c r="BT260" t="e">
        <f>IF(#REF!,"AAAAAHPtbkc=",0)</f>
        <v>#REF!</v>
      </c>
      <c r="BU260" t="e">
        <f>IF(#REF!,"AAAAAHPtbkg=",0)</f>
        <v>#REF!</v>
      </c>
      <c r="BV260" t="e">
        <f>IF(#REF!,"AAAAAHPtbkk=",0)</f>
        <v>#REF!</v>
      </c>
      <c r="BW260" t="e">
        <f>IF(#REF!,"AAAAAHPtbko=",0)</f>
        <v>#REF!</v>
      </c>
      <c r="BX260" t="e">
        <f>IF(#REF!,"AAAAAHPtbks=",0)</f>
        <v>#REF!</v>
      </c>
      <c r="BY260" t="e">
        <f>IF(#REF!,"AAAAAHPtbkw=",0)</f>
        <v>#REF!</v>
      </c>
      <c r="BZ260" t="e">
        <f>IF(#REF!,"AAAAAHPtbk0=",0)</f>
        <v>#REF!</v>
      </c>
      <c r="CA260" t="e">
        <f>IF(#REF!,"AAAAAHPtbk4=",0)</f>
        <v>#REF!</v>
      </c>
      <c r="CB260" t="e">
        <f>IF(#REF!,"AAAAAHPtbk8=",0)</f>
        <v>#REF!</v>
      </c>
      <c r="CC260" t="e">
        <f>IF(#REF!,"AAAAAHPtblA=",0)</f>
        <v>#REF!</v>
      </c>
      <c r="CD260" t="e">
        <f>IF(#REF!,"AAAAAHPtblE=",0)</f>
        <v>#REF!</v>
      </c>
      <c r="CE260" t="e">
        <f>IF(#REF!,"AAAAAHPtblI=",0)</f>
        <v>#REF!</v>
      </c>
      <c r="CF260" t="e">
        <f>IF(#REF!,"AAAAAHPtblM=",0)</f>
        <v>#REF!</v>
      </c>
      <c r="CG260" t="e">
        <f>IF(#REF!,"AAAAAHPtblQ=",0)</f>
        <v>#REF!</v>
      </c>
      <c r="CH260" t="e">
        <f>IF(#REF!,"AAAAAHPtblU=",0)</f>
        <v>#REF!</v>
      </c>
      <c r="CI260" t="e">
        <f>IF(#REF!,"AAAAAHPtblY=",0)</f>
        <v>#REF!</v>
      </c>
      <c r="CJ260" t="e">
        <f>IF(#REF!,"AAAAAHPtblc=",0)</f>
        <v>#REF!</v>
      </c>
      <c r="CK260" t="e">
        <f>IF(#REF!,"AAAAAHPtblg=",0)</f>
        <v>#REF!</v>
      </c>
      <c r="CL260" t="e">
        <f>IF(#REF!,"AAAAAHPtblk=",0)</f>
        <v>#REF!</v>
      </c>
      <c r="CM260" t="e">
        <f>IF(#REF!,"AAAAAHPtblo=",0)</f>
        <v>#REF!</v>
      </c>
      <c r="CN260" t="e">
        <f>IF(#REF!,"AAAAAHPtbls=",0)</f>
        <v>#REF!</v>
      </c>
      <c r="CO260" t="e">
        <f>IF(#REF!,"AAAAAHPtblw=",0)</f>
        <v>#REF!</v>
      </c>
      <c r="CP260" t="e">
        <f>IF(#REF!,"AAAAAHPtbl0=",0)</f>
        <v>#REF!</v>
      </c>
      <c r="CQ260" t="e">
        <f>IF(#REF!,"AAAAAHPtbl4=",0)</f>
        <v>#REF!</v>
      </c>
      <c r="CR260" t="e">
        <f>IF(#REF!,"AAAAAHPtbl8=",0)</f>
        <v>#REF!</v>
      </c>
      <c r="CS260" t="e">
        <f>IF(#REF!,"AAAAAHPtbmA=",0)</f>
        <v>#REF!</v>
      </c>
      <c r="CT260" t="e">
        <f>IF(#REF!,"AAAAAHPtbmE=",0)</f>
        <v>#REF!</v>
      </c>
      <c r="CU260" t="e">
        <f>IF(#REF!,"AAAAAHPtbmI=",0)</f>
        <v>#REF!</v>
      </c>
      <c r="CV260" t="e">
        <f>IF(#REF!,"AAAAAHPtbmM=",0)</f>
        <v>#REF!</v>
      </c>
      <c r="CW260" t="e">
        <f>IF(#REF!,"AAAAAHPtbmQ=",0)</f>
        <v>#REF!</v>
      </c>
      <c r="CX260" t="e">
        <f>IF(#REF!,"AAAAAHPtbmU=",0)</f>
        <v>#REF!</v>
      </c>
      <c r="CY260" t="e">
        <f>IF(#REF!,"AAAAAHPtbmY=",0)</f>
        <v>#REF!</v>
      </c>
      <c r="CZ260" t="e">
        <f>IF(#REF!,"AAAAAHPtbmc=",0)</f>
        <v>#REF!</v>
      </c>
      <c r="DA260" t="e">
        <f>IF(#REF!,"AAAAAHPtbmg=",0)</f>
        <v>#REF!</v>
      </c>
      <c r="DB260" t="e">
        <f>IF(#REF!,"AAAAAHPtbmk=",0)</f>
        <v>#REF!</v>
      </c>
      <c r="DC260" t="e">
        <f>IF(#REF!,"AAAAAHPtbmo=",0)</f>
        <v>#REF!</v>
      </c>
      <c r="DD260" t="e">
        <f>IF(#REF!,"AAAAAHPtbms=",0)</f>
        <v>#REF!</v>
      </c>
      <c r="DE260" t="e">
        <f>IF(#REF!,"AAAAAHPtbmw=",0)</f>
        <v>#REF!</v>
      </c>
      <c r="DF260" t="e">
        <f>IF(#REF!,"AAAAAHPtbm0=",0)</f>
        <v>#REF!</v>
      </c>
      <c r="DG260" t="e">
        <f>IF(#REF!,"AAAAAHPtbm4=",0)</f>
        <v>#REF!</v>
      </c>
      <c r="DH260" t="e">
        <f>IF(#REF!,"AAAAAHPtbm8=",0)</f>
        <v>#REF!</v>
      </c>
      <c r="DI260" t="e">
        <f>IF(#REF!,"AAAAAHPtbnA=",0)</f>
        <v>#REF!</v>
      </c>
      <c r="DJ260" t="e">
        <f>IF(#REF!,"AAAAAHPtbnE=",0)</f>
        <v>#REF!</v>
      </c>
      <c r="DK260" t="e">
        <f>IF(#REF!,"AAAAAHPtbnI=",0)</f>
        <v>#REF!</v>
      </c>
      <c r="DL260" t="e">
        <f>IF(#REF!,"AAAAAHPtbnM=",0)</f>
        <v>#REF!</v>
      </c>
      <c r="DM260" t="e">
        <f>IF(#REF!,"AAAAAHPtbnQ=",0)</f>
        <v>#REF!</v>
      </c>
      <c r="DN260" t="e">
        <f>IF(#REF!,"AAAAAHPtbnU=",0)</f>
        <v>#REF!</v>
      </c>
      <c r="DO260" t="e">
        <f>IF(#REF!,"AAAAAHPtbnY=",0)</f>
        <v>#REF!</v>
      </c>
      <c r="DP260" t="e">
        <f>IF(#REF!,"AAAAAHPtbnc=",0)</f>
        <v>#REF!</v>
      </c>
      <c r="DQ260" t="e">
        <f>IF(#REF!,"AAAAAHPtbng=",0)</f>
        <v>#REF!</v>
      </c>
      <c r="DR260" t="e">
        <f>IF(#REF!,"AAAAAHPtbnk=",0)</f>
        <v>#REF!</v>
      </c>
      <c r="DS260" t="e">
        <f>IF(#REF!,"AAAAAHPtbno=",0)</f>
        <v>#REF!</v>
      </c>
      <c r="DT260" t="e">
        <f>IF(#REF!,"AAAAAHPtbns=",0)</f>
        <v>#REF!</v>
      </c>
      <c r="DU260" t="e">
        <f>IF(#REF!,"AAAAAHPtbnw=",0)</f>
        <v>#REF!</v>
      </c>
      <c r="DV260" t="e">
        <f>IF(#REF!,"AAAAAHPtbn0=",0)</f>
        <v>#REF!</v>
      </c>
      <c r="DW260" t="e">
        <f>IF(#REF!,"AAAAAHPtbn4=",0)</f>
        <v>#REF!</v>
      </c>
      <c r="DX260" t="e">
        <f>IF(#REF!,"AAAAAHPtbn8=",0)</f>
        <v>#REF!</v>
      </c>
      <c r="DY260" t="e">
        <f>IF(#REF!,"AAAAAHPtboA=",0)</f>
        <v>#REF!</v>
      </c>
      <c r="DZ260" t="e">
        <f>IF(#REF!,"AAAAAHPtboE=",0)</f>
        <v>#REF!</v>
      </c>
      <c r="EA260" t="e">
        <f>IF(#REF!,"AAAAAHPtboI=",0)</f>
        <v>#REF!</v>
      </c>
      <c r="EB260" t="e">
        <f>IF(#REF!,"AAAAAHPtboM=",0)</f>
        <v>#REF!</v>
      </c>
      <c r="EC260" t="e">
        <f>IF(#REF!,"AAAAAHPtboQ=",0)</f>
        <v>#REF!</v>
      </c>
      <c r="ED260" t="e">
        <f>IF(#REF!,"AAAAAHPtboU=",0)</f>
        <v>#REF!</v>
      </c>
      <c r="EE260" t="e">
        <f>IF(#REF!,"AAAAAHPtboY=",0)</f>
        <v>#REF!</v>
      </c>
      <c r="EF260" t="e">
        <f>IF(#REF!,"AAAAAHPtboc=",0)</f>
        <v>#REF!</v>
      </c>
      <c r="EG260" t="e">
        <f>IF(#REF!,"AAAAAHPtbog=",0)</f>
        <v>#REF!</v>
      </c>
      <c r="EH260" t="e">
        <f>IF(#REF!,"AAAAAHPtbok=",0)</f>
        <v>#REF!</v>
      </c>
      <c r="EI260" t="e">
        <f>IF(#REF!,"AAAAAHPtboo=",0)</f>
        <v>#REF!</v>
      </c>
      <c r="EJ260" t="e">
        <f>IF(#REF!,"AAAAAHPtbos=",0)</f>
        <v>#REF!</v>
      </c>
      <c r="EK260" t="e">
        <f>IF(#REF!,"AAAAAHPtbow=",0)</f>
        <v>#REF!</v>
      </c>
      <c r="EL260" t="e">
        <f>IF(#REF!,"AAAAAHPtbo0=",0)</f>
        <v>#REF!</v>
      </c>
      <c r="EM260" t="e">
        <f>IF(#REF!,"AAAAAHPtbo4=",0)</f>
        <v>#REF!</v>
      </c>
      <c r="EN260" t="e">
        <f>IF(#REF!,"AAAAAHPtbo8=",0)</f>
        <v>#REF!</v>
      </c>
      <c r="EO260" t="e">
        <f>IF(#REF!,"AAAAAHPtbpA=",0)</f>
        <v>#REF!</v>
      </c>
      <c r="EP260" t="e">
        <f>IF(#REF!,"AAAAAHPtbpE=",0)</f>
        <v>#REF!</v>
      </c>
      <c r="EQ260" t="e">
        <f>IF(#REF!,"AAAAAHPtbpI=",0)</f>
        <v>#REF!</v>
      </c>
      <c r="ER260" t="e">
        <f>IF(#REF!,"AAAAAHPtbpM=",0)</f>
        <v>#REF!</v>
      </c>
      <c r="ES260" t="e">
        <f>IF(#REF!,"AAAAAHPtbpQ=",0)</f>
        <v>#REF!</v>
      </c>
      <c r="ET260" t="e">
        <f>IF(#REF!,"AAAAAHPtbpU=",0)</f>
        <v>#REF!</v>
      </c>
      <c r="EU260" t="e">
        <f>IF(#REF!,"AAAAAHPtbpY=",0)</f>
        <v>#REF!</v>
      </c>
      <c r="EV260" t="e">
        <f>IF(#REF!,"AAAAAHPtbpc=",0)</f>
        <v>#REF!</v>
      </c>
      <c r="EW260" t="e">
        <f>IF(#REF!,"AAAAAHPtbpg=",0)</f>
        <v>#REF!</v>
      </c>
      <c r="EX260" t="e">
        <f>IF(#REF!,"AAAAAHPtbpk=",0)</f>
        <v>#REF!</v>
      </c>
      <c r="EY260" t="e">
        <f>IF(#REF!,"AAAAAHPtbpo=",0)</f>
        <v>#REF!</v>
      </c>
      <c r="EZ260" t="e">
        <f>IF(#REF!,"AAAAAHPtbps=",0)</f>
        <v>#REF!</v>
      </c>
      <c r="FA260" t="e">
        <f>IF(#REF!,"AAAAAHPtbpw=",0)</f>
        <v>#REF!</v>
      </c>
      <c r="FB260" t="e">
        <f>IF(#REF!,"AAAAAHPtbp0=",0)</f>
        <v>#REF!</v>
      </c>
      <c r="FC260" t="e">
        <f>IF(#REF!,"AAAAAHPtbp4=",0)</f>
        <v>#REF!</v>
      </c>
      <c r="FD260" t="e">
        <f>IF(#REF!,"AAAAAHPtbp8=",0)</f>
        <v>#REF!</v>
      </c>
      <c r="FE260" t="e">
        <f>IF(#REF!,"AAAAAHPtbqA=",0)</f>
        <v>#REF!</v>
      </c>
      <c r="FF260" t="e">
        <f>IF(#REF!,"AAAAAHPtbqE=",0)</f>
        <v>#REF!</v>
      </c>
      <c r="FG260" t="e">
        <f>IF(#REF!,"AAAAAHPtbqI=",0)</f>
        <v>#REF!</v>
      </c>
      <c r="FH260" t="e">
        <f>IF(#REF!,"AAAAAHPtbqM=",0)</f>
        <v>#REF!</v>
      </c>
      <c r="FI260" t="e">
        <f>IF(#REF!,"AAAAAHPtbqQ=",0)</f>
        <v>#REF!</v>
      </c>
      <c r="FJ260" t="e">
        <f>IF(#REF!,"AAAAAHPtbqU=",0)</f>
        <v>#REF!</v>
      </c>
      <c r="FK260" t="e">
        <f>IF(#REF!,"AAAAAHPtbqY=",0)</f>
        <v>#REF!</v>
      </c>
      <c r="FL260" t="e">
        <f>IF(#REF!,"AAAAAHPtbqc=",0)</f>
        <v>#REF!</v>
      </c>
      <c r="FM260" t="e">
        <f>IF(#REF!,"AAAAAHPtbqg=",0)</f>
        <v>#REF!</v>
      </c>
      <c r="FN260" t="e">
        <f>IF(#REF!,"AAAAAHPtbqk=",0)</f>
        <v>#REF!</v>
      </c>
      <c r="FO260" t="e">
        <f>IF(#REF!,"AAAAAHPtbqo=",0)</f>
        <v>#REF!</v>
      </c>
      <c r="FP260" t="e">
        <f>IF(#REF!,"AAAAAHPtbqs=",0)</f>
        <v>#REF!</v>
      </c>
      <c r="FQ260" t="e">
        <f>IF(#REF!,"AAAAAHPtbqw=",0)</f>
        <v>#REF!</v>
      </c>
      <c r="FR260" t="e">
        <f>IF(#REF!,"AAAAAHPtbq0=",0)</f>
        <v>#REF!</v>
      </c>
      <c r="FS260" t="e">
        <f>IF(#REF!,"AAAAAHPtbq4=",0)</f>
        <v>#REF!</v>
      </c>
      <c r="FT260" t="e">
        <f>IF(#REF!,"AAAAAHPtbq8=",0)</f>
        <v>#REF!</v>
      </c>
      <c r="FU260" t="e">
        <f>IF(#REF!,"AAAAAHPtbrA=",0)</f>
        <v>#REF!</v>
      </c>
      <c r="FV260" t="e">
        <f>IF(#REF!,"AAAAAHPtbrE=",0)</f>
        <v>#REF!</v>
      </c>
      <c r="FW260" t="e">
        <f>IF(#REF!,"AAAAAHPtbrI=",0)</f>
        <v>#REF!</v>
      </c>
      <c r="FX260" t="e">
        <f>IF(#REF!,"AAAAAHPtbrM=",0)</f>
        <v>#REF!</v>
      </c>
      <c r="FY260" t="e">
        <f>IF(#REF!,"AAAAAHPtbrQ=",0)</f>
        <v>#REF!</v>
      </c>
      <c r="FZ260" t="e">
        <f>IF(#REF!,"AAAAAHPtbrU=",0)</f>
        <v>#REF!</v>
      </c>
      <c r="GA260" t="e">
        <f>IF(#REF!,"AAAAAHPtbrY=",0)</f>
        <v>#REF!</v>
      </c>
      <c r="GB260" t="e">
        <f>IF(#REF!,"AAAAAHPtbrc=",0)</f>
        <v>#REF!</v>
      </c>
      <c r="GC260" t="e">
        <f>IF(#REF!,"AAAAAHPtbrg=",0)</f>
        <v>#REF!</v>
      </c>
      <c r="GD260" t="e">
        <f>IF(#REF!,"AAAAAHPtbrk=",0)</f>
        <v>#REF!</v>
      </c>
      <c r="GE260" t="e">
        <f>IF(#REF!,"AAAAAHPtbro=",0)</f>
        <v>#REF!</v>
      </c>
      <c r="GF260" t="e">
        <f>IF(#REF!,"AAAAAHPtbrs=",0)</f>
        <v>#REF!</v>
      </c>
      <c r="GG260" t="e">
        <f>IF(#REF!,"AAAAAHPtbrw=",0)</f>
        <v>#REF!</v>
      </c>
      <c r="GH260" t="e">
        <f>IF(#REF!,"AAAAAHPtbr0=",0)</f>
        <v>#REF!</v>
      </c>
      <c r="GI260" t="e">
        <f>IF(#REF!,"AAAAAHPtbr4=",0)</f>
        <v>#REF!</v>
      </c>
      <c r="GJ260" t="e">
        <f>IF(#REF!,"AAAAAHPtbr8=",0)</f>
        <v>#REF!</v>
      </c>
      <c r="GK260" t="e">
        <f>IF(#REF!,"AAAAAHPtbsA=",0)</f>
        <v>#REF!</v>
      </c>
      <c r="GL260" t="e">
        <f>IF(#REF!,"AAAAAHPtbsE=",0)</f>
        <v>#REF!</v>
      </c>
      <c r="GM260" t="e">
        <f>IF(#REF!,"AAAAAHPtbsI=",0)</f>
        <v>#REF!</v>
      </c>
      <c r="GN260" t="e">
        <f>IF(#REF!,"AAAAAHPtbsM=",0)</f>
        <v>#REF!</v>
      </c>
      <c r="GO260" t="e">
        <f>IF(#REF!,"AAAAAHPtbsQ=",0)</f>
        <v>#REF!</v>
      </c>
      <c r="GP260" t="e">
        <f>IF(#REF!,"AAAAAHPtbsU=",0)</f>
        <v>#REF!</v>
      </c>
      <c r="GQ260" t="e">
        <f>IF(#REF!,"AAAAAHPtbsY=",0)</f>
        <v>#REF!</v>
      </c>
      <c r="GR260" t="e">
        <f>IF(#REF!,"AAAAAHPtbsc=",0)</f>
        <v>#REF!</v>
      </c>
      <c r="GS260" t="e">
        <f>IF(#REF!,"AAAAAHPtbsg=",0)</f>
        <v>#REF!</v>
      </c>
      <c r="GT260" t="e">
        <f>IF(#REF!,"AAAAAHPtbsk=",0)</f>
        <v>#REF!</v>
      </c>
      <c r="GU260" t="e">
        <f>IF(#REF!,"AAAAAHPtbso=",0)</f>
        <v>#REF!</v>
      </c>
      <c r="GV260" t="e">
        <f>IF(#REF!,"AAAAAHPtbss=",0)</f>
        <v>#REF!</v>
      </c>
      <c r="GW260" t="e">
        <f>IF(#REF!,"AAAAAHPtbsw=",0)</f>
        <v>#REF!</v>
      </c>
      <c r="GX260" t="e">
        <f>IF(#REF!,"AAAAAHPtbs0=",0)</f>
        <v>#REF!</v>
      </c>
      <c r="GY260" t="e">
        <f>IF(#REF!,"AAAAAHPtbs4=",0)</f>
        <v>#REF!</v>
      </c>
      <c r="GZ260" t="e">
        <f>IF(#REF!,"AAAAAHPtbs8=",0)</f>
        <v>#REF!</v>
      </c>
      <c r="HA260" t="e">
        <f>IF(#REF!,"AAAAAHPtbtA=",0)</f>
        <v>#REF!</v>
      </c>
      <c r="HB260" t="e">
        <f>IF(#REF!,"AAAAAHPtbtE=",0)</f>
        <v>#REF!</v>
      </c>
      <c r="HC260" t="e">
        <f>IF(#REF!,"AAAAAHPtbtI=",0)</f>
        <v>#REF!</v>
      </c>
      <c r="HD260" t="e">
        <f>IF(#REF!,"AAAAAHPtbtM=",0)</f>
        <v>#REF!</v>
      </c>
      <c r="HE260" t="e">
        <f>IF(#REF!,"AAAAAHPtbtQ=",0)</f>
        <v>#REF!</v>
      </c>
      <c r="HF260" t="e">
        <f>IF(#REF!,"AAAAAHPtbtU=",0)</f>
        <v>#REF!</v>
      </c>
      <c r="HG260" t="e">
        <f>IF(#REF!,"AAAAAHPtbtY=",0)</f>
        <v>#REF!</v>
      </c>
      <c r="HH260" t="e">
        <f>IF(#REF!,"AAAAAHPtbtc=",0)</f>
        <v>#REF!</v>
      </c>
      <c r="HI260" t="e">
        <f>IF(#REF!,"AAAAAHPtbtg=",0)</f>
        <v>#REF!</v>
      </c>
      <c r="HJ260" t="e">
        <f>IF(#REF!,"AAAAAHPtbtk=",0)</f>
        <v>#REF!</v>
      </c>
      <c r="HK260" t="e">
        <f>IF(#REF!,"AAAAAHPtbto=",0)</f>
        <v>#REF!</v>
      </c>
      <c r="HL260" t="e">
        <f>IF(#REF!,"AAAAAHPtbts=",0)</f>
        <v>#REF!</v>
      </c>
      <c r="HM260" t="e">
        <f>IF(#REF!,"AAAAAHPtbtw=",0)</f>
        <v>#REF!</v>
      </c>
      <c r="HN260" t="e">
        <f>IF(#REF!,"AAAAAHPtbt0=",0)</f>
        <v>#REF!</v>
      </c>
      <c r="HO260" t="e">
        <f>IF(#REF!,"AAAAAHPtbt4=",0)</f>
        <v>#REF!</v>
      </c>
      <c r="HP260" t="e">
        <f>IF(#REF!,"AAAAAHPtbt8=",0)</f>
        <v>#REF!</v>
      </c>
      <c r="HQ260" t="e">
        <f>IF(#REF!,"AAAAAHPtbuA=",0)</f>
        <v>#REF!</v>
      </c>
      <c r="HR260" t="e">
        <f>IF(#REF!,"AAAAAHPtbuE=",0)</f>
        <v>#REF!</v>
      </c>
      <c r="HS260" t="e">
        <f>IF(#REF!,"AAAAAHPtbuI=",0)</f>
        <v>#REF!</v>
      </c>
      <c r="HT260" t="e">
        <f>IF(#REF!,"AAAAAHPtbuM=",0)</f>
        <v>#REF!</v>
      </c>
      <c r="HU260" t="e">
        <f>IF(#REF!,"AAAAAHPtbuQ=",0)</f>
        <v>#REF!</v>
      </c>
      <c r="HV260" t="e">
        <f>IF(#REF!,"AAAAAHPtbuU=",0)</f>
        <v>#REF!</v>
      </c>
      <c r="HW260" t="e">
        <f>IF(#REF!,"AAAAAHPtbuY=",0)</f>
        <v>#REF!</v>
      </c>
      <c r="HX260" t="e">
        <f>IF(#REF!,"AAAAAHPtbuc=",0)</f>
        <v>#REF!</v>
      </c>
      <c r="HY260" t="e">
        <f>IF(#REF!,"AAAAAHPtbug=",0)</f>
        <v>#REF!</v>
      </c>
      <c r="HZ260" t="e">
        <f>IF(#REF!,"AAAAAHPtbuk=",0)</f>
        <v>#REF!</v>
      </c>
      <c r="IA260" t="e">
        <f>IF(#REF!,"AAAAAHPtbuo=",0)</f>
        <v>#REF!</v>
      </c>
      <c r="IB260" t="e">
        <f>IF(#REF!,"AAAAAHPtbus=",0)</f>
        <v>#REF!</v>
      </c>
      <c r="IC260" t="e">
        <f>IF(#REF!,"AAAAAHPtbuw=",0)</f>
        <v>#REF!</v>
      </c>
      <c r="ID260" t="e">
        <f>IF(#REF!,"AAAAAHPtbu0=",0)</f>
        <v>#REF!</v>
      </c>
      <c r="IE260" t="e">
        <f>IF(#REF!,"AAAAAHPtbu4=",0)</f>
        <v>#REF!</v>
      </c>
      <c r="IF260" t="e">
        <f>IF(#REF!,"AAAAAHPtbu8=",0)</f>
        <v>#REF!</v>
      </c>
      <c r="IG260" t="e">
        <f>IF(#REF!,"AAAAAHPtbvA=",0)</f>
        <v>#REF!</v>
      </c>
      <c r="IH260" t="e">
        <f>IF(#REF!,"AAAAAHPtbvE=",0)</f>
        <v>#REF!</v>
      </c>
      <c r="II260" t="e">
        <f>IF(#REF!,"AAAAAHPtbvI=",0)</f>
        <v>#REF!</v>
      </c>
      <c r="IJ260" t="e">
        <f>IF(#REF!,"AAAAAHPtbvM=",0)</f>
        <v>#REF!</v>
      </c>
      <c r="IK260" t="e">
        <f>IF(#REF!,"AAAAAHPtbvQ=",0)</f>
        <v>#REF!</v>
      </c>
      <c r="IL260" t="e">
        <f>IF(#REF!,"AAAAAHPtbvU=",0)</f>
        <v>#REF!</v>
      </c>
      <c r="IM260" t="e">
        <f>IF(#REF!,"AAAAAHPtbvY=",0)</f>
        <v>#REF!</v>
      </c>
      <c r="IN260" t="e">
        <f>IF(#REF!,"AAAAAHPtbvc=",0)</f>
        <v>#REF!</v>
      </c>
      <c r="IO260" t="e">
        <f>IF(#REF!,"AAAAAHPtbvg=",0)</f>
        <v>#REF!</v>
      </c>
      <c r="IP260" t="e">
        <f>IF(#REF!,"AAAAAHPtbvk=",0)</f>
        <v>#REF!</v>
      </c>
      <c r="IQ260" t="e">
        <f>IF(#REF!,"AAAAAHPtbvo=",0)</f>
        <v>#REF!</v>
      </c>
      <c r="IR260" t="e">
        <f>IF(#REF!,"AAAAAHPtbvs=",0)</f>
        <v>#REF!</v>
      </c>
      <c r="IS260" t="e">
        <f>IF(#REF!,"AAAAAHPtbvw=",0)</f>
        <v>#REF!</v>
      </c>
      <c r="IT260" t="e">
        <f>IF(#REF!,"AAAAAHPtbv0=",0)</f>
        <v>#REF!</v>
      </c>
      <c r="IU260" t="e">
        <f>IF(#REF!,"AAAAAHPtbv4=",0)</f>
        <v>#REF!</v>
      </c>
      <c r="IV260" t="e">
        <f>IF(#REF!,"AAAAAHPtbv8=",0)</f>
        <v>#REF!</v>
      </c>
    </row>
    <row r="261" spans="1:256">
      <c r="A261" t="e">
        <f>IF(#REF!,"AAAAAFWX/QA=",0)</f>
        <v>#REF!</v>
      </c>
      <c r="B261" t="e">
        <f>IF(#REF!,"AAAAAFWX/QE=",0)</f>
        <v>#REF!</v>
      </c>
      <c r="C261" t="e">
        <f>IF(#REF!,"AAAAAFWX/QI=",0)</f>
        <v>#REF!</v>
      </c>
      <c r="D261" t="e">
        <f>IF(#REF!,"AAAAAFWX/QM=",0)</f>
        <v>#REF!</v>
      </c>
      <c r="E261" t="e">
        <f>IF(#REF!,"AAAAAFWX/QQ=",0)</f>
        <v>#REF!</v>
      </c>
      <c r="F261" t="e">
        <f>IF(#REF!,"AAAAAFWX/QU=",0)</f>
        <v>#REF!</v>
      </c>
      <c r="G261" t="e">
        <f>IF(#REF!,"AAAAAFWX/QY=",0)</f>
        <v>#REF!</v>
      </c>
      <c r="H261" t="e">
        <f>IF(#REF!,"AAAAAFWX/Qc=",0)</f>
        <v>#REF!</v>
      </c>
      <c r="I261" t="e">
        <f>IF(#REF!,"AAAAAFWX/Qg=",0)</f>
        <v>#REF!</v>
      </c>
      <c r="J261" t="e">
        <f>IF(#REF!,"AAAAAFWX/Qk=",0)</f>
        <v>#REF!</v>
      </c>
      <c r="K261" t="e">
        <f>IF(#REF!,"AAAAAFWX/Qo=",0)</f>
        <v>#REF!</v>
      </c>
      <c r="L261" t="e">
        <f>IF(#REF!,"AAAAAFWX/Qs=",0)</f>
        <v>#REF!</v>
      </c>
      <c r="M261" t="e">
        <f>IF(#REF!,"AAAAAFWX/Qw=",0)</f>
        <v>#REF!</v>
      </c>
      <c r="N261" t="e">
        <f>IF(#REF!,"AAAAAFWX/Q0=",0)</f>
        <v>#REF!</v>
      </c>
      <c r="O261" t="e">
        <f>IF(#REF!,"AAAAAFWX/Q4=",0)</f>
        <v>#REF!</v>
      </c>
      <c r="P261" t="e">
        <f>IF(#REF!,"AAAAAFWX/Q8=",0)</f>
        <v>#REF!</v>
      </c>
      <c r="Q261" t="e">
        <f>IF(#REF!,"AAAAAFWX/RA=",0)</f>
        <v>#REF!</v>
      </c>
      <c r="R261" t="e">
        <f>IF(#REF!,"AAAAAFWX/RE=",0)</f>
        <v>#REF!</v>
      </c>
      <c r="S261" t="e">
        <f>IF(#REF!,"AAAAAFWX/RI=",0)</f>
        <v>#REF!</v>
      </c>
      <c r="T261" t="e">
        <f>IF(#REF!,"AAAAAFWX/RM=",0)</f>
        <v>#REF!</v>
      </c>
      <c r="U261" t="e">
        <f>IF(#REF!,"AAAAAFWX/RQ=",0)</f>
        <v>#REF!</v>
      </c>
      <c r="V261" t="e">
        <f>IF(#REF!,"AAAAAFWX/RU=",0)</f>
        <v>#REF!</v>
      </c>
      <c r="W261" t="e">
        <f>IF(#REF!,"AAAAAFWX/RY=",0)</f>
        <v>#REF!</v>
      </c>
      <c r="X261" t="e">
        <f>IF(#REF!,"AAAAAFWX/Rc=",0)</f>
        <v>#REF!</v>
      </c>
      <c r="Y261" t="e">
        <f>IF(#REF!,"AAAAAFWX/Rg=",0)</f>
        <v>#REF!</v>
      </c>
      <c r="Z261" t="e">
        <f>IF(#REF!,"AAAAAFWX/Rk=",0)</f>
        <v>#REF!</v>
      </c>
      <c r="AA261" t="e">
        <f>IF(#REF!,"AAAAAFWX/Ro=",0)</f>
        <v>#REF!</v>
      </c>
      <c r="AB261" t="e">
        <f>IF(#REF!,"AAAAAFWX/Rs=",0)</f>
        <v>#REF!</v>
      </c>
      <c r="AC261" t="e">
        <f>IF(#REF!,"AAAAAFWX/Rw=",0)</f>
        <v>#REF!</v>
      </c>
      <c r="AD261" t="e">
        <f>IF(#REF!,"AAAAAFWX/R0=",0)</f>
        <v>#REF!</v>
      </c>
      <c r="AE261" t="e">
        <f>IF(#REF!,"AAAAAFWX/R4=",0)</f>
        <v>#REF!</v>
      </c>
      <c r="AF261" t="e">
        <f>IF(#REF!,"AAAAAFWX/R8=",0)</f>
        <v>#REF!</v>
      </c>
      <c r="AG261" t="e">
        <f>IF(#REF!,"AAAAAFWX/SA=",0)</f>
        <v>#REF!</v>
      </c>
      <c r="AH261" t="e">
        <f>IF(#REF!,"AAAAAFWX/SE=",0)</f>
        <v>#REF!</v>
      </c>
      <c r="AI261" t="e">
        <f>IF(#REF!,"AAAAAFWX/SI=",0)</f>
        <v>#REF!</v>
      </c>
      <c r="AJ261" t="e">
        <f>IF(#REF!,"AAAAAFWX/SM=",0)</f>
        <v>#REF!</v>
      </c>
      <c r="AK261" t="e">
        <f>IF(#REF!,"AAAAAFWX/SQ=",0)</f>
        <v>#REF!</v>
      </c>
      <c r="AL261" t="e">
        <f>IF(#REF!,"AAAAAFWX/SU=",0)</f>
        <v>#REF!</v>
      </c>
      <c r="AM261" t="e">
        <f>IF(#REF!,"AAAAAFWX/SY=",0)</f>
        <v>#REF!</v>
      </c>
      <c r="AN261" t="e">
        <f>IF(#REF!,"AAAAAFWX/Sc=",0)</f>
        <v>#REF!</v>
      </c>
      <c r="AO261" t="e">
        <f>IF(#REF!,"AAAAAFWX/Sg=",0)</f>
        <v>#REF!</v>
      </c>
      <c r="AP261" t="e">
        <f>IF(#REF!,"AAAAAFWX/Sk=",0)</f>
        <v>#REF!</v>
      </c>
      <c r="AQ261" t="e">
        <f>IF(#REF!,"AAAAAFWX/So=",0)</f>
        <v>#REF!</v>
      </c>
      <c r="AR261" t="e">
        <f>IF(#REF!,"AAAAAFWX/Ss=",0)</f>
        <v>#REF!</v>
      </c>
      <c r="AS261" t="e">
        <f>IF(#REF!,"AAAAAFWX/Sw=",0)</f>
        <v>#REF!</v>
      </c>
      <c r="AT261" t="e">
        <f>IF(#REF!,"AAAAAFWX/S0=",0)</f>
        <v>#REF!</v>
      </c>
      <c r="AU261" t="e">
        <f>IF(#REF!,"AAAAAFWX/S4=",0)</f>
        <v>#REF!</v>
      </c>
      <c r="AV261" t="e">
        <f>IF(#REF!,"AAAAAFWX/S8=",0)</f>
        <v>#REF!</v>
      </c>
      <c r="AW261" t="e">
        <f>IF(#REF!,"AAAAAFWX/TA=",0)</f>
        <v>#REF!</v>
      </c>
      <c r="AX261" t="e">
        <f>IF(#REF!,"AAAAAFWX/TE=",0)</f>
        <v>#REF!</v>
      </c>
      <c r="AY261" t="e">
        <f>IF(#REF!,"AAAAAFWX/TI=",0)</f>
        <v>#REF!</v>
      </c>
      <c r="AZ261" t="e">
        <f>IF(#REF!,"AAAAAFWX/TM=",0)</f>
        <v>#REF!</v>
      </c>
      <c r="BA261" t="e">
        <f>IF(#REF!,"AAAAAFWX/TQ=",0)</f>
        <v>#REF!</v>
      </c>
      <c r="BB261" t="e">
        <f>IF(#REF!,"AAAAAFWX/TU=",0)</f>
        <v>#REF!</v>
      </c>
      <c r="BC261" t="e">
        <f>IF(#REF!,"AAAAAFWX/TY=",0)</f>
        <v>#REF!</v>
      </c>
      <c r="BD261" t="e">
        <f>IF(#REF!,"AAAAAFWX/Tc=",0)</f>
        <v>#REF!</v>
      </c>
      <c r="BE261" t="e">
        <f>IF(#REF!,"AAAAAFWX/Tg=",0)</f>
        <v>#REF!</v>
      </c>
      <c r="BF261" t="e">
        <f>IF(#REF!,"AAAAAFWX/Tk=",0)</f>
        <v>#REF!</v>
      </c>
      <c r="BG261" t="e">
        <f>IF(#REF!,"AAAAAFWX/To=",0)</f>
        <v>#REF!</v>
      </c>
      <c r="BH261" t="e">
        <f>IF(#REF!,"AAAAAFWX/Ts=",0)</f>
        <v>#REF!</v>
      </c>
      <c r="BI261" t="e">
        <f>IF(#REF!,"AAAAAFWX/Tw=",0)</f>
        <v>#REF!</v>
      </c>
      <c r="BJ261" t="e">
        <f>IF(#REF!,"AAAAAFWX/T0=",0)</f>
        <v>#REF!</v>
      </c>
      <c r="BK261" t="e">
        <f>IF(#REF!,"AAAAAFWX/T4=",0)</f>
        <v>#REF!</v>
      </c>
      <c r="BL261" t="e">
        <f>IF(#REF!,"AAAAAFWX/T8=",0)</f>
        <v>#REF!</v>
      </c>
      <c r="BM261" t="e">
        <f>IF(#REF!,"AAAAAFWX/UA=",0)</f>
        <v>#REF!</v>
      </c>
      <c r="BN261" t="e">
        <f>IF(#REF!,"AAAAAFWX/UE=",0)</f>
        <v>#REF!</v>
      </c>
      <c r="BO261" t="e">
        <f>IF(#REF!,"AAAAAFWX/UI=",0)</f>
        <v>#REF!</v>
      </c>
      <c r="BP261" t="e">
        <f>IF(#REF!,"AAAAAFWX/UM=",0)</f>
        <v>#REF!</v>
      </c>
      <c r="BQ261" t="e">
        <f>IF(#REF!,"AAAAAFWX/UQ=",0)</f>
        <v>#REF!</v>
      </c>
      <c r="BR261" t="e">
        <f>IF(#REF!,"AAAAAFWX/UU=",0)</f>
        <v>#REF!</v>
      </c>
      <c r="BS261" t="e">
        <f>IF(#REF!,"AAAAAFWX/UY=",0)</f>
        <v>#REF!</v>
      </c>
      <c r="BT261" t="e">
        <f>IF(#REF!,"AAAAAFWX/Uc=",0)</f>
        <v>#REF!</v>
      </c>
      <c r="BU261" t="e">
        <f>IF(#REF!,"AAAAAFWX/Ug=",0)</f>
        <v>#REF!</v>
      </c>
      <c r="BV261" t="e">
        <f>IF(#REF!,"AAAAAFWX/Uk=",0)</f>
        <v>#REF!</v>
      </c>
      <c r="BW261" t="e">
        <f>IF(#REF!,"AAAAAFWX/Uo=",0)</f>
        <v>#REF!</v>
      </c>
      <c r="BX261" t="e">
        <f>IF(#REF!,"AAAAAFWX/Us=",0)</f>
        <v>#REF!</v>
      </c>
      <c r="BY261" t="e">
        <f>IF(#REF!,"AAAAAFWX/Uw=",0)</f>
        <v>#REF!</v>
      </c>
      <c r="BZ261" t="e">
        <f>IF(#REF!,"AAAAAFWX/U0=",0)</f>
        <v>#REF!</v>
      </c>
      <c r="CA261" t="e">
        <f>IF(#REF!,"AAAAAFWX/U4=",0)</f>
        <v>#REF!</v>
      </c>
      <c r="CB261" t="e">
        <f>IF(#REF!,"AAAAAFWX/U8=",0)</f>
        <v>#REF!</v>
      </c>
      <c r="CC261" t="e">
        <f>IF(#REF!,"AAAAAFWX/VA=",0)</f>
        <v>#REF!</v>
      </c>
      <c r="CD261" t="e">
        <f>IF(#REF!,"AAAAAFWX/VE=",0)</f>
        <v>#REF!</v>
      </c>
      <c r="CE261" t="e">
        <f>IF(#REF!,"AAAAAFWX/VI=",0)</f>
        <v>#REF!</v>
      </c>
      <c r="CF261" t="e">
        <f>IF(#REF!,"AAAAAFWX/VM=",0)</f>
        <v>#REF!</v>
      </c>
      <c r="CG261" t="e">
        <f>IF(#REF!,"AAAAAFWX/VQ=",0)</f>
        <v>#REF!</v>
      </c>
      <c r="CH261" t="e">
        <f>IF(#REF!,"AAAAAFWX/VU=",0)</f>
        <v>#REF!</v>
      </c>
      <c r="CI261" t="e">
        <f>IF(#REF!,"AAAAAFWX/VY=",0)</f>
        <v>#REF!</v>
      </c>
      <c r="CJ261" t="e">
        <f>IF(#REF!,"AAAAAFWX/Vc=",0)</f>
        <v>#REF!</v>
      </c>
      <c r="CK261" t="e">
        <f>IF(#REF!,"AAAAAFWX/Vg=",0)</f>
        <v>#REF!</v>
      </c>
      <c r="CL261" t="e">
        <f>IF(#REF!,"AAAAAFWX/Vk=",0)</f>
        <v>#REF!</v>
      </c>
      <c r="CM261" t="e">
        <f>IF(#REF!,"AAAAAFWX/Vo=",0)</f>
        <v>#REF!</v>
      </c>
      <c r="CN261" t="e">
        <f>IF(#REF!,"AAAAAFWX/Vs=",0)</f>
        <v>#REF!</v>
      </c>
      <c r="CO261" t="e">
        <f>IF(#REF!,"AAAAAFWX/Vw=",0)</f>
        <v>#REF!</v>
      </c>
      <c r="CP261" t="e">
        <f>IF(#REF!,"AAAAAFWX/V0=",0)</f>
        <v>#REF!</v>
      </c>
      <c r="CQ261" t="e">
        <f>IF(#REF!,"AAAAAFWX/V4=",0)</f>
        <v>#REF!</v>
      </c>
      <c r="CR261" t="e">
        <f>IF(#REF!,"AAAAAFWX/V8=",0)</f>
        <v>#REF!</v>
      </c>
      <c r="CS261" t="e">
        <f>IF(#REF!,"AAAAAFWX/WA=",0)</f>
        <v>#REF!</v>
      </c>
      <c r="CT261" t="e">
        <f>IF(#REF!,"AAAAAFWX/WE=",0)</f>
        <v>#REF!</v>
      </c>
      <c r="CU261" t="e">
        <f>IF(#REF!,"AAAAAFWX/WI=",0)</f>
        <v>#REF!</v>
      </c>
      <c r="CV261" t="e">
        <f>IF(#REF!,"AAAAAFWX/WM=",0)</f>
        <v>#REF!</v>
      </c>
      <c r="CW261" t="e">
        <f>IF(#REF!,"AAAAAFWX/WQ=",0)</f>
        <v>#REF!</v>
      </c>
      <c r="CX261" t="e">
        <f>IF(#REF!,"AAAAAFWX/WU=",0)</f>
        <v>#REF!</v>
      </c>
      <c r="CY261" t="e">
        <f>IF(#REF!,"AAAAAFWX/WY=",0)</f>
        <v>#REF!</v>
      </c>
      <c r="CZ261" t="e">
        <f>IF(#REF!,"AAAAAFWX/Wc=",0)</f>
        <v>#REF!</v>
      </c>
      <c r="DA261" t="e">
        <f>IF(#REF!,"AAAAAFWX/Wg=",0)</f>
        <v>#REF!</v>
      </c>
      <c r="DB261" t="e">
        <f>IF(#REF!,"AAAAAFWX/Wk=",0)</f>
        <v>#REF!</v>
      </c>
      <c r="DC261" t="e">
        <f>IF(#REF!,"AAAAAFWX/Wo=",0)</f>
        <v>#REF!</v>
      </c>
      <c r="DD261" t="e">
        <f>IF(#REF!,"AAAAAFWX/Ws=",0)</f>
        <v>#REF!</v>
      </c>
      <c r="DE261" t="e">
        <f>IF(#REF!,"AAAAAFWX/Ww=",0)</f>
        <v>#REF!</v>
      </c>
      <c r="DF261" t="e">
        <f>IF(#REF!,"AAAAAFWX/W0=",0)</f>
        <v>#REF!</v>
      </c>
      <c r="DG261" t="e">
        <f>IF(#REF!,"AAAAAFWX/W4=",0)</f>
        <v>#REF!</v>
      </c>
      <c r="DH261" t="e">
        <f>IF(#REF!,"AAAAAFWX/W8=",0)</f>
        <v>#REF!</v>
      </c>
      <c r="DI261" t="e">
        <f>IF(#REF!,"AAAAAFWX/XA=",0)</f>
        <v>#REF!</v>
      </c>
      <c r="DJ261" t="e">
        <f>IF(#REF!,"AAAAAFWX/XE=",0)</f>
        <v>#REF!</v>
      </c>
      <c r="DK261" t="e">
        <f>IF(#REF!,"AAAAAFWX/XI=",0)</f>
        <v>#REF!</v>
      </c>
      <c r="DL261" t="e">
        <f>IF(#REF!,"AAAAAFWX/XM=",0)</f>
        <v>#REF!</v>
      </c>
      <c r="DM261" t="e">
        <f>IF(#REF!,"AAAAAFWX/XQ=",0)</f>
        <v>#REF!</v>
      </c>
      <c r="DN261" t="e">
        <f>IF(#REF!,"AAAAAFWX/XU=",0)</f>
        <v>#REF!</v>
      </c>
      <c r="DO261" t="e">
        <f>IF(#REF!,"AAAAAFWX/XY=",0)</f>
        <v>#REF!</v>
      </c>
      <c r="DP261" t="e">
        <f>IF(#REF!,"AAAAAFWX/Xc=",0)</f>
        <v>#REF!</v>
      </c>
      <c r="DQ261" t="e">
        <f>IF(#REF!,"AAAAAFWX/Xg=",0)</f>
        <v>#REF!</v>
      </c>
      <c r="DR261" t="e">
        <f>IF(#REF!,"AAAAAFWX/Xk=",0)</f>
        <v>#REF!</v>
      </c>
      <c r="DS261" t="e">
        <f>IF(#REF!,"AAAAAFWX/Xo=",0)</f>
        <v>#REF!</v>
      </c>
      <c r="DT261" t="e">
        <f>IF(#REF!,"AAAAAFWX/Xs=",0)</f>
        <v>#REF!</v>
      </c>
      <c r="DU261" t="e">
        <f>IF(#REF!,"AAAAAFWX/Xw=",0)</f>
        <v>#REF!</v>
      </c>
      <c r="DV261" t="e">
        <f>IF(#REF!,"AAAAAFWX/X0=",0)</f>
        <v>#REF!</v>
      </c>
      <c r="DW261" t="e">
        <f>IF(#REF!,"AAAAAFWX/X4=",0)</f>
        <v>#REF!</v>
      </c>
      <c r="DX261" t="e">
        <f>IF(#REF!,"AAAAAFWX/X8=",0)</f>
        <v>#REF!</v>
      </c>
      <c r="DY261" t="e">
        <f>IF(#REF!,"AAAAAFWX/YA=",0)</f>
        <v>#REF!</v>
      </c>
      <c r="DZ261" t="e">
        <f>IF(#REF!,"AAAAAFWX/YE=",0)</f>
        <v>#REF!</v>
      </c>
      <c r="EA261" t="e">
        <f>IF(#REF!,"AAAAAFWX/YI=",0)</f>
        <v>#REF!</v>
      </c>
      <c r="EB261" t="e">
        <f>IF(#REF!,"AAAAAFWX/YM=",0)</f>
        <v>#REF!</v>
      </c>
      <c r="EC261" t="e">
        <f>IF(#REF!,"AAAAAFWX/YQ=",0)</f>
        <v>#REF!</v>
      </c>
      <c r="ED261" t="e">
        <f>IF(#REF!,"AAAAAFWX/YU=",0)</f>
        <v>#REF!</v>
      </c>
      <c r="EE261" t="e">
        <f>IF(#REF!,"AAAAAFWX/YY=",0)</f>
        <v>#REF!</v>
      </c>
      <c r="EF261" t="e">
        <f>IF(#REF!,"AAAAAFWX/Yc=",0)</f>
        <v>#REF!</v>
      </c>
      <c r="EG261" t="e">
        <f>IF(#REF!,"AAAAAFWX/Yg=",0)</f>
        <v>#REF!</v>
      </c>
      <c r="EH261" t="e">
        <f>IF(#REF!,"AAAAAFWX/Yk=",0)</f>
        <v>#REF!</v>
      </c>
      <c r="EI261" t="e">
        <f>IF(#REF!,"AAAAAFWX/Yo=",0)</f>
        <v>#REF!</v>
      </c>
      <c r="EJ261" t="e">
        <f>IF(#REF!,"AAAAAFWX/Ys=",0)</f>
        <v>#REF!</v>
      </c>
      <c r="EK261" t="e">
        <f>IF(#REF!,"AAAAAFWX/Yw=",0)</f>
        <v>#REF!</v>
      </c>
      <c r="EL261" t="e">
        <f>IF(#REF!,"AAAAAFWX/Y0=",0)</f>
        <v>#REF!</v>
      </c>
      <c r="EM261" t="e">
        <f>IF(#REF!,"AAAAAFWX/Y4=",0)</f>
        <v>#REF!</v>
      </c>
      <c r="EN261" t="e">
        <f>IF(#REF!,"AAAAAFWX/Y8=",0)</f>
        <v>#REF!</v>
      </c>
      <c r="EO261" t="e">
        <f>IF(#REF!,"AAAAAFWX/ZA=",0)</f>
        <v>#REF!</v>
      </c>
      <c r="EP261" t="e">
        <f>IF(#REF!,"AAAAAFWX/ZE=",0)</f>
        <v>#REF!</v>
      </c>
      <c r="EQ261" t="e">
        <f>IF(#REF!,"AAAAAFWX/ZI=",0)</f>
        <v>#REF!</v>
      </c>
      <c r="ER261" t="e">
        <f>IF(#REF!,"AAAAAFWX/ZM=",0)</f>
        <v>#REF!</v>
      </c>
      <c r="ES261" t="e">
        <f>IF(#REF!,"AAAAAFWX/ZQ=",0)</f>
        <v>#REF!</v>
      </c>
      <c r="ET261" t="e">
        <f>IF(#REF!,"AAAAAFWX/ZU=",0)</f>
        <v>#REF!</v>
      </c>
      <c r="EU261" t="e">
        <f>IF(#REF!,"AAAAAFWX/ZY=",0)</f>
        <v>#REF!</v>
      </c>
      <c r="EV261" t="e">
        <f>IF(#REF!,"AAAAAFWX/Zc=",0)</f>
        <v>#REF!</v>
      </c>
      <c r="EW261" t="e">
        <f>IF(#REF!,"AAAAAFWX/Zg=",0)</f>
        <v>#REF!</v>
      </c>
      <c r="EX261" t="e">
        <f>IF(#REF!,"AAAAAFWX/Zk=",0)</f>
        <v>#REF!</v>
      </c>
      <c r="EY261" t="e">
        <f>IF(#REF!,"AAAAAFWX/Zo=",0)</f>
        <v>#REF!</v>
      </c>
      <c r="EZ261" t="e">
        <f>IF(#REF!,"AAAAAFWX/Zs=",0)</f>
        <v>#REF!</v>
      </c>
      <c r="FA261" t="e">
        <f>IF(#REF!,"AAAAAFWX/Zw=",0)</f>
        <v>#REF!</v>
      </c>
      <c r="FB261" t="e">
        <f>IF(#REF!,"AAAAAFWX/Z0=",0)</f>
        <v>#REF!</v>
      </c>
      <c r="FC261" t="e">
        <f>IF(#REF!,"AAAAAFWX/Z4=",0)</f>
        <v>#REF!</v>
      </c>
      <c r="FD261" t="e">
        <f>IF(#REF!,"AAAAAFWX/Z8=",0)</f>
        <v>#REF!</v>
      </c>
      <c r="FE261" t="e">
        <f>IF(#REF!,"AAAAAFWX/aA=",0)</f>
        <v>#REF!</v>
      </c>
      <c r="FF261" t="e">
        <f>IF(#REF!,"AAAAAFWX/aE=",0)</f>
        <v>#REF!</v>
      </c>
      <c r="FG261" t="e">
        <f>IF(#REF!,"AAAAAFWX/aI=",0)</f>
        <v>#REF!</v>
      </c>
      <c r="FH261" t="e">
        <f>IF(#REF!,"AAAAAFWX/aM=",0)</f>
        <v>#REF!</v>
      </c>
      <c r="FI261" t="e">
        <f>IF(#REF!,"AAAAAFWX/aQ=",0)</f>
        <v>#REF!</v>
      </c>
      <c r="FJ261" t="e">
        <f>IF(#REF!,"AAAAAFWX/aU=",0)</f>
        <v>#REF!</v>
      </c>
      <c r="FK261" t="e">
        <f>IF(#REF!,"AAAAAFWX/aY=",0)</f>
        <v>#REF!</v>
      </c>
      <c r="FL261" t="e">
        <f>IF(#REF!,"AAAAAFWX/ac=",0)</f>
        <v>#REF!</v>
      </c>
      <c r="FM261" t="e">
        <f>IF(#REF!,"AAAAAFWX/ag=",0)</f>
        <v>#REF!</v>
      </c>
      <c r="FN261" t="e">
        <f>IF(#REF!,"AAAAAFWX/ak=",0)</f>
        <v>#REF!</v>
      </c>
      <c r="FO261" t="e">
        <f>IF(#REF!,"AAAAAFWX/ao=",0)</f>
        <v>#REF!</v>
      </c>
      <c r="FP261" t="e">
        <f>IF(#REF!,"AAAAAFWX/as=",0)</f>
        <v>#REF!</v>
      </c>
      <c r="FQ261" t="e">
        <f>IF(#REF!,"AAAAAFWX/aw=",0)</f>
        <v>#REF!</v>
      </c>
      <c r="FR261" t="e">
        <f>IF(#REF!,"AAAAAFWX/a0=",0)</f>
        <v>#REF!</v>
      </c>
      <c r="FS261" t="e">
        <f>IF(#REF!,"AAAAAFWX/a4=",0)</f>
        <v>#REF!</v>
      </c>
      <c r="FT261" t="e">
        <f>IF(#REF!,"AAAAAFWX/a8=",0)</f>
        <v>#REF!</v>
      </c>
      <c r="FU261" t="e">
        <f>IF(#REF!,"AAAAAFWX/bA=",0)</f>
        <v>#REF!</v>
      </c>
      <c r="FV261" t="e">
        <f>IF(#REF!,"AAAAAFWX/bE=",0)</f>
        <v>#REF!</v>
      </c>
      <c r="FW261" t="e">
        <f>IF(#REF!,"AAAAAFWX/bI=",0)</f>
        <v>#REF!</v>
      </c>
      <c r="FX261" t="e">
        <f>IF(#REF!,"AAAAAFWX/bM=",0)</f>
        <v>#REF!</v>
      </c>
      <c r="FY261" t="e">
        <f>IF(#REF!,"AAAAAFWX/bQ=",0)</f>
        <v>#REF!</v>
      </c>
      <c r="FZ261" t="e">
        <f>IF(#REF!,"AAAAAFWX/bU=",0)</f>
        <v>#REF!</v>
      </c>
      <c r="GA261" t="e">
        <f>IF(#REF!,"AAAAAFWX/bY=",0)</f>
        <v>#REF!</v>
      </c>
      <c r="GB261" t="e">
        <f>IF(#REF!,"AAAAAFWX/bc=",0)</f>
        <v>#REF!</v>
      </c>
      <c r="GC261" t="e">
        <f>IF(#REF!,"AAAAAFWX/bg=",0)</f>
        <v>#REF!</v>
      </c>
      <c r="GD261" t="e">
        <f>IF(#REF!,"AAAAAFWX/bk=",0)</f>
        <v>#REF!</v>
      </c>
      <c r="GE261" t="e">
        <f>IF(#REF!,"AAAAAFWX/bo=",0)</f>
        <v>#REF!</v>
      </c>
      <c r="GF261" t="e">
        <f>IF(#REF!,"AAAAAFWX/bs=",0)</f>
        <v>#REF!</v>
      </c>
      <c r="GG261" t="e">
        <f>IF(#REF!,"AAAAAFWX/bw=",0)</f>
        <v>#REF!</v>
      </c>
      <c r="GH261" t="e">
        <f>IF(#REF!,"AAAAAFWX/b0=",0)</f>
        <v>#REF!</v>
      </c>
      <c r="GI261" t="e">
        <f>IF(#REF!,"AAAAAFWX/b4=",0)</f>
        <v>#REF!</v>
      </c>
      <c r="GJ261" t="e">
        <f>IF(#REF!,"AAAAAFWX/b8=",0)</f>
        <v>#REF!</v>
      </c>
      <c r="GK261" t="e">
        <f>IF(#REF!,"AAAAAFWX/cA=",0)</f>
        <v>#REF!</v>
      </c>
      <c r="GL261" t="e">
        <f>IF(#REF!,"AAAAAFWX/cE=",0)</f>
        <v>#REF!</v>
      </c>
      <c r="GM261" t="e">
        <f>IF(#REF!,"AAAAAFWX/cI=",0)</f>
        <v>#REF!</v>
      </c>
      <c r="GN261" t="e">
        <f>IF(#REF!,"AAAAAFWX/cM=",0)</f>
        <v>#REF!</v>
      </c>
      <c r="GO261" t="e">
        <f>IF(#REF!,"AAAAAFWX/cQ=",0)</f>
        <v>#REF!</v>
      </c>
      <c r="GP261" t="e">
        <f>IF(#REF!,"AAAAAFWX/cU=",0)</f>
        <v>#REF!</v>
      </c>
      <c r="GQ261" t="e">
        <f>IF(#REF!,"AAAAAFWX/cY=",0)</f>
        <v>#REF!</v>
      </c>
      <c r="GR261" t="e">
        <f>IF(#REF!,"AAAAAFWX/cc=",0)</f>
        <v>#REF!</v>
      </c>
      <c r="GS261" t="e">
        <f>IF(#REF!,"AAAAAFWX/cg=",0)</f>
        <v>#REF!</v>
      </c>
      <c r="GT261" t="e">
        <f>IF(#REF!,"AAAAAFWX/ck=",0)</f>
        <v>#REF!</v>
      </c>
      <c r="GU261" t="e">
        <f>IF(#REF!,"AAAAAFWX/co=",0)</f>
        <v>#REF!</v>
      </c>
      <c r="GV261" t="e">
        <f>IF(#REF!,"AAAAAFWX/cs=",0)</f>
        <v>#REF!</v>
      </c>
      <c r="GW261" t="e">
        <f>IF(#REF!,"AAAAAFWX/cw=",0)</f>
        <v>#REF!</v>
      </c>
      <c r="GX261" t="e">
        <f>IF(#REF!,"AAAAAFWX/c0=",0)</f>
        <v>#REF!</v>
      </c>
      <c r="GY261" t="e">
        <f>IF(#REF!,"AAAAAFWX/c4=",0)</f>
        <v>#REF!</v>
      </c>
      <c r="GZ261" t="e">
        <f>IF(#REF!,"AAAAAFWX/c8=",0)</f>
        <v>#REF!</v>
      </c>
      <c r="HA261" t="e">
        <f>IF(#REF!,"AAAAAFWX/dA=",0)</f>
        <v>#REF!</v>
      </c>
      <c r="HB261" t="e">
        <f>IF(#REF!,"AAAAAFWX/dE=",0)</f>
        <v>#REF!</v>
      </c>
      <c r="HC261" t="e">
        <f>IF(#REF!,"AAAAAFWX/dI=",0)</f>
        <v>#REF!</v>
      </c>
      <c r="HD261" t="e">
        <f>IF(#REF!,"AAAAAFWX/dM=",0)</f>
        <v>#REF!</v>
      </c>
      <c r="HE261" t="e">
        <f>IF(#REF!,"AAAAAFWX/dQ=",0)</f>
        <v>#REF!</v>
      </c>
      <c r="HF261" t="e">
        <f>IF(#REF!,"AAAAAFWX/dU=",0)</f>
        <v>#REF!</v>
      </c>
      <c r="HG261" t="e">
        <f>IF(#REF!,"AAAAAFWX/dY=",0)</f>
        <v>#REF!</v>
      </c>
      <c r="HH261" t="e">
        <f>IF(#REF!,"AAAAAFWX/dc=",0)</f>
        <v>#REF!</v>
      </c>
      <c r="HI261" t="e">
        <f>IF(#REF!,"AAAAAFWX/dg=",0)</f>
        <v>#REF!</v>
      </c>
      <c r="HJ261" t="e">
        <f>IF(#REF!,"AAAAAFWX/dk=",0)</f>
        <v>#REF!</v>
      </c>
      <c r="HK261" t="e">
        <f>IF(#REF!,"AAAAAFWX/do=",0)</f>
        <v>#REF!</v>
      </c>
      <c r="HL261" t="e">
        <f>IF(#REF!,"AAAAAFWX/ds=",0)</f>
        <v>#REF!</v>
      </c>
      <c r="HM261" t="e">
        <f>IF(#REF!,"AAAAAFWX/dw=",0)</f>
        <v>#REF!</v>
      </c>
      <c r="HN261" t="e">
        <f>IF(#REF!,"AAAAAFWX/d0=",0)</f>
        <v>#REF!</v>
      </c>
      <c r="HO261" t="e">
        <f>IF(#REF!,"AAAAAFWX/d4=",0)</f>
        <v>#REF!</v>
      </c>
      <c r="HP261" t="e">
        <f>IF(#REF!,"AAAAAFWX/d8=",0)</f>
        <v>#REF!</v>
      </c>
      <c r="HQ261" t="e">
        <f>IF(#REF!,"AAAAAFWX/eA=",0)</f>
        <v>#REF!</v>
      </c>
      <c r="HR261" t="e">
        <f>IF(#REF!,"AAAAAFWX/eE=",0)</f>
        <v>#REF!</v>
      </c>
      <c r="HS261" t="e">
        <f>IF(#REF!,"AAAAAFWX/eI=",0)</f>
        <v>#REF!</v>
      </c>
      <c r="HT261" t="e">
        <f>IF(#REF!,"AAAAAFWX/eM=",0)</f>
        <v>#REF!</v>
      </c>
      <c r="HU261" t="e">
        <f>IF(#REF!,"AAAAAFWX/eQ=",0)</f>
        <v>#REF!</v>
      </c>
      <c r="HV261" t="e">
        <f>IF(#REF!,"AAAAAFWX/eU=",0)</f>
        <v>#REF!</v>
      </c>
      <c r="HW261" t="e">
        <f>IF(#REF!,"AAAAAFWX/eY=",0)</f>
        <v>#REF!</v>
      </c>
      <c r="HX261" t="e">
        <f>IF(#REF!,"AAAAAFWX/ec=",0)</f>
        <v>#REF!</v>
      </c>
      <c r="HY261" t="e">
        <f>IF(#REF!,"AAAAAFWX/eg=",0)</f>
        <v>#REF!</v>
      </c>
      <c r="HZ261" t="e">
        <f>IF(#REF!,"AAAAAFWX/ek=",0)</f>
        <v>#REF!</v>
      </c>
      <c r="IA261" t="e">
        <f>IF(#REF!,"AAAAAFWX/eo=",0)</f>
        <v>#REF!</v>
      </c>
      <c r="IB261" t="e">
        <f>IF(#REF!,"AAAAAFWX/es=",0)</f>
        <v>#REF!</v>
      </c>
      <c r="IC261" t="e">
        <f>IF(#REF!,"AAAAAFWX/ew=",0)</f>
        <v>#REF!</v>
      </c>
      <c r="ID261" t="e">
        <f>IF(#REF!,"AAAAAFWX/e0=",0)</f>
        <v>#REF!</v>
      </c>
      <c r="IE261" t="e">
        <f>IF(#REF!,"AAAAAFWX/e4=",0)</f>
        <v>#REF!</v>
      </c>
      <c r="IF261" t="e">
        <f>IF(#REF!,"AAAAAFWX/e8=",0)</f>
        <v>#REF!</v>
      </c>
      <c r="IG261" t="e">
        <f>IF(#REF!,"AAAAAFWX/fA=",0)</f>
        <v>#REF!</v>
      </c>
      <c r="IH261" t="e">
        <f>IF(#REF!,"AAAAAFWX/fE=",0)</f>
        <v>#REF!</v>
      </c>
      <c r="II261" t="e">
        <f>IF(#REF!,"AAAAAFWX/fI=",0)</f>
        <v>#REF!</v>
      </c>
      <c r="IJ261" t="e">
        <f>IF(#REF!,"AAAAAFWX/fM=",0)</f>
        <v>#REF!</v>
      </c>
      <c r="IK261" t="e">
        <f>IF(#REF!,"AAAAAFWX/fQ=",0)</f>
        <v>#REF!</v>
      </c>
      <c r="IL261" t="e">
        <f>IF(#REF!,"AAAAAFWX/fU=",0)</f>
        <v>#REF!</v>
      </c>
      <c r="IM261" t="e">
        <f>IF(#REF!,"AAAAAFWX/fY=",0)</f>
        <v>#REF!</v>
      </c>
      <c r="IN261" t="e">
        <f>IF(#REF!,"AAAAAFWX/fc=",0)</f>
        <v>#REF!</v>
      </c>
      <c r="IO261" t="e">
        <f>IF(#REF!,"AAAAAFWX/fg=",0)</f>
        <v>#REF!</v>
      </c>
      <c r="IP261" t="e">
        <f>IF(#REF!,"AAAAAFWX/fk=",0)</f>
        <v>#REF!</v>
      </c>
      <c r="IQ261" t="e">
        <f>IF(#REF!,"AAAAAFWX/fo=",0)</f>
        <v>#REF!</v>
      </c>
      <c r="IR261" t="e">
        <f>IF(#REF!,"AAAAAFWX/fs=",0)</f>
        <v>#REF!</v>
      </c>
      <c r="IS261" t="e">
        <f>IF(#REF!,"AAAAAFWX/fw=",0)</f>
        <v>#REF!</v>
      </c>
      <c r="IT261" t="e">
        <f>IF(#REF!,"AAAAAFWX/f0=",0)</f>
        <v>#REF!</v>
      </c>
      <c r="IU261" t="e">
        <f>IF(#REF!,"AAAAAFWX/f4=",0)</f>
        <v>#REF!</v>
      </c>
      <c r="IV261" t="e">
        <f>IF(#REF!,"AAAAAFWX/f8=",0)</f>
        <v>#REF!</v>
      </c>
    </row>
    <row r="262" spans="1:256">
      <c r="A262" t="e">
        <f>IF(#REF!,"AAAAAHHvfwA=",0)</f>
        <v>#REF!</v>
      </c>
      <c r="B262" t="e">
        <f>IF(#REF!,"AAAAAHHvfwE=",0)</f>
        <v>#REF!</v>
      </c>
      <c r="C262" t="e">
        <f>IF(#REF!,"AAAAAHHvfwI=",0)</f>
        <v>#REF!</v>
      </c>
      <c r="D262" t="e">
        <f>IF(#REF!,"AAAAAHHvfwM=",0)</f>
        <v>#REF!</v>
      </c>
      <c r="E262" t="e">
        <f>IF(#REF!,"AAAAAHHvfwQ=",0)</f>
        <v>#REF!</v>
      </c>
      <c r="F262" t="e">
        <f>IF(#REF!,"AAAAAHHvfwU=",0)</f>
        <v>#REF!</v>
      </c>
      <c r="G262" t="e">
        <f>IF(#REF!,"AAAAAHHvfwY=",0)</f>
        <v>#REF!</v>
      </c>
      <c r="H262" t="e">
        <f>IF(#REF!,"AAAAAHHvfwc=",0)</f>
        <v>#REF!</v>
      </c>
      <c r="I262" t="e">
        <f>IF(#REF!,"AAAAAHHvfwg=",0)</f>
        <v>#REF!</v>
      </c>
      <c r="J262" t="e">
        <f>IF(#REF!,"AAAAAHHvfwk=",0)</f>
        <v>#REF!</v>
      </c>
      <c r="K262" t="e">
        <f>IF(#REF!,"AAAAAHHvfwo=",0)</f>
        <v>#REF!</v>
      </c>
      <c r="L262" t="e">
        <f>IF(#REF!,"AAAAAHHvfws=",0)</f>
        <v>#REF!</v>
      </c>
      <c r="M262" t="e">
        <f>IF(#REF!,"AAAAAHHvfww=",0)</f>
        <v>#REF!</v>
      </c>
      <c r="N262" t="e">
        <f>IF(#REF!,"AAAAAHHvfw0=",0)</f>
        <v>#REF!</v>
      </c>
      <c r="O262" t="e">
        <f>IF(#REF!,"AAAAAHHvfw4=",0)</f>
        <v>#REF!</v>
      </c>
      <c r="P262" t="e">
        <f>IF(#REF!,"AAAAAHHvfw8=",0)</f>
        <v>#REF!</v>
      </c>
      <c r="Q262" t="e">
        <f>IF(#REF!,"AAAAAHHvfxA=",0)</f>
        <v>#REF!</v>
      </c>
      <c r="R262" t="e">
        <f>IF(#REF!,"AAAAAHHvfxE=",0)</f>
        <v>#REF!</v>
      </c>
      <c r="S262" t="e">
        <f>IF(#REF!,"AAAAAHHvfxI=",0)</f>
        <v>#REF!</v>
      </c>
      <c r="T262" t="e">
        <f>IF(#REF!,"AAAAAHHvfxM=",0)</f>
        <v>#REF!</v>
      </c>
      <c r="U262" t="e">
        <f>IF(#REF!,"AAAAAHHvfxQ=",0)</f>
        <v>#REF!</v>
      </c>
      <c r="V262" t="e">
        <f>IF(#REF!,"AAAAAHHvfxU=",0)</f>
        <v>#REF!</v>
      </c>
      <c r="W262" t="e">
        <f>IF(#REF!,"AAAAAHHvfxY=",0)</f>
        <v>#REF!</v>
      </c>
      <c r="X262" t="e">
        <f>IF(#REF!,"AAAAAHHvfxc=",0)</f>
        <v>#REF!</v>
      </c>
      <c r="Y262" t="e">
        <f>IF(#REF!,"AAAAAHHvfxg=",0)</f>
        <v>#REF!</v>
      </c>
      <c r="Z262" t="e">
        <f>IF(#REF!,"AAAAAHHvfxk=",0)</f>
        <v>#REF!</v>
      </c>
      <c r="AA262" t="e">
        <f>IF(#REF!,"AAAAAHHvfxo=",0)</f>
        <v>#REF!</v>
      </c>
      <c r="AB262" t="e">
        <f>IF(#REF!,"AAAAAHHvfxs=",0)</f>
        <v>#REF!</v>
      </c>
      <c r="AC262" t="e">
        <f>IF(#REF!,"AAAAAHHvfxw=",0)</f>
        <v>#REF!</v>
      </c>
      <c r="AD262" t="e">
        <f>IF(#REF!,"AAAAAHHvfx0=",0)</f>
        <v>#REF!</v>
      </c>
      <c r="AE262" t="e">
        <f>IF(#REF!,"AAAAAHHvfx4=",0)</f>
        <v>#REF!</v>
      </c>
      <c r="AF262" t="e">
        <f>IF(#REF!,"AAAAAHHvfx8=",0)</f>
        <v>#REF!</v>
      </c>
      <c r="AG262" t="e">
        <f>IF(#REF!,"AAAAAHHvfyA=",0)</f>
        <v>#REF!</v>
      </c>
      <c r="AH262" t="e">
        <f>IF(#REF!,"AAAAAHHvfyE=",0)</f>
        <v>#REF!</v>
      </c>
      <c r="AI262" t="e">
        <f>IF(#REF!,"AAAAAHHvfyI=",0)</f>
        <v>#REF!</v>
      </c>
      <c r="AJ262" t="e">
        <f>IF(#REF!,"AAAAAHHvfyM=",0)</f>
        <v>#REF!</v>
      </c>
      <c r="AK262" t="e">
        <f>IF(#REF!,"AAAAAHHvfyQ=",0)</f>
        <v>#REF!</v>
      </c>
      <c r="AL262" t="e">
        <f>IF(#REF!,"AAAAAHHvfyU=",0)</f>
        <v>#REF!</v>
      </c>
      <c r="AM262" t="e">
        <f>IF(#REF!,"AAAAAHHvfyY=",0)</f>
        <v>#REF!</v>
      </c>
      <c r="AN262" t="e">
        <f>IF(#REF!,"AAAAAHHvfyc=",0)</f>
        <v>#REF!</v>
      </c>
      <c r="AO262" t="e">
        <f>IF(#REF!,"AAAAAHHvfyg=",0)</f>
        <v>#REF!</v>
      </c>
      <c r="AP262" t="e">
        <f>IF(#REF!,"AAAAAHHvfyk=",0)</f>
        <v>#REF!</v>
      </c>
      <c r="AQ262" t="e">
        <f>IF(#REF!,"AAAAAHHvfyo=",0)</f>
        <v>#REF!</v>
      </c>
      <c r="AR262" t="e">
        <f>IF(#REF!,"AAAAAHHvfys=",0)</f>
        <v>#REF!</v>
      </c>
      <c r="AS262" t="e">
        <f>IF(#REF!,"AAAAAHHvfyw=",0)</f>
        <v>#REF!</v>
      </c>
      <c r="AT262" t="e">
        <f>IF(#REF!,"AAAAAHHvfy0=",0)</f>
        <v>#REF!</v>
      </c>
      <c r="AU262" t="e">
        <f>IF(#REF!,"AAAAAHHvfy4=",0)</f>
        <v>#REF!</v>
      </c>
      <c r="AV262" t="e">
        <f>IF(#REF!,"AAAAAHHvfy8=",0)</f>
        <v>#REF!</v>
      </c>
      <c r="AW262" t="e">
        <f>IF(#REF!,"AAAAAHHvfzA=",0)</f>
        <v>#REF!</v>
      </c>
      <c r="AX262" t="e">
        <f>IF(#REF!,"AAAAAHHvfzE=",0)</f>
        <v>#REF!</v>
      </c>
      <c r="AY262" t="e">
        <f>IF(#REF!,"AAAAAHHvfzI=",0)</f>
        <v>#REF!</v>
      </c>
      <c r="AZ262" t="e">
        <f>IF(#REF!,"AAAAAHHvfzM=",0)</f>
        <v>#REF!</v>
      </c>
      <c r="BA262" t="e">
        <f>IF(#REF!,"AAAAAHHvfzQ=",0)</f>
        <v>#REF!</v>
      </c>
      <c r="BB262" t="e">
        <f>IF(#REF!,"AAAAAHHvfzU=",0)</f>
        <v>#REF!</v>
      </c>
      <c r="BC262" t="e">
        <f>IF(#REF!,"AAAAAHHvfzY=",0)</f>
        <v>#REF!</v>
      </c>
      <c r="BD262" t="e">
        <f>IF(#REF!,"AAAAAHHvfzc=",0)</f>
        <v>#REF!</v>
      </c>
      <c r="BE262" t="e">
        <f>IF(#REF!,"AAAAAHHvfzg=",0)</f>
        <v>#REF!</v>
      </c>
      <c r="BF262" t="e">
        <f>IF(#REF!,"AAAAAHHvfzk=",0)</f>
        <v>#REF!</v>
      </c>
      <c r="BG262" t="e">
        <f>IF(#REF!,"AAAAAHHvfzo=",0)</f>
        <v>#REF!</v>
      </c>
      <c r="BH262" t="e">
        <f>IF(#REF!,"AAAAAHHvfzs=",0)</f>
        <v>#REF!</v>
      </c>
      <c r="BI262" t="e">
        <f>IF(#REF!,"AAAAAHHvfzw=",0)</f>
        <v>#REF!</v>
      </c>
      <c r="BJ262" t="e">
        <f>IF(#REF!,"AAAAAHHvfz0=",0)</f>
        <v>#REF!</v>
      </c>
      <c r="BK262" t="e">
        <f>IF(#REF!,"AAAAAHHvfz4=",0)</f>
        <v>#REF!</v>
      </c>
      <c r="BL262" t="e">
        <f>IF(#REF!,"AAAAAHHvfz8=",0)</f>
        <v>#REF!</v>
      </c>
      <c r="BM262" t="e">
        <f>IF(#REF!,"AAAAAHHvf0A=",0)</f>
        <v>#REF!</v>
      </c>
      <c r="BN262" t="e">
        <f>IF(#REF!,"AAAAAHHvf0E=",0)</f>
        <v>#REF!</v>
      </c>
      <c r="BO262" t="e">
        <f>IF(#REF!,"AAAAAHHvf0I=",0)</f>
        <v>#REF!</v>
      </c>
      <c r="BP262" t="e">
        <f>IF(#REF!,"AAAAAHHvf0M=",0)</f>
        <v>#REF!</v>
      </c>
      <c r="BQ262" t="e">
        <f>IF(#REF!,"AAAAAHHvf0Q=",0)</f>
        <v>#REF!</v>
      </c>
      <c r="BR262" t="e">
        <f>IF(#REF!,"AAAAAHHvf0U=",0)</f>
        <v>#REF!</v>
      </c>
      <c r="BS262" t="e">
        <f>IF(#REF!,"AAAAAHHvf0Y=",0)</f>
        <v>#REF!</v>
      </c>
      <c r="BT262" t="e">
        <f>IF(#REF!,"AAAAAHHvf0c=",0)</f>
        <v>#REF!</v>
      </c>
      <c r="BU262" t="e">
        <f>IF(#REF!,"AAAAAHHvf0g=",0)</f>
        <v>#REF!</v>
      </c>
      <c r="BV262" t="e">
        <f>IF(#REF!,"AAAAAHHvf0k=",0)</f>
        <v>#REF!</v>
      </c>
      <c r="BW262" t="e">
        <f>IF(#REF!,"AAAAAHHvf0o=",0)</f>
        <v>#REF!</v>
      </c>
      <c r="BX262" t="e">
        <f>IF(#REF!,"AAAAAHHvf0s=",0)</f>
        <v>#REF!</v>
      </c>
      <c r="BY262" t="e">
        <f>IF(#REF!,"AAAAAHHvf0w=",0)</f>
        <v>#REF!</v>
      </c>
      <c r="BZ262" t="e">
        <f>IF(#REF!,"AAAAAHHvf00=",0)</f>
        <v>#REF!</v>
      </c>
      <c r="CA262" t="e">
        <f>IF(#REF!,"AAAAAHHvf04=",0)</f>
        <v>#REF!</v>
      </c>
      <c r="CB262" t="e">
        <f>IF(#REF!,"AAAAAHHvf08=",0)</f>
        <v>#REF!</v>
      </c>
      <c r="CC262" t="e">
        <f>IF(#REF!,"AAAAAHHvf1A=",0)</f>
        <v>#REF!</v>
      </c>
      <c r="CD262" t="e">
        <f>IF(#REF!,"AAAAAHHvf1E=",0)</f>
        <v>#REF!</v>
      </c>
      <c r="CE262" t="e">
        <f>IF(#REF!,"AAAAAHHvf1I=",0)</f>
        <v>#REF!</v>
      </c>
      <c r="CF262" t="e">
        <f>IF(#REF!,"AAAAAHHvf1M=",0)</f>
        <v>#REF!</v>
      </c>
      <c r="CG262" t="e">
        <f>IF(#REF!,"AAAAAHHvf1Q=",0)</f>
        <v>#REF!</v>
      </c>
      <c r="CH262" t="e">
        <f>IF(#REF!,"AAAAAHHvf1U=",0)</f>
        <v>#REF!</v>
      </c>
      <c r="CI262" t="e">
        <f>IF(#REF!,"AAAAAHHvf1Y=",0)</f>
        <v>#REF!</v>
      </c>
      <c r="CJ262" t="e">
        <f>IF(#REF!,"AAAAAHHvf1c=",0)</f>
        <v>#REF!</v>
      </c>
      <c r="CK262" t="e">
        <f>IF(#REF!,"AAAAAHHvf1g=",0)</f>
        <v>#REF!</v>
      </c>
      <c r="CL262" t="e">
        <f>IF(#REF!,"AAAAAHHvf1k=",0)</f>
        <v>#REF!</v>
      </c>
      <c r="CM262" t="e">
        <f>IF(#REF!,"AAAAAHHvf1o=",0)</f>
        <v>#REF!</v>
      </c>
      <c r="CN262" t="e">
        <f>IF(#REF!,"AAAAAHHvf1s=",0)</f>
        <v>#REF!</v>
      </c>
      <c r="CO262" t="e">
        <f>IF(#REF!,"AAAAAHHvf1w=",0)</f>
        <v>#REF!</v>
      </c>
      <c r="CP262" t="e">
        <f>IF(#REF!,"AAAAAHHvf10=",0)</f>
        <v>#REF!</v>
      </c>
      <c r="CQ262" t="e">
        <f>IF(#REF!,"AAAAAHHvf14=",0)</f>
        <v>#REF!</v>
      </c>
      <c r="CR262" t="e">
        <f>IF(#REF!,"AAAAAHHvf18=",0)</f>
        <v>#REF!</v>
      </c>
      <c r="CS262" t="e">
        <f>IF(#REF!,"AAAAAHHvf2A=",0)</f>
        <v>#REF!</v>
      </c>
      <c r="CT262" t="e">
        <f>IF(#REF!,"AAAAAHHvf2E=",0)</f>
        <v>#REF!</v>
      </c>
      <c r="CU262" t="e">
        <f>IF(#REF!,"AAAAAHHvf2I=",0)</f>
        <v>#REF!</v>
      </c>
      <c r="CV262" t="e">
        <f>IF(#REF!,"AAAAAHHvf2M=",0)</f>
        <v>#REF!</v>
      </c>
      <c r="CW262" t="e">
        <f>IF(#REF!,"AAAAAHHvf2Q=",0)</f>
        <v>#REF!</v>
      </c>
      <c r="CX262" t="e">
        <f>IF(#REF!,"AAAAAHHvf2U=",0)</f>
        <v>#REF!</v>
      </c>
      <c r="CY262" t="e">
        <f>IF(#REF!,"AAAAAHHvf2Y=",0)</f>
        <v>#REF!</v>
      </c>
      <c r="CZ262" t="e">
        <f>IF(#REF!,"AAAAAHHvf2c=",0)</f>
        <v>#REF!</v>
      </c>
      <c r="DA262" t="e">
        <f>IF(#REF!,"AAAAAHHvf2g=",0)</f>
        <v>#REF!</v>
      </c>
      <c r="DB262" t="e">
        <f>IF(#REF!,"AAAAAHHvf2k=",0)</f>
        <v>#REF!</v>
      </c>
      <c r="DC262" t="e">
        <f>IF(#REF!,"AAAAAHHvf2o=",0)</f>
        <v>#REF!</v>
      </c>
      <c r="DD262" t="e">
        <f>IF(#REF!,"AAAAAHHvf2s=",0)</f>
        <v>#REF!</v>
      </c>
      <c r="DE262" t="e">
        <f>IF(#REF!,"AAAAAHHvf2w=",0)</f>
        <v>#REF!</v>
      </c>
      <c r="DF262" t="e">
        <f>IF(#REF!,"AAAAAHHvf20=",0)</f>
        <v>#REF!</v>
      </c>
      <c r="DG262" t="e">
        <f>IF(#REF!,"AAAAAHHvf24=",0)</f>
        <v>#REF!</v>
      </c>
      <c r="DH262" t="e">
        <f>IF(#REF!,"AAAAAHHvf28=",0)</f>
        <v>#REF!</v>
      </c>
      <c r="DI262" t="e">
        <f>IF(#REF!,"AAAAAHHvf3A=",0)</f>
        <v>#REF!</v>
      </c>
      <c r="DJ262" t="e">
        <f>IF(#REF!,"AAAAAHHvf3E=",0)</f>
        <v>#REF!</v>
      </c>
      <c r="DK262" t="e">
        <f>IF(#REF!,"AAAAAHHvf3I=",0)</f>
        <v>#REF!</v>
      </c>
      <c r="DL262" t="e">
        <f>IF(#REF!,"AAAAAHHvf3M=",0)</f>
        <v>#REF!</v>
      </c>
      <c r="DM262" t="e">
        <f>IF(#REF!,"AAAAAHHvf3Q=",0)</f>
        <v>#REF!</v>
      </c>
      <c r="DN262" t="e">
        <f>IF(#REF!,"AAAAAHHvf3U=",0)</f>
        <v>#REF!</v>
      </c>
      <c r="DO262" t="e">
        <f>IF(#REF!,"AAAAAHHvf3Y=",0)</f>
        <v>#REF!</v>
      </c>
      <c r="DP262" t="e">
        <f>IF(#REF!,"AAAAAHHvf3c=",0)</f>
        <v>#REF!</v>
      </c>
      <c r="DQ262" t="e">
        <f>IF(#REF!,"AAAAAHHvf3g=",0)</f>
        <v>#REF!</v>
      </c>
      <c r="DR262" t="e">
        <f>IF(#REF!,"AAAAAHHvf3k=",0)</f>
        <v>#REF!</v>
      </c>
      <c r="DS262" t="e">
        <f>IF(#REF!,"AAAAAHHvf3o=",0)</f>
        <v>#REF!</v>
      </c>
      <c r="DT262" t="e">
        <f>IF(#REF!,"AAAAAHHvf3s=",0)</f>
        <v>#REF!</v>
      </c>
      <c r="DU262" t="e">
        <f>IF(#REF!,"AAAAAHHvf3w=",0)</f>
        <v>#REF!</v>
      </c>
      <c r="DV262" t="e">
        <f>IF(#REF!,"AAAAAHHvf30=",0)</f>
        <v>#REF!</v>
      </c>
      <c r="DW262" t="e">
        <f>IF(#REF!,"AAAAAHHvf34=",0)</f>
        <v>#REF!</v>
      </c>
      <c r="DX262" t="e">
        <f>IF(#REF!,"AAAAAHHvf38=",0)</f>
        <v>#REF!</v>
      </c>
      <c r="DY262" t="e">
        <f>IF(#REF!,"AAAAAHHvf4A=",0)</f>
        <v>#REF!</v>
      </c>
      <c r="DZ262" t="e">
        <f>IF(#REF!,"AAAAAHHvf4E=",0)</f>
        <v>#REF!</v>
      </c>
      <c r="EA262" t="e">
        <f>IF(#REF!,"AAAAAHHvf4I=",0)</f>
        <v>#REF!</v>
      </c>
      <c r="EB262" t="e">
        <f>IF(#REF!,"AAAAAHHvf4M=",0)</f>
        <v>#REF!</v>
      </c>
      <c r="EC262" t="e">
        <f>IF(#REF!,"AAAAAHHvf4Q=",0)</f>
        <v>#REF!</v>
      </c>
      <c r="ED262" t="e">
        <f>IF(#REF!,"AAAAAHHvf4U=",0)</f>
        <v>#REF!</v>
      </c>
      <c r="EE262" t="e">
        <f>IF(#REF!,"AAAAAHHvf4Y=",0)</f>
        <v>#REF!</v>
      </c>
      <c r="EF262" t="e">
        <f>IF(#REF!,"AAAAAHHvf4c=",0)</f>
        <v>#REF!</v>
      </c>
      <c r="EG262" t="e">
        <f>IF(#REF!,"AAAAAHHvf4g=",0)</f>
        <v>#REF!</v>
      </c>
      <c r="EH262" t="e">
        <f>IF(#REF!,"AAAAAHHvf4k=",0)</f>
        <v>#REF!</v>
      </c>
      <c r="EI262" t="e">
        <f>IF(#REF!,"AAAAAHHvf4o=",0)</f>
        <v>#REF!</v>
      </c>
      <c r="EJ262" t="e">
        <f>IF(#REF!,"AAAAAHHvf4s=",0)</f>
        <v>#REF!</v>
      </c>
      <c r="EK262" t="e">
        <f>IF(#REF!,"AAAAAHHvf4w=",0)</f>
        <v>#REF!</v>
      </c>
      <c r="EL262" t="e">
        <f>IF(#REF!,"AAAAAHHvf40=",0)</f>
        <v>#REF!</v>
      </c>
      <c r="EM262" t="e">
        <f>IF(#REF!,"AAAAAHHvf44=",0)</f>
        <v>#REF!</v>
      </c>
      <c r="EN262" t="e">
        <f>IF(#REF!,"AAAAAHHvf48=",0)</f>
        <v>#REF!</v>
      </c>
      <c r="EO262" t="e">
        <f>IF(#REF!,"AAAAAHHvf5A=",0)</f>
        <v>#REF!</v>
      </c>
      <c r="EP262" t="e">
        <f>IF(#REF!,"AAAAAHHvf5E=",0)</f>
        <v>#REF!</v>
      </c>
      <c r="EQ262" t="e">
        <f>IF(#REF!,"AAAAAHHvf5I=",0)</f>
        <v>#REF!</v>
      </c>
      <c r="ER262" t="e">
        <f>IF(#REF!,"AAAAAHHvf5M=",0)</f>
        <v>#REF!</v>
      </c>
      <c r="ES262" t="e">
        <f>IF(#REF!,"AAAAAHHvf5Q=",0)</f>
        <v>#REF!</v>
      </c>
      <c r="ET262" t="e">
        <f>IF(#REF!,"AAAAAHHvf5U=",0)</f>
        <v>#REF!</v>
      </c>
      <c r="EU262" t="e">
        <f>IF(#REF!,"AAAAAHHvf5Y=",0)</f>
        <v>#REF!</v>
      </c>
      <c r="EV262" t="e">
        <f>IF(#REF!,"AAAAAHHvf5c=",0)</f>
        <v>#REF!</v>
      </c>
      <c r="EW262" t="e">
        <f>IF(#REF!,"AAAAAHHvf5g=",0)</f>
        <v>#REF!</v>
      </c>
      <c r="EX262" t="e">
        <f>IF(#REF!,"AAAAAHHvf5k=",0)</f>
        <v>#REF!</v>
      </c>
      <c r="EY262" t="e">
        <f>IF(#REF!,"AAAAAHHvf5o=",0)</f>
        <v>#REF!</v>
      </c>
      <c r="EZ262" t="e">
        <f>IF(#REF!,"AAAAAHHvf5s=",0)</f>
        <v>#REF!</v>
      </c>
      <c r="FA262" t="e">
        <f>IF(#REF!,"AAAAAHHvf5w=",0)</f>
        <v>#REF!</v>
      </c>
      <c r="FB262" t="e">
        <f>IF(#REF!,"AAAAAHHvf50=",0)</f>
        <v>#REF!</v>
      </c>
      <c r="FC262" t="e">
        <f>IF(#REF!,"AAAAAHHvf54=",0)</f>
        <v>#REF!</v>
      </c>
      <c r="FD262" t="e">
        <f>IF(#REF!,"AAAAAHHvf58=",0)</f>
        <v>#REF!</v>
      </c>
      <c r="FE262" t="e">
        <f>IF(#REF!,"AAAAAHHvf6A=",0)</f>
        <v>#REF!</v>
      </c>
      <c r="FF262" t="e">
        <f>IF(#REF!,"AAAAAHHvf6E=",0)</f>
        <v>#REF!</v>
      </c>
      <c r="FG262" t="e">
        <f>IF(#REF!,"AAAAAHHvf6I=",0)</f>
        <v>#REF!</v>
      </c>
      <c r="FH262" t="e">
        <f>IF(#REF!,"AAAAAHHvf6M=",0)</f>
        <v>#REF!</v>
      </c>
      <c r="FI262" t="e">
        <f>IF(#REF!,"AAAAAHHvf6Q=",0)</f>
        <v>#REF!</v>
      </c>
      <c r="FJ262" t="e">
        <f>IF(#REF!,"AAAAAHHvf6U=",0)</f>
        <v>#REF!</v>
      </c>
      <c r="FK262" t="e">
        <f>IF(#REF!,"AAAAAHHvf6Y=",0)</f>
        <v>#REF!</v>
      </c>
      <c r="FL262" t="e">
        <f>IF(#REF!,"AAAAAHHvf6c=",0)</f>
        <v>#REF!</v>
      </c>
      <c r="FM262" t="e">
        <f>IF(#REF!,"AAAAAHHvf6g=",0)</f>
        <v>#REF!</v>
      </c>
      <c r="FN262" t="e">
        <f>IF(#REF!,"AAAAAHHvf6k=",0)</f>
        <v>#REF!</v>
      </c>
      <c r="FO262" t="e">
        <f>IF(#REF!,"AAAAAHHvf6o=",0)</f>
        <v>#REF!</v>
      </c>
      <c r="FP262" t="e">
        <f>IF(#REF!,"AAAAAHHvf6s=",0)</f>
        <v>#REF!</v>
      </c>
      <c r="FQ262" t="e">
        <f>IF(#REF!,"AAAAAHHvf6w=",0)</f>
        <v>#REF!</v>
      </c>
      <c r="FR262" t="e">
        <f>IF(#REF!,"AAAAAHHvf60=",0)</f>
        <v>#REF!</v>
      </c>
      <c r="FS262" t="e">
        <f>IF(#REF!,"AAAAAHHvf64=",0)</f>
        <v>#REF!</v>
      </c>
      <c r="FT262" t="e">
        <f>IF(#REF!,"AAAAAHHvf68=",0)</f>
        <v>#REF!</v>
      </c>
      <c r="FU262" t="e">
        <f>IF(#REF!,"AAAAAHHvf7A=",0)</f>
        <v>#REF!</v>
      </c>
      <c r="FV262" t="e">
        <f>IF(#REF!,"AAAAAHHvf7E=",0)</f>
        <v>#REF!</v>
      </c>
      <c r="FW262" t="e">
        <f>IF(#REF!,"AAAAAHHvf7I=",0)</f>
        <v>#REF!</v>
      </c>
      <c r="FX262" t="e">
        <f>IF(#REF!,"AAAAAHHvf7M=",0)</f>
        <v>#REF!</v>
      </c>
      <c r="FY262" t="e">
        <f>IF(#REF!,"AAAAAHHvf7Q=",0)</f>
        <v>#REF!</v>
      </c>
      <c r="FZ262" t="e">
        <f>IF(#REF!,"AAAAAHHvf7U=",0)</f>
        <v>#REF!</v>
      </c>
      <c r="GA262" t="e">
        <f>IF(#REF!,"AAAAAHHvf7Y=",0)</f>
        <v>#REF!</v>
      </c>
      <c r="GB262" t="e">
        <f>IF(#REF!,"AAAAAHHvf7c=",0)</f>
        <v>#REF!</v>
      </c>
      <c r="GC262" t="e">
        <f>IF(#REF!,"AAAAAHHvf7g=",0)</f>
        <v>#REF!</v>
      </c>
      <c r="GD262" t="e">
        <f>IF(#REF!,"AAAAAHHvf7k=",0)</f>
        <v>#REF!</v>
      </c>
      <c r="GE262" t="e">
        <f>IF(#REF!,"AAAAAHHvf7o=",0)</f>
        <v>#REF!</v>
      </c>
      <c r="GF262" t="e">
        <f>IF(#REF!,"AAAAAHHvf7s=",0)</f>
        <v>#REF!</v>
      </c>
      <c r="GG262" t="e">
        <f>IF(#REF!,"AAAAAHHvf7w=",0)</f>
        <v>#REF!</v>
      </c>
      <c r="GH262" t="e">
        <f>IF(#REF!,"AAAAAHHvf70=",0)</f>
        <v>#REF!</v>
      </c>
      <c r="GI262" t="e">
        <f>IF(#REF!,"AAAAAHHvf74=",0)</f>
        <v>#REF!</v>
      </c>
      <c r="GJ262" t="e">
        <f>IF(#REF!,"AAAAAHHvf78=",0)</f>
        <v>#REF!</v>
      </c>
      <c r="GK262" t="e">
        <f>IF(#REF!,"AAAAAHHvf8A=",0)</f>
        <v>#REF!</v>
      </c>
      <c r="GL262" t="e">
        <f>IF(#REF!,"AAAAAHHvf8E=",0)</f>
        <v>#REF!</v>
      </c>
      <c r="GM262" t="e">
        <f>IF(#REF!,"AAAAAHHvf8I=",0)</f>
        <v>#REF!</v>
      </c>
      <c r="GN262" t="e">
        <f>IF(#REF!,"AAAAAHHvf8M=",0)</f>
        <v>#REF!</v>
      </c>
      <c r="GO262" t="e">
        <f>IF(#REF!,"AAAAAHHvf8Q=",0)</f>
        <v>#REF!</v>
      </c>
      <c r="GP262" t="e">
        <f>IF(#REF!,"AAAAAHHvf8U=",0)</f>
        <v>#REF!</v>
      </c>
      <c r="GQ262" t="e">
        <f>IF(#REF!,"AAAAAHHvf8Y=",0)</f>
        <v>#REF!</v>
      </c>
      <c r="GR262" t="e">
        <f>IF(#REF!,"AAAAAHHvf8c=",0)</f>
        <v>#REF!</v>
      </c>
      <c r="GS262" t="e">
        <f>IF(#REF!,"AAAAAHHvf8g=",0)</f>
        <v>#REF!</v>
      </c>
      <c r="GT262" t="e">
        <f>IF(#REF!,"AAAAAHHvf8k=",0)</f>
        <v>#REF!</v>
      </c>
      <c r="GU262" t="e">
        <f>IF(#REF!,"AAAAAHHvf8o=",0)</f>
        <v>#REF!</v>
      </c>
      <c r="GV262" t="e">
        <f>IF(#REF!,"AAAAAHHvf8s=",0)</f>
        <v>#REF!</v>
      </c>
      <c r="GW262" t="e">
        <f>IF(#REF!,"AAAAAHHvf8w=",0)</f>
        <v>#REF!</v>
      </c>
      <c r="GX262" t="e">
        <f>IF(#REF!,"AAAAAHHvf80=",0)</f>
        <v>#REF!</v>
      </c>
      <c r="GY262" t="e">
        <f>IF(#REF!,"AAAAAHHvf84=",0)</f>
        <v>#REF!</v>
      </c>
      <c r="GZ262" t="e">
        <f>IF(#REF!,"AAAAAHHvf88=",0)</f>
        <v>#REF!</v>
      </c>
      <c r="HA262" t="e">
        <f>IF(#REF!,"AAAAAHHvf9A=",0)</f>
        <v>#REF!</v>
      </c>
      <c r="HB262" t="e">
        <f>IF(#REF!,"AAAAAHHvf9E=",0)</f>
        <v>#REF!</v>
      </c>
      <c r="HC262" t="e">
        <f>IF(#REF!,"AAAAAHHvf9I=",0)</f>
        <v>#REF!</v>
      </c>
      <c r="HD262" t="e">
        <f>IF(#REF!,"AAAAAHHvf9M=",0)</f>
        <v>#REF!</v>
      </c>
      <c r="HE262" t="e">
        <f>IF(#REF!,"AAAAAHHvf9Q=",0)</f>
        <v>#REF!</v>
      </c>
      <c r="HF262" t="e">
        <f>IF(#REF!,"AAAAAHHvf9U=",0)</f>
        <v>#REF!</v>
      </c>
      <c r="HG262" t="e">
        <f>IF(#REF!,"AAAAAHHvf9Y=",0)</f>
        <v>#REF!</v>
      </c>
      <c r="HH262" t="e">
        <f>IF(#REF!,"AAAAAHHvf9c=",0)</f>
        <v>#REF!</v>
      </c>
      <c r="HI262" t="e">
        <f>IF(#REF!,"AAAAAHHvf9g=",0)</f>
        <v>#REF!</v>
      </c>
      <c r="HJ262" t="e">
        <f>IF(#REF!,"AAAAAHHvf9k=",0)</f>
        <v>#REF!</v>
      </c>
      <c r="HK262" t="e">
        <f>IF(#REF!,"AAAAAHHvf9o=",0)</f>
        <v>#REF!</v>
      </c>
      <c r="HL262" t="e">
        <f>IF(#REF!,"AAAAAHHvf9s=",0)</f>
        <v>#REF!</v>
      </c>
      <c r="HM262" t="e">
        <f>IF(#REF!,"AAAAAHHvf9w=",0)</f>
        <v>#REF!</v>
      </c>
      <c r="HN262" t="e">
        <f>IF(#REF!,"AAAAAHHvf90=",0)</f>
        <v>#REF!</v>
      </c>
      <c r="HO262" t="e">
        <f>IF(#REF!,"AAAAAHHvf94=",0)</f>
        <v>#REF!</v>
      </c>
      <c r="HP262" t="e">
        <f>IF(#REF!,"AAAAAHHvf98=",0)</f>
        <v>#REF!</v>
      </c>
      <c r="HQ262" t="e">
        <f>IF(#REF!,"AAAAAHHvf+A=",0)</f>
        <v>#REF!</v>
      </c>
      <c r="HR262" t="e">
        <f>IF(#REF!,"AAAAAHHvf+E=",0)</f>
        <v>#REF!</v>
      </c>
      <c r="HS262" t="e">
        <f>IF(#REF!,"AAAAAHHvf+I=",0)</f>
        <v>#REF!</v>
      </c>
      <c r="HT262" t="e">
        <f>IF(#REF!,"AAAAAHHvf+M=",0)</f>
        <v>#REF!</v>
      </c>
      <c r="HU262" t="e">
        <f>IF(#REF!,"AAAAAHHvf+Q=",0)</f>
        <v>#REF!</v>
      </c>
      <c r="HV262" t="e">
        <f>IF(#REF!,"AAAAAHHvf+U=",0)</f>
        <v>#REF!</v>
      </c>
      <c r="HW262" t="e">
        <f>IF(#REF!,"AAAAAHHvf+Y=",0)</f>
        <v>#REF!</v>
      </c>
      <c r="HX262" t="e">
        <f>IF(#REF!,"AAAAAHHvf+c=",0)</f>
        <v>#REF!</v>
      </c>
      <c r="HY262" t="e">
        <f>IF(#REF!,"AAAAAHHvf+g=",0)</f>
        <v>#REF!</v>
      </c>
      <c r="HZ262" t="e">
        <f>IF(#REF!,"AAAAAHHvf+k=",0)</f>
        <v>#REF!</v>
      </c>
      <c r="IA262" t="e">
        <f>IF(#REF!,"AAAAAHHvf+o=",0)</f>
        <v>#REF!</v>
      </c>
      <c r="IB262" t="e">
        <f>IF(#REF!,"AAAAAHHvf+s=",0)</f>
        <v>#REF!</v>
      </c>
      <c r="IC262" t="e">
        <f>IF(#REF!,"AAAAAHHvf+w=",0)</f>
        <v>#REF!</v>
      </c>
      <c r="ID262" t="e">
        <f>IF(#REF!,"AAAAAHHvf+0=",0)</f>
        <v>#REF!</v>
      </c>
      <c r="IE262" t="e">
        <f>IF(#REF!,"AAAAAHHvf+4=",0)</f>
        <v>#REF!</v>
      </c>
      <c r="IF262" t="e">
        <f>IF(#REF!,"AAAAAHHvf+8=",0)</f>
        <v>#REF!</v>
      </c>
      <c r="IG262" t="e">
        <f>IF(#REF!,"AAAAAHHvf/A=",0)</f>
        <v>#REF!</v>
      </c>
      <c r="IH262" t="e">
        <f>IF(#REF!,"AAAAAHHvf/E=",0)</f>
        <v>#REF!</v>
      </c>
      <c r="II262" t="e">
        <f>IF(#REF!,"AAAAAHHvf/I=",0)</f>
        <v>#REF!</v>
      </c>
      <c r="IJ262" t="e">
        <f>IF(#REF!,"AAAAAHHvf/M=",0)</f>
        <v>#REF!</v>
      </c>
      <c r="IK262" t="e">
        <f>IF(#REF!,"AAAAAHHvf/Q=",0)</f>
        <v>#REF!</v>
      </c>
      <c r="IL262" t="e">
        <f>IF(#REF!,"AAAAAHHvf/U=",0)</f>
        <v>#REF!</v>
      </c>
      <c r="IM262" t="e">
        <f>IF(#REF!,"AAAAAHHvf/Y=",0)</f>
        <v>#REF!</v>
      </c>
      <c r="IN262" t="e">
        <f>IF(#REF!,"AAAAAHHvf/c=",0)</f>
        <v>#REF!</v>
      </c>
      <c r="IO262" t="e">
        <f>IF(#REF!,"AAAAAHHvf/g=",0)</f>
        <v>#REF!</v>
      </c>
      <c r="IP262" t="e">
        <f>IF(#REF!,"AAAAAHHvf/k=",0)</f>
        <v>#REF!</v>
      </c>
      <c r="IQ262" t="e">
        <f>IF(#REF!,"AAAAAHHvf/o=",0)</f>
        <v>#REF!</v>
      </c>
      <c r="IR262" t="e">
        <f>IF(#REF!,"AAAAAHHvf/s=",0)</f>
        <v>#REF!</v>
      </c>
      <c r="IS262" t="e">
        <f>IF(#REF!,"AAAAAHHvf/w=",0)</f>
        <v>#REF!</v>
      </c>
      <c r="IT262" t="e">
        <f>IF(#REF!,"AAAAAHHvf/0=",0)</f>
        <v>#REF!</v>
      </c>
      <c r="IU262" t="e">
        <f>IF(#REF!,"AAAAAHHvf/4=",0)</f>
        <v>#REF!</v>
      </c>
      <c r="IV262" t="e">
        <f>IF(#REF!,"AAAAAHHvf/8=",0)</f>
        <v>#REF!</v>
      </c>
    </row>
    <row r="263" spans="1:256">
      <c r="A263" t="e">
        <f>IF(#REF!,"AAAAAH9/fwA=",0)</f>
        <v>#REF!</v>
      </c>
      <c r="B263" t="e">
        <f>IF(#REF!,"AAAAAH9/fwE=",0)</f>
        <v>#REF!</v>
      </c>
      <c r="C263" t="e">
        <f>IF(#REF!,"AAAAAH9/fwI=",0)</f>
        <v>#REF!</v>
      </c>
      <c r="D263" t="e">
        <f>IF(#REF!,"AAAAAH9/fwM=",0)</f>
        <v>#REF!</v>
      </c>
      <c r="E263" t="e">
        <f>IF(#REF!,"AAAAAH9/fwQ=",0)</f>
        <v>#REF!</v>
      </c>
      <c r="F263" t="e">
        <f>IF(#REF!,"AAAAAH9/fwU=",0)</f>
        <v>#REF!</v>
      </c>
      <c r="G263" t="e">
        <f>IF(#REF!,"AAAAAH9/fwY=",0)</f>
        <v>#REF!</v>
      </c>
      <c r="H263" t="e">
        <f>IF(#REF!,"AAAAAH9/fwc=",0)</f>
        <v>#REF!</v>
      </c>
      <c r="I263" t="e">
        <f>IF(#REF!,"AAAAAH9/fwg=",0)</f>
        <v>#REF!</v>
      </c>
      <c r="J263" t="e">
        <f>IF(#REF!,"AAAAAH9/fwk=",0)</f>
        <v>#REF!</v>
      </c>
      <c r="K263" t="e">
        <f>IF(#REF!,"AAAAAH9/fwo=",0)</f>
        <v>#REF!</v>
      </c>
      <c r="L263" t="e">
        <f>IF(#REF!,"AAAAAH9/fws=",0)</f>
        <v>#REF!</v>
      </c>
      <c r="M263" t="e">
        <f>IF(#REF!,"AAAAAH9/fww=",0)</f>
        <v>#REF!</v>
      </c>
      <c r="N263" t="e">
        <f>IF(#REF!,"AAAAAH9/fw0=",0)</f>
        <v>#REF!</v>
      </c>
      <c r="O263" t="e">
        <f>IF(#REF!,"AAAAAH9/fw4=",0)</f>
        <v>#REF!</v>
      </c>
      <c r="P263" t="e">
        <f>IF(#REF!,"AAAAAH9/fw8=",0)</f>
        <v>#REF!</v>
      </c>
      <c r="Q263" t="e">
        <f>IF(#REF!,"AAAAAH9/fxA=",0)</f>
        <v>#REF!</v>
      </c>
      <c r="R263" t="e">
        <f>IF(#REF!,"AAAAAH9/fxE=",0)</f>
        <v>#REF!</v>
      </c>
      <c r="S263" t="e">
        <f>IF(#REF!,"AAAAAH9/fxI=",0)</f>
        <v>#REF!</v>
      </c>
      <c r="T263" t="e">
        <f>IF(#REF!,"AAAAAH9/fxM=",0)</f>
        <v>#REF!</v>
      </c>
      <c r="U263" t="e">
        <f>IF(#REF!,"AAAAAH9/fxQ=",0)</f>
        <v>#REF!</v>
      </c>
      <c r="V263" t="e">
        <f>IF(#REF!,"AAAAAH9/fxU=",0)</f>
        <v>#REF!</v>
      </c>
      <c r="W263" t="e">
        <f>IF(#REF!,"AAAAAH9/fxY=",0)</f>
        <v>#REF!</v>
      </c>
      <c r="X263" t="e">
        <f>IF(#REF!,"AAAAAH9/fxc=",0)</f>
        <v>#REF!</v>
      </c>
      <c r="Y263" t="e">
        <f>IF(#REF!,"AAAAAH9/fxg=",0)</f>
        <v>#REF!</v>
      </c>
      <c r="Z263" t="e">
        <f>IF(#REF!,"AAAAAH9/fxk=",0)</f>
        <v>#REF!</v>
      </c>
      <c r="AA263" t="e">
        <f>IF(#REF!,"AAAAAH9/fxo=",0)</f>
        <v>#REF!</v>
      </c>
      <c r="AB263" t="e">
        <f>IF(#REF!,"AAAAAH9/fxs=",0)</f>
        <v>#REF!</v>
      </c>
      <c r="AC263" t="e">
        <f>IF(#REF!,"AAAAAH9/fxw=",0)</f>
        <v>#REF!</v>
      </c>
      <c r="AD263" t="e">
        <f>IF(#REF!,"AAAAAH9/fx0=",0)</f>
        <v>#REF!</v>
      </c>
      <c r="AE263" t="e">
        <f>IF(#REF!,"AAAAAH9/fx4=",0)</f>
        <v>#REF!</v>
      </c>
      <c r="AF263" t="e">
        <f>IF(#REF!,"AAAAAH9/fx8=",0)</f>
        <v>#REF!</v>
      </c>
      <c r="AG263" t="e">
        <f>IF(#REF!,"AAAAAH9/fyA=",0)</f>
        <v>#REF!</v>
      </c>
      <c r="AH263" t="e">
        <f>IF(#REF!,"AAAAAH9/fyE=",0)</f>
        <v>#REF!</v>
      </c>
      <c r="AI263" t="e">
        <f>IF(#REF!,"AAAAAH9/fyI=",0)</f>
        <v>#REF!</v>
      </c>
      <c r="AJ263" t="e">
        <f>IF(#REF!,"AAAAAH9/fyM=",0)</f>
        <v>#REF!</v>
      </c>
      <c r="AK263" t="e">
        <f>IF(#REF!,"AAAAAH9/fyQ=",0)</f>
        <v>#REF!</v>
      </c>
      <c r="AL263" t="e">
        <f>IF(#REF!,"AAAAAH9/fyU=",0)</f>
        <v>#REF!</v>
      </c>
      <c r="AM263" t="e">
        <f>IF(#REF!,"AAAAAH9/fyY=",0)</f>
        <v>#REF!</v>
      </c>
      <c r="AN263" t="e">
        <f>IF(#REF!,"AAAAAH9/fyc=",0)</f>
        <v>#REF!</v>
      </c>
      <c r="AO263" t="e">
        <f>IF(#REF!,"AAAAAH9/fyg=",0)</f>
        <v>#REF!</v>
      </c>
      <c r="AP263" t="e">
        <f>IF(#REF!,"AAAAAH9/fyk=",0)</f>
        <v>#REF!</v>
      </c>
      <c r="AQ263" t="e">
        <f>IF(#REF!,"AAAAAH9/fyo=",0)</f>
        <v>#REF!</v>
      </c>
      <c r="AR263" t="e">
        <f>IF(#REF!,"AAAAAH9/fys=",0)</f>
        <v>#REF!</v>
      </c>
      <c r="AS263" t="e">
        <f>IF(#REF!,"AAAAAH9/fyw=",0)</f>
        <v>#REF!</v>
      </c>
      <c r="AT263" t="e">
        <f>IF(#REF!,"AAAAAH9/fy0=",0)</f>
        <v>#REF!</v>
      </c>
      <c r="AU263" t="e">
        <f>IF(#REF!,"AAAAAH9/fy4=",0)</f>
        <v>#REF!</v>
      </c>
      <c r="AV263" t="e">
        <f>IF(#REF!,"AAAAAH9/fy8=",0)</f>
        <v>#REF!</v>
      </c>
      <c r="AW263" t="e">
        <f>IF(#REF!,"AAAAAH9/fzA=",0)</f>
        <v>#REF!</v>
      </c>
      <c r="AX263" t="e">
        <f>IF(#REF!,"AAAAAH9/fzE=",0)</f>
        <v>#REF!</v>
      </c>
      <c r="AY263" t="e">
        <f>IF(#REF!,"AAAAAH9/fzI=",0)</f>
        <v>#REF!</v>
      </c>
      <c r="AZ263" t="e">
        <f>IF(#REF!,"AAAAAH9/fzM=",0)</f>
        <v>#REF!</v>
      </c>
      <c r="BA263" t="e">
        <f>IF(#REF!,"AAAAAH9/fzQ=",0)</f>
        <v>#REF!</v>
      </c>
      <c r="BB263" t="e">
        <f>IF(#REF!,"AAAAAH9/fzU=",0)</f>
        <v>#REF!</v>
      </c>
      <c r="BC263" t="e">
        <f>IF(#REF!,"AAAAAH9/fzY=",0)</f>
        <v>#REF!</v>
      </c>
      <c r="BD263" t="e">
        <f>IF(#REF!,"AAAAAH9/fzc=",0)</f>
        <v>#REF!</v>
      </c>
      <c r="BE263" t="e">
        <f>IF(#REF!,"AAAAAH9/fzg=",0)</f>
        <v>#REF!</v>
      </c>
      <c r="BF263" t="e">
        <f>IF(#REF!,"AAAAAH9/fzk=",0)</f>
        <v>#REF!</v>
      </c>
      <c r="BG263" t="e">
        <f>IF(#REF!,"AAAAAH9/fzo=",0)</f>
        <v>#REF!</v>
      </c>
      <c r="BH263" t="e">
        <f>IF(#REF!,"AAAAAH9/fzs=",0)</f>
        <v>#REF!</v>
      </c>
      <c r="BI263" t="e">
        <f>IF(#REF!,"AAAAAH9/fzw=",0)</f>
        <v>#REF!</v>
      </c>
      <c r="BJ263" t="e">
        <f>IF(#REF!,"AAAAAH9/fz0=",0)</f>
        <v>#REF!</v>
      </c>
      <c r="BK263" t="e">
        <f>IF(#REF!,"AAAAAH9/fz4=",0)</f>
        <v>#REF!</v>
      </c>
      <c r="BL263" t="e">
        <f>IF(#REF!,"AAAAAH9/fz8=",0)</f>
        <v>#REF!</v>
      </c>
      <c r="BM263" t="e">
        <f>IF(#REF!,"AAAAAH9/f0A=",0)</f>
        <v>#REF!</v>
      </c>
      <c r="BN263" t="e">
        <f>IF(#REF!,"AAAAAH9/f0E=",0)</f>
        <v>#REF!</v>
      </c>
      <c r="BO263" t="e">
        <f>IF(#REF!,"AAAAAH9/f0I=",0)</f>
        <v>#REF!</v>
      </c>
      <c r="BP263" t="e">
        <f>IF(#REF!,"AAAAAH9/f0M=",0)</f>
        <v>#REF!</v>
      </c>
      <c r="BQ263" t="e">
        <f>IF(#REF!,"AAAAAH9/f0Q=",0)</f>
        <v>#REF!</v>
      </c>
      <c r="BR263" t="e">
        <f>IF(#REF!,"AAAAAH9/f0U=",0)</f>
        <v>#REF!</v>
      </c>
      <c r="BS263" t="e">
        <f>IF(#REF!,"AAAAAH9/f0Y=",0)</f>
        <v>#REF!</v>
      </c>
      <c r="BT263" t="e">
        <f>IF(#REF!,"AAAAAH9/f0c=",0)</f>
        <v>#REF!</v>
      </c>
      <c r="BU263" t="e">
        <f>IF(#REF!,"AAAAAH9/f0g=",0)</f>
        <v>#REF!</v>
      </c>
      <c r="BV263" t="e">
        <f>IF(#REF!,"AAAAAH9/f0k=",0)</f>
        <v>#REF!</v>
      </c>
      <c r="BW263" t="e">
        <f>IF(#REF!,"AAAAAH9/f0o=",0)</f>
        <v>#REF!</v>
      </c>
      <c r="BX263" t="e">
        <f>IF(#REF!,"AAAAAH9/f0s=",0)</f>
        <v>#REF!</v>
      </c>
      <c r="BY263" t="e">
        <f>IF(#REF!,"AAAAAH9/f0w=",0)</f>
        <v>#REF!</v>
      </c>
      <c r="BZ263" t="e">
        <f>IF(#REF!,"AAAAAH9/f00=",0)</f>
        <v>#REF!</v>
      </c>
      <c r="CA263" t="e">
        <f>IF(#REF!,"AAAAAH9/f04=",0)</f>
        <v>#REF!</v>
      </c>
      <c r="CB263" t="e">
        <f>IF(#REF!,"AAAAAH9/f08=",0)</f>
        <v>#REF!</v>
      </c>
      <c r="CC263" t="e">
        <f>IF(#REF!,"AAAAAH9/f1A=",0)</f>
        <v>#REF!</v>
      </c>
      <c r="CD263" t="e">
        <f>IF(#REF!,"AAAAAH9/f1E=",0)</f>
        <v>#REF!</v>
      </c>
      <c r="CE263" t="e">
        <f>IF(#REF!,"AAAAAH9/f1I=",0)</f>
        <v>#REF!</v>
      </c>
      <c r="CF263" t="e">
        <f>IF(#REF!,"AAAAAH9/f1M=",0)</f>
        <v>#REF!</v>
      </c>
      <c r="CG263" t="e">
        <f>IF(#REF!,"AAAAAH9/f1Q=",0)</f>
        <v>#REF!</v>
      </c>
      <c r="CH263" t="e">
        <f>IF(#REF!,"AAAAAH9/f1U=",0)</f>
        <v>#REF!</v>
      </c>
      <c r="CI263" t="e">
        <f>IF(#REF!,"AAAAAH9/f1Y=",0)</f>
        <v>#REF!</v>
      </c>
      <c r="CJ263" t="e">
        <f>IF(#REF!,"AAAAAH9/f1c=",0)</f>
        <v>#REF!</v>
      </c>
      <c r="CK263" t="e">
        <f>IF(#REF!,"AAAAAH9/f1g=",0)</f>
        <v>#REF!</v>
      </c>
      <c r="CL263" t="e">
        <f>IF(#REF!,"AAAAAH9/f1k=",0)</f>
        <v>#REF!</v>
      </c>
      <c r="CM263" t="e">
        <f>IF(#REF!,"AAAAAH9/f1o=",0)</f>
        <v>#REF!</v>
      </c>
      <c r="CN263" t="e">
        <f>IF(#REF!,"AAAAAH9/f1s=",0)</f>
        <v>#REF!</v>
      </c>
      <c r="CO263" t="e">
        <f>IF(#REF!,"AAAAAH9/f1w=",0)</f>
        <v>#REF!</v>
      </c>
      <c r="CP263" t="e">
        <f>IF(#REF!,"AAAAAH9/f10=",0)</f>
        <v>#REF!</v>
      </c>
      <c r="CQ263" t="e">
        <f>IF(#REF!,"AAAAAH9/f14=",0)</f>
        <v>#REF!</v>
      </c>
      <c r="CR263" t="e">
        <f>IF(#REF!,"AAAAAH9/f18=",0)</f>
        <v>#REF!</v>
      </c>
      <c r="CS263" t="e">
        <f>IF(#REF!,"AAAAAH9/f2A=",0)</f>
        <v>#REF!</v>
      </c>
      <c r="CT263" t="e">
        <f>IF(#REF!,"AAAAAH9/f2E=",0)</f>
        <v>#REF!</v>
      </c>
      <c r="CU263" t="e">
        <f>IF(#REF!,"AAAAAH9/f2I=",0)</f>
        <v>#REF!</v>
      </c>
      <c r="CV263" t="e">
        <f>IF(#REF!,"AAAAAH9/f2M=",0)</f>
        <v>#REF!</v>
      </c>
      <c r="CW263" t="e">
        <f>IF(#REF!,"AAAAAH9/f2Q=",0)</f>
        <v>#REF!</v>
      </c>
      <c r="CX263" t="e">
        <f>IF(#REF!,"AAAAAH9/f2U=",0)</f>
        <v>#REF!</v>
      </c>
      <c r="CY263" t="e">
        <f>IF(#REF!,"AAAAAH9/f2Y=",0)</f>
        <v>#REF!</v>
      </c>
      <c r="CZ263" t="e">
        <f>IF(#REF!,"AAAAAH9/f2c=",0)</f>
        <v>#REF!</v>
      </c>
      <c r="DA263" t="e">
        <f>IF(#REF!,"AAAAAH9/f2g=",0)</f>
        <v>#REF!</v>
      </c>
      <c r="DB263" t="e">
        <f>IF(#REF!,"AAAAAH9/f2k=",0)</f>
        <v>#REF!</v>
      </c>
      <c r="DC263" t="e">
        <f>IF(#REF!,"AAAAAH9/f2o=",0)</f>
        <v>#REF!</v>
      </c>
      <c r="DD263" t="e">
        <f>IF(#REF!,"AAAAAH9/f2s=",0)</f>
        <v>#REF!</v>
      </c>
      <c r="DE263" t="e">
        <f>IF(#REF!,"AAAAAH9/f2w=",0)</f>
        <v>#REF!</v>
      </c>
      <c r="DF263" t="e">
        <f>IF(#REF!,"AAAAAH9/f20=",0)</f>
        <v>#REF!</v>
      </c>
      <c r="DG263" t="e">
        <f>IF(#REF!,"AAAAAH9/f24=",0)</f>
        <v>#REF!</v>
      </c>
      <c r="DH263" t="e">
        <f>IF(#REF!,"AAAAAH9/f28=",0)</f>
        <v>#REF!</v>
      </c>
      <c r="DI263" t="e">
        <f>IF(#REF!,"AAAAAH9/f3A=",0)</f>
        <v>#REF!</v>
      </c>
      <c r="DJ263" t="e">
        <f>IF(#REF!,"AAAAAH9/f3E=",0)</f>
        <v>#REF!</v>
      </c>
      <c r="DK263" t="e">
        <f>IF(#REF!,"AAAAAH9/f3I=",0)</f>
        <v>#REF!</v>
      </c>
      <c r="DL263" t="e">
        <f>IF(#REF!,"AAAAAH9/f3M=",0)</f>
        <v>#REF!</v>
      </c>
      <c r="DM263" t="e">
        <f>IF(#REF!,"AAAAAH9/f3Q=",0)</f>
        <v>#REF!</v>
      </c>
      <c r="DN263" t="e">
        <f>IF(#REF!,"AAAAAH9/f3U=",0)</f>
        <v>#REF!</v>
      </c>
      <c r="DO263" t="e">
        <f>IF(#REF!,"AAAAAH9/f3Y=",0)</f>
        <v>#REF!</v>
      </c>
      <c r="DP263" t="e">
        <f>IF(#REF!,"AAAAAH9/f3c=",0)</f>
        <v>#REF!</v>
      </c>
      <c r="DQ263" t="e">
        <f>IF(#REF!,"AAAAAH9/f3g=",0)</f>
        <v>#REF!</v>
      </c>
      <c r="DR263" t="e">
        <f>IF(#REF!,"AAAAAH9/f3k=",0)</f>
        <v>#REF!</v>
      </c>
      <c r="DS263" t="e">
        <f>IF(#REF!,"AAAAAH9/f3o=",0)</f>
        <v>#REF!</v>
      </c>
      <c r="DT263" t="e">
        <f>IF(#REF!,"AAAAAH9/f3s=",0)</f>
        <v>#REF!</v>
      </c>
      <c r="DU263" t="e">
        <f>IF(#REF!,"AAAAAH9/f3w=",0)</f>
        <v>#REF!</v>
      </c>
      <c r="DV263" t="e">
        <f>IF(#REF!,"AAAAAH9/f30=",0)</f>
        <v>#REF!</v>
      </c>
      <c r="DW263" t="e">
        <f>IF(#REF!,"AAAAAH9/f34=",0)</f>
        <v>#REF!</v>
      </c>
      <c r="DX263" t="e">
        <f>IF(#REF!,"AAAAAH9/f38=",0)</f>
        <v>#REF!</v>
      </c>
      <c r="DY263" t="e">
        <f>IF(#REF!,"AAAAAH9/f4A=",0)</f>
        <v>#REF!</v>
      </c>
      <c r="DZ263" t="e">
        <f>IF(#REF!,"AAAAAH9/f4E=",0)</f>
        <v>#REF!</v>
      </c>
      <c r="EA263" t="e">
        <f>IF(#REF!,"AAAAAH9/f4I=",0)</f>
        <v>#REF!</v>
      </c>
      <c r="EB263" t="e">
        <f>IF(#REF!,"AAAAAH9/f4M=",0)</f>
        <v>#REF!</v>
      </c>
      <c r="EC263" t="e">
        <f>IF(#REF!,"AAAAAH9/f4Q=",0)</f>
        <v>#REF!</v>
      </c>
      <c r="ED263" t="e">
        <f>IF(#REF!,"AAAAAH9/f4U=",0)</f>
        <v>#REF!</v>
      </c>
      <c r="EE263" t="e">
        <f>IF(#REF!,"AAAAAH9/f4Y=",0)</f>
        <v>#REF!</v>
      </c>
      <c r="EF263" t="e">
        <f>IF(#REF!,"AAAAAH9/f4c=",0)</f>
        <v>#REF!</v>
      </c>
      <c r="EG263" t="e">
        <f>IF(#REF!,"AAAAAH9/f4g=",0)</f>
        <v>#REF!</v>
      </c>
      <c r="EH263" t="e">
        <f>IF(#REF!,"AAAAAH9/f4k=",0)</f>
        <v>#REF!</v>
      </c>
      <c r="EI263" t="e">
        <f>IF(#REF!,"AAAAAH9/f4o=",0)</f>
        <v>#REF!</v>
      </c>
      <c r="EJ263" t="e">
        <f>IF(#REF!,"AAAAAH9/f4s=",0)</f>
        <v>#REF!</v>
      </c>
      <c r="EK263" t="e">
        <f>IF(#REF!,"AAAAAH9/f4w=",0)</f>
        <v>#REF!</v>
      </c>
      <c r="EL263" t="e">
        <f>IF(#REF!,"AAAAAH9/f40=",0)</f>
        <v>#REF!</v>
      </c>
      <c r="EM263" t="e">
        <f>IF(#REF!,"AAAAAH9/f44=",0)</f>
        <v>#REF!</v>
      </c>
      <c r="EN263" t="e">
        <f>IF(#REF!,"AAAAAH9/f48=",0)</f>
        <v>#REF!</v>
      </c>
      <c r="EO263" t="e">
        <f>IF(#REF!,"AAAAAH9/f5A=",0)</f>
        <v>#REF!</v>
      </c>
      <c r="EP263" t="e">
        <f>IF(#REF!,"AAAAAH9/f5E=",0)</f>
        <v>#REF!</v>
      </c>
      <c r="EQ263" t="e">
        <f>IF(#REF!,"AAAAAH9/f5I=",0)</f>
        <v>#REF!</v>
      </c>
      <c r="ER263" t="e">
        <f>IF(#REF!,"AAAAAH9/f5M=",0)</f>
        <v>#REF!</v>
      </c>
      <c r="ES263" t="e">
        <f>IF(#REF!,"AAAAAH9/f5Q=",0)</f>
        <v>#REF!</v>
      </c>
      <c r="ET263" t="e">
        <f>IF(#REF!,"AAAAAH9/f5U=",0)</f>
        <v>#REF!</v>
      </c>
      <c r="EU263" t="e">
        <f>IF(#REF!,"AAAAAH9/f5Y=",0)</f>
        <v>#REF!</v>
      </c>
      <c r="EV263" t="e">
        <f>IF(#REF!,"AAAAAH9/f5c=",0)</f>
        <v>#REF!</v>
      </c>
      <c r="EW263" t="e">
        <f>IF(#REF!,"AAAAAH9/f5g=",0)</f>
        <v>#REF!</v>
      </c>
      <c r="EX263" t="e">
        <f>IF(#REF!,"AAAAAH9/f5k=",0)</f>
        <v>#REF!</v>
      </c>
      <c r="EY263" t="e">
        <f>IF(#REF!,"AAAAAH9/f5o=",0)</f>
        <v>#REF!</v>
      </c>
      <c r="EZ263" t="e">
        <f>IF(#REF!,"AAAAAH9/f5s=",0)</f>
        <v>#REF!</v>
      </c>
      <c r="FA263" t="e">
        <f>IF(#REF!,"AAAAAH9/f5w=",0)</f>
        <v>#REF!</v>
      </c>
      <c r="FB263" t="e">
        <f>IF(#REF!,"AAAAAH9/f50=",0)</f>
        <v>#REF!</v>
      </c>
      <c r="FC263" t="e">
        <f>IF(#REF!,"AAAAAH9/f54=",0)</f>
        <v>#REF!</v>
      </c>
      <c r="FD263" t="e">
        <f>IF(#REF!,"AAAAAH9/f58=",0)</f>
        <v>#REF!</v>
      </c>
      <c r="FE263" t="e">
        <f>IF(#REF!,"AAAAAH9/f6A=",0)</f>
        <v>#REF!</v>
      </c>
      <c r="FF263" t="e">
        <f>IF(#REF!,"AAAAAH9/f6E=",0)</f>
        <v>#REF!</v>
      </c>
      <c r="FG263" t="e">
        <f>IF(#REF!,"AAAAAH9/f6I=",0)</f>
        <v>#REF!</v>
      </c>
      <c r="FH263" t="e">
        <f>IF(#REF!,"AAAAAH9/f6M=",0)</f>
        <v>#REF!</v>
      </c>
      <c r="FI263" t="e">
        <f>IF(#REF!,"AAAAAH9/f6Q=",0)</f>
        <v>#REF!</v>
      </c>
      <c r="FJ263" t="e">
        <f>IF(#REF!,"AAAAAH9/f6U=",0)</f>
        <v>#REF!</v>
      </c>
      <c r="FK263" t="e">
        <f>IF(#REF!,"AAAAAH9/f6Y=",0)</f>
        <v>#REF!</v>
      </c>
      <c r="FL263" t="e">
        <f>IF(#REF!,"AAAAAH9/f6c=",0)</f>
        <v>#REF!</v>
      </c>
      <c r="FM263" t="e">
        <f>IF(#REF!,"AAAAAH9/f6g=",0)</f>
        <v>#REF!</v>
      </c>
      <c r="FN263" t="e">
        <f>IF(#REF!,"AAAAAH9/f6k=",0)</f>
        <v>#REF!</v>
      </c>
      <c r="FO263" t="e">
        <f>IF(#REF!,"AAAAAH9/f6o=",0)</f>
        <v>#REF!</v>
      </c>
      <c r="FP263" t="e">
        <f>IF(#REF!,"AAAAAH9/f6s=",0)</f>
        <v>#REF!</v>
      </c>
      <c r="FQ263" t="e">
        <f>IF(#REF!,"AAAAAH9/f6w=",0)</f>
        <v>#REF!</v>
      </c>
      <c r="FR263" t="e">
        <f>IF(#REF!,"AAAAAH9/f60=",0)</f>
        <v>#REF!</v>
      </c>
      <c r="FS263" t="e">
        <f>IF(#REF!,"AAAAAH9/f64=",0)</f>
        <v>#REF!</v>
      </c>
      <c r="FT263" t="e">
        <f>IF(#REF!,"AAAAAH9/f68=",0)</f>
        <v>#REF!</v>
      </c>
      <c r="FU263" t="e">
        <f>IF(#REF!,"AAAAAH9/f7A=",0)</f>
        <v>#REF!</v>
      </c>
      <c r="FV263" t="e">
        <f>IF(#REF!,"AAAAAH9/f7E=",0)</f>
        <v>#REF!</v>
      </c>
      <c r="FW263" t="e">
        <f>IF(#REF!,"AAAAAH9/f7I=",0)</f>
        <v>#REF!</v>
      </c>
      <c r="FX263" t="e">
        <f>IF(#REF!,"AAAAAH9/f7M=",0)</f>
        <v>#REF!</v>
      </c>
      <c r="FY263" t="e">
        <f>IF(#REF!,"AAAAAH9/f7Q=",0)</f>
        <v>#REF!</v>
      </c>
      <c r="FZ263" t="e">
        <f>IF(#REF!,"AAAAAH9/f7U=",0)</f>
        <v>#REF!</v>
      </c>
      <c r="GA263" t="e">
        <f>IF(#REF!,"AAAAAH9/f7Y=",0)</f>
        <v>#REF!</v>
      </c>
      <c r="GB263" t="e">
        <f>IF(#REF!,"AAAAAH9/f7c=",0)</f>
        <v>#REF!</v>
      </c>
      <c r="GC263" t="e">
        <f>IF(#REF!,"AAAAAH9/f7g=",0)</f>
        <v>#REF!</v>
      </c>
      <c r="GD263" t="e">
        <f>IF(#REF!,"AAAAAH9/f7k=",0)</f>
        <v>#REF!</v>
      </c>
      <c r="GE263" t="e">
        <f>IF(#REF!,"AAAAAH9/f7o=",0)</f>
        <v>#REF!</v>
      </c>
      <c r="GF263" t="e">
        <f>IF(#REF!,"AAAAAH9/f7s=",0)</f>
        <v>#REF!</v>
      </c>
      <c r="GG263" t="e">
        <f>IF(#REF!,"AAAAAH9/f7w=",0)</f>
        <v>#REF!</v>
      </c>
      <c r="GH263" t="e">
        <f>IF(#REF!,"AAAAAH9/f70=",0)</f>
        <v>#REF!</v>
      </c>
      <c r="GI263" t="e">
        <f>IF(#REF!,"AAAAAH9/f74=",0)</f>
        <v>#REF!</v>
      </c>
      <c r="GJ263" t="e">
        <f>IF(#REF!,"AAAAAH9/f78=",0)</f>
        <v>#REF!</v>
      </c>
      <c r="GK263" t="e">
        <f>IF(#REF!,"AAAAAH9/f8A=",0)</f>
        <v>#REF!</v>
      </c>
      <c r="GL263" t="e">
        <f>IF(#REF!,"AAAAAH9/f8E=",0)</f>
        <v>#REF!</v>
      </c>
      <c r="GM263" t="e">
        <f>IF(#REF!,"AAAAAH9/f8I=",0)</f>
        <v>#REF!</v>
      </c>
      <c r="GN263" t="e">
        <f>IF(#REF!,"AAAAAH9/f8M=",0)</f>
        <v>#REF!</v>
      </c>
      <c r="GO263" t="e">
        <f>IF(#REF!,"AAAAAH9/f8Q=",0)</f>
        <v>#REF!</v>
      </c>
      <c r="GP263" t="e">
        <f>IF(#REF!,"AAAAAH9/f8U=",0)</f>
        <v>#REF!</v>
      </c>
      <c r="GQ263" t="e">
        <f>IF(#REF!,"AAAAAH9/f8Y=",0)</f>
        <v>#REF!</v>
      </c>
      <c r="GR263" t="e">
        <f>IF(#REF!,"AAAAAH9/f8c=",0)</f>
        <v>#REF!</v>
      </c>
      <c r="GS263" t="e">
        <f>IF(#REF!,"AAAAAH9/f8g=",0)</f>
        <v>#REF!</v>
      </c>
      <c r="GT263" t="e">
        <f>IF(#REF!,"AAAAAH9/f8k=",0)</f>
        <v>#REF!</v>
      </c>
      <c r="GU263" t="e">
        <f>IF(#REF!,"AAAAAH9/f8o=",0)</f>
        <v>#REF!</v>
      </c>
      <c r="GV263" t="e">
        <f>IF(#REF!,"AAAAAH9/f8s=",0)</f>
        <v>#REF!</v>
      </c>
      <c r="GW263" t="e">
        <f>IF(#REF!,"AAAAAH9/f8w=",0)</f>
        <v>#REF!</v>
      </c>
      <c r="GX263" t="e">
        <f>IF(#REF!,"AAAAAH9/f80=",0)</f>
        <v>#REF!</v>
      </c>
      <c r="GY263" t="e">
        <f>IF(#REF!,"AAAAAH9/f84=",0)</f>
        <v>#REF!</v>
      </c>
      <c r="GZ263" t="e">
        <f>IF(#REF!,"AAAAAH9/f88=",0)</f>
        <v>#REF!</v>
      </c>
      <c r="HA263" t="e">
        <f>IF(#REF!,"AAAAAH9/f9A=",0)</f>
        <v>#REF!</v>
      </c>
      <c r="HB263" t="e">
        <f>IF(#REF!,"AAAAAH9/f9E=",0)</f>
        <v>#REF!</v>
      </c>
      <c r="HC263" t="e">
        <f>IF(#REF!,"AAAAAH9/f9I=",0)</f>
        <v>#REF!</v>
      </c>
      <c r="HD263" t="e">
        <f>IF(#REF!,"AAAAAH9/f9M=",0)</f>
        <v>#REF!</v>
      </c>
      <c r="HE263" t="e">
        <f>IF(#REF!,"AAAAAH9/f9Q=",0)</f>
        <v>#REF!</v>
      </c>
      <c r="HF263" t="e">
        <f>IF(#REF!,"AAAAAH9/f9U=",0)</f>
        <v>#REF!</v>
      </c>
      <c r="HG263" t="e">
        <f>IF(#REF!,"AAAAAH9/f9Y=",0)</f>
        <v>#REF!</v>
      </c>
      <c r="HH263" t="e">
        <f>IF(#REF!,"AAAAAH9/f9c=",0)</f>
        <v>#REF!</v>
      </c>
      <c r="HI263" t="e">
        <f>IF(#REF!,"AAAAAH9/f9g=",0)</f>
        <v>#REF!</v>
      </c>
      <c r="HJ263" t="e">
        <f>IF(#REF!,"AAAAAH9/f9k=",0)</f>
        <v>#REF!</v>
      </c>
      <c r="HK263" t="e">
        <f>IF(#REF!,"AAAAAH9/f9o=",0)</f>
        <v>#REF!</v>
      </c>
      <c r="HL263" t="e">
        <f>IF(#REF!,"AAAAAH9/f9s=",0)</f>
        <v>#REF!</v>
      </c>
      <c r="HM263" t="e">
        <f>IF(#REF!,"AAAAAH9/f9w=",0)</f>
        <v>#REF!</v>
      </c>
      <c r="HN263" t="e">
        <f>IF(#REF!,"AAAAAH9/f90=",0)</f>
        <v>#REF!</v>
      </c>
      <c r="HO263" t="e">
        <f>IF(#REF!,"AAAAAH9/f94=",0)</f>
        <v>#REF!</v>
      </c>
      <c r="HP263" t="e">
        <f>IF(#REF!,"AAAAAH9/f98=",0)</f>
        <v>#REF!</v>
      </c>
      <c r="HQ263" t="e">
        <f>IF(#REF!,"AAAAAH9/f+A=",0)</f>
        <v>#REF!</v>
      </c>
      <c r="HR263" t="e">
        <f>IF(#REF!,"AAAAAH9/f+E=",0)</f>
        <v>#REF!</v>
      </c>
      <c r="HS263" t="e">
        <f>IF(#REF!,"AAAAAH9/f+I=",0)</f>
        <v>#REF!</v>
      </c>
      <c r="HT263" t="e">
        <f>IF(#REF!,"AAAAAH9/f+M=",0)</f>
        <v>#REF!</v>
      </c>
      <c r="HU263" t="e">
        <f>IF(#REF!,"AAAAAH9/f+Q=",0)</f>
        <v>#REF!</v>
      </c>
      <c r="HV263" t="e">
        <f>IF(#REF!,"AAAAAH9/f+U=",0)</f>
        <v>#REF!</v>
      </c>
      <c r="HW263" t="e">
        <f>IF(#REF!,"AAAAAH9/f+Y=",0)</f>
        <v>#REF!</v>
      </c>
      <c r="HX263" t="e">
        <f>IF(#REF!,"AAAAAH9/f+c=",0)</f>
        <v>#REF!</v>
      </c>
      <c r="HY263" t="e">
        <f>IF(#REF!,"AAAAAH9/f+g=",0)</f>
        <v>#REF!</v>
      </c>
      <c r="HZ263" t="e">
        <f>IF(#REF!,"AAAAAH9/f+k=",0)</f>
        <v>#REF!</v>
      </c>
      <c r="IA263" t="e">
        <f>IF(#REF!,"AAAAAH9/f+o=",0)</f>
        <v>#REF!</v>
      </c>
      <c r="IB263" t="e">
        <f>IF(#REF!,"AAAAAH9/f+s=",0)</f>
        <v>#REF!</v>
      </c>
      <c r="IC263" t="e">
        <f>IF(#REF!,"AAAAAH9/f+w=",0)</f>
        <v>#REF!</v>
      </c>
      <c r="ID263" t="e">
        <f>IF(#REF!,"AAAAAH9/f+0=",0)</f>
        <v>#REF!</v>
      </c>
      <c r="IE263" t="e">
        <f>IF(#REF!,"AAAAAH9/f+4=",0)</f>
        <v>#REF!</v>
      </c>
      <c r="IF263" t="e">
        <f>IF(#REF!,"AAAAAH9/f+8=",0)</f>
        <v>#REF!</v>
      </c>
      <c r="IG263" t="e">
        <f>IF(#REF!,"AAAAAH9/f/A=",0)</f>
        <v>#REF!</v>
      </c>
      <c r="IH263" t="e">
        <f>IF(#REF!,"AAAAAH9/f/E=",0)</f>
        <v>#REF!</v>
      </c>
      <c r="II263" t="e">
        <f>IF(#REF!,"AAAAAH9/f/I=",0)</f>
        <v>#REF!</v>
      </c>
      <c r="IJ263" t="e">
        <f>IF(#REF!,"AAAAAH9/f/M=",0)</f>
        <v>#REF!</v>
      </c>
      <c r="IK263" t="e">
        <f>IF(#REF!,"AAAAAH9/f/Q=",0)</f>
        <v>#REF!</v>
      </c>
      <c r="IL263" t="e">
        <f>IF(#REF!,"AAAAAH9/f/U=",0)</f>
        <v>#REF!</v>
      </c>
      <c r="IM263" t="e">
        <f>IF(#REF!,"AAAAAH9/f/Y=",0)</f>
        <v>#REF!</v>
      </c>
      <c r="IN263" t="e">
        <f>IF(#REF!,"AAAAAH9/f/c=",0)</f>
        <v>#REF!</v>
      </c>
      <c r="IO263" t="e">
        <f>IF(#REF!,"AAAAAH9/f/g=",0)</f>
        <v>#REF!</v>
      </c>
      <c r="IP263" t="e">
        <f>IF(#REF!,"AAAAAH9/f/k=",0)</f>
        <v>#REF!</v>
      </c>
      <c r="IQ263" t="e">
        <f>IF(#REF!,"AAAAAH9/f/o=",0)</f>
        <v>#REF!</v>
      </c>
      <c r="IR263" t="e">
        <f>IF(#REF!,"AAAAAH9/f/s=",0)</f>
        <v>#REF!</v>
      </c>
      <c r="IS263" t="e">
        <f>IF(#REF!,"AAAAAH9/f/w=",0)</f>
        <v>#REF!</v>
      </c>
      <c r="IT263" t="e">
        <f>IF(#REF!,"AAAAAH9/f/0=",0)</f>
        <v>#REF!</v>
      </c>
      <c r="IU263" t="e">
        <f>IF(#REF!,"AAAAAH9/f/4=",0)</f>
        <v>#REF!</v>
      </c>
      <c r="IV263" t="e">
        <f>IF(#REF!,"AAAAAH9/f/8=",0)</f>
        <v>#REF!</v>
      </c>
    </row>
    <row r="264" spans="1:256">
      <c r="A264" t="e">
        <f>IF(#REF!,"AAAAAAmz/gA=",0)</f>
        <v>#REF!</v>
      </c>
      <c r="B264" t="e">
        <f>IF(#REF!,"AAAAAAmz/gE=",0)</f>
        <v>#REF!</v>
      </c>
      <c r="C264" t="e">
        <f>IF(#REF!,"AAAAAAmz/gI=",0)</f>
        <v>#REF!</v>
      </c>
      <c r="D264" t="e">
        <f>IF(#REF!,"AAAAAAmz/gM=",0)</f>
        <v>#REF!</v>
      </c>
      <c r="E264" t="e">
        <f>IF(#REF!,"AAAAAAmz/gQ=",0)</f>
        <v>#REF!</v>
      </c>
      <c r="F264" t="e">
        <f>IF(#REF!,"AAAAAAmz/gU=",0)</f>
        <v>#REF!</v>
      </c>
      <c r="G264" t="e">
        <f>IF(#REF!,"AAAAAAmz/gY=",0)</f>
        <v>#REF!</v>
      </c>
      <c r="H264" t="e">
        <f>IF(#REF!,"AAAAAAmz/gc=",0)</f>
        <v>#REF!</v>
      </c>
      <c r="I264" t="e">
        <f>IF(#REF!,"AAAAAAmz/gg=",0)</f>
        <v>#REF!</v>
      </c>
      <c r="J264" t="e">
        <f>IF(#REF!,"AAAAAAmz/gk=",0)</f>
        <v>#REF!</v>
      </c>
      <c r="K264" t="e">
        <f>IF(#REF!,"AAAAAAmz/go=",0)</f>
        <v>#REF!</v>
      </c>
      <c r="L264" t="e">
        <f>IF(#REF!,"AAAAAAmz/gs=",0)</f>
        <v>#REF!</v>
      </c>
      <c r="M264" t="e">
        <f>IF(#REF!,"AAAAAAmz/gw=",0)</f>
        <v>#REF!</v>
      </c>
      <c r="N264" t="e">
        <f>IF(#REF!,"AAAAAAmz/g0=",0)</f>
        <v>#REF!</v>
      </c>
      <c r="O264" t="e">
        <f>IF(#REF!,"AAAAAAmz/g4=",0)</f>
        <v>#REF!</v>
      </c>
      <c r="P264" t="e">
        <f>IF(#REF!,"AAAAAAmz/g8=",0)</f>
        <v>#REF!</v>
      </c>
      <c r="Q264" t="e">
        <f>IF(#REF!,"AAAAAAmz/hA=",0)</f>
        <v>#REF!</v>
      </c>
      <c r="R264" t="e">
        <f>IF(#REF!,"AAAAAAmz/hE=",0)</f>
        <v>#REF!</v>
      </c>
      <c r="S264" t="e">
        <f>IF(#REF!,"AAAAAAmz/hI=",0)</f>
        <v>#REF!</v>
      </c>
      <c r="T264" t="e">
        <f>IF(#REF!,"AAAAAAmz/hM=",0)</f>
        <v>#REF!</v>
      </c>
      <c r="U264" t="e">
        <f>IF(#REF!,"AAAAAAmz/hQ=",0)</f>
        <v>#REF!</v>
      </c>
      <c r="V264" t="e">
        <f>IF(#REF!,"AAAAAAmz/hU=",0)</f>
        <v>#REF!</v>
      </c>
      <c r="W264" t="e">
        <f>IF(#REF!,"AAAAAAmz/hY=",0)</f>
        <v>#REF!</v>
      </c>
      <c r="X264" t="e">
        <f>IF(#REF!,"AAAAAAmz/hc=",0)</f>
        <v>#REF!</v>
      </c>
      <c r="Y264" t="e">
        <f>IF(#REF!,"AAAAAAmz/hg=",0)</f>
        <v>#REF!</v>
      </c>
      <c r="Z264" t="e">
        <f>IF(#REF!,"AAAAAAmz/hk=",0)</f>
        <v>#REF!</v>
      </c>
      <c r="AA264" t="e">
        <f>IF(#REF!,"AAAAAAmz/ho=",0)</f>
        <v>#REF!</v>
      </c>
      <c r="AB264" t="e">
        <f>IF(#REF!,"AAAAAAmz/hs=",0)</f>
        <v>#REF!</v>
      </c>
      <c r="AC264" t="e">
        <f>IF(#REF!,"AAAAAAmz/hw=",0)</f>
        <v>#REF!</v>
      </c>
      <c r="AD264" t="e">
        <f>IF(#REF!,"AAAAAAmz/h0=",0)</f>
        <v>#REF!</v>
      </c>
      <c r="AE264" t="e">
        <f>IF(#REF!,"AAAAAAmz/h4=",0)</f>
        <v>#REF!</v>
      </c>
      <c r="AF264" t="e">
        <f>IF(#REF!,"AAAAAAmz/h8=",0)</f>
        <v>#REF!</v>
      </c>
      <c r="AG264" t="e">
        <f>IF(#REF!,"AAAAAAmz/iA=",0)</f>
        <v>#REF!</v>
      </c>
      <c r="AH264" t="e">
        <f>IF(#REF!,"AAAAAAmz/iE=",0)</f>
        <v>#REF!</v>
      </c>
      <c r="AI264" t="e">
        <f>IF(#REF!,"AAAAAAmz/iI=",0)</f>
        <v>#REF!</v>
      </c>
      <c r="AJ264" t="e">
        <f>IF(#REF!,"AAAAAAmz/iM=",0)</f>
        <v>#REF!</v>
      </c>
      <c r="AK264" t="e">
        <f>IF(#REF!,"AAAAAAmz/iQ=",0)</f>
        <v>#REF!</v>
      </c>
      <c r="AL264" t="e">
        <f>IF(#REF!,"AAAAAAmz/iU=",0)</f>
        <v>#REF!</v>
      </c>
      <c r="AM264" t="e">
        <f>IF(#REF!,"AAAAAAmz/iY=",0)</f>
        <v>#REF!</v>
      </c>
      <c r="AN264" t="e">
        <f>IF(#REF!,"AAAAAAmz/ic=",0)</f>
        <v>#REF!</v>
      </c>
      <c r="AO264" t="e">
        <f>IF(#REF!,"AAAAAAmz/ig=",0)</f>
        <v>#REF!</v>
      </c>
      <c r="AP264" t="e">
        <f>IF(#REF!,"AAAAAAmz/ik=",0)</f>
        <v>#REF!</v>
      </c>
      <c r="AQ264" t="e">
        <f>IF(#REF!,"AAAAAAmz/io=",0)</f>
        <v>#REF!</v>
      </c>
      <c r="AR264" t="e">
        <f>IF(#REF!,"AAAAAAmz/is=",0)</f>
        <v>#REF!</v>
      </c>
      <c r="AS264" t="e">
        <f>IF(#REF!,"AAAAAAmz/iw=",0)</f>
        <v>#REF!</v>
      </c>
      <c r="AT264" t="e">
        <f>IF(#REF!,"AAAAAAmz/i0=",0)</f>
        <v>#REF!</v>
      </c>
      <c r="AU264" t="e">
        <f>IF(#REF!,"AAAAAAmz/i4=",0)</f>
        <v>#REF!</v>
      </c>
      <c r="AV264" t="e">
        <f>IF(#REF!,"AAAAAAmz/i8=",0)</f>
        <v>#REF!</v>
      </c>
      <c r="AW264" t="e">
        <f>IF(#REF!,"AAAAAAmz/jA=",0)</f>
        <v>#REF!</v>
      </c>
      <c r="AX264" t="e">
        <f>IF(#REF!,"AAAAAAmz/jE=",0)</f>
        <v>#REF!</v>
      </c>
      <c r="AY264" t="e">
        <f>IF(#REF!,"AAAAAAmz/jI=",0)</f>
        <v>#REF!</v>
      </c>
      <c r="AZ264" t="e">
        <f>IF(#REF!,"AAAAAAmz/jM=",0)</f>
        <v>#REF!</v>
      </c>
      <c r="BA264" t="e">
        <f>IF(#REF!,"AAAAAAmz/jQ=",0)</f>
        <v>#REF!</v>
      </c>
      <c r="BB264" t="e">
        <f>IF(#REF!,"AAAAAAmz/jU=",0)</f>
        <v>#REF!</v>
      </c>
      <c r="BC264" t="e">
        <f>IF(#REF!,"AAAAAAmz/jY=",0)</f>
        <v>#REF!</v>
      </c>
      <c r="BD264" t="e">
        <f>IF(#REF!,"AAAAAAmz/jc=",0)</f>
        <v>#REF!</v>
      </c>
      <c r="BE264" t="e">
        <f>IF(#REF!,"AAAAAAmz/jg=",0)</f>
        <v>#REF!</v>
      </c>
      <c r="BF264" t="e">
        <f>IF(#REF!,"AAAAAAmz/jk=",0)</f>
        <v>#REF!</v>
      </c>
      <c r="BG264" t="e">
        <f>IF(#REF!,"AAAAAAmz/jo=",0)</f>
        <v>#REF!</v>
      </c>
      <c r="BH264" t="e">
        <f>IF(#REF!,"AAAAAAmz/js=",0)</f>
        <v>#REF!</v>
      </c>
      <c r="BI264" t="e">
        <f>IF(#REF!,"AAAAAAmz/jw=",0)</f>
        <v>#REF!</v>
      </c>
      <c r="BJ264" t="e">
        <f>IF(#REF!,"AAAAAAmz/j0=",0)</f>
        <v>#REF!</v>
      </c>
      <c r="BK264" t="e">
        <f>IF(#REF!,"AAAAAAmz/j4=",0)</f>
        <v>#REF!</v>
      </c>
      <c r="BL264" t="e">
        <f>IF(#REF!,"AAAAAAmz/j8=",0)</f>
        <v>#REF!</v>
      </c>
      <c r="BM264" t="e">
        <f>IF(#REF!,"AAAAAAmz/kA=",0)</f>
        <v>#REF!</v>
      </c>
      <c r="BN264" t="e">
        <f>IF(#REF!,"AAAAAAmz/kE=",0)</f>
        <v>#REF!</v>
      </c>
      <c r="BO264" t="e">
        <f>IF(#REF!,"AAAAAAmz/kI=",0)</f>
        <v>#REF!</v>
      </c>
      <c r="BP264" t="e">
        <f>IF(#REF!,"AAAAAAmz/kM=",0)</f>
        <v>#REF!</v>
      </c>
      <c r="BQ264" t="e">
        <f>IF(#REF!,"AAAAAAmz/kQ=",0)</f>
        <v>#REF!</v>
      </c>
      <c r="BR264" t="e">
        <f>IF(#REF!,"AAAAAAmz/kU=",0)</f>
        <v>#REF!</v>
      </c>
      <c r="BS264" t="e">
        <f>IF(#REF!,"AAAAAAmz/kY=",0)</f>
        <v>#REF!</v>
      </c>
      <c r="BT264" t="e">
        <f>IF(#REF!,"AAAAAAmz/kc=",0)</f>
        <v>#REF!</v>
      </c>
      <c r="BU264" t="e">
        <f>IF(#REF!,"AAAAAAmz/kg=",0)</f>
        <v>#REF!</v>
      </c>
      <c r="BV264" t="e">
        <f>IF(#REF!,"AAAAAAmz/kk=",0)</f>
        <v>#REF!</v>
      </c>
      <c r="BW264" t="e">
        <f>IF(#REF!,"AAAAAAmz/ko=",0)</f>
        <v>#REF!</v>
      </c>
      <c r="BX264" t="e">
        <f>IF(#REF!,"AAAAAAmz/ks=",0)</f>
        <v>#REF!</v>
      </c>
      <c r="BY264" t="e">
        <f>IF(#REF!,"AAAAAAmz/kw=",0)</f>
        <v>#REF!</v>
      </c>
      <c r="BZ264" t="e">
        <f>IF(#REF!,"AAAAAAmz/k0=",0)</f>
        <v>#REF!</v>
      </c>
      <c r="CA264" t="e">
        <f>IF(#REF!,"AAAAAAmz/k4=",0)</f>
        <v>#REF!</v>
      </c>
      <c r="CB264" t="e">
        <f>IF(#REF!,"AAAAAAmz/k8=",0)</f>
        <v>#REF!</v>
      </c>
      <c r="CC264" t="e">
        <f>IF(#REF!,"AAAAAAmz/lA=",0)</f>
        <v>#REF!</v>
      </c>
      <c r="CD264" t="e">
        <f>IF(#REF!,"AAAAAAmz/lE=",0)</f>
        <v>#REF!</v>
      </c>
      <c r="CE264" t="e">
        <f>IF(#REF!,"AAAAAAmz/lI=",0)</f>
        <v>#REF!</v>
      </c>
      <c r="CF264" t="e">
        <f>IF(#REF!,"AAAAAAmz/lM=",0)</f>
        <v>#REF!</v>
      </c>
      <c r="CG264" t="e">
        <f>IF(#REF!,"AAAAAAmz/lQ=",0)</f>
        <v>#REF!</v>
      </c>
      <c r="CH264" t="e">
        <f>IF(#REF!,"AAAAAAmz/lU=",0)</f>
        <v>#REF!</v>
      </c>
      <c r="CI264" t="e">
        <f>IF(#REF!,"AAAAAAmz/lY=",0)</f>
        <v>#REF!</v>
      </c>
      <c r="CJ264" t="e">
        <f>IF(#REF!,"AAAAAAmz/lc=",0)</f>
        <v>#REF!</v>
      </c>
      <c r="CK264" t="e">
        <f>IF(#REF!,"AAAAAAmz/lg=",0)</f>
        <v>#REF!</v>
      </c>
      <c r="CL264" t="e">
        <f>IF(#REF!,"AAAAAAmz/lk=",0)</f>
        <v>#REF!</v>
      </c>
      <c r="CM264" t="e">
        <f>IF(#REF!,"AAAAAAmz/lo=",0)</f>
        <v>#REF!</v>
      </c>
      <c r="CN264" t="e">
        <f>IF(#REF!,"AAAAAAmz/ls=",0)</f>
        <v>#REF!</v>
      </c>
      <c r="CO264" t="e">
        <f>IF(#REF!,"AAAAAAmz/lw=",0)</f>
        <v>#REF!</v>
      </c>
      <c r="CP264" t="e">
        <f>IF(#REF!,"AAAAAAmz/l0=",0)</f>
        <v>#REF!</v>
      </c>
      <c r="CQ264" t="e">
        <f>IF(#REF!,"AAAAAAmz/l4=",0)</f>
        <v>#REF!</v>
      </c>
      <c r="CR264" t="e">
        <f>IF(#REF!,"AAAAAAmz/l8=",0)</f>
        <v>#REF!</v>
      </c>
      <c r="CS264" t="e">
        <f>IF(#REF!,"AAAAAAmz/mA=",0)</f>
        <v>#REF!</v>
      </c>
      <c r="CT264" t="e">
        <f>IF(#REF!,"AAAAAAmz/mE=",0)</f>
        <v>#REF!</v>
      </c>
      <c r="CU264" t="e">
        <f>IF(#REF!,"AAAAAAmz/mI=",0)</f>
        <v>#REF!</v>
      </c>
      <c r="CV264" t="e">
        <f>IF(#REF!,"AAAAAAmz/mM=",0)</f>
        <v>#REF!</v>
      </c>
      <c r="CW264" t="e">
        <f>IF(#REF!,"AAAAAAmz/mQ=",0)</f>
        <v>#REF!</v>
      </c>
      <c r="CX264" t="e">
        <f>IF(#REF!,"AAAAAAmz/mU=",0)</f>
        <v>#REF!</v>
      </c>
      <c r="CY264" t="e">
        <f>IF(#REF!,"AAAAAAmz/mY=",0)</f>
        <v>#REF!</v>
      </c>
      <c r="CZ264" t="e">
        <f>IF(#REF!,"AAAAAAmz/mc=",0)</f>
        <v>#REF!</v>
      </c>
      <c r="DA264" t="e">
        <f>IF(#REF!,"AAAAAAmz/mg=",0)</f>
        <v>#REF!</v>
      </c>
      <c r="DB264" t="e">
        <f>IF(#REF!,"AAAAAAmz/mk=",0)</f>
        <v>#REF!</v>
      </c>
      <c r="DC264" t="e">
        <f>IF(#REF!,"AAAAAAmz/mo=",0)</f>
        <v>#REF!</v>
      </c>
      <c r="DD264" t="e">
        <f>IF(#REF!,"AAAAAAmz/ms=",0)</f>
        <v>#REF!</v>
      </c>
      <c r="DE264" t="e">
        <f>IF(#REF!,"AAAAAAmz/mw=",0)</f>
        <v>#REF!</v>
      </c>
      <c r="DF264" t="e">
        <f>IF(#REF!,"AAAAAAmz/m0=",0)</f>
        <v>#REF!</v>
      </c>
      <c r="DG264" t="e">
        <f>IF(#REF!,"AAAAAAmz/m4=",0)</f>
        <v>#REF!</v>
      </c>
      <c r="DH264" t="e">
        <f>IF(#REF!,"AAAAAAmz/m8=",0)</f>
        <v>#REF!</v>
      </c>
      <c r="DI264" t="e">
        <f>IF(#REF!,"AAAAAAmz/nA=",0)</f>
        <v>#REF!</v>
      </c>
      <c r="DJ264" t="e">
        <f>IF(#REF!,"AAAAAAmz/nE=",0)</f>
        <v>#REF!</v>
      </c>
      <c r="DK264" t="e">
        <f>IF(#REF!,"AAAAAAmz/nI=",0)</f>
        <v>#REF!</v>
      </c>
      <c r="DL264" t="e">
        <f>IF(#REF!,"AAAAAAmz/nM=",0)</f>
        <v>#REF!</v>
      </c>
      <c r="DM264" t="e">
        <f>IF(#REF!,"AAAAAAmz/nQ=",0)</f>
        <v>#REF!</v>
      </c>
      <c r="DN264" t="e">
        <f>IF(#REF!,"AAAAAAmz/nU=",0)</f>
        <v>#REF!</v>
      </c>
      <c r="DO264" t="e">
        <f>IF(#REF!,"AAAAAAmz/nY=",0)</f>
        <v>#REF!</v>
      </c>
      <c r="DP264" t="e">
        <f>IF(#REF!,"AAAAAAmz/nc=",0)</f>
        <v>#REF!</v>
      </c>
      <c r="DQ264" t="e">
        <f>IF(#REF!,"AAAAAAmz/ng=",0)</f>
        <v>#REF!</v>
      </c>
      <c r="DR264" t="e">
        <f>IF(#REF!,"AAAAAAmz/nk=",0)</f>
        <v>#REF!</v>
      </c>
      <c r="DS264" t="e">
        <f>IF(#REF!,"AAAAAAmz/no=",0)</f>
        <v>#REF!</v>
      </c>
      <c r="DT264" t="e">
        <f>IF(#REF!,"AAAAAAmz/ns=",0)</f>
        <v>#REF!</v>
      </c>
      <c r="DU264" t="e">
        <f>IF(#REF!,"AAAAAAmz/nw=",0)</f>
        <v>#REF!</v>
      </c>
      <c r="DV264" t="e">
        <f>IF(#REF!,"AAAAAAmz/n0=",0)</f>
        <v>#REF!</v>
      </c>
      <c r="DW264" t="e">
        <f>IF(#REF!,"AAAAAAmz/n4=",0)</f>
        <v>#REF!</v>
      </c>
      <c r="DX264" t="e">
        <f>IF(#REF!,"AAAAAAmz/n8=",0)</f>
        <v>#REF!</v>
      </c>
      <c r="DY264" t="e">
        <f>IF(#REF!,"AAAAAAmz/oA=",0)</f>
        <v>#REF!</v>
      </c>
      <c r="DZ264" t="e">
        <f>IF(#REF!,"AAAAAAmz/oE=",0)</f>
        <v>#REF!</v>
      </c>
      <c r="EA264" t="e">
        <f>IF(#REF!,"AAAAAAmz/oI=",0)</f>
        <v>#REF!</v>
      </c>
      <c r="EB264" t="e">
        <f>IF(#REF!,"AAAAAAmz/oM=",0)</f>
        <v>#REF!</v>
      </c>
      <c r="EC264" t="e">
        <f>IF(#REF!,"AAAAAAmz/oQ=",0)</f>
        <v>#REF!</v>
      </c>
      <c r="ED264" t="e">
        <f>IF(#REF!,"AAAAAAmz/oU=",0)</f>
        <v>#REF!</v>
      </c>
      <c r="EE264" t="e">
        <f>IF(#REF!,"AAAAAAmz/oY=",0)</f>
        <v>#REF!</v>
      </c>
      <c r="EF264" t="e">
        <f>IF(#REF!,"AAAAAAmz/oc=",0)</f>
        <v>#REF!</v>
      </c>
      <c r="EG264" t="e">
        <f>IF(#REF!,"AAAAAAmz/og=",0)</f>
        <v>#REF!</v>
      </c>
      <c r="EH264" t="e">
        <f>IF(#REF!,"AAAAAAmz/ok=",0)</f>
        <v>#REF!</v>
      </c>
      <c r="EI264" t="e">
        <f>IF(#REF!,"AAAAAAmz/oo=",0)</f>
        <v>#REF!</v>
      </c>
      <c r="EJ264" t="e">
        <f>IF(#REF!,"AAAAAAmz/os=",0)</f>
        <v>#REF!</v>
      </c>
      <c r="EK264" t="e">
        <f>IF(#REF!,"AAAAAAmz/ow=",0)</f>
        <v>#REF!</v>
      </c>
      <c r="EL264" t="e">
        <f>IF(#REF!,"AAAAAAmz/o0=",0)</f>
        <v>#REF!</v>
      </c>
      <c r="EM264" t="e">
        <f>IF(#REF!,"AAAAAAmz/o4=",0)</f>
        <v>#REF!</v>
      </c>
      <c r="EN264" t="e">
        <f>IF(#REF!,"AAAAAAmz/o8=",0)</f>
        <v>#REF!</v>
      </c>
      <c r="EO264" t="e">
        <f>IF(#REF!,"AAAAAAmz/pA=",0)</f>
        <v>#REF!</v>
      </c>
      <c r="EP264" t="e">
        <f>IF(#REF!,"AAAAAAmz/pE=",0)</f>
        <v>#REF!</v>
      </c>
      <c r="EQ264" t="e">
        <f>IF(#REF!,"AAAAAAmz/pI=",0)</f>
        <v>#REF!</v>
      </c>
      <c r="ER264" t="e">
        <f>IF(#REF!,"AAAAAAmz/pM=",0)</f>
        <v>#REF!</v>
      </c>
      <c r="ES264" t="e">
        <f>IF(#REF!,"AAAAAAmz/pQ=",0)</f>
        <v>#REF!</v>
      </c>
      <c r="ET264" t="e">
        <f>IF(#REF!,"AAAAAAmz/pU=",0)</f>
        <v>#REF!</v>
      </c>
      <c r="EU264" t="e">
        <f>IF(#REF!,"AAAAAAmz/pY=",0)</f>
        <v>#REF!</v>
      </c>
      <c r="EV264" t="e">
        <f>IF(#REF!,"AAAAAAmz/pc=",0)</f>
        <v>#REF!</v>
      </c>
      <c r="EW264" t="e">
        <f>IF(#REF!,"AAAAAAmz/pg=",0)</f>
        <v>#REF!</v>
      </c>
      <c r="EX264" t="e">
        <f>IF(#REF!,"AAAAAAmz/pk=",0)</f>
        <v>#REF!</v>
      </c>
      <c r="EY264" t="e">
        <f>IF(#REF!,"AAAAAAmz/po=",0)</f>
        <v>#REF!</v>
      </c>
      <c r="EZ264" t="e">
        <f>IF(#REF!,"AAAAAAmz/ps=",0)</f>
        <v>#REF!</v>
      </c>
      <c r="FA264" t="e">
        <f>IF(#REF!,"AAAAAAmz/pw=",0)</f>
        <v>#REF!</v>
      </c>
      <c r="FB264" t="e">
        <f>IF(#REF!,"AAAAAAmz/p0=",0)</f>
        <v>#REF!</v>
      </c>
      <c r="FC264" t="e">
        <f>IF(#REF!,"AAAAAAmz/p4=",0)</f>
        <v>#REF!</v>
      </c>
      <c r="FD264" t="e">
        <f>IF(#REF!,"AAAAAAmz/p8=",0)</f>
        <v>#REF!</v>
      </c>
      <c r="FE264" t="e">
        <f>IF(#REF!,"AAAAAAmz/qA=",0)</f>
        <v>#REF!</v>
      </c>
      <c r="FF264" t="e">
        <f>IF(#REF!,"AAAAAAmz/qE=",0)</f>
        <v>#REF!</v>
      </c>
      <c r="FG264" t="e">
        <f>IF(#REF!,"AAAAAAmz/qI=",0)</f>
        <v>#REF!</v>
      </c>
      <c r="FH264" t="e">
        <f>IF(#REF!,"AAAAAAmz/qM=",0)</f>
        <v>#REF!</v>
      </c>
      <c r="FI264" t="e">
        <f>IF(#REF!,"AAAAAAmz/qQ=",0)</f>
        <v>#REF!</v>
      </c>
      <c r="FJ264" t="e">
        <f>IF(#REF!,"AAAAAAmz/qU=",0)</f>
        <v>#REF!</v>
      </c>
      <c r="FK264" t="e">
        <f>IF(#REF!,"AAAAAAmz/qY=",0)</f>
        <v>#REF!</v>
      </c>
      <c r="FL264" t="e">
        <f>IF(#REF!,"AAAAAAmz/qc=",0)</f>
        <v>#REF!</v>
      </c>
      <c r="FM264" t="e">
        <f>IF(#REF!,"AAAAAAmz/qg=",0)</f>
        <v>#REF!</v>
      </c>
      <c r="FN264" t="e">
        <f>IF(#REF!,"AAAAAAmz/qk=",0)</f>
        <v>#REF!</v>
      </c>
      <c r="FO264" t="e">
        <f>IF(#REF!,"AAAAAAmz/qo=",0)</f>
        <v>#REF!</v>
      </c>
      <c r="FP264" t="e">
        <f>IF(#REF!,"AAAAAAmz/qs=",0)</f>
        <v>#REF!</v>
      </c>
      <c r="FQ264" t="e">
        <f>IF(#REF!,"AAAAAAmz/qw=",0)</f>
        <v>#REF!</v>
      </c>
      <c r="FR264" t="e">
        <f>IF(#REF!,"AAAAAAmz/q0=",0)</f>
        <v>#REF!</v>
      </c>
      <c r="FS264" t="e">
        <f>IF(#REF!,"AAAAAAmz/q4=",0)</f>
        <v>#REF!</v>
      </c>
      <c r="FT264" t="e">
        <f>IF(#REF!,"AAAAAAmz/q8=",0)</f>
        <v>#REF!</v>
      </c>
      <c r="FU264" t="e">
        <f>IF(#REF!,"AAAAAAmz/rA=",0)</f>
        <v>#REF!</v>
      </c>
      <c r="FV264" t="e">
        <f>IF(#REF!,"AAAAAAmz/rE=",0)</f>
        <v>#REF!</v>
      </c>
      <c r="FW264" t="e">
        <f>IF(#REF!,"AAAAAAmz/rI=",0)</f>
        <v>#REF!</v>
      </c>
      <c r="FX264" t="e">
        <f>IF(#REF!,"AAAAAAmz/rM=",0)</f>
        <v>#REF!</v>
      </c>
      <c r="FY264" t="e">
        <f>IF(#REF!,"AAAAAAmz/rQ=",0)</f>
        <v>#REF!</v>
      </c>
      <c r="FZ264" t="e">
        <f>IF(#REF!,"AAAAAAmz/rU=",0)</f>
        <v>#REF!</v>
      </c>
      <c r="GA264" t="e">
        <f>IF(#REF!,"AAAAAAmz/rY=",0)</f>
        <v>#REF!</v>
      </c>
      <c r="GB264" t="e">
        <f>IF(#REF!,"AAAAAAmz/rc=",0)</f>
        <v>#REF!</v>
      </c>
      <c r="GC264" t="e">
        <f>IF(#REF!,"AAAAAAmz/rg=",0)</f>
        <v>#REF!</v>
      </c>
      <c r="GD264" t="e">
        <f>IF(#REF!,"AAAAAAmz/rk=",0)</f>
        <v>#REF!</v>
      </c>
      <c r="GE264" t="e">
        <f>IF(#REF!,"AAAAAAmz/ro=",0)</f>
        <v>#REF!</v>
      </c>
      <c r="GF264" t="e">
        <f>IF(#REF!,"AAAAAAmz/rs=",0)</f>
        <v>#REF!</v>
      </c>
      <c r="GG264" t="e">
        <f>IF(#REF!,"AAAAAAmz/rw=",0)</f>
        <v>#REF!</v>
      </c>
      <c r="GH264" t="e">
        <f>IF(#REF!,"AAAAAAmz/r0=",0)</f>
        <v>#REF!</v>
      </c>
      <c r="GI264" t="e">
        <f>IF(#REF!,"AAAAAAmz/r4=",0)</f>
        <v>#REF!</v>
      </c>
      <c r="GJ264" t="e">
        <f>IF(#REF!,"AAAAAAmz/r8=",0)</f>
        <v>#REF!</v>
      </c>
      <c r="GK264" t="e">
        <f>IF(#REF!,"AAAAAAmz/sA=",0)</f>
        <v>#REF!</v>
      </c>
      <c r="GL264" t="e">
        <f>IF(#REF!,"AAAAAAmz/sE=",0)</f>
        <v>#REF!</v>
      </c>
      <c r="GM264" t="e">
        <f>IF(#REF!,"AAAAAAmz/sI=",0)</f>
        <v>#REF!</v>
      </c>
      <c r="GN264" t="e">
        <f>IF(#REF!,"AAAAAAmz/sM=",0)</f>
        <v>#REF!</v>
      </c>
      <c r="GO264" t="e">
        <f>IF(#REF!,"AAAAAAmz/sQ=",0)</f>
        <v>#REF!</v>
      </c>
      <c r="GP264" t="e">
        <f>IF(#REF!,"AAAAAAmz/sU=",0)</f>
        <v>#REF!</v>
      </c>
      <c r="GQ264" t="e">
        <f>IF(#REF!,"AAAAAAmz/sY=",0)</f>
        <v>#REF!</v>
      </c>
      <c r="GR264" t="e">
        <f>IF(#REF!,"AAAAAAmz/sc=",0)</f>
        <v>#REF!</v>
      </c>
      <c r="GS264" t="e">
        <f>IF(#REF!,"AAAAAAmz/sg=",0)</f>
        <v>#REF!</v>
      </c>
      <c r="GT264" t="e">
        <f>IF(#REF!,"AAAAAAmz/sk=",0)</f>
        <v>#REF!</v>
      </c>
      <c r="GU264" t="e">
        <f>IF(#REF!,"AAAAAAmz/so=",0)</f>
        <v>#REF!</v>
      </c>
      <c r="GV264" t="e">
        <f>IF(#REF!,"AAAAAAmz/ss=",0)</f>
        <v>#REF!</v>
      </c>
      <c r="GW264" t="e">
        <f>IF(#REF!,"AAAAAAmz/sw=",0)</f>
        <v>#REF!</v>
      </c>
      <c r="GX264" t="e">
        <f>IF(#REF!,"AAAAAAmz/s0=",0)</f>
        <v>#REF!</v>
      </c>
      <c r="GY264" t="e">
        <f>IF(#REF!,"AAAAAAmz/s4=",0)</f>
        <v>#REF!</v>
      </c>
      <c r="GZ264" t="e">
        <f>IF(#REF!,"AAAAAAmz/s8=",0)</f>
        <v>#REF!</v>
      </c>
      <c r="HA264" t="e">
        <f>IF(#REF!,"AAAAAAmz/tA=",0)</f>
        <v>#REF!</v>
      </c>
      <c r="HB264" t="e">
        <f>IF(#REF!,"AAAAAAmz/tE=",0)</f>
        <v>#REF!</v>
      </c>
      <c r="HC264" t="e">
        <f>IF(#REF!,"AAAAAAmz/tI=",0)</f>
        <v>#REF!</v>
      </c>
      <c r="HD264" t="e">
        <f>IF(#REF!,"AAAAAAmz/tM=",0)</f>
        <v>#REF!</v>
      </c>
      <c r="HE264" t="e">
        <f>IF(#REF!,"AAAAAAmz/tQ=",0)</f>
        <v>#REF!</v>
      </c>
      <c r="HF264" t="e">
        <f>IF(#REF!,"AAAAAAmz/tU=",0)</f>
        <v>#REF!</v>
      </c>
      <c r="HG264" t="e">
        <f>IF(#REF!,"AAAAAAmz/tY=",0)</f>
        <v>#REF!</v>
      </c>
      <c r="HH264" t="e">
        <f>IF(#REF!,"AAAAAAmz/tc=",0)</f>
        <v>#REF!</v>
      </c>
      <c r="HI264" t="e">
        <f>IF(#REF!,"AAAAAAmz/tg=",0)</f>
        <v>#REF!</v>
      </c>
      <c r="HJ264" t="e">
        <f>IF(#REF!,"AAAAAAmz/tk=",0)</f>
        <v>#REF!</v>
      </c>
      <c r="HK264" t="e">
        <f>IF(#REF!,"AAAAAAmz/to=",0)</f>
        <v>#REF!</v>
      </c>
      <c r="HL264" t="e">
        <f>IF(#REF!,"AAAAAAmz/ts=",0)</f>
        <v>#REF!</v>
      </c>
      <c r="HM264" t="e">
        <f>IF(#REF!,"AAAAAAmz/tw=",0)</f>
        <v>#REF!</v>
      </c>
      <c r="HN264" t="e">
        <f>IF(#REF!,"AAAAAAmz/t0=",0)</f>
        <v>#REF!</v>
      </c>
      <c r="HO264" t="e">
        <f>IF(#REF!,"AAAAAAmz/t4=",0)</f>
        <v>#REF!</v>
      </c>
      <c r="HP264" t="e">
        <f>IF(#REF!,"AAAAAAmz/t8=",0)</f>
        <v>#REF!</v>
      </c>
      <c r="HQ264" t="e">
        <f>IF(#REF!,"AAAAAAmz/uA=",0)</f>
        <v>#REF!</v>
      </c>
      <c r="HR264" t="e">
        <f>IF(#REF!,"AAAAAAmz/uE=",0)</f>
        <v>#REF!</v>
      </c>
      <c r="HS264" t="e">
        <f>IF(#REF!,"AAAAAAmz/uI=",0)</f>
        <v>#REF!</v>
      </c>
      <c r="HT264" t="e">
        <f>IF(#REF!,"AAAAAAmz/uM=",0)</f>
        <v>#REF!</v>
      </c>
      <c r="HU264" t="e">
        <f>IF(#REF!,"AAAAAAmz/uQ=",0)</f>
        <v>#REF!</v>
      </c>
      <c r="HV264" t="e">
        <f>IF(#REF!,"AAAAAAmz/uU=",0)</f>
        <v>#REF!</v>
      </c>
      <c r="HW264" t="e">
        <f>IF(#REF!,"AAAAAAmz/uY=",0)</f>
        <v>#REF!</v>
      </c>
      <c r="HX264" t="e">
        <f>IF(#REF!,"AAAAAAmz/uc=",0)</f>
        <v>#REF!</v>
      </c>
      <c r="HY264" t="e">
        <f>IF(#REF!,"AAAAAAmz/ug=",0)</f>
        <v>#REF!</v>
      </c>
      <c r="HZ264" t="e">
        <f>IF(#REF!,"AAAAAAmz/uk=",0)</f>
        <v>#REF!</v>
      </c>
      <c r="IA264" t="e">
        <f>IF(#REF!,"AAAAAAmz/uo=",0)</f>
        <v>#REF!</v>
      </c>
      <c r="IB264" t="e">
        <f>IF(#REF!,"AAAAAAmz/us=",0)</f>
        <v>#REF!</v>
      </c>
      <c r="IC264" t="e">
        <f>IF(#REF!,"AAAAAAmz/uw=",0)</f>
        <v>#REF!</v>
      </c>
      <c r="ID264" t="e">
        <f>IF(#REF!,"AAAAAAmz/u0=",0)</f>
        <v>#REF!</v>
      </c>
      <c r="IE264" t="e">
        <f>IF(#REF!,"AAAAAAmz/u4=",0)</f>
        <v>#REF!</v>
      </c>
      <c r="IF264" t="e">
        <f>IF(#REF!,"AAAAAAmz/u8=",0)</f>
        <v>#REF!</v>
      </c>
      <c r="IG264" t="e">
        <f>IF(#REF!,"AAAAAAmz/vA=",0)</f>
        <v>#REF!</v>
      </c>
      <c r="IH264" t="e">
        <f>IF(#REF!,"AAAAAAmz/vE=",0)</f>
        <v>#REF!</v>
      </c>
      <c r="II264" t="e">
        <f>IF(#REF!,"AAAAAAmz/vI=",0)</f>
        <v>#REF!</v>
      </c>
      <c r="IJ264" t="e">
        <f>IF(#REF!,"AAAAAAmz/vM=",0)</f>
        <v>#REF!</v>
      </c>
      <c r="IK264" t="e">
        <f>IF(#REF!,"AAAAAAmz/vQ=",0)</f>
        <v>#REF!</v>
      </c>
      <c r="IL264" t="e">
        <f>IF(#REF!,"AAAAAAmz/vU=",0)</f>
        <v>#REF!</v>
      </c>
      <c r="IM264" t="e">
        <f>IF(#REF!,"AAAAAAmz/vY=",0)</f>
        <v>#REF!</v>
      </c>
      <c r="IN264" t="e">
        <f>IF(#REF!,"AAAAAAmz/vc=",0)</f>
        <v>#REF!</v>
      </c>
      <c r="IO264" t="e">
        <f>IF(#REF!,"AAAAAAmz/vg=",0)</f>
        <v>#REF!</v>
      </c>
      <c r="IP264" t="e">
        <f>IF(#REF!,"AAAAAAmz/vk=",0)</f>
        <v>#REF!</v>
      </c>
      <c r="IQ264" t="e">
        <f>IF(#REF!,"AAAAAAmz/vo=",0)</f>
        <v>#REF!</v>
      </c>
      <c r="IR264" t="e">
        <f>IF(#REF!,"AAAAAAmz/vs=",0)</f>
        <v>#REF!</v>
      </c>
      <c r="IS264" t="e">
        <f>IF(#REF!,"AAAAAAmz/vw=",0)</f>
        <v>#REF!</v>
      </c>
      <c r="IT264" t="e">
        <f>IF(#REF!,"AAAAAAmz/v0=",0)</f>
        <v>#REF!</v>
      </c>
      <c r="IU264" t="e">
        <f>IF(#REF!,"AAAAAAmz/v4=",0)</f>
        <v>#REF!</v>
      </c>
      <c r="IV264" t="e">
        <f>IF(#REF!,"AAAAAAmz/v8=",0)</f>
        <v>#REF!</v>
      </c>
    </row>
    <row r="265" spans="1:256">
      <c r="A265" t="e">
        <f>IF(#REF!,"AAAAADS2dwA=",0)</f>
        <v>#REF!</v>
      </c>
      <c r="B265" t="e">
        <f>IF(#REF!,"AAAAADS2dwE=",0)</f>
        <v>#REF!</v>
      </c>
      <c r="C265" t="e">
        <f>IF(#REF!,"AAAAADS2dwI=",0)</f>
        <v>#REF!</v>
      </c>
      <c r="D265" t="e">
        <f>IF(#REF!,"AAAAADS2dwM=",0)</f>
        <v>#REF!</v>
      </c>
      <c r="E265" t="e">
        <f>IF(#REF!,"AAAAADS2dwQ=",0)</f>
        <v>#REF!</v>
      </c>
      <c r="F265" t="e">
        <f>IF(#REF!,"AAAAADS2dwU=",0)</f>
        <v>#REF!</v>
      </c>
      <c r="G265" t="e">
        <f>IF(#REF!,"AAAAADS2dwY=",0)</f>
        <v>#REF!</v>
      </c>
      <c r="H265" t="e">
        <f>IF(#REF!,"AAAAADS2dwc=",0)</f>
        <v>#REF!</v>
      </c>
      <c r="I265" t="e">
        <f>IF(#REF!,"AAAAADS2dwg=",0)</f>
        <v>#REF!</v>
      </c>
      <c r="J265" t="e">
        <f>IF(#REF!,"AAAAADS2dwk=",0)</f>
        <v>#REF!</v>
      </c>
      <c r="K265" t="e">
        <f>IF(#REF!,"AAAAADS2dwo=",0)</f>
        <v>#REF!</v>
      </c>
      <c r="L265" t="e">
        <f>IF(#REF!,"AAAAADS2dws=",0)</f>
        <v>#REF!</v>
      </c>
      <c r="M265" t="e">
        <f>IF(#REF!,"AAAAADS2dww=",0)</f>
        <v>#REF!</v>
      </c>
      <c r="N265" t="e">
        <f>IF(#REF!,"AAAAADS2dw0=",0)</f>
        <v>#REF!</v>
      </c>
      <c r="O265" t="e">
        <f>IF(#REF!,"AAAAADS2dw4=",0)</f>
        <v>#REF!</v>
      </c>
      <c r="P265" t="e">
        <f>IF(#REF!,"AAAAADS2dw8=",0)</f>
        <v>#REF!</v>
      </c>
      <c r="Q265" t="e">
        <f>IF(#REF!,"AAAAADS2dxA=",0)</f>
        <v>#REF!</v>
      </c>
      <c r="R265" t="e">
        <f>IF(#REF!,"AAAAADS2dxE=",0)</f>
        <v>#REF!</v>
      </c>
      <c r="S265" t="e">
        <f>IF(#REF!,"AAAAADS2dxI=",0)</f>
        <v>#REF!</v>
      </c>
      <c r="T265" t="e">
        <f>IF(#REF!,"AAAAADS2dxM=",0)</f>
        <v>#REF!</v>
      </c>
      <c r="U265" t="e">
        <f>IF(#REF!,"AAAAADS2dxQ=",0)</f>
        <v>#REF!</v>
      </c>
      <c r="V265" t="e">
        <f>IF(#REF!,"AAAAADS2dxU=",0)</f>
        <v>#REF!</v>
      </c>
      <c r="W265" t="e">
        <f>IF(#REF!,"AAAAADS2dxY=",0)</f>
        <v>#REF!</v>
      </c>
      <c r="X265" t="e">
        <f>IF(#REF!,"AAAAADS2dxc=",0)</f>
        <v>#REF!</v>
      </c>
      <c r="Y265" t="e">
        <f>IF(#REF!,"AAAAADS2dxg=",0)</f>
        <v>#REF!</v>
      </c>
      <c r="Z265" t="e">
        <f>IF(#REF!,"AAAAADS2dxk=",0)</f>
        <v>#REF!</v>
      </c>
      <c r="AA265" t="e">
        <f>IF(#REF!,"AAAAADS2dxo=",0)</f>
        <v>#REF!</v>
      </c>
      <c r="AB265" t="e">
        <f>IF(#REF!,"AAAAADS2dxs=",0)</f>
        <v>#REF!</v>
      </c>
      <c r="AC265" t="e">
        <f>IF(#REF!,"AAAAADS2dxw=",0)</f>
        <v>#REF!</v>
      </c>
      <c r="AD265" t="e">
        <f>IF(#REF!,"AAAAADS2dx0=",0)</f>
        <v>#REF!</v>
      </c>
      <c r="AE265" t="e">
        <f>IF(#REF!,"AAAAADS2dx4=",0)</f>
        <v>#REF!</v>
      </c>
      <c r="AF265" t="e">
        <f>IF(#REF!,"AAAAADS2dx8=",0)</f>
        <v>#REF!</v>
      </c>
      <c r="AG265" t="e">
        <f>IF(#REF!,"AAAAADS2dyA=",0)</f>
        <v>#REF!</v>
      </c>
      <c r="AH265" t="e">
        <f>IF(#REF!,"AAAAADS2dyE=",0)</f>
        <v>#REF!</v>
      </c>
      <c r="AI265" t="e">
        <f>IF(#REF!,"AAAAADS2dyI=",0)</f>
        <v>#REF!</v>
      </c>
      <c r="AJ265" t="e">
        <f>IF(#REF!,"AAAAADS2dyM=",0)</f>
        <v>#REF!</v>
      </c>
      <c r="AK265" t="e">
        <f>IF(#REF!,"AAAAADS2dyQ=",0)</f>
        <v>#REF!</v>
      </c>
      <c r="AL265" t="e">
        <f>IF(#REF!,"AAAAADS2dyU=",0)</f>
        <v>#REF!</v>
      </c>
      <c r="AM265" t="e">
        <f>IF(#REF!,"AAAAADS2dyY=",0)</f>
        <v>#REF!</v>
      </c>
      <c r="AN265" t="e">
        <f>IF(#REF!,"AAAAADS2dyc=",0)</f>
        <v>#REF!</v>
      </c>
      <c r="AO265" t="e">
        <f>IF(#REF!,"AAAAADS2dyg=",0)</f>
        <v>#REF!</v>
      </c>
      <c r="AP265" t="e">
        <f>IF(#REF!,"AAAAADS2dyk=",0)</f>
        <v>#REF!</v>
      </c>
      <c r="AQ265" t="e">
        <f>IF(#REF!,"AAAAADS2dyo=",0)</f>
        <v>#REF!</v>
      </c>
      <c r="AR265" t="e">
        <f>IF(#REF!,"AAAAADS2dys=",0)</f>
        <v>#REF!</v>
      </c>
      <c r="AS265" t="e">
        <f>IF(#REF!,"AAAAADS2dyw=",0)</f>
        <v>#REF!</v>
      </c>
      <c r="AT265" t="e">
        <f>IF(#REF!,"AAAAADS2dy0=",0)</f>
        <v>#REF!</v>
      </c>
      <c r="AU265" t="e">
        <f>IF(#REF!,"AAAAADS2dy4=",0)</f>
        <v>#REF!</v>
      </c>
      <c r="AV265" t="e">
        <f>IF(#REF!,"AAAAADS2dy8=",0)</f>
        <v>#REF!</v>
      </c>
      <c r="AW265" t="e">
        <f>IF(#REF!,"AAAAADS2dzA=",0)</f>
        <v>#REF!</v>
      </c>
      <c r="AX265" t="e">
        <f>IF(#REF!,"AAAAADS2dzE=",0)</f>
        <v>#REF!</v>
      </c>
      <c r="AY265" t="e">
        <f>IF(#REF!,"AAAAADS2dzI=",0)</f>
        <v>#REF!</v>
      </c>
      <c r="AZ265" t="e">
        <f>IF(#REF!,"AAAAADS2dzM=",0)</f>
        <v>#REF!</v>
      </c>
      <c r="BA265" t="e">
        <f>IF(#REF!,"AAAAADS2dzQ=",0)</f>
        <v>#REF!</v>
      </c>
      <c r="BB265" t="e">
        <f>IF(#REF!,"AAAAADS2dzU=",0)</f>
        <v>#REF!</v>
      </c>
      <c r="BC265" t="e">
        <f>IF(#REF!,"AAAAADS2dzY=",0)</f>
        <v>#REF!</v>
      </c>
      <c r="BD265" t="e">
        <f>IF(#REF!,"AAAAADS2dzc=",0)</f>
        <v>#REF!</v>
      </c>
      <c r="BE265" t="e">
        <f>IF(#REF!,"AAAAADS2dzg=",0)</f>
        <v>#REF!</v>
      </c>
      <c r="BF265" t="e">
        <f>IF(#REF!,"AAAAADS2dzk=",0)</f>
        <v>#REF!</v>
      </c>
      <c r="BG265" t="e">
        <f>IF(#REF!,"AAAAADS2dzo=",0)</f>
        <v>#REF!</v>
      </c>
      <c r="BH265" t="e">
        <f>IF(#REF!,"AAAAADS2dzs=",0)</f>
        <v>#REF!</v>
      </c>
      <c r="BI265" t="e">
        <f>IF(#REF!,"AAAAADS2dzw=",0)</f>
        <v>#REF!</v>
      </c>
      <c r="BJ265" t="e">
        <f>IF(#REF!,"AAAAADS2dz0=",0)</f>
        <v>#REF!</v>
      </c>
      <c r="BK265" t="e">
        <f>IF(#REF!,"AAAAADS2dz4=",0)</f>
        <v>#REF!</v>
      </c>
      <c r="BL265" t="e">
        <f>IF(#REF!,"AAAAADS2dz8=",0)</f>
        <v>#REF!</v>
      </c>
      <c r="BM265" t="e">
        <f>IF(#REF!,"AAAAADS2d0A=",0)</f>
        <v>#REF!</v>
      </c>
      <c r="BN265" t="e">
        <f>IF(#REF!,"AAAAADS2d0E=",0)</f>
        <v>#REF!</v>
      </c>
      <c r="BO265" t="e">
        <f>IF(#REF!,"AAAAADS2d0I=",0)</f>
        <v>#REF!</v>
      </c>
      <c r="BP265" t="e">
        <f>IF(#REF!,"AAAAADS2d0M=",0)</f>
        <v>#REF!</v>
      </c>
      <c r="BQ265" t="e">
        <f>IF(#REF!,"AAAAADS2d0Q=",0)</f>
        <v>#REF!</v>
      </c>
      <c r="BR265" t="e">
        <f>IF(#REF!,"AAAAADS2d0U=",0)</f>
        <v>#REF!</v>
      </c>
      <c r="BS265" t="e">
        <f>IF(#REF!,"AAAAADS2d0Y=",0)</f>
        <v>#REF!</v>
      </c>
      <c r="BT265" t="e">
        <f>IF(#REF!,"AAAAADS2d0c=",0)</f>
        <v>#REF!</v>
      </c>
      <c r="BU265" t="e">
        <f>IF(#REF!,"AAAAADS2d0g=",0)</f>
        <v>#REF!</v>
      </c>
      <c r="BV265" t="e">
        <f>IF(#REF!,"AAAAADS2d0k=",0)</f>
        <v>#REF!</v>
      </c>
      <c r="BW265" t="e">
        <f>IF(#REF!,"AAAAADS2d0o=",0)</f>
        <v>#REF!</v>
      </c>
      <c r="BX265" t="e">
        <f>IF(#REF!,"AAAAADS2d0s=",0)</f>
        <v>#REF!</v>
      </c>
      <c r="BY265" t="e">
        <f>IF(#REF!,"AAAAADS2d0w=",0)</f>
        <v>#REF!</v>
      </c>
      <c r="BZ265" t="e">
        <f>IF(#REF!,"AAAAADS2d00=",0)</f>
        <v>#REF!</v>
      </c>
      <c r="CA265" t="e">
        <f>IF(#REF!,"AAAAADS2d04=",0)</f>
        <v>#REF!</v>
      </c>
      <c r="CB265" t="e">
        <f>IF(#REF!,"AAAAADS2d08=",0)</f>
        <v>#REF!</v>
      </c>
      <c r="CC265" t="e">
        <f>IF(#REF!,"AAAAADS2d1A=",0)</f>
        <v>#REF!</v>
      </c>
      <c r="CD265" t="e">
        <f>IF(#REF!,"AAAAADS2d1E=",0)</f>
        <v>#REF!</v>
      </c>
      <c r="CE265" t="e">
        <f>IF(#REF!,"AAAAADS2d1I=",0)</f>
        <v>#REF!</v>
      </c>
      <c r="CF265" t="e">
        <f>IF(#REF!,"AAAAADS2d1M=",0)</f>
        <v>#REF!</v>
      </c>
      <c r="CG265" t="e">
        <f>IF(#REF!,"AAAAADS2d1Q=",0)</f>
        <v>#REF!</v>
      </c>
      <c r="CH265" t="e">
        <f>IF(#REF!,"AAAAADS2d1U=",0)</f>
        <v>#REF!</v>
      </c>
      <c r="CI265" t="e">
        <f>IF(#REF!,"AAAAADS2d1Y=",0)</f>
        <v>#REF!</v>
      </c>
      <c r="CJ265" t="e">
        <f>IF(#REF!,"AAAAADS2d1c=",0)</f>
        <v>#REF!</v>
      </c>
      <c r="CK265" t="e">
        <f>IF(#REF!,"AAAAADS2d1g=",0)</f>
        <v>#REF!</v>
      </c>
      <c r="CL265" t="e">
        <f>IF(#REF!,"AAAAADS2d1k=",0)</f>
        <v>#REF!</v>
      </c>
      <c r="CM265" t="e">
        <f>IF(#REF!,"AAAAADS2d1o=",0)</f>
        <v>#REF!</v>
      </c>
      <c r="CN265" t="e">
        <f>IF(#REF!,"AAAAADS2d1s=",0)</f>
        <v>#REF!</v>
      </c>
      <c r="CO265" t="e">
        <f>IF(#REF!,"AAAAADS2d1w=",0)</f>
        <v>#REF!</v>
      </c>
      <c r="CP265" t="e">
        <f>IF(#REF!,"AAAAADS2d10=",0)</f>
        <v>#REF!</v>
      </c>
      <c r="CQ265" t="e">
        <f>IF(#REF!,"AAAAADS2d14=",0)</f>
        <v>#REF!</v>
      </c>
      <c r="CR265" t="e">
        <f>IF(#REF!,"AAAAADS2d18=",0)</f>
        <v>#REF!</v>
      </c>
      <c r="CS265" t="e">
        <f>IF(#REF!,"AAAAADS2d2A=",0)</f>
        <v>#REF!</v>
      </c>
      <c r="CT265" t="e">
        <f>IF(#REF!,"AAAAADS2d2E=",0)</f>
        <v>#REF!</v>
      </c>
      <c r="CU265" t="e">
        <f>IF(#REF!,"AAAAADS2d2I=",0)</f>
        <v>#REF!</v>
      </c>
      <c r="CV265" t="e">
        <f>IF(#REF!,"AAAAADS2d2M=",0)</f>
        <v>#REF!</v>
      </c>
      <c r="CW265" t="e">
        <f>IF(#REF!,"AAAAADS2d2Q=",0)</f>
        <v>#REF!</v>
      </c>
      <c r="CX265" t="e">
        <f>IF(#REF!,"AAAAADS2d2U=",0)</f>
        <v>#REF!</v>
      </c>
      <c r="CY265" t="e">
        <f>IF(#REF!,"AAAAADS2d2Y=",0)</f>
        <v>#REF!</v>
      </c>
      <c r="CZ265" t="e">
        <f>IF(#REF!,"AAAAADS2d2c=",0)</f>
        <v>#REF!</v>
      </c>
      <c r="DA265" t="e">
        <f>IF(#REF!,"AAAAADS2d2g=",0)</f>
        <v>#REF!</v>
      </c>
      <c r="DB265" t="e">
        <f>IF(#REF!,"AAAAADS2d2k=",0)</f>
        <v>#REF!</v>
      </c>
      <c r="DC265" t="e">
        <f>IF(#REF!,"AAAAADS2d2o=",0)</f>
        <v>#REF!</v>
      </c>
      <c r="DD265" t="e">
        <f>IF(#REF!,"AAAAADS2d2s=",0)</f>
        <v>#REF!</v>
      </c>
      <c r="DE265" t="e">
        <f>IF(#REF!,"AAAAADS2d2w=",0)</f>
        <v>#REF!</v>
      </c>
      <c r="DF265" t="e">
        <f>IF(#REF!,"AAAAADS2d20=",0)</f>
        <v>#REF!</v>
      </c>
      <c r="DG265" t="e">
        <f>IF(#REF!,"AAAAADS2d24=",0)</f>
        <v>#REF!</v>
      </c>
      <c r="DH265" t="e">
        <f>IF(#REF!,"AAAAADS2d28=",0)</f>
        <v>#REF!</v>
      </c>
      <c r="DI265" t="e">
        <f>IF(#REF!,"AAAAADS2d3A=",0)</f>
        <v>#REF!</v>
      </c>
      <c r="DJ265" t="e">
        <f>IF(#REF!,"AAAAADS2d3E=",0)</f>
        <v>#REF!</v>
      </c>
      <c r="DK265" t="e">
        <f>IF(#REF!,"AAAAADS2d3I=",0)</f>
        <v>#REF!</v>
      </c>
      <c r="DL265" t="e">
        <f>IF(#REF!,"AAAAADS2d3M=",0)</f>
        <v>#REF!</v>
      </c>
      <c r="DM265" t="e">
        <f>IF(#REF!,"AAAAADS2d3Q=",0)</f>
        <v>#REF!</v>
      </c>
      <c r="DN265" t="e">
        <f>IF(#REF!,"AAAAADS2d3U=",0)</f>
        <v>#REF!</v>
      </c>
      <c r="DO265" t="e">
        <f>IF(#REF!,"AAAAADS2d3Y=",0)</f>
        <v>#REF!</v>
      </c>
      <c r="DP265" t="e">
        <f>IF(#REF!,"AAAAADS2d3c=",0)</f>
        <v>#REF!</v>
      </c>
      <c r="DQ265" t="e">
        <f>IF(#REF!,"AAAAADS2d3g=",0)</f>
        <v>#REF!</v>
      </c>
      <c r="DR265" t="e">
        <f>IF(#REF!,"AAAAADS2d3k=",0)</f>
        <v>#REF!</v>
      </c>
      <c r="DS265" t="e">
        <f>IF(#REF!,"AAAAADS2d3o=",0)</f>
        <v>#REF!</v>
      </c>
      <c r="DT265" t="e">
        <f>IF(#REF!,"AAAAADS2d3s=",0)</f>
        <v>#REF!</v>
      </c>
      <c r="DU265" t="e">
        <f>IF(#REF!,"AAAAADS2d3w=",0)</f>
        <v>#REF!</v>
      </c>
      <c r="DV265" t="e">
        <f>IF(#REF!,"AAAAADS2d30=",0)</f>
        <v>#REF!</v>
      </c>
      <c r="DW265" t="e">
        <f>IF(#REF!,"AAAAADS2d34=",0)</f>
        <v>#REF!</v>
      </c>
      <c r="DX265" t="e">
        <f>IF(#REF!,"AAAAADS2d38=",0)</f>
        <v>#REF!</v>
      </c>
      <c r="DY265" t="e">
        <f>IF(#REF!,"AAAAADS2d4A=",0)</f>
        <v>#REF!</v>
      </c>
      <c r="DZ265" t="e">
        <f>IF(#REF!,"AAAAADS2d4E=",0)</f>
        <v>#REF!</v>
      </c>
      <c r="EA265" t="e">
        <f>IF(#REF!,"AAAAADS2d4I=",0)</f>
        <v>#REF!</v>
      </c>
      <c r="EB265" t="e">
        <f>IF(#REF!,"AAAAADS2d4M=",0)</f>
        <v>#REF!</v>
      </c>
      <c r="EC265" t="e">
        <f>IF(#REF!,"AAAAADS2d4Q=",0)</f>
        <v>#REF!</v>
      </c>
      <c r="ED265" t="e">
        <f>IF(#REF!,"AAAAADS2d4U=",0)</f>
        <v>#REF!</v>
      </c>
      <c r="EE265" t="e">
        <f>IF(#REF!,"AAAAADS2d4Y=",0)</f>
        <v>#REF!</v>
      </c>
      <c r="EF265" t="e">
        <f>IF(#REF!,"AAAAADS2d4c=",0)</f>
        <v>#REF!</v>
      </c>
      <c r="EG265" t="e">
        <f>IF(#REF!,"AAAAADS2d4g=",0)</f>
        <v>#REF!</v>
      </c>
      <c r="EH265" t="e">
        <f>IF(#REF!,"AAAAADS2d4k=",0)</f>
        <v>#REF!</v>
      </c>
      <c r="EI265" t="e">
        <f>IF(#REF!,"AAAAADS2d4o=",0)</f>
        <v>#REF!</v>
      </c>
      <c r="EJ265" t="e">
        <f>IF(#REF!,"AAAAADS2d4s=",0)</f>
        <v>#REF!</v>
      </c>
      <c r="EK265" t="e">
        <f>IF(#REF!,"AAAAADS2d4w=",0)</f>
        <v>#REF!</v>
      </c>
      <c r="EL265" t="e">
        <f>IF(#REF!,"AAAAADS2d40=",0)</f>
        <v>#REF!</v>
      </c>
      <c r="EM265" t="e">
        <f>IF(#REF!,"AAAAADS2d44=",0)</f>
        <v>#REF!</v>
      </c>
      <c r="EN265" t="e">
        <f>IF(#REF!,"AAAAADS2d48=",0)</f>
        <v>#REF!</v>
      </c>
      <c r="EO265" t="e">
        <f>IF(#REF!,"AAAAADS2d5A=",0)</f>
        <v>#REF!</v>
      </c>
      <c r="EP265" t="e">
        <f>IF(#REF!,"AAAAADS2d5E=",0)</f>
        <v>#REF!</v>
      </c>
      <c r="EQ265" t="e">
        <f>IF(#REF!,"AAAAADS2d5I=",0)</f>
        <v>#REF!</v>
      </c>
      <c r="ER265" t="e">
        <f>IF(#REF!,"AAAAADS2d5M=",0)</f>
        <v>#REF!</v>
      </c>
      <c r="ES265" t="e">
        <f>IF(#REF!,"AAAAADS2d5Q=",0)</f>
        <v>#REF!</v>
      </c>
      <c r="ET265" t="e">
        <f>IF(#REF!,"AAAAADS2d5U=",0)</f>
        <v>#REF!</v>
      </c>
      <c r="EU265" t="e">
        <f>IF(#REF!,"AAAAADS2d5Y=",0)</f>
        <v>#REF!</v>
      </c>
      <c r="EV265" t="e">
        <f>IF(#REF!,"AAAAADS2d5c=",0)</f>
        <v>#REF!</v>
      </c>
      <c r="EW265" t="e">
        <f>IF(#REF!,"AAAAADS2d5g=",0)</f>
        <v>#REF!</v>
      </c>
      <c r="EX265" t="e">
        <f>IF(#REF!,"AAAAADS2d5k=",0)</f>
        <v>#REF!</v>
      </c>
      <c r="EY265" t="e">
        <f>IF(#REF!,"AAAAADS2d5o=",0)</f>
        <v>#REF!</v>
      </c>
      <c r="EZ265" t="e">
        <f>IF(#REF!,"AAAAADS2d5s=",0)</f>
        <v>#REF!</v>
      </c>
      <c r="FA265" t="e">
        <f>IF(#REF!,"AAAAADS2d5w=",0)</f>
        <v>#REF!</v>
      </c>
      <c r="FB265" t="e">
        <f>IF(#REF!,"AAAAADS2d50=",0)</f>
        <v>#REF!</v>
      </c>
      <c r="FC265" t="e">
        <f>IF(#REF!,"AAAAADS2d54=",0)</f>
        <v>#REF!</v>
      </c>
      <c r="FD265" t="e">
        <f>IF(#REF!,"AAAAADS2d58=",0)</f>
        <v>#REF!</v>
      </c>
      <c r="FE265" t="e">
        <f>IF(#REF!,"AAAAADS2d6A=",0)</f>
        <v>#REF!</v>
      </c>
      <c r="FF265" t="e">
        <f>IF(#REF!,"AAAAADS2d6E=",0)</f>
        <v>#REF!</v>
      </c>
      <c r="FG265" t="e">
        <f>IF(#REF!,"AAAAADS2d6I=",0)</f>
        <v>#REF!</v>
      </c>
      <c r="FH265" t="e">
        <f>IF(#REF!,"AAAAADS2d6M=",0)</f>
        <v>#REF!</v>
      </c>
      <c r="FI265" t="e">
        <f>IF(#REF!,"AAAAADS2d6Q=",0)</f>
        <v>#REF!</v>
      </c>
      <c r="FJ265" t="e">
        <f>IF(#REF!,"AAAAADS2d6U=",0)</f>
        <v>#REF!</v>
      </c>
      <c r="FK265" t="e">
        <f>IF(#REF!,"AAAAADS2d6Y=",0)</f>
        <v>#REF!</v>
      </c>
      <c r="FL265" t="e">
        <f>IF(#REF!,"AAAAADS2d6c=",0)</f>
        <v>#REF!</v>
      </c>
      <c r="FM265" t="e">
        <f>IF(#REF!,"AAAAADS2d6g=",0)</f>
        <v>#REF!</v>
      </c>
      <c r="FN265" t="e">
        <f>IF(#REF!,"AAAAADS2d6k=",0)</f>
        <v>#REF!</v>
      </c>
      <c r="FO265" t="e">
        <f>IF(#REF!,"AAAAADS2d6o=",0)</f>
        <v>#REF!</v>
      </c>
      <c r="FP265" t="e">
        <f>IF(#REF!,"AAAAADS2d6s=",0)</f>
        <v>#REF!</v>
      </c>
      <c r="FQ265" t="e">
        <f>IF(#REF!,"AAAAADS2d6w=",0)</f>
        <v>#REF!</v>
      </c>
      <c r="FR265" t="e">
        <f>IF(#REF!,"AAAAADS2d60=",0)</f>
        <v>#REF!</v>
      </c>
      <c r="FS265" t="e">
        <f>IF(#REF!,"AAAAADS2d64=",0)</f>
        <v>#REF!</v>
      </c>
      <c r="FT265" t="e">
        <f>IF(#REF!,"AAAAADS2d68=",0)</f>
        <v>#REF!</v>
      </c>
      <c r="FU265" t="e">
        <f>IF(#REF!,"AAAAADS2d7A=",0)</f>
        <v>#REF!</v>
      </c>
      <c r="FV265" t="e">
        <f>IF(#REF!,"AAAAADS2d7E=",0)</f>
        <v>#REF!</v>
      </c>
      <c r="FW265" t="e">
        <f>IF(#REF!,"AAAAADS2d7I=",0)</f>
        <v>#REF!</v>
      </c>
      <c r="FX265" t="e">
        <f>IF(#REF!,"AAAAADS2d7M=",0)</f>
        <v>#REF!</v>
      </c>
      <c r="FY265" t="e">
        <f>IF(#REF!,"AAAAADS2d7Q=",0)</f>
        <v>#REF!</v>
      </c>
      <c r="FZ265" t="e">
        <f>IF(#REF!,"AAAAADS2d7U=",0)</f>
        <v>#REF!</v>
      </c>
      <c r="GA265" t="e">
        <f>IF(#REF!,"AAAAADS2d7Y=",0)</f>
        <v>#REF!</v>
      </c>
      <c r="GB265" t="e">
        <f>IF(#REF!,"AAAAADS2d7c=",0)</f>
        <v>#REF!</v>
      </c>
      <c r="GC265" t="e">
        <f>IF(#REF!,"AAAAADS2d7g=",0)</f>
        <v>#REF!</v>
      </c>
      <c r="GD265" t="e">
        <f>IF(#REF!,"AAAAADS2d7k=",0)</f>
        <v>#REF!</v>
      </c>
      <c r="GE265" t="e">
        <f>IF(#REF!,"AAAAADS2d7o=",0)</f>
        <v>#REF!</v>
      </c>
      <c r="GF265" t="e">
        <f>IF(#REF!,"AAAAADS2d7s=",0)</f>
        <v>#REF!</v>
      </c>
      <c r="GG265" t="e">
        <f>IF(#REF!,"AAAAADS2d7w=",0)</f>
        <v>#REF!</v>
      </c>
      <c r="GH265" t="e">
        <f>IF(#REF!,"AAAAADS2d70=",0)</f>
        <v>#REF!</v>
      </c>
      <c r="GI265" t="e">
        <f>IF(#REF!,"AAAAADS2d74=",0)</f>
        <v>#REF!</v>
      </c>
      <c r="GJ265" t="e">
        <f>IF(#REF!,"AAAAADS2d78=",0)</f>
        <v>#REF!</v>
      </c>
      <c r="GK265" t="e">
        <f>IF(#REF!,"AAAAADS2d8A=",0)</f>
        <v>#REF!</v>
      </c>
      <c r="GL265" t="e">
        <f>IF(#REF!,"AAAAADS2d8E=",0)</f>
        <v>#REF!</v>
      </c>
      <c r="GM265" t="e">
        <f>IF(#REF!,"AAAAADS2d8I=",0)</f>
        <v>#REF!</v>
      </c>
      <c r="GN265" t="e">
        <f>IF(#REF!,"AAAAADS2d8M=",0)</f>
        <v>#REF!</v>
      </c>
      <c r="GO265" t="e">
        <f>IF(#REF!,"AAAAADS2d8Q=",0)</f>
        <v>#REF!</v>
      </c>
      <c r="GP265" t="e">
        <f>IF(#REF!,"AAAAADS2d8U=",0)</f>
        <v>#REF!</v>
      </c>
      <c r="GQ265" t="e">
        <f>IF(#REF!,"AAAAADS2d8Y=",0)</f>
        <v>#REF!</v>
      </c>
      <c r="GR265" t="e">
        <f>IF(#REF!,"AAAAADS2d8c=",0)</f>
        <v>#REF!</v>
      </c>
      <c r="GS265" t="e">
        <f>IF(#REF!,"AAAAADS2d8g=",0)</f>
        <v>#REF!</v>
      </c>
      <c r="GT265" t="e">
        <f>IF(#REF!,"AAAAADS2d8k=",0)</f>
        <v>#REF!</v>
      </c>
      <c r="GU265" t="e">
        <f>IF(#REF!,"AAAAADS2d8o=",0)</f>
        <v>#REF!</v>
      </c>
      <c r="GV265" t="e">
        <f>IF(#REF!,"AAAAADS2d8s=",0)</f>
        <v>#REF!</v>
      </c>
      <c r="GW265" t="e">
        <f>IF(#REF!,"AAAAADS2d8w=",0)</f>
        <v>#REF!</v>
      </c>
      <c r="GX265" t="e">
        <f>IF(#REF!,"AAAAADS2d80=",0)</f>
        <v>#REF!</v>
      </c>
      <c r="GY265" t="e">
        <f>IF(#REF!,"AAAAADS2d84=",0)</f>
        <v>#REF!</v>
      </c>
      <c r="GZ265" t="e">
        <f>IF(#REF!,"AAAAADS2d88=",0)</f>
        <v>#REF!</v>
      </c>
      <c r="HA265" t="e">
        <f>IF(#REF!,"AAAAADS2d9A=",0)</f>
        <v>#REF!</v>
      </c>
      <c r="HB265" t="e">
        <f>IF(#REF!,"AAAAADS2d9E=",0)</f>
        <v>#REF!</v>
      </c>
      <c r="HC265" t="e">
        <f>IF(#REF!,"AAAAADS2d9I=",0)</f>
        <v>#REF!</v>
      </c>
      <c r="HD265" t="e">
        <f>IF(#REF!,"AAAAADS2d9M=",0)</f>
        <v>#REF!</v>
      </c>
      <c r="HE265" t="e">
        <f>IF(#REF!,"AAAAADS2d9Q=",0)</f>
        <v>#REF!</v>
      </c>
      <c r="HF265" t="e">
        <f>IF(#REF!,"AAAAADS2d9U=",0)</f>
        <v>#REF!</v>
      </c>
      <c r="HG265" t="e">
        <f>IF(#REF!,"AAAAADS2d9Y=",0)</f>
        <v>#REF!</v>
      </c>
      <c r="HH265" t="e">
        <f>IF(#REF!,"AAAAADS2d9c=",0)</f>
        <v>#REF!</v>
      </c>
      <c r="HI265" t="e">
        <f>IF(#REF!,"AAAAADS2d9g=",0)</f>
        <v>#REF!</v>
      </c>
      <c r="HJ265" t="e">
        <f>IF(#REF!,"AAAAADS2d9k=",0)</f>
        <v>#REF!</v>
      </c>
      <c r="HK265" t="e">
        <f>IF(#REF!,"AAAAADS2d9o=",0)</f>
        <v>#REF!</v>
      </c>
      <c r="HL265" t="e">
        <f>IF(#REF!,"AAAAADS2d9s=",0)</f>
        <v>#REF!</v>
      </c>
      <c r="HM265" t="e">
        <f>IF(#REF!,"AAAAADS2d9w=",0)</f>
        <v>#REF!</v>
      </c>
      <c r="HN265" t="e">
        <f>IF(#REF!,"AAAAADS2d90=",0)</f>
        <v>#REF!</v>
      </c>
      <c r="HO265" t="e">
        <f>IF(#REF!,"AAAAADS2d94=",0)</f>
        <v>#REF!</v>
      </c>
      <c r="HP265" t="e">
        <f>IF(#REF!,"AAAAADS2d98=",0)</f>
        <v>#REF!</v>
      </c>
      <c r="HQ265" t="e">
        <f>IF(#REF!,"AAAAADS2d+A=",0)</f>
        <v>#REF!</v>
      </c>
      <c r="HR265" t="e">
        <f>IF(#REF!,"AAAAADS2d+E=",0)</f>
        <v>#REF!</v>
      </c>
      <c r="HS265" t="e">
        <f>IF(#REF!,"AAAAADS2d+I=",0)</f>
        <v>#REF!</v>
      </c>
      <c r="HT265" t="e">
        <f>IF(#REF!,"AAAAADS2d+M=",0)</f>
        <v>#REF!</v>
      </c>
      <c r="HU265" t="e">
        <f>IF(#REF!,"AAAAADS2d+Q=",0)</f>
        <v>#REF!</v>
      </c>
      <c r="HV265" t="e">
        <f>IF(#REF!,"AAAAADS2d+U=",0)</f>
        <v>#REF!</v>
      </c>
      <c r="HW265" t="e">
        <f>IF(#REF!,"AAAAADS2d+Y=",0)</f>
        <v>#REF!</v>
      </c>
      <c r="HX265" t="e">
        <f>IF(#REF!,"AAAAADS2d+c=",0)</f>
        <v>#REF!</v>
      </c>
      <c r="HY265" t="e">
        <f>IF(#REF!,"AAAAADS2d+g=",0)</f>
        <v>#REF!</v>
      </c>
      <c r="HZ265" t="e">
        <f>IF(#REF!,"AAAAADS2d+k=",0)</f>
        <v>#REF!</v>
      </c>
      <c r="IA265" t="e">
        <f>IF(#REF!,"AAAAADS2d+o=",0)</f>
        <v>#REF!</v>
      </c>
      <c r="IB265" t="e">
        <f>IF(#REF!,"AAAAADS2d+s=",0)</f>
        <v>#REF!</v>
      </c>
      <c r="IC265" t="e">
        <f>IF(#REF!,"AAAAADS2d+w=",0)</f>
        <v>#REF!</v>
      </c>
      <c r="ID265" t="e">
        <f>IF(#REF!,"AAAAADS2d+0=",0)</f>
        <v>#REF!</v>
      </c>
      <c r="IE265" t="e">
        <f>IF(#REF!,"AAAAADS2d+4=",0)</f>
        <v>#REF!</v>
      </c>
      <c r="IF265" t="e">
        <f>IF(#REF!,"AAAAADS2d+8=",0)</f>
        <v>#REF!</v>
      </c>
      <c r="IG265" t="e">
        <f>IF(#REF!,"AAAAADS2d/A=",0)</f>
        <v>#REF!</v>
      </c>
      <c r="IH265" t="e">
        <f>IF(#REF!,"AAAAADS2d/E=",0)</f>
        <v>#REF!</v>
      </c>
      <c r="II265" t="e">
        <f>IF(#REF!,"AAAAADS2d/I=",0)</f>
        <v>#REF!</v>
      </c>
      <c r="IJ265" t="e">
        <f>IF(#REF!,"AAAAADS2d/M=",0)</f>
        <v>#REF!</v>
      </c>
      <c r="IK265" t="e">
        <f>IF(#REF!,"AAAAADS2d/Q=",0)</f>
        <v>#REF!</v>
      </c>
      <c r="IL265" t="e">
        <f>IF(#REF!,"AAAAADS2d/U=",0)</f>
        <v>#REF!</v>
      </c>
      <c r="IM265" t="e">
        <f>IF(#REF!,"AAAAADS2d/Y=",0)</f>
        <v>#REF!</v>
      </c>
      <c r="IN265" t="e">
        <f>IF(#REF!,"AAAAADS2d/c=",0)</f>
        <v>#REF!</v>
      </c>
      <c r="IO265" t="e">
        <f>IF(#REF!,"AAAAADS2d/g=",0)</f>
        <v>#REF!</v>
      </c>
      <c r="IP265" t="e">
        <f>IF(#REF!,"AAAAADS2d/k=",0)</f>
        <v>#REF!</v>
      </c>
      <c r="IQ265" t="e">
        <f>IF(#REF!,"AAAAADS2d/o=",0)</f>
        <v>#REF!</v>
      </c>
      <c r="IR265" t="e">
        <f>IF(#REF!,"AAAAADS2d/s=",0)</f>
        <v>#REF!</v>
      </c>
      <c r="IS265" t="e">
        <f>IF(#REF!,"AAAAADS2d/w=",0)</f>
        <v>#REF!</v>
      </c>
      <c r="IT265" t="e">
        <f>IF(#REF!,"AAAAADS2d/0=",0)</f>
        <v>#REF!</v>
      </c>
      <c r="IU265" t="e">
        <f>IF(#REF!,"AAAAADS2d/4=",0)</f>
        <v>#REF!</v>
      </c>
      <c r="IV265" t="e">
        <f>IF(#REF!,"AAAAADS2d/8=",0)</f>
        <v>#REF!</v>
      </c>
    </row>
    <row r="266" spans="1:256">
      <c r="A266" t="e">
        <f>IF(#REF!,"AAAAAC7XJgA=",0)</f>
        <v>#REF!</v>
      </c>
      <c r="B266" t="e">
        <f>IF(#REF!,"AAAAAC7XJgE=",0)</f>
        <v>#REF!</v>
      </c>
      <c r="C266" t="e">
        <f>IF(#REF!,"AAAAAC7XJgI=",0)</f>
        <v>#REF!</v>
      </c>
      <c r="D266" t="e">
        <f>IF(#REF!,"AAAAAC7XJgM=",0)</f>
        <v>#REF!</v>
      </c>
      <c r="E266" t="e">
        <f>IF(#REF!,"AAAAAC7XJgQ=",0)</f>
        <v>#REF!</v>
      </c>
      <c r="F266" t="e">
        <f>IF(#REF!,"AAAAAC7XJgU=",0)</f>
        <v>#REF!</v>
      </c>
      <c r="G266" t="e">
        <f>IF(#REF!,"AAAAAC7XJgY=",0)</f>
        <v>#REF!</v>
      </c>
      <c r="H266" t="e">
        <f>IF(#REF!,"AAAAAC7XJgc=",0)</f>
        <v>#REF!</v>
      </c>
      <c r="I266" t="e">
        <f>IF(#REF!,"AAAAAC7XJgg=",0)</f>
        <v>#REF!</v>
      </c>
      <c r="J266" t="e">
        <f>IF(#REF!,"AAAAAC7XJgk=",0)</f>
        <v>#REF!</v>
      </c>
      <c r="K266" t="e">
        <f>IF(#REF!,"AAAAAC7XJgo=",0)</f>
        <v>#REF!</v>
      </c>
      <c r="L266" t="e">
        <f>IF(#REF!,"AAAAAC7XJgs=",0)</f>
        <v>#REF!</v>
      </c>
      <c r="M266" t="e">
        <f>IF(#REF!,"AAAAAC7XJgw=",0)</f>
        <v>#REF!</v>
      </c>
      <c r="N266" t="e">
        <f>IF(#REF!,"AAAAAC7XJg0=",0)</f>
        <v>#REF!</v>
      </c>
      <c r="O266" t="e">
        <f>IF(#REF!,"AAAAAC7XJg4=",0)</f>
        <v>#REF!</v>
      </c>
      <c r="P266" t="e">
        <f>IF(#REF!,"AAAAAC7XJg8=",0)</f>
        <v>#REF!</v>
      </c>
      <c r="Q266" t="e">
        <f>IF(#REF!,"AAAAAC7XJhA=",0)</f>
        <v>#REF!</v>
      </c>
      <c r="R266" t="e">
        <f>IF(#REF!,"AAAAAC7XJhE=",0)</f>
        <v>#REF!</v>
      </c>
      <c r="S266" t="e">
        <f>IF(#REF!,"AAAAAC7XJhI=",0)</f>
        <v>#REF!</v>
      </c>
      <c r="T266" t="e">
        <f>IF(#REF!,"AAAAAC7XJhM=",0)</f>
        <v>#REF!</v>
      </c>
      <c r="U266" t="e">
        <f>IF(#REF!,"AAAAAC7XJhQ=",0)</f>
        <v>#REF!</v>
      </c>
      <c r="V266" t="e">
        <f>IF(#REF!,"AAAAAC7XJhU=",0)</f>
        <v>#REF!</v>
      </c>
      <c r="W266" t="e">
        <f>IF(#REF!,"AAAAAC7XJhY=",0)</f>
        <v>#REF!</v>
      </c>
      <c r="X266" t="e">
        <f>IF(#REF!,"AAAAAC7XJhc=",0)</f>
        <v>#REF!</v>
      </c>
      <c r="Y266" t="e">
        <f>IF(#REF!,"AAAAAC7XJhg=",0)</f>
        <v>#REF!</v>
      </c>
      <c r="Z266" t="e">
        <f>IF(#REF!,"AAAAAC7XJhk=",0)</f>
        <v>#REF!</v>
      </c>
      <c r="AA266" t="e">
        <f>IF(#REF!,"AAAAAC7XJho=",0)</f>
        <v>#REF!</v>
      </c>
      <c r="AB266" t="e">
        <f>IF(#REF!,"AAAAAC7XJhs=",0)</f>
        <v>#REF!</v>
      </c>
      <c r="AC266" t="e">
        <f>IF(#REF!,"AAAAAC7XJhw=",0)</f>
        <v>#REF!</v>
      </c>
      <c r="AD266" t="e">
        <f>IF(#REF!,"AAAAAC7XJh0=",0)</f>
        <v>#REF!</v>
      </c>
      <c r="AE266" t="e">
        <f>IF(#REF!,"AAAAAC7XJh4=",0)</f>
        <v>#REF!</v>
      </c>
      <c r="AF266" t="e">
        <f>IF(#REF!,"AAAAAC7XJh8=",0)</f>
        <v>#REF!</v>
      </c>
      <c r="AG266" t="e">
        <f>IF(#REF!,"AAAAAC7XJiA=",0)</f>
        <v>#REF!</v>
      </c>
      <c r="AH266" t="e">
        <f>IF(#REF!,"AAAAAC7XJiE=",0)</f>
        <v>#REF!</v>
      </c>
      <c r="AI266" t="e">
        <f>IF(#REF!,"AAAAAC7XJiI=",0)</f>
        <v>#REF!</v>
      </c>
      <c r="AJ266" t="e">
        <f>IF(#REF!,"AAAAAC7XJiM=",0)</f>
        <v>#REF!</v>
      </c>
      <c r="AK266" t="e">
        <f>IF(#REF!,"AAAAAC7XJiQ=",0)</f>
        <v>#REF!</v>
      </c>
      <c r="AL266" t="e">
        <f>IF(#REF!,"AAAAAC7XJiU=",0)</f>
        <v>#REF!</v>
      </c>
      <c r="AM266" t="e">
        <f>IF(#REF!,"AAAAAC7XJiY=",0)</f>
        <v>#REF!</v>
      </c>
      <c r="AN266" t="e">
        <f>IF(#REF!,"AAAAAC7XJic=",0)</f>
        <v>#REF!</v>
      </c>
      <c r="AO266" t="e">
        <f>IF(#REF!,"AAAAAC7XJig=",0)</f>
        <v>#REF!</v>
      </c>
      <c r="AP266" t="e">
        <f>IF(#REF!,"AAAAAC7XJik=",0)</f>
        <v>#REF!</v>
      </c>
      <c r="AQ266" t="e">
        <f>IF(#REF!,"AAAAAC7XJio=",0)</f>
        <v>#REF!</v>
      </c>
      <c r="AR266" t="e">
        <f>IF(#REF!,"AAAAAC7XJis=",0)</f>
        <v>#REF!</v>
      </c>
      <c r="AS266" t="e">
        <f>IF(#REF!,"AAAAAC7XJiw=",0)</f>
        <v>#REF!</v>
      </c>
      <c r="AT266" t="e">
        <f>IF(#REF!,"AAAAAC7XJi0=",0)</f>
        <v>#REF!</v>
      </c>
      <c r="AU266" t="e">
        <f>IF(#REF!,"AAAAAC7XJi4=",0)</f>
        <v>#REF!</v>
      </c>
      <c r="AV266" t="e">
        <f>IF(#REF!,"AAAAAC7XJi8=",0)</f>
        <v>#REF!</v>
      </c>
      <c r="AW266" t="e">
        <f>IF(#REF!,"AAAAAC7XJjA=",0)</f>
        <v>#REF!</v>
      </c>
      <c r="AX266" t="e">
        <f>IF(#REF!,"AAAAAC7XJjE=",0)</f>
        <v>#REF!</v>
      </c>
      <c r="AY266" t="e">
        <f>IF(#REF!,"AAAAAC7XJjI=",0)</f>
        <v>#REF!</v>
      </c>
      <c r="AZ266" t="e">
        <f>IF(#REF!,"AAAAAC7XJjM=",0)</f>
        <v>#REF!</v>
      </c>
      <c r="BA266" t="e">
        <f>IF(#REF!,"AAAAAC7XJjQ=",0)</f>
        <v>#REF!</v>
      </c>
      <c r="BB266" t="e">
        <f>IF(#REF!,"AAAAAC7XJjU=",0)</f>
        <v>#REF!</v>
      </c>
      <c r="BC266" t="e">
        <f>IF(#REF!,"AAAAAC7XJjY=",0)</f>
        <v>#REF!</v>
      </c>
      <c r="BD266" t="e">
        <f>IF(#REF!,"AAAAAC7XJjc=",0)</f>
        <v>#REF!</v>
      </c>
      <c r="BE266" t="e">
        <f>IF(#REF!,"AAAAAC7XJjg=",0)</f>
        <v>#REF!</v>
      </c>
      <c r="BF266" t="e">
        <f>IF(#REF!,"AAAAAC7XJjk=",0)</f>
        <v>#REF!</v>
      </c>
      <c r="BG266" t="e">
        <f>IF(#REF!,"AAAAAC7XJjo=",0)</f>
        <v>#REF!</v>
      </c>
      <c r="BH266" t="e">
        <f>IF(#REF!,"AAAAAC7XJjs=",0)</f>
        <v>#REF!</v>
      </c>
      <c r="BI266" t="e">
        <f>IF(#REF!,"AAAAAC7XJjw=",0)</f>
        <v>#REF!</v>
      </c>
      <c r="BJ266" t="e">
        <f>IF(#REF!,"AAAAAC7XJj0=",0)</f>
        <v>#REF!</v>
      </c>
      <c r="BK266" t="e">
        <f>IF(#REF!,"AAAAAC7XJj4=",0)</f>
        <v>#REF!</v>
      </c>
      <c r="BL266" t="e">
        <f>IF(#REF!,"AAAAAC7XJj8=",0)</f>
        <v>#REF!</v>
      </c>
      <c r="BM266" t="e">
        <f>IF(#REF!,"AAAAAC7XJkA=",0)</f>
        <v>#REF!</v>
      </c>
      <c r="BN266" t="e">
        <f>IF(#REF!,"AAAAAC7XJkE=",0)</f>
        <v>#REF!</v>
      </c>
      <c r="BO266" t="e">
        <f>IF(#REF!,"AAAAAC7XJkI=",0)</f>
        <v>#REF!</v>
      </c>
      <c r="BP266" t="e">
        <f>IF(#REF!,"AAAAAC7XJkM=",0)</f>
        <v>#REF!</v>
      </c>
      <c r="BQ266" t="e">
        <f>IF(#REF!,"AAAAAC7XJkQ=",0)</f>
        <v>#REF!</v>
      </c>
      <c r="BR266" t="e">
        <f>IF(#REF!,"AAAAAC7XJkU=",0)</f>
        <v>#REF!</v>
      </c>
      <c r="BS266" t="e">
        <f>IF(#REF!,"AAAAAC7XJkY=",0)</f>
        <v>#REF!</v>
      </c>
      <c r="BT266" t="e">
        <f>IF(#REF!,"AAAAAC7XJkc=",0)</f>
        <v>#REF!</v>
      </c>
      <c r="BU266" t="e">
        <f>IF(#REF!,"AAAAAC7XJkg=",0)</f>
        <v>#REF!</v>
      </c>
      <c r="BV266" t="e">
        <f>IF(#REF!,"AAAAAC7XJkk=",0)</f>
        <v>#REF!</v>
      </c>
      <c r="BW266" t="e">
        <f>IF(#REF!,"AAAAAC7XJko=",0)</f>
        <v>#REF!</v>
      </c>
      <c r="BX266" t="e">
        <f>IF(#REF!,"AAAAAC7XJks=",0)</f>
        <v>#REF!</v>
      </c>
      <c r="BY266" t="e">
        <f>IF(#REF!,"AAAAAC7XJkw=",0)</f>
        <v>#REF!</v>
      </c>
      <c r="BZ266" t="e">
        <f>IF(#REF!,"AAAAAC7XJk0=",0)</f>
        <v>#REF!</v>
      </c>
      <c r="CA266" t="e">
        <f>IF(#REF!,"AAAAAC7XJk4=",0)</f>
        <v>#REF!</v>
      </c>
      <c r="CB266" t="e">
        <f>IF(#REF!,"AAAAAC7XJk8=",0)</f>
        <v>#REF!</v>
      </c>
      <c r="CC266" t="e">
        <f>IF(#REF!,"AAAAAC7XJlA=",0)</f>
        <v>#REF!</v>
      </c>
      <c r="CD266" t="e">
        <f>IF(#REF!,"AAAAAC7XJlE=",0)</f>
        <v>#REF!</v>
      </c>
      <c r="CE266" t="e">
        <f>IF(#REF!,"AAAAAC7XJlI=",0)</f>
        <v>#REF!</v>
      </c>
      <c r="CF266" t="e">
        <f>IF(#REF!,"AAAAAC7XJlM=",0)</f>
        <v>#REF!</v>
      </c>
      <c r="CG266" t="e">
        <f>IF(#REF!,"AAAAAC7XJlQ=",0)</f>
        <v>#REF!</v>
      </c>
      <c r="CH266" t="e">
        <f>IF(#REF!,"AAAAAC7XJlU=",0)</f>
        <v>#REF!</v>
      </c>
      <c r="CI266" t="e">
        <f>IF(#REF!,"AAAAAC7XJlY=",0)</f>
        <v>#REF!</v>
      </c>
      <c r="CJ266" t="e">
        <f>IF(#REF!,"AAAAAC7XJlc=",0)</f>
        <v>#REF!</v>
      </c>
      <c r="CK266" t="e">
        <f>IF(#REF!,"AAAAAC7XJlg=",0)</f>
        <v>#REF!</v>
      </c>
      <c r="CL266" t="e">
        <f>IF(#REF!,"AAAAAC7XJlk=",0)</f>
        <v>#REF!</v>
      </c>
      <c r="CM266" t="e">
        <f>IF(#REF!,"AAAAAC7XJlo=",0)</f>
        <v>#REF!</v>
      </c>
      <c r="CN266" t="e">
        <f>IF(#REF!,"AAAAAC7XJls=",0)</f>
        <v>#REF!</v>
      </c>
      <c r="CO266" t="e">
        <f>IF(#REF!,"AAAAAC7XJlw=",0)</f>
        <v>#REF!</v>
      </c>
      <c r="CP266" t="e">
        <f>IF(#REF!,"AAAAAC7XJl0=",0)</f>
        <v>#REF!</v>
      </c>
      <c r="CQ266" t="e">
        <f>IF(#REF!,"AAAAAC7XJl4=",0)</f>
        <v>#REF!</v>
      </c>
      <c r="CR266" t="e">
        <f>IF(#REF!,"AAAAAC7XJl8=",0)</f>
        <v>#REF!</v>
      </c>
      <c r="CS266" t="e">
        <f>IF(#REF!,"AAAAAC7XJmA=",0)</f>
        <v>#REF!</v>
      </c>
      <c r="CT266" t="e">
        <f>IF(#REF!,"AAAAAC7XJmE=",0)</f>
        <v>#REF!</v>
      </c>
      <c r="CU266" t="e">
        <f>IF(#REF!,"AAAAAC7XJmI=",0)</f>
        <v>#REF!</v>
      </c>
      <c r="CV266" t="e">
        <f>IF(#REF!,"AAAAAC7XJmM=",0)</f>
        <v>#REF!</v>
      </c>
      <c r="CW266" t="e">
        <f>IF(#REF!,"AAAAAC7XJmQ=",0)</f>
        <v>#REF!</v>
      </c>
      <c r="CX266" t="e">
        <f>IF(#REF!,"AAAAAC7XJmU=",0)</f>
        <v>#REF!</v>
      </c>
      <c r="CY266" t="e">
        <f>IF(#REF!,"AAAAAC7XJmY=",0)</f>
        <v>#REF!</v>
      </c>
      <c r="CZ266" t="e">
        <f>IF(#REF!,"AAAAAC7XJmc=",0)</f>
        <v>#REF!</v>
      </c>
      <c r="DA266" t="e">
        <f>IF(#REF!,"AAAAAC7XJmg=",0)</f>
        <v>#REF!</v>
      </c>
      <c r="DB266" t="e">
        <f>IF(#REF!,"AAAAAC7XJmk=",0)</f>
        <v>#REF!</v>
      </c>
      <c r="DC266" t="e">
        <f>IF(#REF!,"AAAAAC7XJmo=",0)</f>
        <v>#REF!</v>
      </c>
      <c r="DD266" t="e">
        <f>IF(#REF!,"AAAAAC7XJms=",0)</f>
        <v>#REF!</v>
      </c>
      <c r="DE266" t="e">
        <f>IF(#REF!,"AAAAAC7XJmw=",0)</f>
        <v>#REF!</v>
      </c>
      <c r="DF266" t="e">
        <f>IF(#REF!,"AAAAAC7XJm0=",0)</f>
        <v>#REF!</v>
      </c>
      <c r="DG266" t="e">
        <f>IF(#REF!,"AAAAAC7XJm4=",0)</f>
        <v>#REF!</v>
      </c>
      <c r="DH266" t="e">
        <f>IF(#REF!,"AAAAAC7XJm8=",0)</f>
        <v>#REF!</v>
      </c>
      <c r="DI266" t="e">
        <f>IF(#REF!,"AAAAAC7XJnA=",0)</f>
        <v>#REF!</v>
      </c>
      <c r="DJ266" t="e">
        <f>IF(#REF!,"AAAAAC7XJnE=",0)</f>
        <v>#REF!</v>
      </c>
      <c r="DK266" t="e">
        <f>IF(#REF!,"AAAAAC7XJnI=",0)</f>
        <v>#REF!</v>
      </c>
      <c r="DL266" t="e">
        <f>IF(#REF!,"AAAAAC7XJnM=",0)</f>
        <v>#REF!</v>
      </c>
      <c r="DM266" t="e">
        <f>IF(#REF!,"AAAAAC7XJnQ=",0)</f>
        <v>#REF!</v>
      </c>
      <c r="DN266" t="e">
        <f>IF(#REF!,"AAAAAC7XJnU=",0)</f>
        <v>#REF!</v>
      </c>
      <c r="DO266" t="e">
        <f>IF(#REF!,"AAAAAC7XJnY=",0)</f>
        <v>#REF!</v>
      </c>
      <c r="DP266" t="e">
        <f>IF(#REF!,"AAAAAC7XJnc=",0)</f>
        <v>#REF!</v>
      </c>
      <c r="DQ266" t="e">
        <f>IF(#REF!,"AAAAAC7XJng=",0)</f>
        <v>#REF!</v>
      </c>
      <c r="DR266" t="e">
        <f>IF(#REF!,"AAAAAC7XJnk=",0)</f>
        <v>#REF!</v>
      </c>
      <c r="DS266" t="e">
        <f>IF(#REF!,"AAAAAC7XJno=",0)</f>
        <v>#REF!</v>
      </c>
      <c r="DT266" t="e">
        <f>IF(#REF!,"AAAAAC7XJns=",0)</f>
        <v>#REF!</v>
      </c>
      <c r="DU266" t="e">
        <f>IF(#REF!,"AAAAAC7XJnw=",0)</f>
        <v>#REF!</v>
      </c>
      <c r="DV266" t="e">
        <f>IF(#REF!,"AAAAAC7XJn0=",0)</f>
        <v>#REF!</v>
      </c>
      <c r="DW266" t="e">
        <f>IF(#REF!,"AAAAAC7XJn4=",0)</f>
        <v>#REF!</v>
      </c>
      <c r="DX266" t="e">
        <f>IF(#REF!,"AAAAAC7XJn8=",0)</f>
        <v>#REF!</v>
      </c>
      <c r="DY266" t="e">
        <f>IF(#REF!,"AAAAAC7XJoA=",0)</f>
        <v>#REF!</v>
      </c>
      <c r="DZ266" t="e">
        <f>IF(#REF!,"AAAAAC7XJoE=",0)</f>
        <v>#REF!</v>
      </c>
      <c r="EA266" t="e">
        <f>IF(#REF!,"AAAAAC7XJoI=",0)</f>
        <v>#REF!</v>
      </c>
      <c r="EB266" t="e">
        <f>IF(#REF!,"AAAAAC7XJoM=",0)</f>
        <v>#REF!</v>
      </c>
      <c r="EC266" t="e">
        <f>IF(#REF!,"AAAAAC7XJoQ=",0)</f>
        <v>#REF!</v>
      </c>
      <c r="ED266" t="e">
        <f>IF(#REF!,"AAAAAC7XJoU=",0)</f>
        <v>#REF!</v>
      </c>
      <c r="EE266" t="e">
        <f>IF(#REF!,"AAAAAC7XJoY=",0)</f>
        <v>#REF!</v>
      </c>
      <c r="EF266" t="e">
        <f>IF(#REF!,"AAAAAC7XJoc=",0)</f>
        <v>#REF!</v>
      </c>
      <c r="EG266" t="e">
        <f>IF(#REF!,"AAAAAC7XJog=",0)</f>
        <v>#REF!</v>
      </c>
      <c r="EH266" t="e">
        <f>IF(#REF!,"AAAAAC7XJok=",0)</f>
        <v>#REF!</v>
      </c>
      <c r="EI266" t="e">
        <f>IF(#REF!,"AAAAAC7XJoo=",0)</f>
        <v>#REF!</v>
      </c>
      <c r="EJ266" t="e">
        <f>IF(#REF!,"AAAAAC7XJos=",0)</f>
        <v>#REF!</v>
      </c>
      <c r="EK266" t="e">
        <f>IF(#REF!,"AAAAAC7XJow=",0)</f>
        <v>#REF!</v>
      </c>
      <c r="EL266" t="e">
        <f>IF(#REF!,"AAAAAC7XJo0=",0)</f>
        <v>#REF!</v>
      </c>
      <c r="EM266" t="e">
        <f>IF(#REF!,"AAAAAC7XJo4=",0)</f>
        <v>#REF!</v>
      </c>
      <c r="EN266" t="e">
        <f>IF(#REF!,"AAAAAC7XJo8=",0)</f>
        <v>#REF!</v>
      </c>
      <c r="EO266" t="e">
        <f>IF(#REF!,"AAAAAC7XJpA=",0)</f>
        <v>#REF!</v>
      </c>
      <c r="EP266" t="e">
        <f>IF(#REF!,"AAAAAC7XJpE=",0)</f>
        <v>#REF!</v>
      </c>
      <c r="EQ266" t="e">
        <f>IF(#REF!,"AAAAAC7XJpI=",0)</f>
        <v>#REF!</v>
      </c>
      <c r="ER266" t="e">
        <f>IF(#REF!,"AAAAAC7XJpM=",0)</f>
        <v>#REF!</v>
      </c>
      <c r="ES266" t="e">
        <f>IF(#REF!,"AAAAAC7XJpQ=",0)</f>
        <v>#REF!</v>
      </c>
      <c r="ET266" t="e">
        <f>IF(#REF!,"AAAAAC7XJpU=",0)</f>
        <v>#REF!</v>
      </c>
      <c r="EU266" t="e">
        <f>IF(#REF!,"AAAAAC7XJpY=",0)</f>
        <v>#REF!</v>
      </c>
      <c r="EV266" t="e">
        <f>IF(#REF!,"AAAAAC7XJpc=",0)</f>
        <v>#REF!</v>
      </c>
      <c r="EW266" t="e">
        <f>IF(#REF!,"AAAAAC7XJpg=",0)</f>
        <v>#REF!</v>
      </c>
      <c r="EX266" t="e">
        <f>IF(#REF!,"AAAAAC7XJpk=",0)</f>
        <v>#REF!</v>
      </c>
      <c r="EY266" t="e">
        <f>IF(#REF!,"AAAAAC7XJpo=",0)</f>
        <v>#REF!</v>
      </c>
      <c r="EZ266" t="e">
        <f>IF(#REF!,"AAAAAC7XJps=",0)</f>
        <v>#REF!</v>
      </c>
      <c r="FA266" t="e">
        <f>IF(#REF!,"AAAAAC7XJpw=",0)</f>
        <v>#REF!</v>
      </c>
      <c r="FB266" t="e">
        <f>IF(#REF!,"AAAAAC7XJp0=",0)</f>
        <v>#REF!</v>
      </c>
      <c r="FC266" t="e">
        <f>IF(#REF!,"AAAAAC7XJp4=",0)</f>
        <v>#REF!</v>
      </c>
      <c r="FD266" t="e">
        <f>IF(#REF!,"AAAAAC7XJp8=",0)</f>
        <v>#REF!</v>
      </c>
      <c r="FE266" t="e">
        <f>IF(#REF!,"AAAAAC7XJqA=",0)</f>
        <v>#REF!</v>
      </c>
      <c r="FF266" t="e">
        <f>IF(#REF!,"AAAAAC7XJqE=",0)</f>
        <v>#REF!</v>
      </c>
      <c r="FG266" t="e">
        <f>IF(#REF!,"AAAAAC7XJqI=",0)</f>
        <v>#REF!</v>
      </c>
      <c r="FH266" t="e">
        <f>IF(#REF!,"AAAAAC7XJqM=",0)</f>
        <v>#REF!</v>
      </c>
      <c r="FI266" t="e">
        <f>IF(#REF!,"AAAAAC7XJqQ=",0)</f>
        <v>#REF!</v>
      </c>
      <c r="FJ266" t="e">
        <f>IF(#REF!,"AAAAAC7XJqU=",0)</f>
        <v>#REF!</v>
      </c>
      <c r="FK266" t="e">
        <f>IF(#REF!,"AAAAAC7XJqY=",0)</f>
        <v>#REF!</v>
      </c>
      <c r="FL266" t="e">
        <f>IF(#REF!,"AAAAAC7XJqc=",0)</f>
        <v>#REF!</v>
      </c>
      <c r="FM266" t="e">
        <f>IF(#REF!,"AAAAAC7XJqg=",0)</f>
        <v>#REF!</v>
      </c>
      <c r="FN266" t="e">
        <f>IF(#REF!,"AAAAAC7XJqk=",0)</f>
        <v>#REF!</v>
      </c>
      <c r="FO266" t="e">
        <f>IF(#REF!,"AAAAAC7XJqo=",0)</f>
        <v>#REF!</v>
      </c>
      <c r="FP266" t="e">
        <f>IF(#REF!,"AAAAAC7XJqs=",0)</f>
        <v>#REF!</v>
      </c>
      <c r="FQ266" t="e">
        <f>IF(#REF!,"AAAAAC7XJqw=",0)</f>
        <v>#REF!</v>
      </c>
      <c r="FR266" t="e">
        <f>IF(#REF!,"AAAAAC7XJq0=",0)</f>
        <v>#REF!</v>
      </c>
      <c r="FS266" t="e">
        <f>IF(#REF!,"AAAAAC7XJq4=",0)</f>
        <v>#REF!</v>
      </c>
      <c r="FT266" t="e">
        <f>IF(#REF!,"AAAAAC7XJq8=",0)</f>
        <v>#REF!</v>
      </c>
      <c r="FU266" t="e">
        <f>IF(#REF!,"AAAAAC7XJrA=",0)</f>
        <v>#REF!</v>
      </c>
      <c r="FV266" t="e">
        <f>IF(#REF!,"AAAAAC7XJrE=",0)</f>
        <v>#REF!</v>
      </c>
      <c r="FW266" t="e">
        <f>IF(#REF!,"AAAAAC7XJrI=",0)</f>
        <v>#REF!</v>
      </c>
      <c r="FX266" t="e">
        <f>IF(#REF!,"AAAAAC7XJrM=",0)</f>
        <v>#REF!</v>
      </c>
      <c r="FY266" t="e">
        <f>IF(#REF!,"AAAAAC7XJrQ=",0)</f>
        <v>#REF!</v>
      </c>
      <c r="FZ266" t="e">
        <f>IF(#REF!,"AAAAAC7XJrU=",0)</f>
        <v>#REF!</v>
      </c>
      <c r="GA266" t="e">
        <f>IF(#REF!,"AAAAAC7XJrY=",0)</f>
        <v>#REF!</v>
      </c>
      <c r="GB266" t="e">
        <f>IF(#REF!,"AAAAAC7XJrc=",0)</f>
        <v>#REF!</v>
      </c>
      <c r="GC266" t="e">
        <f>IF(#REF!,"AAAAAC7XJrg=",0)</f>
        <v>#REF!</v>
      </c>
      <c r="GD266" t="e">
        <f>IF(#REF!,"AAAAAC7XJrk=",0)</f>
        <v>#REF!</v>
      </c>
      <c r="GE266" t="e">
        <f>IF(#REF!,"AAAAAC7XJro=",0)</f>
        <v>#REF!</v>
      </c>
      <c r="GF266" t="e">
        <f>IF(#REF!,"AAAAAC7XJrs=",0)</f>
        <v>#REF!</v>
      </c>
      <c r="GG266" t="e">
        <f>IF(#REF!,"AAAAAC7XJrw=",0)</f>
        <v>#REF!</v>
      </c>
      <c r="GH266" t="e">
        <f>IF(#REF!,"AAAAAC7XJr0=",0)</f>
        <v>#REF!</v>
      </c>
      <c r="GI266" t="e">
        <f>IF(#REF!,"AAAAAC7XJr4=",0)</f>
        <v>#REF!</v>
      </c>
      <c r="GJ266" t="e">
        <f>IF(#REF!,"AAAAAC7XJr8=",0)</f>
        <v>#REF!</v>
      </c>
      <c r="GK266" t="e">
        <f>IF(#REF!,"AAAAAC7XJsA=",0)</f>
        <v>#REF!</v>
      </c>
      <c r="GL266" t="e">
        <f>IF(#REF!,"AAAAAC7XJsE=",0)</f>
        <v>#REF!</v>
      </c>
      <c r="GM266" t="e">
        <f>IF(#REF!,"AAAAAC7XJsI=",0)</f>
        <v>#REF!</v>
      </c>
      <c r="GN266" t="e">
        <f>IF(#REF!,"AAAAAC7XJsM=",0)</f>
        <v>#REF!</v>
      </c>
      <c r="GO266" t="e">
        <f>IF(#REF!,"AAAAAC7XJsQ=",0)</f>
        <v>#REF!</v>
      </c>
      <c r="GP266" t="e">
        <f>IF(#REF!,"AAAAAC7XJsU=",0)</f>
        <v>#REF!</v>
      </c>
      <c r="GQ266" t="e">
        <f>IF(#REF!,"AAAAAC7XJsY=",0)</f>
        <v>#REF!</v>
      </c>
      <c r="GR266" t="e">
        <f>IF(#REF!,"AAAAAC7XJsc=",0)</f>
        <v>#REF!</v>
      </c>
      <c r="GS266" t="e">
        <f>IF(#REF!,"AAAAAC7XJsg=",0)</f>
        <v>#REF!</v>
      </c>
      <c r="GT266" t="e">
        <f>IF(#REF!,"AAAAAC7XJsk=",0)</f>
        <v>#REF!</v>
      </c>
      <c r="GU266" t="e">
        <f>IF(#REF!,"AAAAAC7XJso=",0)</f>
        <v>#REF!</v>
      </c>
      <c r="GV266" t="e">
        <f>IF(#REF!,"AAAAAC7XJss=",0)</f>
        <v>#REF!</v>
      </c>
      <c r="GW266" t="e">
        <f>IF(#REF!,"AAAAAC7XJsw=",0)</f>
        <v>#REF!</v>
      </c>
      <c r="GX266" t="e">
        <f>IF(#REF!,"AAAAAC7XJs0=",0)</f>
        <v>#REF!</v>
      </c>
      <c r="GY266" t="e">
        <f>IF(#REF!,"AAAAAC7XJs4=",0)</f>
        <v>#REF!</v>
      </c>
      <c r="GZ266" t="e">
        <f>IF(#REF!,"AAAAAC7XJs8=",0)</f>
        <v>#REF!</v>
      </c>
      <c r="HA266" t="e">
        <f>IF(#REF!,"AAAAAC7XJtA=",0)</f>
        <v>#REF!</v>
      </c>
      <c r="HB266" t="e">
        <f>IF(#REF!,"AAAAAC7XJtE=",0)</f>
        <v>#REF!</v>
      </c>
      <c r="HC266" t="e">
        <f>IF(#REF!,"AAAAAC7XJtI=",0)</f>
        <v>#REF!</v>
      </c>
      <c r="HD266" t="e">
        <f>IF(#REF!,"AAAAAC7XJtM=",0)</f>
        <v>#REF!</v>
      </c>
      <c r="HE266" t="e">
        <f>IF(#REF!,"AAAAAC7XJtQ=",0)</f>
        <v>#REF!</v>
      </c>
      <c r="HF266" t="e">
        <f>IF(#REF!,"AAAAAC7XJtU=",0)</f>
        <v>#REF!</v>
      </c>
      <c r="HG266" t="e">
        <f>IF(#REF!,"AAAAAC7XJtY=",0)</f>
        <v>#REF!</v>
      </c>
      <c r="HH266" t="e">
        <f>IF(#REF!,"AAAAAC7XJtc=",0)</f>
        <v>#REF!</v>
      </c>
      <c r="HI266" t="e">
        <f>IF(#REF!,"AAAAAC7XJtg=",0)</f>
        <v>#REF!</v>
      </c>
      <c r="HJ266" t="e">
        <f>IF(#REF!,"AAAAAC7XJtk=",0)</f>
        <v>#REF!</v>
      </c>
      <c r="HK266" t="e">
        <f>IF(#REF!,"AAAAAC7XJto=",0)</f>
        <v>#REF!</v>
      </c>
      <c r="HL266" t="e">
        <f>IF(#REF!,"AAAAAC7XJts=",0)</f>
        <v>#REF!</v>
      </c>
      <c r="HM266" t="e">
        <f>IF(#REF!,"AAAAAC7XJtw=",0)</f>
        <v>#REF!</v>
      </c>
      <c r="HN266" t="e">
        <f>IF(#REF!,"AAAAAC7XJt0=",0)</f>
        <v>#REF!</v>
      </c>
      <c r="HO266" t="e">
        <f>IF(#REF!,"AAAAAC7XJt4=",0)</f>
        <v>#REF!</v>
      </c>
      <c r="HP266" t="e">
        <f>IF(#REF!,"AAAAAC7XJt8=",0)</f>
        <v>#REF!</v>
      </c>
      <c r="HQ266" t="e">
        <f>IF(#REF!,"AAAAAC7XJuA=",0)</f>
        <v>#REF!</v>
      </c>
      <c r="HR266" t="e">
        <f>IF(#REF!,"AAAAAC7XJuE=",0)</f>
        <v>#REF!</v>
      </c>
      <c r="HS266" t="e">
        <f>IF(#REF!,"AAAAAC7XJuI=",0)</f>
        <v>#REF!</v>
      </c>
      <c r="HT266" t="e">
        <f>IF(#REF!,"AAAAAC7XJuM=",0)</f>
        <v>#REF!</v>
      </c>
      <c r="HU266" t="e">
        <f>IF(#REF!,"AAAAAC7XJuQ=",0)</f>
        <v>#REF!</v>
      </c>
      <c r="HV266" t="e">
        <f>IF(#REF!,"AAAAAC7XJuU=",0)</f>
        <v>#REF!</v>
      </c>
      <c r="HW266" t="e">
        <f>IF(#REF!,"AAAAAC7XJuY=",0)</f>
        <v>#REF!</v>
      </c>
      <c r="HX266" t="e">
        <f>IF(#REF!,"AAAAAC7XJuc=",0)</f>
        <v>#REF!</v>
      </c>
      <c r="HY266" t="e">
        <f>IF(#REF!,"AAAAAC7XJug=",0)</f>
        <v>#REF!</v>
      </c>
      <c r="HZ266" t="e">
        <f>IF(#REF!,"AAAAAC7XJuk=",0)</f>
        <v>#REF!</v>
      </c>
      <c r="IA266" t="e">
        <f>IF(#REF!,"AAAAAC7XJuo=",0)</f>
        <v>#REF!</v>
      </c>
      <c r="IB266" t="e">
        <f>IF(#REF!,"AAAAAC7XJus=",0)</f>
        <v>#REF!</v>
      </c>
      <c r="IC266" t="e">
        <f>IF(#REF!,"AAAAAC7XJuw=",0)</f>
        <v>#REF!</v>
      </c>
      <c r="ID266" t="e">
        <f>IF(#REF!,"AAAAAC7XJu0=",0)</f>
        <v>#REF!</v>
      </c>
      <c r="IE266" t="e">
        <f>IF(#REF!,"AAAAAC7XJu4=",0)</f>
        <v>#REF!</v>
      </c>
      <c r="IF266" t="e">
        <f>IF(#REF!,"AAAAAC7XJu8=",0)</f>
        <v>#REF!</v>
      </c>
      <c r="IG266" t="e">
        <f>IF(#REF!,"AAAAAC7XJvA=",0)</f>
        <v>#REF!</v>
      </c>
      <c r="IH266" t="e">
        <f>IF(#REF!,"AAAAAC7XJvE=",0)</f>
        <v>#REF!</v>
      </c>
      <c r="II266" t="e">
        <f>IF(#REF!,"AAAAAC7XJvI=",0)</f>
        <v>#REF!</v>
      </c>
      <c r="IJ266" t="e">
        <f>IF(#REF!,"AAAAAC7XJvM=",0)</f>
        <v>#REF!</v>
      </c>
      <c r="IK266" t="e">
        <f>IF(#REF!,"AAAAAC7XJvQ=",0)</f>
        <v>#REF!</v>
      </c>
      <c r="IL266" t="e">
        <f>IF(#REF!,"AAAAAC7XJvU=",0)</f>
        <v>#REF!</v>
      </c>
      <c r="IM266" t="e">
        <f>IF(#REF!,"AAAAAC7XJvY=",0)</f>
        <v>#REF!</v>
      </c>
      <c r="IN266" t="e">
        <f>IF(#REF!,"AAAAAC7XJvc=",0)</f>
        <v>#REF!</v>
      </c>
      <c r="IO266" t="e">
        <f>IF(#REF!,"AAAAAC7XJvg=",0)</f>
        <v>#REF!</v>
      </c>
      <c r="IP266" t="e">
        <f>IF(#REF!,"AAAAAC7XJvk=",0)</f>
        <v>#REF!</v>
      </c>
      <c r="IQ266" t="e">
        <f>IF(#REF!,"AAAAAC7XJvo=",0)</f>
        <v>#REF!</v>
      </c>
      <c r="IR266" t="e">
        <f>IF(#REF!,"AAAAAC7XJvs=",0)</f>
        <v>#REF!</v>
      </c>
      <c r="IS266" t="e">
        <f>IF(#REF!,"AAAAAC7XJvw=",0)</f>
        <v>#REF!</v>
      </c>
      <c r="IT266" t="e">
        <f>IF(#REF!,"AAAAAC7XJv0=",0)</f>
        <v>#REF!</v>
      </c>
      <c r="IU266" t="e">
        <f>IF(#REF!,"AAAAAC7XJv4=",0)</f>
        <v>#REF!</v>
      </c>
      <c r="IV266" t="e">
        <f>IF(#REF!,"AAAAAC7XJv8=",0)</f>
        <v>#REF!</v>
      </c>
    </row>
    <row r="267" spans="1:256">
      <c r="A267" t="e">
        <f>IF(#REF!,"AAAAACf9LwA=",0)</f>
        <v>#REF!</v>
      </c>
      <c r="B267" t="e">
        <f>IF(#REF!,"AAAAACf9LwE=",0)</f>
        <v>#REF!</v>
      </c>
      <c r="C267" t="e">
        <f>IF(#REF!,"AAAAACf9LwI=",0)</f>
        <v>#REF!</v>
      </c>
      <c r="D267" t="e">
        <f>IF(#REF!,"AAAAACf9LwM=",0)</f>
        <v>#REF!</v>
      </c>
      <c r="E267" t="e">
        <f>IF(#REF!,"AAAAACf9LwQ=",0)</f>
        <v>#REF!</v>
      </c>
      <c r="F267" t="e">
        <f>IF(#REF!,"AAAAACf9LwU=",0)</f>
        <v>#REF!</v>
      </c>
      <c r="G267" t="e">
        <f>IF(#REF!,"AAAAACf9LwY=",0)</f>
        <v>#REF!</v>
      </c>
      <c r="H267" t="e">
        <f>IF(#REF!,"AAAAACf9Lwc=",0)</f>
        <v>#REF!</v>
      </c>
      <c r="I267" t="e">
        <f>IF(#REF!,"AAAAACf9Lwg=",0)</f>
        <v>#REF!</v>
      </c>
      <c r="J267" t="e">
        <f>IF(#REF!,"AAAAACf9Lwk=",0)</f>
        <v>#REF!</v>
      </c>
      <c r="K267" t="e">
        <f>IF(#REF!,"AAAAACf9Lwo=",0)</f>
        <v>#REF!</v>
      </c>
      <c r="L267" t="e">
        <f>IF(#REF!,"AAAAACf9Lws=",0)</f>
        <v>#REF!</v>
      </c>
      <c r="M267" t="e">
        <f>IF(#REF!,"AAAAACf9Lww=",0)</f>
        <v>#REF!</v>
      </c>
      <c r="N267" t="e">
        <f>IF(#REF!,"AAAAACf9Lw0=",0)</f>
        <v>#REF!</v>
      </c>
      <c r="O267" t="e">
        <f>IF(#REF!,"AAAAACf9Lw4=",0)</f>
        <v>#REF!</v>
      </c>
      <c r="P267" t="e">
        <f>IF(#REF!,"AAAAACf9Lw8=",0)</f>
        <v>#REF!</v>
      </c>
      <c r="Q267" t="e">
        <f>IF(#REF!,"AAAAACf9LxA=",0)</f>
        <v>#REF!</v>
      </c>
      <c r="R267" t="e">
        <f>IF(#REF!,"AAAAACf9LxE=",0)</f>
        <v>#REF!</v>
      </c>
      <c r="S267" t="e">
        <f>IF(#REF!,"AAAAACf9LxI=",0)</f>
        <v>#REF!</v>
      </c>
      <c r="T267" t="e">
        <f>IF(#REF!,"AAAAACf9LxM=",0)</f>
        <v>#REF!</v>
      </c>
      <c r="U267" t="e">
        <f>IF(#REF!,"AAAAACf9LxQ=",0)</f>
        <v>#REF!</v>
      </c>
      <c r="V267" t="e">
        <f>IF(#REF!,"AAAAACf9LxU=",0)</f>
        <v>#REF!</v>
      </c>
      <c r="W267" t="e">
        <f>IF(#REF!,"AAAAACf9LxY=",0)</f>
        <v>#REF!</v>
      </c>
      <c r="X267" t="e">
        <f>IF(#REF!,"AAAAACf9Lxc=",0)</f>
        <v>#REF!</v>
      </c>
      <c r="Y267" t="e">
        <f>IF(#REF!,"AAAAACf9Lxg=",0)</f>
        <v>#REF!</v>
      </c>
      <c r="Z267" t="e">
        <f>IF(#REF!,"AAAAACf9Lxk=",0)</f>
        <v>#REF!</v>
      </c>
      <c r="AA267" t="e">
        <f>IF(#REF!,"AAAAACf9Lxo=",0)</f>
        <v>#REF!</v>
      </c>
      <c r="AB267" t="e">
        <f>IF(#REF!,"AAAAACf9Lxs=",0)</f>
        <v>#REF!</v>
      </c>
      <c r="AC267" t="e">
        <f>IF(#REF!,"AAAAACf9Lxw=",0)</f>
        <v>#REF!</v>
      </c>
      <c r="AD267" t="e">
        <f>IF(#REF!,"AAAAACf9Lx0=",0)</f>
        <v>#REF!</v>
      </c>
      <c r="AE267" t="e">
        <f>IF(#REF!,"AAAAACf9Lx4=",0)</f>
        <v>#REF!</v>
      </c>
      <c r="AF267" t="e">
        <f>IF(#REF!,"AAAAACf9Lx8=",0)</f>
        <v>#REF!</v>
      </c>
      <c r="AG267" t="e">
        <f>IF(#REF!,"AAAAACf9LyA=",0)</f>
        <v>#REF!</v>
      </c>
      <c r="AH267" t="e">
        <f>IF(#REF!,"AAAAACf9LyE=",0)</f>
        <v>#REF!</v>
      </c>
      <c r="AI267" t="e">
        <f>IF(#REF!,"AAAAACf9LyI=",0)</f>
        <v>#REF!</v>
      </c>
      <c r="AJ267" t="e">
        <f>IF(#REF!,"AAAAACf9LyM=",0)</f>
        <v>#REF!</v>
      </c>
      <c r="AK267" t="e">
        <f>IF(#REF!,"AAAAACf9LyQ=",0)</f>
        <v>#REF!</v>
      </c>
      <c r="AL267" t="e">
        <f>IF(#REF!,"AAAAACf9LyU=",0)</f>
        <v>#REF!</v>
      </c>
      <c r="AM267" t="e">
        <f>IF(#REF!,"AAAAACf9LyY=",0)</f>
        <v>#REF!</v>
      </c>
      <c r="AN267" t="e">
        <f>IF(#REF!,"AAAAACf9Lyc=",0)</f>
        <v>#REF!</v>
      </c>
      <c r="AO267" t="e">
        <f>IF(#REF!,"AAAAACf9Lyg=",0)</f>
        <v>#REF!</v>
      </c>
      <c r="AP267" t="e">
        <f>IF(#REF!,"AAAAACf9Lyk=",0)</f>
        <v>#REF!</v>
      </c>
      <c r="AQ267" t="e">
        <f>IF(#REF!,"AAAAACf9Lyo=",0)</f>
        <v>#REF!</v>
      </c>
      <c r="AR267" t="e">
        <f>IF(#REF!,"AAAAACf9Lys=",0)</f>
        <v>#REF!</v>
      </c>
      <c r="AS267" t="e">
        <f>IF(#REF!,"AAAAACf9Lyw=",0)</f>
        <v>#REF!</v>
      </c>
      <c r="AT267" t="e">
        <f>IF(#REF!,"AAAAACf9Ly0=",0)</f>
        <v>#REF!</v>
      </c>
      <c r="AU267" t="e">
        <f>IF(#REF!,"AAAAACf9Ly4=",0)</f>
        <v>#REF!</v>
      </c>
      <c r="AV267" t="e">
        <f>IF(#REF!,"AAAAACf9Ly8=",0)</f>
        <v>#REF!</v>
      </c>
      <c r="AW267" t="e">
        <f>IF(#REF!,"AAAAACf9LzA=",0)</f>
        <v>#REF!</v>
      </c>
      <c r="AX267" t="e">
        <f>IF(#REF!,"AAAAACf9LzE=",0)</f>
        <v>#REF!</v>
      </c>
      <c r="AY267" t="e">
        <f>IF(#REF!,"AAAAACf9LzI=",0)</f>
        <v>#REF!</v>
      </c>
      <c r="AZ267" t="e">
        <f>IF(#REF!,"AAAAACf9LzM=",0)</f>
        <v>#REF!</v>
      </c>
      <c r="BA267" t="e">
        <f>IF(#REF!,"AAAAACf9LzQ=",0)</f>
        <v>#REF!</v>
      </c>
      <c r="BB267" t="e">
        <f>IF(#REF!,"AAAAACf9LzU=",0)</f>
        <v>#REF!</v>
      </c>
      <c r="BC267" t="e">
        <f>IF(#REF!,"AAAAACf9LzY=",0)</f>
        <v>#REF!</v>
      </c>
      <c r="BD267" t="e">
        <f>IF(#REF!,"AAAAACf9Lzc=",0)</f>
        <v>#REF!</v>
      </c>
      <c r="BE267" t="e">
        <f>IF(#REF!,"AAAAACf9Lzg=",0)</f>
        <v>#REF!</v>
      </c>
      <c r="BF267" t="e">
        <f>IF(#REF!,"AAAAACf9Lzk=",0)</f>
        <v>#REF!</v>
      </c>
      <c r="BG267" t="e">
        <f>IF(#REF!,"AAAAACf9Lzo=",0)</f>
        <v>#REF!</v>
      </c>
      <c r="BH267" t="e">
        <f>IF(#REF!,"AAAAACf9Lzs=",0)</f>
        <v>#REF!</v>
      </c>
      <c r="BI267" t="e">
        <f>IF(#REF!,"AAAAACf9Lzw=",0)</f>
        <v>#REF!</v>
      </c>
      <c r="BJ267" t="e">
        <f>IF(#REF!,"AAAAACf9Lz0=",0)</f>
        <v>#REF!</v>
      </c>
      <c r="BK267" t="e">
        <f>IF(#REF!,"AAAAACf9Lz4=",0)</f>
        <v>#REF!</v>
      </c>
      <c r="BL267" t="e">
        <f>IF(#REF!,"AAAAACf9Lz8=",0)</f>
        <v>#REF!</v>
      </c>
      <c r="BM267" t="e">
        <f>IF(#REF!,"AAAAACf9L0A=",0)</f>
        <v>#REF!</v>
      </c>
      <c r="BN267" t="e">
        <f>IF(#REF!,"AAAAACf9L0E=",0)</f>
        <v>#REF!</v>
      </c>
      <c r="BO267" t="e">
        <f>IF(#REF!,"AAAAACf9L0I=",0)</f>
        <v>#REF!</v>
      </c>
      <c r="BP267" t="e">
        <f>IF(#REF!,"AAAAACf9L0M=",0)</f>
        <v>#REF!</v>
      </c>
      <c r="BQ267" t="e">
        <f>IF(#REF!,"AAAAACf9L0Q=",0)</f>
        <v>#REF!</v>
      </c>
      <c r="BR267" t="e">
        <f>IF(#REF!,"AAAAACf9L0U=",0)</f>
        <v>#REF!</v>
      </c>
      <c r="BS267" t="e">
        <f>IF(#REF!,"AAAAACf9L0Y=",0)</f>
        <v>#REF!</v>
      </c>
      <c r="BT267" t="e">
        <f>IF(#REF!,"AAAAACf9L0c=",0)</f>
        <v>#REF!</v>
      </c>
      <c r="BU267" t="e">
        <f>IF(#REF!,"AAAAACf9L0g=",0)</f>
        <v>#REF!</v>
      </c>
      <c r="BV267" t="e">
        <f>IF(#REF!,"AAAAACf9L0k=",0)</f>
        <v>#REF!</v>
      </c>
      <c r="BW267" t="e">
        <f>IF(#REF!,"AAAAACf9L0o=",0)</f>
        <v>#REF!</v>
      </c>
      <c r="BX267" t="e">
        <f>IF(#REF!,"AAAAACf9L0s=",0)</f>
        <v>#REF!</v>
      </c>
      <c r="BY267" t="e">
        <f>IF(#REF!,"AAAAACf9L0w=",0)</f>
        <v>#REF!</v>
      </c>
      <c r="BZ267" t="e">
        <f>IF(#REF!,"AAAAACf9L00=",0)</f>
        <v>#REF!</v>
      </c>
      <c r="CA267" t="e">
        <f>IF(#REF!,"AAAAACf9L04=",0)</f>
        <v>#REF!</v>
      </c>
      <c r="CB267" t="e">
        <f>IF(#REF!,"AAAAACf9L08=",0)</f>
        <v>#REF!</v>
      </c>
      <c r="CC267" t="e">
        <f>IF(#REF!,"AAAAACf9L1A=",0)</f>
        <v>#REF!</v>
      </c>
      <c r="CD267" t="e">
        <f>IF(#REF!,"AAAAACf9L1E=",0)</f>
        <v>#REF!</v>
      </c>
      <c r="CE267" t="e">
        <f>IF(#REF!,"AAAAACf9L1I=",0)</f>
        <v>#REF!</v>
      </c>
      <c r="CF267" t="e">
        <f>IF(#REF!,"AAAAACf9L1M=",0)</f>
        <v>#REF!</v>
      </c>
      <c r="CG267" t="e">
        <f>IF(#REF!,"AAAAACf9L1Q=",0)</f>
        <v>#REF!</v>
      </c>
      <c r="CH267" t="e">
        <f>IF(#REF!,"AAAAACf9L1U=",0)</f>
        <v>#REF!</v>
      </c>
      <c r="CI267" t="e">
        <f>IF(#REF!,"AAAAACf9L1Y=",0)</f>
        <v>#REF!</v>
      </c>
      <c r="CJ267" t="e">
        <f>IF(#REF!,"AAAAACf9L1c=",0)</f>
        <v>#REF!</v>
      </c>
      <c r="CK267" t="e">
        <f>IF(#REF!,"AAAAACf9L1g=",0)</f>
        <v>#REF!</v>
      </c>
      <c r="CL267" t="e">
        <f>IF(#REF!,"AAAAACf9L1k=",0)</f>
        <v>#REF!</v>
      </c>
      <c r="CM267" t="e">
        <f>IF(#REF!,"AAAAACf9L1o=",0)</f>
        <v>#REF!</v>
      </c>
      <c r="CN267" t="e">
        <f>IF(#REF!,"AAAAACf9L1s=",0)</f>
        <v>#REF!</v>
      </c>
      <c r="CO267" t="e">
        <f>IF(#REF!,"AAAAACf9L1w=",0)</f>
        <v>#REF!</v>
      </c>
      <c r="CP267" t="e">
        <f>IF(#REF!,"AAAAACf9L10=",0)</f>
        <v>#REF!</v>
      </c>
      <c r="CQ267" t="e">
        <f>IF(#REF!,"AAAAACf9L14=",0)</f>
        <v>#REF!</v>
      </c>
      <c r="CR267" t="e">
        <f>IF(#REF!,"AAAAACf9L18=",0)</f>
        <v>#REF!</v>
      </c>
      <c r="CS267" t="e">
        <f>IF(#REF!,"AAAAACf9L2A=",0)</f>
        <v>#REF!</v>
      </c>
      <c r="CT267" t="e">
        <f>IF(#REF!,"AAAAACf9L2E=",0)</f>
        <v>#REF!</v>
      </c>
      <c r="CU267" t="e">
        <f>IF(#REF!,"AAAAACf9L2I=",0)</f>
        <v>#REF!</v>
      </c>
      <c r="CV267" t="e">
        <f>IF(#REF!,"AAAAACf9L2M=",0)</f>
        <v>#REF!</v>
      </c>
      <c r="CW267" t="e">
        <f>IF(#REF!,"AAAAACf9L2Q=",0)</f>
        <v>#REF!</v>
      </c>
      <c r="CX267" t="e">
        <f>IF(#REF!,"AAAAACf9L2U=",0)</f>
        <v>#REF!</v>
      </c>
      <c r="CY267" t="e">
        <f>IF(#REF!,"AAAAACf9L2Y=",0)</f>
        <v>#REF!</v>
      </c>
      <c r="CZ267" t="e">
        <f>IF(#REF!,"AAAAACf9L2c=",0)</f>
        <v>#REF!</v>
      </c>
      <c r="DA267" t="e">
        <f>IF(#REF!,"AAAAACf9L2g=",0)</f>
        <v>#REF!</v>
      </c>
      <c r="DB267" t="e">
        <f>IF(#REF!,"AAAAACf9L2k=",0)</f>
        <v>#REF!</v>
      </c>
      <c r="DC267" t="e">
        <f>IF(#REF!,"AAAAACf9L2o=",0)</f>
        <v>#REF!</v>
      </c>
      <c r="DD267" t="e">
        <f>IF(#REF!,"AAAAACf9L2s=",0)</f>
        <v>#REF!</v>
      </c>
      <c r="DE267" t="e">
        <f>IF(#REF!,"AAAAACf9L2w=",0)</f>
        <v>#REF!</v>
      </c>
      <c r="DF267" t="e">
        <f>IF(#REF!,"AAAAACf9L20=",0)</f>
        <v>#REF!</v>
      </c>
      <c r="DG267" t="e">
        <f>IF(#REF!,"AAAAACf9L24=",0)</f>
        <v>#REF!</v>
      </c>
      <c r="DH267" t="e">
        <f>IF(#REF!,"AAAAACf9L28=",0)</f>
        <v>#REF!</v>
      </c>
      <c r="DI267" t="e">
        <f>IF(#REF!,"AAAAACf9L3A=",0)</f>
        <v>#REF!</v>
      </c>
      <c r="DJ267" t="e">
        <f>IF(#REF!,"AAAAACf9L3E=",0)</f>
        <v>#REF!</v>
      </c>
      <c r="DK267" t="e">
        <f>IF(#REF!,"AAAAACf9L3I=",0)</f>
        <v>#REF!</v>
      </c>
      <c r="DL267" t="e">
        <f>IF(#REF!,"AAAAACf9L3M=",0)</f>
        <v>#REF!</v>
      </c>
      <c r="DM267" t="e">
        <f>IF(#REF!,"AAAAACf9L3Q=",0)</f>
        <v>#REF!</v>
      </c>
      <c r="DN267" t="e">
        <f>IF(#REF!,"AAAAACf9L3U=",0)</f>
        <v>#REF!</v>
      </c>
      <c r="DO267" t="e">
        <f>IF(#REF!,"AAAAACf9L3Y=",0)</f>
        <v>#REF!</v>
      </c>
      <c r="DP267" t="e">
        <f>IF(#REF!,"AAAAACf9L3c=",0)</f>
        <v>#REF!</v>
      </c>
      <c r="DQ267" t="e">
        <f>IF(#REF!,"AAAAACf9L3g=",0)</f>
        <v>#REF!</v>
      </c>
      <c r="DR267" t="e">
        <f>IF(#REF!,"AAAAACf9L3k=",0)</f>
        <v>#REF!</v>
      </c>
      <c r="DS267" t="e">
        <f>IF(#REF!,"AAAAACf9L3o=",0)</f>
        <v>#REF!</v>
      </c>
      <c r="DT267" t="e">
        <f>IF(#REF!,"AAAAACf9L3s=",0)</f>
        <v>#REF!</v>
      </c>
      <c r="DU267" t="e">
        <f>IF(#REF!,"AAAAACf9L3w=",0)</f>
        <v>#REF!</v>
      </c>
      <c r="DV267" t="e">
        <f>IF(#REF!,"AAAAACf9L30=",0)</f>
        <v>#REF!</v>
      </c>
      <c r="DW267" t="e">
        <f>IF(#REF!,"AAAAACf9L34=",0)</f>
        <v>#REF!</v>
      </c>
      <c r="DX267" t="e">
        <f>IF(#REF!,"AAAAACf9L38=",0)</f>
        <v>#REF!</v>
      </c>
      <c r="DY267" t="e">
        <f>IF(#REF!,"AAAAACf9L4A=",0)</f>
        <v>#REF!</v>
      </c>
      <c r="DZ267" t="e">
        <f>IF(#REF!,"AAAAACf9L4E=",0)</f>
        <v>#REF!</v>
      </c>
      <c r="EA267" t="e">
        <f>IF(#REF!,"AAAAACf9L4I=",0)</f>
        <v>#REF!</v>
      </c>
      <c r="EB267" t="e">
        <f>IF(#REF!,"AAAAACf9L4M=",0)</f>
        <v>#REF!</v>
      </c>
      <c r="EC267" t="e">
        <f>IF(#REF!,"AAAAACf9L4Q=",0)</f>
        <v>#REF!</v>
      </c>
      <c r="ED267" t="e">
        <f>IF(#REF!,"AAAAACf9L4U=",0)</f>
        <v>#REF!</v>
      </c>
      <c r="EE267" t="e">
        <f>IF(#REF!,"AAAAACf9L4Y=",0)</f>
        <v>#REF!</v>
      </c>
      <c r="EF267" t="e">
        <f>IF(#REF!,"AAAAACf9L4c=",0)</f>
        <v>#REF!</v>
      </c>
      <c r="EG267" t="e">
        <f>IF(#REF!,"AAAAACf9L4g=",0)</f>
        <v>#REF!</v>
      </c>
      <c r="EH267" t="e">
        <f>IF(#REF!,"AAAAACf9L4k=",0)</f>
        <v>#REF!</v>
      </c>
      <c r="EI267" t="e">
        <f>IF(#REF!,"AAAAACf9L4o=",0)</f>
        <v>#REF!</v>
      </c>
      <c r="EJ267" t="e">
        <f>IF(#REF!,"AAAAACf9L4s=",0)</f>
        <v>#REF!</v>
      </c>
      <c r="EK267" t="e">
        <f>IF(#REF!,"AAAAACf9L4w=",0)</f>
        <v>#REF!</v>
      </c>
      <c r="EL267" t="e">
        <f>IF(#REF!,"AAAAACf9L40=",0)</f>
        <v>#REF!</v>
      </c>
      <c r="EM267" t="e">
        <f>IF(#REF!,"AAAAACf9L44=",0)</f>
        <v>#REF!</v>
      </c>
      <c r="EN267" t="e">
        <f>IF(#REF!,"AAAAACf9L48=",0)</f>
        <v>#REF!</v>
      </c>
      <c r="EO267" t="e">
        <f>IF(#REF!,"AAAAACf9L5A=",0)</f>
        <v>#REF!</v>
      </c>
      <c r="EP267" t="e">
        <f>IF(#REF!,"AAAAACf9L5E=",0)</f>
        <v>#REF!</v>
      </c>
      <c r="EQ267" t="e">
        <f>IF(#REF!,"AAAAACf9L5I=",0)</f>
        <v>#REF!</v>
      </c>
      <c r="ER267" t="e">
        <f>IF(#REF!,"AAAAACf9L5M=",0)</f>
        <v>#REF!</v>
      </c>
      <c r="ES267" t="e">
        <f>IF(#REF!,"AAAAACf9L5Q=",0)</f>
        <v>#REF!</v>
      </c>
      <c r="ET267" t="e">
        <f>IF(#REF!,"AAAAACf9L5U=",0)</f>
        <v>#REF!</v>
      </c>
      <c r="EU267" t="e">
        <f>IF(#REF!,"AAAAACf9L5Y=",0)</f>
        <v>#REF!</v>
      </c>
      <c r="EV267" t="e">
        <f>IF(#REF!,"AAAAACf9L5c=",0)</f>
        <v>#REF!</v>
      </c>
      <c r="EW267" t="e">
        <f>IF(#REF!,"AAAAACf9L5g=",0)</f>
        <v>#REF!</v>
      </c>
      <c r="EX267" t="e">
        <f>IF(#REF!,"AAAAACf9L5k=",0)</f>
        <v>#REF!</v>
      </c>
      <c r="EY267" t="e">
        <f>IF(#REF!,"AAAAACf9L5o=",0)</f>
        <v>#REF!</v>
      </c>
      <c r="EZ267" t="e">
        <f>IF(#REF!,"AAAAACf9L5s=",0)</f>
        <v>#REF!</v>
      </c>
      <c r="FA267" t="e">
        <f>IF(#REF!,"AAAAACf9L5w=",0)</f>
        <v>#REF!</v>
      </c>
      <c r="FB267" t="e">
        <f>IF(#REF!,"AAAAACf9L50=",0)</f>
        <v>#REF!</v>
      </c>
      <c r="FC267" t="e">
        <f>IF(#REF!,"AAAAACf9L54=",0)</f>
        <v>#REF!</v>
      </c>
      <c r="FD267" t="e">
        <f>IF(#REF!,"AAAAACf9L58=",0)</f>
        <v>#REF!</v>
      </c>
      <c r="FE267" t="e">
        <f>IF(#REF!,"AAAAACf9L6A=",0)</f>
        <v>#REF!</v>
      </c>
      <c r="FF267" t="e">
        <f>IF(#REF!,"AAAAACf9L6E=",0)</f>
        <v>#REF!</v>
      </c>
      <c r="FG267" t="e">
        <f>IF(#REF!,"AAAAACf9L6I=",0)</f>
        <v>#REF!</v>
      </c>
      <c r="FH267" t="e">
        <f>IF(#REF!,"AAAAACf9L6M=",0)</f>
        <v>#REF!</v>
      </c>
      <c r="FI267" t="e">
        <f>IF(#REF!,"AAAAACf9L6Q=",0)</f>
        <v>#REF!</v>
      </c>
      <c r="FJ267" t="e">
        <f>IF(#REF!,"AAAAACf9L6U=",0)</f>
        <v>#REF!</v>
      </c>
      <c r="FK267" t="e">
        <f>IF(#REF!,"AAAAACf9L6Y=",0)</f>
        <v>#REF!</v>
      </c>
      <c r="FL267" t="e">
        <f>IF(#REF!,"AAAAACf9L6c=",0)</f>
        <v>#REF!</v>
      </c>
      <c r="FM267" t="e">
        <f>IF(#REF!,"AAAAACf9L6g=",0)</f>
        <v>#REF!</v>
      </c>
      <c r="FN267" t="e">
        <f>IF(#REF!,"AAAAACf9L6k=",0)</f>
        <v>#REF!</v>
      </c>
      <c r="FO267" t="e">
        <f>IF(#REF!,"AAAAACf9L6o=",0)</f>
        <v>#REF!</v>
      </c>
      <c r="FP267" t="e">
        <f>IF(#REF!,"AAAAACf9L6s=",0)</f>
        <v>#REF!</v>
      </c>
      <c r="FQ267" t="e">
        <f>IF(#REF!,"AAAAACf9L6w=",0)</f>
        <v>#REF!</v>
      </c>
      <c r="FR267" t="e">
        <f>IF(#REF!,"AAAAACf9L60=",0)</f>
        <v>#REF!</v>
      </c>
      <c r="FS267" t="e">
        <f>IF(#REF!,"AAAAACf9L64=",0)</f>
        <v>#REF!</v>
      </c>
      <c r="FT267" t="e">
        <f>IF(#REF!,"AAAAACf9L68=",0)</f>
        <v>#REF!</v>
      </c>
      <c r="FU267" t="e">
        <f>IF(#REF!,"AAAAACf9L7A=",0)</f>
        <v>#REF!</v>
      </c>
      <c r="FV267" t="e">
        <f>IF(#REF!,"AAAAACf9L7E=",0)</f>
        <v>#REF!</v>
      </c>
      <c r="FW267" t="e">
        <f>IF(#REF!,"AAAAACf9L7I=",0)</f>
        <v>#REF!</v>
      </c>
      <c r="FX267" t="e">
        <f>IF(#REF!,"AAAAACf9L7M=",0)</f>
        <v>#REF!</v>
      </c>
      <c r="FY267" t="e">
        <f>IF(#REF!,"AAAAACf9L7Q=",0)</f>
        <v>#REF!</v>
      </c>
      <c r="FZ267" t="e">
        <f>IF(#REF!,"AAAAACf9L7U=",0)</f>
        <v>#REF!</v>
      </c>
      <c r="GA267" t="e">
        <f>IF(#REF!,"AAAAACf9L7Y=",0)</f>
        <v>#REF!</v>
      </c>
      <c r="GB267" t="e">
        <f>IF(#REF!,"AAAAACf9L7c=",0)</f>
        <v>#REF!</v>
      </c>
      <c r="GC267" t="e">
        <f>IF(#REF!,"AAAAACf9L7g=",0)</f>
        <v>#REF!</v>
      </c>
      <c r="GD267" t="e">
        <f>IF(#REF!,"AAAAACf9L7k=",0)</f>
        <v>#REF!</v>
      </c>
      <c r="GE267" t="e">
        <f>IF(#REF!,"AAAAACf9L7o=",0)</f>
        <v>#REF!</v>
      </c>
      <c r="GF267" t="e">
        <f>IF(#REF!,"AAAAACf9L7s=",0)</f>
        <v>#REF!</v>
      </c>
      <c r="GG267" t="e">
        <f>IF(#REF!,"AAAAACf9L7w=",0)</f>
        <v>#REF!</v>
      </c>
      <c r="GH267" t="e">
        <f>IF(#REF!,"AAAAACf9L70=",0)</f>
        <v>#REF!</v>
      </c>
      <c r="GI267" t="e">
        <f>IF(#REF!,"AAAAACf9L74=",0)</f>
        <v>#REF!</v>
      </c>
      <c r="GJ267" t="e">
        <f>IF(#REF!,"AAAAACf9L78=",0)</f>
        <v>#REF!</v>
      </c>
      <c r="GK267" t="e">
        <f>IF(#REF!,"AAAAACf9L8A=",0)</f>
        <v>#REF!</v>
      </c>
      <c r="GL267" t="e">
        <f>IF(#REF!,"AAAAACf9L8E=",0)</f>
        <v>#REF!</v>
      </c>
      <c r="GM267" t="e">
        <f>IF(#REF!,"AAAAACf9L8I=",0)</f>
        <v>#REF!</v>
      </c>
      <c r="GN267" t="e">
        <f>IF(#REF!,"AAAAACf9L8M=",0)</f>
        <v>#REF!</v>
      </c>
      <c r="GO267" t="e">
        <f>IF(#REF!,"AAAAACf9L8Q=",0)</f>
        <v>#REF!</v>
      </c>
      <c r="GP267" t="e">
        <f>IF(#REF!,"AAAAACf9L8U=",0)</f>
        <v>#REF!</v>
      </c>
      <c r="GQ267" t="e">
        <f>IF(#REF!,"AAAAACf9L8Y=",0)</f>
        <v>#REF!</v>
      </c>
      <c r="GR267" t="e">
        <f>IF(#REF!,"AAAAACf9L8c=",0)</f>
        <v>#REF!</v>
      </c>
      <c r="GS267" t="e">
        <f>IF(#REF!,"AAAAACf9L8g=",0)</f>
        <v>#REF!</v>
      </c>
      <c r="GT267" t="e">
        <f>IF(#REF!,"AAAAACf9L8k=",0)</f>
        <v>#REF!</v>
      </c>
      <c r="GU267" t="e">
        <f>IF(#REF!,"AAAAACf9L8o=",0)</f>
        <v>#REF!</v>
      </c>
      <c r="GV267" t="e">
        <f>IF(#REF!,"AAAAACf9L8s=",0)</f>
        <v>#REF!</v>
      </c>
      <c r="GW267" t="e">
        <f>IF(#REF!,"AAAAACf9L8w=",0)</f>
        <v>#REF!</v>
      </c>
      <c r="GX267" t="e">
        <f>IF(#REF!,"AAAAACf9L80=",0)</f>
        <v>#REF!</v>
      </c>
      <c r="GY267" t="e">
        <f>IF(#REF!,"AAAAACf9L84=",0)</f>
        <v>#REF!</v>
      </c>
      <c r="GZ267" t="e">
        <f>IF(#REF!,"AAAAACf9L88=",0)</f>
        <v>#REF!</v>
      </c>
      <c r="HA267" t="e">
        <f>IF(#REF!,"AAAAACf9L9A=",0)</f>
        <v>#REF!</v>
      </c>
      <c r="HB267" t="e">
        <f>IF(#REF!,"AAAAACf9L9E=",0)</f>
        <v>#REF!</v>
      </c>
      <c r="HC267" t="e">
        <f>IF(#REF!,"AAAAACf9L9I=",0)</f>
        <v>#REF!</v>
      </c>
      <c r="HD267" t="e">
        <f>IF(#REF!,"AAAAACf9L9M=",0)</f>
        <v>#REF!</v>
      </c>
      <c r="HE267" t="e">
        <f>IF(#REF!,"AAAAACf9L9Q=",0)</f>
        <v>#REF!</v>
      </c>
      <c r="HF267" t="e">
        <f>IF(#REF!,"AAAAACf9L9U=",0)</f>
        <v>#REF!</v>
      </c>
      <c r="HG267" t="e">
        <f>IF(#REF!,"AAAAACf9L9Y=",0)</f>
        <v>#REF!</v>
      </c>
      <c r="HH267" t="e">
        <f>IF(#REF!,"AAAAACf9L9c=",0)</f>
        <v>#REF!</v>
      </c>
      <c r="HI267" t="e">
        <f>IF(#REF!,"AAAAACf9L9g=",0)</f>
        <v>#REF!</v>
      </c>
      <c r="HJ267" t="e">
        <f>IF(#REF!,"AAAAACf9L9k=",0)</f>
        <v>#REF!</v>
      </c>
      <c r="HK267" t="e">
        <f>IF(#REF!,"AAAAACf9L9o=",0)</f>
        <v>#REF!</v>
      </c>
      <c r="HL267" t="e">
        <f>IF(#REF!,"AAAAACf9L9s=",0)</f>
        <v>#REF!</v>
      </c>
      <c r="HM267" t="e">
        <f>IF(#REF!,"AAAAACf9L9w=",0)</f>
        <v>#REF!</v>
      </c>
      <c r="HN267" t="e">
        <f>IF(#REF!,"AAAAACf9L90=",0)</f>
        <v>#REF!</v>
      </c>
      <c r="HO267" t="e">
        <f>IF(#REF!,"AAAAACf9L94=",0)</f>
        <v>#REF!</v>
      </c>
      <c r="HP267" t="e">
        <f>IF(#REF!,"AAAAACf9L98=",0)</f>
        <v>#REF!</v>
      </c>
      <c r="HQ267" t="e">
        <f>IF(#REF!,"AAAAACf9L+A=",0)</f>
        <v>#REF!</v>
      </c>
      <c r="HR267" t="e">
        <f>IF(#REF!,"AAAAACf9L+E=",0)</f>
        <v>#REF!</v>
      </c>
      <c r="HS267" t="e">
        <f>IF(#REF!,"AAAAACf9L+I=",0)</f>
        <v>#REF!</v>
      </c>
      <c r="HT267" t="e">
        <f>IF(#REF!,"AAAAACf9L+M=",0)</f>
        <v>#REF!</v>
      </c>
      <c r="HU267" t="e">
        <f>IF(#REF!,"AAAAACf9L+Q=",0)</f>
        <v>#REF!</v>
      </c>
      <c r="HV267" t="e">
        <f>IF(#REF!,"AAAAACf9L+U=",0)</f>
        <v>#REF!</v>
      </c>
      <c r="HW267" t="e">
        <f>IF(#REF!,"AAAAACf9L+Y=",0)</f>
        <v>#REF!</v>
      </c>
      <c r="HX267" t="e">
        <f>IF(#REF!,"AAAAACf9L+c=",0)</f>
        <v>#REF!</v>
      </c>
      <c r="HY267" t="e">
        <f>IF(#REF!,"AAAAACf9L+g=",0)</f>
        <v>#REF!</v>
      </c>
      <c r="HZ267" t="e">
        <f>IF(#REF!,"AAAAACf9L+k=",0)</f>
        <v>#REF!</v>
      </c>
      <c r="IA267" t="e">
        <f>IF(#REF!,"AAAAACf9L+o=",0)</f>
        <v>#REF!</v>
      </c>
      <c r="IB267" t="e">
        <f>IF(#REF!,"AAAAACf9L+s=",0)</f>
        <v>#REF!</v>
      </c>
      <c r="IC267" t="e">
        <f>IF(#REF!,"AAAAACf9L+w=",0)</f>
        <v>#REF!</v>
      </c>
      <c r="ID267" t="e">
        <f>IF(#REF!,"AAAAACf9L+0=",0)</f>
        <v>#REF!</v>
      </c>
      <c r="IE267" t="e">
        <f>IF(#REF!,"AAAAACf9L+4=",0)</f>
        <v>#REF!</v>
      </c>
      <c r="IF267" t="e">
        <f>IF(#REF!,"AAAAACf9L+8=",0)</f>
        <v>#REF!</v>
      </c>
      <c r="IG267" t="e">
        <f>IF(#REF!,"AAAAACf9L/A=",0)</f>
        <v>#REF!</v>
      </c>
      <c r="IH267" t="e">
        <f>IF(#REF!,"AAAAACf9L/E=",0)</f>
        <v>#REF!</v>
      </c>
      <c r="II267" t="e">
        <f>IF(#REF!,"AAAAACf9L/I=",0)</f>
        <v>#REF!</v>
      </c>
      <c r="IJ267" t="e">
        <f>IF(#REF!,"AAAAACf9L/M=",0)</f>
        <v>#REF!</v>
      </c>
      <c r="IK267" t="e">
        <f>IF(#REF!,"AAAAACf9L/Q=",0)</f>
        <v>#REF!</v>
      </c>
      <c r="IL267" t="e">
        <f>IF(#REF!,"AAAAACf9L/U=",0)</f>
        <v>#REF!</v>
      </c>
      <c r="IM267" t="e">
        <f>IF(#REF!,"AAAAACf9L/Y=",0)</f>
        <v>#REF!</v>
      </c>
      <c r="IN267" t="e">
        <f>IF(#REF!,"AAAAACf9L/c=",0)</f>
        <v>#REF!</v>
      </c>
      <c r="IO267" t="e">
        <f>IF(#REF!,"AAAAACf9L/g=",0)</f>
        <v>#REF!</v>
      </c>
      <c r="IP267" t="e">
        <f>IF(#REF!,"AAAAACf9L/k=",0)</f>
        <v>#REF!</v>
      </c>
      <c r="IQ267" t="e">
        <f>IF(#REF!,"AAAAACf9L/o=",0)</f>
        <v>#REF!</v>
      </c>
      <c r="IR267" t="e">
        <f>IF(#REF!,"AAAAACf9L/s=",0)</f>
        <v>#REF!</v>
      </c>
      <c r="IS267" t="e">
        <f>IF(#REF!,"AAAAACf9L/w=",0)</f>
        <v>#REF!</v>
      </c>
      <c r="IT267" t="e">
        <f>IF(#REF!,"AAAAACf9L/0=",0)</f>
        <v>#REF!</v>
      </c>
      <c r="IU267" t="e">
        <f>IF(#REF!,"AAAAACf9L/4=",0)</f>
        <v>#REF!</v>
      </c>
      <c r="IV267" t="e">
        <f>IF(#REF!,"AAAAACf9L/8=",0)</f>
        <v>#REF!</v>
      </c>
    </row>
    <row r="268" spans="1:256">
      <c r="A268" t="e">
        <f>IF(#REF!,"AAAAAH8//wA=",0)</f>
        <v>#REF!</v>
      </c>
      <c r="B268" t="e">
        <f>IF(#REF!,"AAAAAH8//wE=",0)</f>
        <v>#REF!</v>
      </c>
      <c r="C268" t="e">
        <f>IF(#REF!,"AAAAAH8//wI=",0)</f>
        <v>#REF!</v>
      </c>
      <c r="D268" t="e">
        <f>IF(#REF!,"AAAAAH8//wM=",0)</f>
        <v>#REF!</v>
      </c>
      <c r="E268" t="e">
        <f>IF(#REF!,"AAAAAH8//wQ=",0)</f>
        <v>#REF!</v>
      </c>
      <c r="F268" t="e">
        <f>IF(#REF!,"AAAAAH8//wU=",0)</f>
        <v>#REF!</v>
      </c>
      <c r="G268" t="e">
        <f>IF(#REF!,"AAAAAH8//wY=",0)</f>
        <v>#REF!</v>
      </c>
      <c r="H268" t="e">
        <f>IF(#REF!,"AAAAAH8//wc=",0)</f>
        <v>#REF!</v>
      </c>
      <c r="I268" t="e">
        <f>IF(#REF!,"AAAAAH8//wg=",0)</f>
        <v>#REF!</v>
      </c>
      <c r="J268" t="e">
        <f>IF(#REF!,"AAAAAH8//wk=",0)</f>
        <v>#REF!</v>
      </c>
      <c r="K268" t="e">
        <f>IF(#REF!,"AAAAAH8//wo=",0)</f>
        <v>#REF!</v>
      </c>
      <c r="L268" t="e">
        <f>IF(#REF!,"AAAAAH8//ws=",0)</f>
        <v>#REF!</v>
      </c>
      <c r="M268" t="e">
        <f>IF(#REF!,"AAAAAH8//ww=",0)</f>
        <v>#REF!</v>
      </c>
      <c r="N268" t="e">
        <f>IF(#REF!,"AAAAAH8//w0=",0)</f>
        <v>#REF!</v>
      </c>
      <c r="O268" t="e">
        <f>IF(#REF!,"AAAAAH8//w4=",0)</f>
        <v>#REF!</v>
      </c>
      <c r="P268" t="e">
        <f>IF(#REF!,"AAAAAH8//w8=",0)</f>
        <v>#REF!</v>
      </c>
      <c r="Q268" t="e">
        <f>IF(#REF!,"AAAAAH8//xA=",0)</f>
        <v>#REF!</v>
      </c>
      <c r="R268" t="e">
        <f>IF(#REF!,"AAAAAH8//xE=",0)</f>
        <v>#REF!</v>
      </c>
      <c r="S268" t="e">
        <f>IF(#REF!,"AAAAAH8//xI=",0)</f>
        <v>#REF!</v>
      </c>
      <c r="T268" t="e">
        <f>IF(#REF!,"AAAAAH8//xM=",0)</f>
        <v>#REF!</v>
      </c>
      <c r="U268" t="e">
        <f>IF(#REF!,"AAAAAH8//xQ=",0)</f>
        <v>#REF!</v>
      </c>
      <c r="V268" t="e">
        <f>IF(#REF!,"AAAAAH8//xU=",0)</f>
        <v>#REF!</v>
      </c>
      <c r="W268" t="e">
        <f>IF(#REF!,"AAAAAH8//xY=",0)</f>
        <v>#REF!</v>
      </c>
      <c r="X268" t="e">
        <f>IF(#REF!,"AAAAAH8//xc=",0)</f>
        <v>#REF!</v>
      </c>
      <c r="Y268" t="e">
        <f>IF(#REF!,"AAAAAH8//xg=",0)</f>
        <v>#REF!</v>
      </c>
      <c r="Z268" t="e">
        <f>IF(#REF!,"AAAAAH8//xk=",0)</f>
        <v>#REF!</v>
      </c>
      <c r="AA268" t="e">
        <f>IF(#REF!,"AAAAAH8//xo=",0)</f>
        <v>#REF!</v>
      </c>
      <c r="AB268" t="e">
        <f>IF(#REF!,"AAAAAH8//xs=",0)</f>
        <v>#REF!</v>
      </c>
      <c r="AC268" t="e">
        <f>IF(#REF!,"AAAAAH8//xw=",0)</f>
        <v>#REF!</v>
      </c>
      <c r="AD268" t="e">
        <f>IF(#REF!,"AAAAAH8//x0=",0)</f>
        <v>#REF!</v>
      </c>
      <c r="AE268" t="e">
        <f>IF(#REF!,"AAAAAH8//x4=",0)</f>
        <v>#REF!</v>
      </c>
      <c r="AF268" t="e">
        <f>IF(#REF!,"AAAAAH8//x8=",0)</f>
        <v>#REF!</v>
      </c>
      <c r="AG268" t="e">
        <f>IF(#REF!,"AAAAAH8//yA=",0)</f>
        <v>#REF!</v>
      </c>
      <c r="AH268" t="e">
        <f>IF(#REF!,"AAAAAH8//yE=",0)</f>
        <v>#REF!</v>
      </c>
      <c r="AI268" t="e">
        <f>IF(#REF!,"AAAAAH8//yI=",0)</f>
        <v>#REF!</v>
      </c>
      <c r="AJ268" t="e">
        <f>IF(#REF!,"AAAAAH8//yM=",0)</f>
        <v>#REF!</v>
      </c>
      <c r="AK268" t="e">
        <f>IF(#REF!,"AAAAAH8//yQ=",0)</f>
        <v>#REF!</v>
      </c>
      <c r="AL268" t="e">
        <f>IF(#REF!,"AAAAAH8//yU=",0)</f>
        <v>#REF!</v>
      </c>
      <c r="AM268" t="e">
        <f>IF(#REF!,"AAAAAH8//yY=",0)</f>
        <v>#REF!</v>
      </c>
      <c r="AN268" t="e">
        <f>IF(#REF!,"AAAAAH8//yc=",0)</f>
        <v>#REF!</v>
      </c>
      <c r="AO268" t="e">
        <f>IF(#REF!,"AAAAAH8//yg=",0)</f>
        <v>#REF!</v>
      </c>
      <c r="AP268" t="e">
        <f>IF(#REF!,"AAAAAH8//yk=",0)</f>
        <v>#REF!</v>
      </c>
      <c r="AQ268" t="e">
        <f>IF(#REF!,"AAAAAH8//yo=",0)</f>
        <v>#REF!</v>
      </c>
      <c r="AR268" t="e">
        <f>IF(#REF!,"AAAAAH8//ys=",0)</f>
        <v>#REF!</v>
      </c>
      <c r="AS268" t="e">
        <f>IF(#REF!,"AAAAAH8//yw=",0)</f>
        <v>#REF!</v>
      </c>
      <c r="AT268" t="e">
        <f>IF(#REF!,"AAAAAH8//y0=",0)</f>
        <v>#REF!</v>
      </c>
      <c r="AU268" t="e">
        <f>IF(#REF!,"AAAAAH8//y4=",0)</f>
        <v>#REF!</v>
      </c>
      <c r="AV268" t="e">
        <f>IF(#REF!,"AAAAAH8//y8=",0)</f>
        <v>#REF!</v>
      </c>
      <c r="AW268" t="e">
        <f>IF(#REF!,"AAAAAH8//zA=",0)</f>
        <v>#REF!</v>
      </c>
      <c r="AX268" t="e">
        <f>IF(#REF!,"AAAAAH8//zE=",0)</f>
        <v>#REF!</v>
      </c>
      <c r="AY268" t="e">
        <f>IF(#REF!,"AAAAAH8//zI=",0)</f>
        <v>#REF!</v>
      </c>
      <c r="AZ268" t="e">
        <f>IF(#REF!,"AAAAAH8//zM=",0)</f>
        <v>#REF!</v>
      </c>
      <c r="BA268" t="e">
        <f>IF(#REF!,"AAAAAH8//zQ=",0)</f>
        <v>#REF!</v>
      </c>
      <c r="BB268" t="e">
        <f>IF(#REF!,"AAAAAH8//zU=",0)</f>
        <v>#REF!</v>
      </c>
      <c r="BC268" t="e">
        <f>IF(#REF!,"AAAAAH8//zY=",0)</f>
        <v>#REF!</v>
      </c>
      <c r="BD268" t="e">
        <f>IF(#REF!,"AAAAAH8//zc=",0)</f>
        <v>#REF!</v>
      </c>
      <c r="BE268" t="e">
        <f>IF(#REF!,"AAAAAH8//zg=",0)</f>
        <v>#REF!</v>
      </c>
      <c r="BF268" t="e">
        <f>IF(#REF!,"AAAAAH8//zk=",0)</f>
        <v>#REF!</v>
      </c>
      <c r="BG268" t="e">
        <f>IF(#REF!,"AAAAAH8//zo=",0)</f>
        <v>#REF!</v>
      </c>
      <c r="BH268" t="e">
        <f>IF(#REF!,"AAAAAH8//zs=",0)</f>
        <v>#REF!</v>
      </c>
      <c r="BI268" t="e">
        <f>IF(#REF!,"AAAAAH8//zw=",0)</f>
        <v>#REF!</v>
      </c>
      <c r="BJ268" t="e">
        <f>IF(#REF!,"AAAAAH8//z0=",0)</f>
        <v>#REF!</v>
      </c>
      <c r="BK268" t="e">
        <f>IF(#REF!,"AAAAAH8//z4=",0)</f>
        <v>#REF!</v>
      </c>
      <c r="BL268" t="e">
        <f>IF(#REF!,"AAAAAH8//z8=",0)</f>
        <v>#REF!</v>
      </c>
      <c r="BM268" t="e">
        <f>IF(#REF!,"AAAAAH8//0A=",0)</f>
        <v>#REF!</v>
      </c>
      <c r="BN268" t="e">
        <f>IF(#REF!,"AAAAAH8//0E=",0)</f>
        <v>#REF!</v>
      </c>
      <c r="BO268" t="e">
        <f>IF(#REF!,"AAAAAH8//0I=",0)</f>
        <v>#REF!</v>
      </c>
      <c r="BP268" t="e">
        <f>IF(#REF!,"AAAAAH8//0M=",0)</f>
        <v>#REF!</v>
      </c>
      <c r="BQ268" t="e">
        <f>IF(#REF!,"AAAAAH8//0Q=",0)</f>
        <v>#REF!</v>
      </c>
      <c r="BR268" t="e">
        <f>IF(#REF!,"AAAAAH8//0U=",0)</f>
        <v>#REF!</v>
      </c>
      <c r="BS268" t="e">
        <f>IF(#REF!,"AAAAAH8//0Y=",0)</f>
        <v>#REF!</v>
      </c>
      <c r="BT268" t="e">
        <f>IF(#REF!,"AAAAAH8//0c=",0)</f>
        <v>#REF!</v>
      </c>
      <c r="BU268" t="e">
        <f>IF(#REF!,"AAAAAH8//0g=",0)</f>
        <v>#REF!</v>
      </c>
      <c r="BV268" t="e">
        <f>IF(#REF!,"AAAAAH8//0k=",0)</f>
        <v>#REF!</v>
      </c>
      <c r="BW268" t="e">
        <f>IF(#REF!,"AAAAAH8//0o=",0)</f>
        <v>#REF!</v>
      </c>
      <c r="BX268" t="e">
        <f>IF(#REF!,"AAAAAH8//0s=",0)</f>
        <v>#REF!</v>
      </c>
      <c r="BY268" t="e">
        <f>IF(#REF!,"AAAAAH8//0w=",0)</f>
        <v>#REF!</v>
      </c>
      <c r="BZ268" t="e">
        <f>IF(#REF!,"AAAAAH8//00=",0)</f>
        <v>#REF!</v>
      </c>
      <c r="CA268" t="e">
        <f>IF(#REF!,"AAAAAH8//04=",0)</f>
        <v>#REF!</v>
      </c>
      <c r="CB268" t="e">
        <f>IF(#REF!,"AAAAAH8//08=",0)</f>
        <v>#REF!</v>
      </c>
      <c r="CC268" t="e">
        <f>IF(#REF!,"AAAAAH8//1A=",0)</f>
        <v>#REF!</v>
      </c>
      <c r="CD268" t="e">
        <f>IF(#REF!,"AAAAAH8//1E=",0)</f>
        <v>#REF!</v>
      </c>
      <c r="CE268" t="e">
        <f>IF(#REF!,"AAAAAH8//1I=",0)</f>
        <v>#REF!</v>
      </c>
      <c r="CF268" t="e">
        <f>IF(#REF!,"AAAAAH8//1M=",0)</f>
        <v>#REF!</v>
      </c>
      <c r="CG268" t="e">
        <f>IF(#REF!,"AAAAAH8//1Q=",0)</f>
        <v>#REF!</v>
      </c>
      <c r="CH268" t="e">
        <f>IF(#REF!,"AAAAAH8//1U=",0)</f>
        <v>#REF!</v>
      </c>
      <c r="CI268" t="e">
        <f>IF(#REF!,"AAAAAH8//1Y=",0)</f>
        <v>#REF!</v>
      </c>
      <c r="CJ268" t="e">
        <f>IF(#REF!,"AAAAAH8//1c=",0)</f>
        <v>#REF!</v>
      </c>
      <c r="CK268" t="e">
        <f>IF(#REF!,"AAAAAH8//1g=",0)</f>
        <v>#REF!</v>
      </c>
      <c r="CL268" t="e">
        <f>IF(#REF!,"AAAAAH8//1k=",0)</f>
        <v>#REF!</v>
      </c>
      <c r="CM268" t="e">
        <f>IF(#REF!,"AAAAAH8//1o=",0)</f>
        <v>#REF!</v>
      </c>
      <c r="CN268" t="e">
        <f>IF(#REF!,"AAAAAH8//1s=",0)</f>
        <v>#REF!</v>
      </c>
      <c r="CO268" t="e">
        <f>IF(#REF!,"AAAAAH8//1w=",0)</f>
        <v>#REF!</v>
      </c>
      <c r="CP268" t="e">
        <f>IF(#REF!,"AAAAAH8//10=",0)</f>
        <v>#REF!</v>
      </c>
      <c r="CQ268" t="e">
        <f>IF(#REF!,"AAAAAH8//14=",0)</f>
        <v>#REF!</v>
      </c>
      <c r="CR268" t="e">
        <f>IF(#REF!,"AAAAAH8//18=",0)</f>
        <v>#REF!</v>
      </c>
      <c r="CS268" t="e">
        <f>IF(#REF!,"AAAAAH8//2A=",0)</f>
        <v>#REF!</v>
      </c>
      <c r="CT268" t="e">
        <f>IF(#REF!,"AAAAAH8//2E=",0)</f>
        <v>#REF!</v>
      </c>
      <c r="CU268" t="e">
        <f>IF(#REF!,"AAAAAH8//2I=",0)</f>
        <v>#REF!</v>
      </c>
      <c r="CV268" t="e">
        <f>IF(#REF!,"AAAAAH8//2M=",0)</f>
        <v>#REF!</v>
      </c>
      <c r="CW268" t="e">
        <f>IF(#REF!,"AAAAAH8//2Q=",0)</f>
        <v>#REF!</v>
      </c>
      <c r="CX268" t="e">
        <f>IF(#REF!,"AAAAAH8//2U=",0)</f>
        <v>#REF!</v>
      </c>
      <c r="CY268" t="e">
        <f>IF(#REF!,"AAAAAH8//2Y=",0)</f>
        <v>#REF!</v>
      </c>
      <c r="CZ268" t="e">
        <f>IF(#REF!,"AAAAAH8//2c=",0)</f>
        <v>#REF!</v>
      </c>
      <c r="DA268" t="e">
        <f>IF(#REF!,"AAAAAH8//2g=",0)</f>
        <v>#REF!</v>
      </c>
      <c r="DB268" t="e">
        <f>IF(#REF!,"AAAAAH8//2k=",0)</f>
        <v>#REF!</v>
      </c>
      <c r="DC268" t="e">
        <f>IF(#REF!,"AAAAAH8//2o=",0)</f>
        <v>#REF!</v>
      </c>
      <c r="DD268" t="e">
        <f>IF(#REF!,"AAAAAH8//2s=",0)</f>
        <v>#REF!</v>
      </c>
      <c r="DE268" t="e">
        <f>IF(#REF!,"AAAAAH8//2w=",0)</f>
        <v>#REF!</v>
      </c>
      <c r="DF268" t="e">
        <f>IF(#REF!,"AAAAAH8//20=",0)</f>
        <v>#REF!</v>
      </c>
      <c r="DG268" t="e">
        <f>IF(#REF!,"AAAAAH8//24=",0)</f>
        <v>#REF!</v>
      </c>
      <c r="DH268" t="e">
        <f>IF(#REF!,"AAAAAH8//28=",0)</f>
        <v>#REF!</v>
      </c>
      <c r="DI268" t="e">
        <f>IF(#REF!,"AAAAAH8//3A=",0)</f>
        <v>#REF!</v>
      </c>
      <c r="DJ268" t="e">
        <f>IF(#REF!,"AAAAAH8//3E=",0)</f>
        <v>#REF!</v>
      </c>
      <c r="DK268" t="e">
        <f>IF(#REF!,"AAAAAH8//3I=",0)</f>
        <v>#REF!</v>
      </c>
      <c r="DL268" t="e">
        <f>IF(#REF!,"AAAAAH8//3M=",0)</f>
        <v>#REF!</v>
      </c>
      <c r="DM268" t="e">
        <f>IF(#REF!,"AAAAAH8//3Q=",0)</f>
        <v>#REF!</v>
      </c>
      <c r="DN268" t="e">
        <f>IF(#REF!,"AAAAAH8//3U=",0)</f>
        <v>#REF!</v>
      </c>
      <c r="DO268" t="e">
        <f>IF(#REF!,"AAAAAH8//3Y=",0)</f>
        <v>#REF!</v>
      </c>
      <c r="DP268" t="e">
        <f>IF(#REF!,"AAAAAH8//3c=",0)</f>
        <v>#REF!</v>
      </c>
      <c r="DQ268" t="e">
        <f>IF(#REF!,"AAAAAH8//3g=",0)</f>
        <v>#REF!</v>
      </c>
      <c r="DR268" t="e">
        <f>IF(#REF!,"AAAAAH8//3k=",0)</f>
        <v>#REF!</v>
      </c>
      <c r="DS268" t="e">
        <f>IF(#REF!,"AAAAAH8//3o=",0)</f>
        <v>#REF!</v>
      </c>
      <c r="DT268" t="e">
        <f>IF(#REF!,"AAAAAH8//3s=",0)</f>
        <v>#REF!</v>
      </c>
      <c r="DU268" t="e">
        <f>IF(#REF!,"AAAAAH8//3w=",0)</f>
        <v>#REF!</v>
      </c>
      <c r="DV268" t="e">
        <f>IF(#REF!,"AAAAAH8//30=",0)</f>
        <v>#REF!</v>
      </c>
      <c r="DW268" t="e">
        <f>IF(#REF!,"AAAAAH8//34=",0)</f>
        <v>#REF!</v>
      </c>
      <c r="DX268" t="e">
        <f>IF(#REF!,"AAAAAH8//38=",0)</f>
        <v>#REF!</v>
      </c>
      <c r="DY268" t="e">
        <f>IF(#REF!,"AAAAAH8//4A=",0)</f>
        <v>#REF!</v>
      </c>
      <c r="DZ268" t="e">
        <f>IF(#REF!,"AAAAAH8//4E=",0)</f>
        <v>#REF!</v>
      </c>
      <c r="EA268" t="e">
        <f>IF(#REF!,"AAAAAH8//4I=",0)</f>
        <v>#REF!</v>
      </c>
      <c r="EB268" t="e">
        <f>IF(#REF!,"AAAAAH8//4M=",0)</f>
        <v>#REF!</v>
      </c>
      <c r="EC268" t="e">
        <f>IF(#REF!,"AAAAAH8//4Q=",0)</f>
        <v>#REF!</v>
      </c>
      <c r="ED268" t="e">
        <f>IF(#REF!,"AAAAAH8//4U=",0)</f>
        <v>#REF!</v>
      </c>
      <c r="EE268" t="e">
        <f>IF(#REF!,"AAAAAH8//4Y=",0)</f>
        <v>#REF!</v>
      </c>
      <c r="EF268" t="e">
        <f>IF(#REF!,"AAAAAH8//4c=",0)</f>
        <v>#REF!</v>
      </c>
      <c r="EG268" t="e">
        <f>IF(#REF!,"AAAAAH8//4g=",0)</f>
        <v>#REF!</v>
      </c>
      <c r="EH268" t="e">
        <f>IF(#REF!,"AAAAAH8//4k=",0)</f>
        <v>#REF!</v>
      </c>
      <c r="EI268" t="e">
        <f>IF(#REF!,"AAAAAH8//4o=",0)</f>
        <v>#REF!</v>
      </c>
      <c r="EJ268" t="e">
        <f>IF(#REF!,"AAAAAH8//4s=",0)</f>
        <v>#REF!</v>
      </c>
      <c r="EK268" t="e">
        <f>IF(#REF!,"AAAAAH8//4w=",0)</f>
        <v>#REF!</v>
      </c>
      <c r="EL268" t="e">
        <f>IF(#REF!,"AAAAAH8//40=",0)</f>
        <v>#REF!</v>
      </c>
      <c r="EM268" t="e">
        <f>IF(#REF!,"AAAAAH8//44=",0)</f>
        <v>#REF!</v>
      </c>
      <c r="EN268" t="e">
        <f>IF(#REF!,"AAAAAH8//48=",0)</f>
        <v>#REF!</v>
      </c>
      <c r="EO268" t="e">
        <f>IF(#REF!,"AAAAAH8//5A=",0)</f>
        <v>#REF!</v>
      </c>
      <c r="EP268" t="e">
        <f>IF(#REF!,"AAAAAH8//5E=",0)</f>
        <v>#REF!</v>
      </c>
      <c r="EQ268" t="e">
        <f>IF(#REF!,"AAAAAH8//5I=",0)</f>
        <v>#REF!</v>
      </c>
      <c r="ER268" t="e">
        <f>IF(#REF!,"AAAAAH8//5M=",0)</f>
        <v>#REF!</v>
      </c>
      <c r="ES268" t="e">
        <f>IF(#REF!,"AAAAAH8//5Q=",0)</f>
        <v>#REF!</v>
      </c>
      <c r="ET268" t="e">
        <f>IF(#REF!,"AAAAAH8//5U=",0)</f>
        <v>#REF!</v>
      </c>
      <c r="EU268" t="e">
        <f>IF(#REF!,"AAAAAH8//5Y=",0)</f>
        <v>#REF!</v>
      </c>
      <c r="EV268" t="e">
        <f>IF(#REF!,"AAAAAH8//5c=",0)</f>
        <v>#REF!</v>
      </c>
      <c r="EW268" t="e">
        <f>IF(#REF!,"AAAAAH8//5g=",0)</f>
        <v>#REF!</v>
      </c>
      <c r="EX268" t="e">
        <f>IF(#REF!,"AAAAAH8//5k=",0)</f>
        <v>#REF!</v>
      </c>
      <c r="EY268" t="e">
        <f>IF(#REF!,"AAAAAH8//5o=",0)</f>
        <v>#REF!</v>
      </c>
      <c r="EZ268" t="e">
        <f>IF(#REF!,"AAAAAH8//5s=",0)</f>
        <v>#REF!</v>
      </c>
      <c r="FA268" t="e">
        <f>IF(#REF!,"AAAAAH8//5w=",0)</f>
        <v>#REF!</v>
      </c>
      <c r="FB268" t="e">
        <f>IF(#REF!,"AAAAAH8//50=",0)</f>
        <v>#REF!</v>
      </c>
      <c r="FC268" t="e">
        <f>IF(#REF!,"AAAAAH8//54=",0)</f>
        <v>#REF!</v>
      </c>
      <c r="FD268" t="e">
        <f>IF(#REF!,"AAAAAH8//58=",0)</f>
        <v>#REF!</v>
      </c>
      <c r="FE268" t="e">
        <f>IF(#REF!,"AAAAAH8//6A=",0)</f>
        <v>#REF!</v>
      </c>
      <c r="FF268" t="e">
        <f>IF(#REF!,"AAAAAH8//6E=",0)</f>
        <v>#REF!</v>
      </c>
      <c r="FG268" t="e">
        <f>IF(#REF!,"AAAAAH8//6I=",0)</f>
        <v>#REF!</v>
      </c>
      <c r="FH268" t="e">
        <f>IF(#REF!,"AAAAAH8//6M=",0)</f>
        <v>#REF!</v>
      </c>
      <c r="FI268" t="e">
        <f>IF(#REF!,"AAAAAH8//6Q=",0)</f>
        <v>#REF!</v>
      </c>
      <c r="FJ268" t="e">
        <f>IF(#REF!,"AAAAAH8//6U=",0)</f>
        <v>#REF!</v>
      </c>
      <c r="FK268" t="e">
        <f>IF(#REF!,"AAAAAH8//6Y=",0)</f>
        <v>#REF!</v>
      </c>
      <c r="FL268" t="e">
        <f>IF(#REF!,"AAAAAH8//6c=",0)</f>
        <v>#REF!</v>
      </c>
      <c r="FM268" t="e">
        <f>IF(#REF!,"AAAAAH8//6g=",0)</f>
        <v>#REF!</v>
      </c>
      <c r="FN268" t="e">
        <f>IF(#REF!,"AAAAAH8//6k=",0)</f>
        <v>#REF!</v>
      </c>
      <c r="FO268" t="e">
        <f>IF(#REF!,"AAAAAH8//6o=",0)</f>
        <v>#REF!</v>
      </c>
      <c r="FP268" t="e">
        <f>IF(#REF!,"AAAAAH8//6s=",0)</f>
        <v>#REF!</v>
      </c>
      <c r="FQ268" t="e">
        <f>IF(#REF!,"AAAAAH8//6w=",0)</f>
        <v>#REF!</v>
      </c>
      <c r="FR268" t="e">
        <f>IF(#REF!,"AAAAAH8//60=",0)</f>
        <v>#REF!</v>
      </c>
      <c r="FS268" t="e">
        <f>IF(#REF!,"AAAAAH8//64=",0)</f>
        <v>#REF!</v>
      </c>
      <c r="FT268" t="e">
        <f>IF(#REF!,"AAAAAH8//68=",0)</f>
        <v>#REF!</v>
      </c>
      <c r="FU268" t="e">
        <f>IF(#REF!,"AAAAAH8//7A=",0)</f>
        <v>#REF!</v>
      </c>
      <c r="FV268" t="e">
        <f>IF(#REF!,"AAAAAH8//7E=",0)</f>
        <v>#REF!</v>
      </c>
      <c r="FW268" t="e">
        <f>IF(#REF!,"AAAAAH8//7I=",0)</f>
        <v>#REF!</v>
      </c>
      <c r="FX268" t="e">
        <f>IF(#REF!,"AAAAAH8//7M=",0)</f>
        <v>#REF!</v>
      </c>
      <c r="FY268" t="e">
        <f>IF(#REF!,"AAAAAH8//7Q=",0)</f>
        <v>#REF!</v>
      </c>
      <c r="FZ268" t="e">
        <f>IF(#REF!,"AAAAAH8//7U=",0)</f>
        <v>#REF!</v>
      </c>
      <c r="GA268" t="e">
        <f>IF(#REF!,"AAAAAH8//7Y=",0)</f>
        <v>#REF!</v>
      </c>
      <c r="GB268" t="e">
        <f>IF(#REF!,"AAAAAH8//7c=",0)</f>
        <v>#REF!</v>
      </c>
      <c r="GC268" t="e">
        <f>IF(#REF!,"AAAAAH8//7g=",0)</f>
        <v>#REF!</v>
      </c>
      <c r="GD268" t="e">
        <f>IF(#REF!,"AAAAAH8//7k=",0)</f>
        <v>#REF!</v>
      </c>
      <c r="GE268" t="e">
        <f>IF(#REF!,"AAAAAH8//7o=",0)</f>
        <v>#REF!</v>
      </c>
      <c r="GF268" t="e">
        <f>IF(#REF!,"AAAAAH8//7s=",0)</f>
        <v>#REF!</v>
      </c>
      <c r="GG268" t="e">
        <f>IF(#REF!,"AAAAAH8//7w=",0)</f>
        <v>#REF!</v>
      </c>
      <c r="GH268" t="e">
        <f>IF(#REF!,"AAAAAH8//70=",0)</f>
        <v>#REF!</v>
      </c>
      <c r="GI268" t="e">
        <f>IF(#REF!,"AAAAAH8//74=",0)</f>
        <v>#REF!</v>
      </c>
      <c r="GJ268" t="e">
        <f>IF(#REF!,"AAAAAH8//78=",0)</f>
        <v>#REF!</v>
      </c>
      <c r="GK268" t="e">
        <f>IF(#REF!,"AAAAAH8//8A=",0)</f>
        <v>#REF!</v>
      </c>
      <c r="GL268" t="e">
        <f>IF(#REF!,"AAAAAH8//8E=",0)</f>
        <v>#REF!</v>
      </c>
      <c r="GM268" t="e">
        <f>IF(#REF!,"AAAAAH8//8I=",0)</f>
        <v>#REF!</v>
      </c>
      <c r="GN268" t="e">
        <f>IF(#REF!,"AAAAAH8//8M=",0)</f>
        <v>#REF!</v>
      </c>
      <c r="GO268" t="e">
        <f>IF(#REF!,"AAAAAH8//8Q=",0)</f>
        <v>#REF!</v>
      </c>
      <c r="GP268" t="e">
        <f>IF(#REF!,"AAAAAH8//8U=",0)</f>
        <v>#REF!</v>
      </c>
      <c r="GQ268" t="e">
        <f>IF(#REF!,"AAAAAH8//8Y=",0)</f>
        <v>#REF!</v>
      </c>
      <c r="GR268" t="e">
        <f>IF(#REF!,"AAAAAH8//8c=",0)</f>
        <v>#REF!</v>
      </c>
      <c r="GS268" t="e">
        <f>IF(#REF!,"AAAAAH8//8g=",0)</f>
        <v>#REF!</v>
      </c>
      <c r="GT268" t="e">
        <f>IF(#REF!,"AAAAAH8//8k=",0)</f>
        <v>#REF!</v>
      </c>
      <c r="GU268" t="e">
        <f>IF(#REF!,"AAAAAH8//8o=",0)</f>
        <v>#REF!</v>
      </c>
      <c r="GV268" t="e">
        <f>IF(#REF!,"AAAAAH8//8s=",0)</f>
        <v>#REF!</v>
      </c>
      <c r="GW268" t="e">
        <f>IF(#REF!,"AAAAAH8//8w=",0)</f>
        <v>#REF!</v>
      </c>
      <c r="GX268" t="e">
        <f>IF(#REF!,"AAAAAH8//80=",0)</f>
        <v>#REF!</v>
      </c>
      <c r="GY268" t="e">
        <f>IF(#REF!,"AAAAAH8//84=",0)</f>
        <v>#REF!</v>
      </c>
      <c r="GZ268" t="e">
        <f>IF(#REF!,"AAAAAH8//88=",0)</f>
        <v>#REF!</v>
      </c>
      <c r="HA268" t="e">
        <f>IF(#REF!,"AAAAAH8//9A=",0)</f>
        <v>#REF!</v>
      </c>
      <c r="HB268" t="e">
        <f>IF(#REF!,"AAAAAH8//9E=",0)</f>
        <v>#REF!</v>
      </c>
      <c r="HC268" t="e">
        <f>IF(#REF!,"AAAAAH8//9I=",0)</f>
        <v>#REF!</v>
      </c>
      <c r="HD268" t="e">
        <f>IF(#REF!,"AAAAAH8//9M=",0)</f>
        <v>#REF!</v>
      </c>
      <c r="HE268" t="e">
        <f>IF(#REF!,"AAAAAH8//9Q=",0)</f>
        <v>#REF!</v>
      </c>
      <c r="HF268" t="e">
        <f>IF(#REF!,"AAAAAH8//9U=",0)</f>
        <v>#REF!</v>
      </c>
      <c r="HG268" t="e">
        <f>IF(#REF!,"AAAAAH8//9Y=",0)</f>
        <v>#REF!</v>
      </c>
      <c r="HH268" t="e">
        <f>IF(#REF!,"AAAAAH8//9c=",0)</f>
        <v>#REF!</v>
      </c>
      <c r="HI268" t="e">
        <f>IF(#REF!,"AAAAAH8//9g=",0)</f>
        <v>#REF!</v>
      </c>
      <c r="HJ268" t="e">
        <f>IF(#REF!,"AAAAAH8//9k=",0)</f>
        <v>#REF!</v>
      </c>
      <c r="HK268" t="e">
        <f>IF(#REF!,"AAAAAH8//9o=",0)</f>
        <v>#REF!</v>
      </c>
      <c r="HL268" t="e">
        <f>IF(#REF!,"AAAAAH8//9s=",0)</f>
        <v>#REF!</v>
      </c>
      <c r="HM268" t="e">
        <f>IF(#REF!,"AAAAAH8//9w=",0)</f>
        <v>#REF!</v>
      </c>
      <c r="HN268" t="e">
        <f>IF(#REF!,"AAAAAH8//90=",0)</f>
        <v>#REF!</v>
      </c>
      <c r="HO268" t="e">
        <f>IF(#REF!,"AAAAAH8//94=",0)</f>
        <v>#REF!</v>
      </c>
      <c r="HP268" t="e">
        <f>IF(#REF!,"AAAAAH8//98=",0)</f>
        <v>#REF!</v>
      </c>
      <c r="HQ268" t="e">
        <f>IF(#REF!,"AAAAAH8//+A=",0)</f>
        <v>#REF!</v>
      </c>
      <c r="HR268" t="e">
        <f>IF(#REF!,"AAAAAH8//+E=",0)</f>
        <v>#REF!</v>
      </c>
      <c r="HS268" t="e">
        <f>IF(#REF!,"AAAAAH8//+I=",0)</f>
        <v>#REF!</v>
      </c>
      <c r="HT268" t="e">
        <f>IF(#REF!,"AAAAAH8//+M=",0)</f>
        <v>#REF!</v>
      </c>
      <c r="HU268" t="e">
        <f>IF(#REF!,"AAAAAH8//+Q=",0)</f>
        <v>#REF!</v>
      </c>
      <c r="HV268" t="e">
        <f>IF(#REF!,"AAAAAH8//+U=",0)</f>
        <v>#REF!</v>
      </c>
      <c r="HW268" t="e">
        <f>IF(#REF!,"AAAAAH8//+Y=",0)</f>
        <v>#REF!</v>
      </c>
      <c r="HX268" t="e">
        <f>IF(#REF!,"AAAAAH8//+c=",0)</f>
        <v>#REF!</v>
      </c>
      <c r="HY268" t="e">
        <f>IF(#REF!,"AAAAAH8//+g=",0)</f>
        <v>#REF!</v>
      </c>
      <c r="HZ268" t="e">
        <f>IF(#REF!,"AAAAAH8//+k=",0)</f>
        <v>#REF!</v>
      </c>
      <c r="IA268" t="e">
        <f>IF(#REF!,"AAAAAH8//+o=",0)</f>
        <v>#REF!</v>
      </c>
      <c r="IB268" t="e">
        <f>IF(#REF!,"AAAAAH8//+s=",0)</f>
        <v>#REF!</v>
      </c>
      <c r="IC268" t="e">
        <f>IF(#REF!,"AAAAAH8//+w=",0)</f>
        <v>#REF!</v>
      </c>
      <c r="ID268" t="e">
        <f>IF(#REF!,"AAAAAH8//+0=",0)</f>
        <v>#REF!</v>
      </c>
      <c r="IE268" t="e">
        <f>IF(#REF!,"AAAAAH8//+4=",0)</f>
        <v>#REF!</v>
      </c>
      <c r="IF268" t="e">
        <f>IF(#REF!,"AAAAAH8//+8=",0)</f>
        <v>#REF!</v>
      </c>
      <c r="IG268" t="e">
        <f>IF(#REF!,"AAAAAH8///A=",0)</f>
        <v>#REF!</v>
      </c>
      <c r="IH268" t="e">
        <f>IF(#REF!,"AAAAAH8///E=",0)</f>
        <v>#REF!</v>
      </c>
      <c r="II268" t="e">
        <f>IF(#REF!,"AAAAAH8///I=",0)</f>
        <v>#REF!</v>
      </c>
      <c r="IJ268" t="e">
        <f>IF(#REF!,"AAAAAH8///M=",0)</f>
        <v>#REF!</v>
      </c>
      <c r="IK268" t="e">
        <f>IF(#REF!,"AAAAAH8///Q=",0)</f>
        <v>#REF!</v>
      </c>
      <c r="IL268" t="e">
        <f>IF(#REF!,"AAAAAH8///U=",0)</f>
        <v>#REF!</v>
      </c>
      <c r="IM268" t="e">
        <f>IF(#REF!,"AAAAAH8///Y=",0)</f>
        <v>#REF!</v>
      </c>
      <c r="IN268" t="e">
        <f>IF(#REF!,"AAAAAH8///c=",0)</f>
        <v>#REF!</v>
      </c>
      <c r="IO268" t="e">
        <f>IF(#REF!,"AAAAAH8///g=",0)</f>
        <v>#REF!</v>
      </c>
      <c r="IP268" t="e">
        <f>IF(#REF!,"AAAAAH8///k=",0)</f>
        <v>#REF!</v>
      </c>
      <c r="IQ268" t="e">
        <f>IF(#REF!,"AAAAAH8///o=",0)</f>
        <v>#REF!</v>
      </c>
      <c r="IR268" t="e">
        <f>IF(#REF!,"AAAAAH8///s=",0)</f>
        <v>#REF!</v>
      </c>
      <c r="IS268" t="e">
        <f>IF(#REF!,"AAAAAH8///w=",0)</f>
        <v>#REF!</v>
      </c>
      <c r="IT268" t="e">
        <f>IF(#REF!,"AAAAAH8///0=",0)</f>
        <v>#REF!</v>
      </c>
      <c r="IU268" t="e">
        <f>IF(#REF!,"AAAAAH8///4=",0)</f>
        <v>#REF!</v>
      </c>
      <c r="IV268" t="e">
        <f>IF(#REF!,"AAAAAH8///8=",0)</f>
        <v>#REF!</v>
      </c>
    </row>
    <row r="269" spans="1:256">
      <c r="A269" t="e">
        <f>IF(#REF!,"AAAAAH2++wA=",0)</f>
        <v>#REF!</v>
      </c>
      <c r="B269" t="e">
        <f>IF(#REF!,"AAAAAH2++wE=",0)</f>
        <v>#REF!</v>
      </c>
      <c r="C269" t="e">
        <f>IF(#REF!,"AAAAAH2++wI=",0)</f>
        <v>#REF!</v>
      </c>
      <c r="D269" t="e">
        <f>IF(#REF!,"AAAAAH2++wM=",0)</f>
        <v>#REF!</v>
      </c>
      <c r="E269" t="e">
        <f>IF(#REF!,"AAAAAH2++wQ=",0)</f>
        <v>#REF!</v>
      </c>
      <c r="F269" t="e">
        <f>IF(#REF!,"AAAAAH2++wU=",0)</f>
        <v>#REF!</v>
      </c>
      <c r="G269" t="e">
        <f>IF(#REF!,"AAAAAH2++wY=",0)</f>
        <v>#REF!</v>
      </c>
      <c r="H269" t="e">
        <f>IF(#REF!,"AAAAAH2++wc=",0)</f>
        <v>#REF!</v>
      </c>
      <c r="I269" t="e">
        <f>IF(#REF!,"AAAAAH2++wg=",0)</f>
        <v>#REF!</v>
      </c>
      <c r="J269" t="e">
        <f>IF(#REF!,"AAAAAH2++wk=",0)</f>
        <v>#REF!</v>
      </c>
      <c r="K269" t="e">
        <f>IF(#REF!,"AAAAAH2++wo=",0)</f>
        <v>#REF!</v>
      </c>
      <c r="L269" t="e">
        <f>IF(#REF!,"AAAAAH2++ws=",0)</f>
        <v>#REF!</v>
      </c>
      <c r="M269" t="e">
        <f>IF(#REF!,"AAAAAH2++ww=",0)</f>
        <v>#REF!</v>
      </c>
      <c r="N269" t="e">
        <f>IF(#REF!,"AAAAAH2++w0=",0)</f>
        <v>#REF!</v>
      </c>
      <c r="O269" t="e">
        <f>IF(#REF!,"AAAAAH2++w4=",0)</f>
        <v>#REF!</v>
      </c>
      <c r="P269" t="e">
        <f>IF(#REF!,"AAAAAH2++w8=",0)</f>
        <v>#REF!</v>
      </c>
      <c r="Q269" t="e">
        <f>IF(#REF!,"AAAAAH2++xA=",0)</f>
        <v>#REF!</v>
      </c>
      <c r="R269" t="e">
        <f>IF(#REF!,"AAAAAH2++xE=",0)</f>
        <v>#REF!</v>
      </c>
      <c r="S269" t="e">
        <f>IF(#REF!,"AAAAAH2++xI=",0)</f>
        <v>#REF!</v>
      </c>
      <c r="T269" t="e">
        <f>IF(#REF!,"AAAAAH2++xM=",0)</f>
        <v>#REF!</v>
      </c>
      <c r="U269" t="e">
        <f>IF(#REF!,"AAAAAH2++xQ=",0)</f>
        <v>#REF!</v>
      </c>
      <c r="V269" t="e">
        <f>IF(#REF!,"AAAAAH2++xU=",0)</f>
        <v>#REF!</v>
      </c>
      <c r="W269" t="e">
        <f>IF(#REF!,"AAAAAH2++xY=",0)</f>
        <v>#REF!</v>
      </c>
      <c r="X269" t="e">
        <f>IF(#REF!,"AAAAAH2++xc=",0)</f>
        <v>#REF!</v>
      </c>
      <c r="Y269" t="e">
        <f>IF(#REF!,"AAAAAH2++xg=",0)</f>
        <v>#REF!</v>
      </c>
      <c r="Z269" t="e">
        <f>IF(#REF!,"AAAAAH2++xk=",0)</f>
        <v>#REF!</v>
      </c>
      <c r="AA269" t="e">
        <f>IF(#REF!,"AAAAAH2++xo=",0)</f>
        <v>#REF!</v>
      </c>
      <c r="AB269" t="e">
        <f>IF(#REF!,"AAAAAH2++xs=",0)</f>
        <v>#REF!</v>
      </c>
      <c r="AC269" t="e">
        <f>IF(#REF!,"AAAAAH2++xw=",0)</f>
        <v>#REF!</v>
      </c>
      <c r="AD269" t="e">
        <f>IF(#REF!,"AAAAAH2++x0=",0)</f>
        <v>#REF!</v>
      </c>
      <c r="AE269" t="e">
        <f>IF(#REF!,"AAAAAH2++x4=",0)</f>
        <v>#REF!</v>
      </c>
      <c r="AF269" t="e">
        <f>IF(#REF!,"AAAAAH2++x8=",0)</f>
        <v>#REF!</v>
      </c>
      <c r="AG269" t="e">
        <f>IF(#REF!,"AAAAAH2++yA=",0)</f>
        <v>#REF!</v>
      </c>
      <c r="AH269" t="e">
        <f>IF(#REF!,"AAAAAH2++yE=",0)</f>
        <v>#REF!</v>
      </c>
      <c r="AI269" t="e">
        <f>IF(#REF!,"AAAAAH2++yI=",0)</f>
        <v>#REF!</v>
      </c>
      <c r="AJ269" t="e">
        <f>IF(#REF!,"AAAAAH2++yM=",0)</f>
        <v>#REF!</v>
      </c>
      <c r="AK269" t="e">
        <f>IF(#REF!,"AAAAAH2++yQ=",0)</f>
        <v>#REF!</v>
      </c>
      <c r="AL269" t="e">
        <f>IF(#REF!,"AAAAAH2++yU=",0)</f>
        <v>#REF!</v>
      </c>
      <c r="AM269" t="e">
        <f>IF(#REF!,"AAAAAH2++yY=",0)</f>
        <v>#REF!</v>
      </c>
      <c r="AN269" t="e">
        <f>IF(#REF!,"AAAAAH2++yc=",0)</f>
        <v>#REF!</v>
      </c>
      <c r="AO269" t="e">
        <f>IF(#REF!,"AAAAAH2++yg=",0)</f>
        <v>#REF!</v>
      </c>
      <c r="AP269" t="e">
        <f>IF(#REF!,"AAAAAH2++yk=",0)</f>
        <v>#REF!</v>
      </c>
      <c r="AQ269" t="e">
        <f>IF(#REF!,"AAAAAH2++yo=",0)</f>
        <v>#REF!</v>
      </c>
      <c r="AR269" t="e">
        <f>IF(#REF!,"AAAAAH2++ys=",0)</f>
        <v>#REF!</v>
      </c>
      <c r="AS269" t="e">
        <f>IF(#REF!,"AAAAAH2++yw=",0)</f>
        <v>#REF!</v>
      </c>
      <c r="AT269" t="e">
        <f>IF(#REF!,"AAAAAH2++y0=",0)</f>
        <v>#REF!</v>
      </c>
      <c r="AU269" t="e">
        <f>IF(#REF!,"AAAAAH2++y4=",0)</f>
        <v>#REF!</v>
      </c>
      <c r="AV269" t="e">
        <f>IF(#REF!,"AAAAAH2++y8=",0)</f>
        <v>#REF!</v>
      </c>
      <c r="AW269" t="e">
        <f>IF(#REF!,"AAAAAH2++zA=",0)</f>
        <v>#REF!</v>
      </c>
      <c r="AX269" t="e">
        <f>IF(#REF!,"AAAAAH2++zE=",0)</f>
        <v>#REF!</v>
      </c>
      <c r="AY269" t="e">
        <f>IF(#REF!,"AAAAAH2++zI=",0)</f>
        <v>#REF!</v>
      </c>
      <c r="AZ269" t="e">
        <f>IF(#REF!,"AAAAAH2++zM=",0)</f>
        <v>#REF!</v>
      </c>
      <c r="BA269" t="e">
        <f>IF(#REF!,"AAAAAH2++zQ=",0)</f>
        <v>#REF!</v>
      </c>
      <c r="BB269" t="e">
        <f>IF(#REF!,"AAAAAH2++zU=",0)</f>
        <v>#REF!</v>
      </c>
      <c r="BC269" t="e">
        <f>IF(#REF!,"AAAAAH2++zY=",0)</f>
        <v>#REF!</v>
      </c>
      <c r="BD269" t="e">
        <f>IF(#REF!,"AAAAAH2++zc=",0)</f>
        <v>#REF!</v>
      </c>
      <c r="BE269" t="e">
        <f>IF(#REF!,"AAAAAH2++zg=",0)</f>
        <v>#REF!</v>
      </c>
      <c r="BF269" t="e">
        <f>IF(#REF!,"AAAAAH2++zk=",0)</f>
        <v>#REF!</v>
      </c>
      <c r="BG269" t="e">
        <f>IF(#REF!,"AAAAAH2++zo=",0)</f>
        <v>#REF!</v>
      </c>
      <c r="BH269" t="e">
        <f>IF(#REF!,"AAAAAH2++zs=",0)</f>
        <v>#REF!</v>
      </c>
      <c r="BI269" t="e">
        <f>IF(#REF!,"AAAAAH2++zw=",0)</f>
        <v>#REF!</v>
      </c>
      <c r="BJ269" t="e">
        <f>IF(#REF!,"AAAAAH2++z0=",0)</f>
        <v>#REF!</v>
      </c>
      <c r="BK269" t="e">
        <f>IF(#REF!,"AAAAAH2++z4=",0)</f>
        <v>#REF!</v>
      </c>
      <c r="BL269" t="e">
        <f>IF(#REF!,"AAAAAH2++z8=",0)</f>
        <v>#REF!</v>
      </c>
      <c r="BM269" t="e">
        <f>IF(#REF!,"AAAAAH2++0A=",0)</f>
        <v>#REF!</v>
      </c>
      <c r="BN269" t="e">
        <f>IF(#REF!,"AAAAAH2++0E=",0)</f>
        <v>#REF!</v>
      </c>
      <c r="BO269" t="e">
        <f>IF(#REF!,"AAAAAH2++0I=",0)</f>
        <v>#REF!</v>
      </c>
      <c r="BP269" t="e">
        <f>IF(#REF!,"AAAAAH2++0M=",0)</f>
        <v>#REF!</v>
      </c>
      <c r="BQ269" t="e">
        <f>IF(#REF!,"AAAAAH2++0Q=",0)</f>
        <v>#REF!</v>
      </c>
      <c r="BR269" t="e">
        <f>IF(#REF!,"AAAAAH2++0U=",0)</f>
        <v>#REF!</v>
      </c>
      <c r="BS269" t="e">
        <f>IF(#REF!,"AAAAAH2++0Y=",0)</f>
        <v>#REF!</v>
      </c>
      <c r="BT269" t="e">
        <f>IF(#REF!,"AAAAAH2++0c=",0)</f>
        <v>#REF!</v>
      </c>
      <c r="BU269" t="e">
        <f>IF(#REF!,"AAAAAH2++0g=",0)</f>
        <v>#REF!</v>
      </c>
      <c r="BV269" t="e">
        <f>IF(#REF!,"AAAAAH2++0k=",0)</f>
        <v>#REF!</v>
      </c>
      <c r="BW269" t="e">
        <f>IF(#REF!,"AAAAAH2++0o=",0)</f>
        <v>#REF!</v>
      </c>
      <c r="BX269" t="e">
        <f>IF(#REF!,"AAAAAH2++0s=",0)</f>
        <v>#REF!</v>
      </c>
      <c r="BY269" t="e">
        <f>IF(#REF!,"AAAAAH2++0w=",0)</f>
        <v>#REF!</v>
      </c>
      <c r="BZ269" t="e">
        <f>IF(#REF!,"AAAAAH2++00=",0)</f>
        <v>#REF!</v>
      </c>
      <c r="CA269" t="e">
        <f>IF(#REF!,"AAAAAH2++04=",0)</f>
        <v>#REF!</v>
      </c>
      <c r="CB269" t="e">
        <f>IF(#REF!,"AAAAAH2++08=",0)</f>
        <v>#REF!</v>
      </c>
      <c r="CC269" t="e">
        <f>IF(#REF!,"AAAAAH2++1A=",0)</f>
        <v>#REF!</v>
      </c>
      <c r="CD269" t="e">
        <f>IF(#REF!,"AAAAAH2++1E=",0)</f>
        <v>#REF!</v>
      </c>
      <c r="CE269" t="e">
        <f>IF(#REF!,"AAAAAH2++1I=",0)</f>
        <v>#REF!</v>
      </c>
      <c r="CF269" t="e">
        <f>IF(#REF!,"AAAAAH2++1M=",0)</f>
        <v>#REF!</v>
      </c>
      <c r="CG269" t="e">
        <f>IF(#REF!,"AAAAAH2++1Q=",0)</f>
        <v>#REF!</v>
      </c>
      <c r="CH269" t="e">
        <f>IF(#REF!,"AAAAAH2++1U=",0)</f>
        <v>#REF!</v>
      </c>
      <c r="CI269" t="e">
        <f>IF(#REF!,"AAAAAH2++1Y=",0)</f>
        <v>#REF!</v>
      </c>
      <c r="CJ269" t="e">
        <f>IF(#REF!,"AAAAAH2++1c=",0)</f>
        <v>#REF!</v>
      </c>
      <c r="CK269" t="e">
        <f>IF(#REF!,"AAAAAH2++1g=",0)</f>
        <v>#REF!</v>
      </c>
      <c r="CL269" t="e">
        <f>IF(#REF!,"AAAAAH2++1k=",0)</f>
        <v>#REF!</v>
      </c>
      <c r="CM269" t="e">
        <f>IF(#REF!,"AAAAAH2++1o=",0)</f>
        <v>#REF!</v>
      </c>
      <c r="CN269" t="e">
        <f>IF(#REF!,"AAAAAH2++1s=",0)</f>
        <v>#REF!</v>
      </c>
      <c r="CO269" t="e">
        <f>IF(#REF!,"AAAAAH2++1w=",0)</f>
        <v>#REF!</v>
      </c>
      <c r="CP269" t="e">
        <f>IF(#REF!,"AAAAAH2++10=",0)</f>
        <v>#REF!</v>
      </c>
      <c r="CQ269" t="e">
        <f>IF(#REF!,"AAAAAH2++14=",0)</f>
        <v>#REF!</v>
      </c>
      <c r="CR269" t="e">
        <f>IF(#REF!,"AAAAAH2++18=",0)</f>
        <v>#REF!</v>
      </c>
      <c r="CS269" t="e">
        <f>IF(#REF!,"AAAAAH2++2A=",0)</f>
        <v>#REF!</v>
      </c>
      <c r="CT269" t="e">
        <f>IF(#REF!,"AAAAAH2++2E=",0)</f>
        <v>#REF!</v>
      </c>
      <c r="CU269" t="e">
        <f>IF(#REF!,"AAAAAH2++2I=",0)</f>
        <v>#REF!</v>
      </c>
      <c r="CV269" t="e">
        <f>IF(#REF!,"AAAAAH2++2M=",0)</f>
        <v>#REF!</v>
      </c>
      <c r="CW269" t="e">
        <f>IF(#REF!,"AAAAAH2++2Q=",0)</f>
        <v>#REF!</v>
      </c>
      <c r="CX269" t="e">
        <f>IF(#REF!,"AAAAAH2++2U=",0)</f>
        <v>#REF!</v>
      </c>
      <c r="CY269" t="e">
        <f>IF(#REF!,"AAAAAH2++2Y=",0)</f>
        <v>#REF!</v>
      </c>
      <c r="CZ269" t="e">
        <f>IF(#REF!,"AAAAAH2++2c=",0)</f>
        <v>#REF!</v>
      </c>
      <c r="DA269" t="e">
        <f>IF(#REF!,"AAAAAH2++2g=",0)</f>
        <v>#REF!</v>
      </c>
      <c r="DB269" t="e">
        <f>IF(#REF!,"AAAAAH2++2k=",0)</f>
        <v>#REF!</v>
      </c>
      <c r="DC269" t="e">
        <f>IF(#REF!,"AAAAAH2++2o=",0)</f>
        <v>#REF!</v>
      </c>
      <c r="DD269" t="e">
        <f>IF(#REF!,"AAAAAH2++2s=",0)</f>
        <v>#REF!</v>
      </c>
      <c r="DE269" t="e">
        <f>IF(#REF!,"AAAAAH2++2w=",0)</f>
        <v>#REF!</v>
      </c>
      <c r="DF269" t="e">
        <f>IF(#REF!,"AAAAAH2++20=",0)</f>
        <v>#REF!</v>
      </c>
      <c r="DG269" t="e">
        <f>IF(#REF!,"AAAAAH2++24=",0)</f>
        <v>#REF!</v>
      </c>
      <c r="DH269" t="e">
        <f>IF(#REF!,"AAAAAH2++28=",0)</f>
        <v>#REF!</v>
      </c>
      <c r="DI269" t="e">
        <f>IF(#REF!,"AAAAAH2++3A=",0)</f>
        <v>#REF!</v>
      </c>
      <c r="DJ269" t="e">
        <f>IF(#REF!,"AAAAAH2++3E=",0)</f>
        <v>#REF!</v>
      </c>
      <c r="DK269" t="e">
        <f>IF(#REF!,"AAAAAH2++3I=",0)</f>
        <v>#REF!</v>
      </c>
      <c r="DL269" t="e">
        <f>IF(#REF!,"AAAAAH2++3M=",0)</f>
        <v>#REF!</v>
      </c>
      <c r="DM269" t="e">
        <f>IF(#REF!,"AAAAAH2++3Q=",0)</f>
        <v>#REF!</v>
      </c>
      <c r="DN269" t="e">
        <f>IF(#REF!,"AAAAAH2++3U=",0)</f>
        <v>#REF!</v>
      </c>
      <c r="DO269" t="e">
        <f>IF(#REF!,"AAAAAH2++3Y=",0)</f>
        <v>#REF!</v>
      </c>
      <c r="DP269" t="e">
        <f>IF(#REF!,"AAAAAH2++3c=",0)</f>
        <v>#REF!</v>
      </c>
      <c r="DQ269" t="e">
        <f>IF(#REF!,"AAAAAH2++3g=",0)</f>
        <v>#REF!</v>
      </c>
      <c r="DR269" t="e">
        <f>IF(#REF!,"AAAAAH2++3k=",0)</f>
        <v>#REF!</v>
      </c>
      <c r="DS269" t="e">
        <f>IF(#REF!,"AAAAAH2++3o=",0)</f>
        <v>#REF!</v>
      </c>
      <c r="DT269" t="e">
        <f>IF(#REF!,"AAAAAH2++3s=",0)</f>
        <v>#REF!</v>
      </c>
      <c r="DU269" t="e">
        <f>IF(#REF!,"AAAAAH2++3w=",0)</f>
        <v>#REF!</v>
      </c>
      <c r="DV269" t="e">
        <f>IF(#REF!,"AAAAAH2++30=",0)</f>
        <v>#REF!</v>
      </c>
      <c r="DW269" t="e">
        <f>IF(#REF!,"AAAAAH2++34=",0)</f>
        <v>#REF!</v>
      </c>
      <c r="DX269" t="e">
        <f>IF(#REF!,"AAAAAH2++38=",0)</f>
        <v>#REF!</v>
      </c>
      <c r="DY269" t="e">
        <f>IF(#REF!,"AAAAAH2++4A=",0)</f>
        <v>#REF!</v>
      </c>
      <c r="DZ269" t="e">
        <f>IF(#REF!,"AAAAAH2++4E=",0)</f>
        <v>#REF!</v>
      </c>
      <c r="EA269" t="e">
        <f>IF(#REF!,"AAAAAH2++4I=",0)</f>
        <v>#REF!</v>
      </c>
      <c r="EB269" t="e">
        <f>IF(#REF!,"AAAAAH2++4M=",0)</f>
        <v>#REF!</v>
      </c>
      <c r="EC269" t="e">
        <f>IF(#REF!,"AAAAAH2++4Q=",0)</f>
        <v>#REF!</v>
      </c>
      <c r="ED269" t="e">
        <f>IF(#REF!,"AAAAAH2++4U=",0)</f>
        <v>#REF!</v>
      </c>
      <c r="EE269" t="e">
        <f>IF(#REF!,"AAAAAH2++4Y=",0)</f>
        <v>#REF!</v>
      </c>
      <c r="EF269" t="e">
        <f>IF(#REF!,"AAAAAH2++4c=",0)</f>
        <v>#REF!</v>
      </c>
      <c r="EG269" t="e">
        <f>IF(#REF!,"AAAAAH2++4g=",0)</f>
        <v>#REF!</v>
      </c>
      <c r="EH269" t="e">
        <f>IF(#REF!,"AAAAAH2++4k=",0)</f>
        <v>#REF!</v>
      </c>
      <c r="EI269" t="e">
        <f>IF(#REF!,"AAAAAH2++4o=",0)</f>
        <v>#REF!</v>
      </c>
      <c r="EJ269" t="e">
        <f>IF(#REF!,"AAAAAH2++4s=",0)</f>
        <v>#REF!</v>
      </c>
      <c r="EK269" t="e">
        <f>IF(#REF!,"AAAAAH2++4w=",0)</f>
        <v>#REF!</v>
      </c>
      <c r="EL269" t="e">
        <f>IF(#REF!,"AAAAAH2++40=",0)</f>
        <v>#REF!</v>
      </c>
      <c r="EM269" t="e">
        <f>IF(#REF!,"AAAAAH2++44=",0)</f>
        <v>#REF!</v>
      </c>
      <c r="EN269" t="e">
        <f>IF(#REF!,"AAAAAH2++48=",0)</f>
        <v>#REF!</v>
      </c>
      <c r="EO269" t="e">
        <f>IF(#REF!,"AAAAAH2++5A=",0)</f>
        <v>#REF!</v>
      </c>
      <c r="EP269" t="e">
        <f>IF(#REF!,"AAAAAH2++5E=",0)</f>
        <v>#REF!</v>
      </c>
      <c r="EQ269" t="e">
        <f>IF(#REF!,"AAAAAH2++5I=",0)</f>
        <v>#REF!</v>
      </c>
      <c r="ER269" t="e">
        <f>IF(#REF!,"AAAAAH2++5M=",0)</f>
        <v>#REF!</v>
      </c>
      <c r="ES269" t="e">
        <f>IF(#REF!,"AAAAAH2++5Q=",0)</f>
        <v>#REF!</v>
      </c>
      <c r="ET269" t="e">
        <f>IF(#REF!,"AAAAAH2++5U=",0)</f>
        <v>#REF!</v>
      </c>
      <c r="EU269" t="e">
        <f>IF(#REF!,"AAAAAH2++5Y=",0)</f>
        <v>#REF!</v>
      </c>
      <c r="EV269" t="e">
        <f>IF(#REF!,"AAAAAH2++5c=",0)</f>
        <v>#REF!</v>
      </c>
      <c r="EW269" t="e">
        <f>IF(#REF!,"AAAAAH2++5g=",0)</f>
        <v>#REF!</v>
      </c>
      <c r="EX269" t="e">
        <f>IF(#REF!,"AAAAAH2++5k=",0)</f>
        <v>#REF!</v>
      </c>
      <c r="EY269" t="e">
        <f>IF(#REF!,"AAAAAH2++5o=",0)</f>
        <v>#REF!</v>
      </c>
      <c r="EZ269" t="e">
        <f>IF(#REF!,"AAAAAH2++5s=",0)</f>
        <v>#REF!</v>
      </c>
      <c r="FA269" t="e">
        <f>IF(#REF!,"AAAAAH2++5w=",0)</f>
        <v>#REF!</v>
      </c>
      <c r="FB269" t="e">
        <f>IF(#REF!,"AAAAAH2++50=",0)</f>
        <v>#REF!</v>
      </c>
      <c r="FC269" t="e">
        <f>IF(#REF!,"AAAAAH2++54=",0)</f>
        <v>#REF!</v>
      </c>
      <c r="FD269" t="e">
        <f>IF(#REF!,"AAAAAH2++58=",0)</f>
        <v>#REF!</v>
      </c>
      <c r="FE269" t="e">
        <f>IF(#REF!,"AAAAAH2++6A=",0)</f>
        <v>#REF!</v>
      </c>
      <c r="FF269" t="e">
        <f>IF(#REF!,"AAAAAH2++6E=",0)</f>
        <v>#REF!</v>
      </c>
      <c r="FG269" t="e">
        <f>IF(#REF!,"AAAAAH2++6I=",0)</f>
        <v>#REF!</v>
      </c>
      <c r="FH269" t="e">
        <f>IF(#REF!,"AAAAAH2++6M=",0)</f>
        <v>#REF!</v>
      </c>
      <c r="FI269" t="e">
        <f>IF(#REF!,"AAAAAH2++6Q=",0)</f>
        <v>#REF!</v>
      </c>
      <c r="FJ269" t="e">
        <f>IF(#REF!,"AAAAAH2++6U=",0)</f>
        <v>#REF!</v>
      </c>
      <c r="FK269" t="e">
        <f>IF(#REF!,"AAAAAH2++6Y=",0)</f>
        <v>#REF!</v>
      </c>
      <c r="FL269" t="e">
        <f>IF(#REF!,"AAAAAH2++6c=",0)</f>
        <v>#REF!</v>
      </c>
      <c r="FM269" t="e">
        <f>IF(#REF!,"AAAAAH2++6g=",0)</f>
        <v>#REF!</v>
      </c>
      <c r="FN269" t="e">
        <f>IF(#REF!,"AAAAAH2++6k=",0)</f>
        <v>#REF!</v>
      </c>
      <c r="FO269" t="e">
        <f>IF(#REF!,"AAAAAH2++6o=",0)</f>
        <v>#REF!</v>
      </c>
      <c r="FP269" t="e">
        <f>IF(#REF!,"AAAAAH2++6s=",0)</f>
        <v>#REF!</v>
      </c>
      <c r="FQ269" t="e">
        <f>IF(#REF!,"AAAAAH2++6w=",0)</f>
        <v>#REF!</v>
      </c>
      <c r="FR269" t="e">
        <f>IF(#REF!,"AAAAAH2++60=",0)</f>
        <v>#REF!</v>
      </c>
      <c r="FS269" t="e">
        <f>IF(#REF!,"AAAAAH2++64=",0)</f>
        <v>#REF!</v>
      </c>
      <c r="FT269" t="e">
        <f>IF(#REF!,"AAAAAH2++68=",0)</f>
        <v>#REF!</v>
      </c>
      <c r="FU269" t="e">
        <f>IF(#REF!,"AAAAAH2++7A=",0)</f>
        <v>#REF!</v>
      </c>
      <c r="FV269" t="e">
        <f>IF(#REF!,"AAAAAH2++7E=",0)</f>
        <v>#REF!</v>
      </c>
      <c r="FW269" t="e">
        <f>IF(#REF!,"AAAAAH2++7I=",0)</f>
        <v>#REF!</v>
      </c>
      <c r="FX269" t="e">
        <f>IF(#REF!,"AAAAAH2++7M=",0)</f>
        <v>#REF!</v>
      </c>
      <c r="FY269" t="e">
        <f>IF(#REF!,"AAAAAH2++7Q=",0)</f>
        <v>#REF!</v>
      </c>
      <c r="FZ269" t="e">
        <f>IF(#REF!,"AAAAAH2++7U=",0)</f>
        <v>#REF!</v>
      </c>
      <c r="GA269" t="e">
        <f>IF(#REF!,"AAAAAH2++7Y=",0)</f>
        <v>#REF!</v>
      </c>
      <c r="GB269" t="e">
        <f>IF(#REF!,"AAAAAH2++7c=",0)</f>
        <v>#REF!</v>
      </c>
      <c r="GC269" t="e">
        <f>IF(#REF!,"AAAAAH2++7g=",0)</f>
        <v>#REF!</v>
      </c>
      <c r="GD269" t="e">
        <f>IF(#REF!,"AAAAAH2++7k=",0)</f>
        <v>#REF!</v>
      </c>
      <c r="GE269" t="e">
        <f>IF(#REF!,"AAAAAH2++7o=",0)</f>
        <v>#REF!</v>
      </c>
      <c r="GF269" t="e">
        <f>IF(#REF!,"AAAAAH2++7s=",0)</f>
        <v>#REF!</v>
      </c>
      <c r="GG269" t="e">
        <f>IF(#REF!,"AAAAAH2++7w=",0)</f>
        <v>#REF!</v>
      </c>
      <c r="GH269" t="e">
        <f>IF(#REF!,"AAAAAH2++70=",0)</f>
        <v>#REF!</v>
      </c>
      <c r="GI269" t="e">
        <f>IF(#REF!,"AAAAAH2++74=",0)</f>
        <v>#REF!</v>
      </c>
      <c r="GJ269" t="e">
        <f>IF(#REF!,"AAAAAH2++78=",0)</f>
        <v>#REF!</v>
      </c>
      <c r="GK269" t="e">
        <f>IF(#REF!,"AAAAAH2++8A=",0)</f>
        <v>#REF!</v>
      </c>
      <c r="GL269" t="e">
        <f>IF(#REF!,"AAAAAH2++8E=",0)</f>
        <v>#REF!</v>
      </c>
      <c r="GM269" t="e">
        <f>IF(#REF!,"AAAAAH2++8I=",0)</f>
        <v>#REF!</v>
      </c>
      <c r="GN269" t="e">
        <f>IF(#REF!,"AAAAAH2++8M=",0)</f>
        <v>#REF!</v>
      </c>
      <c r="GO269" t="e">
        <f>IF(#REF!,"AAAAAH2++8Q=",0)</f>
        <v>#REF!</v>
      </c>
      <c r="GP269" t="e">
        <f>IF(#REF!,"AAAAAH2++8U=",0)</f>
        <v>#REF!</v>
      </c>
      <c r="GQ269" t="e">
        <f>IF(#REF!,"AAAAAH2++8Y=",0)</f>
        <v>#REF!</v>
      </c>
      <c r="GR269" t="e">
        <f>IF(#REF!,"AAAAAH2++8c=",0)</f>
        <v>#REF!</v>
      </c>
      <c r="GS269" t="e">
        <f>IF(#REF!,"AAAAAH2++8g=",0)</f>
        <v>#REF!</v>
      </c>
      <c r="GT269" t="e">
        <f>IF(#REF!,"AAAAAH2++8k=",0)</f>
        <v>#REF!</v>
      </c>
      <c r="GU269" t="e">
        <f>IF(#REF!,"AAAAAH2++8o=",0)</f>
        <v>#REF!</v>
      </c>
      <c r="GV269" t="e">
        <f>IF(#REF!,"AAAAAH2++8s=",0)</f>
        <v>#REF!</v>
      </c>
      <c r="GW269" t="e">
        <f>IF(#REF!,"AAAAAH2++8w=",0)</f>
        <v>#REF!</v>
      </c>
      <c r="GX269" t="e">
        <f>IF(#REF!,"AAAAAH2++80=",0)</f>
        <v>#REF!</v>
      </c>
      <c r="GY269" t="e">
        <f>IF(#REF!,"AAAAAH2++84=",0)</f>
        <v>#REF!</v>
      </c>
      <c r="GZ269" t="e">
        <f>IF(#REF!,"AAAAAH2++88=",0)</f>
        <v>#REF!</v>
      </c>
      <c r="HA269" t="e">
        <f>IF(#REF!,"AAAAAH2++9A=",0)</f>
        <v>#REF!</v>
      </c>
      <c r="HB269" t="e">
        <f>IF(#REF!,"AAAAAH2++9E=",0)</f>
        <v>#REF!</v>
      </c>
      <c r="HC269" t="e">
        <f>IF(#REF!,"AAAAAH2++9I=",0)</f>
        <v>#REF!</v>
      </c>
      <c r="HD269" t="e">
        <f>IF(#REF!,"AAAAAH2++9M=",0)</f>
        <v>#REF!</v>
      </c>
      <c r="HE269" t="e">
        <f>IF(#REF!,"AAAAAH2++9Q=",0)</f>
        <v>#REF!</v>
      </c>
      <c r="HF269" t="e">
        <f>IF(#REF!,"AAAAAH2++9U=",0)</f>
        <v>#REF!</v>
      </c>
      <c r="HG269" t="e">
        <f>IF(#REF!,"AAAAAH2++9Y=",0)</f>
        <v>#REF!</v>
      </c>
      <c r="HH269" t="e">
        <f>IF(#REF!,"AAAAAH2++9c=",0)</f>
        <v>#REF!</v>
      </c>
      <c r="HI269" t="e">
        <f>IF(#REF!,"AAAAAH2++9g=",0)</f>
        <v>#REF!</v>
      </c>
      <c r="HJ269" t="e">
        <f>IF(#REF!,"AAAAAH2++9k=",0)</f>
        <v>#REF!</v>
      </c>
      <c r="HK269" t="e">
        <f>IF(#REF!,"AAAAAH2++9o=",0)</f>
        <v>#REF!</v>
      </c>
      <c r="HL269" t="e">
        <f>IF(#REF!,"AAAAAH2++9s=",0)</f>
        <v>#REF!</v>
      </c>
      <c r="HM269" t="e">
        <f>IF(#REF!,"AAAAAH2++9w=",0)</f>
        <v>#REF!</v>
      </c>
      <c r="HN269" t="e">
        <f>IF(#REF!,"AAAAAH2++90=",0)</f>
        <v>#REF!</v>
      </c>
      <c r="HO269" t="e">
        <f>IF(#REF!,"AAAAAH2++94=",0)</f>
        <v>#REF!</v>
      </c>
      <c r="HP269" t="e">
        <f>IF(#REF!,"AAAAAH2++98=",0)</f>
        <v>#REF!</v>
      </c>
      <c r="HQ269" t="e">
        <f>IF(#REF!,"AAAAAH2+++A=",0)</f>
        <v>#REF!</v>
      </c>
      <c r="HR269" t="e">
        <f>IF(#REF!,"AAAAAH2+++E=",0)</f>
        <v>#REF!</v>
      </c>
      <c r="HS269" t="e">
        <f>IF(#REF!,"AAAAAH2+++I=",0)</f>
        <v>#REF!</v>
      </c>
      <c r="HT269" t="e">
        <f>IF(#REF!,"AAAAAH2+++M=",0)</f>
        <v>#REF!</v>
      </c>
      <c r="HU269" t="e">
        <f>IF(#REF!,"AAAAAH2+++Q=",0)</f>
        <v>#REF!</v>
      </c>
      <c r="HV269" t="e">
        <f>IF(#REF!,"AAAAAH2+++U=",0)</f>
        <v>#REF!</v>
      </c>
      <c r="HW269" t="e">
        <f>IF(#REF!,"AAAAAH2+++Y=",0)</f>
        <v>#REF!</v>
      </c>
      <c r="HX269" t="e">
        <f>IF(#REF!,"AAAAAH2+++c=",0)</f>
        <v>#REF!</v>
      </c>
      <c r="HY269" t="e">
        <f>IF(#REF!,"AAAAAH2+++g=",0)</f>
        <v>#REF!</v>
      </c>
      <c r="HZ269" t="e">
        <f>IF(#REF!,"AAAAAH2+++k=",0)</f>
        <v>#REF!</v>
      </c>
      <c r="IA269" t="e">
        <f>IF(#REF!,"AAAAAH2+++o=",0)</f>
        <v>#REF!</v>
      </c>
      <c r="IB269" t="e">
        <f>IF(#REF!,"AAAAAH2+++s=",0)</f>
        <v>#REF!</v>
      </c>
      <c r="IC269" t="e">
        <f>IF(#REF!,"AAAAAH2+++w=",0)</f>
        <v>#REF!</v>
      </c>
      <c r="ID269" t="e">
        <f>IF(#REF!,"AAAAAH2+++0=",0)</f>
        <v>#REF!</v>
      </c>
      <c r="IE269" t="e">
        <f>IF(#REF!,"AAAAAH2+++4=",0)</f>
        <v>#REF!</v>
      </c>
      <c r="IF269" t="e">
        <f>IF(#REF!,"AAAAAH2+++8=",0)</f>
        <v>#REF!</v>
      </c>
      <c r="IG269" t="e">
        <f>IF(#REF!,"AAAAAH2++/A=",0)</f>
        <v>#REF!</v>
      </c>
      <c r="IH269" t="e">
        <f>IF(#REF!,"AAAAAH2++/E=",0)</f>
        <v>#REF!</v>
      </c>
      <c r="II269" t="e">
        <f>IF(#REF!,"AAAAAH2++/I=",0)</f>
        <v>#REF!</v>
      </c>
      <c r="IJ269" t="e">
        <f>IF(#REF!,"AAAAAH2++/M=",0)</f>
        <v>#REF!</v>
      </c>
      <c r="IK269" t="e">
        <f>IF(#REF!,"AAAAAH2++/Q=",0)</f>
        <v>#REF!</v>
      </c>
      <c r="IL269" t="e">
        <f>IF(#REF!,"AAAAAH2++/U=",0)</f>
        <v>#REF!</v>
      </c>
      <c r="IM269" t="e">
        <f>IF(#REF!,"AAAAAH2++/Y=",0)</f>
        <v>#REF!</v>
      </c>
      <c r="IN269" t="e">
        <f>IF(#REF!,"AAAAAH2++/c=",0)</f>
        <v>#REF!</v>
      </c>
      <c r="IO269" t="e">
        <f>IF(#REF!,"AAAAAH2++/g=",0)</f>
        <v>#REF!</v>
      </c>
      <c r="IP269" t="e">
        <f>IF(#REF!,"AAAAAH2++/k=",0)</f>
        <v>#REF!</v>
      </c>
      <c r="IQ269" t="e">
        <f>IF(#REF!,"AAAAAH2++/o=",0)</f>
        <v>#REF!</v>
      </c>
      <c r="IR269" t="e">
        <f>IF(#REF!,"AAAAAH2++/s=",0)</f>
        <v>#REF!</v>
      </c>
      <c r="IS269" t="e">
        <f>IF(#REF!,"AAAAAH2++/w=",0)</f>
        <v>#REF!</v>
      </c>
      <c r="IT269" t="e">
        <f>IF(#REF!,"AAAAAH2++/0=",0)</f>
        <v>#REF!</v>
      </c>
      <c r="IU269" t="e">
        <f>IF(#REF!,"AAAAAH2++/4=",0)</f>
        <v>#REF!</v>
      </c>
      <c r="IV269" t="e">
        <f>IF(#REF!,"AAAAAH2++/8=",0)</f>
        <v>#REF!</v>
      </c>
    </row>
    <row r="270" spans="1:256">
      <c r="A270" t="e">
        <f>IF(#REF!,"AAAAAG79vwA=",0)</f>
        <v>#REF!</v>
      </c>
      <c r="B270" t="e">
        <f>IF(#REF!,"AAAAAG79vwE=",0)</f>
        <v>#REF!</v>
      </c>
      <c r="C270" t="e">
        <f>IF(#REF!,"AAAAAG79vwI=",0)</f>
        <v>#REF!</v>
      </c>
      <c r="D270" t="e">
        <f>IF(#REF!,"AAAAAG79vwM=",0)</f>
        <v>#REF!</v>
      </c>
      <c r="E270" t="e">
        <f>IF(#REF!,"AAAAAG79vwQ=",0)</f>
        <v>#REF!</v>
      </c>
      <c r="F270" t="e">
        <f>IF(#REF!,"AAAAAG79vwU=",0)</f>
        <v>#REF!</v>
      </c>
      <c r="G270" t="e">
        <f>IF(#REF!,"AAAAAG79vwY=",0)</f>
        <v>#REF!</v>
      </c>
      <c r="H270" t="e">
        <f>IF(#REF!,"AAAAAG79vwc=",0)</f>
        <v>#REF!</v>
      </c>
      <c r="I270" t="e">
        <f>IF(#REF!,"AAAAAG79vwg=",0)</f>
        <v>#REF!</v>
      </c>
      <c r="J270" t="e">
        <f>IF(#REF!,"AAAAAG79vwk=",0)</f>
        <v>#REF!</v>
      </c>
      <c r="K270" t="e">
        <f>IF(#REF!,"AAAAAG79vwo=",0)</f>
        <v>#REF!</v>
      </c>
      <c r="L270" t="e">
        <f>IF(#REF!,"AAAAAG79vws=",0)</f>
        <v>#REF!</v>
      </c>
      <c r="M270" t="e">
        <f>IF(#REF!,"AAAAAG79vww=",0)</f>
        <v>#REF!</v>
      </c>
      <c r="N270" t="e">
        <f>IF(#REF!,"AAAAAG79vw0=",0)</f>
        <v>#REF!</v>
      </c>
      <c r="O270" t="e">
        <f>IF(#REF!,"AAAAAG79vw4=",0)</f>
        <v>#REF!</v>
      </c>
      <c r="P270" t="e">
        <f>IF(#REF!,"AAAAAG79vw8=",0)</f>
        <v>#REF!</v>
      </c>
      <c r="Q270" t="e">
        <f>IF(#REF!,"AAAAAG79vxA=",0)</f>
        <v>#REF!</v>
      </c>
      <c r="R270" t="e">
        <f>IF(#REF!,"AAAAAG79vxE=",0)</f>
        <v>#REF!</v>
      </c>
      <c r="S270" t="e">
        <f>IF(#REF!,"AAAAAG79vxI=",0)</f>
        <v>#REF!</v>
      </c>
      <c r="T270" t="e">
        <f>IF(#REF!,"AAAAAG79vxM=",0)</f>
        <v>#REF!</v>
      </c>
      <c r="U270" t="e">
        <f>IF(#REF!,"AAAAAG79vxQ=",0)</f>
        <v>#REF!</v>
      </c>
      <c r="V270" t="e">
        <f>IF(#REF!,"AAAAAG79vxU=",0)</f>
        <v>#REF!</v>
      </c>
      <c r="W270" t="e">
        <f>IF(#REF!,"AAAAAG79vxY=",0)</f>
        <v>#REF!</v>
      </c>
      <c r="X270" t="e">
        <f>IF(#REF!,"AAAAAG79vxc=",0)</f>
        <v>#REF!</v>
      </c>
      <c r="Y270" t="e">
        <f>IF(#REF!,"AAAAAG79vxg=",0)</f>
        <v>#REF!</v>
      </c>
      <c r="Z270" t="e">
        <f>IF(#REF!,"AAAAAG79vxk=",0)</f>
        <v>#REF!</v>
      </c>
      <c r="AA270" t="e">
        <f>IF(#REF!,"AAAAAG79vxo=",0)</f>
        <v>#REF!</v>
      </c>
      <c r="AB270" t="e">
        <f>IF(#REF!,"AAAAAG79vxs=",0)</f>
        <v>#REF!</v>
      </c>
      <c r="AC270" t="e">
        <f>IF(#REF!,"AAAAAG79vxw=",0)</f>
        <v>#REF!</v>
      </c>
      <c r="AD270" t="e">
        <f>IF(#REF!,"AAAAAG79vx0=",0)</f>
        <v>#REF!</v>
      </c>
      <c r="AE270" t="e">
        <f>IF(#REF!,"AAAAAG79vx4=",0)</f>
        <v>#REF!</v>
      </c>
      <c r="AF270" t="e">
        <f>IF(#REF!,"AAAAAG79vx8=",0)</f>
        <v>#REF!</v>
      </c>
      <c r="AG270" t="e">
        <f>IF(#REF!,"AAAAAG79vyA=",0)</f>
        <v>#REF!</v>
      </c>
      <c r="AH270" t="e">
        <f>IF(#REF!,"AAAAAG79vyE=",0)</f>
        <v>#REF!</v>
      </c>
      <c r="AI270" t="e">
        <f>IF(#REF!,"AAAAAG79vyI=",0)</f>
        <v>#REF!</v>
      </c>
      <c r="AJ270" t="e">
        <f>IF(#REF!,"AAAAAG79vyM=",0)</f>
        <v>#REF!</v>
      </c>
      <c r="AK270" t="e">
        <f>IF(#REF!,"AAAAAG79vyQ=",0)</f>
        <v>#REF!</v>
      </c>
      <c r="AL270" t="e">
        <f>IF(#REF!,"AAAAAG79vyU=",0)</f>
        <v>#REF!</v>
      </c>
      <c r="AM270" t="e">
        <f>IF(#REF!,"AAAAAG79vyY=",0)</f>
        <v>#REF!</v>
      </c>
      <c r="AN270" t="e">
        <f>IF(#REF!,"AAAAAG79vyc=",0)</f>
        <v>#REF!</v>
      </c>
      <c r="AO270" t="e">
        <f>IF(#REF!,"AAAAAG79vyg=",0)</f>
        <v>#REF!</v>
      </c>
      <c r="AP270" t="e">
        <f>IF(#REF!,"AAAAAG79vyk=",0)</f>
        <v>#REF!</v>
      </c>
      <c r="AQ270" t="e">
        <f>IF(#REF!,"AAAAAG79vyo=",0)</f>
        <v>#REF!</v>
      </c>
      <c r="AR270" t="e">
        <f>IF(#REF!,"AAAAAG79vys=",0)</f>
        <v>#REF!</v>
      </c>
      <c r="AS270" t="e">
        <f>IF(#REF!,"AAAAAG79vyw=",0)</f>
        <v>#REF!</v>
      </c>
      <c r="AT270" t="e">
        <f>IF(#REF!,"AAAAAG79vy0=",0)</f>
        <v>#REF!</v>
      </c>
      <c r="AU270" t="e">
        <f>IF(#REF!,"AAAAAG79vy4=",0)</f>
        <v>#REF!</v>
      </c>
      <c r="AV270" t="e">
        <f>IF(#REF!,"AAAAAG79vy8=",0)</f>
        <v>#REF!</v>
      </c>
      <c r="AW270" t="e">
        <f>IF(#REF!,"AAAAAG79vzA=",0)</f>
        <v>#REF!</v>
      </c>
      <c r="AX270" t="e">
        <f>IF(#REF!,"AAAAAG79vzE=",0)</f>
        <v>#REF!</v>
      </c>
      <c r="AY270" t="e">
        <f>IF(#REF!,"AAAAAG79vzI=",0)</f>
        <v>#REF!</v>
      </c>
      <c r="AZ270" t="e">
        <f>IF(#REF!,"AAAAAG79vzM=",0)</f>
        <v>#REF!</v>
      </c>
      <c r="BA270" t="e">
        <f>IF(#REF!,"AAAAAG79vzQ=",0)</f>
        <v>#REF!</v>
      </c>
      <c r="BB270" t="e">
        <f>IF(#REF!,"AAAAAG79vzU=",0)</f>
        <v>#REF!</v>
      </c>
      <c r="BC270" t="e">
        <f>IF(#REF!,"AAAAAG79vzY=",0)</f>
        <v>#REF!</v>
      </c>
      <c r="BD270" t="e">
        <f>IF(#REF!,"AAAAAG79vzc=",0)</f>
        <v>#REF!</v>
      </c>
      <c r="BE270" t="e">
        <f>IF(#REF!,"AAAAAG79vzg=",0)</f>
        <v>#REF!</v>
      </c>
      <c r="BF270" t="e">
        <f>IF(#REF!,"AAAAAG79vzk=",0)</f>
        <v>#REF!</v>
      </c>
      <c r="BG270" t="e">
        <f>IF(#REF!,"AAAAAG79vzo=",0)</f>
        <v>#REF!</v>
      </c>
      <c r="BH270" t="e">
        <f>IF(#REF!,"AAAAAG79vzs=",0)</f>
        <v>#REF!</v>
      </c>
      <c r="BI270" t="e">
        <f>IF(#REF!,"AAAAAG79vzw=",0)</f>
        <v>#REF!</v>
      </c>
      <c r="BJ270" t="e">
        <f>IF(#REF!,"AAAAAG79vz0=",0)</f>
        <v>#REF!</v>
      </c>
      <c r="BK270" t="e">
        <f>IF(#REF!,"AAAAAG79vz4=",0)</f>
        <v>#REF!</v>
      </c>
      <c r="BL270" t="e">
        <f>IF(#REF!,"AAAAAG79vz8=",0)</f>
        <v>#REF!</v>
      </c>
      <c r="BM270" t="e">
        <f>IF(#REF!,"AAAAAG79v0A=",0)</f>
        <v>#REF!</v>
      </c>
      <c r="BN270" t="e">
        <f>IF(#REF!,"AAAAAG79v0E=",0)</f>
        <v>#REF!</v>
      </c>
      <c r="BO270" t="e">
        <f>IF(#REF!,"AAAAAG79v0I=",0)</f>
        <v>#REF!</v>
      </c>
      <c r="BP270" t="e">
        <f>IF(#REF!,"AAAAAG79v0M=",0)</f>
        <v>#REF!</v>
      </c>
      <c r="BQ270" t="e">
        <f>IF(#REF!,"AAAAAG79v0Q=",0)</f>
        <v>#REF!</v>
      </c>
      <c r="BR270" t="e">
        <f>IF(#REF!,"AAAAAG79v0U=",0)</f>
        <v>#REF!</v>
      </c>
      <c r="BS270" t="e">
        <f>IF(#REF!,"AAAAAG79v0Y=",0)</f>
        <v>#REF!</v>
      </c>
      <c r="BT270" t="e">
        <f>IF(#REF!,"AAAAAG79v0c=",0)</f>
        <v>#REF!</v>
      </c>
      <c r="BU270" t="e">
        <f>IF(#REF!,"AAAAAG79v0g=",0)</f>
        <v>#REF!</v>
      </c>
      <c r="BV270" t="e">
        <f>IF(#REF!,"AAAAAG79v0k=",0)</f>
        <v>#REF!</v>
      </c>
      <c r="BW270" t="e">
        <f>IF(#REF!,"AAAAAG79v0o=",0)</f>
        <v>#REF!</v>
      </c>
      <c r="BX270" t="e">
        <f>IF(#REF!,"AAAAAG79v0s=",0)</f>
        <v>#REF!</v>
      </c>
      <c r="BY270" t="e">
        <f>IF(#REF!,"AAAAAG79v0w=",0)</f>
        <v>#REF!</v>
      </c>
      <c r="BZ270" t="e">
        <f>IF(#REF!,"AAAAAG79v00=",0)</f>
        <v>#REF!</v>
      </c>
      <c r="CA270" t="e">
        <f>IF(#REF!,"AAAAAG79v04=",0)</f>
        <v>#REF!</v>
      </c>
      <c r="CB270" t="e">
        <f>IF(#REF!,"AAAAAG79v08=",0)</f>
        <v>#REF!</v>
      </c>
      <c r="CC270" t="e">
        <f>IF(#REF!,"AAAAAG79v1A=",0)</f>
        <v>#REF!</v>
      </c>
      <c r="CD270" t="e">
        <f>IF(#REF!,"AAAAAG79v1E=",0)</f>
        <v>#REF!</v>
      </c>
      <c r="CE270" t="e">
        <f>IF(#REF!,"AAAAAG79v1I=",0)</f>
        <v>#REF!</v>
      </c>
      <c r="CF270" t="e">
        <f>IF(#REF!,"AAAAAG79v1M=",0)</f>
        <v>#REF!</v>
      </c>
      <c r="CG270" t="e">
        <f>IF(#REF!,"AAAAAG79v1Q=",0)</f>
        <v>#REF!</v>
      </c>
      <c r="CH270" t="e">
        <f>IF(#REF!,"AAAAAG79v1U=",0)</f>
        <v>#REF!</v>
      </c>
      <c r="CI270" t="e">
        <f>IF(#REF!,"AAAAAG79v1Y=",0)</f>
        <v>#REF!</v>
      </c>
      <c r="CJ270" t="e">
        <f>IF(#REF!,"AAAAAG79v1c=",0)</f>
        <v>#REF!</v>
      </c>
      <c r="CK270" t="e">
        <f>IF(#REF!,"AAAAAG79v1g=",0)</f>
        <v>#REF!</v>
      </c>
      <c r="CL270" t="e">
        <f>IF(#REF!,"AAAAAG79v1k=",0)</f>
        <v>#REF!</v>
      </c>
      <c r="CM270" t="e">
        <f>IF(#REF!,"AAAAAG79v1o=",0)</f>
        <v>#REF!</v>
      </c>
      <c r="CN270" t="e">
        <f>IF(#REF!,"AAAAAG79v1s=",0)</f>
        <v>#REF!</v>
      </c>
      <c r="CO270" t="e">
        <f>IF(#REF!,"AAAAAG79v1w=",0)</f>
        <v>#REF!</v>
      </c>
      <c r="CP270" t="e">
        <f>IF(#REF!,"AAAAAG79v10=",0)</f>
        <v>#REF!</v>
      </c>
      <c r="CQ270" t="e">
        <f>IF(#REF!,"AAAAAG79v14=",0)</f>
        <v>#REF!</v>
      </c>
      <c r="CR270" t="e">
        <f>IF(#REF!,"AAAAAG79v18=",0)</f>
        <v>#REF!</v>
      </c>
      <c r="CS270" t="e">
        <f>IF(#REF!,"AAAAAG79v2A=",0)</f>
        <v>#REF!</v>
      </c>
      <c r="CT270" t="e">
        <f>IF(#REF!,"AAAAAG79v2E=",0)</f>
        <v>#REF!</v>
      </c>
      <c r="CU270" t="e">
        <f>IF(#REF!,"AAAAAG79v2I=",0)</f>
        <v>#REF!</v>
      </c>
      <c r="CV270" t="e">
        <f>IF(#REF!,"AAAAAG79v2M=",0)</f>
        <v>#REF!</v>
      </c>
      <c r="CW270" t="e">
        <f>IF(#REF!,"AAAAAG79v2Q=",0)</f>
        <v>#REF!</v>
      </c>
      <c r="CX270" t="e">
        <f>IF(#REF!,"AAAAAG79v2U=",0)</f>
        <v>#REF!</v>
      </c>
      <c r="CY270" t="e">
        <f>IF(#REF!,"AAAAAG79v2Y=",0)</f>
        <v>#REF!</v>
      </c>
      <c r="CZ270" t="e">
        <f>IF(#REF!,"AAAAAG79v2c=",0)</f>
        <v>#REF!</v>
      </c>
      <c r="DA270" t="e">
        <f>IF(#REF!,"AAAAAG79v2g=",0)</f>
        <v>#REF!</v>
      </c>
      <c r="DB270" t="e">
        <f>IF(#REF!,"AAAAAG79v2k=",0)</f>
        <v>#REF!</v>
      </c>
      <c r="DC270" t="e">
        <f>IF(#REF!,"AAAAAG79v2o=",0)</f>
        <v>#REF!</v>
      </c>
      <c r="DD270" t="e">
        <f>IF(#REF!,"AAAAAG79v2s=",0)</f>
        <v>#REF!</v>
      </c>
      <c r="DE270" t="e">
        <f>IF(#REF!,"AAAAAG79v2w=",0)</f>
        <v>#REF!</v>
      </c>
      <c r="DF270" t="e">
        <f>IF(#REF!,"AAAAAG79v20=",0)</f>
        <v>#REF!</v>
      </c>
      <c r="DG270" t="e">
        <f>IF(#REF!,"AAAAAG79v24=",0)</f>
        <v>#REF!</v>
      </c>
      <c r="DH270" t="e">
        <f>IF(#REF!,"AAAAAG79v28=",0)</f>
        <v>#REF!</v>
      </c>
      <c r="DI270" t="e">
        <f>IF(#REF!,"AAAAAG79v3A=",0)</f>
        <v>#REF!</v>
      </c>
      <c r="DJ270" t="e">
        <f>IF(#REF!,"AAAAAG79v3E=",0)</f>
        <v>#REF!</v>
      </c>
      <c r="DK270" t="e">
        <f>IF(#REF!,"AAAAAG79v3I=",0)</f>
        <v>#REF!</v>
      </c>
      <c r="DL270" t="e">
        <f>IF(#REF!,"AAAAAG79v3M=",0)</f>
        <v>#REF!</v>
      </c>
      <c r="DM270" t="e">
        <f>IF(#REF!,"AAAAAG79v3Q=",0)</f>
        <v>#REF!</v>
      </c>
      <c r="DN270" t="e">
        <f>IF(#REF!,"AAAAAG79v3U=",0)</f>
        <v>#REF!</v>
      </c>
      <c r="DO270" t="e">
        <f>IF(#REF!,"AAAAAG79v3Y=",0)</f>
        <v>#REF!</v>
      </c>
      <c r="DP270" t="e">
        <f>IF(#REF!,"AAAAAG79v3c=",0)</f>
        <v>#REF!</v>
      </c>
      <c r="DQ270" t="e">
        <f>IF(#REF!,"AAAAAG79v3g=",0)</f>
        <v>#REF!</v>
      </c>
      <c r="DR270" t="e">
        <f>IF(#REF!,"AAAAAG79v3k=",0)</f>
        <v>#REF!</v>
      </c>
      <c r="DS270" t="e">
        <f>IF(#REF!,"AAAAAG79v3o=",0)</f>
        <v>#REF!</v>
      </c>
      <c r="DT270" t="e">
        <f>IF(#REF!,"AAAAAG79v3s=",0)</f>
        <v>#REF!</v>
      </c>
      <c r="DU270" t="e">
        <f>IF(#REF!,"AAAAAG79v3w=",0)</f>
        <v>#REF!</v>
      </c>
      <c r="DV270" t="e">
        <f>IF(#REF!,"AAAAAG79v30=",0)</f>
        <v>#REF!</v>
      </c>
      <c r="DW270" t="e">
        <f>IF(#REF!,"AAAAAG79v34=",0)</f>
        <v>#REF!</v>
      </c>
      <c r="DX270" t="e">
        <f>IF(#REF!,"AAAAAG79v38=",0)</f>
        <v>#REF!</v>
      </c>
      <c r="DY270" t="e">
        <f>IF(#REF!,"AAAAAG79v4A=",0)</f>
        <v>#REF!</v>
      </c>
      <c r="DZ270" t="e">
        <f>IF(#REF!,"AAAAAG79v4E=",0)</f>
        <v>#REF!</v>
      </c>
      <c r="EA270" t="e">
        <f>IF(#REF!,"AAAAAG79v4I=",0)</f>
        <v>#REF!</v>
      </c>
      <c r="EB270" t="e">
        <f>IF(#REF!,"AAAAAG79v4M=",0)</f>
        <v>#REF!</v>
      </c>
      <c r="EC270" t="e">
        <f>IF(#REF!,"AAAAAG79v4Q=",0)</f>
        <v>#REF!</v>
      </c>
      <c r="ED270" t="e">
        <f>IF(#REF!,"AAAAAG79v4U=",0)</f>
        <v>#REF!</v>
      </c>
      <c r="EE270" t="e">
        <f>IF(#REF!,"AAAAAG79v4Y=",0)</f>
        <v>#REF!</v>
      </c>
      <c r="EF270" t="e">
        <f>IF(#REF!,"AAAAAG79v4c=",0)</f>
        <v>#REF!</v>
      </c>
      <c r="EG270" t="e">
        <f>IF(#REF!,"AAAAAG79v4g=",0)</f>
        <v>#REF!</v>
      </c>
      <c r="EH270" t="e">
        <f>IF(#REF!,"AAAAAG79v4k=",0)</f>
        <v>#REF!</v>
      </c>
      <c r="EI270" t="e">
        <f>IF(#REF!,"AAAAAG79v4o=",0)</f>
        <v>#REF!</v>
      </c>
      <c r="EJ270" t="e">
        <f>IF(#REF!,"AAAAAG79v4s=",0)</f>
        <v>#REF!</v>
      </c>
      <c r="EK270" t="e">
        <f>IF(#REF!,"AAAAAG79v4w=",0)</f>
        <v>#REF!</v>
      </c>
      <c r="EL270" t="e">
        <f>IF(#REF!,"AAAAAG79v40=",0)</f>
        <v>#REF!</v>
      </c>
      <c r="EM270" t="e">
        <f>IF(#REF!,"AAAAAG79v44=",0)</f>
        <v>#REF!</v>
      </c>
      <c r="EN270" t="e">
        <f>IF(#REF!,"AAAAAG79v48=",0)</f>
        <v>#REF!</v>
      </c>
      <c r="EO270" t="e">
        <f>IF(#REF!,"AAAAAG79v5A=",0)</f>
        <v>#REF!</v>
      </c>
      <c r="EP270" t="e">
        <f>IF(#REF!,"AAAAAG79v5E=",0)</f>
        <v>#REF!</v>
      </c>
      <c r="EQ270" t="e">
        <f>IF(#REF!,"AAAAAG79v5I=",0)</f>
        <v>#REF!</v>
      </c>
      <c r="ER270" t="e">
        <f>IF(#REF!,"AAAAAG79v5M=",0)</f>
        <v>#REF!</v>
      </c>
      <c r="ES270" t="e">
        <f>IF(#REF!,"AAAAAG79v5Q=",0)</f>
        <v>#REF!</v>
      </c>
      <c r="ET270" t="e">
        <f>IF(#REF!,"AAAAAG79v5U=",0)</f>
        <v>#REF!</v>
      </c>
      <c r="EU270" t="e">
        <f>IF(#REF!,"AAAAAG79v5Y=",0)</f>
        <v>#REF!</v>
      </c>
      <c r="EV270" t="e">
        <f>IF(#REF!,"AAAAAG79v5c=",0)</f>
        <v>#REF!</v>
      </c>
      <c r="EW270" t="e">
        <f>IF(#REF!,"AAAAAG79v5g=",0)</f>
        <v>#REF!</v>
      </c>
      <c r="EX270" t="e">
        <f>IF(#REF!,"AAAAAG79v5k=",0)</f>
        <v>#REF!</v>
      </c>
      <c r="EY270" t="e">
        <f>IF(#REF!,"AAAAAG79v5o=",0)</f>
        <v>#REF!</v>
      </c>
      <c r="EZ270" t="e">
        <f>IF(#REF!,"AAAAAG79v5s=",0)</f>
        <v>#REF!</v>
      </c>
      <c r="FA270" t="e">
        <f>IF(#REF!,"AAAAAG79v5w=",0)</f>
        <v>#REF!</v>
      </c>
      <c r="FB270" t="e">
        <f>IF(#REF!,"AAAAAG79v50=",0)</f>
        <v>#REF!</v>
      </c>
      <c r="FC270" t="e">
        <f>IF(#REF!,"AAAAAG79v54=",0)</f>
        <v>#REF!</v>
      </c>
      <c r="FD270" t="e">
        <f>IF(#REF!,"AAAAAG79v58=",0)</f>
        <v>#REF!</v>
      </c>
      <c r="FE270" t="e">
        <f>IF(#REF!,"AAAAAG79v6A=",0)</f>
        <v>#REF!</v>
      </c>
      <c r="FF270" t="e">
        <f>IF(#REF!,"AAAAAG79v6E=",0)</f>
        <v>#REF!</v>
      </c>
      <c r="FG270" t="e">
        <f>IF(#REF!,"AAAAAG79v6I=",0)</f>
        <v>#REF!</v>
      </c>
      <c r="FH270" t="e">
        <f>IF(#REF!,"AAAAAG79v6M=",0)</f>
        <v>#REF!</v>
      </c>
      <c r="FI270" t="e">
        <f>IF(#REF!,"AAAAAG79v6Q=",0)</f>
        <v>#REF!</v>
      </c>
      <c r="FJ270" t="e">
        <f>IF(#REF!,"AAAAAG79v6U=",0)</f>
        <v>#REF!</v>
      </c>
      <c r="FK270" t="e">
        <f>IF(#REF!,"AAAAAG79v6Y=",0)</f>
        <v>#REF!</v>
      </c>
      <c r="FL270" t="e">
        <f>IF(#REF!,"AAAAAG79v6c=",0)</f>
        <v>#REF!</v>
      </c>
      <c r="FM270" t="e">
        <f>IF(#REF!,"AAAAAG79v6g=",0)</f>
        <v>#REF!</v>
      </c>
      <c r="FN270" t="e">
        <f>IF(#REF!,"AAAAAG79v6k=",0)</f>
        <v>#REF!</v>
      </c>
      <c r="FO270" t="e">
        <f>IF(#REF!,"AAAAAG79v6o=",0)</f>
        <v>#REF!</v>
      </c>
      <c r="FP270" t="e">
        <f>IF(#REF!,"AAAAAG79v6s=",0)</f>
        <v>#REF!</v>
      </c>
      <c r="FQ270" t="e">
        <f>IF(#REF!,"AAAAAG79v6w=",0)</f>
        <v>#REF!</v>
      </c>
      <c r="FR270" t="e">
        <f>IF(#REF!,"AAAAAG79v60=",0)</f>
        <v>#REF!</v>
      </c>
      <c r="FS270" t="e">
        <f>IF(#REF!,"AAAAAG79v64=",0)</f>
        <v>#REF!</v>
      </c>
      <c r="FT270" t="e">
        <f>IF(#REF!,"AAAAAG79v68=",0)</f>
        <v>#REF!</v>
      </c>
      <c r="FU270" t="e">
        <f>IF(#REF!,"AAAAAG79v7A=",0)</f>
        <v>#REF!</v>
      </c>
      <c r="FV270" t="e">
        <f>IF(#REF!,"AAAAAG79v7E=",0)</f>
        <v>#REF!</v>
      </c>
      <c r="FW270" t="e">
        <f>IF(#REF!,"AAAAAG79v7I=",0)</f>
        <v>#REF!</v>
      </c>
      <c r="FX270" t="e">
        <f>IF(#REF!,"AAAAAG79v7M=",0)</f>
        <v>#REF!</v>
      </c>
      <c r="FY270" t="e">
        <f>IF(#REF!,"AAAAAG79v7Q=",0)</f>
        <v>#REF!</v>
      </c>
      <c r="FZ270" t="e">
        <f>IF(#REF!,"AAAAAG79v7U=",0)</f>
        <v>#REF!</v>
      </c>
      <c r="GA270" t="e">
        <f>IF(#REF!,"AAAAAG79v7Y=",0)</f>
        <v>#REF!</v>
      </c>
      <c r="GB270" t="e">
        <f>IF(#REF!,"AAAAAG79v7c=",0)</f>
        <v>#REF!</v>
      </c>
      <c r="GC270" t="e">
        <f>IF(#REF!,"AAAAAG79v7g=",0)</f>
        <v>#REF!</v>
      </c>
      <c r="GD270" t="e">
        <f>IF(#REF!,"AAAAAG79v7k=",0)</f>
        <v>#REF!</v>
      </c>
      <c r="GE270" t="e">
        <f>IF(#REF!,"AAAAAG79v7o=",0)</f>
        <v>#REF!</v>
      </c>
      <c r="GF270" t="e">
        <f>IF(#REF!,"AAAAAG79v7s=",0)</f>
        <v>#REF!</v>
      </c>
      <c r="GG270" t="e">
        <f>IF(#REF!,"AAAAAG79v7w=",0)</f>
        <v>#REF!</v>
      </c>
      <c r="GH270" t="e">
        <f>IF(#REF!,"AAAAAG79v70=",0)</f>
        <v>#REF!</v>
      </c>
      <c r="GI270" t="e">
        <f>IF(#REF!,"AAAAAG79v74=",0)</f>
        <v>#REF!</v>
      </c>
      <c r="GJ270" t="e">
        <f>IF(#REF!,"AAAAAG79v78=",0)</f>
        <v>#REF!</v>
      </c>
      <c r="GK270" t="e">
        <f>IF(#REF!,"AAAAAG79v8A=",0)</f>
        <v>#REF!</v>
      </c>
      <c r="GL270" t="e">
        <f>IF(#REF!,"AAAAAG79v8E=",0)</f>
        <v>#REF!</v>
      </c>
      <c r="GM270" t="e">
        <f>IF(#REF!,"AAAAAG79v8I=",0)</f>
        <v>#REF!</v>
      </c>
      <c r="GN270" t="e">
        <f>IF(#REF!,"AAAAAG79v8M=",0)</f>
        <v>#REF!</v>
      </c>
      <c r="GO270" t="e">
        <f>IF(#REF!,"AAAAAG79v8Q=",0)</f>
        <v>#REF!</v>
      </c>
      <c r="GP270" t="e">
        <f>IF(#REF!,"AAAAAG79v8U=",0)</f>
        <v>#REF!</v>
      </c>
      <c r="GQ270" t="e">
        <f>IF(#REF!,"AAAAAG79v8Y=",0)</f>
        <v>#REF!</v>
      </c>
      <c r="GR270" t="e">
        <f>IF(#REF!,"AAAAAG79v8c=",0)</f>
        <v>#REF!</v>
      </c>
      <c r="GS270" t="e">
        <f>IF(#REF!,"AAAAAG79v8g=",0)</f>
        <v>#REF!</v>
      </c>
      <c r="GT270" t="e">
        <f>IF(#REF!,"AAAAAG79v8k=",0)</f>
        <v>#REF!</v>
      </c>
      <c r="GU270" t="e">
        <f>IF(#REF!,"AAAAAG79v8o=",0)</f>
        <v>#REF!</v>
      </c>
      <c r="GV270" t="e">
        <f>IF(#REF!,"AAAAAG79v8s=",0)</f>
        <v>#REF!</v>
      </c>
      <c r="GW270" t="e">
        <f>IF(#REF!,"AAAAAG79v8w=",0)</f>
        <v>#REF!</v>
      </c>
      <c r="GX270" t="e">
        <f>IF(#REF!,"AAAAAG79v80=",0)</f>
        <v>#REF!</v>
      </c>
      <c r="GY270" t="e">
        <f>IF(#REF!,"AAAAAG79v84=",0)</f>
        <v>#REF!</v>
      </c>
      <c r="GZ270" t="e">
        <f>IF(#REF!,"AAAAAG79v88=",0)</f>
        <v>#REF!</v>
      </c>
      <c r="HA270" t="e">
        <f>IF(#REF!,"AAAAAG79v9A=",0)</f>
        <v>#REF!</v>
      </c>
      <c r="HB270" t="e">
        <f>IF(#REF!,"AAAAAG79v9E=",0)</f>
        <v>#REF!</v>
      </c>
      <c r="HC270" t="e">
        <f>IF(#REF!,"AAAAAG79v9I=",0)</f>
        <v>#REF!</v>
      </c>
      <c r="HD270" t="e">
        <f>IF(#REF!,"AAAAAG79v9M=",0)</f>
        <v>#REF!</v>
      </c>
      <c r="HE270" t="e">
        <f>IF(#REF!,"AAAAAG79v9Q=",0)</f>
        <v>#REF!</v>
      </c>
      <c r="HF270" t="e">
        <f>IF(#REF!,"AAAAAG79v9U=",0)</f>
        <v>#REF!</v>
      </c>
      <c r="HG270" t="e">
        <f>IF(#REF!,"AAAAAG79v9Y=",0)</f>
        <v>#REF!</v>
      </c>
      <c r="HH270" t="e">
        <f>IF(#REF!,"AAAAAG79v9c=",0)</f>
        <v>#REF!</v>
      </c>
      <c r="HI270" t="e">
        <f>IF(#REF!,"AAAAAG79v9g=",0)</f>
        <v>#REF!</v>
      </c>
      <c r="HJ270" t="e">
        <f>IF(#REF!,"AAAAAG79v9k=",0)</f>
        <v>#REF!</v>
      </c>
      <c r="HK270" t="e">
        <f>IF(#REF!,"AAAAAG79v9o=",0)</f>
        <v>#REF!</v>
      </c>
      <c r="HL270" t="e">
        <f>IF(#REF!,"AAAAAG79v9s=",0)</f>
        <v>#REF!</v>
      </c>
      <c r="HM270" t="e">
        <f>IF(#REF!,"AAAAAG79v9w=",0)</f>
        <v>#REF!</v>
      </c>
      <c r="HN270" t="e">
        <f>IF(#REF!,"AAAAAG79v90=",0)</f>
        <v>#REF!</v>
      </c>
      <c r="HO270" t="e">
        <f>IF(#REF!,"AAAAAG79v94=",0)</f>
        <v>#REF!</v>
      </c>
      <c r="HP270" t="e">
        <f>IF(#REF!,"AAAAAG79v98=",0)</f>
        <v>#REF!</v>
      </c>
      <c r="HQ270" t="e">
        <f>IF(#REF!,"AAAAAG79v+A=",0)</f>
        <v>#REF!</v>
      </c>
      <c r="HR270" t="e">
        <f>IF(#REF!,"AAAAAG79v+E=",0)</f>
        <v>#REF!</v>
      </c>
      <c r="HS270" t="e">
        <f>IF(#REF!,"AAAAAG79v+I=",0)</f>
        <v>#REF!</v>
      </c>
      <c r="HT270" t="e">
        <f>IF(#REF!,"AAAAAG79v+M=",0)</f>
        <v>#REF!</v>
      </c>
      <c r="HU270" t="e">
        <f>IF(#REF!,"AAAAAG79v+Q=",0)</f>
        <v>#REF!</v>
      </c>
      <c r="HV270" t="e">
        <f>IF(#REF!,"AAAAAG79v+U=",0)</f>
        <v>#REF!</v>
      </c>
      <c r="HW270" t="e">
        <f>IF(#REF!,"AAAAAG79v+Y=",0)</f>
        <v>#REF!</v>
      </c>
      <c r="HX270" t="e">
        <f>IF(#REF!,"AAAAAG79v+c=",0)</f>
        <v>#REF!</v>
      </c>
      <c r="HY270" t="e">
        <f>IF(#REF!,"AAAAAG79v+g=",0)</f>
        <v>#REF!</v>
      </c>
      <c r="HZ270" t="e">
        <f>IF(#REF!,"AAAAAG79v+k=",0)</f>
        <v>#REF!</v>
      </c>
      <c r="IA270" t="e">
        <f>IF(#REF!,"AAAAAG79v+o=",0)</f>
        <v>#REF!</v>
      </c>
      <c r="IB270" t="e">
        <f>IF(#REF!,"AAAAAG79v+s=",0)</f>
        <v>#REF!</v>
      </c>
      <c r="IC270" t="e">
        <f>IF(#REF!,"AAAAAG79v+w=",0)</f>
        <v>#REF!</v>
      </c>
      <c r="ID270" t="e">
        <f>IF(#REF!,"AAAAAG79v+0=",0)</f>
        <v>#REF!</v>
      </c>
      <c r="IE270" t="e">
        <f>IF(#REF!,"AAAAAG79v+4=",0)</f>
        <v>#REF!</v>
      </c>
      <c r="IF270" t="e">
        <f>IF(#REF!,"AAAAAG79v+8=",0)</f>
        <v>#REF!</v>
      </c>
      <c r="IG270" t="e">
        <f>IF(#REF!,"AAAAAG79v/A=",0)</f>
        <v>#REF!</v>
      </c>
      <c r="IH270" t="e">
        <f>IF(#REF!,"AAAAAG79v/E=",0)</f>
        <v>#REF!</v>
      </c>
      <c r="II270" t="e">
        <f>IF(#REF!,"AAAAAG79v/I=",0)</f>
        <v>#REF!</v>
      </c>
      <c r="IJ270" t="e">
        <f>IF(#REF!,"AAAAAG79v/M=",0)</f>
        <v>#REF!</v>
      </c>
      <c r="IK270" t="e">
        <f>IF(#REF!,"AAAAAG79v/Q=",0)</f>
        <v>#REF!</v>
      </c>
      <c r="IL270" t="e">
        <f>IF(#REF!,"AAAAAG79v/U=",0)</f>
        <v>#REF!</v>
      </c>
      <c r="IM270" t="e">
        <f>IF(#REF!,"AAAAAG79v/Y=",0)</f>
        <v>#REF!</v>
      </c>
      <c r="IN270" t="e">
        <f>IF(#REF!,"AAAAAG79v/c=",0)</f>
        <v>#REF!</v>
      </c>
      <c r="IO270" t="e">
        <f>IF(#REF!,"AAAAAG79v/g=",0)</f>
        <v>#REF!</v>
      </c>
      <c r="IP270" t="e">
        <f>IF(#REF!,"AAAAAG79v/k=",0)</f>
        <v>#REF!</v>
      </c>
      <c r="IQ270" t="e">
        <f>IF(#REF!,"AAAAAG79v/o=",0)</f>
        <v>#REF!</v>
      </c>
      <c r="IR270" t="e">
        <f>IF(#REF!,"AAAAAG79v/s=",0)</f>
        <v>#REF!</v>
      </c>
      <c r="IS270" t="e">
        <f>IF(#REF!,"AAAAAG79v/w=",0)</f>
        <v>#REF!</v>
      </c>
      <c r="IT270" t="e">
        <f>IF(#REF!,"AAAAAG79v/0=",0)</f>
        <v>#REF!</v>
      </c>
      <c r="IU270" t="e">
        <f>IF(#REF!,"AAAAAG79v/4=",0)</f>
        <v>#REF!</v>
      </c>
      <c r="IV270" t="e">
        <f>IF(#REF!,"AAAAAG79v/8=",0)</f>
        <v>#REF!</v>
      </c>
    </row>
    <row r="271" spans="1:256">
      <c r="A271" t="e">
        <f>IF(#REF!,"AAAAAF+32wA=",0)</f>
        <v>#REF!</v>
      </c>
      <c r="B271" t="e">
        <f>IF(#REF!,"AAAAAF+32wE=",0)</f>
        <v>#REF!</v>
      </c>
      <c r="C271" t="e">
        <f>IF(#REF!,"AAAAAF+32wI=",0)</f>
        <v>#REF!</v>
      </c>
      <c r="D271" t="e">
        <f>IF(#REF!,"AAAAAF+32wM=",0)</f>
        <v>#REF!</v>
      </c>
      <c r="E271" t="e">
        <f>IF(#REF!,"AAAAAF+32wQ=",0)</f>
        <v>#REF!</v>
      </c>
      <c r="F271" t="e">
        <f>IF(#REF!,"AAAAAF+32wU=",0)</f>
        <v>#REF!</v>
      </c>
      <c r="G271" t="e">
        <f>IF(#REF!,"AAAAAF+32wY=",0)</f>
        <v>#REF!</v>
      </c>
      <c r="H271" t="e">
        <f>IF(#REF!,"AAAAAF+32wc=",0)</f>
        <v>#REF!</v>
      </c>
      <c r="I271" t="e">
        <f>IF(#REF!,"AAAAAF+32wg=",0)</f>
        <v>#REF!</v>
      </c>
      <c r="J271" t="e">
        <f>IF(#REF!,"AAAAAF+32wk=",0)</f>
        <v>#REF!</v>
      </c>
      <c r="K271" t="e">
        <f>IF(#REF!,"AAAAAF+32wo=",0)</f>
        <v>#REF!</v>
      </c>
      <c r="L271" t="e">
        <f>IF(#REF!,"AAAAAF+32ws=",0)</f>
        <v>#REF!</v>
      </c>
      <c r="M271" t="e">
        <f>IF(#REF!,"AAAAAF+32ww=",0)</f>
        <v>#REF!</v>
      </c>
      <c r="N271" t="e">
        <f>IF(#REF!,"AAAAAF+32w0=",0)</f>
        <v>#REF!</v>
      </c>
      <c r="O271" t="e">
        <f>IF(#REF!,"AAAAAF+32w4=",0)</f>
        <v>#REF!</v>
      </c>
      <c r="P271" t="e">
        <f>IF(#REF!,"AAAAAF+32w8=",0)</f>
        <v>#REF!</v>
      </c>
      <c r="Q271" t="e">
        <f>IF(#REF!,"AAAAAF+32xA=",0)</f>
        <v>#REF!</v>
      </c>
      <c r="R271" t="e">
        <f>IF(#REF!,"AAAAAF+32xE=",0)</f>
        <v>#REF!</v>
      </c>
      <c r="S271" t="e">
        <f>IF(#REF!,"AAAAAF+32xI=",0)</f>
        <v>#REF!</v>
      </c>
      <c r="T271" t="e">
        <f>IF(#REF!,"AAAAAF+32xM=",0)</f>
        <v>#REF!</v>
      </c>
      <c r="U271" t="e">
        <f>IF(#REF!,"AAAAAF+32xQ=",0)</f>
        <v>#REF!</v>
      </c>
      <c r="V271" t="e">
        <f>IF(#REF!,"AAAAAF+32xU=",0)</f>
        <v>#REF!</v>
      </c>
      <c r="W271" t="e">
        <f>IF(#REF!,"AAAAAF+32xY=",0)</f>
        <v>#REF!</v>
      </c>
      <c r="X271" t="e">
        <f>IF(#REF!,"AAAAAF+32xc=",0)</f>
        <v>#REF!</v>
      </c>
      <c r="Y271" t="e">
        <f>IF(#REF!,"AAAAAF+32xg=",0)</f>
        <v>#REF!</v>
      </c>
      <c r="Z271" t="e">
        <f>IF(#REF!,"AAAAAF+32xk=",0)</f>
        <v>#REF!</v>
      </c>
      <c r="AA271" t="e">
        <f>IF(#REF!,"AAAAAF+32xo=",0)</f>
        <v>#REF!</v>
      </c>
      <c r="AB271" t="e">
        <f>IF(#REF!,"AAAAAF+32xs=",0)</f>
        <v>#REF!</v>
      </c>
      <c r="AC271" t="e">
        <f>IF(#REF!,"AAAAAF+32xw=",0)</f>
        <v>#REF!</v>
      </c>
      <c r="AD271" t="e">
        <f>IF(#REF!,"AAAAAF+32x0=",0)</f>
        <v>#REF!</v>
      </c>
      <c r="AE271" t="e">
        <f>IF(#REF!,"AAAAAF+32x4=",0)</f>
        <v>#REF!</v>
      </c>
      <c r="AF271" t="e">
        <f>IF(#REF!,"AAAAAF+32x8=",0)</f>
        <v>#REF!</v>
      </c>
      <c r="AG271" t="e">
        <f>IF(#REF!,"AAAAAF+32yA=",0)</f>
        <v>#REF!</v>
      </c>
      <c r="AH271" t="e">
        <f>IF(#REF!,"AAAAAF+32yE=",0)</f>
        <v>#REF!</v>
      </c>
      <c r="AI271" t="e">
        <f>IF(#REF!,"AAAAAF+32yI=",0)</f>
        <v>#REF!</v>
      </c>
      <c r="AJ271" t="e">
        <f>IF(#REF!,"AAAAAF+32yM=",0)</f>
        <v>#REF!</v>
      </c>
      <c r="AK271" t="e">
        <f>IF(#REF!,"AAAAAF+32yQ=",0)</f>
        <v>#REF!</v>
      </c>
      <c r="AL271" t="e">
        <f>IF(#REF!,"AAAAAF+32yU=",0)</f>
        <v>#REF!</v>
      </c>
      <c r="AM271" t="e">
        <f>IF(#REF!,"AAAAAF+32yY=",0)</f>
        <v>#REF!</v>
      </c>
      <c r="AN271" t="e">
        <f>IF(#REF!,"AAAAAF+32yc=",0)</f>
        <v>#REF!</v>
      </c>
      <c r="AO271" t="e">
        <f>IF(#REF!,"AAAAAF+32yg=",0)</f>
        <v>#REF!</v>
      </c>
      <c r="AP271" t="e">
        <f>IF(#REF!,"AAAAAF+32yk=",0)</f>
        <v>#REF!</v>
      </c>
      <c r="AQ271" t="e">
        <f>IF(#REF!,"AAAAAF+32yo=",0)</f>
        <v>#REF!</v>
      </c>
      <c r="AR271" t="e">
        <f>IF(#REF!,"AAAAAF+32ys=",0)</f>
        <v>#REF!</v>
      </c>
      <c r="AS271" t="e">
        <f>IF(#REF!,"AAAAAF+32yw=",0)</f>
        <v>#REF!</v>
      </c>
      <c r="AT271" t="e">
        <f>IF(#REF!,"AAAAAF+32y0=",0)</f>
        <v>#REF!</v>
      </c>
      <c r="AU271" t="e">
        <f>IF(#REF!,"AAAAAF+32y4=",0)</f>
        <v>#REF!</v>
      </c>
      <c r="AV271" t="e">
        <f>IF(#REF!,"AAAAAF+32y8=",0)</f>
        <v>#REF!</v>
      </c>
      <c r="AW271" t="e">
        <f>IF(#REF!,"AAAAAF+32zA=",0)</f>
        <v>#REF!</v>
      </c>
      <c r="AX271" t="e">
        <f>IF(#REF!,"AAAAAF+32zE=",0)</f>
        <v>#REF!</v>
      </c>
      <c r="AY271" t="e">
        <f>IF(#REF!,"AAAAAF+32zI=",0)</f>
        <v>#REF!</v>
      </c>
      <c r="AZ271" t="e">
        <f>IF(#REF!,"AAAAAF+32zM=",0)</f>
        <v>#REF!</v>
      </c>
      <c r="BA271" t="e">
        <f>IF(#REF!,"AAAAAF+32zQ=",0)</f>
        <v>#REF!</v>
      </c>
      <c r="BB271" t="e">
        <f>IF(#REF!,"AAAAAF+32zU=",0)</f>
        <v>#REF!</v>
      </c>
      <c r="BC271" t="e">
        <f>IF(#REF!,"AAAAAF+32zY=",0)</f>
        <v>#REF!</v>
      </c>
      <c r="BD271" t="e">
        <f>IF(#REF!,"AAAAAF+32zc=",0)</f>
        <v>#REF!</v>
      </c>
      <c r="BE271" t="e">
        <f>IF(#REF!,"AAAAAF+32zg=",0)</f>
        <v>#REF!</v>
      </c>
      <c r="BF271" t="e">
        <f>IF(#REF!,"AAAAAF+32zk=",0)</f>
        <v>#REF!</v>
      </c>
      <c r="BG271" t="e">
        <f>IF(#REF!,"AAAAAF+32zo=",0)</f>
        <v>#REF!</v>
      </c>
      <c r="BH271" t="e">
        <f>IF(#REF!,"AAAAAF+32zs=",0)</f>
        <v>#REF!</v>
      </c>
      <c r="BI271" t="e">
        <f>IF(#REF!,"AAAAAF+32zw=",0)</f>
        <v>#REF!</v>
      </c>
      <c r="BJ271" t="e">
        <f>IF(#REF!,"AAAAAF+32z0=",0)</f>
        <v>#REF!</v>
      </c>
      <c r="BK271" t="e">
        <f>IF(#REF!,"AAAAAF+32z4=",0)</f>
        <v>#REF!</v>
      </c>
      <c r="BL271" t="e">
        <f>IF(#REF!,"AAAAAF+32z8=",0)</f>
        <v>#REF!</v>
      </c>
      <c r="BM271" t="e">
        <f>IF(#REF!,"AAAAAF+320A=",0)</f>
        <v>#REF!</v>
      </c>
      <c r="BN271" t="e">
        <f>IF(#REF!,"AAAAAF+320E=",0)</f>
        <v>#REF!</v>
      </c>
      <c r="BO271" t="e">
        <f>IF(#REF!,"AAAAAF+320I=",0)</f>
        <v>#REF!</v>
      </c>
      <c r="BP271" t="e">
        <f>IF(#REF!,"AAAAAF+320M=",0)</f>
        <v>#REF!</v>
      </c>
      <c r="BQ271" t="e">
        <f>IF(#REF!,"AAAAAF+320Q=",0)</f>
        <v>#REF!</v>
      </c>
      <c r="BR271" t="e">
        <f>IF(#REF!,"AAAAAF+320U=",0)</f>
        <v>#REF!</v>
      </c>
      <c r="BS271" t="e">
        <f>IF(#REF!,"AAAAAF+320Y=",0)</f>
        <v>#REF!</v>
      </c>
      <c r="BT271" t="e">
        <f>IF(#REF!,"AAAAAF+320c=",0)</f>
        <v>#REF!</v>
      </c>
      <c r="BU271" t="e">
        <f>IF(#REF!,"AAAAAF+320g=",0)</f>
        <v>#REF!</v>
      </c>
      <c r="BV271" t="e">
        <f>IF(#REF!,"AAAAAF+320k=",0)</f>
        <v>#REF!</v>
      </c>
      <c r="BW271" t="e">
        <f>IF(#REF!,"AAAAAF+320o=",0)</f>
        <v>#REF!</v>
      </c>
      <c r="BX271" t="e">
        <f>IF(#REF!,"AAAAAF+320s=",0)</f>
        <v>#REF!</v>
      </c>
      <c r="BY271" t="e">
        <f>IF(#REF!,"AAAAAF+320w=",0)</f>
        <v>#REF!</v>
      </c>
      <c r="BZ271" t="e">
        <f>IF(#REF!,"AAAAAF+3200=",0)</f>
        <v>#REF!</v>
      </c>
      <c r="CA271" t="e">
        <f>IF(#REF!,"AAAAAF+3204=",0)</f>
        <v>#REF!</v>
      </c>
      <c r="CB271" t="e">
        <f>IF(#REF!,"AAAAAF+3208=",0)</f>
        <v>#REF!</v>
      </c>
      <c r="CC271" t="e">
        <f>IF(#REF!,"AAAAAF+321A=",0)</f>
        <v>#REF!</v>
      </c>
      <c r="CD271" t="e">
        <f>IF(#REF!,"AAAAAF+321E=",0)</f>
        <v>#REF!</v>
      </c>
      <c r="CE271" t="e">
        <f>IF(#REF!,"AAAAAF+321I=",0)</f>
        <v>#REF!</v>
      </c>
      <c r="CF271" t="e">
        <f>IF(#REF!,"AAAAAF+321M=",0)</f>
        <v>#REF!</v>
      </c>
      <c r="CG271" t="e">
        <f>IF(#REF!,"AAAAAF+321Q=",0)</f>
        <v>#REF!</v>
      </c>
      <c r="CH271" t="e">
        <f>IF(#REF!,"AAAAAF+321U=",0)</f>
        <v>#REF!</v>
      </c>
      <c r="CI271" t="e">
        <f>IF(#REF!,"AAAAAF+321Y=",0)</f>
        <v>#REF!</v>
      </c>
      <c r="CJ271" t="e">
        <f>IF(#REF!,"AAAAAF+321c=",0)</f>
        <v>#REF!</v>
      </c>
      <c r="CK271" t="e">
        <f>IF(#REF!,"AAAAAF+321g=",0)</f>
        <v>#REF!</v>
      </c>
      <c r="CL271" t="e">
        <f>IF(#REF!,"AAAAAF+321k=",0)</f>
        <v>#REF!</v>
      </c>
      <c r="CM271" t="e">
        <f>IF(#REF!,"AAAAAF+321o=",0)</f>
        <v>#REF!</v>
      </c>
      <c r="CN271" t="e">
        <f>IF(#REF!,"AAAAAF+321s=",0)</f>
        <v>#REF!</v>
      </c>
      <c r="CO271" t="e">
        <f>IF(#REF!,"AAAAAF+321w=",0)</f>
        <v>#REF!</v>
      </c>
      <c r="CP271" t="e">
        <f>IF(#REF!,"AAAAAF+3210=",0)</f>
        <v>#REF!</v>
      </c>
      <c r="CQ271" t="e">
        <f>IF(#REF!,"AAAAAF+3214=",0)</f>
        <v>#REF!</v>
      </c>
      <c r="CR271" t="e">
        <f>IF(#REF!,"AAAAAF+3218=",0)</f>
        <v>#REF!</v>
      </c>
      <c r="CS271" t="e">
        <f>IF(#REF!,"AAAAAF+322A=",0)</f>
        <v>#REF!</v>
      </c>
      <c r="CT271" t="e">
        <f>IF(#REF!,"AAAAAF+322E=",0)</f>
        <v>#REF!</v>
      </c>
      <c r="CU271" t="e">
        <f>IF(#REF!,"AAAAAF+322I=",0)</f>
        <v>#REF!</v>
      </c>
      <c r="CV271" t="e">
        <f>IF(#REF!,"AAAAAF+322M=",0)</f>
        <v>#REF!</v>
      </c>
      <c r="CW271" t="e">
        <f>IF(#REF!,"AAAAAF+322Q=",0)</f>
        <v>#REF!</v>
      </c>
      <c r="CX271" t="e">
        <f>IF(#REF!,"AAAAAF+322U=",0)</f>
        <v>#REF!</v>
      </c>
      <c r="CY271" t="e">
        <f>IF(#REF!,"AAAAAF+322Y=",0)</f>
        <v>#REF!</v>
      </c>
      <c r="CZ271" t="e">
        <f>IF(#REF!,"AAAAAF+322c=",0)</f>
        <v>#REF!</v>
      </c>
      <c r="DA271" t="e">
        <f>IF(#REF!,"AAAAAF+322g=",0)</f>
        <v>#REF!</v>
      </c>
      <c r="DB271" t="e">
        <f>IF(#REF!,"AAAAAF+322k=",0)</f>
        <v>#REF!</v>
      </c>
      <c r="DC271" t="e">
        <f>IF(#REF!,"AAAAAF+322o=",0)</f>
        <v>#REF!</v>
      </c>
      <c r="DD271" t="e">
        <f>IF(#REF!,"AAAAAF+322s=",0)</f>
        <v>#REF!</v>
      </c>
      <c r="DE271" t="e">
        <f>IF(#REF!,"AAAAAF+322w=",0)</f>
        <v>#REF!</v>
      </c>
      <c r="DF271" t="e">
        <f>IF(#REF!,"AAAAAF+3220=",0)</f>
        <v>#REF!</v>
      </c>
      <c r="DG271" t="e">
        <f>IF(#REF!,"AAAAAF+3224=",0)</f>
        <v>#REF!</v>
      </c>
      <c r="DH271" t="e">
        <f>IF(#REF!,"AAAAAF+3228=",0)</f>
        <v>#REF!</v>
      </c>
      <c r="DI271" t="e">
        <f>IF(#REF!,"AAAAAF+323A=",0)</f>
        <v>#REF!</v>
      </c>
      <c r="DJ271" t="e">
        <f>IF(#REF!,"AAAAAF+323E=",0)</f>
        <v>#REF!</v>
      </c>
      <c r="DK271" t="e">
        <f>IF(#REF!,"AAAAAF+323I=",0)</f>
        <v>#REF!</v>
      </c>
      <c r="DL271" t="e">
        <f>IF(#REF!,"AAAAAF+323M=",0)</f>
        <v>#REF!</v>
      </c>
      <c r="DM271" t="e">
        <f>IF(#REF!,"AAAAAF+323Q=",0)</f>
        <v>#REF!</v>
      </c>
      <c r="DN271" t="e">
        <f>IF(#REF!,"AAAAAF+323U=",0)</f>
        <v>#REF!</v>
      </c>
      <c r="DO271" t="e">
        <f>IF(#REF!,"AAAAAF+323Y=",0)</f>
        <v>#REF!</v>
      </c>
      <c r="DP271" t="e">
        <f>IF(#REF!,"AAAAAF+323c=",0)</f>
        <v>#REF!</v>
      </c>
      <c r="DQ271" t="e">
        <f>IF(#REF!,"AAAAAF+323g=",0)</f>
        <v>#REF!</v>
      </c>
      <c r="DR271" t="e">
        <f>IF(#REF!,"AAAAAF+323k=",0)</f>
        <v>#REF!</v>
      </c>
      <c r="DS271" t="e">
        <f>IF(#REF!,"AAAAAF+323o=",0)</f>
        <v>#REF!</v>
      </c>
      <c r="DT271" t="e">
        <f>IF(#REF!,"AAAAAF+323s=",0)</f>
        <v>#REF!</v>
      </c>
      <c r="DU271" t="e">
        <f>IF(#REF!,"AAAAAF+323w=",0)</f>
        <v>#REF!</v>
      </c>
      <c r="DV271" t="e">
        <f>IF(#REF!,"AAAAAF+3230=",0)</f>
        <v>#REF!</v>
      </c>
      <c r="DW271" t="e">
        <f>IF(#REF!,"AAAAAF+3234=",0)</f>
        <v>#REF!</v>
      </c>
      <c r="DX271" t="e">
        <f>IF(#REF!,"AAAAAF+3238=",0)</f>
        <v>#REF!</v>
      </c>
      <c r="DY271" t="e">
        <f>IF(#REF!,"AAAAAF+324A=",0)</f>
        <v>#REF!</v>
      </c>
      <c r="DZ271" t="e">
        <f>IF(#REF!,"AAAAAF+324E=",0)</f>
        <v>#REF!</v>
      </c>
      <c r="EA271" t="e">
        <f>IF(#REF!,"AAAAAF+324I=",0)</f>
        <v>#REF!</v>
      </c>
      <c r="EB271" t="e">
        <f>IF(#REF!,"AAAAAF+324M=",0)</f>
        <v>#REF!</v>
      </c>
      <c r="EC271" t="e">
        <f>IF(#REF!,"AAAAAF+324Q=",0)</f>
        <v>#REF!</v>
      </c>
      <c r="ED271" t="e">
        <f>IF(#REF!,"AAAAAF+324U=",0)</f>
        <v>#REF!</v>
      </c>
      <c r="EE271" t="e">
        <f>IF(#REF!,"AAAAAF+324Y=",0)</f>
        <v>#REF!</v>
      </c>
      <c r="EF271" t="e">
        <f>IF(#REF!,"AAAAAF+324c=",0)</f>
        <v>#REF!</v>
      </c>
      <c r="EG271" t="e">
        <f>IF(#REF!,"AAAAAF+324g=",0)</f>
        <v>#REF!</v>
      </c>
      <c r="EH271" t="e">
        <f>IF(#REF!,"AAAAAF+324k=",0)</f>
        <v>#REF!</v>
      </c>
      <c r="EI271" t="e">
        <f>IF(#REF!,"AAAAAF+324o=",0)</f>
        <v>#REF!</v>
      </c>
      <c r="EJ271" t="e">
        <f>IF(#REF!,"AAAAAF+324s=",0)</f>
        <v>#REF!</v>
      </c>
      <c r="EK271" t="e">
        <f>IF(#REF!,"AAAAAF+324w=",0)</f>
        <v>#REF!</v>
      </c>
      <c r="EL271" t="e">
        <f>IF(#REF!,"AAAAAF+3240=",0)</f>
        <v>#REF!</v>
      </c>
      <c r="EM271" t="e">
        <f>IF(#REF!,"AAAAAF+3244=",0)</f>
        <v>#REF!</v>
      </c>
      <c r="EN271" t="e">
        <f>IF(#REF!,"AAAAAF+3248=",0)</f>
        <v>#REF!</v>
      </c>
      <c r="EO271" t="e">
        <f>IF(#REF!,"AAAAAF+325A=",0)</f>
        <v>#REF!</v>
      </c>
      <c r="EP271" t="e">
        <f>IF(#REF!,"AAAAAF+325E=",0)</f>
        <v>#REF!</v>
      </c>
      <c r="EQ271" t="e">
        <f>IF(#REF!,"AAAAAF+325I=",0)</f>
        <v>#REF!</v>
      </c>
      <c r="ER271" t="e">
        <f>IF(#REF!,"AAAAAF+325M=",0)</f>
        <v>#REF!</v>
      </c>
      <c r="ES271" t="e">
        <f>IF(#REF!,"AAAAAF+325Q=",0)</f>
        <v>#REF!</v>
      </c>
      <c r="ET271" t="e">
        <f>IF(#REF!,"AAAAAF+325U=",0)</f>
        <v>#REF!</v>
      </c>
      <c r="EU271" t="e">
        <f>IF(#REF!,"AAAAAF+325Y=",0)</f>
        <v>#REF!</v>
      </c>
      <c r="EV271" t="e">
        <f>IF(#REF!,"AAAAAF+325c=",0)</f>
        <v>#REF!</v>
      </c>
      <c r="EW271" t="e">
        <f>IF(#REF!,"AAAAAF+325g=",0)</f>
        <v>#REF!</v>
      </c>
      <c r="EX271" t="e">
        <f>IF(#REF!,"AAAAAF+325k=",0)</f>
        <v>#REF!</v>
      </c>
      <c r="EY271" t="e">
        <f>IF(#REF!,"AAAAAF+325o=",0)</f>
        <v>#REF!</v>
      </c>
      <c r="EZ271" t="e">
        <f>IF(#REF!,"AAAAAF+325s=",0)</f>
        <v>#REF!</v>
      </c>
      <c r="FA271" t="e">
        <f>IF(#REF!,"AAAAAF+325w=",0)</f>
        <v>#REF!</v>
      </c>
      <c r="FB271" t="e">
        <f>IF(#REF!,"AAAAAF+3250=",0)</f>
        <v>#REF!</v>
      </c>
      <c r="FC271" t="e">
        <f>IF(#REF!,"AAAAAF+3254=",0)</f>
        <v>#REF!</v>
      </c>
      <c r="FD271" t="e">
        <f>IF(#REF!,"AAAAAF+3258=",0)</f>
        <v>#REF!</v>
      </c>
      <c r="FE271" t="e">
        <f>IF(#REF!,"AAAAAF+326A=",0)</f>
        <v>#REF!</v>
      </c>
      <c r="FF271" t="e">
        <f>IF(#REF!,"AAAAAF+326E=",0)</f>
        <v>#REF!</v>
      </c>
      <c r="FG271" t="e">
        <f>IF(#REF!,"AAAAAF+326I=",0)</f>
        <v>#REF!</v>
      </c>
      <c r="FH271" t="e">
        <f>IF(#REF!,"AAAAAF+326M=",0)</f>
        <v>#REF!</v>
      </c>
      <c r="FI271" t="e">
        <f>IF(#REF!,"AAAAAF+326Q=",0)</f>
        <v>#REF!</v>
      </c>
      <c r="FJ271" t="e">
        <f>IF(#REF!,"AAAAAF+326U=",0)</f>
        <v>#REF!</v>
      </c>
      <c r="FK271" t="e">
        <f>IF(#REF!,"AAAAAF+326Y=",0)</f>
        <v>#REF!</v>
      </c>
      <c r="FL271" t="e">
        <f>IF(#REF!,"AAAAAF+326c=",0)</f>
        <v>#REF!</v>
      </c>
      <c r="FM271" t="e">
        <f>IF(#REF!,"AAAAAF+326g=",0)</f>
        <v>#REF!</v>
      </c>
      <c r="FN271" t="e">
        <f>IF(#REF!,"AAAAAF+326k=",0)</f>
        <v>#REF!</v>
      </c>
      <c r="FO271" t="e">
        <f>IF(#REF!,"AAAAAF+326o=",0)</f>
        <v>#REF!</v>
      </c>
      <c r="FP271" t="e">
        <f>IF(#REF!,"AAAAAF+326s=",0)</f>
        <v>#REF!</v>
      </c>
      <c r="FQ271" t="e">
        <f>IF(#REF!,"AAAAAF+326w=",0)</f>
        <v>#REF!</v>
      </c>
      <c r="FR271" t="e">
        <f>IF(#REF!,"AAAAAF+3260=",0)</f>
        <v>#REF!</v>
      </c>
      <c r="FS271" t="e">
        <f>IF(#REF!,"AAAAAF+3264=",0)</f>
        <v>#REF!</v>
      </c>
      <c r="FT271" t="e">
        <f>IF(#REF!,"AAAAAF+3268=",0)</f>
        <v>#REF!</v>
      </c>
      <c r="FU271" t="e">
        <f>IF(#REF!,"AAAAAF+327A=",0)</f>
        <v>#REF!</v>
      </c>
      <c r="FV271" t="e">
        <f>IF(#REF!,"AAAAAF+327E=",0)</f>
        <v>#REF!</v>
      </c>
      <c r="FW271" t="e">
        <f>IF(#REF!,"AAAAAF+327I=",0)</f>
        <v>#REF!</v>
      </c>
      <c r="FX271" t="e">
        <f>IF(#REF!,"AAAAAF+327M=",0)</f>
        <v>#REF!</v>
      </c>
      <c r="FY271" t="e">
        <f>IF(#REF!,"AAAAAF+327Q=",0)</f>
        <v>#REF!</v>
      </c>
      <c r="FZ271" t="e">
        <f>IF(#REF!,"AAAAAF+327U=",0)</f>
        <v>#REF!</v>
      </c>
      <c r="GA271" t="e">
        <f>IF(#REF!,"AAAAAF+327Y=",0)</f>
        <v>#REF!</v>
      </c>
      <c r="GB271" t="e">
        <f>IF(#REF!,"AAAAAF+327c=",0)</f>
        <v>#REF!</v>
      </c>
      <c r="GC271" t="e">
        <f>IF(#REF!,"AAAAAF+327g=",0)</f>
        <v>#REF!</v>
      </c>
      <c r="GD271" t="e">
        <f>IF(#REF!,"AAAAAF+327k=",0)</f>
        <v>#REF!</v>
      </c>
      <c r="GE271" t="e">
        <f>IF(#REF!,"AAAAAF+327o=",0)</f>
        <v>#REF!</v>
      </c>
      <c r="GF271" t="e">
        <f>IF(#REF!,"AAAAAF+327s=",0)</f>
        <v>#REF!</v>
      </c>
      <c r="GG271" t="e">
        <f>IF(#REF!,"AAAAAF+327w=",0)</f>
        <v>#REF!</v>
      </c>
      <c r="GH271" t="e">
        <f>IF(#REF!,"AAAAAF+3270=",0)</f>
        <v>#REF!</v>
      </c>
      <c r="GI271" t="e">
        <f>IF(#REF!,"AAAAAF+3274=",0)</f>
        <v>#REF!</v>
      </c>
      <c r="GJ271" t="e">
        <f>IF(#REF!,"AAAAAF+3278=",0)</f>
        <v>#REF!</v>
      </c>
      <c r="GK271" t="e">
        <f>IF(#REF!,"AAAAAF+328A=",0)</f>
        <v>#REF!</v>
      </c>
      <c r="GL271" t="e">
        <f>IF(#REF!,"AAAAAF+328E=",0)</f>
        <v>#REF!</v>
      </c>
      <c r="GM271" t="e">
        <f>IF(#REF!,"AAAAAF+328I=",0)</f>
        <v>#REF!</v>
      </c>
      <c r="GN271" t="e">
        <f>IF(#REF!,"AAAAAF+328M=",0)</f>
        <v>#REF!</v>
      </c>
      <c r="GO271" t="e">
        <f>IF(#REF!,"AAAAAF+328Q=",0)</f>
        <v>#REF!</v>
      </c>
      <c r="GP271" t="e">
        <f>IF(#REF!,"AAAAAF+328U=",0)</f>
        <v>#REF!</v>
      </c>
      <c r="GQ271" t="e">
        <f>IF(#REF!,"AAAAAF+328Y=",0)</f>
        <v>#REF!</v>
      </c>
      <c r="GR271" t="e">
        <f>IF(#REF!,"AAAAAF+328c=",0)</f>
        <v>#REF!</v>
      </c>
      <c r="GS271" t="e">
        <f>IF(#REF!,"AAAAAF+328g=",0)</f>
        <v>#REF!</v>
      </c>
      <c r="GT271" t="e">
        <f>IF(#REF!,"AAAAAF+328k=",0)</f>
        <v>#REF!</v>
      </c>
      <c r="GU271" t="e">
        <f>IF(#REF!,"AAAAAF+328o=",0)</f>
        <v>#REF!</v>
      </c>
      <c r="GV271" t="e">
        <f>IF(#REF!,"AAAAAF+328s=",0)</f>
        <v>#REF!</v>
      </c>
      <c r="GW271" t="e">
        <f>IF(#REF!,"AAAAAF+328w=",0)</f>
        <v>#REF!</v>
      </c>
      <c r="GX271" t="e">
        <f>IF(#REF!,"AAAAAF+3280=",0)</f>
        <v>#REF!</v>
      </c>
      <c r="GY271" t="e">
        <f>IF(#REF!,"AAAAAF+3284=",0)</f>
        <v>#REF!</v>
      </c>
      <c r="GZ271" t="e">
        <f>IF(#REF!,"AAAAAF+3288=",0)</f>
        <v>#REF!</v>
      </c>
      <c r="HA271" t="e">
        <f>IF(#REF!,"AAAAAF+329A=",0)</f>
        <v>#REF!</v>
      </c>
      <c r="HB271" t="e">
        <f>IF(#REF!,"AAAAAF+329E=",0)</f>
        <v>#REF!</v>
      </c>
      <c r="HC271" t="e">
        <f>IF(#REF!,"AAAAAF+329I=",0)</f>
        <v>#REF!</v>
      </c>
      <c r="HD271" t="e">
        <f>IF(#REF!,"AAAAAF+329M=",0)</f>
        <v>#REF!</v>
      </c>
      <c r="HE271" t="e">
        <f>IF(#REF!,"AAAAAF+329Q=",0)</f>
        <v>#REF!</v>
      </c>
      <c r="HF271" t="e">
        <f>IF(#REF!,"AAAAAF+329U=",0)</f>
        <v>#REF!</v>
      </c>
      <c r="HG271" t="e">
        <f>IF(#REF!,"AAAAAF+329Y=",0)</f>
        <v>#REF!</v>
      </c>
      <c r="HH271" t="e">
        <f>IF(#REF!,"AAAAAF+329c=",0)</f>
        <v>#REF!</v>
      </c>
      <c r="HI271" t="e">
        <f>IF(#REF!,"AAAAAF+329g=",0)</f>
        <v>#REF!</v>
      </c>
      <c r="HJ271" t="e">
        <f>IF(#REF!,"AAAAAF+329k=",0)</f>
        <v>#REF!</v>
      </c>
      <c r="HK271" t="e">
        <f>IF(#REF!,"AAAAAF+329o=",0)</f>
        <v>#REF!</v>
      </c>
      <c r="HL271" t="e">
        <f>IF(#REF!,"AAAAAF+329s=",0)</f>
        <v>#REF!</v>
      </c>
      <c r="HM271" t="e">
        <f>IF(#REF!,"AAAAAF+329w=",0)</f>
        <v>#REF!</v>
      </c>
      <c r="HN271" t="e">
        <f>IF(#REF!,"AAAAAF+3290=",0)</f>
        <v>#REF!</v>
      </c>
      <c r="HO271" t="e">
        <f>IF(#REF!,"AAAAAF+3294=",0)</f>
        <v>#REF!</v>
      </c>
      <c r="HP271" t="e">
        <f>IF(#REF!,"AAAAAF+3298=",0)</f>
        <v>#REF!</v>
      </c>
      <c r="HQ271" t="e">
        <f>IF(#REF!,"AAAAAF+32+A=",0)</f>
        <v>#REF!</v>
      </c>
      <c r="HR271" t="e">
        <f>IF(#REF!,"AAAAAF+32+E=",0)</f>
        <v>#REF!</v>
      </c>
      <c r="HS271" t="e">
        <f>IF(#REF!,"AAAAAF+32+I=",0)</f>
        <v>#REF!</v>
      </c>
      <c r="HT271" t="e">
        <f>IF(#REF!,"AAAAAF+32+M=",0)</f>
        <v>#REF!</v>
      </c>
      <c r="HU271" t="e">
        <f>IF(#REF!,"AAAAAF+32+Q=",0)</f>
        <v>#REF!</v>
      </c>
      <c r="HV271" t="e">
        <f>IF(#REF!,"AAAAAF+32+U=",0)</f>
        <v>#REF!</v>
      </c>
      <c r="HW271" t="e">
        <f>IF(#REF!,"AAAAAF+32+Y=",0)</f>
        <v>#REF!</v>
      </c>
      <c r="HX271" t="e">
        <f>IF(#REF!,"AAAAAF+32+c=",0)</f>
        <v>#REF!</v>
      </c>
      <c r="HY271" t="e">
        <f>IF(#REF!,"AAAAAF+32+g=",0)</f>
        <v>#REF!</v>
      </c>
      <c r="HZ271" t="e">
        <f>IF(#REF!,"AAAAAF+32+k=",0)</f>
        <v>#REF!</v>
      </c>
      <c r="IA271" t="e">
        <f>IF(#REF!,"AAAAAF+32+o=",0)</f>
        <v>#REF!</v>
      </c>
      <c r="IB271" t="e">
        <f>IF(#REF!,"AAAAAF+32+s=",0)</f>
        <v>#REF!</v>
      </c>
      <c r="IC271" t="e">
        <f>IF(#REF!,"AAAAAF+32+w=",0)</f>
        <v>#REF!</v>
      </c>
      <c r="ID271" t="e">
        <f>IF(#REF!,"AAAAAF+32+0=",0)</f>
        <v>#REF!</v>
      </c>
      <c r="IE271" t="e">
        <f>IF(#REF!,"AAAAAF+32+4=",0)</f>
        <v>#REF!</v>
      </c>
      <c r="IF271" t="e">
        <f>IF(#REF!,"AAAAAF+32+8=",0)</f>
        <v>#REF!</v>
      </c>
      <c r="IG271" t="e">
        <f>IF(#REF!,"AAAAAF+32/A=",0)</f>
        <v>#REF!</v>
      </c>
      <c r="IH271" t="e">
        <f>IF(#REF!,"AAAAAF+32/E=",0)</f>
        <v>#REF!</v>
      </c>
      <c r="II271" t="e">
        <f>IF(#REF!,"AAAAAF+32/I=",0)</f>
        <v>#REF!</v>
      </c>
      <c r="IJ271" t="e">
        <f>IF(#REF!,"AAAAAF+32/M=",0)</f>
        <v>#REF!</v>
      </c>
      <c r="IK271" t="e">
        <f>IF(#REF!,"AAAAAF+32/Q=",0)</f>
        <v>#REF!</v>
      </c>
      <c r="IL271" t="e">
        <f>IF(#REF!,"AAAAAF+32/U=",0)</f>
        <v>#REF!</v>
      </c>
      <c r="IM271" t="e">
        <f>IF(#REF!,"AAAAAF+32/Y=",0)</f>
        <v>#REF!</v>
      </c>
      <c r="IN271" t="e">
        <f>IF(#REF!,"AAAAAF+32/c=",0)</f>
        <v>#REF!</v>
      </c>
      <c r="IO271" t="e">
        <f>IF(#REF!,"AAAAAF+32/g=",0)</f>
        <v>#REF!</v>
      </c>
      <c r="IP271" t="e">
        <f>IF(#REF!,"AAAAAF+32/k=",0)</f>
        <v>#REF!</v>
      </c>
      <c r="IQ271" t="e">
        <f>IF(#REF!,"AAAAAF+32/o=",0)</f>
        <v>#REF!</v>
      </c>
      <c r="IR271" t="e">
        <f>IF(#REF!,"AAAAAF+32/s=",0)</f>
        <v>#REF!</v>
      </c>
      <c r="IS271" t="e">
        <f>IF(#REF!,"AAAAAF+32/w=",0)</f>
        <v>#REF!</v>
      </c>
      <c r="IT271" t="e">
        <f>IF(#REF!,"AAAAAF+32/0=",0)</f>
        <v>#REF!</v>
      </c>
      <c r="IU271" t="e">
        <f>IF(#REF!,"AAAAAF+32/4=",0)</f>
        <v>#REF!</v>
      </c>
      <c r="IV271" t="e">
        <f>IF(#REF!,"AAAAAF+32/8=",0)</f>
        <v>#REF!</v>
      </c>
    </row>
    <row r="272" spans="1:256">
      <c r="A272" t="e">
        <f>IF(#REF!,"AAAAAG/vzQA=",0)</f>
        <v>#REF!</v>
      </c>
      <c r="B272" t="e">
        <f>IF(#REF!,"AAAAAG/vzQE=",0)</f>
        <v>#REF!</v>
      </c>
      <c r="C272" t="e">
        <f>IF(#REF!,"AAAAAG/vzQI=",0)</f>
        <v>#REF!</v>
      </c>
      <c r="D272" t="e">
        <f>IF(#REF!,"AAAAAG/vzQM=",0)</f>
        <v>#REF!</v>
      </c>
      <c r="E272" t="e">
        <f>IF(#REF!,"AAAAAG/vzQQ=",0)</f>
        <v>#REF!</v>
      </c>
      <c r="F272" t="e">
        <f>IF(#REF!,"AAAAAG/vzQU=",0)</f>
        <v>#REF!</v>
      </c>
      <c r="G272" t="e">
        <f>IF(#REF!,"AAAAAG/vzQY=",0)</f>
        <v>#REF!</v>
      </c>
      <c r="H272" t="e">
        <f>IF(#REF!,"AAAAAG/vzQc=",0)</f>
        <v>#REF!</v>
      </c>
      <c r="I272" t="e">
        <f>IF(#REF!,"AAAAAG/vzQg=",0)</f>
        <v>#REF!</v>
      </c>
      <c r="J272" t="e">
        <f>IF(#REF!,"AAAAAG/vzQk=",0)</f>
        <v>#REF!</v>
      </c>
      <c r="K272" t="e">
        <f>IF(#REF!,"AAAAAG/vzQo=",0)</f>
        <v>#REF!</v>
      </c>
      <c r="L272" t="e">
        <f>IF(#REF!,"AAAAAG/vzQs=",0)</f>
        <v>#REF!</v>
      </c>
      <c r="M272" t="e">
        <f>IF(#REF!,"AAAAAG/vzQw=",0)</f>
        <v>#REF!</v>
      </c>
      <c r="N272" t="e">
        <f>IF(#REF!,"AAAAAG/vzQ0=",0)</f>
        <v>#REF!</v>
      </c>
      <c r="O272" t="e">
        <f>IF(#REF!,"AAAAAG/vzQ4=",0)</f>
        <v>#REF!</v>
      </c>
      <c r="P272" t="e">
        <f>IF(#REF!,"AAAAAG/vzQ8=",0)</f>
        <v>#REF!</v>
      </c>
      <c r="Q272" t="e">
        <f>IF(#REF!,"AAAAAG/vzRA=",0)</f>
        <v>#REF!</v>
      </c>
      <c r="R272" t="e">
        <f>IF(#REF!,"AAAAAG/vzRE=",0)</f>
        <v>#REF!</v>
      </c>
      <c r="S272" t="e">
        <f>IF(#REF!,"AAAAAG/vzRI=",0)</f>
        <v>#REF!</v>
      </c>
      <c r="T272" t="e">
        <f>IF(#REF!,"AAAAAG/vzRM=",0)</f>
        <v>#REF!</v>
      </c>
      <c r="U272" t="e">
        <f>IF(#REF!,"AAAAAG/vzRQ=",0)</f>
        <v>#REF!</v>
      </c>
      <c r="V272" t="e">
        <f>IF(#REF!,"AAAAAG/vzRU=",0)</f>
        <v>#REF!</v>
      </c>
      <c r="W272" t="e">
        <f>IF(#REF!,"AAAAAG/vzRY=",0)</f>
        <v>#REF!</v>
      </c>
      <c r="X272" t="e">
        <f>IF(#REF!,"AAAAAG/vzRc=",0)</f>
        <v>#REF!</v>
      </c>
      <c r="Y272" t="e">
        <f>IF(#REF!,"AAAAAG/vzRg=",0)</f>
        <v>#REF!</v>
      </c>
      <c r="Z272" t="e">
        <f>IF(#REF!,"AAAAAG/vzRk=",0)</f>
        <v>#REF!</v>
      </c>
      <c r="AA272" t="e">
        <f>IF(#REF!,"AAAAAG/vzRo=",0)</f>
        <v>#REF!</v>
      </c>
      <c r="AB272" t="e">
        <f>IF(#REF!,"AAAAAG/vzRs=",0)</f>
        <v>#REF!</v>
      </c>
      <c r="AC272" t="e">
        <f>IF(#REF!,"AAAAAG/vzRw=",0)</f>
        <v>#REF!</v>
      </c>
      <c r="AD272" t="e">
        <f>IF(#REF!,"AAAAAG/vzR0=",0)</f>
        <v>#REF!</v>
      </c>
      <c r="AE272" t="e">
        <f>IF(#REF!,"AAAAAG/vzR4=",0)</f>
        <v>#REF!</v>
      </c>
      <c r="AF272" t="e">
        <f>IF(#REF!,"AAAAAG/vzR8=",0)</f>
        <v>#REF!</v>
      </c>
      <c r="AG272" t="e">
        <f>IF(#REF!,"AAAAAG/vzSA=",0)</f>
        <v>#REF!</v>
      </c>
      <c r="AH272" t="e">
        <f>IF(#REF!,"AAAAAG/vzSE=",0)</f>
        <v>#REF!</v>
      </c>
      <c r="AI272" t="e">
        <f>IF(#REF!,"AAAAAG/vzSI=",0)</f>
        <v>#REF!</v>
      </c>
      <c r="AJ272" t="e">
        <f>IF(#REF!,"AAAAAG/vzSM=",0)</f>
        <v>#REF!</v>
      </c>
      <c r="AK272" t="e">
        <f>IF(#REF!,"AAAAAG/vzSQ=",0)</f>
        <v>#REF!</v>
      </c>
      <c r="AL272" t="e">
        <f>IF(#REF!,"AAAAAG/vzSU=",0)</f>
        <v>#REF!</v>
      </c>
      <c r="AM272" t="e">
        <f>IF(#REF!,"AAAAAG/vzSY=",0)</f>
        <v>#REF!</v>
      </c>
      <c r="AN272" t="e">
        <f>IF(#REF!,"AAAAAG/vzSc=",0)</f>
        <v>#REF!</v>
      </c>
      <c r="AO272" t="e">
        <f>IF(#REF!,"AAAAAG/vzSg=",0)</f>
        <v>#REF!</v>
      </c>
      <c r="AP272" t="e">
        <f>IF(#REF!,"AAAAAG/vzSk=",0)</f>
        <v>#REF!</v>
      </c>
      <c r="AQ272" t="e">
        <f>IF(#REF!,"AAAAAG/vzSo=",0)</f>
        <v>#REF!</v>
      </c>
      <c r="AR272" t="e">
        <f>IF(#REF!,"AAAAAG/vzSs=",0)</f>
        <v>#REF!</v>
      </c>
      <c r="AS272" t="e">
        <f>IF(#REF!,"AAAAAG/vzSw=",0)</f>
        <v>#REF!</v>
      </c>
      <c r="AT272" t="e">
        <f>IF(#REF!,"AAAAAG/vzS0=",0)</f>
        <v>#REF!</v>
      </c>
      <c r="AU272" t="e">
        <f>IF(#REF!,"AAAAAG/vzS4=",0)</f>
        <v>#REF!</v>
      </c>
      <c r="AV272" t="e">
        <f>IF(#REF!,"AAAAAG/vzS8=",0)</f>
        <v>#REF!</v>
      </c>
      <c r="AW272" t="e">
        <f>IF(#REF!,"AAAAAG/vzTA=",0)</f>
        <v>#REF!</v>
      </c>
      <c r="AX272" t="e">
        <f>IF(#REF!,"AAAAAG/vzTE=",0)</f>
        <v>#REF!</v>
      </c>
      <c r="AY272" t="e">
        <f>IF(#REF!,"AAAAAG/vzTI=",0)</f>
        <v>#REF!</v>
      </c>
      <c r="AZ272" t="e">
        <f>IF(#REF!,"AAAAAG/vzTM=",0)</f>
        <v>#REF!</v>
      </c>
      <c r="BA272" t="e">
        <f>IF(#REF!,"AAAAAG/vzTQ=",0)</f>
        <v>#REF!</v>
      </c>
      <c r="BB272" t="e">
        <f>IF(#REF!,"AAAAAG/vzTU=",0)</f>
        <v>#REF!</v>
      </c>
      <c r="BC272" t="e">
        <f>IF(#REF!,"AAAAAG/vzTY=",0)</f>
        <v>#REF!</v>
      </c>
      <c r="BD272" t="e">
        <f>IF(#REF!,"AAAAAG/vzTc=",0)</f>
        <v>#REF!</v>
      </c>
      <c r="BE272" t="e">
        <f>IF(#REF!,"AAAAAG/vzTg=",0)</f>
        <v>#REF!</v>
      </c>
      <c r="BF272" t="e">
        <f>IF(#REF!,"AAAAAG/vzTk=",0)</f>
        <v>#REF!</v>
      </c>
      <c r="BG272" t="e">
        <f>IF(#REF!,"AAAAAG/vzTo=",0)</f>
        <v>#REF!</v>
      </c>
      <c r="BH272" t="e">
        <f>IF(#REF!,"AAAAAG/vzTs=",0)</f>
        <v>#REF!</v>
      </c>
      <c r="BI272" t="e">
        <f>IF(#REF!,"AAAAAG/vzTw=",0)</f>
        <v>#REF!</v>
      </c>
      <c r="BJ272" t="e">
        <f>IF(#REF!,"AAAAAG/vzT0=",0)</f>
        <v>#REF!</v>
      </c>
      <c r="BK272" t="e">
        <f>IF(#REF!,"AAAAAG/vzT4=",0)</f>
        <v>#REF!</v>
      </c>
      <c r="BL272" t="e">
        <f>IF(#REF!,"AAAAAG/vzT8=",0)</f>
        <v>#REF!</v>
      </c>
      <c r="BM272" t="e">
        <f>IF(#REF!,"AAAAAG/vzUA=",0)</f>
        <v>#REF!</v>
      </c>
      <c r="BN272" t="e">
        <f>IF(#REF!,"AAAAAG/vzUE=",0)</f>
        <v>#REF!</v>
      </c>
      <c r="BO272" t="e">
        <f>IF(#REF!,"AAAAAG/vzUI=",0)</f>
        <v>#REF!</v>
      </c>
      <c r="BP272" t="e">
        <f>IF(#REF!,"AAAAAG/vzUM=",0)</f>
        <v>#REF!</v>
      </c>
      <c r="BQ272" t="e">
        <f>IF(#REF!,"AAAAAG/vzUQ=",0)</f>
        <v>#REF!</v>
      </c>
      <c r="BR272" t="e">
        <f>IF(#REF!,"AAAAAG/vzUU=",0)</f>
        <v>#REF!</v>
      </c>
      <c r="BS272" t="e">
        <f>IF(#REF!,"AAAAAG/vzUY=",0)</f>
        <v>#REF!</v>
      </c>
      <c r="BT272" t="e">
        <f>IF(#REF!,"AAAAAG/vzUc=",0)</f>
        <v>#REF!</v>
      </c>
      <c r="BU272" t="e">
        <f>IF(#REF!,"AAAAAG/vzUg=",0)</f>
        <v>#REF!</v>
      </c>
      <c r="BV272" t="e">
        <f>IF(#REF!,"AAAAAG/vzUk=",0)</f>
        <v>#REF!</v>
      </c>
      <c r="BW272" t="e">
        <f>IF(#REF!,"AAAAAG/vzUo=",0)</f>
        <v>#REF!</v>
      </c>
      <c r="BX272" t="e">
        <f>IF(#REF!,"AAAAAG/vzUs=",0)</f>
        <v>#REF!</v>
      </c>
      <c r="BY272" t="e">
        <f>IF(#REF!,"AAAAAG/vzUw=",0)</f>
        <v>#REF!</v>
      </c>
      <c r="BZ272" t="e">
        <f>IF(#REF!,"AAAAAG/vzU0=",0)</f>
        <v>#REF!</v>
      </c>
      <c r="CA272" t="e">
        <f>IF(#REF!,"AAAAAG/vzU4=",0)</f>
        <v>#REF!</v>
      </c>
      <c r="CB272" t="e">
        <f>IF(#REF!,"AAAAAG/vzU8=",0)</f>
        <v>#REF!</v>
      </c>
      <c r="CC272" t="e">
        <f>IF(#REF!,"AAAAAG/vzVA=",0)</f>
        <v>#REF!</v>
      </c>
      <c r="CD272" t="e">
        <f>IF(#REF!,"AAAAAG/vzVE=",0)</f>
        <v>#REF!</v>
      </c>
      <c r="CE272" t="e">
        <f>IF(#REF!,"AAAAAG/vzVI=",0)</f>
        <v>#REF!</v>
      </c>
      <c r="CF272" t="e">
        <f>IF(#REF!,"AAAAAG/vzVM=",0)</f>
        <v>#REF!</v>
      </c>
      <c r="CG272" t="e">
        <f>IF(#REF!,"AAAAAG/vzVQ=",0)</f>
        <v>#REF!</v>
      </c>
      <c r="CH272" t="e">
        <f>IF(#REF!,"AAAAAG/vzVU=",0)</f>
        <v>#REF!</v>
      </c>
      <c r="CI272" t="e">
        <f>IF(#REF!,"AAAAAG/vzVY=",0)</f>
        <v>#REF!</v>
      </c>
      <c r="CJ272" t="e">
        <f>IF(#REF!,"AAAAAG/vzVc=",0)</f>
        <v>#REF!</v>
      </c>
      <c r="CK272" t="e">
        <f>IF(#REF!,"AAAAAG/vzVg=",0)</f>
        <v>#REF!</v>
      </c>
      <c r="CL272" t="e">
        <f>IF(#REF!,"AAAAAG/vzVk=",0)</f>
        <v>#REF!</v>
      </c>
      <c r="CM272" t="e">
        <f>IF(#REF!,"AAAAAG/vzVo=",0)</f>
        <v>#REF!</v>
      </c>
      <c r="CN272" t="e">
        <f>IF(#REF!,"AAAAAG/vzVs=",0)</f>
        <v>#REF!</v>
      </c>
      <c r="CO272" t="e">
        <f>IF(#REF!,"AAAAAG/vzVw=",0)</f>
        <v>#REF!</v>
      </c>
      <c r="CP272" t="e">
        <f>IF(#REF!,"AAAAAG/vzV0=",0)</f>
        <v>#REF!</v>
      </c>
      <c r="CQ272" t="e">
        <f>IF(#REF!,"AAAAAG/vzV4=",0)</f>
        <v>#REF!</v>
      </c>
      <c r="CR272" t="e">
        <f>IF(#REF!,"AAAAAG/vzV8=",0)</f>
        <v>#REF!</v>
      </c>
      <c r="CS272" t="e">
        <f>IF(#REF!,"AAAAAG/vzWA=",0)</f>
        <v>#REF!</v>
      </c>
      <c r="CT272" t="e">
        <f>IF(#REF!,"AAAAAG/vzWE=",0)</f>
        <v>#REF!</v>
      </c>
      <c r="CU272" t="e">
        <f>IF(#REF!,"AAAAAG/vzWI=",0)</f>
        <v>#REF!</v>
      </c>
      <c r="CV272" t="e">
        <f>IF(#REF!,"AAAAAG/vzWM=",0)</f>
        <v>#REF!</v>
      </c>
      <c r="CW272" t="e">
        <f>IF(#REF!,"AAAAAG/vzWQ=",0)</f>
        <v>#REF!</v>
      </c>
      <c r="CX272" t="e">
        <f>IF(#REF!,"AAAAAG/vzWU=",0)</f>
        <v>#REF!</v>
      </c>
      <c r="CY272" t="e">
        <f>IF(#REF!,"AAAAAG/vzWY=",0)</f>
        <v>#REF!</v>
      </c>
      <c r="CZ272" t="e">
        <f>IF(#REF!,"AAAAAG/vzWc=",0)</f>
        <v>#REF!</v>
      </c>
      <c r="DA272" t="e">
        <f>IF(#REF!,"AAAAAG/vzWg=",0)</f>
        <v>#REF!</v>
      </c>
      <c r="DB272" t="e">
        <f>IF(#REF!,"AAAAAG/vzWk=",0)</f>
        <v>#REF!</v>
      </c>
      <c r="DC272" t="e">
        <f>IF(#REF!,"AAAAAG/vzWo=",0)</f>
        <v>#REF!</v>
      </c>
      <c r="DD272" t="e">
        <f>IF(#REF!,"AAAAAG/vzWs=",0)</f>
        <v>#REF!</v>
      </c>
      <c r="DE272" t="e">
        <f>IF(#REF!,"AAAAAG/vzWw=",0)</f>
        <v>#REF!</v>
      </c>
      <c r="DF272" t="e">
        <f>IF(#REF!,"AAAAAG/vzW0=",0)</f>
        <v>#REF!</v>
      </c>
      <c r="DG272" t="e">
        <f>IF(#REF!,"AAAAAG/vzW4=",0)</f>
        <v>#REF!</v>
      </c>
      <c r="DH272" t="e">
        <f>IF(#REF!,"AAAAAG/vzW8=",0)</f>
        <v>#REF!</v>
      </c>
      <c r="DI272" t="e">
        <f>IF(#REF!,"AAAAAG/vzXA=",0)</f>
        <v>#REF!</v>
      </c>
      <c r="DJ272" t="e">
        <f>IF(#REF!,"AAAAAG/vzXE=",0)</f>
        <v>#REF!</v>
      </c>
      <c r="DK272" t="e">
        <f>IF(#REF!,"AAAAAG/vzXI=",0)</f>
        <v>#REF!</v>
      </c>
      <c r="DL272" t="e">
        <f>IF(#REF!,"AAAAAG/vzXM=",0)</f>
        <v>#REF!</v>
      </c>
      <c r="DM272" t="e">
        <f>IF(#REF!,"AAAAAG/vzXQ=",0)</f>
        <v>#REF!</v>
      </c>
      <c r="DN272" t="e">
        <f>IF(#REF!,"AAAAAG/vzXU=",0)</f>
        <v>#REF!</v>
      </c>
      <c r="DO272" t="e">
        <f>IF(#REF!,"AAAAAG/vzXY=",0)</f>
        <v>#REF!</v>
      </c>
      <c r="DP272" t="e">
        <f>IF(#REF!,"AAAAAG/vzXc=",0)</f>
        <v>#REF!</v>
      </c>
      <c r="DQ272" t="e">
        <f>IF(#REF!,"AAAAAG/vzXg=",0)</f>
        <v>#REF!</v>
      </c>
      <c r="DR272" t="e">
        <f>IF(#REF!,"AAAAAG/vzXk=",0)</f>
        <v>#REF!</v>
      </c>
      <c r="DS272" t="e">
        <f>IF(#REF!,"AAAAAG/vzXo=",0)</f>
        <v>#REF!</v>
      </c>
      <c r="DT272" t="e">
        <f>IF(#REF!,"AAAAAG/vzXs=",0)</f>
        <v>#REF!</v>
      </c>
      <c r="DU272" t="e">
        <f>IF(#REF!,"AAAAAG/vzXw=",0)</f>
        <v>#REF!</v>
      </c>
      <c r="DV272" t="e">
        <f>IF(#REF!,"AAAAAG/vzX0=",0)</f>
        <v>#REF!</v>
      </c>
      <c r="DW272" t="e">
        <f>IF(#REF!,"AAAAAG/vzX4=",0)</f>
        <v>#REF!</v>
      </c>
      <c r="DX272" t="e">
        <f>IF(#REF!,"AAAAAG/vzX8=",0)</f>
        <v>#REF!</v>
      </c>
      <c r="DY272" t="e">
        <f>IF(#REF!,"AAAAAG/vzYA=",0)</f>
        <v>#REF!</v>
      </c>
      <c r="DZ272" t="e">
        <f>IF(#REF!,"AAAAAG/vzYE=",0)</f>
        <v>#REF!</v>
      </c>
      <c r="EA272" t="e">
        <f>IF(#REF!,"AAAAAG/vzYI=",0)</f>
        <v>#REF!</v>
      </c>
      <c r="EB272" t="e">
        <f>IF(#REF!,"AAAAAG/vzYM=",0)</f>
        <v>#REF!</v>
      </c>
      <c r="EC272" t="e">
        <f>IF(#REF!,"AAAAAG/vzYQ=",0)</f>
        <v>#REF!</v>
      </c>
      <c r="ED272" t="e">
        <f>IF(#REF!,"AAAAAG/vzYU=",0)</f>
        <v>#REF!</v>
      </c>
      <c r="EE272" t="e">
        <f>IF(#REF!,"AAAAAG/vzYY=",0)</f>
        <v>#REF!</v>
      </c>
      <c r="EF272" t="e">
        <f>IF(#REF!,"AAAAAG/vzYc=",0)</f>
        <v>#REF!</v>
      </c>
      <c r="EG272" t="e">
        <f>IF(#REF!,"AAAAAG/vzYg=",0)</f>
        <v>#REF!</v>
      </c>
      <c r="EH272" t="e">
        <f>IF(#REF!,"AAAAAG/vzYk=",0)</f>
        <v>#REF!</v>
      </c>
      <c r="EI272" t="e">
        <f>IF(#REF!,"AAAAAG/vzYo=",0)</f>
        <v>#REF!</v>
      </c>
      <c r="EJ272" t="e">
        <f>IF(#REF!,"AAAAAG/vzYs=",0)</f>
        <v>#REF!</v>
      </c>
      <c r="EK272" t="e">
        <f>IF(#REF!,"AAAAAG/vzYw=",0)</f>
        <v>#REF!</v>
      </c>
      <c r="EL272" t="e">
        <f>IF(#REF!,"AAAAAG/vzY0=",0)</f>
        <v>#REF!</v>
      </c>
      <c r="EM272" t="e">
        <f>IF(#REF!,"AAAAAG/vzY4=",0)</f>
        <v>#REF!</v>
      </c>
      <c r="EN272" t="e">
        <f>IF(#REF!,"AAAAAG/vzY8=",0)</f>
        <v>#REF!</v>
      </c>
      <c r="EO272" t="e">
        <f>IF(#REF!,"AAAAAG/vzZA=",0)</f>
        <v>#REF!</v>
      </c>
      <c r="EP272" t="e">
        <f>IF(#REF!,"AAAAAG/vzZE=",0)</f>
        <v>#REF!</v>
      </c>
      <c r="EQ272" t="e">
        <f>IF(#REF!,"AAAAAG/vzZI=",0)</f>
        <v>#REF!</v>
      </c>
      <c r="ER272" t="e">
        <f>IF(#REF!,"AAAAAG/vzZM=",0)</f>
        <v>#REF!</v>
      </c>
      <c r="ES272" t="e">
        <f>IF(#REF!,"AAAAAG/vzZQ=",0)</f>
        <v>#REF!</v>
      </c>
      <c r="ET272" t="e">
        <f>IF(#REF!,"AAAAAG/vzZU=",0)</f>
        <v>#REF!</v>
      </c>
      <c r="EU272" t="e">
        <f>IF(#REF!,"AAAAAG/vzZY=",0)</f>
        <v>#REF!</v>
      </c>
      <c r="EV272" t="e">
        <f>IF(#REF!,"AAAAAG/vzZc=",0)</f>
        <v>#REF!</v>
      </c>
      <c r="EW272" t="e">
        <f>IF(#REF!,"AAAAAG/vzZg=",0)</f>
        <v>#REF!</v>
      </c>
      <c r="EX272" t="e">
        <f>IF(#REF!,"AAAAAG/vzZk=",0)</f>
        <v>#REF!</v>
      </c>
      <c r="EY272" t="e">
        <f>IF(#REF!,"AAAAAG/vzZo=",0)</f>
        <v>#REF!</v>
      </c>
      <c r="EZ272" t="e">
        <f>IF(#REF!,"AAAAAG/vzZs=",0)</f>
        <v>#REF!</v>
      </c>
      <c r="FA272" t="e">
        <f>IF(#REF!,"AAAAAG/vzZw=",0)</f>
        <v>#REF!</v>
      </c>
      <c r="FB272" t="e">
        <f>IF(#REF!,"AAAAAG/vzZ0=",0)</f>
        <v>#REF!</v>
      </c>
      <c r="FC272" t="e">
        <f>IF(#REF!,"AAAAAG/vzZ4=",0)</f>
        <v>#REF!</v>
      </c>
      <c r="FD272" t="e">
        <f>IF(#REF!,"AAAAAG/vzZ8=",0)</f>
        <v>#REF!</v>
      </c>
      <c r="FE272" t="e">
        <f>IF(#REF!,"AAAAAG/vzaA=",0)</f>
        <v>#REF!</v>
      </c>
      <c r="FF272" t="e">
        <f>IF(#REF!,"AAAAAG/vzaE=",0)</f>
        <v>#REF!</v>
      </c>
      <c r="FG272" t="e">
        <f>IF(#REF!,"AAAAAG/vzaI=",0)</f>
        <v>#REF!</v>
      </c>
      <c r="FH272" t="e">
        <f>IF(#REF!,"AAAAAG/vzaM=",0)</f>
        <v>#REF!</v>
      </c>
      <c r="FI272" t="e">
        <f>IF(#REF!,"AAAAAG/vzaQ=",0)</f>
        <v>#REF!</v>
      </c>
      <c r="FJ272" t="e">
        <f>IF(#REF!,"AAAAAG/vzaU=",0)</f>
        <v>#REF!</v>
      </c>
      <c r="FK272" t="e">
        <f>IF(#REF!,"AAAAAG/vzaY=",0)</f>
        <v>#REF!</v>
      </c>
      <c r="FL272" t="e">
        <f>IF(#REF!,"AAAAAG/vzac=",0)</f>
        <v>#REF!</v>
      </c>
      <c r="FM272" t="e">
        <f>IF(#REF!,"AAAAAG/vzag=",0)</f>
        <v>#REF!</v>
      </c>
      <c r="FN272" t="e">
        <f>IF(#REF!,"AAAAAG/vzak=",0)</f>
        <v>#REF!</v>
      </c>
      <c r="FO272" t="e">
        <f>IF(#REF!,"AAAAAG/vzao=",0)</f>
        <v>#REF!</v>
      </c>
      <c r="FP272" t="e">
        <f>IF(#REF!,"AAAAAG/vzas=",0)</f>
        <v>#REF!</v>
      </c>
      <c r="FQ272" t="e">
        <f>IF(#REF!,"AAAAAG/vzaw=",0)</f>
        <v>#REF!</v>
      </c>
      <c r="FR272" t="e">
        <f>IF(#REF!,"AAAAAG/vza0=",0)</f>
        <v>#REF!</v>
      </c>
      <c r="FS272" t="e">
        <f>IF(#REF!,"AAAAAG/vza4=",0)</f>
        <v>#REF!</v>
      </c>
      <c r="FT272" t="e">
        <f>IF(#REF!,"AAAAAG/vza8=",0)</f>
        <v>#REF!</v>
      </c>
      <c r="FU272" t="e">
        <f>IF(#REF!,"AAAAAG/vzbA=",0)</f>
        <v>#REF!</v>
      </c>
      <c r="FV272" t="e">
        <f>IF(#REF!,"AAAAAG/vzbE=",0)</f>
        <v>#REF!</v>
      </c>
      <c r="FW272" t="e">
        <f>IF(#REF!,"AAAAAG/vzbI=",0)</f>
        <v>#REF!</v>
      </c>
      <c r="FX272" t="e">
        <f>IF(#REF!,"AAAAAG/vzbM=",0)</f>
        <v>#REF!</v>
      </c>
      <c r="FY272" t="e">
        <f>IF(#REF!,"AAAAAG/vzbQ=",0)</f>
        <v>#REF!</v>
      </c>
      <c r="FZ272" t="e">
        <f>IF(#REF!,"AAAAAG/vzbU=",0)</f>
        <v>#REF!</v>
      </c>
      <c r="GA272" t="e">
        <f>IF(#REF!,"AAAAAG/vzbY=",0)</f>
        <v>#REF!</v>
      </c>
      <c r="GB272" t="e">
        <f>IF(#REF!,"AAAAAG/vzbc=",0)</f>
        <v>#REF!</v>
      </c>
      <c r="GC272" t="e">
        <f>IF(#REF!,"AAAAAG/vzbg=",0)</f>
        <v>#REF!</v>
      </c>
      <c r="GD272" t="e">
        <f>IF(#REF!,"AAAAAG/vzbk=",0)</f>
        <v>#REF!</v>
      </c>
      <c r="GE272" t="e">
        <f>IF(#REF!,"AAAAAG/vzbo=",0)</f>
        <v>#REF!</v>
      </c>
      <c r="GF272" t="e">
        <f>IF(#REF!,"AAAAAG/vzbs=",0)</f>
        <v>#REF!</v>
      </c>
      <c r="GG272" t="e">
        <f>IF(#REF!,"AAAAAG/vzbw=",0)</f>
        <v>#REF!</v>
      </c>
      <c r="GH272" t="e">
        <f>IF(#REF!,"AAAAAG/vzb0=",0)</f>
        <v>#REF!</v>
      </c>
      <c r="GI272" t="e">
        <f>IF(#REF!,"AAAAAG/vzb4=",0)</f>
        <v>#REF!</v>
      </c>
      <c r="GJ272" t="e">
        <f>IF(#REF!,"AAAAAG/vzb8=",0)</f>
        <v>#REF!</v>
      </c>
      <c r="GK272" t="e">
        <f>IF(#REF!,"AAAAAG/vzcA=",0)</f>
        <v>#REF!</v>
      </c>
      <c r="GL272" t="e">
        <f>IF(#REF!,"AAAAAG/vzcE=",0)</f>
        <v>#REF!</v>
      </c>
      <c r="GM272" t="e">
        <f>IF(#REF!,"AAAAAG/vzcI=",0)</f>
        <v>#REF!</v>
      </c>
      <c r="GN272" t="e">
        <f>IF(#REF!,"AAAAAG/vzcM=",0)</f>
        <v>#REF!</v>
      </c>
      <c r="GO272" t="e">
        <f>IF(#REF!,"AAAAAG/vzcQ=",0)</f>
        <v>#REF!</v>
      </c>
      <c r="GP272" t="e">
        <f>IF(#REF!,"AAAAAG/vzcU=",0)</f>
        <v>#REF!</v>
      </c>
      <c r="GQ272" t="e">
        <f>IF(#REF!,"AAAAAG/vzcY=",0)</f>
        <v>#REF!</v>
      </c>
      <c r="GR272" t="e">
        <f>IF(#REF!,"AAAAAG/vzcc=",0)</f>
        <v>#REF!</v>
      </c>
      <c r="GS272" t="e">
        <f>IF(#REF!,"AAAAAG/vzcg=",0)</f>
        <v>#REF!</v>
      </c>
      <c r="GT272" t="e">
        <f>IF(#REF!,"AAAAAG/vzck=",0)</f>
        <v>#REF!</v>
      </c>
      <c r="GU272" t="e">
        <f>IF(#REF!,"AAAAAG/vzco=",0)</f>
        <v>#REF!</v>
      </c>
      <c r="GV272" t="e">
        <f>IF(#REF!,"AAAAAG/vzcs=",0)</f>
        <v>#REF!</v>
      </c>
      <c r="GW272" t="e">
        <f>IF(#REF!,"AAAAAG/vzcw=",0)</f>
        <v>#REF!</v>
      </c>
      <c r="GX272" t="e">
        <f>IF(#REF!,"AAAAAG/vzc0=",0)</f>
        <v>#REF!</v>
      </c>
      <c r="GY272" t="e">
        <f>IF(#REF!,"AAAAAG/vzc4=",0)</f>
        <v>#REF!</v>
      </c>
      <c r="GZ272" t="e">
        <f>IF(#REF!,"AAAAAG/vzc8=",0)</f>
        <v>#REF!</v>
      </c>
      <c r="HA272" t="e">
        <f>IF(#REF!,"AAAAAG/vzdA=",0)</f>
        <v>#REF!</v>
      </c>
      <c r="HB272" t="e">
        <f>IF(#REF!,"AAAAAG/vzdE=",0)</f>
        <v>#REF!</v>
      </c>
      <c r="HC272" t="e">
        <f>IF(#REF!,"AAAAAG/vzdI=",0)</f>
        <v>#REF!</v>
      </c>
      <c r="HD272" t="e">
        <f>IF(#REF!,"AAAAAG/vzdM=",0)</f>
        <v>#REF!</v>
      </c>
      <c r="HE272" t="e">
        <f>IF(#REF!,"AAAAAG/vzdQ=",0)</f>
        <v>#REF!</v>
      </c>
      <c r="HF272" t="e">
        <f>IF(#REF!,"AAAAAG/vzdU=",0)</f>
        <v>#REF!</v>
      </c>
      <c r="HG272" t="e">
        <f>IF(#REF!,"AAAAAG/vzdY=",0)</f>
        <v>#REF!</v>
      </c>
      <c r="HH272" t="e">
        <f>IF(#REF!,"AAAAAG/vzdc=",0)</f>
        <v>#REF!</v>
      </c>
      <c r="HI272" t="e">
        <f>IF(#REF!,"AAAAAG/vzdg=",0)</f>
        <v>#REF!</v>
      </c>
      <c r="HJ272" t="e">
        <f>IF(#REF!,"AAAAAG/vzdk=",0)</f>
        <v>#REF!</v>
      </c>
      <c r="HK272" t="e">
        <f>IF(#REF!,"AAAAAG/vzdo=",0)</f>
        <v>#REF!</v>
      </c>
      <c r="HL272" t="e">
        <f>IF(#REF!,"AAAAAG/vzds=",0)</f>
        <v>#REF!</v>
      </c>
      <c r="HM272" t="e">
        <f>IF(#REF!,"AAAAAG/vzdw=",0)</f>
        <v>#REF!</v>
      </c>
      <c r="HN272" t="e">
        <f>IF(#REF!,"AAAAAG/vzd0=",0)</f>
        <v>#REF!</v>
      </c>
      <c r="HO272" t="e">
        <f>IF(#REF!,"AAAAAG/vzd4=",0)</f>
        <v>#REF!</v>
      </c>
      <c r="HP272" t="e">
        <f>IF(#REF!,"AAAAAG/vzd8=",0)</f>
        <v>#REF!</v>
      </c>
      <c r="HQ272" t="e">
        <f>IF(#REF!,"AAAAAG/vzeA=",0)</f>
        <v>#REF!</v>
      </c>
      <c r="HR272" t="e">
        <f>IF(#REF!,"AAAAAG/vzeE=",0)</f>
        <v>#REF!</v>
      </c>
      <c r="HS272" t="e">
        <f>IF(#REF!,"AAAAAG/vzeI=",0)</f>
        <v>#REF!</v>
      </c>
      <c r="HT272" t="e">
        <f>IF(#REF!,"AAAAAG/vzeM=",0)</f>
        <v>#REF!</v>
      </c>
      <c r="HU272" t="e">
        <f>IF(#REF!,"AAAAAG/vzeQ=",0)</f>
        <v>#REF!</v>
      </c>
      <c r="HV272" t="e">
        <f>IF(#REF!,"AAAAAG/vzeU=",0)</f>
        <v>#REF!</v>
      </c>
      <c r="HW272" t="e">
        <f>IF(#REF!,"AAAAAG/vzeY=",0)</f>
        <v>#REF!</v>
      </c>
      <c r="HX272" t="e">
        <f>IF(#REF!,"AAAAAG/vzec=",0)</f>
        <v>#REF!</v>
      </c>
      <c r="HY272" t="e">
        <f>IF(#REF!,"AAAAAG/vzeg=",0)</f>
        <v>#REF!</v>
      </c>
      <c r="HZ272" t="e">
        <f>IF(#REF!,"AAAAAG/vzek=",0)</f>
        <v>#REF!</v>
      </c>
      <c r="IA272" t="e">
        <f>IF(#REF!,"AAAAAG/vzeo=",0)</f>
        <v>#REF!</v>
      </c>
      <c r="IB272" t="e">
        <f>IF(#REF!,"AAAAAG/vzes=",0)</f>
        <v>#REF!</v>
      </c>
      <c r="IC272" t="e">
        <f>IF(#REF!,"AAAAAG/vzew=",0)</f>
        <v>#REF!</v>
      </c>
      <c r="ID272" t="e">
        <f>IF(#REF!,"AAAAAG/vze0=",0)</f>
        <v>#REF!</v>
      </c>
      <c r="IE272" t="e">
        <f>IF(#REF!,"AAAAAG/vze4=",0)</f>
        <v>#REF!</v>
      </c>
      <c r="IF272" t="e">
        <f>IF(#REF!,"AAAAAG/vze8=",0)</f>
        <v>#REF!</v>
      </c>
      <c r="IG272" t="e">
        <f>IF(#REF!,"AAAAAG/vzfA=",0)</f>
        <v>#REF!</v>
      </c>
      <c r="IH272" t="e">
        <f>IF(#REF!,"AAAAAG/vzfE=",0)</f>
        <v>#REF!</v>
      </c>
      <c r="II272" t="e">
        <f>IF(#REF!,"AAAAAG/vzfI=",0)</f>
        <v>#REF!</v>
      </c>
      <c r="IJ272" t="e">
        <f>IF(#REF!,"AAAAAG/vzfM=",0)</f>
        <v>#REF!</v>
      </c>
      <c r="IK272" t="e">
        <f>IF(#REF!,"AAAAAG/vzfQ=",0)</f>
        <v>#REF!</v>
      </c>
      <c r="IL272" t="e">
        <f>IF(#REF!,"AAAAAG/vzfU=",0)</f>
        <v>#REF!</v>
      </c>
      <c r="IM272" t="e">
        <f>IF(#REF!,"AAAAAG/vzfY=",0)</f>
        <v>#REF!</v>
      </c>
      <c r="IN272" t="e">
        <f>IF(#REF!,"AAAAAG/vzfc=",0)</f>
        <v>#REF!</v>
      </c>
      <c r="IO272" t="e">
        <f>IF(#REF!,"AAAAAG/vzfg=",0)</f>
        <v>#REF!</v>
      </c>
      <c r="IP272" t="e">
        <f>IF(#REF!,"AAAAAG/vzfk=",0)</f>
        <v>#REF!</v>
      </c>
      <c r="IQ272" t="e">
        <f>IF(#REF!,"AAAAAG/vzfo=",0)</f>
        <v>#REF!</v>
      </c>
      <c r="IR272" t="e">
        <f>IF(#REF!,"AAAAAG/vzfs=",0)</f>
        <v>#REF!</v>
      </c>
      <c r="IS272" t="e">
        <f>IF(#REF!,"AAAAAG/vzfw=",0)</f>
        <v>#REF!</v>
      </c>
      <c r="IT272" t="e">
        <f>IF(#REF!,"AAAAAG/vzf0=",0)</f>
        <v>#REF!</v>
      </c>
      <c r="IU272" t="e">
        <f>IF(#REF!,"AAAAAG/vzf4=",0)</f>
        <v>#REF!</v>
      </c>
      <c r="IV272" t="e">
        <f>IF(#REF!,"AAAAAG/vzf8=",0)</f>
        <v>#REF!</v>
      </c>
    </row>
    <row r="273" spans="1:256">
      <c r="A273" t="e">
        <f>IF(#REF!,"AAAAADvv7wA=",0)</f>
        <v>#REF!</v>
      </c>
      <c r="B273" t="e">
        <f>IF(#REF!,"AAAAADvv7wE=",0)</f>
        <v>#REF!</v>
      </c>
      <c r="C273" t="e">
        <f>IF(#REF!,"AAAAADvv7wI=",0)</f>
        <v>#REF!</v>
      </c>
      <c r="D273" t="e">
        <f>IF(#REF!,"AAAAADvv7wM=",0)</f>
        <v>#REF!</v>
      </c>
      <c r="E273" t="e">
        <f>IF(#REF!,"AAAAADvv7wQ=",0)</f>
        <v>#REF!</v>
      </c>
      <c r="F273" t="e">
        <f>IF(#REF!,"AAAAADvv7wU=",0)</f>
        <v>#REF!</v>
      </c>
      <c r="G273" t="e">
        <f>IF(#REF!,"AAAAADvv7wY=",0)</f>
        <v>#REF!</v>
      </c>
      <c r="H273" t="e">
        <f>IF(#REF!,"AAAAADvv7wc=",0)</f>
        <v>#REF!</v>
      </c>
      <c r="I273" t="e">
        <f>IF(#REF!,"AAAAADvv7wg=",0)</f>
        <v>#REF!</v>
      </c>
      <c r="J273" t="e">
        <f>IF(#REF!,"AAAAADvv7wk=",0)</f>
        <v>#REF!</v>
      </c>
      <c r="K273" t="e">
        <f>IF(#REF!,"AAAAADvv7wo=",0)</f>
        <v>#REF!</v>
      </c>
      <c r="L273" t="e">
        <f>IF(#REF!,"AAAAADvv7ws=",0)</f>
        <v>#REF!</v>
      </c>
      <c r="M273" t="e">
        <f>IF(#REF!,"AAAAADvv7ww=",0)</f>
        <v>#REF!</v>
      </c>
      <c r="N273" t="e">
        <f>IF(#REF!,"AAAAADvv7w0=",0)</f>
        <v>#REF!</v>
      </c>
      <c r="O273" t="e">
        <f>IF(#REF!,"AAAAADvv7w4=",0)</f>
        <v>#REF!</v>
      </c>
      <c r="P273" t="e">
        <f>IF(#REF!,"AAAAADvv7w8=",0)</f>
        <v>#REF!</v>
      </c>
      <c r="Q273" t="e">
        <f>IF(#REF!,"AAAAADvv7xA=",0)</f>
        <v>#REF!</v>
      </c>
      <c r="R273" t="e">
        <f>IF(#REF!,"AAAAADvv7xE=",0)</f>
        <v>#REF!</v>
      </c>
      <c r="S273" t="e">
        <f>IF(#REF!,"AAAAADvv7xI=",0)</f>
        <v>#REF!</v>
      </c>
      <c r="T273" t="e">
        <f>IF(#REF!,"AAAAADvv7xM=",0)</f>
        <v>#REF!</v>
      </c>
      <c r="U273" t="e">
        <f>IF(#REF!,"AAAAADvv7xQ=",0)</f>
        <v>#REF!</v>
      </c>
      <c r="V273" t="e">
        <f>IF(#REF!,"AAAAADvv7xU=",0)</f>
        <v>#REF!</v>
      </c>
      <c r="W273" t="e">
        <f>IF(#REF!,"AAAAADvv7xY=",0)</f>
        <v>#REF!</v>
      </c>
      <c r="X273" t="e">
        <f>IF(#REF!,"AAAAADvv7xc=",0)</f>
        <v>#REF!</v>
      </c>
      <c r="Y273" t="e">
        <f>IF(#REF!,"AAAAADvv7xg=",0)</f>
        <v>#REF!</v>
      </c>
      <c r="Z273" t="e">
        <f>IF(#REF!,"AAAAADvv7xk=",0)</f>
        <v>#REF!</v>
      </c>
      <c r="AA273" t="e">
        <f>IF(#REF!,"AAAAADvv7xo=",0)</f>
        <v>#REF!</v>
      </c>
      <c r="AB273" t="e">
        <f>IF(#REF!,"AAAAADvv7xs=",0)</f>
        <v>#REF!</v>
      </c>
      <c r="AC273" t="e">
        <f>IF(#REF!,"AAAAADvv7xw=",0)</f>
        <v>#REF!</v>
      </c>
      <c r="AD273" t="e">
        <f>IF(#REF!,"AAAAADvv7x0=",0)</f>
        <v>#REF!</v>
      </c>
      <c r="AE273" t="e">
        <f>IF(#REF!,"AAAAADvv7x4=",0)</f>
        <v>#REF!</v>
      </c>
      <c r="AF273" t="e">
        <f>IF(#REF!,"AAAAADvv7x8=",0)</f>
        <v>#REF!</v>
      </c>
      <c r="AG273" t="e">
        <f>IF(#REF!,"AAAAADvv7yA=",0)</f>
        <v>#REF!</v>
      </c>
      <c r="AH273" t="e">
        <f>IF(#REF!,"AAAAADvv7yE=",0)</f>
        <v>#REF!</v>
      </c>
      <c r="AI273" t="e">
        <f>IF(#REF!,"AAAAADvv7yI=",0)</f>
        <v>#REF!</v>
      </c>
      <c r="AJ273" t="e">
        <f>IF(#REF!,"AAAAADvv7yM=",0)</f>
        <v>#REF!</v>
      </c>
      <c r="AK273" t="e">
        <f>IF(#REF!,"AAAAADvv7yQ=",0)</f>
        <v>#REF!</v>
      </c>
      <c r="AL273" t="e">
        <f>IF(#REF!,"AAAAADvv7yU=",0)</f>
        <v>#REF!</v>
      </c>
      <c r="AM273" t="e">
        <f>IF(#REF!,"AAAAADvv7yY=",0)</f>
        <v>#REF!</v>
      </c>
      <c r="AN273" t="e">
        <f>IF(#REF!,"AAAAADvv7yc=",0)</f>
        <v>#REF!</v>
      </c>
      <c r="AO273" t="e">
        <f>IF(#REF!,"AAAAADvv7yg=",0)</f>
        <v>#REF!</v>
      </c>
      <c r="AP273" t="e">
        <f>IF(#REF!,"AAAAADvv7yk=",0)</f>
        <v>#REF!</v>
      </c>
      <c r="AQ273" t="e">
        <f>IF(#REF!,"AAAAADvv7yo=",0)</f>
        <v>#REF!</v>
      </c>
      <c r="AR273" t="e">
        <f>IF(#REF!,"AAAAADvv7ys=",0)</f>
        <v>#REF!</v>
      </c>
      <c r="AS273" t="e">
        <f>IF(#REF!,"AAAAADvv7yw=",0)</f>
        <v>#REF!</v>
      </c>
      <c r="AT273" t="e">
        <f>IF(#REF!,"AAAAADvv7y0=",0)</f>
        <v>#REF!</v>
      </c>
      <c r="AU273" t="e">
        <f>IF(#REF!,"AAAAADvv7y4=",0)</f>
        <v>#REF!</v>
      </c>
      <c r="AV273" t="e">
        <f>IF(#REF!,"AAAAADvv7y8=",0)</f>
        <v>#REF!</v>
      </c>
      <c r="AW273" t="e">
        <f>IF(#REF!,"AAAAADvv7zA=",0)</f>
        <v>#REF!</v>
      </c>
      <c r="AX273" t="e">
        <f>IF(#REF!,"AAAAADvv7zE=",0)</f>
        <v>#REF!</v>
      </c>
      <c r="AY273" t="e">
        <f>IF(#REF!,"AAAAADvv7zI=",0)</f>
        <v>#REF!</v>
      </c>
      <c r="AZ273" t="e">
        <f>IF(#REF!,"AAAAADvv7zM=",0)</f>
        <v>#REF!</v>
      </c>
      <c r="BA273" t="e">
        <f>IF(#REF!,"AAAAADvv7zQ=",0)</f>
        <v>#REF!</v>
      </c>
      <c r="BB273" t="e">
        <f>IF(#REF!,"AAAAADvv7zU=",0)</f>
        <v>#REF!</v>
      </c>
      <c r="BC273" t="e">
        <f>IF(#REF!,"AAAAADvv7zY=",0)</f>
        <v>#REF!</v>
      </c>
      <c r="BD273" t="e">
        <f>IF(#REF!,"AAAAADvv7zc=",0)</f>
        <v>#REF!</v>
      </c>
      <c r="BE273" t="e">
        <f>IF(#REF!,"AAAAADvv7zg=",0)</f>
        <v>#REF!</v>
      </c>
      <c r="BF273" t="e">
        <f>IF(#REF!,"AAAAADvv7zk=",0)</f>
        <v>#REF!</v>
      </c>
      <c r="BG273" t="e">
        <f>IF(#REF!,"AAAAADvv7zo=",0)</f>
        <v>#REF!</v>
      </c>
      <c r="BH273" t="e">
        <f>IF(#REF!,"AAAAADvv7zs=",0)</f>
        <v>#REF!</v>
      </c>
      <c r="BI273" t="e">
        <f>IF(#REF!,"AAAAADvv7zw=",0)</f>
        <v>#REF!</v>
      </c>
      <c r="BJ273" t="e">
        <f>IF(#REF!,"AAAAADvv7z0=",0)</f>
        <v>#REF!</v>
      </c>
      <c r="BK273" t="e">
        <f>IF(#REF!,"AAAAADvv7z4=",0)</f>
        <v>#REF!</v>
      </c>
      <c r="BL273" t="e">
        <f>IF(#REF!,"AAAAADvv7z8=",0)</f>
        <v>#REF!</v>
      </c>
      <c r="BM273" t="e">
        <f>IF(#REF!,"AAAAADvv70A=",0)</f>
        <v>#REF!</v>
      </c>
      <c r="BN273" t="e">
        <f>IF(#REF!,"AAAAADvv70E=",0)</f>
        <v>#REF!</v>
      </c>
      <c r="BO273" t="e">
        <f>IF(#REF!,"AAAAADvv70I=",0)</f>
        <v>#REF!</v>
      </c>
      <c r="BP273" t="e">
        <f>IF(#REF!,"AAAAADvv70M=",0)</f>
        <v>#REF!</v>
      </c>
      <c r="BQ273" t="e">
        <f>IF(#REF!,"AAAAADvv70Q=",0)</f>
        <v>#REF!</v>
      </c>
      <c r="BR273" t="e">
        <f>IF(#REF!,"AAAAADvv70U=",0)</f>
        <v>#REF!</v>
      </c>
      <c r="BS273" t="e">
        <f>IF(#REF!,"AAAAADvv70Y=",0)</f>
        <v>#REF!</v>
      </c>
      <c r="BT273" t="e">
        <f>IF(#REF!,"AAAAADvv70c=",0)</f>
        <v>#REF!</v>
      </c>
      <c r="BU273" t="e">
        <f>IF(#REF!,"AAAAADvv70g=",0)</f>
        <v>#REF!</v>
      </c>
      <c r="BV273" t="e">
        <f>IF(#REF!,"AAAAADvv70k=",0)</f>
        <v>#REF!</v>
      </c>
      <c r="BW273" t="e">
        <f>IF(#REF!,"AAAAADvv70o=",0)</f>
        <v>#REF!</v>
      </c>
      <c r="BX273" t="e">
        <f>IF(#REF!,"AAAAADvv70s=",0)</f>
        <v>#REF!</v>
      </c>
      <c r="BY273" t="e">
        <f>IF(#REF!,"AAAAADvv70w=",0)</f>
        <v>#REF!</v>
      </c>
      <c r="BZ273" t="e">
        <f>IF(#REF!,"AAAAADvv700=",0)</f>
        <v>#REF!</v>
      </c>
      <c r="CA273" t="e">
        <f>IF(#REF!,"AAAAADvv704=",0)</f>
        <v>#REF!</v>
      </c>
      <c r="CB273" t="e">
        <f>IF(#REF!,"AAAAADvv708=",0)</f>
        <v>#REF!</v>
      </c>
      <c r="CC273" t="e">
        <f>IF(#REF!,"AAAAADvv71A=",0)</f>
        <v>#REF!</v>
      </c>
      <c r="CD273" t="e">
        <f>IF(#REF!,"AAAAADvv71E=",0)</f>
        <v>#REF!</v>
      </c>
      <c r="CE273" t="e">
        <f>IF(#REF!,"AAAAADvv71I=",0)</f>
        <v>#REF!</v>
      </c>
      <c r="CF273" t="e">
        <f>IF(#REF!,"AAAAADvv71M=",0)</f>
        <v>#REF!</v>
      </c>
      <c r="CG273" t="e">
        <f>IF(#REF!,"AAAAADvv71Q=",0)</f>
        <v>#REF!</v>
      </c>
      <c r="CH273" t="e">
        <f>IF(#REF!,"AAAAADvv71U=",0)</f>
        <v>#REF!</v>
      </c>
      <c r="CI273" t="e">
        <f>IF(#REF!,"AAAAADvv71Y=",0)</f>
        <v>#REF!</v>
      </c>
      <c r="CJ273" t="e">
        <f>IF(#REF!,"AAAAADvv71c=",0)</f>
        <v>#REF!</v>
      </c>
      <c r="CK273" t="e">
        <f>IF(#REF!,"AAAAADvv71g=",0)</f>
        <v>#REF!</v>
      </c>
      <c r="CL273" t="e">
        <f>IF(#REF!,"AAAAADvv71k=",0)</f>
        <v>#REF!</v>
      </c>
      <c r="CM273" t="e">
        <f>IF(#REF!,"AAAAADvv71o=",0)</f>
        <v>#REF!</v>
      </c>
      <c r="CN273" t="e">
        <f>IF(#REF!,"AAAAADvv71s=",0)</f>
        <v>#REF!</v>
      </c>
      <c r="CO273" t="e">
        <f>IF(#REF!,"AAAAADvv71w=",0)</f>
        <v>#REF!</v>
      </c>
      <c r="CP273" t="e">
        <f>IF(#REF!,"AAAAADvv710=",0)</f>
        <v>#REF!</v>
      </c>
      <c r="CQ273" t="e">
        <f>IF(#REF!,"AAAAADvv714=",0)</f>
        <v>#REF!</v>
      </c>
      <c r="CR273" t="e">
        <f>IF(#REF!,"AAAAADvv718=",0)</f>
        <v>#REF!</v>
      </c>
      <c r="CS273" t="e">
        <f>IF(#REF!,"AAAAADvv72A=",0)</f>
        <v>#REF!</v>
      </c>
      <c r="CT273" t="e">
        <f>IF(#REF!,"AAAAADvv72E=",0)</f>
        <v>#REF!</v>
      </c>
      <c r="CU273" t="e">
        <f>IF(#REF!,"AAAAADvv72I=",0)</f>
        <v>#REF!</v>
      </c>
      <c r="CV273" t="e">
        <f>IF(#REF!,"AAAAADvv72M=",0)</f>
        <v>#REF!</v>
      </c>
      <c r="CW273" t="e">
        <f>IF(#REF!,"AAAAADvv72Q=",0)</f>
        <v>#REF!</v>
      </c>
      <c r="CX273" t="e">
        <f>IF(#REF!,"AAAAADvv72U=",0)</f>
        <v>#REF!</v>
      </c>
      <c r="CY273" t="e">
        <f>IF(#REF!,"AAAAADvv72Y=",0)</f>
        <v>#REF!</v>
      </c>
      <c r="CZ273" t="e">
        <f>IF(#REF!,"AAAAADvv72c=",0)</f>
        <v>#REF!</v>
      </c>
      <c r="DA273" t="e">
        <f>IF(#REF!,"AAAAADvv72g=",0)</f>
        <v>#REF!</v>
      </c>
      <c r="DB273" t="e">
        <f>IF(#REF!,"AAAAADvv72k=",0)</f>
        <v>#REF!</v>
      </c>
      <c r="DC273" t="e">
        <f>IF(#REF!,"AAAAADvv72o=",0)</f>
        <v>#REF!</v>
      </c>
      <c r="DD273" t="e">
        <f>IF(#REF!,"AAAAADvv72s=",0)</f>
        <v>#REF!</v>
      </c>
      <c r="DE273" t="e">
        <f>IF(#REF!,"AAAAADvv72w=",0)</f>
        <v>#REF!</v>
      </c>
      <c r="DF273" t="e">
        <f>IF(#REF!,"AAAAADvv720=",0)</f>
        <v>#REF!</v>
      </c>
      <c r="DG273" t="e">
        <f>IF(#REF!,"AAAAADvv724=",0)</f>
        <v>#REF!</v>
      </c>
      <c r="DH273" t="e">
        <f>IF(#REF!,"AAAAADvv728=",0)</f>
        <v>#REF!</v>
      </c>
      <c r="DI273" t="e">
        <f>IF(#REF!,"AAAAADvv73A=",0)</f>
        <v>#REF!</v>
      </c>
      <c r="DJ273" t="e">
        <f>IF(#REF!,"AAAAADvv73E=",0)</f>
        <v>#REF!</v>
      </c>
      <c r="DK273" t="e">
        <f>IF(#REF!,"AAAAADvv73I=",0)</f>
        <v>#REF!</v>
      </c>
      <c r="DL273" t="e">
        <f>IF(#REF!,"AAAAADvv73M=",0)</f>
        <v>#REF!</v>
      </c>
      <c r="DM273" t="e">
        <f>IF(#REF!,"AAAAADvv73Q=",0)</f>
        <v>#REF!</v>
      </c>
      <c r="DN273" t="e">
        <f>IF(#REF!,"AAAAADvv73U=",0)</f>
        <v>#REF!</v>
      </c>
      <c r="DO273" t="e">
        <f>IF(#REF!,"AAAAADvv73Y=",0)</f>
        <v>#REF!</v>
      </c>
      <c r="DP273" t="e">
        <f>IF(#REF!,"AAAAADvv73c=",0)</f>
        <v>#REF!</v>
      </c>
      <c r="DQ273" t="e">
        <f>IF(#REF!,"AAAAADvv73g=",0)</f>
        <v>#REF!</v>
      </c>
      <c r="DR273" t="e">
        <f>IF(#REF!,"AAAAADvv73k=",0)</f>
        <v>#REF!</v>
      </c>
      <c r="DS273" t="e">
        <f>IF(#REF!,"AAAAADvv73o=",0)</f>
        <v>#REF!</v>
      </c>
      <c r="DT273" t="e">
        <f>IF(#REF!,"AAAAADvv73s=",0)</f>
        <v>#REF!</v>
      </c>
      <c r="DU273" t="e">
        <f>IF(#REF!,"AAAAADvv73w=",0)</f>
        <v>#REF!</v>
      </c>
      <c r="DV273" t="e">
        <f>IF(#REF!,"AAAAADvv730=",0)</f>
        <v>#REF!</v>
      </c>
      <c r="DW273" t="e">
        <f>IF(#REF!,"AAAAADvv734=",0)</f>
        <v>#REF!</v>
      </c>
      <c r="DX273" t="e">
        <f>IF(#REF!,"AAAAADvv738=",0)</f>
        <v>#REF!</v>
      </c>
      <c r="DY273" t="e">
        <f>IF(#REF!,"AAAAADvv74A=",0)</f>
        <v>#REF!</v>
      </c>
      <c r="DZ273" t="e">
        <f>IF(#REF!,"AAAAADvv74E=",0)</f>
        <v>#REF!</v>
      </c>
      <c r="EA273" t="e">
        <f>IF(#REF!,"AAAAADvv74I=",0)</f>
        <v>#REF!</v>
      </c>
      <c r="EB273" t="e">
        <f>IF(#REF!,"AAAAADvv74M=",0)</f>
        <v>#REF!</v>
      </c>
      <c r="EC273" t="e">
        <f>IF(#REF!,"AAAAADvv74Q=",0)</f>
        <v>#REF!</v>
      </c>
      <c r="ED273" t="e">
        <f>IF(#REF!,"AAAAADvv74U=",0)</f>
        <v>#REF!</v>
      </c>
      <c r="EE273" t="e">
        <f>IF(#REF!,"AAAAADvv74Y=",0)</f>
        <v>#REF!</v>
      </c>
      <c r="EF273" t="e">
        <f>IF(#REF!,"AAAAADvv74c=",0)</f>
        <v>#REF!</v>
      </c>
      <c r="EG273" t="e">
        <f>IF(#REF!,"AAAAADvv74g=",0)</f>
        <v>#REF!</v>
      </c>
      <c r="EH273" t="e">
        <f>IF(#REF!,"AAAAADvv74k=",0)</f>
        <v>#REF!</v>
      </c>
      <c r="EI273" t="e">
        <f>IF(#REF!,"AAAAADvv74o=",0)</f>
        <v>#REF!</v>
      </c>
      <c r="EJ273" t="e">
        <f>IF(#REF!,"AAAAADvv74s=",0)</f>
        <v>#REF!</v>
      </c>
      <c r="EK273" t="e">
        <f>IF(#REF!,"AAAAADvv74w=",0)</f>
        <v>#REF!</v>
      </c>
      <c r="EL273" t="e">
        <f>IF(#REF!,"AAAAADvv740=",0)</f>
        <v>#REF!</v>
      </c>
      <c r="EM273" t="e">
        <f>IF(#REF!,"AAAAADvv744=",0)</f>
        <v>#REF!</v>
      </c>
      <c r="EN273" t="e">
        <f>IF(#REF!,"AAAAADvv748=",0)</f>
        <v>#REF!</v>
      </c>
      <c r="EO273" t="e">
        <f>IF(#REF!,"AAAAADvv75A=",0)</f>
        <v>#REF!</v>
      </c>
      <c r="EP273" t="e">
        <f>IF(#REF!,"AAAAADvv75E=",0)</f>
        <v>#REF!</v>
      </c>
      <c r="EQ273" t="e">
        <f>IF(#REF!,"AAAAADvv75I=",0)</f>
        <v>#REF!</v>
      </c>
      <c r="ER273" t="e">
        <f>IF(#REF!,"AAAAADvv75M=",0)</f>
        <v>#REF!</v>
      </c>
      <c r="ES273" t="e">
        <f>IF(#REF!,"AAAAADvv75Q=",0)</f>
        <v>#REF!</v>
      </c>
      <c r="ET273" t="e">
        <f>IF(#REF!,"AAAAADvv75U=",0)</f>
        <v>#REF!</v>
      </c>
      <c r="EU273" t="e">
        <f>IF(#REF!,"AAAAADvv75Y=",0)</f>
        <v>#REF!</v>
      </c>
      <c r="EV273" t="e">
        <f>IF(#REF!,"AAAAADvv75c=",0)</f>
        <v>#REF!</v>
      </c>
      <c r="EW273" t="e">
        <f>IF(#REF!,"AAAAADvv75g=",0)</f>
        <v>#REF!</v>
      </c>
      <c r="EX273" t="e">
        <f>IF(#REF!,"AAAAADvv75k=",0)</f>
        <v>#REF!</v>
      </c>
      <c r="EY273" t="e">
        <f>IF(#REF!,"AAAAADvv75o=",0)</f>
        <v>#REF!</v>
      </c>
      <c r="EZ273" t="e">
        <f>IF(#REF!,"AAAAADvv75s=",0)</f>
        <v>#REF!</v>
      </c>
      <c r="FA273" t="e">
        <f>IF(#REF!,"AAAAADvv75w=",0)</f>
        <v>#REF!</v>
      </c>
      <c r="FB273" t="e">
        <f>IF(#REF!,"AAAAADvv750=",0)</f>
        <v>#REF!</v>
      </c>
      <c r="FC273" t="e">
        <f>IF(#REF!,"AAAAADvv754=",0)</f>
        <v>#REF!</v>
      </c>
      <c r="FD273" t="e">
        <f>IF(#REF!,"AAAAADvv758=",0)</f>
        <v>#REF!</v>
      </c>
      <c r="FE273" t="e">
        <f>IF(#REF!,"AAAAADvv76A=",0)</f>
        <v>#REF!</v>
      </c>
      <c r="FF273" t="e">
        <f>IF(#REF!,"AAAAADvv76E=",0)</f>
        <v>#REF!</v>
      </c>
      <c r="FG273" t="e">
        <f>IF(#REF!,"AAAAADvv76I=",0)</f>
        <v>#REF!</v>
      </c>
      <c r="FH273" t="e">
        <f>IF(#REF!,"AAAAADvv76M=",0)</f>
        <v>#REF!</v>
      </c>
      <c r="FI273" t="e">
        <f>IF(#REF!,"AAAAADvv76Q=",0)</f>
        <v>#REF!</v>
      </c>
      <c r="FJ273" t="e">
        <f>IF(#REF!,"AAAAADvv76U=",0)</f>
        <v>#REF!</v>
      </c>
      <c r="FK273" t="e">
        <f>IF(#REF!,"AAAAADvv76Y=",0)</f>
        <v>#REF!</v>
      </c>
      <c r="FL273" t="e">
        <f>IF(#REF!,"AAAAADvv76c=",0)</f>
        <v>#REF!</v>
      </c>
      <c r="FM273" t="e">
        <f>IF(#REF!,"AAAAADvv76g=",0)</f>
        <v>#REF!</v>
      </c>
      <c r="FN273" t="e">
        <f>IF(#REF!,"AAAAADvv76k=",0)</f>
        <v>#REF!</v>
      </c>
      <c r="FO273" t="e">
        <f>IF(#REF!,"AAAAADvv76o=",0)</f>
        <v>#REF!</v>
      </c>
      <c r="FP273" t="e">
        <f>IF(#REF!,"AAAAADvv76s=",0)</f>
        <v>#REF!</v>
      </c>
      <c r="FQ273" t="e">
        <f>IF(#REF!,"AAAAADvv76w=",0)</f>
        <v>#REF!</v>
      </c>
      <c r="FR273" t="e">
        <f>IF(#REF!,"AAAAADvv760=",0)</f>
        <v>#REF!</v>
      </c>
      <c r="FS273" t="e">
        <f>IF(#REF!,"AAAAADvv764=",0)</f>
        <v>#REF!</v>
      </c>
      <c r="FT273" t="e">
        <f>IF(#REF!,"AAAAADvv768=",0)</f>
        <v>#REF!</v>
      </c>
      <c r="FU273" t="e">
        <f>IF(#REF!,"AAAAADvv77A=",0)</f>
        <v>#REF!</v>
      </c>
      <c r="FV273" t="e">
        <f>IF(#REF!,"AAAAADvv77E=",0)</f>
        <v>#REF!</v>
      </c>
      <c r="FW273" t="e">
        <f>IF(#REF!,"AAAAADvv77I=",0)</f>
        <v>#REF!</v>
      </c>
      <c r="FX273" t="e">
        <f>IF(#REF!,"AAAAADvv77M=",0)</f>
        <v>#REF!</v>
      </c>
      <c r="FY273" t="e">
        <f>IF(#REF!,"AAAAADvv77Q=",0)</f>
        <v>#REF!</v>
      </c>
      <c r="FZ273" t="e">
        <f>IF(#REF!,"AAAAADvv77U=",0)</f>
        <v>#REF!</v>
      </c>
      <c r="GA273" t="e">
        <f>IF(#REF!,"AAAAADvv77Y=",0)</f>
        <v>#REF!</v>
      </c>
      <c r="GB273" t="e">
        <f>IF(#REF!,"AAAAADvv77c=",0)</f>
        <v>#REF!</v>
      </c>
      <c r="GC273" t="e">
        <f>IF(#REF!,"AAAAADvv77g=",0)</f>
        <v>#REF!</v>
      </c>
      <c r="GD273" t="e">
        <f>IF(#REF!,"AAAAADvv77k=",0)</f>
        <v>#REF!</v>
      </c>
      <c r="GE273" t="e">
        <f>IF(#REF!,"AAAAADvv77o=",0)</f>
        <v>#REF!</v>
      </c>
      <c r="GF273" t="e">
        <f>IF(#REF!,"AAAAADvv77s=",0)</f>
        <v>#REF!</v>
      </c>
      <c r="GG273" t="e">
        <f>IF(#REF!,"AAAAADvv77w=",0)</f>
        <v>#REF!</v>
      </c>
      <c r="GH273" t="e">
        <f>IF(#REF!,"AAAAADvv770=",0)</f>
        <v>#REF!</v>
      </c>
      <c r="GI273" t="e">
        <f>IF(#REF!,"AAAAADvv774=",0)</f>
        <v>#REF!</v>
      </c>
      <c r="GJ273" t="e">
        <f>IF(#REF!,"AAAAADvv778=",0)</f>
        <v>#REF!</v>
      </c>
      <c r="GK273" t="e">
        <f>IF(#REF!,"AAAAADvv78A=",0)</f>
        <v>#REF!</v>
      </c>
      <c r="GL273" t="e">
        <f>IF(#REF!,"AAAAADvv78E=",0)</f>
        <v>#REF!</v>
      </c>
      <c r="GM273" t="e">
        <f>IF(#REF!,"AAAAADvv78I=",0)</f>
        <v>#REF!</v>
      </c>
      <c r="GN273" t="e">
        <f>IF(#REF!,"AAAAADvv78M=",0)</f>
        <v>#REF!</v>
      </c>
      <c r="GO273" t="e">
        <f>IF(#REF!,"AAAAADvv78Q=",0)</f>
        <v>#REF!</v>
      </c>
      <c r="GP273" t="e">
        <f>IF(#REF!,"AAAAADvv78U=",0)</f>
        <v>#REF!</v>
      </c>
      <c r="GQ273" t="e">
        <f>IF(#REF!,"AAAAADvv78Y=",0)</f>
        <v>#REF!</v>
      </c>
      <c r="GR273" t="e">
        <f>IF(#REF!,"AAAAADvv78c=",0)</f>
        <v>#REF!</v>
      </c>
      <c r="GS273" t="e">
        <f>IF(#REF!,"AAAAADvv78g=",0)</f>
        <v>#REF!</v>
      </c>
      <c r="GT273" t="e">
        <f>IF(#REF!,"AAAAADvv78k=",0)</f>
        <v>#REF!</v>
      </c>
      <c r="GU273" t="e">
        <f>IF(#REF!,"AAAAADvv78o=",0)</f>
        <v>#REF!</v>
      </c>
      <c r="GV273" t="e">
        <f>IF(#REF!,"AAAAADvv78s=",0)</f>
        <v>#REF!</v>
      </c>
      <c r="GW273" t="e">
        <f>IF(#REF!,"AAAAADvv78w=",0)</f>
        <v>#REF!</v>
      </c>
      <c r="GX273" t="e">
        <f>IF(#REF!,"AAAAADvv780=",0)</f>
        <v>#REF!</v>
      </c>
      <c r="GY273" t="e">
        <f>IF(#REF!,"AAAAADvv784=",0)</f>
        <v>#REF!</v>
      </c>
      <c r="GZ273" t="e">
        <f>IF(#REF!,"AAAAADvv788=",0)</f>
        <v>#REF!</v>
      </c>
      <c r="HA273" t="e">
        <f>IF(#REF!,"AAAAADvv79A=",0)</f>
        <v>#REF!</v>
      </c>
      <c r="HB273" t="e">
        <f>IF(#REF!,"AAAAADvv79E=",0)</f>
        <v>#REF!</v>
      </c>
      <c r="HC273" t="e">
        <f>IF(#REF!,"AAAAADvv79I=",0)</f>
        <v>#REF!</v>
      </c>
      <c r="HD273" t="e">
        <f>IF(#REF!,"AAAAADvv79M=",0)</f>
        <v>#REF!</v>
      </c>
      <c r="HE273" t="e">
        <f>IF(#REF!,"AAAAADvv79Q=",0)</f>
        <v>#REF!</v>
      </c>
      <c r="HF273" t="e">
        <f>IF(#REF!,"AAAAADvv79U=",0)</f>
        <v>#REF!</v>
      </c>
      <c r="HG273" t="e">
        <f>IF(#REF!,"AAAAADvv79Y=",0)</f>
        <v>#REF!</v>
      </c>
      <c r="HH273" t="e">
        <f>IF(#REF!,"AAAAADvv79c=",0)</f>
        <v>#REF!</v>
      </c>
      <c r="HI273" t="e">
        <f>IF(#REF!,"AAAAADvv79g=",0)</f>
        <v>#REF!</v>
      </c>
      <c r="HJ273" t="e">
        <f>IF(#REF!,"AAAAADvv79k=",0)</f>
        <v>#REF!</v>
      </c>
      <c r="HK273" t="e">
        <f>IF(#REF!,"AAAAADvv79o=",0)</f>
        <v>#REF!</v>
      </c>
      <c r="HL273" t="e">
        <f>IF(#REF!,"AAAAADvv79s=",0)</f>
        <v>#REF!</v>
      </c>
      <c r="HM273" t="e">
        <f>IF(#REF!,"AAAAADvv79w=",0)</f>
        <v>#REF!</v>
      </c>
      <c r="HN273" t="e">
        <f>IF(#REF!,"AAAAADvv790=",0)</f>
        <v>#REF!</v>
      </c>
      <c r="HO273" t="e">
        <f>IF(#REF!,"AAAAADvv794=",0)</f>
        <v>#REF!</v>
      </c>
      <c r="HP273" t="e">
        <f>IF(#REF!,"AAAAADvv798=",0)</f>
        <v>#REF!</v>
      </c>
      <c r="HQ273" t="e">
        <f>IF(#REF!,"AAAAADvv7+A=",0)</f>
        <v>#REF!</v>
      </c>
      <c r="HR273" t="e">
        <f>IF(#REF!,"AAAAADvv7+E=",0)</f>
        <v>#REF!</v>
      </c>
      <c r="HS273" t="e">
        <f>IF(#REF!,"AAAAADvv7+I=",0)</f>
        <v>#REF!</v>
      </c>
      <c r="HT273" t="e">
        <f>IF(#REF!,"AAAAADvv7+M=",0)</f>
        <v>#REF!</v>
      </c>
      <c r="HU273" t="e">
        <f>IF(#REF!,"AAAAADvv7+Q=",0)</f>
        <v>#REF!</v>
      </c>
      <c r="HV273" t="e">
        <f>IF(#REF!,"AAAAADvv7+U=",0)</f>
        <v>#REF!</v>
      </c>
      <c r="HW273" t="e">
        <f>IF(#REF!,"AAAAADvv7+Y=",0)</f>
        <v>#REF!</v>
      </c>
      <c r="HX273" t="e">
        <f>IF(#REF!,"AAAAADvv7+c=",0)</f>
        <v>#REF!</v>
      </c>
      <c r="HY273" t="e">
        <f>IF(#REF!,"AAAAADvv7+g=",0)</f>
        <v>#REF!</v>
      </c>
      <c r="HZ273" t="e">
        <f>IF(#REF!,"AAAAADvv7+k=",0)</f>
        <v>#REF!</v>
      </c>
      <c r="IA273" t="e">
        <f>IF(#REF!,"AAAAADvv7+o=",0)</f>
        <v>#REF!</v>
      </c>
      <c r="IB273" t="e">
        <f>IF(#REF!,"AAAAADvv7+s=",0)</f>
        <v>#REF!</v>
      </c>
      <c r="IC273" t="e">
        <f>IF(#REF!,"AAAAADvv7+w=",0)</f>
        <v>#REF!</v>
      </c>
      <c r="ID273" t="e">
        <f>IF(#REF!,"AAAAADvv7+0=",0)</f>
        <v>#REF!</v>
      </c>
      <c r="IE273" t="e">
        <f>IF(#REF!,"AAAAADvv7+4=",0)</f>
        <v>#REF!</v>
      </c>
      <c r="IF273" t="e">
        <f>IF(#REF!,"AAAAADvv7+8=",0)</f>
        <v>#REF!</v>
      </c>
      <c r="IG273" t="e">
        <f>IF(#REF!,"AAAAADvv7/A=",0)</f>
        <v>#REF!</v>
      </c>
      <c r="IH273" t="e">
        <f>IF(#REF!,"AAAAADvv7/E=",0)</f>
        <v>#REF!</v>
      </c>
      <c r="II273" t="e">
        <f>IF(#REF!,"AAAAADvv7/I=",0)</f>
        <v>#REF!</v>
      </c>
      <c r="IJ273" t="e">
        <f>IF(#REF!,"AAAAADvv7/M=",0)</f>
        <v>#REF!</v>
      </c>
      <c r="IK273" t="e">
        <f>IF(#REF!,"AAAAADvv7/Q=",0)</f>
        <v>#REF!</v>
      </c>
      <c r="IL273" t="e">
        <f>IF(#REF!,"AAAAADvv7/U=",0)</f>
        <v>#REF!</v>
      </c>
      <c r="IM273" t="e">
        <f>IF(#REF!,"AAAAADvv7/Y=",0)</f>
        <v>#REF!</v>
      </c>
      <c r="IN273" t="e">
        <f>IF(#REF!,"AAAAADvv7/c=",0)</f>
        <v>#REF!</v>
      </c>
      <c r="IO273" t="e">
        <f>IF(#REF!,"AAAAADvv7/g=",0)</f>
        <v>#REF!</v>
      </c>
      <c r="IP273" t="e">
        <f>IF(#REF!,"AAAAADvv7/k=",0)</f>
        <v>#REF!</v>
      </c>
      <c r="IQ273" t="e">
        <f>IF(#REF!,"AAAAADvv7/o=",0)</f>
        <v>#REF!</v>
      </c>
      <c r="IR273" t="e">
        <f>IF(#REF!,"AAAAADvv7/s=",0)</f>
        <v>#REF!</v>
      </c>
      <c r="IS273" t="e">
        <f>IF(#REF!,"AAAAADvv7/w=",0)</f>
        <v>#REF!</v>
      </c>
      <c r="IT273" t="e">
        <f>IF(#REF!,"AAAAADvv7/0=",0)</f>
        <v>#REF!</v>
      </c>
      <c r="IU273" t="e">
        <f>IF(#REF!,"AAAAADvv7/4=",0)</f>
        <v>#REF!</v>
      </c>
      <c r="IV273" t="e">
        <f>IF(#REF!,"AAAAADvv7/8=",0)</f>
        <v>#REF!</v>
      </c>
    </row>
    <row r="274" spans="1:256">
      <c r="A274" t="e">
        <f>IF(#REF!,"AAAAAG/49gA=",0)</f>
        <v>#REF!</v>
      </c>
      <c r="B274" t="e">
        <f>IF(#REF!,"AAAAAG/49gE=",0)</f>
        <v>#REF!</v>
      </c>
      <c r="C274" t="e">
        <f>IF(#REF!,"AAAAAG/49gI=",0)</f>
        <v>#REF!</v>
      </c>
      <c r="D274" t="e">
        <f>IF(#REF!,"AAAAAG/49gM=",0)</f>
        <v>#REF!</v>
      </c>
      <c r="E274" t="e">
        <f>IF(#REF!,"AAAAAG/49gQ=",0)</f>
        <v>#REF!</v>
      </c>
      <c r="F274" t="e">
        <f>IF(#REF!,"AAAAAG/49gU=",0)</f>
        <v>#REF!</v>
      </c>
      <c r="G274" t="e">
        <f>IF(#REF!,"AAAAAG/49gY=",0)</f>
        <v>#REF!</v>
      </c>
      <c r="H274" t="e">
        <f>IF(#REF!,"AAAAAG/49gc=",0)</f>
        <v>#REF!</v>
      </c>
      <c r="I274" t="e">
        <f>IF(#REF!,"AAAAAG/49gg=",0)</f>
        <v>#REF!</v>
      </c>
      <c r="J274" t="e">
        <f>IF(#REF!,"AAAAAG/49gk=",0)</f>
        <v>#REF!</v>
      </c>
      <c r="K274" t="e">
        <f>IF(#REF!,"AAAAAG/49go=",0)</f>
        <v>#REF!</v>
      </c>
      <c r="L274" t="e">
        <f>IF(#REF!,"AAAAAG/49gs=",0)</f>
        <v>#REF!</v>
      </c>
      <c r="M274" t="e">
        <f>IF(#REF!,"AAAAAG/49gw=",0)</f>
        <v>#REF!</v>
      </c>
      <c r="N274" t="e">
        <f>IF(#REF!,"AAAAAG/49g0=",0)</f>
        <v>#REF!</v>
      </c>
      <c r="O274" t="e">
        <f>IF(#REF!,"AAAAAG/49g4=",0)</f>
        <v>#REF!</v>
      </c>
      <c r="P274" t="e">
        <f>IF(#REF!,"AAAAAG/49g8=",0)</f>
        <v>#REF!</v>
      </c>
      <c r="Q274" t="e">
        <f>IF(#REF!,"AAAAAG/49hA=",0)</f>
        <v>#REF!</v>
      </c>
      <c r="R274" t="e">
        <f>IF(#REF!,"AAAAAG/49hE=",0)</f>
        <v>#REF!</v>
      </c>
      <c r="S274" t="e">
        <f>IF(#REF!,"AAAAAG/49hI=",0)</f>
        <v>#REF!</v>
      </c>
      <c r="T274" t="e">
        <f>IF(#REF!,"AAAAAG/49hM=",0)</f>
        <v>#REF!</v>
      </c>
      <c r="U274" t="e">
        <f>IF(#REF!,"AAAAAG/49hQ=",0)</f>
        <v>#REF!</v>
      </c>
      <c r="V274" t="e">
        <f>IF(#REF!,"AAAAAG/49hU=",0)</f>
        <v>#REF!</v>
      </c>
      <c r="W274" t="e">
        <f>IF(#REF!,"AAAAAG/49hY=",0)</f>
        <v>#REF!</v>
      </c>
      <c r="X274" t="e">
        <f>IF(#REF!,"AAAAAG/49hc=",0)</f>
        <v>#REF!</v>
      </c>
      <c r="Y274" t="e">
        <f>IF(#REF!,"AAAAAG/49hg=",0)</f>
        <v>#REF!</v>
      </c>
      <c r="Z274" t="e">
        <f>IF(#REF!,"AAAAAG/49hk=",0)</f>
        <v>#REF!</v>
      </c>
      <c r="AA274" t="e">
        <f>IF(#REF!,"AAAAAG/49ho=",0)</f>
        <v>#REF!</v>
      </c>
      <c r="AB274" t="e">
        <f>IF(#REF!,"AAAAAG/49hs=",0)</f>
        <v>#REF!</v>
      </c>
      <c r="AC274" t="e">
        <f>IF(#REF!,"AAAAAG/49hw=",0)</f>
        <v>#REF!</v>
      </c>
      <c r="AD274" t="e">
        <f>IF(#REF!,"AAAAAG/49h0=",0)</f>
        <v>#REF!</v>
      </c>
      <c r="AE274" t="e">
        <f>IF(#REF!,"AAAAAG/49h4=",0)</f>
        <v>#REF!</v>
      </c>
      <c r="AF274" t="e">
        <f>IF(#REF!,"AAAAAG/49h8=",0)</f>
        <v>#REF!</v>
      </c>
      <c r="AG274" t="e">
        <f>IF(#REF!,"AAAAAG/49iA=",0)</f>
        <v>#REF!</v>
      </c>
      <c r="AH274" t="e">
        <f>IF(#REF!,"AAAAAG/49iE=",0)</f>
        <v>#REF!</v>
      </c>
      <c r="AI274" t="e">
        <f>IF(#REF!,"AAAAAG/49iI=",0)</f>
        <v>#REF!</v>
      </c>
      <c r="AJ274" t="e">
        <f>IF(#REF!,"AAAAAG/49iM=",0)</f>
        <v>#REF!</v>
      </c>
      <c r="AK274" t="e">
        <f>IF(#REF!,"AAAAAG/49iQ=",0)</f>
        <v>#REF!</v>
      </c>
      <c r="AL274" t="e">
        <f>IF(#REF!,"AAAAAG/49iU=",0)</f>
        <v>#REF!</v>
      </c>
      <c r="AM274" t="e">
        <f>IF(#REF!,"AAAAAG/49iY=",0)</f>
        <v>#REF!</v>
      </c>
      <c r="AN274" t="e">
        <f>IF(#REF!,"AAAAAG/49ic=",0)</f>
        <v>#REF!</v>
      </c>
      <c r="AO274" t="e">
        <f>IF(#REF!,"AAAAAG/49ig=",0)</f>
        <v>#REF!</v>
      </c>
      <c r="AP274" t="e">
        <f>IF(#REF!,"AAAAAG/49ik=",0)</f>
        <v>#REF!</v>
      </c>
      <c r="AQ274" t="e">
        <f>IF(#REF!,"AAAAAG/49io=",0)</f>
        <v>#REF!</v>
      </c>
      <c r="AR274" t="e">
        <f>IF(#REF!,"AAAAAG/49is=",0)</f>
        <v>#REF!</v>
      </c>
      <c r="AS274" t="e">
        <f>IF(#REF!,"AAAAAG/49iw=",0)</f>
        <v>#REF!</v>
      </c>
      <c r="AT274" t="e">
        <f>IF(#REF!,"AAAAAG/49i0=",0)</f>
        <v>#REF!</v>
      </c>
      <c r="AU274" t="e">
        <f>IF(#REF!,"AAAAAG/49i4=",0)</f>
        <v>#REF!</v>
      </c>
      <c r="AV274" t="e">
        <f>IF(#REF!,"AAAAAG/49i8=",0)</f>
        <v>#REF!</v>
      </c>
      <c r="AW274" t="e">
        <f>IF(#REF!,"AAAAAG/49jA=",0)</f>
        <v>#REF!</v>
      </c>
      <c r="AX274" t="e">
        <f>IF(#REF!,"AAAAAG/49jE=",0)</f>
        <v>#REF!</v>
      </c>
      <c r="AY274" t="e">
        <f>IF(#REF!,"AAAAAG/49jI=",0)</f>
        <v>#REF!</v>
      </c>
      <c r="AZ274" t="e">
        <f>IF(#REF!,"AAAAAG/49jM=",0)</f>
        <v>#REF!</v>
      </c>
      <c r="BA274" t="e">
        <f>IF(#REF!,"AAAAAG/49jQ=",0)</f>
        <v>#REF!</v>
      </c>
      <c r="BB274" t="e">
        <f>IF(#REF!,"AAAAAG/49jU=",0)</f>
        <v>#REF!</v>
      </c>
      <c r="BC274" t="e">
        <f>IF(#REF!,"AAAAAG/49jY=",0)</f>
        <v>#REF!</v>
      </c>
      <c r="BD274" t="e">
        <f>IF(#REF!,"AAAAAG/49jc=",0)</f>
        <v>#REF!</v>
      </c>
      <c r="BE274" t="e">
        <f>IF(#REF!,"AAAAAG/49jg=",0)</f>
        <v>#REF!</v>
      </c>
      <c r="BF274" t="e">
        <f>IF(#REF!,"AAAAAG/49jk=",0)</f>
        <v>#REF!</v>
      </c>
      <c r="BG274" t="e">
        <f>IF(#REF!,"AAAAAG/49jo=",0)</f>
        <v>#REF!</v>
      </c>
      <c r="BH274" t="e">
        <f>IF(#REF!,"AAAAAG/49js=",0)</f>
        <v>#REF!</v>
      </c>
      <c r="BI274" t="e">
        <f>IF(#REF!,"AAAAAG/49jw=",0)</f>
        <v>#REF!</v>
      </c>
      <c r="BJ274" t="e">
        <f>IF(#REF!,"AAAAAG/49j0=",0)</f>
        <v>#REF!</v>
      </c>
      <c r="BK274" t="e">
        <f>IF(#REF!,"AAAAAG/49j4=",0)</f>
        <v>#REF!</v>
      </c>
      <c r="BL274" t="e">
        <f>IF(#REF!,"AAAAAG/49j8=",0)</f>
        <v>#REF!</v>
      </c>
      <c r="BM274" t="e">
        <f>IF(#REF!,"AAAAAG/49kA=",0)</f>
        <v>#REF!</v>
      </c>
      <c r="BN274" t="e">
        <f>IF(#REF!,"AAAAAG/49kE=",0)</f>
        <v>#REF!</v>
      </c>
      <c r="BO274" t="e">
        <f>IF(#REF!,"AAAAAG/49kI=",0)</f>
        <v>#REF!</v>
      </c>
      <c r="BP274" t="e">
        <f>IF(#REF!,"AAAAAG/49kM=",0)</f>
        <v>#REF!</v>
      </c>
      <c r="BQ274" t="e">
        <f>IF(#REF!,"AAAAAG/49kQ=",0)</f>
        <v>#REF!</v>
      </c>
      <c r="BR274" t="e">
        <f>IF(#REF!,"AAAAAG/49kU=",0)</f>
        <v>#REF!</v>
      </c>
      <c r="BS274" t="e">
        <f>IF(#REF!,"AAAAAG/49kY=",0)</f>
        <v>#REF!</v>
      </c>
      <c r="BT274" t="e">
        <f>IF(#REF!,"AAAAAG/49kc=",0)</f>
        <v>#REF!</v>
      </c>
      <c r="BU274" t="e">
        <f>IF(#REF!,"AAAAAG/49kg=",0)</f>
        <v>#REF!</v>
      </c>
      <c r="BV274" t="e">
        <f>IF(#REF!,"AAAAAG/49kk=",0)</f>
        <v>#REF!</v>
      </c>
      <c r="BW274" t="e">
        <f>IF(#REF!,"AAAAAG/49ko=",0)</f>
        <v>#REF!</v>
      </c>
      <c r="BX274" t="e">
        <f>IF(#REF!,"AAAAAG/49ks=",0)</f>
        <v>#REF!</v>
      </c>
      <c r="BY274" t="e">
        <f>IF(#REF!,"AAAAAG/49kw=",0)</f>
        <v>#REF!</v>
      </c>
      <c r="BZ274" t="e">
        <f>IF(#REF!,"AAAAAG/49k0=",0)</f>
        <v>#REF!</v>
      </c>
      <c r="CA274" t="e">
        <f>IF(#REF!,"AAAAAG/49k4=",0)</f>
        <v>#REF!</v>
      </c>
      <c r="CB274" t="e">
        <f>IF(#REF!,"AAAAAG/49k8=",0)</f>
        <v>#REF!</v>
      </c>
      <c r="CC274" t="e">
        <f>IF(#REF!,"AAAAAG/49lA=",0)</f>
        <v>#REF!</v>
      </c>
      <c r="CD274" t="e">
        <f>IF(#REF!,"AAAAAG/49lE=",0)</f>
        <v>#REF!</v>
      </c>
      <c r="CE274" t="e">
        <f>IF(#REF!,"AAAAAG/49lI=",0)</f>
        <v>#REF!</v>
      </c>
      <c r="CF274" t="e">
        <f>IF(#REF!,"AAAAAG/49lM=",0)</f>
        <v>#REF!</v>
      </c>
      <c r="CG274" t="e">
        <f>IF(#REF!,"AAAAAG/49lQ=",0)</f>
        <v>#REF!</v>
      </c>
      <c r="CH274" t="e">
        <f>IF(#REF!,"AAAAAG/49lU=",0)</f>
        <v>#REF!</v>
      </c>
      <c r="CI274" t="e">
        <f>IF(#REF!,"AAAAAG/49lY=",0)</f>
        <v>#REF!</v>
      </c>
      <c r="CJ274" t="e">
        <f>IF(#REF!,"AAAAAG/49lc=",0)</f>
        <v>#REF!</v>
      </c>
      <c r="CK274" t="e">
        <f>IF(#REF!,"AAAAAG/49lg=",0)</f>
        <v>#REF!</v>
      </c>
      <c r="CL274" t="e">
        <f>IF(#REF!,"AAAAAG/49lk=",0)</f>
        <v>#REF!</v>
      </c>
      <c r="CM274" t="e">
        <f>IF(#REF!,"AAAAAG/49lo=",0)</f>
        <v>#REF!</v>
      </c>
      <c r="CN274" t="e">
        <f>IF(#REF!,"AAAAAG/49ls=",0)</f>
        <v>#REF!</v>
      </c>
      <c r="CO274" t="e">
        <f>IF(#REF!,"AAAAAG/49lw=",0)</f>
        <v>#REF!</v>
      </c>
      <c r="CP274" t="e">
        <f>IF(#REF!,"AAAAAG/49l0=",0)</f>
        <v>#REF!</v>
      </c>
      <c r="CQ274" t="e">
        <f>IF(#REF!,"AAAAAG/49l4=",0)</f>
        <v>#REF!</v>
      </c>
      <c r="CR274" t="e">
        <f>IF(#REF!,"AAAAAG/49l8=",0)</f>
        <v>#REF!</v>
      </c>
      <c r="CS274" t="e">
        <f>IF(#REF!,"AAAAAG/49mA=",0)</f>
        <v>#REF!</v>
      </c>
      <c r="CT274" t="e">
        <f>IF(#REF!,"AAAAAG/49mE=",0)</f>
        <v>#REF!</v>
      </c>
      <c r="CU274" t="e">
        <f>IF(#REF!,"AAAAAG/49mI=",0)</f>
        <v>#REF!</v>
      </c>
      <c r="CV274" t="e">
        <f>IF(#REF!,"AAAAAG/49mM=",0)</f>
        <v>#REF!</v>
      </c>
      <c r="CW274" t="e">
        <f>IF(#REF!,"AAAAAG/49mQ=",0)</f>
        <v>#REF!</v>
      </c>
      <c r="CX274" t="e">
        <f>IF(#REF!,"AAAAAG/49mU=",0)</f>
        <v>#REF!</v>
      </c>
      <c r="CY274" t="e">
        <f>IF(#REF!,"AAAAAG/49mY=",0)</f>
        <v>#REF!</v>
      </c>
      <c r="CZ274" t="e">
        <f>IF(#REF!,"AAAAAG/49mc=",0)</f>
        <v>#REF!</v>
      </c>
      <c r="DA274" t="e">
        <f>IF(#REF!,"AAAAAG/49mg=",0)</f>
        <v>#REF!</v>
      </c>
      <c r="DB274" t="e">
        <f>IF(#REF!,"AAAAAG/49mk=",0)</f>
        <v>#REF!</v>
      </c>
      <c r="DC274" t="e">
        <f>IF(#REF!,"AAAAAG/49mo=",0)</f>
        <v>#REF!</v>
      </c>
      <c r="DD274" t="e">
        <f>IF(#REF!,"AAAAAG/49ms=",0)</f>
        <v>#REF!</v>
      </c>
      <c r="DE274" t="e">
        <f>IF(#REF!,"AAAAAG/49mw=",0)</f>
        <v>#REF!</v>
      </c>
      <c r="DF274" t="e">
        <f>IF(#REF!,"AAAAAG/49m0=",0)</f>
        <v>#REF!</v>
      </c>
      <c r="DG274" t="e">
        <f>IF(#REF!,"AAAAAG/49m4=",0)</f>
        <v>#REF!</v>
      </c>
      <c r="DH274" t="e">
        <f>IF(#REF!,"AAAAAG/49m8=",0)</f>
        <v>#REF!</v>
      </c>
      <c r="DI274" t="e">
        <f>IF(#REF!,"AAAAAG/49nA=",0)</f>
        <v>#REF!</v>
      </c>
      <c r="DJ274" t="e">
        <f>IF(#REF!,"AAAAAG/49nE=",0)</f>
        <v>#REF!</v>
      </c>
      <c r="DK274" t="e">
        <f>IF(#REF!,"AAAAAG/49nI=",0)</f>
        <v>#REF!</v>
      </c>
      <c r="DL274" t="e">
        <f>IF(#REF!,"AAAAAG/49nM=",0)</f>
        <v>#REF!</v>
      </c>
      <c r="DM274" t="e">
        <f>IF(#REF!,"AAAAAG/49nQ=",0)</f>
        <v>#REF!</v>
      </c>
      <c r="DN274" t="e">
        <f>IF(#REF!,"AAAAAG/49nU=",0)</f>
        <v>#REF!</v>
      </c>
      <c r="DO274" t="e">
        <f>IF(#REF!,"AAAAAG/49nY=",0)</f>
        <v>#REF!</v>
      </c>
      <c r="DP274" t="e">
        <f>IF(#REF!,"AAAAAG/49nc=",0)</f>
        <v>#REF!</v>
      </c>
      <c r="DQ274" t="e">
        <f>IF(#REF!,"AAAAAG/49ng=",0)</f>
        <v>#REF!</v>
      </c>
      <c r="DR274" t="e">
        <f>IF(#REF!,"AAAAAG/49nk=",0)</f>
        <v>#REF!</v>
      </c>
      <c r="DS274" t="e">
        <f>IF(#REF!,"AAAAAG/49no=",0)</f>
        <v>#REF!</v>
      </c>
      <c r="DT274" t="e">
        <f>IF(#REF!,"AAAAAG/49ns=",0)</f>
        <v>#REF!</v>
      </c>
      <c r="DU274" t="e">
        <f>IF(#REF!,"AAAAAG/49nw=",0)</f>
        <v>#REF!</v>
      </c>
      <c r="DV274" t="e">
        <f>IF(#REF!,"AAAAAG/49n0=",0)</f>
        <v>#REF!</v>
      </c>
      <c r="DW274" t="e">
        <f>IF(#REF!,"AAAAAG/49n4=",0)</f>
        <v>#REF!</v>
      </c>
      <c r="DX274" t="e">
        <f>IF(#REF!,"AAAAAG/49n8=",0)</f>
        <v>#REF!</v>
      </c>
      <c r="DY274" t="e">
        <f>IF(#REF!,"AAAAAG/49oA=",0)</f>
        <v>#REF!</v>
      </c>
      <c r="DZ274" t="e">
        <f>IF(#REF!,"AAAAAG/49oE=",0)</f>
        <v>#REF!</v>
      </c>
      <c r="EA274" t="e">
        <f>IF(#REF!,"AAAAAG/49oI=",0)</f>
        <v>#REF!</v>
      </c>
      <c r="EB274" t="e">
        <f>IF(#REF!,"AAAAAG/49oM=",0)</f>
        <v>#REF!</v>
      </c>
      <c r="EC274" t="e">
        <f>IF(#REF!,"AAAAAG/49oQ=",0)</f>
        <v>#REF!</v>
      </c>
      <c r="ED274" t="e">
        <f>IF(#REF!,"AAAAAG/49oU=",0)</f>
        <v>#REF!</v>
      </c>
      <c r="EE274" t="e">
        <f>IF(#REF!,"AAAAAG/49oY=",0)</f>
        <v>#REF!</v>
      </c>
      <c r="EF274" t="e">
        <f>IF(#REF!,"AAAAAG/49oc=",0)</f>
        <v>#REF!</v>
      </c>
      <c r="EG274" t="e">
        <f>IF(#REF!,"AAAAAG/49og=",0)</f>
        <v>#REF!</v>
      </c>
      <c r="EH274" t="e">
        <f>IF(#REF!,"AAAAAG/49ok=",0)</f>
        <v>#REF!</v>
      </c>
      <c r="EI274" t="e">
        <f>IF(#REF!,"AAAAAG/49oo=",0)</f>
        <v>#REF!</v>
      </c>
      <c r="EJ274" t="e">
        <f>IF(#REF!,"AAAAAG/49os=",0)</f>
        <v>#REF!</v>
      </c>
      <c r="EK274" t="e">
        <f>IF(#REF!,"AAAAAG/49ow=",0)</f>
        <v>#REF!</v>
      </c>
      <c r="EL274" t="e">
        <f>IF(#REF!,"AAAAAG/49o0=",0)</f>
        <v>#REF!</v>
      </c>
      <c r="EM274" t="e">
        <f>IF(#REF!,"AAAAAG/49o4=",0)</f>
        <v>#REF!</v>
      </c>
      <c r="EN274" t="e">
        <f>IF(#REF!,"AAAAAG/49o8=",0)</f>
        <v>#REF!</v>
      </c>
      <c r="EO274" t="e">
        <f>IF(#REF!,"AAAAAG/49pA=",0)</f>
        <v>#REF!</v>
      </c>
      <c r="EP274" t="e">
        <f>IF(#REF!,"AAAAAG/49pE=",0)</f>
        <v>#REF!</v>
      </c>
      <c r="EQ274" t="e">
        <f>IF(#REF!,"AAAAAG/49pI=",0)</f>
        <v>#REF!</v>
      </c>
      <c r="ER274" t="e">
        <f>IF(#REF!,"AAAAAG/49pM=",0)</f>
        <v>#REF!</v>
      </c>
      <c r="ES274" t="e">
        <f>IF(#REF!,"AAAAAG/49pQ=",0)</f>
        <v>#REF!</v>
      </c>
      <c r="ET274" t="e">
        <f>IF(#REF!,"AAAAAG/49pU=",0)</f>
        <v>#REF!</v>
      </c>
      <c r="EU274" t="e">
        <f>IF(#REF!,"AAAAAG/49pY=",0)</f>
        <v>#REF!</v>
      </c>
      <c r="EV274" t="e">
        <f>IF(#REF!,"AAAAAG/49pc=",0)</f>
        <v>#REF!</v>
      </c>
      <c r="EW274" t="e">
        <f>IF(#REF!,"AAAAAG/49pg=",0)</f>
        <v>#REF!</v>
      </c>
      <c r="EX274" t="e">
        <f>IF(#REF!,"AAAAAG/49pk=",0)</f>
        <v>#REF!</v>
      </c>
      <c r="EY274" t="e">
        <f>IF(#REF!,"AAAAAG/49po=",0)</f>
        <v>#REF!</v>
      </c>
      <c r="EZ274" t="e">
        <f>IF(#REF!,"AAAAAG/49ps=",0)</f>
        <v>#REF!</v>
      </c>
      <c r="FA274" t="e">
        <f>IF(#REF!,"AAAAAG/49pw=",0)</f>
        <v>#REF!</v>
      </c>
      <c r="FB274" t="e">
        <f>IF(#REF!,"AAAAAG/49p0=",0)</f>
        <v>#REF!</v>
      </c>
      <c r="FC274" t="e">
        <f>IF(#REF!,"AAAAAG/49p4=",0)</f>
        <v>#REF!</v>
      </c>
      <c r="FD274" t="e">
        <f>IF(#REF!,"AAAAAG/49p8=",0)</f>
        <v>#REF!</v>
      </c>
      <c r="FE274" t="e">
        <f>IF(#REF!,"AAAAAG/49qA=",0)</f>
        <v>#REF!</v>
      </c>
      <c r="FF274" t="e">
        <f>IF(#REF!,"AAAAAG/49qE=",0)</f>
        <v>#REF!</v>
      </c>
      <c r="FG274" t="e">
        <f>IF(#REF!,"AAAAAG/49qI=",0)</f>
        <v>#REF!</v>
      </c>
      <c r="FH274" t="e">
        <f>IF(#REF!,"AAAAAG/49qM=",0)</f>
        <v>#REF!</v>
      </c>
      <c r="FI274" t="e">
        <f>IF(#REF!,"AAAAAG/49qQ=",0)</f>
        <v>#REF!</v>
      </c>
      <c r="FJ274" t="e">
        <f>IF(#REF!,"AAAAAG/49qU=",0)</f>
        <v>#REF!</v>
      </c>
      <c r="FK274" t="e">
        <f>IF(#REF!,"AAAAAG/49qY=",0)</f>
        <v>#REF!</v>
      </c>
      <c r="FL274" t="e">
        <f>IF(#REF!,"AAAAAG/49qc=",0)</f>
        <v>#REF!</v>
      </c>
      <c r="FM274" t="e">
        <f>IF(#REF!,"AAAAAG/49qg=",0)</f>
        <v>#REF!</v>
      </c>
      <c r="FN274" t="e">
        <f>IF(#REF!,"AAAAAG/49qk=",0)</f>
        <v>#REF!</v>
      </c>
      <c r="FO274" t="e">
        <f>IF(#REF!,"AAAAAG/49qo=",0)</f>
        <v>#REF!</v>
      </c>
      <c r="FP274" t="e">
        <f>IF(#REF!,"AAAAAG/49qs=",0)</f>
        <v>#REF!</v>
      </c>
      <c r="FQ274" t="e">
        <f>IF(#REF!,"AAAAAG/49qw=",0)</f>
        <v>#REF!</v>
      </c>
      <c r="FR274" t="e">
        <f>IF(#REF!,"AAAAAG/49q0=",0)</f>
        <v>#REF!</v>
      </c>
      <c r="FS274" t="e">
        <f>IF(#REF!,"AAAAAG/49q4=",0)</f>
        <v>#REF!</v>
      </c>
      <c r="FT274" t="e">
        <f>IF(#REF!,"AAAAAG/49q8=",0)</f>
        <v>#REF!</v>
      </c>
      <c r="FU274" t="e">
        <f>IF(#REF!,"AAAAAG/49rA=",0)</f>
        <v>#REF!</v>
      </c>
      <c r="FV274" t="e">
        <f>IF(#REF!,"AAAAAG/49rE=",0)</f>
        <v>#REF!</v>
      </c>
      <c r="FW274" t="e">
        <f>IF(#REF!,"AAAAAG/49rI=",0)</f>
        <v>#REF!</v>
      </c>
      <c r="FX274" t="e">
        <f>IF(#REF!,"AAAAAG/49rM=",0)</f>
        <v>#REF!</v>
      </c>
      <c r="FY274" t="e">
        <f>IF(#REF!,"AAAAAG/49rQ=",0)</f>
        <v>#REF!</v>
      </c>
      <c r="FZ274" t="e">
        <f>IF(#REF!,"AAAAAG/49rU=",0)</f>
        <v>#REF!</v>
      </c>
      <c r="GA274" t="e">
        <f>IF(#REF!,"AAAAAG/49rY=",0)</f>
        <v>#REF!</v>
      </c>
      <c r="GB274" t="e">
        <f>IF(#REF!,"AAAAAG/49rc=",0)</f>
        <v>#REF!</v>
      </c>
      <c r="GC274" t="e">
        <f>IF(#REF!,"AAAAAG/49rg=",0)</f>
        <v>#REF!</v>
      </c>
      <c r="GD274" t="e">
        <f>IF(#REF!,"AAAAAG/49rk=",0)</f>
        <v>#REF!</v>
      </c>
      <c r="GE274" t="e">
        <f>IF(#REF!,"AAAAAG/49ro=",0)</f>
        <v>#REF!</v>
      </c>
      <c r="GF274" t="e">
        <f>IF(#REF!,"AAAAAG/49rs=",0)</f>
        <v>#REF!</v>
      </c>
      <c r="GG274" t="e">
        <f>IF(#REF!,"AAAAAG/49rw=",0)</f>
        <v>#REF!</v>
      </c>
      <c r="GH274" t="e">
        <f>IF(#REF!,"AAAAAG/49r0=",0)</f>
        <v>#REF!</v>
      </c>
      <c r="GI274" t="e">
        <f>IF(#REF!,"AAAAAG/49r4=",0)</f>
        <v>#REF!</v>
      </c>
      <c r="GJ274" t="e">
        <f>IF(#REF!,"AAAAAG/49r8=",0)</f>
        <v>#REF!</v>
      </c>
      <c r="GK274" t="e">
        <f>IF(#REF!,"AAAAAG/49sA=",0)</f>
        <v>#REF!</v>
      </c>
      <c r="GL274" t="e">
        <f>IF(#REF!,"AAAAAG/49sE=",0)</f>
        <v>#REF!</v>
      </c>
      <c r="GM274" t="e">
        <f>IF(#REF!,"AAAAAG/49sI=",0)</f>
        <v>#REF!</v>
      </c>
      <c r="GN274" t="e">
        <f>IF(#REF!,"AAAAAG/49sM=",0)</f>
        <v>#REF!</v>
      </c>
      <c r="GO274" t="e">
        <f>IF(#REF!,"AAAAAG/49sQ=",0)</f>
        <v>#REF!</v>
      </c>
      <c r="GP274" t="e">
        <f>IF(#REF!,"AAAAAG/49sU=",0)</f>
        <v>#REF!</v>
      </c>
      <c r="GQ274" t="e">
        <f>IF(#REF!,"AAAAAG/49sY=",0)</f>
        <v>#REF!</v>
      </c>
      <c r="GR274" t="e">
        <f>IF(#REF!,"AAAAAG/49sc=",0)</f>
        <v>#REF!</v>
      </c>
      <c r="GS274" t="e">
        <f>IF(#REF!,"AAAAAG/49sg=",0)</f>
        <v>#REF!</v>
      </c>
      <c r="GT274" t="e">
        <f>IF(#REF!,"AAAAAG/49sk=",0)</f>
        <v>#REF!</v>
      </c>
      <c r="GU274" t="e">
        <f>IF(#REF!,"AAAAAG/49so=",0)</f>
        <v>#REF!</v>
      </c>
      <c r="GV274" t="e">
        <f>IF(#REF!,"AAAAAG/49ss=",0)</f>
        <v>#REF!</v>
      </c>
      <c r="GW274" t="e">
        <f>IF(#REF!,"AAAAAG/49sw=",0)</f>
        <v>#REF!</v>
      </c>
      <c r="GX274" t="e">
        <f>IF(#REF!,"AAAAAG/49s0=",0)</f>
        <v>#REF!</v>
      </c>
      <c r="GY274" t="e">
        <f>IF(#REF!,"AAAAAG/49s4=",0)</f>
        <v>#REF!</v>
      </c>
      <c r="GZ274" t="e">
        <f>IF(#REF!,"AAAAAG/49s8=",0)</f>
        <v>#REF!</v>
      </c>
      <c r="HA274" t="e">
        <f>IF(#REF!,"AAAAAG/49tA=",0)</f>
        <v>#REF!</v>
      </c>
      <c r="HB274" t="e">
        <f>IF(#REF!,"AAAAAG/49tE=",0)</f>
        <v>#REF!</v>
      </c>
      <c r="HC274" t="e">
        <f>IF(#REF!,"AAAAAG/49tI=",0)</f>
        <v>#REF!</v>
      </c>
      <c r="HD274" t="e">
        <f>IF(#REF!,"AAAAAG/49tM=",0)</f>
        <v>#REF!</v>
      </c>
      <c r="HE274" t="e">
        <f>IF(#REF!,"AAAAAG/49tQ=",0)</f>
        <v>#REF!</v>
      </c>
      <c r="HF274" t="e">
        <f>IF(#REF!,"AAAAAG/49tU=",0)</f>
        <v>#REF!</v>
      </c>
      <c r="HG274" t="e">
        <f>IF(#REF!,"AAAAAG/49tY=",0)</f>
        <v>#REF!</v>
      </c>
      <c r="HH274" t="e">
        <f>IF(#REF!,"AAAAAG/49tc=",0)</f>
        <v>#REF!</v>
      </c>
      <c r="HI274" t="e">
        <f>IF(#REF!,"AAAAAG/49tg=",0)</f>
        <v>#REF!</v>
      </c>
      <c r="HJ274" t="e">
        <f>IF(#REF!,"AAAAAG/49tk=",0)</f>
        <v>#REF!</v>
      </c>
      <c r="HK274" t="e">
        <f>IF(#REF!,"AAAAAG/49to=",0)</f>
        <v>#REF!</v>
      </c>
      <c r="HL274" t="e">
        <f>IF(#REF!,"AAAAAG/49ts=",0)</f>
        <v>#REF!</v>
      </c>
      <c r="HM274" t="e">
        <f>IF(#REF!,"AAAAAG/49tw=",0)</f>
        <v>#REF!</v>
      </c>
      <c r="HN274" t="e">
        <f>IF(#REF!,"AAAAAG/49t0=",0)</f>
        <v>#REF!</v>
      </c>
      <c r="HO274" t="e">
        <f>IF(#REF!,"AAAAAG/49t4=",0)</f>
        <v>#REF!</v>
      </c>
      <c r="HP274" t="e">
        <f>IF(#REF!,"AAAAAG/49t8=",0)</f>
        <v>#REF!</v>
      </c>
      <c r="HQ274" t="e">
        <f>IF(#REF!,"AAAAAG/49uA=",0)</f>
        <v>#REF!</v>
      </c>
      <c r="HR274" t="e">
        <f>IF(#REF!,"AAAAAG/49uE=",0)</f>
        <v>#REF!</v>
      </c>
      <c r="HS274" t="e">
        <f>IF(#REF!,"AAAAAG/49uI=",0)</f>
        <v>#REF!</v>
      </c>
      <c r="HT274" t="e">
        <f>IF(#REF!,"AAAAAG/49uM=",0)</f>
        <v>#REF!</v>
      </c>
      <c r="HU274" t="e">
        <f>IF(#REF!,"AAAAAG/49uQ=",0)</f>
        <v>#REF!</v>
      </c>
      <c r="HV274" t="e">
        <f>IF(#REF!,"AAAAAG/49uU=",0)</f>
        <v>#REF!</v>
      </c>
      <c r="HW274" t="e">
        <f>IF(#REF!,"AAAAAG/49uY=",0)</f>
        <v>#REF!</v>
      </c>
      <c r="HX274" t="e">
        <f>IF(#REF!,"AAAAAG/49uc=",0)</f>
        <v>#REF!</v>
      </c>
      <c r="HY274" t="e">
        <f>IF(#REF!,"AAAAAG/49ug=",0)</f>
        <v>#REF!</v>
      </c>
      <c r="HZ274" t="e">
        <f>IF(#REF!,"AAAAAG/49uk=",0)</f>
        <v>#REF!</v>
      </c>
      <c r="IA274" t="e">
        <f>IF(#REF!,"AAAAAG/49uo=",0)</f>
        <v>#REF!</v>
      </c>
      <c r="IB274" t="e">
        <f>IF(#REF!,"AAAAAG/49us=",0)</f>
        <v>#REF!</v>
      </c>
      <c r="IC274" t="e">
        <f>IF(#REF!,"AAAAAG/49uw=",0)</f>
        <v>#REF!</v>
      </c>
      <c r="ID274" t="e">
        <f>IF(#REF!,"AAAAAG/49u0=",0)</f>
        <v>#REF!</v>
      </c>
      <c r="IE274" t="e">
        <f>IF(#REF!,"AAAAAG/49u4=",0)</f>
        <v>#REF!</v>
      </c>
      <c r="IF274" t="e">
        <f>IF(#REF!,"AAAAAG/49u8=",0)</f>
        <v>#REF!</v>
      </c>
      <c r="IG274" t="e">
        <f>IF(#REF!,"AAAAAG/49vA=",0)</f>
        <v>#REF!</v>
      </c>
      <c r="IH274" t="e">
        <f>IF(#REF!,"AAAAAG/49vE=",0)</f>
        <v>#REF!</v>
      </c>
      <c r="II274" t="e">
        <f>IF(#REF!,"AAAAAG/49vI=",0)</f>
        <v>#REF!</v>
      </c>
      <c r="IJ274" t="e">
        <f>IF(#REF!,"AAAAAG/49vM=",0)</f>
        <v>#REF!</v>
      </c>
      <c r="IK274" t="e">
        <f>IF(#REF!,"AAAAAG/49vQ=",0)</f>
        <v>#REF!</v>
      </c>
      <c r="IL274" t="e">
        <f>IF(#REF!,"AAAAAG/49vU=",0)</f>
        <v>#REF!</v>
      </c>
      <c r="IM274" t="e">
        <f>IF(#REF!,"AAAAAG/49vY=",0)</f>
        <v>#REF!</v>
      </c>
      <c r="IN274" t="e">
        <f>IF(#REF!,"AAAAAG/49vc=",0)</f>
        <v>#REF!</v>
      </c>
      <c r="IO274" t="e">
        <f>IF(#REF!,"AAAAAG/49vg=",0)</f>
        <v>#REF!</v>
      </c>
      <c r="IP274" t="e">
        <f>IF(#REF!,"AAAAAG/49vk=",0)</f>
        <v>#REF!</v>
      </c>
      <c r="IQ274" t="e">
        <f>IF(#REF!,"AAAAAG/49vo=",0)</f>
        <v>#REF!</v>
      </c>
      <c r="IR274" t="e">
        <f>IF(#REF!,"AAAAAG/49vs=",0)</f>
        <v>#REF!</v>
      </c>
      <c r="IS274" t="e">
        <f>IF(#REF!,"AAAAAG/49vw=",0)</f>
        <v>#REF!</v>
      </c>
      <c r="IT274" t="e">
        <f>IF(#REF!,"AAAAAG/49v0=",0)</f>
        <v>#REF!</v>
      </c>
      <c r="IU274" t="e">
        <f>IF(#REF!,"AAAAAG/49v4=",0)</f>
        <v>#REF!</v>
      </c>
      <c r="IV274" t="e">
        <f>IF(#REF!,"AAAAAG/49v8=",0)</f>
        <v>#REF!</v>
      </c>
    </row>
    <row r="275" spans="1:256">
      <c r="A275" t="e">
        <f>IF(#REF!,"AAAAABr/ywA=",0)</f>
        <v>#REF!</v>
      </c>
      <c r="B275" t="e">
        <f>IF(#REF!,"AAAAABr/ywE=",0)</f>
        <v>#REF!</v>
      </c>
      <c r="C275" t="e">
        <f>IF(#REF!,"AAAAABr/ywI=",0)</f>
        <v>#REF!</v>
      </c>
      <c r="D275" t="e">
        <f>IF(#REF!,"AAAAABr/ywM=",0)</f>
        <v>#REF!</v>
      </c>
      <c r="E275" t="e">
        <f>IF(#REF!,"AAAAABr/ywQ=",0)</f>
        <v>#REF!</v>
      </c>
      <c r="F275" t="e">
        <f>IF(#REF!,"AAAAABr/ywU=",0)</f>
        <v>#REF!</v>
      </c>
      <c r="G275" t="e">
        <f>IF(#REF!,"AAAAABr/ywY=",0)</f>
        <v>#REF!</v>
      </c>
      <c r="H275" t="e">
        <f>IF(#REF!,"AAAAABr/ywc=",0)</f>
        <v>#REF!</v>
      </c>
      <c r="I275" t="e">
        <f>IF(#REF!,"AAAAABr/ywg=",0)</f>
        <v>#REF!</v>
      </c>
      <c r="J275" t="e">
        <f>IF(#REF!,"AAAAABr/ywk=",0)</f>
        <v>#REF!</v>
      </c>
      <c r="K275" t="e">
        <f>IF(#REF!,"AAAAABr/ywo=",0)</f>
        <v>#REF!</v>
      </c>
      <c r="L275" t="e">
        <f>IF(#REF!,"AAAAABr/yws=",0)</f>
        <v>#REF!</v>
      </c>
      <c r="M275" t="e">
        <f>IF(#REF!,"AAAAABr/yww=",0)</f>
        <v>#REF!</v>
      </c>
      <c r="N275" t="e">
        <f>IF(#REF!,"AAAAABr/yw0=",0)</f>
        <v>#REF!</v>
      </c>
      <c r="O275" t="e">
        <f>IF(#REF!,"AAAAABr/yw4=",0)</f>
        <v>#REF!</v>
      </c>
      <c r="P275" t="e">
        <f>IF(#REF!,"AAAAABr/yw8=",0)</f>
        <v>#REF!</v>
      </c>
      <c r="Q275" t="e">
        <f>IF(#REF!,"AAAAABr/yxA=",0)</f>
        <v>#REF!</v>
      </c>
      <c r="R275" t="e">
        <f>IF(#REF!,"AAAAABr/yxE=",0)</f>
        <v>#REF!</v>
      </c>
      <c r="S275" t="e">
        <f>IF(#REF!,"AAAAABr/yxI=",0)</f>
        <v>#REF!</v>
      </c>
      <c r="T275" t="e">
        <f>IF(#REF!,"AAAAABr/yxM=",0)</f>
        <v>#REF!</v>
      </c>
      <c r="U275" t="e">
        <f>IF(#REF!,"AAAAABr/yxQ=",0)</f>
        <v>#REF!</v>
      </c>
      <c r="V275" t="e">
        <f>IF(#REF!,"AAAAABr/yxU=",0)</f>
        <v>#REF!</v>
      </c>
      <c r="W275" t="e">
        <f>IF(#REF!,"AAAAABr/yxY=",0)</f>
        <v>#REF!</v>
      </c>
      <c r="X275" t="e">
        <f>IF(#REF!,"AAAAABr/yxc=",0)</f>
        <v>#REF!</v>
      </c>
      <c r="Y275" t="e">
        <f>IF(#REF!,"AAAAABr/yxg=",0)</f>
        <v>#REF!</v>
      </c>
      <c r="Z275" t="e">
        <f>IF(#REF!,"AAAAABr/yxk=",0)</f>
        <v>#REF!</v>
      </c>
      <c r="AA275" t="e">
        <f>IF(#REF!,"AAAAABr/yxo=",0)</f>
        <v>#REF!</v>
      </c>
      <c r="AB275" t="e">
        <f>IF(#REF!,"AAAAABr/yxs=",0)</f>
        <v>#REF!</v>
      </c>
      <c r="AC275" t="e">
        <f>IF(#REF!,"AAAAABr/yxw=",0)</f>
        <v>#REF!</v>
      </c>
      <c r="AD275" t="e">
        <f>IF(#REF!,"AAAAABr/yx0=",0)</f>
        <v>#REF!</v>
      </c>
      <c r="AE275" t="e">
        <f>IF(#REF!,"AAAAABr/yx4=",0)</f>
        <v>#REF!</v>
      </c>
      <c r="AF275" t="e">
        <f>IF(#REF!,"AAAAABr/yx8=",0)</f>
        <v>#REF!</v>
      </c>
      <c r="AG275" t="e">
        <f>IF(#REF!,"AAAAABr/yyA=",0)</f>
        <v>#REF!</v>
      </c>
      <c r="AH275" t="e">
        <f>IF(#REF!,"AAAAABr/yyE=",0)</f>
        <v>#REF!</v>
      </c>
      <c r="AI275" t="e">
        <f>IF(#REF!,"AAAAABr/yyI=",0)</f>
        <v>#REF!</v>
      </c>
      <c r="AJ275" t="e">
        <f>IF(#REF!,"AAAAABr/yyM=",0)</f>
        <v>#REF!</v>
      </c>
      <c r="AK275" t="e">
        <f>IF(#REF!,"AAAAABr/yyQ=",0)</f>
        <v>#REF!</v>
      </c>
      <c r="AL275" t="e">
        <f>IF(#REF!,"AAAAABr/yyU=",0)</f>
        <v>#REF!</v>
      </c>
      <c r="AM275" t="e">
        <f>IF(#REF!,"AAAAABr/yyY=",0)</f>
        <v>#REF!</v>
      </c>
      <c r="AN275" t="e">
        <f>IF(#REF!,"AAAAABr/yyc=",0)</f>
        <v>#REF!</v>
      </c>
      <c r="AO275" t="e">
        <f>IF(#REF!,"AAAAABr/yyg=",0)</f>
        <v>#REF!</v>
      </c>
      <c r="AP275" t="e">
        <f>IF(#REF!,"AAAAABr/yyk=",0)</f>
        <v>#REF!</v>
      </c>
      <c r="AQ275" t="e">
        <f>IF(#REF!,"AAAAABr/yyo=",0)</f>
        <v>#REF!</v>
      </c>
      <c r="AR275" t="e">
        <f>IF(#REF!,"AAAAABr/yys=",0)</f>
        <v>#REF!</v>
      </c>
      <c r="AS275" t="e">
        <f>IF(#REF!,"AAAAABr/yyw=",0)</f>
        <v>#REF!</v>
      </c>
      <c r="AT275" t="e">
        <f>IF(#REF!,"AAAAABr/yy0=",0)</f>
        <v>#REF!</v>
      </c>
      <c r="AU275" t="e">
        <f>IF(#REF!,"AAAAABr/yy4=",0)</f>
        <v>#REF!</v>
      </c>
      <c r="AV275" t="e">
        <f>IF(#REF!,"AAAAABr/yy8=",0)</f>
        <v>#REF!</v>
      </c>
      <c r="AW275" t="e">
        <f>IF(#REF!,"AAAAABr/yzA=",0)</f>
        <v>#REF!</v>
      </c>
      <c r="AX275" t="e">
        <f>IF(#REF!,"AAAAABr/yzE=",0)</f>
        <v>#REF!</v>
      </c>
      <c r="AY275" t="e">
        <f>IF(#REF!,"AAAAABr/yzI=",0)</f>
        <v>#REF!</v>
      </c>
      <c r="AZ275" t="e">
        <f>IF(#REF!,"AAAAABr/yzM=",0)</f>
        <v>#REF!</v>
      </c>
      <c r="BA275" t="e">
        <f>IF(#REF!,"AAAAABr/yzQ=",0)</f>
        <v>#REF!</v>
      </c>
      <c r="BB275" t="e">
        <f>IF(#REF!,"AAAAABr/yzU=",0)</f>
        <v>#REF!</v>
      </c>
      <c r="BC275" t="e">
        <f>IF(#REF!,"AAAAABr/yzY=",0)</f>
        <v>#REF!</v>
      </c>
      <c r="BD275" t="e">
        <f>IF(#REF!,"AAAAABr/yzc=",0)</f>
        <v>#REF!</v>
      </c>
      <c r="BE275" t="e">
        <f>IF(#REF!,"AAAAABr/yzg=",0)</f>
        <v>#REF!</v>
      </c>
      <c r="BF275" t="e">
        <f>IF(#REF!,"AAAAABr/yzk=",0)</f>
        <v>#REF!</v>
      </c>
      <c r="BG275" t="e">
        <f>IF(#REF!,"AAAAABr/yzo=",0)</f>
        <v>#REF!</v>
      </c>
      <c r="BH275" t="e">
        <f>IF(#REF!,"AAAAABr/yzs=",0)</f>
        <v>#REF!</v>
      </c>
      <c r="BI275" t="e">
        <f>IF(#REF!,"AAAAABr/yzw=",0)</f>
        <v>#REF!</v>
      </c>
      <c r="BJ275" t="e">
        <f>IF(#REF!,"AAAAABr/yz0=",0)</f>
        <v>#REF!</v>
      </c>
      <c r="BK275" t="e">
        <f>IF(#REF!,"AAAAABr/yz4=",0)</f>
        <v>#REF!</v>
      </c>
      <c r="BL275" t="e">
        <f>IF(#REF!,"AAAAABr/yz8=",0)</f>
        <v>#REF!</v>
      </c>
      <c r="BM275" t="e">
        <f>IF(#REF!,"AAAAABr/y0A=",0)</f>
        <v>#REF!</v>
      </c>
      <c r="BN275" t="e">
        <f>IF(#REF!,"AAAAABr/y0E=",0)</f>
        <v>#REF!</v>
      </c>
      <c r="BO275" t="e">
        <f>IF(#REF!,"AAAAABr/y0I=",0)</f>
        <v>#REF!</v>
      </c>
      <c r="BP275" t="e">
        <f>IF(#REF!,"AAAAABr/y0M=",0)</f>
        <v>#REF!</v>
      </c>
      <c r="BQ275" t="e">
        <f>IF(#REF!,"AAAAABr/y0Q=",0)</f>
        <v>#REF!</v>
      </c>
      <c r="BR275" t="e">
        <f>IF(#REF!,"AAAAABr/y0U=",0)</f>
        <v>#REF!</v>
      </c>
      <c r="BS275" t="e">
        <f>IF(#REF!,"AAAAABr/y0Y=",0)</f>
        <v>#REF!</v>
      </c>
      <c r="BT275" t="e">
        <f>IF(#REF!,"AAAAABr/y0c=",0)</f>
        <v>#REF!</v>
      </c>
      <c r="BU275" t="e">
        <f>IF(#REF!,"AAAAABr/y0g=",0)</f>
        <v>#REF!</v>
      </c>
      <c r="BV275" t="e">
        <f>IF(#REF!,"AAAAABr/y0k=",0)</f>
        <v>#REF!</v>
      </c>
      <c r="BW275" t="e">
        <f>IF(#REF!,"AAAAABr/y0o=",0)</f>
        <v>#REF!</v>
      </c>
      <c r="BX275" t="e">
        <f>IF(#REF!,"AAAAABr/y0s=",0)</f>
        <v>#REF!</v>
      </c>
      <c r="BY275" t="e">
        <f>IF(#REF!,"AAAAABr/y0w=",0)</f>
        <v>#REF!</v>
      </c>
      <c r="BZ275" t="e">
        <f>IF(#REF!,"AAAAABr/y00=",0)</f>
        <v>#REF!</v>
      </c>
      <c r="CA275" t="e">
        <f>IF(#REF!,"AAAAABr/y04=",0)</f>
        <v>#REF!</v>
      </c>
      <c r="CB275" t="e">
        <f>IF(#REF!,"AAAAABr/y08=",0)</f>
        <v>#REF!</v>
      </c>
      <c r="CC275" t="e">
        <f>IF(#REF!,"AAAAABr/y1A=",0)</f>
        <v>#REF!</v>
      </c>
      <c r="CD275" t="e">
        <f>IF(#REF!,"AAAAABr/y1E=",0)</f>
        <v>#REF!</v>
      </c>
      <c r="CE275" t="e">
        <f>IF(#REF!,"AAAAABr/y1I=",0)</f>
        <v>#REF!</v>
      </c>
      <c r="CF275" t="e">
        <f>IF(#REF!,"AAAAABr/y1M=",0)</f>
        <v>#REF!</v>
      </c>
      <c r="CG275" t="e">
        <f>IF(#REF!,"AAAAABr/y1Q=",0)</f>
        <v>#REF!</v>
      </c>
      <c r="CH275" t="e">
        <f>IF(#REF!,"AAAAABr/y1U=",0)</f>
        <v>#REF!</v>
      </c>
      <c r="CI275" t="e">
        <f>IF(#REF!,"AAAAABr/y1Y=",0)</f>
        <v>#REF!</v>
      </c>
      <c r="CJ275" t="e">
        <f>IF(#REF!,"AAAAABr/y1c=",0)</f>
        <v>#REF!</v>
      </c>
      <c r="CK275" t="e">
        <f>IF(#REF!,"AAAAABr/y1g=",0)</f>
        <v>#REF!</v>
      </c>
      <c r="CL275" t="e">
        <f>IF(#REF!,"AAAAABr/y1k=",0)</f>
        <v>#REF!</v>
      </c>
      <c r="CM275" t="e">
        <f>IF(#REF!,"AAAAABr/y1o=",0)</f>
        <v>#REF!</v>
      </c>
      <c r="CN275" t="e">
        <f>IF(#REF!,"AAAAABr/y1s=",0)</f>
        <v>#REF!</v>
      </c>
      <c r="CO275" t="e">
        <f>IF(#REF!,"AAAAABr/y1w=",0)</f>
        <v>#REF!</v>
      </c>
      <c r="CP275" t="e">
        <f>IF(#REF!,"AAAAABr/y10=",0)</f>
        <v>#REF!</v>
      </c>
      <c r="CQ275" t="e">
        <f>IF(#REF!,"AAAAABr/y14=",0)</f>
        <v>#REF!</v>
      </c>
      <c r="CR275" t="e">
        <f>IF(#REF!,"AAAAABr/y18=",0)</f>
        <v>#REF!</v>
      </c>
      <c r="CS275" t="e">
        <f>IF(#REF!,"AAAAABr/y2A=",0)</f>
        <v>#REF!</v>
      </c>
      <c r="CT275" t="e">
        <f>IF(#REF!,"AAAAABr/y2E=",0)</f>
        <v>#REF!</v>
      </c>
      <c r="CU275" t="e">
        <f>IF(#REF!,"AAAAABr/y2I=",0)</f>
        <v>#REF!</v>
      </c>
      <c r="CV275" t="e">
        <f>IF(#REF!,"AAAAABr/y2M=",0)</f>
        <v>#REF!</v>
      </c>
      <c r="CW275" t="e">
        <f>IF(#REF!,"AAAAABr/y2Q=",0)</f>
        <v>#REF!</v>
      </c>
      <c r="CX275" t="e">
        <f>IF(#REF!,"AAAAABr/y2U=",0)</f>
        <v>#REF!</v>
      </c>
      <c r="CY275" t="e">
        <f>IF(#REF!,"AAAAABr/y2Y=",0)</f>
        <v>#REF!</v>
      </c>
      <c r="CZ275" t="e">
        <f>IF(#REF!,"AAAAABr/y2c=",0)</f>
        <v>#REF!</v>
      </c>
      <c r="DA275" t="e">
        <f>IF(#REF!,"AAAAABr/y2g=",0)</f>
        <v>#REF!</v>
      </c>
      <c r="DB275" t="e">
        <f>IF(#REF!,"AAAAABr/y2k=",0)</f>
        <v>#REF!</v>
      </c>
      <c r="DC275" t="e">
        <f>IF(#REF!,"AAAAABr/y2o=",0)</f>
        <v>#REF!</v>
      </c>
      <c r="DD275" t="e">
        <f>IF(#REF!,"AAAAABr/y2s=",0)</f>
        <v>#REF!</v>
      </c>
      <c r="DE275" t="e">
        <f>IF(#REF!,"AAAAABr/y2w=",0)</f>
        <v>#REF!</v>
      </c>
      <c r="DF275" t="e">
        <f>IF(#REF!,"AAAAABr/y20=",0)</f>
        <v>#REF!</v>
      </c>
      <c r="DG275" t="e">
        <f>IF(#REF!,"AAAAABr/y24=",0)</f>
        <v>#REF!</v>
      </c>
      <c r="DH275" t="e">
        <f>IF(#REF!,"AAAAABr/y28=",0)</f>
        <v>#REF!</v>
      </c>
      <c r="DI275" t="e">
        <f>IF(#REF!,"AAAAABr/y3A=",0)</f>
        <v>#REF!</v>
      </c>
      <c r="DJ275" t="e">
        <f>IF(#REF!,"AAAAABr/y3E=",0)</f>
        <v>#REF!</v>
      </c>
      <c r="DK275" t="e">
        <f>IF(#REF!,"AAAAABr/y3I=",0)</f>
        <v>#REF!</v>
      </c>
      <c r="DL275" t="e">
        <f>IF(#REF!,"AAAAABr/y3M=",0)</f>
        <v>#REF!</v>
      </c>
      <c r="DM275" t="e">
        <f>IF(#REF!,"AAAAABr/y3Q=",0)</f>
        <v>#REF!</v>
      </c>
      <c r="DN275" t="e">
        <f>IF(#REF!,"AAAAABr/y3U=",0)</f>
        <v>#REF!</v>
      </c>
      <c r="DO275" t="e">
        <f>IF(#REF!,"AAAAABr/y3Y=",0)</f>
        <v>#REF!</v>
      </c>
      <c r="DP275" t="e">
        <f>IF(#REF!,"AAAAABr/y3c=",0)</f>
        <v>#REF!</v>
      </c>
      <c r="DQ275" t="e">
        <f>IF(#REF!,"AAAAABr/y3g=",0)</f>
        <v>#REF!</v>
      </c>
      <c r="DR275" t="e">
        <f>IF(#REF!,"AAAAABr/y3k=",0)</f>
        <v>#REF!</v>
      </c>
      <c r="DS275" t="e">
        <f>IF(#REF!,"AAAAABr/y3o=",0)</f>
        <v>#REF!</v>
      </c>
      <c r="DT275" t="e">
        <f>IF(#REF!,"AAAAABr/y3s=",0)</f>
        <v>#REF!</v>
      </c>
      <c r="DU275" t="e">
        <f>IF(#REF!,"AAAAABr/y3w=",0)</f>
        <v>#REF!</v>
      </c>
      <c r="DV275" t="e">
        <f>IF(#REF!,"AAAAABr/y30=",0)</f>
        <v>#REF!</v>
      </c>
      <c r="DW275" t="e">
        <f>IF(#REF!,"AAAAABr/y34=",0)</f>
        <v>#REF!</v>
      </c>
      <c r="DX275" t="e">
        <f>IF(#REF!,"AAAAABr/y38=",0)</f>
        <v>#REF!</v>
      </c>
      <c r="DY275" t="e">
        <f>IF(#REF!,"AAAAABr/y4A=",0)</f>
        <v>#REF!</v>
      </c>
      <c r="DZ275" t="e">
        <f>IF(#REF!,"AAAAABr/y4E=",0)</f>
        <v>#REF!</v>
      </c>
      <c r="EA275" t="e">
        <f>IF(#REF!,"AAAAABr/y4I=",0)</f>
        <v>#REF!</v>
      </c>
      <c r="EB275" t="e">
        <f>IF(#REF!,"AAAAABr/y4M=",0)</f>
        <v>#REF!</v>
      </c>
      <c r="EC275" t="e">
        <f>IF(#REF!,"AAAAABr/y4Q=",0)</f>
        <v>#REF!</v>
      </c>
      <c r="ED275" t="e">
        <f>IF(#REF!,"AAAAABr/y4U=",0)</f>
        <v>#REF!</v>
      </c>
      <c r="EE275" t="e">
        <f>IF(#REF!,"AAAAABr/y4Y=",0)</f>
        <v>#REF!</v>
      </c>
      <c r="EF275" t="e">
        <f>IF(#REF!,"AAAAABr/y4c=",0)</f>
        <v>#REF!</v>
      </c>
      <c r="EG275" t="e">
        <f>IF(#REF!,"AAAAABr/y4g=",0)</f>
        <v>#REF!</v>
      </c>
      <c r="EH275" t="e">
        <f>IF(#REF!,"AAAAABr/y4k=",0)</f>
        <v>#REF!</v>
      </c>
      <c r="EI275" t="e">
        <f>IF(#REF!,"AAAAABr/y4o=",0)</f>
        <v>#REF!</v>
      </c>
      <c r="EJ275" t="e">
        <f>IF(#REF!,"AAAAABr/y4s=",0)</f>
        <v>#REF!</v>
      </c>
      <c r="EK275" t="e">
        <f>IF(#REF!,"AAAAABr/y4w=",0)</f>
        <v>#REF!</v>
      </c>
      <c r="EL275" t="e">
        <f>IF(#REF!,"AAAAABr/y40=",0)</f>
        <v>#REF!</v>
      </c>
      <c r="EM275" t="e">
        <f>IF(#REF!,"AAAAABr/y44=",0)</f>
        <v>#REF!</v>
      </c>
      <c r="EN275" t="e">
        <f>IF(#REF!,"AAAAABr/y48=",0)</f>
        <v>#REF!</v>
      </c>
      <c r="EO275" t="e">
        <f>IF(#REF!,"AAAAABr/y5A=",0)</f>
        <v>#REF!</v>
      </c>
      <c r="EP275" t="e">
        <f>IF(#REF!,"AAAAABr/y5E=",0)</f>
        <v>#REF!</v>
      </c>
      <c r="EQ275" t="e">
        <f>IF(#REF!,"AAAAABr/y5I=",0)</f>
        <v>#REF!</v>
      </c>
      <c r="ER275" t="e">
        <f>IF(#REF!,"AAAAABr/y5M=",0)</f>
        <v>#REF!</v>
      </c>
      <c r="ES275" t="e">
        <f>IF(#REF!,"AAAAABr/y5Q=",0)</f>
        <v>#REF!</v>
      </c>
      <c r="ET275" t="e">
        <f>IF(#REF!,"AAAAABr/y5U=",0)</f>
        <v>#REF!</v>
      </c>
      <c r="EU275" t="e">
        <f>IF(#REF!,"AAAAABr/y5Y=",0)</f>
        <v>#REF!</v>
      </c>
      <c r="EV275" t="e">
        <f>IF(#REF!,"AAAAABr/y5c=",0)</f>
        <v>#REF!</v>
      </c>
      <c r="EW275" t="e">
        <f>IF(#REF!,"AAAAABr/y5g=",0)</f>
        <v>#REF!</v>
      </c>
      <c r="EX275" t="e">
        <f>IF(#REF!,"AAAAABr/y5k=",0)</f>
        <v>#REF!</v>
      </c>
      <c r="EY275" t="e">
        <f>IF(#REF!,"AAAAABr/y5o=",0)</f>
        <v>#REF!</v>
      </c>
      <c r="EZ275" t="e">
        <f>IF(#REF!,"AAAAABr/y5s=",0)</f>
        <v>#REF!</v>
      </c>
      <c r="FA275" t="e">
        <f>IF(#REF!,"AAAAABr/y5w=",0)</f>
        <v>#REF!</v>
      </c>
      <c r="FB275" t="e">
        <f>IF(#REF!,"AAAAABr/y50=",0)</f>
        <v>#REF!</v>
      </c>
      <c r="FC275" t="e">
        <f>IF(#REF!,"AAAAABr/y54=",0)</f>
        <v>#REF!</v>
      </c>
      <c r="FD275" t="e">
        <f>IF(#REF!,"AAAAABr/y58=",0)</f>
        <v>#REF!</v>
      </c>
      <c r="FE275" t="e">
        <f>IF(#REF!,"AAAAABr/y6A=",0)</f>
        <v>#REF!</v>
      </c>
      <c r="FF275" t="e">
        <f>IF(#REF!,"AAAAABr/y6E=",0)</f>
        <v>#REF!</v>
      </c>
      <c r="FG275" t="e">
        <f>IF(#REF!,"AAAAABr/y6I=",0)</f>
        <v>#REF!</v>
      </c>
      <c r="FH275" t="e">
        <f>IF(#REF!,"AAAAABr/y6M=",0)</f>
        <v>#REF!</v>
      </c>
      <c r="FI275" t="e">
        <f>IF(#REF!,"AAAAABr/y6Q=",0)</f>
        <v>#REF!</v>
      </c>
      <c r="FJ275" t="e">
        <f>IF(#REF!,"AAAAABr/y6U=",0)</f>
        <v>#REF!</v>
      </c>
      <c r="FK275" t="e">
        <f>IF(#REF!,"AAAAABr/y6Y=",0)</f>
        <v>#REF!</v>
      </c>
      <c r="FL275" t="e">
        <f>IF(#REF!,"AAAAABr/y6c=",0)</f>
        <v>#REF!</v>
      </c>
      <c r="FM275" t="e">
        <f>IF(#REF!,"AAAAABr/y6g=",0)</f>
        <v>#REF!</v>
      </c>
      <c r="FN275" t="e">
        <f>IF(#REF!,"AAAAABr/y6k=",0)</f>
        <v>#REF!</v>
      </c>
      <c r="FO275" t="e">
        <f>IF(#REF!,"AAAAABr/y6o=",0)</f>
        <v>#REF!</v>
      </c>
      <c r="FP275" t="e">
        <f>IF(#REF!,"AAAAABr/y6s=",0)</f>
        <v>#REF!</v>
      </c>
      <c r="FQ275" t="e">
        <f>IF(#REF!,"AAAAABr/y6w=",0)</f>
        <v>#REF!</v>
      </c>
      <c r="FR275" t="e">
        <f>IF(#REF!,"AAAAABr/y60=",0)</f>
        <v>#REF!</v>
      </c>
      <c r="FS275" t="e">
        <f>IF(#REF!,"AAAAABr/y64=",0)</f>
        <v>#REF!</v>
      </c>
      <c r="FT275" t="e">
        <f>IF(#REF!,"AAAAABr/y68=",0)</f>
        <v>#REF!</v>
      </c>
      <c r="FU275" t="e">
        <f>IF(#REF!,"AAAAABr/y7A=",0)</f>
        <v>#REF!</v>
      </c>
      <c r="FV275" t="e">
        <f>IF(#REF!,"AAAAABr/y7E=",0)</f>
        <v>#REF!</v>
      </c>
      <c r="FW275" t="e">
        <f>IF(#REF!,"AAAAABr/y7I=",0)</f>
        <v>#REF!</v>
      </c>
      <c r="FX275" t="e">
        <f>IF(#REF!,"AAAAABr/y7M=",0)</f>
        <v>#REF!</v>
      </c>
      <c r="FY275" t="e">
        <f>IF(#REF!,"AAAAABr/y7Q=",0)</f>
        <v>#REF!</v>
      </c>
      <c r="FZ275" t="e">
        <f>IF(#REF!,"AAAAABr/y7U=",0)</f>
        <v>#REF!</v>
      </c>
      <c r="GA275" t="e">
        <f>IF(#REF!,"AAAAABr/y7Y=",0)</f>
        <v>#REF!</v>
      </c>
      <c r="GB275" t="e">
        <f>IF(#REF!,"AAAAABr/y7c=",0)</f>
        <v>#REF!</v>
      </c>
      <c r="GC275" t="e">
        <f>IF(#REF!,"AAAAABr/y7g=",0)</f>
        <v>#REF!</v>
      </c>
      <c r="GD275" t="e">
        <f>IF(#REF!,"AAAAABr/y7k=",0)</f>
        <v>#REF!</v>
      </c>
      <c r="GE275" t="e">
        <f>IF(#REF!,"AAAAABr/y7o=",0)</f>
        <v>#REF!</v>
      </c>
      <c r="GF275" t="e">
        <f>IF(#REF!,"AAAAABr/y7s=",0)</f>
        <v>#REF!</v>
      </c>
      <c r="GG275" t="e">
        <f>IF(#REF!,"AAAAABr/y7w=",0)</f>
        <v>#REF!</v>
      </c>
      <c r="GH275" t="e">
        <f>IF(#REF!,"AAAAABr/y70=",0)</f>
        <v>#REF!</v>
      </c>
      <c r="GI275" t="e">
        <f>IF(#REF!,"AAAAABr/y74=",0)</f>
        <v>#REF!</v>
      </c>
      <c r="GJ275" t="e">
        <f>IF(#REF!,"AAAAABr/y78=",0)</f>
        <v>#REF!</v>
      </c>
      <c r="GK275" t="e">
        <f>IF(#REF!,"AAAAABr/y8A=",0)</f>
        <v>#REF!</v>
      </c>
      <c r="GL275" t="e">
        <f>IF(#REF!,"AAAAABr/y8E=",0)</f>
        <v>#REF!</v>
      </c>
      <c r="GM275" t="e">
        <f>IF(#REF!,"AAAAABr/y8I=",0)</f>
        <v>#REF!</v>
      </c>
      <c r="GN275" t="e">
        <f>IF(#REF!,"AAAAABr/y8M=",0)</f>
        <v>#REF!</v>
      </c>
      <c r="GO275" t="e">
        <f>IF(#REF!,"AAAAABr/y8Q=",0)</f>
        <v>#REF!</v>
      </c>
      <c r="GP275" t="e">
        <f>IF(#REF!,"AAAAABr/y8U=",0)</f>
        <v>#REF!</v>
      </c>
      <c r="GQ275" t="e">
        <f>IF(#REF!,"AAAAABr/y8Y=",0)</f>
        <v>#REF!</v>
      </c>
      <c r="GR275" t="e">
        <f>IF(#REF!,"AAAAABr/y8c=",0)</f>
        <v>#REF!</v>
      </c>
      <c r="GS275" t="e">
        <f>IF(#REF!,"AAAAABr/y8g=",0)</f>
        <v>#REF!</v>
      </c>
      <c r="GT275" t="e">
        <f>IF(#REF!,"AAAAABr/y8k=",0)</f>
        <v>#REF!</v>
      </c>
      <c r="GU275" t="e">
        <f>IF(#REF!,"AAAAABr/y8o=",0)</f>
        <v>#REF!</v>
      </c>
      <c r="GV275" t="e">
        <f>IF(#REF!,"AAAAABr/y8s=",0)</f>
        <v>#REF!</v>
      </c>
      <c r="GW275" t="e">
        <f>IF(#REF!,"AAAAABr/y8w=",0)</f>
        <v>#REF!</v>
      </c>
      <c r="GX275" t="e">
        <f>IF(#REF!,"AAAAABr/y80=",0)</f>
        <v>#REF!</v>
      </c>
      <c r="GY275" t="e">
        <f>IF(#REF!,"AAAAABr/y84=",0)</f>
        <v>#REF!</v>
      </c>
      <c r="GZ275" t="e">
        <f>IF(#REF!,"AAAAABr/y88=",0)</f>
        <v>#REF!</v>
      </c>
      <c r="HA275" t="e">
        <f>IF(#REF!,"AAAAABr/y9A=",0)</f>
        <v>#REF!</v>
      </c>
      <c r="HB275" t="e">
        <f>IF(#REF!,"AAAAABr/y9E=",0)</f>
        <v>#REF!</v>
      </c>
      <c r="HC275" t="e">
        <f>IF(#REF!,"AAAAABr/y9I=",0)</f>
        <v>#REF!</v>
      </c>
      <c r="HD275" t="e">
        <f>IF(#REF!,"AAAAABr/y9M=",0)</f>
        <v>#REF!</v>
      </c>
      <c r="HE275" t="e">
        <f>IF(#REF!,"AAAAABr/y9Q=",0)</f>
        <v>#REF!</v>
      </c>
      <c r="HF275" t="e">
        <f>IF(#REF!,"AAAAABr/y9U=",0)</f>
        <v>#REF!</v>
      </c>
      <c r="HG275" t="e">
        <f>IF(#REF!,"AAAAABr/y9Y=",0)</f>
        <v>#REF!</v>
      </c>
      <c r="HH275" t="e">
        <f>IF(#REF!,"AAAAABr/y9c=",0)</f>
        <v>#REF!</v>
      </c>
      <c r="HI275" t="e">
        <f>IF(#REF!,"AAAAABr/y9g=",0)</f>
        <v>#REF!</v>
      </c>
      <c r="HJ275" t="e">
        <f>IF(#REF!,"AAAAABr/y9k=",0)</f>
        <v>#REF!</v>
      </c>
      <c r="HK275" t="e">
        <f>IF(#REF!,"AAAAABr/y9o=",0)</f>
        <v>#REF!</v>
      </c>
      <c r="HL275" t="e">
        <f>IF(#REF!,"AAAAABr/y9s=",0)</f>
        <v>#REF!</v>
      </c>
      <c r="HM275" t="e">
        <f>IF(#REF!,"AAAAABr/y9w=",0)</f>
        <v>#REF!</v>
      </c>
      <c r="HN275" t="e">
        <f>IF(#REF!,"AAAAABr/y90=",0)</f>
        <v>#REF!</v>
      </c>
      <c r="HO275" t="e">
        <f>IF(#REF!,"AAAAABr/y94=",0)</f>
        <v>#REF!</v>
      </c>
      <c r="HP275" t="e">
        <f>IF(#REF!,"AAAAABr/y98=",0)</f>
        <v>#REF!</v>
      </c>
      <c r="HQ275" t="e">
        <f>IF(#REF!,"AAAAABr/y+A=",0)</f>
        <v>#REF!</v>
      </c>
      <c r="HR275" t="e">
        <f>IF(#REF!,"AAAAABr/y+E=",0)</f>
        <v>#REF!</v>
      </c>
      <c r="HS275" t="e">
        <f>IF(#REF!,"AAAAABr/y+I=",0)</f>
        <v>#REF!</v>
      </c>
      <c r="HT275" t="e">
        <f>IF(#REF!,"AAAAABr/y+M=",0)</f>
        <v>#REF!</v>
      </c>
      <c r="HU275" t="e">
        <f>IF(#REF!,"AAAAABr/y+Q=",0)</f>
        <v>#REF!</v>
      </c>
      <c r="HV275" t="e">
        <f>IF(#REF!,"AAAAABr/y+U=",0)</f>
        <v>#REF!</v>
      </c>
      <c r="HW275" t="e">
        <f>IF(#REF!,"AAAAABr/y+Y=",0)</f>
        <v>#REF!</v>
      </c>
      <c r="HX275" t="e">
        <f>IF(#REF!,"AAAAABr/y+c=",0)</f>
        <v>#REF!</v>
      </c>
      <c r="HY275" t="e">
        <f>IF(#REF!,"AAAAABr/y+g=",0)</f>
        <v>#REF!</v>
      </c>
      <c r="HZ275" t="e">
        <f>IF(#REF!,"AAAAABr/y+k=",0)</f>
        <v>#REF!</v>
      </c>
      <c r="IA275" t="e">
        <f>IF(#REF!,"AAAAABr/y+o=",0)</f>
        <v>#REF!</v>
      </c>
      <c r="IB275" t="e">
        <f>IF(#REF!,"AAAAABr/y+s=",0)</f>
        <v>#REF!</v>
      </c>
      <c r="IC275" t="e">
        <f>IF(#REF!,"AAAAABr/y+w=",0)</f>
        <v>#REF!</v>
      </c>
      <c r="ID275" t="e">
        <f>IF(#REF!,"AAAAABr/y+0=",0)</f>
        <v>#REF!</v>
      </c>
      <c r="IE275" t="e">
        <f>IF(#REF!,"AAAAABr/y+4=",0)</f>
        <v>#REF!</v>
      </c>
      <c r="IF275" t="e">
        <f>IF(#REF!,"AAAAABr/y+8=",0)</f>
        <v>#REF!</v>
      </c>
      <c r="IG275" t="e">
        <f>IF(#REF!,"AAAAABr/y/A=",0)</f>
        <v>#REF!</v>
      </c>
      <c r="IH275" t="e">
        <f>IF(#REF!,"AAAAABr/y/E=",0)</f>
        <v>#REF!</v>
      </c>
      <c r="II275" t="e">
        <f>IF(#REF!,"AAAAABr/y/I=",0)</f>
        <v>#REF!</v>
      </c>
      <c r="IJ275" t="e">
        <f>IF(#REF!,"AAAAABr/y/M=",0)</f>
        <v>#REF!</v>
      </c>
      <c r="IK275" t="e">
        <f>IF(#REF!,"AAAAABr/y/Q=",0)</f>
        <v>#REF!</v>
      </c>
      <c r="IL275" t="e">
        <f>IF(#REF!,"AAAAABr/y/U=",0)</f>
        <v>#REF!</v>
      </c>
      <c r="IM275" t="e">
        <f>IF(#REF!,"AAAAABr/y/Y=",0)</f>
        <v>#REF!</v>
      </c>
      <c r="IN275" t="e">
        <f>IF(#REF!,"AAAAABr/y/c=",0)</f>
        <v>#REF!</v>
      </c>
      <c r="IO275" t="e">
        <f>IF(#REF!,"AAAAABr/y/g=",0)</f>
        <v>#REF!</v>
      </c>
      <c r="IP275" t="e">
        <f>IF(#REF!,"AAAAABr/y/k=",0)</f>
        <v>#REF!</v>
      </c>
      <c r="IQ275" t="e">
        <f>IF(#REF!,"AAAAABr/y/o=",0)</f>
        <v>#REF!</v>
      </c>
      <c r="IR275" t="e">
        <f>IF(#REF!,"AAAAABr/y/s=",0)</f>
        <v>#REF!</v>
      </c>
      <c r="IS275" t="e">
        <f>IF(#REF!,"AAAAABr/y/w=",0)</f>
        <v>#REF!</v>
      </c>
      <c r="IT275" t="e">
        <f>IF(#REF!,"AAAAABr/y/0=",0)</f>
        <v>#REF!</v>
      </c>
      <c r="IU275" t="e">
        <f>IF(#REF!,"AAAAABr/y/4=",0)</f>
        <v>#REF!</v>
      </c>
      <c r="IV275" t="e">
        <f>IF(#REF!,"AAAAABr/y/8=",0)</f>
        <v>#REF!</v>
      </c>
    </row>
    <row r="276" spans="1:256">
      <c r="A276" t="e">
        <f>IF(#REF!,"AAAAACO5uwA=",0)</f>
        <v>#REF!</v>
      </c>
      <c r="B276" t="e">
        <f>IF(#REF!,"AAAAACO5uwE=",0)</f>
        <v>#REF!</v>
      </c>
      <c r="C276" t="e">
        <f>IF(#REF!,"AAAAACO5uwI=",0)</f>
        <v>#REF!</v>
      </c>
      <c r="D276" t="e">
        <f>IF(#REF!,"AAAAACO5uwM=",0)</f>
        <v>#REF!</v>
      </c>
      <c r="E276" t="e">
        <f>IF(#REF!,"AAAAACO5uwQ=",0)</f>
        <v>#REF!</v>
      </c>
      <c r="F276" t="e">
        <f>IF(#REF!,"AAAAACO5uwU=",0)</f>
        <v>#REF!</v>
      </c>
      <c r="G276" t="e">
        <f>IF(#REF!,"AAAAACO5uwY=",0)</f>
        <v>#REF!</v>
      </c>
      <c r="H276" t="e">
        <f>IF(#REF!,"AAAAACO5uwc=",0)</f>
        <v>#REF!</v>
      </c>
      <c r="I276" t="e">
        <f>IF(#REF!,"AAAAACO5uwg=",0)</f>
        <v>#REF!</v>
      </c>
      <c r="J276" t="e">
        <f>IF(#REF!,"AAAAACO5uwk=",0)</f>
        <v>#REF!</v>
      </c>
      <c r="K276" t="e">
        <f>IF(#REF!,"AAAAACO5uwo=",0)</f>
        <v>#REF!</v>
      </c>
      <c r="L276" t="e">
        <f>IF(#REF!,"AAAAACO5uws=",0)</f>
        <v>#REF!</v>
      </c>
      <c r="M276" t="e">
        <f>IF(#REF!,"AAAAACO5uww=",0)</f>
        <v>#REF!</v>
      </c>
      <c r="N276" t="e">
        <f>IF(#REF!,"AAAAACO5uw0=",0)</f>
        <v>#REF!</v>
      </c>
      <c r="O276" t="e">
        <f>IF(#REF!,"AAAAACO5uw4=",0)</f>
        <v>#REF!</v>
      </c>
      <c r="P276" t="e">
        <f>IF(#REF!,"AAAAACO5uw8=",0)</f>
        <v>#REF!</v>
      </c>
      <c r="Q276" t="e">
        <f>IF(#REF!,"AAAAACO5uxA=",0)</f>
        <v>#REF!</v>
      </c>
      <c r="R276" t="e">
        <f>IF(#REF!,"AAAAACO5uxE=",0)</f>
        <v>#REF!</v>
      </c>
      <c r="S276" t="e">
        <f>IF(#REF!,"AAAAACO5uxI=",0)</f>
        <v>#REF!</v>
      </c>
      <c r="T276" t="e">
        <f>IF(#REF!,"AAAAACO5uxM=",0)</f>
        <v>#REF!</v>
      </c>
      <c r="U276" t="e">
        <f>IF(#REF!,"AAAAACO5uxQ=",0)</f>
        <v>#REF!</v>
      </c>
      <c r="V276" t="e">
        <f>IF(#REF!,"AAAAACO5uxU=",0)</f>
        <v>#REF!</v>
      </c>
      <c r="W276" t="e">
        <f>IF(#REF!,"AAAAACO5uxY=",0)</f>
        <v>#REF!</v>
      </c>
      <c r="X276" t="e">
        <f>IF(#REF!,"AAAAACO5uxc=",0)</f>
        <v>#REF!</v>
      </c>
      <c r="Y276" t="e">
        <f>IF(#REF!,"AAAAACO5uxg=",0)</f>
        <v>#REF!</v>
      </c>
      <c r="Z276" t="e">
        <f>IF(#REF!,"AAAAACO5uxk=",0)</f>
        <v>#REF!</v>
      </c>
      <c r="AA276" t="e">
        <f>IF(#REF!,"AAAAACO5uxo=",0)</f>
        <v>#REF!</v>
      </c>
      <c r="AB276" t="e">
        <f>IF(#REF!,"AAAAACO5uxs=",0)</f>
        <v>#REF!</v>
      </c>
      <c r="AC276" t="e">
        <f>IF(#REF!,"AAAAACO5uxw=",0)</f>
        <v>#REF!</v>
      </c>
      <c r="AD276" t="e">
        <f>IF(#REF!,"AAAAACO5ux0=",0)</f>
        <v>#REF!</v>
      </c>
      <c r="AE276" t="e">
        <f>IF(#REF!,"AAAAACO5ux4=",0)</f>
        <v>#REF!</v>
      </c>
      <c r="AF276" t="e">
        <f>IF(#REF!,"AAAAACO5ux8=",0)</f>
        <v>#REF!</v>
      </c>
      <c r="AG276" t="e">
        <f>IF(#REF!,"AAAAACO5uyA=",0)</f>
        <v>#REF!</v>
      </c>
      <c r="AH276" t="e">
        <f>IF(#REF!,"AAAAACO5uyE=",0)</f>
        <v>#REF!</v>
      </c>
      <c r="AI276" t="e">
        <f>IF(#REF!,"AAAAACO5uyI=",0)</f>
        <v>#REF!</v>
      </c>
      <c r="AJ276" t="e">
        <f>IF(#REF!,"AAAAACO5uyM=",0)</f>
        <v>#REF!</v>
      </c>
      <c r="AK276" t="e">
        <f>IF(#REF!,"AAAAACO5uyQ=",0)</f>
        <v>#REF!</v>
      </c>
      <c r="AL276" t="e">
        <f>IF(#REF!,"AAAAACO5uyU=",0)</f>
        <v>#REF!</v>
      </c>
      <c r="AM276" t="e">
        <f>IF(#REF!,"AAAAACO5uyY=",0)</f>
        <v>#REF!</v>
      </c>
      <c r="AN276" t="e">
        <f>IF(#REF!,"AAAAACO5uyc=",0)</f>
        <v>#REF!</v>
      </c>
      <c r="AO276" t="e">
        <f>IF(#REF!,"AAAAACO5uyg=",0)</f>
        <v>#REF!</v>
      </c>
      <c r="AP276" t="e">
        <f>IF(#REF!,"AAAAACO5uyk=",0)</f>
        <v>#REF!</v>
      </c>
      <c r="AQ276" t="e">
        <f>IF(#REF!,"AAAAACO5uyo=",0)</f>
        <v>#REF!</v>
      </c>
      <c r="AR276" t="e">
        <f>IF(#REF!,"AAAAACO5uys=",0)</f>
        <v>#REF!</v>
      </c>
      <c r="AS276" t="e">
        <f>IF(#REF!,"AAAAACO5uyw=",0)</f>
        <v>#REF!</v>
      </c>
      <c r="AT276" t="e">
        <f>IF(#REF!,"AAAAACO5uy0=",0)</f>
        <v>#REF!</v>
      </c>
      <c r="AU276" t="e">
        <f>IF(#REF!,"AAAAACO5uy4=",0)</f>
        <v>#REF!</v>
      </c>
      <c r="AV276" t="e">
        <f>IF(#REF!,"AAAAACO5uy8=",0)</f>
        <v>#REF!</v>
      </c>
      <c r="AW276" t="e">
        <f>IF(#REF!,"AAAAACO5uzA=",0)</f>
        <v>#REF!</v>
      </c>
      <c r="AX276" t="e">
        <f>IF(#REF!,"AAAAACO5uzE=",0)</f>
        <v>#REF!</v>
      </c>
      <c r="AY276" t="e">
        <f>IF(#REF!,"AAAAACO5uzI=",0)</f>
        <v>#REF!</v>
      </c>
      <c r="AZ276" t="e">
        <f>IF(#REF!,"AAAAACO5uzM=",0)</f>
        <v>#REF!</v>
      </c>
      <c r="BA276" t="e">
        <f>IF(#REF!,"AAAAACO5uzQ=",0)</f>
        <v>#REF!</v>
      </c>
      <c r="BB276" t="e">
        <f>IF(#REF!,"AAAAACO5uzU=",0)</f>
        <v>#REF!</v>
      </c>
      <c r="BC276" t="e">
        <f>IF(#REF!,"AAAAACO5uzY=",0)</f>
        <v>#REF!</v>
      </c>
      <c r="BD276" t="e">
        <f>IF(#REF!,"AAAAACO5uzc=",0)</f>
        <v>#REF!</v>
      </c>
      <c r="BE276" t="e">
        <f>IF(#REF!,"AAAAACO5uzg=",0)</f>
        <v>#REF!</v>
      </c>
      <c r="BF276" t="e">
        <f>IF(#REF!,"AAAAACO5uzk=",0)</f>
        <v>#REF!</v>
      </c>
      <c r="BG276" t="e">
        <f>IF(#REF!,"AAAAACO5uzo=",0)</f>
        <v>#REF!</v>
      </c>
      <c r="BH276" t="e">
        <f>IF(#REF!,"AAAAACO5uzs=",0)</f>
        <v>#REF!</v>
      </c>
      <c r="BI276" t="e">
        <f>IF(#REF!,"AAAAACO5uzw=",0)</f>
        <v>#REF!</v>
      </c>
      <c r="BJ276" t="e">
        <f>IF(#REF!,"AAAAACO5uz0=",0)</f>
        <v>#REF!</v>
      </c>
      <c r="BK276" t="e">
        <f>IF(#REF!,"AAAAACO5uz4=",0)</f>
        <v>#REF!</v>
      </c>
      <c r="BL276" t="e">
        <f>IF(#REF!,"AAAAACO5uz8=",0)</f>
        <v>#REF!</v>
      </c>
      <c r="BM276" t="e">
        <f>IF(#REF!,"AAAAACO5u0A=",0)</f>
        <v>#REF!</v>
      </c>
      <c r="BN276" t="e">
        <f>IF(#REF!,"AAAAACO5u0E=",0)</f>
        <v>#REF!</v>
      </c>
      <c r="BO276" t="e">
        <f>IF(#REF!,"AAAAACO5u0I=",0)</f>
        <v>#REF!</v>
      </c>
      <c r="BP276" t="e">
        <f>IF(#REF!,"AAAAACO5u0M=",0)</f>
        <v>#REF!</v>
      </c>
      <c r="BQ276" t="e">
        <f>IF(#REF!,"AAAAACO5u0Q=",0)</f>
        <v>#REF!</v>
      </c>
      <c r="BR276" t="e">
        <f>IF(#REF!,"AAAAACO5u0U=",0)</f>
        <v>#REF!</v>
      </c>
      <c r="BS276" t="e">
        <f>IF(#REF!,"AAAAACO5u0Y=",0)</f>
        <v>#REF!</v>
      </c>
      <c r="BT276" t="e">
        <f>IF(#REF!,"AAAAACO5u0c=",0)</f>
        <v>#REF!</v>
      </c>
      <c r="BU276" t="e">
        <f>IF(#REF!,"AAAAACO5u0g=",0)</f>
        <v>#REF!</v>
      </c>
      <c r="BV276" t="e">
        <f>IF(#REF!,"AAAAACO5u0k=",0)</f>
        <v>#REF!</v>
      </c>
      <c r="BW276" t="e">
        <f>IF(#REF!,"AAAAACO5u0o=",0)</f>
        <v>#REF!</v>
      </c>
      <c r="BX276" t="e">
        <f>IF(#REF!,"AAAAACO5u0s=",0)</f>
        <v>#REF!</v>
      </c>
      <c r="BY276" t="e">
        <f>IF(#REF!,"AAAAACO5u0w=",0)</f>
        <v>#REF!</v>
      </c>
      <c r="BZ276" t="e">
        <f>IF(#REF!,"AAAAACO5u00=",0)</f>
        <v>#REF!</v>
      </c>
      <c r="CA276" t="e">
        <f>IF(#REF!,"AAAAACO5u04=",0)</f>
        <v>#REF!</v>
      </c>
      <c r="CB276" t="e">
        <f>IF(#REF!,"AAAAACO5u08=",0)</f>
        <v>#REF!</v>
      </c>
      <c r="CC276" t="e">
        <f>IF(#REF!,"AAAAACO5u1A=",0)</f>
        <v>#REF!</v>
      </c>
      <c r="CD276" t="e">
        <f>IF(#REF!,"AAAAACO5u1E=",0)</f>
        <v>#REF!</v>
      </c>
      <c r="CE276" t="e">
        <f>IF(#REF!,"AAAAACO5u1I=",0)</f>
        <v>#REF!</v>
      </c>
      <c r="CF276" t="e">
        <f>IF(#REF!,"AAAAACO5u1M=",0)</f>
        <v>#REF!</v>
      </c>
      <c r="CG276" t="e">
        <f>IF(#REF!,"AAAAACO5u1Q=",0)</f>
        <v>#REF!</v>
      </c>
      <c r="CH276" t="e">
        <f>IF(#REF!,"AAAAACO5u1U=",0)</f>
        <v>#REF!</v>
      </c>
      <c r="CI276" t="e">
        <f>IF(#REF!,"AAAAACO5u1Y=",0)</f>
        <v>#REF!</v>
      </c>
      <c r="CJ276" t="e">
        <f>IF(#REF!,"AAAAACO5u1c=",0)</f>
        <v>#REF!</v>
      </c>
      <c r="CK276" t="e">
        <f>IF(#REF!,"AAAAACO5u1g=",0)</f>
        <v>#REF!</v>
      </c>
      <c r="CL276" t="e">
        <f>IF(#REF!,"AAAAACO5u1k=",0)</f>
        <v>#REF!</v>
      </c>
      <c r="CM276" t="e">
        <f>IF(#REF!,"AAAAACO5u1o=",0)</f>
        <v>#REF!</v>
      </c>
      <c r="CN276" t="e">
        <f>IF(#REF!,"AAAAACO5u1s=",0)</f>
        <v>#REF!</v>
      </c>
      <c r="CO276" t="e">
        <f>IF(#REF!,"AAAAACO5u1w=",0)</f>
        <v>#REF!</v>
      </c>
      <c r="CP276" t="e">
        <f>IF(#REF!,"AAAAACO5u10=",0)</f>
        <v>#REF!</v>
      </c>
      <c r="CQ276" t="e">
        <f>IF(#REF!,"AAAAACO5u14=",0)</f>
        <v>#REF!</v>
      </c>
      <c r="CR276" t="e">
        <f>IF(#REF!,"AAAAACO5u18=",0)</f>
        <v>#REF!</v>
      </c>
      <c r="CS276" t="e">
        <f>IF(#REF!,"AAAAACO5u2A=",0)</f>
        <v>#REF!</v>
      </c>
      <c r="CT276" t="e">
        <f>IF(#REF!,"AAAAACO5u2E=",0)</f>
        <v>#REF!</v>
      </c>
      <c r="CU276" t="e">
        <f>IF(#REF!,"AAAAACO5u2I=",0)</f>
        <v>#REF!</v>
      </c>
      <c r="CV276" t="e">
        <f>IF(#REF!,"AAAAACO5u2M=",0)</f>
        <v>#REF!</v>
      </c>
      <c r="CW276" t="e">
        <f>IF(#REF!,"AAAAACO5u2Q=",0)</f>
        <v>#REF!</v>
      </c>
      <c r="CX276" t="e">
        <f>IF(#REF!,"AAAAACO5u2U=",0)</f>
        <v>#REF!</v>
      </c>
      <c r="CY276" t="e">
        <f>IF(#REF!,"AAAAACO5u2Y=",0)</f>
        <v>#REF!</v>
      </c>
      <c r="CZ276" t="e">
        <f>IF(#REF!,"AAAAACO5u2c=",0)</f>
        <v>#REF!</v>
      </c>
      <c r="DA276" t="e">
        <f>IF(#REF!,"AAAAACO5u2g=",0)</f>
        <v>#REF!</v>
      </c>
      <c r="DB276" t="e">
        <f>IF(#REF!,"AAAAACO5u2k=",0)</f>
        <v>#REF!</v>
      </c>
      <c r="DC276" t="e">
        <f>IF(#REF!,"AAAAACO5u2o=",0)</f>
        <v>#REF!</v>
      </c>
      <c r="DD276" t="e">
        <f>IF(#REF!,"AAAAACO5u2s=",0)</f>
        <v>#REF!</v>
      </c>
      <c r="DE276" t="e">
        <f>IF(#REF!,"AAAAACO5u2w=",0)</f>
        <v>#REF!</v>
      </c>
      <c r="DF276" t="e">
        <f>IF(#REF!,"AAAAACO5u20=",0)</f>
        <v>#REF!</v>
      </c>
      <c r="DG276" t="e">
        <f>IF(#REF!,"AAAAACO5u24=",0)</f>
        <v>#REF!</v>
      </c>
      <c r="DH276" t="e">
        <f>IF(#REF!,"AAAAACO5u28=",0)</f>
        <v>#REF!</v>
      </c>
      <c r="DI276" t="e">
        <f>IF(#REF!,"AAAAACO5u3A=",0)</f>
        <v>#REF!</v>
      </c>
      <c r="DJ276" t="e">
        <f>IF(#REF!,"AAAAACO5u3E=",0)</f>
        <v>#REF!</v>
      </c>
      <c r="DK276" t="e">
        <f>IF(#REF!,"AAAAACO5u3I=",0)</f>
        <v>#REF!</v>
      </c>
      <c r="DL276" t="e">
        <f>IF(#REF!,"AAAAACO5u3M=",0)</f>
        <v>#REF!</v>
      </c>
      <c r="DM276" t="e">
        <f>IF(#REF!,"AAAAACO5u3Q=",0)</f>
        <v>#REF!</v>
      </c>
      <c r="DN276" t="e">
        <f>IF(#REF!,"AAAAACO5u3U=",0)</f>
        <v>#REF!</v>
      </c>
      <c r="DO276" t="e">
        <f>IF(#REF!,"AAAAACO5u3Y=",0)</f>
        <v>#REF!</v>
      </c>
      <c r="DP276" t="e">
        <f>IF(#REF!,"AAAAACO5u3c=",0)</f>
        <v>#REF!</v>
      </c>
      <c r="DQ276" t="e">
        <f>IF(#REF!,"AAAAACO5u3g=",0)</f>
        <v>#REF!</v>
      </c>
      <c r="DR276" t="e">
        <f>IF(#REF!,"AAAAACO5u3k=",0)</f>
        <v>#REF!</v>
      </c>
      <c r="DS276" t="e">
        <f>IF(#REF!,"AAAAACO5u3o=",0)</f>
        <v>#REF!</v>
      </c>
      <c r="DT276" t="e">
        <f>IF(#REF!,"AAAAACO5u3s=",0)</f>
        <v>#REF!</v>
      </c>
      <c r="DU276" t="e">
        <f>IF(#REF!,"AAAAACO5u3w=",0)</f>
        <v>#REF!</v>
      </c>
      <c r="DV276" t="e">
        <f>IF(#REF!,"AAAAACO5u30=",0)</f>
        <v>#REF!</v>
      </c>
      <c r="DW276" t="e">
        <f>IF(#REF!,"AAAAACO5u34=",0)</f>
        <v>#REF!</v>
      </c>
      <c r="DX276" t="e">
        <f>IF(#REF!,"AAAAACO5u38=",0)</f>
        <v>#REF!</v>
      </c>
      <c r="DY276" t="e">
        <f>IF(#REF!,"AAAAACO5u4A=",0)</f>
        <v>#REF!</v>
      </c>
      <c r="DZ276" t="e">
        <f>IF(#REF!,"AAAAACO5u4E=",0)</f>
        <v>#REF!</v>
      </c>
      <c r="EA276" t="e">
        <f>IF(#REF!,"AAAAACO5u4I=",0)</f>
        <v>#REF!</v>
      </c>
      <c r="EB276" t="e">
        <f>IF(#REF!,"AAAAACO5u4M=",0)</f>
        <v>#REF!</v>
      </c>
      <c r="EC276" t="e">
        <f>IF(#REF!,"AAAAACO5u4Q=",0)</f>
        <v>#REF!</v>
      </c>
      <c r="ED276" t="e">
        <f>IF(#REF!,"AAAAACO5u4U=",0)</f>
        <v>#REF!</v>
      </c>
      <c r="EE276" t="e">
        <f>IF(#REF!,"AAAAACO5u4Y=",0)</f>
        <v>#REF!</v>
      </c>
      <c r="EF276" t="e">
        <f>IF(#REF!,"AAAAACO5u4c=",0)</f>
        <v>#REF!</v>
      </c>
      <c r="EG276" t="e">
        <f>IF(#REF!,"AAAAACO5u4g=",0)</f>
        <v>#REF!</v>
      </c>
      <c r="EH276" t="e">
        <f>IF(#REF!,"AAAAACO5u4k=",0)</f>
        <v>#REF!</v>
      </c>
      <c r="EI276" t="e">
        <f>IF(#REF!,"AAAAACO5u4o=",0)</f>
        <v>#REF!</v>
      </c>
      <c r="EJ276" t="e">
        <f>IF(#REF!,"AAAAACO5u4s=",0)</f>
        <v>#REF!</v>
      </c>
      <c r="EK276" t="e">
        <f>IF(#REF!,"AAAAACO5u4w=",0)</f>
        <v>#REF!</v>
      </c>
      <c r="EL276" t="e">
        <f>IF(#REF!,"AAAAACO5u40=",0)</f>
        <v>#REF!</v>
      </c>
      <c r="EM276" t="e">
        <f>IF(#REF!,"AAAAACO5u44=",0)</f>
        <v>#REF!</v>
      </c>
      <c r="EN276" t="e">
        <f>IF(#REF!,"AAAAACO5u48=",0)</f>
        <v>#REF!</v>
      </c>
      <c r="EO276" t="e">
        <f>IF(#REF!,"AAAAACO5u5A=",0)</f>
        <v>#REF!</v>
      </c>
      <c r="EP276" t="e">
        <f>IF(#REF!,"AAAAACO5u5E=",0)</f>
        <v>#REF!</v>
      </c>
      <c r="EQ276" t="e">
        <f>IF(#REF!,"AAAAACO5u5I=",0)</f>
        <v>#REF!</v>
      </c>
      <c r="ER276" t="e">
        <f>IF(#REF!,"AAAAACO5u5M=",0)</f>
        <v>#REF!</v>
      </c>
      <c r="ES276" t="e">
        <f>IF(#REF!,"AAAAACO5u5Q=",0)</f>
        <v>#REF!</v>
      </c>
      <c r="ET276" t="e">
        <f>IF(#REF!,"AAAAACO5u5U=",0)</f>
        <v>#REF!</v>
      </c>
      <c r="EU276" t="e">
        <f>IF(#REF!,"AAAAACO5u5Y=",0)</f>
        <v>#REF!</v>
      </c>
      <c r="EV276" t="e">
        <f>IF(#REF!,"AAAAACO5u5c=",0)</f>
        <v>#REF!</v>
      </c>
      <c r="EW276" t="e">
        <f>IF(#REF!,"AAAAACO5u5g=",0)</f>
        <v>#REF!</v>
      </c>
      <c r="EX276" t="e">
        <f>IF(#REF!,"AAAAACO5u5k=",0)</f>
        <v>#REF!</v>
      </c>
      <c r="EY276" t="e">
        <f>IF(#REF!,"AAAAACO5u5o=",0)</f>
        <v>#REF!</v>
      </c>
      <c r="EZ276" t="e">
        <f>IF(#REF!,"AAAAACO5u5s=",0)</f>
        <v>#REF!</v>
      </c>
      <c r="FA276" t="e">
        <f>IF(#REF!,"AAAAACO5u5w=",0)</f>
        <v>#REF!</v>
      </c>
      <c r="FB276" t="e">
        <f>IF(#REF!,"AAAAACO5u50=",0)</f>
        <v>#REF!</v>
      </c>
      <c r="FC276" t="e">
        <f>IF(#REF!,"AAAAACO5u54=",0)</f>
        <v>#REF!</v>
      </c>
      <c r="FD276" t="e">
        <f>IF(#REF!,"AAAAACO5u58=",0)</f>
        <v>#REF!</v>
      </c>
      <c r="FE276" t="e">
        <f>IF(#REF!,"AAAAACO5u6A=",0)</f>
        <v>#REF!</v>
      </c>
      <c r="FF276" t="e">
        <f>IF(#REF!,"AAAAACO5u6E=",0)</f>
        <v>#REF!</v>
      </c>
      <c r="FG276" t="e">
        <f>IF(#REF!,"AAAAACO5u6I=",0)</f>
        <v>#REF!</v>
      </c>
      <c r="FH276" t="e">
        <f>IF(#REF!,"AAAAACO5u6M=",0)</f>
        <v>#REF!</v>
      </c>
      <c r="FI276" t="e">
        <f>IF(#REF!,"AAAAACO5u6Q=",0)</f>
        <v>#REF!</v>
      </c>
      <c r="FJ276" t="e">
        <f>IF(#REF!,"AAAAACO5u6U=",0)</f>
        <v>#REF!</v>
      </c>
      <c r="FK276" t="e">
        <f>IF(#REF!,"AAAAACO5u6Y=",0)</f>
        <v>#REF!</v>
      </c>
      <c r="FL276" t="e">
        <f>IF(#REF!,"AAAAACO5u6c=",0)</f>
        <v>#REF!</v>
      </c>
      <c r="FM276" t="e">
        <f>IF(#REF!,"AAAAACO5u6g=",0)</f>
        <v>#REF!</v>
      </c>
      <c r="FN276" t="e">
        <f>IF(#REF!,"AAAAACO5u6k=",0)</f>
        <v>#REF!</v>
      </c>
      <c r="FO276" t="e">
        <f>IF(#REF!,"AAAAACO5u6o=",0)</f>
        <v>#REF!</v>
      </c>
      <c r="FP276" t="e">
        <f>IF(#REF!,"AAAAACO5u6s=",0)</f>
        <v>#REF!</v>
      </c>
      <c r="FQ276" t="e">
        <f>IF(#REF!,"AAAAACO5u6w=",0)</f>
        <v>#REF!</v>
      </c>
      <c r="FR276" t="e">
        <f>IF(#REF!,"AAAAACO5u60=",0)</f>
        <v>#REF!</v>
      </c>
      <c r="FS276" t="e">
        <f>IF(#REF!,"AAAAACO5u64=",0)</f>
        <v>#REF!</v>
      </c>
      <c r="FT276" t="e">
        <f>IF(#REF!,"AAAAACO5u68=",0)</f>
        <v>#REF!</v>
      </c>
      <c r="FU276" t="e">
        <f>IF(#REF!,"AAAAACO5u7A=",0)</f>
        <v>#REF!</v>
      </c>
      <c r="FV276" t="e">
        <f>IF(#REF!,"AAAAACO5u7E=",0)</f>
        <v>#REF!</v>
      </c>
      <c r="FW276" t="e">
        <f>IF(#REF!,"AAAAACO5u7I=",0)</f>
        <v>#REF!</v>
      </c>
      <c r="FX276" t="e">
        <f>IF(#REF!,"AAAAACO5u7M=",0)</f>
        <v>#REF!</v>
      </c>
      <c r="FY276" t="e">
        <f>IF(#REF!,"AAAAACO5u7Q=",0)</f>
        <v>#REF!</v>
      </c>
      <c r="FZ276" t="e">
        <f>IF(#REF!,"AAAAACO5u7U=",0)</f>
        <v>#REF!</v>
      </c>
      <c r="GA276" t="e">
        <f>IF(#REF!,"AAAAACO5u7Y=",0)</f>
        <v>#REF!</v>
      </c>
      <c r="GB276" t="e">
        <f>IF(#REF!,"AAAAACO5u7c=",0)</f>
        <v>#REF!</v>
      </c>
      <c r="GC276" t="e">
        <f>IF(#REF!,"AAAAACO5u7g=",0)</f>
        <v>#REF!</v>
      </c>
      <c r="GD276" t="e">
        <f>IF(#REF!,"AAAAACO5u7k=",0)</f>
        <v>#REF!</v>
      </c>
      <c r="GE276" t="e">
        <f>IF(#REF!,"AAAAACO5u7o=",0)</f>
        <v>#REF!</v>
      </c>
      <c r="GF276" t="e">
        <f>IF(#REF!,"AAAAACO5u7s=",0)</f>
        <v>#REF!</v>
      </c>
      <c r="GG276" t="e">
        <f>IF(#REF!,"AAAAACO5u7w=",0)</f>
        <v>#REF!</v>
      </c>
      <c r="GH276" t="e">
        <f>IF(#REF!,"AAAAACO5u70=",0)</f>
        <v>#REF!</v>
      </c>
      <c r="GI276" t="e">
        <f>IF(#REF!,"AAAAACO5u74=",0)</f>
        <v>#REF!</v>
      </c>
      <c r="GJ276" t="e">
        <f>IF(#REF!,"AAAAACO5u78=",0)</f>
        <v>#REF!</v>
      </c>
      <c r="GK276" t="e">
        <f>IF(#REF!,"AAAAACO5u8A=",0)</f>
        <v>#REF!</v>
      </c>
      <c r="GL276" t="e">
        <f>IF(#REF!,"AAAAACO5u8E=",0)</f>
        <v>#REF!</v>
      </c>
      <c r="GM276" t="e">
        <f>IF(#REF!,"AAAAACO5u8I=",0)</f>
        <v>#REF!</v>
      </c>
      <c r="GN276" t="e">
        <f>IF(#REF!,"AAAAACO5u8M=",0)</f>
        <v>#REF!</v>
      </c>
      <c r="GO276" t="e">
        <f>IF(#REF!,"AAAAACO5u8Q=",0)</f>
        <v>#REF!</v>
      </c>
      <c r="GP276" t="e">
        <f>IF(#REF!,"AAAAACO5u8U=",0)</f>
        <v>#REF!</v>
      </c>
      <c r="GQ276" t="e">
        <f>IF(#REF!,"AAAAACO5u8Y=",0)</f>
        <v>#REF!</v>
      </c>
      <c r="GR276" t="e">
        <f>IF(#REF!,"AAAAACO5u8c=",0)</f>
        <v>#REF!</v>
      </c>
      <c r="GS276" t="e">
        <f>IF(#REF!,"AAAAACO5u8g=",0)</f>
        <v>#REF!</v>
      </c>
      <c r="GT276" t="e">
        <f>IF(#REF!,"AAAAACO5u8k=",0)</f>
        <v>#REF!</v>
      </c>
      <c r="GU276" t="e">
        <f>IF(#REF!,"AAAAACO5u8o=",0)</f>
        <v>#REF!</v>
      </c>
      <c r="GV276" t="e">
        <f>IF(#REF!,"AAAAACO5u8s=",0)</f>
        <v>#REF!</v>
      </c>
      <c r="GW276" t="e">
        <f>IF(#REF!,"AAAAACO5u8w=",0)</f>
        <v>#REF!</v>
      </c>
      <c r="GX276" t="e">
        <f>IF(#REF!,"AAAAACO5u80=",0)</f>
        <v>#REF!</v>
      </c>
      <c r="GY276" t="e">
        <f>IF(#REF!,"AAAAACO5u84=",0)</f>
        <v>#REF!</v>
      </c>
      <c r="GZ276" t="e">
        <f>IF(#REF!,"AAAAACO5u88=",0)</f>
        <v>#REF!</v>
      </c>
      <c r="HA276" t="e">
        <f>IF(#REF!,"AAAAACO5u9A=",0)</f>
        <v>#REF!</v>
      </c>
      <c r="HB276" t="e">
        <f>IF(#REF!,"AAAAACO5u9E=",0)</f>
        <v>#REF!</v>
      </c>
      <c r="HC276" t="e">
        <f>IF(#REF!,"AAAAACO5u9I=",0)</f>
        <v>#REF!</v>
      </c>
      <c r="HD276" t="e">
        <f>IF(#REF!,"AAAAACO5u9M=",0)</f>
        <v>#REF!</v>
      </c>
      <c r="HE276" t="e">
        <f>IF(#REF!,"AAAAACO5u9Q=",0)</f>
        <v>#REF!</v>
      </c>
      <c r="HF276" t="e">
        <f>IF(#REF!,"AAAAACO5u9U=",0)</f>
        <v>#REF!</v>
      </c>
      <c r="HG276" t="e">
        <f>IF(#REF!,"AAAAACO5u9Y=",0)</f>
        <v>#REF!</v>
      </c>
      <c r="HH276" t="e">
        <f>IF(#REF!,"AAAAACO5u9c=",0)</f>
        <v>#REF!</v>
      </c>
      <c r="HI276" t="e">
        <f>IF(#REF!,"AAAAACO5u9g=",0)</f>
        <v>#REF!</v>
      </c>
      <c r="HJ276" t="e">
        <f>IF(#REF!,"AAAAACO5u9k=",0)</f>
        <v>#REF!</v>
      </c>
      <c r="HK276" t="e">
        <f>IF(#REF!,"AAAAACO5u9o=",0)</f>
        <v>#REF!</v>
      </c>
      <c r="HL276" t="e">
        <f>IF(#REF!,"AAAAACO5u9s=",0)</f>
        <v>#REF!</v>
      </c>
      <c r="HM276" t="e">
        <f>IF(#REF!,"AAAAACO5u9w=",0)</f>
        <v>#REF!</v>
      </c>
      <c r="HN276" t="e">
        <f>IF(#REF!,"AAAAACO5u90=",0)</f>
        <v>#REF!</v>
      </c>
      <c r="HO276" t="e">
        <f>IF(#REF!,"AAAAACO5u94=",0)</f>
        <v>#REF!</v>
      </c>
      <c r="HP276" t="e">
        <f>IF(#REF!,"AAAAACO5u98=",0)</f>
        <v>#REF!</v>
      </c>
      <c r="HQ276" t="e">
        <f>IF(#REF!,"AAAAACO5u+A=",0)</f>
        <v>#REF!</v>
      </c>
      <c r="HR276" t="e">
        <f>IF(#REF!,"AAAAACO5u+E=",0)</f>
        <v>#REF!</v>
      </c>
      <c r="HS276" t="e">
        <f>IF(#REF!,"AAAAACO5u+I=",0)</f>
        <v>#REF!</v>
      </c>
      <c r="HT276" t="e">
        <f>IF(#REF!,"AAAAACO5u+M=",0)</f>
        <v>#REF!</v>
      </c>
      <c r="HU276" t="e">
        <f>IF(#REF!,"AAAAACO5u+Q=",0)</f>
        <v>#REF!</v>
      </c>
      <c r="HV276" t="e">
        <f>IF(#REF!,"AAAAACO5u+U=",0)</f>
        <v>#REF!</v>
      </c>
      <c r="HW276" t="e">
        <f>IF(#REF!,"AAAAACO5u+Y=",0)</f>
        <v>#REF!</v>
      </c>
      <c r="HX276" t="e">
        <f>IF(#REF!,"AAAAACO5u+c=",0)</f>
        <v>#REF!</v>
      </c>
      <c r="HY276" t="e">
        <f>IF(#REF!,"AAAAACO5u+g=",0)</f>
        <v>#REF!</v>
      </c>
      <c r="HZ276" t="e">
        <f>IF(#REF!,"AAAAACO5u+k=",0)</f>
        <v>#REF!</v>
      </c>
      <c r="IA276" t="e">
        <f>IF(#REF!,"AAAAACO5u+o=",0)</f>
        <v>#REF!</v>
      </c>
      <c r="IB276" t="e">
        <f>IF(#REF!,"AAAAACO5u+s=",0)</f>
        <v>#REF!</v>
      </c>
      <c r="IC276" t="e">
        <f>IF(#REF!,"AAAAACO5u+w=",0)</f>
        <v>#REF!</v>
      </c>
      <c r="ID276" t="e">
        <f>IF(#REF!,"AAAAACO5u+0=",0)</f>
        <v>#REF!</v>
      </c>
      <c r="IE276" t="e">
        <f>IF(#REF!,"AAAAACO5u+4=",0)</f>
        <v>#REF!</v>
      </c>
      <c r="IF276" t="e">
        <f>IF(#REF!,"AAAAACO5u+8=",0)</f>
        <v>#REF!</v>
      </c>
      <c r="IG276" t="e">
        <f>IF(#REF!,"AAAAACO5u/A=",0)</f>
        <v>#REF!</v>
      </c>
      <c r="IH276" t="e">
        <f>IF(#REF!,"AAAAACO5u/E=",0)</f>
        <v>#REF!</v>
      </c>
      <c r="II276" t="e">
        <f>IF(#REF!,"AAAAACO5u/I=",0)</f>
        <v>#REF!</v>
      </c>
      <c r="IJ276" t="e">
        <f>IF(#REF!,"AAAAACO5u/M=",0)</f>
        <v>#REF!</v>
      </c>
      <c r="IK276" t="e">
        <f>IF(#REF!,"AAAAACO5u/Q=",0)</f>
        <v>#REF!</v>
      </c>
      <c r="IL276" t="e">
        <f>IF(#REF!,"AAAAACO5u/U=",0)</f>
        <v>#REF!</v>
      </c>
      <c r="IM276" t="e">
        <f>IF(#REF!,"AAAAACO5u/Y=",0)</f>
        <v>#REF!</v>
      </c>
      <c r="IN276" t="e">
        <f>IF(#REF!,"AAAAACO5u/c=",0)</f>
        <v>#REF!</v>
      </c>
      <c r="IO276" t="e">
        <f>IF(#REF!,"AAAAACO5u/g=",0)</f>
        <v>#REF!</v>
      </c>
      <c r="IP276" t="e">
        <f>IF(#REF!,"AAAAACO5u/k=",0)</f>
        <v>#REF!</v>
      </c>
      <c r="IQ276" t="e">
        <f>IF(#REF!,"AAAAACO5u/o=",0)</f>
        <v>#REF!</v>
      </c>
      <c r="IR276" t="e">
        <f>IF(#REF!,"AAAAACO5u/s=",0)</f>
        <v>#REF!</v>
      </c>
      <c r="IS276" t="e">
        <f>IF(#REF!,"AAAAACO5u/w=",0)</f>
        <v>#REF!</v>
      </c>
      <c r="IT276" t="e">
        <f>IF(#REF!,"AAAAACO5u/0=",0)</f>
        <v>#REF!</v>
      </c>
      <c r="IU276" t="e">
        <f>IF(#REF!,"AAAAACO5u/4=",0)</f>
        <v>#REF!</v>
      </c>
      <c r="IV276" t="e">
        <f>IF(#REF!,"AAAAACO5u/8=",0)</f>
        <v>#REF!</v>
      </c>
    </row>
    <row r="277" spans="1:256">
      <c r="A277" t="e">
        <f>IF(#REF!,"AAAAAHz17gA=",0)</f>
        <v>#REF!</v>
      </c>
      <c r="B277" t="e">
        <f>IF(#REF!,"AAAAAHz17gE=",0)</f>
        <v>#REF!</v>
      </c>
      <c r="C277" t="e">
        <f>IF(#REF!,"AAAAAHz17gI=",0)</f>
        <v>#REF!</v>
      </c>
      <c r="D277" t="e">
        <f>IF(#REF!,"AAAAAHz17gM=",0)</f>
        <v>#REF!</v>
      </c>
      <c r="E277" t="e">
        <f>IF(#REF!,"AAAAAHz17gQ=",0)</f>
        <v>#REF!</v>
      </c>
      <c r="F277" t="e">
        <f>IF(#REF!,"AAAAAHz17gU=",0)</f>
        <v>#REF!</v>
      </c>
      <c r="G277" t="e">
        <f>IF(#REF!,"AAAAAHz17gY=",0)</f>
        <v>#REF!</v>
      </c>
      <c r="H277" t="e">
        <f>IF(#REF!,"AAAAAHz17gc=",0)</f>
        <v>#REF!</v>
      </c>
      <c r="I277" t="e">
        <f>IF(#REF!,"AAAAAHz17gg=",0)</f>
        <v>#REF!</v>
      </c>
      <c r="J277" t="e">
        <f>IF(#REF!,"AAAAAHz17gk=",0)</f>
        <v>#REF!</v>
      </c>
      <c r="K277" t="e">
        <f>IF(#REF!,"AAAAAHz17go=",0)</f>
        <v>#REF!</v>
      </c>
      <c r="L277" t="e">
        <f>IF(#REF!,"AAAAAHz17gs=",0)</f>
        <v>#REF!</v>
      </c>
      <c r="M277" t="e">
        <f>IF(#REF!,"AAAAAHz17gw=",0)</f>
        <v>#REF!</v>
      </c>
      <c r="N277" t="e">
        <f>IF(#REF!,"AAAAAHz17g0=",0)</f>
        <v>#REF!</v>
      </c>
      <c r="O277" t="e">
        <f>IF(#REF!,"AAAAAHz17g4=",0)</f>
        <v>#REF!</v>
      </c>
      <c r="P277" t="e">
        <f>IF(#REF!,"AAAAAHz17g8=",0)</f>
        <v>#REF!</v>
      </c>
      <c r="Q277" t="e">
        <f>IF(#REF!,"AAAAAHz17hA=",0)</f>
        <v>#REF!</v>
      </c>
      <c r="R277" t="e">
        <f>IF(#REF!,"AAAAAHz17hE=",0)</f>
        <v>#REF!</v>
      </c>
      <c r="S277" t="e">
        <f>IF(#REF!,"AAAAAHz17hI=",0)</f>
        <v>#REF!</v>
      </c>
      <c r="T277" t="e">
        <f>IF(#REF!,"AAAAAHz17hM=",0)</f>
        <v>#REF!</v>
      </c>
      <c r="U277" t="e">
        <f>IF(#REF!,"AAAAAHz17hQ=",0)</f>
        <v>#REF!</v>
      </c>
      <c r="V277" t="e">
        <f>IF(#REF!,"AAAAAHz17hU=",0)</f>
        <v>#REF!</v>
      </c>
      <c r="W277" t="e">
        <f>IF(#REF!,"AAAAAHz17hY=",0)</f>
        <v>#REF!</v>
      </c>
      <c r="X277" t="e">
        <f>IF(#REF!,"AAAAAHz17hc=",0)</f>
        <v>#REF!</v>
      </c>
      <c r="Y277" t="e">
        <f>IF(#REF!,"AAAAAHz17hg=",0)</f>
        <v>#REF!</v>
      </c>
      <c r="Z277" t="e">
        <f>IF(#REF!,"AAAAAHz17hk=",0)</f>
        <v>#REF!</v>
      </c>
      <c r="AA277" t="e">
        <f>IF(#REF!,"AAAAAHz17ho=",0)</f>
        <v>#REF!</v>
      </c>
      <c r="AB277" t="e">
        <f>IF(#REF!,"AAAAAHz17hs=",0)</f>
        <v>#REF!</v>
      </c>
      <c r="AC277" t="e">
        <f>IF(#REF!,"AAAAAHz17hw=",0)</f>
        <v>#REF!</v>
      </c>
      <c r="AD277" t="e">
        <f>IF(#REF!,"AAAAAHz17h0=",0)</f>
        <v>#REF!</v>
      </c>
      <c r="AE277" t="e">
        <f>IF(#REF!,"AAAAAHz17h4=",0)</f>
        <v>#REF!</v>
      </c>
      <c r="AF277" t="e">
        <f>IF(#REF!,"AAAAAHz17h8=",0)</f>
        <v>#REF!</v>
      </c>
      <c r="AG277" t="e">
        <f>IF(#REF!,"AAAAAHz17iA=",0)</f>
        <v>#REF!</v>
      </c>
      <c r="AH277" t="e">
        <f>IF(#REF!,"AAAAAHz17iE=",0)</f>
        <v>#REF!</v>
      </c>
      <c r="AI277" t="e">
        <f>IF(#REF!,"AAAAAHz17iI=",0)</f>
        <v>#REF!</v>
      </c>
      <c r="AJ277" t="e">
        <f>IF(#REF!,"AAAAAHz17iM=",0)</f>
        <v>#REF!</v>
      </c>
      <c r="AK277" t="e">
        <f>IF(#REF!,"AAAAAHz17iQ=",0)</f>
        <v>#REF!</v>
      </c>
      <c r="AL277" t="e">
        <f>IF(#REF!,"AAAAAHz17iU=",0)</f>
        <v>#REF!</v>
      </c>
      <c r="AM277" t="e">
        <f>IF(#REF!,"AAAAAHz17iY=",0)</f>
        <v>#REF!</v>
      </c>
      <c r="AN277" t="e">
        <f>IF(#REF!,"AAAAAHz17ic=",0)</f>
        <v>#REF!</v>
      </c>
      <c r="AO277" t="e">
        <f>IF(#REF!,"AAAAAHz17ig=",0)</f>
        <v>#REF!</v>
      </c>
      <c r="AP277" t="e">
        <f>IF(#REF!,"AAAAAHz17ik=",0)</f>
        <v>#REF!</v>
      </c>
      <c r="AQ277" t="e">
        <f>IF(#REF!,"AAAAAHz17io=",0)</f>
        <v>#REF!</v>
      </c>
      <c r="AR277" t="e">
        <f>IF(#REF!,"AAAAAHz17is=",0)</f>
        <v>#REF!</v>
      </c>
      <c r="AS277" t="e">
        <f>IF(#REF!,"AAAAAHz17iw=",0)</f>
        <v>#REF!</v>
      </c>
      <c r="AT277" t="e">
        <f>IF(#REF!,"AAAAAHz17i0=",0)</f>
        <v>#REF!</v>
      </c>
      <c r="AU277" t="e">
        <f>IF(#REF!,"AAAAAHz17i4=",0)</f>
        <v>#REF!</v>
      </c>
      <c r="AV277" t="e">
        <f>IF(#REF!,"AAAAAHz17i8=",0)</f>
        <v>#REF!</v>
      </c>
      <c r="AW277" t="e">
        <f>IF(#REF!,"AAAAAHz17jA=",0)</f>
        <v>#REF!</v>
      </c>
      <c r="AX277" t="e">
        <f>IF(#REF!,"AAAAAHz17jE=",0)</f>
        <v>#REF!</v>
      </c>
      <c r="AY277" t="e">
        <f>IF(#REF!,"AAAAAHz17jI=",0)</f>
        <v>#REF!</v>
      </c>
      <c r="AZ277" t="e">
        <f>IF(#REF!,"AAAAAHz17jM=",0)</f>
        <v>#REF!</v>
      </c>
      <c r="BA277" t="e">
        <f>IF(#REF!,"AAAAAHz17jQ=",0)</f>
        <v>#REF!</v>
      </c>
      <c r="BB277" t="e">
        <f>IF(#REF!,"AAAAAHz17jU=",0)</f>
        <v>#REF!</v>
      </c>
      <c r="BC277" t="e">
        <f>IF(#REF!,"AAAAAHz17jY=",0)</f>
        <v>#REF!</v>
      </c>
      <c r="BD277" t="e">
        <f>IF(#REF!,"AAAAAHz17jc=",0)</f>
        <v>#REF!</v>
      </c>
      <c r="BE277" t="e">
        <f>IF(#REF!,"AAAAAHz17jg=",0)</f>
        <v>#REF!</v>
      </c>
      <c r="BF277" t="e">
        <f>IF(#REF!,"AAAAAHz17jk=",0)</f>
        <v>#REF!</v>
      </c>
      <c r="BG277" t="e">
        <f>IF(#REF!,"AAAAAHz17jo=",0)</f>
        <v>#REF!</v>
      </c>
      <c r="BH277" t="e">
        <f>IF(#REF!,"AAAAAHz17js=",0)</f>
        <v>#REF!</v>
      </c>
      <c r="BI277" t="e">
        <f>IF(#REF!,"AAAAAHz17jw=",0)</f>
        <v>#REF!</v>
      </c>
      <c r="BJ277" t="e">
        <f>IF(#REF!,"AAAAAHz17j0=",0)</f>
        <v>#REF!</v>
      </c>
      <c r="BK277" t="e">
        <f>IF(#REF!,"AAAAAHz17j4=",0)</f>
        <v>#REF!</v>
      </c>
      <c r="BL277" t="e">
        <f>IF(#REF!,"AAAAAHz17j8=",0)</f>
        <v>#REF!</v>
      </c>
      <c r="BM277" t="e">
        <f>IF(#REF!,"AAAAAHz17kA=",0)</f>
        <v>#REF!</v>
      </c>
      <c r="BN277" t="e">
        <f>IF(#REF!,"AAAAAHz17kE=",0)</f>
        <v>#REF!</v>
      </c>
      <c r="BO277" t="e">
        <f>IF(#REF!,"AAAAAHz17kI=",0)</f>
        <v>#REF!</v>
      </c>
      <c r="BP277" t="e">
        <f>IF(#REF!,"AAAAAHz17kM=",0)</f>
        <v>#REF!</v>
      </c>
      <c r="BQ277" t="e">
        <f>IF(#REF!,"AAAAAHz17kQ=",0)</f>
        <v>#REF!</v>
      </c>
      <c r="BR277" t="e">
        <f>IF(#REF!,"AAAAAHz17kU=",0)</f>
        <v>#REF!</v>
      </c>
      <c r="BS277" t="e">
        <f>IF(#REF!,"AAAAAHz17kY=",0)</f>
        <v>#REF!</v>
      </c>
      <c r="BT277" t="e">
        <f>IF(#REF!,"AAAAAHz17kc=",0)</f>
        <v>#REF!</v>
      </c>
      <c r="BU277" t="e">
        <f>IF(#REF!,"AAAAAHz17kg=",0)</f>
        <v>#REF!</v>
      </c>
      <c r="BV277" t="e">
        <f>IF(#REF!,"AAAAAHz17kk=",0)</f>
        <v>#REF!</v>
      </c>
      <c r="BW277" t="e">
        <f>IF(#REF!,"AAAAAHz17ko=",0)</f>
        <v>#REF!</v>
      </c>
      <c r="BX277" t="e">
        <f>IF(#REF!,"AAAAAHz17ks=",0)</f>
        <v>#REF!</v>
      </c>
      <c r="BY277" t="e">
        <f>IF(#REF!,"AAAAAHz17kw=",0)</f>
        <v>#REF!</v>
      </c>
      <c r="BZ277" t="e">
        <f>IF(#REF!,"AAAAAHz17k0=",0)</f>
        <v>#REF!</v>
      </c>
      <c r="CA277" t="e">
        <f>IF(#REF!,"AAAAAHz17k4=",0)</f>
        <v>#REF!</v>
      </c>
      <c r="CB277" t="e">
        <f>IF(#REF!,"AAAAAHz17k8=",0)</f>
        <v>#REF!</v>
      </c>
      <c r="CC277" t="e">
        <f>IF(#REF!,"AAAAAHz17lA=",0)</f>
        <v>#REF!</v>
      </c>
      <c r="CD277" t="e">
        <f>IF(#REF!,"AAAAAHz17lE=",0)</f>
        <v>#REF!</v>
      </c>
      <c r="CE277" t="e">
        <f>IF(#REF!,"AAAAAHz17lI=",0)</f>
        <v>#REF!</v>
      </c>
      <c r="CF277" t="e">
        <f>IF(#REF!,"AAAAAHz17lM=",0)</f>
        <v>#REF!</v>
      </c>
      <c r="CG277" t="e">
        <f>IF(#REF!,"AAAAAHz17lQ=",0)</f>
        <v>#REF!</v>
      </c>
      <c r="CH277" t="e">
        <f>IF(#REF!,"AAAAAHz17lU=",0)</f>
        <v>#REF!</v>
      </c>
      <c r="CI277" t="e">
        <f>IF(#REF!,"AAAAAHz17lY=",0)</f>
        <v>#REF!</v>
      </c>
      <c r="CJ277" t="e">
        <f>IF(#REF!,"AAAAAHz17lc=",0)</f>
        <v>#REF!</v>
      </c>
      <c r="CK277" t="e">
        <f>IF(#REF!,"AAAAAHz17lg=",0)</f>
        <v>#REF!</v>
      </c>
      <c r="CL277" t="e">
        <f>IF(#REF!,"AAAAAHz17lk=",0)</f>
        <v>#REF!</v>
      </c>
      <c r="CM277" t="e">
        <f>IF(#REF!,"AAAAAHz17lo=",0)</f>
        <v>#REF!</v>
      </c>
      <c r="CN277" t="e">
        <f>IF(#REF!,"AAAAAHz17ls=",0)</f>
        <v>#REF!</v>
      </c>
      <c r="CO277" t="e">
        <f>IF(#REF!,"AAAAAHz17lw=",0)</f>
        <v>#REF!</v>
      </c>
      <c r="CP277" t="e">
        <f>IF(#REF!,"AAAAAHz17l0=",0)</f>
        <v>#REF!</v>
      </c>
      <c r="CQ277" t="e">
        <f>IF(#REF!,"AAAAAHz17l4=",0)</f>
        <v>#REF!</v>
      </c>
      <c r="CR277" t="e">
        <f>IF(#REF!,"AAAAAHz17l8=",0)</f>
        <v>#REF!</v>
      </c>
      <c r="CS277" t="e">
        <f>IF(#REF!,"AAAAAHz17mA=",0)</f>
        <v>#REF!</v>
      </c>
      <c r="CT277" t="e">
        <f>IF(#REF!,"AAAAAHz17mE=",0)</f>
        <v>#REF!</v>
      </c>
      <c r="CU277" t="e">
        <f>IF(#REF!,"AAAAAHz17mI=",0)</f>
        <v>#REF!</v>
      </c>
      <c r="CV277" t="e">
        <f>IF(#REF!,"AAAAAHz17mM=",0)</f>
        <v>#REF!</v>
      </c>
      <c r="CW277" t="e">
        <f>IF(#REF!,"AAAAAHz17mQ=",0)</f>
        <v>#REF!</v>
      </c>
      <c r="CX277" t="e">
        <f>IF(#REF!,"AAAAAHz17mU=",0)</f>
        <v>#REF!</v>
      </c>
      <c r="CY277" t="e">
        <f>IF(#REF!,"AAAAAHz17mY=",0)</f>
        <v>#REF!</v>
      </c>
      <c r="CZ277" t="e">
        <f>IF(#REF!,"AAAAAHz17mc=",0)</f>
        <v>#REF!</v>
      </c>
      <c r="DA277" t="e">
        <f>IF(#REF!,"AAAAAHz17mg=",0)</f>
        <v>#REF!</v>
      </c>
      <c r="DB277" t="e">
        <f>IF(#REF!,"AAAAAHz17mk=",0)</f>
        <v>#REF!</v>
      </c>
      <c r="DC277" t="e">
        <f>IF(#REF!,"AAAAAHz17mo=",0)</f>
        <v>#REF!</v>
      </c>
      <c r="DD277" t="e">
        <f>IF(#REF!,"AAAAAHz17ms=",0)</f>
        <v>#REF!</v>
      </c>
      <c r="DE277" t="e">
        <f>IF(#REF!,"AAAAAHz17mw=",0)</f>
        <v>#REF!</v>
      </c>
      <c r="DF277" t="e">
        <f>IF(#REF!,"AAAAAHz17m0=",0)</f>
        <v>#REF!</v>
      </c>
      <c r="DG277" t="e">
        <f>IF(#REF!,"AAAAAHz17m4=",0)</f>
        <v>#REF!</v>
      </c>
      <c r="DH277" t="e">
        <f>IF(#REF!,"AAAAAHz17m8=",0)</f>
        <v>#REF!</v>
      </c>
      <c r="DI277" t="e">
        <f>IF(#REF!,"AAAAAHz17nA=",0)</f>
        <v>#REF!</v>
      </c>
      <c r="DJ277" t="e">
        <f>IF(#REF!,"AAAAAHz17nE=",0)</f>
        <v>#REF!</v>
      </c>
      <c r="DK277" t="e">
        <f>IF(#REF!,"AAAAAHz17nI=",0)</f>
        <v>#REF!</v>
      </c>
      <c r="DL277" t="e">
        <f>IF(#REF!,"AAAAAHz17nM=",0)</f>
        <v>#REF!</v>
      </c>
      <c r="DM277" t="e">
        <f>IF(#REF!,"AAAAAHz17nQ=",0)</f>
        <v>#REF!</v>
      </c>
      <c r="DN277" t="e">
        <f>IF(#REF!,"AAAAAHz17nU=",0)</f>
        <v>#REF!</v>
      </c>
      <c r="DO277" t="e">
        <f>IF(#REF!,"AAAAAHz17nY=",0)</f>
        <v>#REF!</v>
      </c>
      <c r="DP277" t="e">
        <f>IF(#REF!,"AAAAAHz17nc=",0)</f>
        <v>#REF!</v>
      </c>
      <c r="DQ277" t="e">
        <f>IF(#REF!,"AAAAAHz17ng=",0)</f>
        <v>#REF!</v>
      </c>
      <c r="DR277" t="e">
        <f>IF(#REF!,"AAAAAHz17nk=",0)</f>
        <v>#REF!</v>
      </c>
      <c r="DS277" t="e">
        <f>IF(#REF!,"AAAAAHz17no=",0)</f>
        <v>#REF!</v>
      </c>
      <c r="DT277" t="e">
        <f>IF(#REF!,"AAAAAHz17ns=",0)</f>
        <v>#REF!</v>
      </c>
      <c r="DU277" t="e">
        <f>IF(#REF!,"AAAAAHz17nw=",0)</f>
        <v>#REF!</v>
      </c>
      <c r="DV277" t="e">
        <f>IF(#REF!,"AAAAAHz17n0=",0)</f>
        <v>#REF!</v>
      </c>
      <c r="DW277" t="e">
        <f>IF(#REF!,"AAAAAHz17n4=",0)</f>
        <v>#REF!</v>
      </c>
      <c r="DX277" t="e">
        <f>IF(#REF!,"AAAAAHz17n8=",0)</f>
        <v>#REF!</v>
      </c>
      <c r="DY277" t="e">
        <f>IF(#REF!,"AAAAAHz17oA=",0)</f>
        <v>#REF!</v>
      </c>
      <c r="DZ277" t="e">
        <f>IF(#REF!,"AAAAAHz17oE=",0)</f>
        <v>#REF!</v>
      </c>
      <c r="EA277" t="e">
        <f>IF(#REF!,"AAAAAHz17oI=",0)</f>
        <v>#REF!</v>
      </c>
      <c r="EB277" t="e">
        <f>IF(#REF!,"AAAAAHz17oM=",0)</f>
        <v>#REF!</v>
      </c>
      <c r="EC277" t="e">
        <f>IF(#REF!,"AAAAAHz17oQ=",0)</f>
        <v>#REF!</v>
      </c>
      <c r="ED277" t="e">
        <f>IF(#REF!,"AAAAAHz17oU=",0)</f>
        <v>#REF!</v>
      </c>
      <c r="EE277" t="e">
        <f>IF(#REF!,"AAAAAHz17oY=",0)</f>
        <v>#REF!</v>
      </c>
      <c r="EF277" t="e">
        <f>IF(#REF!,"AAAAAHz17oc=",0)</f>
        <v>#REF!</v>
      </c>
      <c r="EG277" t="e">
        <f>IF(#REF!,"AAAAAHz17og=",0)</f>
        <v>#REF!</v>
      </c>
      <c r="EH277" t="e">
        <f>IF(#REF!,"AAAAAHz17ok=",0)</f>
        <v>#REF!</v>
      </c>
      <c r="EI277" t="e">
        <f>IF(#REF!,"AAAAAHz17oo=",0)</f>
        <v>#REF!</v>
      </c>
      <c r="EJ277" t="e">
        <f>IF(#REF!,"AAAAAHz17os=",0)</f>
        <v>#REF!</v>
      </c>
      <c r="EK277" t="e">
        <f>IF(#REF!,"AAAAAHz17ow=",0)</f>
        <v>#REF!</v>
      </c>
      <c r="EL277" t="e">
        <f>IF(#REF!,"AAAAAHz17o0=",0)</f>
        <v>#REF!</v>
      </c>
      <c r="EM277" t="e">
        <f>IF(#REF!,"AAAAAHz17o4=",0)</f>
        <v>#REF!</v>
      </c>
      <c r="EN277" t="e">
        <f>IF(#REF!,"AAAAAHz17o8=",0)</f>
        <v>#REF!</v>
      </c>
      <c r="EO277" t="e">
        <f>IF(#REF!,"AAAAAHz17pA=",0)</f>
        <v>#REF!</v>
      </c>
      <c r="EP277" t="e">
        <f>IF(#REF!,"AAAAAHz17pE=",0)</f>
        <v>#REF!</v>
      </c>
      <c r="EQ277" t="e">
        <f>IF(#REF!,"AAAAAHz17pI=",0)</f>
        <v>#REF!</v>
      </c>
      <c r="ER277" t="e">
        <f>IF(#REF!,"AAAAAHz17pM=",0)</f>
        <v>#REF!</v>
      </c>
      <c r="ES277" t="e">
        <f>IF(#REF!,"AAAAAHz17pQ=",0)</f>
        <v>#REF!</v>
      </c>
      <c r="ET277" t="e">
        <f>IF(#REF!,"AAAAAHz17pU=",0)</f>
        <v>#REF!</v>
      </c>
      <c r="EU277" t="e">
        <f>IF(#REF!,"AAAAAHz17pY=",0)</f>
        <v>#REF!</v>
      </c>
      <c r="EV277" t="e">
        <f>IF(#REF!,"AAAAAHz17pc=",0)</f>
        <v>#REF!</v>
      </c>
      <c r="EW277" t="e">
        <f>IF(#REF!,"AAAAAHz17pg=",0)</f>
        <v>#REF!</v>
      </c>
      <c r="EX277" t="e">
        <f>IF(#REF!,"AAAAAHz17pk=",0)</f>
        <v>#REF!</v>
      </c>
      <c r="EY277" t="e">
        <f>IF(#REF!,"AAAAAHz17po=",0)</f>
        <v>#REF!</v>
      </c>
      <c r="EZ277" t="e">
        <f>IF(#REF!,"AAAAAHz17ps=",0)</f>
        <v>#REF!</v>
      </c>
      <c r="FA277" t="e">
        <f>IF(#REF!,"AAAAAHz17pw=",0)</f>
        <v>#REF!</v>
      </c>
      <c r="FB277" t="e">
        <f>IF(#REF!,"AAAAAHz17p0=",0)</f>
        <v>#REF!</v>
      </c>
      <c r="FC277" t="e">
        <f>IF(#REF!,"AAAAAHz17p4=",0)</f>
        <v>#REF!</v>
      </c>
      <c r="FD277" t="e">
        <f>IF(#REF!,"AAAAAHz17p8=",0)</f>
        <v>#REF!</v>
      </c>
      <c r="FE277" t="e">
        <f>IF(#REF!,"AAAAAHz17qA=",0)</f>
        <v>#REF!</v>
      </c>
      <c r="FF277" t="e">
        <f>IF(#REF!,"AAAAAHz17qE=",0)</f>
        <v>#REF!</v>
      </c>
      <c r="FG277" t="e">
        <f>IF(#REF!,"AAAAAHz17qI=",0)</f>
        <v>#REF!</v>
      </c>
      <c r="FH277" t="e">
        <f>IF(#REF!,"AAAAAHz17qM=",0)</f>
        <v>#REF!</v>
      </c>
      <c r="FI277" t="e">
        <f>IF(#REF!,"AAAAAHz17qQ=",0)</f>
        <v>#REF!</v>
      </c>
      <c r="FJ277" t="e">
        <f>IF(#REF!,"AAAAAHz17qU=",0)</f>
        <v>#REF!</v>
      </c>
      <c r="FK277" t="e">
        <f>IF(#REF!,"AAAAAHz17qY=",0)</f>
        <v>#REF!</v>
      </c>
      <c r="FL277" t="e">
        <f>IF(#REF!,"AAAAAHz17qc=",0)</f>
        <v>#REF!</v>
      </c>
      <c r="FM277" t="e">
        <f>IF(#REF!,"AAAAAHz17qg=",0)</f>
        <v>#REF!</v>
      </c>
      <c r="FN277" t="e">
        <f>IF(#REF!,"AAAAAHz17qk=",0)</f>
        <v>#REF!</v>
      </c>
      <c r="FO277" t="e">
        <f>IF(#REF!,"AAAAAHz17qo=",0)</f>
        <v>#REF!</v>
      </c>
      <c r="FP277" t="e">
        <f>IF(#REF!,"AAAAAHz17qs=",0)</f>
        <v>#REF!</v>
      </c>
      <c r="FQ277" t="e">
        <f>IF(#REF!,"AAAAAHz17qw=",0)</f>
        <v>#REF!</v>
      </c>
      <c r="FR277" t="e">
        <f>IF(#REF!,"AAAAAHz17q0=",0)</f>
        <v>#REF!</v>
      </c>
      <c r="FS277" t="e">
        <f>IF(#REF!,"AAAAAHz17q4=",0)</f>
        <v>#REF!</v>
      </c>
      <c r="FT277" t="e">
        <f>IF(#REF!,"AAAAAHz17q8=",0)</f>
        <v>#REF!</v>
      </c>
      <c r="FU277" t="e">
        <f>IF(#REF!,"AAAAAHz17rA=",0)</f>
        <v>#REF!</v>
      </c>
      <c r="FV277" t="e">
        <f>IF(#REF!,"AAAAAHz17rE=",0)</f>
        <v>#REF!</v>
      </c>
      <c r="FW277" t="e">
        <f>IF(#REF!,"AAAAAHz17rI=",0)</f>
        <v>#REF!</v>
      </c>
      <c r="FX277" t="e">
        <f>IF(#REF!,"AAAAAHz17rM=",0)</f>
        <v>#REF!</v>
      </c>
      <c r="FY277" t="e">
        <f>IF(#REF!,"AAAAAHz17rQ=",0)</f>
        <v>#REF!</v>
      </c>
      <c r="FZ277" t="e">
        <f>IF(#REF!,"AAAAAHz17rU=",0)</f>
        <v>#REF!</v>
      </c>
      <c r="GA277" t="e">
        <f>IF(#REF!,"AAAAAHz17rY=",0)</f>
        <v>#REF!</v>
      </c>
      <c r="GB277" t="e">
        <f>IF(#REF!,"AAAAAHz17rc=",0)</f>
        <v>#REF!</v>
      </c>
      <c r="GC277" t="e">
        <f>IF(#REF!,"AAAAAHz17rg=",0)</f>
        <v>#REF!</v>
      </c>
      <c r="GD277" t="e">
        <f>IF(#REF!,"AAAAAHz17rk=",0)</f>
        <v>#REF!</v>
      </c>
      <c r="GE277" t="e">
        <f>IF(#REF!,"AAAAAHz17ro=",0)</f>
        <v>#REF!</v>
      </c>
      <c r="GF277" t="e">
        <f>IF(#REF!,"AAAAAHz17rs=",0)</f>
        <v>#REF!</v>
      </c>
      <c r="GG277" t="e">
        <f>IF(#REF!,"AAAAAHz17rw=",0)</f>
        <v>#REF!</v>
      </c>
      <c r="GH277" t="e">
        <f>IF(#REF!,"AAAAAHz17r0=",0)</f>
        <v>#REF!</v>
      </c>
      <c r="GI277" t="e">
        <f>IF(#REF!,"AAAAAHz17r4=",0)</f>
        <v>#REF!</v>
      </c>
      <c r="GJ277" t="e">
        <f>IF(#REF!,"AAAAAHz17r8=",0)</f>
        <v>#REF!</v>
      </c>
      <c r="GK277" t="e">
        <f>IF(#REF!,"AAAAAHz17sA=",0)</f>
        <v>#REF!</v>
      </c>
      <c r="GL277" t="e">
        <f>IF(#REF!,"AAAAAHz17sE=",0)</f>
        <v>#REF!</v>
      </c>
      <c r="GM277" t="e">
        <f>IF(#REF!,"AAAAAHz17sI=",0)</f>
        <v>#REF!</v>
      </c>
      <c r="GN277" t="e">
        <f>IF(#REF!,"AAAAAHz17sM=",0)</f>
        <v>#REF!</v>
      </c>
      <c r="GO277" t="e">
        <f>IF(#REF!,"AAAAAHz17sQ=",0)</f>
        <v>#REF!</v>
      </c>
      <c r="GP277" t="e">
        <f>IF(#REF!,"AAAAAHz17sU=",0)</f>
        <v>#REF!</v>
      </c>
      <c r="GQ277" t="e">
        <f>IF(#REF!,"AAAAAHz17sY=",0)</f>
        <v>#REF!</v>
      </c>
      <c r="GR277" t="e">
        <f>IF(#REF!,"AAAAAHz17sc=",0)</f>
        <v>#REF!</v>
      </c>
      <c r="GS277" t="e">
        <f>IF(#REF!,"AAAAAHz17sg=",0)</f>
        <v>#REF!</v>
      </c>
      <c r="GT277" t="e">
        <f>IF(#REF!,"AAAAAHz17sk=",0)</f>
        <v>#REF!</v>
      </c>
      <c r="GU277" t="e">
        <f>IF(#REF!,"AAAAAHz17so=",0)</f>
        <v>#REF!</v>
      </c>
      <c r="GV277" t="e">
        <f>IF(#REF!,"AAAAAHz17ss=",0)</f>
        <v>#REF!</v>
      </c>
      <c r="GW277" t="e">
        <f>IF(#REF!,"AAAAAHz17sw=",0)</f>
        <v>#REF!</v>
      </c>
      <c r="GX277" t="e">
        <f>IF(#REF!,"AAAAAHz17s0=",0)</f>
        <v>#REF!</v>
      </c>
      <c r="GY277" t="e">
        <f>IF(#REF!,"AAAAAHz17s4=",0)</f>
        <v>#REF!</v>
      </c>
      <c r="GZ277" t="e">
        <f>IF(#REF!,"AAAAAHz17s8=",0)</f>
        <v>#REF!</v>
      </c>
      <c r="HA277" t="e">
        <f>IF(#REF!,"AAAAAHz17tA=",0)</f>
        <v>#REF!</v>
      </c>
      <c r="HB277" t="e">
        <f>IF(#REF!,"AAAAAHz17tE=",0)</f>
        <v>#REF!</v>
      </c>
      <c r="HC277" t="e">
        <f>IF(#REF!,"AAAAAHz17tI=",0)</f>
        <v>#REF!</v>
      </c>
      <c r="HD277" t="e">
        <f>IF(#REF!,"AAAAAHz17tM=",0)</f>
        <v>#REF!</v>
      </c>
      <c r="HE277" t="e">
        <f>IF(#REF!,"AAAAAHz17tQ=",0)</f>
        <v>#REF!</v>
      </c>
      <c r="HF277" t="e">
        <f>IF(#REF!,"AAAAAHz17tU=",0)</f>
        <v>#REF!</v>
      </c>
      <c r="HG277" t="e">
        <f>IF(#REF!,"AAAAAHz17tY=",0)</f>
        <v>#REF!</v>
      </c>
      <c r="HH277" t="e">
        <f>IF(#REF!,"AAAAAHz17tc=",0)</f>
        <v>#REF!</v>
      </c>
      <c r="HI277" t="e">
        <f>IF(#REF!,"AAAAAHz17tg=",0)</f>
        <v>#REF!</v>
      </c>
      <c r="HJ277" t="e">
        <f>IF(#REF!,"AAAAAHz17tk=",0)</f>
        <v>#REF!</v>
      </c>
      <c r="HK277" t="e">
        <f>IF(#REF!,"AAAAAHz17to=",0)</f>
        <v>#REF!</v>
      </c>
      <c r="HL277" t="e">
        <f>IF(#REF!,"AAAAAHz17ts=",0)</f>
        <v>#REF!</v>
      </c>
      <c r="HM277" t="e">
        <f>IF(#REF!,"AAAAAHz17tw=",0)</f>
        <v>#REF!</v>
      </c>
      <c r="HN277" t="e">
        <f>IF(#REF!,"AAAAAHz17t0=",0)</f>
        <v>#REF!</v>
      </c>
      <c r="HO277" t="e">
        <f>IF(#REF!,"AAAAAHz17t4=",0)</f>
        <v>#REF!</v>
      </c>
      <c r="HP277" t="e">
        <f>IF(#REF!,"AAAAAHz17t8=",0)</f>
        <v>#REF!</v>
      </c>
      <c r="HQ277" t="e">
        <f>IF(#REF!,"AAAAAHz17uA=",0)</f>
        <v>#REF!</v>
      </c>
      <c r="HR277" t="e">
        <f>IF(#REF!,"AAAAAHz17uE=",0)</f>
        <v>#REF!</v>
      </c>
      <c r="HS277" t="e">
        <f>IF(#REF!,"AAAAAHz17uI=",0)</f>
        <v>#REF!</v>
      </c>
      <c r="HT277" t="e">
        <f>IF(#REF!,"AAAAAHz17uM=",0)</f>
        <v>#REF!</v>
      </c>
      <c r="HU277" t="e">
        <f>IF(#REF!,"AAAAAHz17uQ=",0)</f>
        <v>#REF!</v>
      </c>
      <c r="HV277" t="e">
        <f>IF(#REF!,"AAAAAHz17uU=",0)</f>
        <v>#REF!</v>
      </c>
      <c r="HW277" t="e">
        <f>IF(#REF!,"AAAAAHz17uY=",0)</f>
        <v>#REF!</v>
      </c>
      <c r="HX277" t="e">
        <f>IF(#REF!,"AAAAAHz17uc=",0)</f>
        <v>#REF!</v>
      </c>
      <c r="HY277" t="e">
        <f>IF(#REF!,"AAAAAHz17ug=",0)</f>
        <v>#REF!</v>
      </c>
      <c r="HZ277" t="e">
        <f>IF(#REF!,"AAAAAHz17uk=",0)</f>
        <v>#REF!</v>
      </c>
      <c r="IA277" t="e">
        <f>IF(#REF!,"AAAAAHz17uo=",0)</f>
        <v>#REF!</v>
      </c>
      <c r="IB277" t="e">
        <f>IF(#REF!,"AAAAAHz17us=",0)</f>
        <v>#REF!</v>
      </c>
      <c r="IC277" t="e">
        <f>IF(#REF!,"AAAAAHz17uw=",0)</f>
        <v>#REF!</v>
      </c>
      <c r="ID277" t="e">
        <f>IF(#REF!,"AAAAAHz17u0=",0)</f>
        <v>#REF!</v>
      </c>
      <c r="IE277" t="e">
        <f>IF(#REF!,"AAAAAHz17u4=",0)</f>
        <v>#REF!</v>
      </c>
      <c r="IF277" t="e">
        <f>IF(#REF!,"AAAAAHz17u8=",0)</f>
        <v>#REF!</v>
      </c>
      <c r="IG277" t="e">
        <f>IF(#REF!,"AAAAAHz17vA=",0)</f>
        <v>#REF!</v>
      </c>
      <c r="IH277" t="e">
        <f>IF(#REF!,"AAAAAHz17vE=",0)</f>
        <v>#REF!</v>
      </c>
      <c r="II277" t="e">
        <f>IF(#REF!,"AAAAAHz17vI=",0)</f>
        <v>#REF!</v>
      </c>
      <c r="IJ277" t="e">
        <f>IF(#REF!,"AAAAAHz17vM=",0)</f>
        <v>#REF!</v>
      </c>
      <c r="IK277" t="e">
        <f>IF(#REF!,"AAAAAHz17vQ=",0)</f>
        <v>#REF!</v>
      </c>
      <c r="IL277" t="e">
        <f>IF(#REF!,"AAAAAHz17vU=",0)</f>
        <v>#REF!</v>
      </c>
      <c r="IM277" t="e">
        <f>IF(#REF!,"AAAAAHz17vY=",0)</f>
        <v>#REF!</v>
      </c>
      <c r="IN277" t="e">
        <f>IF(#REF!,"AAAAAHz17vc=",0)</f>
        <v>#REF!</v>
      </c>
      <c r="IO277" t="e">
        <f>IF(#REF!,"AAAAAHz17vg=",0)</f>
        <v>#REF!</v>
      </c>
      <c r="IP277" t="e">
        <f>IF(#REF!,"AAAAAHz17vk=",0)</f>
        <v>#REF!</v>
      </c>
      <c r="IQ277" t="e">
        <f>IF(#REF!,"AAAAAHz17vo=",0)</f>
        <v>#REF!</v>
      </c>
      <c r="IR277" t="e">
        <f>IF(#REF!,"AAAAAHz17vs=",0)</f>
        <v>#REF!</v>
      </c>
      <c r="IS277" t="e">
        <f>IF(#REF!,"AAAAAHz17vw=",0)</f>
        <v>#REF!</v>
      </c>
      <c r="IT277" t="e">
        <f>IF(#REF!,"AAAAAHz17v0=",0)</f>
        <v>#REF!</v>
      </c>
      <c r="IU277" t="e">
        <f>IF(#REF!,"AAAAAHz17v4=",0)</f>
        <v>#REF!</v>
      </c>
      <c r="IV277" t="e">
        <f>IF(#REF!,"AAAAAHz17v8=",0)</f>
        <v>#REF!</v>
      </c>
    </row>
    <row r="278" spans="1:256">
      <c r="A278" t="e">
        <f>IF(#REF!,"AAAAAF/56QA=",0)</f>
        <v>#REF!</v>
      </c>
      <c r="B278" t="e">
        <f>IF(#REF!,"AAAAAF/56QE=",0)</f>
        <v>#REF!</v>
      </c>
      <c r="C278" t="e">
        <f>IF(#REF!,"AAAAAF/56QI=",0)</f>
        <v>#REF!</v>
      </c>
      <c r="D278" t="e">
        <f>IF(#REF!,"AAAAAF/56QM=",0)</f>
        <v>#REF!</v>
      </c>
      <c r="E278" t="e">
        <f>IF(#REF!,"AAAAAF/56QQ=",0)</f>
        <v>#REF!</v>
      </c>
      <c r="F278" t="e">
        <f>IF(#REF!,"AAAAAF/56QU=",0)</f>
        <v>#REF!</v>
      </c>
      <c r="G278" t="e">
        <f>IF(#REF!,"AAAAAF/56QY=",0)</f>
        <v>#REF!</v>
      </c>
      <c r="H278" t="e">
        <f>IF(#REF!,"AAAAAF/56Qc=",0)</f>
        <v>#REF!</v>
      </c>
      <c r="I278" t="e">
        <f>IF(#REF!,"AAAAAF/56Qg=",0)</f>
        <v>#REF!</v>
      </c>
      <c r="J278" t="e">
        <f>IF(#REF!,"AAAAAF/56Qk=",0)</f>
        <v>#REF!</v>
      </c>
      <c r="K278" t="e">
        <f>IF(#REF!,"AAAAAF/56Qo=",0)</f>
        <v>#REF!</v>
      </c>
      <c r="L278" t="e">
        <f>IF(#REF!,"AAAAAF/56Qs=",0)</f>
        <v>#REF!</v>
      </c>
      <c r="M278" t="e">
        <f>IF(#REF!,"AAAAAF/56Qw=",0)</f>
        <v>#REF!</v>
      </c>
      <c r="N278" t="e">
        <f>IF(#REF!,"AAAAAF/56Q0=",0)</f>
        <v>#REF!</v>
      </c>
      <c r="O278" t="e">
        <f>IF(#REF!,"AAAAAF/56Q4=",0)</f>
        <v>#REF!</v>
      </c>
      <c r="P278" t="e">
        <f>IF(#REF!,"AAAAAF/56Q8=",0)</f>
        <v>#REF!</v>
      </c>
      <c r="Q278" t="e">
        <f>IF(#REF!,"AAAAAF/56RA=",0)</f>
        <v>#REF!</v>
      </c>
      <c r="R278" t="e">
        <f>IF(#REF!,"AAAAAF/56RE=",0)</f>
        <v>#REF!</v>
      </c>
      <c r="S278" t="e">
        <f>IF(#REF!,"AAAAAF/56RI=",0)</f>
        <v>#REF!</v>
      </c>
      <c r="T278" t="e">
        <f>IF(#REF!,"AAAAAF/56RM=",0)</f>
        <v>#REF!</v>
      </c>
      <c r="U278" t="e">
        <f>IF(#REF!,"AAAAAF/56RQ=",0)</f>
        <v>#REF!</v>
      </c>
      <c r="V278" t="e">
        <f>IF(#REF!,"AAAAAF/56RU=",0)</f>
        <v>#REF!</v>
      </c>
      <c r="W278" t="e">
        <f>IF(#REF!,"AAAAAF/56RY=",0)</f>
        <v>#REF!</v>
      </c>
      <c r="X278" t="e">
        <f>IF(#REF!,"AAAAAF/56Rc=",0)</f>
        <v>#REF!</v>
      </c>
      <c r="Y278" t="e">
        <f>IF(#REF!,"AAAAAF/56Rg=",0)</f>
        <v>#REF!</v>
      </c>
      <c r="Z278" t="e">
        <f>IF(#REF!,"AAAAAF/56Rk=",0)</f>
        <v>#REF!</v>
      </c>
      <c r="AA278" t="e">
        <f>IF(#REF!,"AAAAAF/56Ro=",0)</f>
        <v>#REF!</v>
      </c>
      <c r="AB278" t="e">
        <f>IF(#REF!,"AAAAAF/56Rs=",0)</f>
        <v>#REF!</v>
      </c>
      <c r="AC278" t="e">
        <f>IF(#REF!,"AAAAAF/56Rw=",0)</f>
        <v>#REF!</v>
      </c>
      <c r="AD278" t="e">
        <f>IF(#REF!,"AAAAAF/56R0=",0)</f>
        <v>#REF!</v>
      </c>
      <c r="AE278" t="e">
        <f>IF(#REF!,"AAAAAF/56R4=",0)</f>
        <v>#REF!</v>
      </c>
      <c r="AF278" t="e">
        <f>IF(#REF!,"AAAAAF/56R8=",0)</f>
        <v>#REF!</v>
      </c>
      <c r="AG278" t="e">
        <f>IF(#REF!,"AAAAAF/56SA=",0)</f>
        <v>#REF!</v>
      </c>
      <c r="AH278" t="e">
        <f>IF(#REF!,"AAAAAF/56SE=",0)</f>
        <v>#REF!</v>
      </c>
      <c r="AI278" t="e">
        <f>IF(#REF!,"AAAAAF/56SI=",0)</f>
        <v>#REF!</v>
      </c>
      <c r="AJ278" t="e">
        <f>IF(#REF!,"AAAAAF/56SM=",0)</f>
        <v>#REF!</v>
      </c>
      <c r="AK278" t="e">
        <f>IF(#REF!,"AAAAAF/56SQ=",0)</f>
        <v>#REF!</v>
      </c>
      <c r="AL278" t="e">
        <f>IF(#REF!,"AAAAAF/56SU=",0)</f>
        <v>#REF!</v>
      </c>
      <c r="AM278" t="e">
        <f>IF(#REF!,"AAAAAF/56SY=",0)</f>
        <v>#REF!</v>
      </c>
      <c r="AN278" t="e">
        <f>IF(#REF!,"AAAAAF/56Sc=",0)</f>
        <v>#REF!</v>
      </c>
      <c r="AO278" t="e">
        <f>IF(#REF!,"AAAAAF/56Sg=",0)</f>
        <v>#REF!</v>
      </c>
      <c r="AP278" t="e">
        <f>IF(#REF!,"AAAAAF/56Sk=",0)</f>
        <v>#REF!</v>
      </c>
      <c r="AQ278" t="e">
        <f>IF(#REF!,"AAAAAF/56So=",0)</f>
        <v>#REF!</v>
      </c>
      <c r="AR278" t="e">
        <f>IF(#REF!,"AAAAAF/56Ss=",0)</f>
        <v>#REF!</v>
      </c>
      <c r="AS278" t="e">
        <f>IF(#REF!,"AAAAAF/56Sw=",0)</f>
        <v>#REF!</v>
      </c>
      <c r="AT278" t="e">
        <f>IF(#REF!,"AAAAAF/56S0=",0)</f>
        <v>#REF!</v>
      </c>
      <c r="AU278" t="e">
        <f>IF(#REF!,"AAAAAF/56S4=",0)</f>
        <v>#REF!</v>
      </c>
      <c r="AV278" t="e">
        <f>IF(#REF!,"AAAAAF/56S8=",0)</f>
        <v>#REF!</v>
      </c>
      <c r="AW278" t="e">
        <f>IF(#REF!,"AAAAAF/56TA=",0)</f>
        <v>#REF!</v>
      </c>
      <c r="AX278" t="e">
        <f>IF(#REF!,"AAAAAF/56TE=",0)</f>
        <v>#REF!</v>
      </c>
      <c r="AY278" t="e">
        <f>IF(#REF!,"AAAAAF/56TI=",0)</f>
        <v>#REF!</v>
      </c>
      <c r="AZ278" t="e">
        <f>IF(#REF!,"AAAAAF/56TM=",0)</f>
        <v>#REF!</v>
      </c>
      <c r="BA278" t="e">
        <f>IF(#REF!,"AAAAAF/56TQ=",0)</f>
        <v>#REF!</v>
      </c>
      <c r="BB278" t="e">
        <f>IF(#REF!,"AAAAAF/56TU=",0)</f>
        <v>#REF!</v>
      </c>
      <c r="BC278" t="e">
        <f>IF(#REF!,"AAAAAF/56TY=",0)</f>
        <v>#REF!</v>
      </c>
      <c r="BD278" t="e">
        <f>IF(#REF!,"AAAAAF/56Tc=",0)</f>
        <v>#REF!</v>
      </c>
      <c r="BE278" t="e">
        <f>IF(#REF!,"AAAAAF/56Tg=",0)</f>
        <v>#REF!</v>
      </c>
      <c r="BF278" t="e">
        <f>IF(#REF!,"AAAAAF/56Tk=",0)</f>
        <v>#REF!</v>
      </c>
      <c r="BG278" t="e">
        <f>IF(#REF!,"AAAAAF/56To=",0)</f>
        <v>#REF!</v>
      </c>
      <c r="BH278" t="e">
        <f>IF(#REF!,"AAAAAF/56Ts=",0)</f>
        <v>#REF!</v>
      </c>
      <c r="BI278" t="e">
        <f>IF(#REF!,"AAAAAF/56Tw=",0)</f>
        <v>#REF!</v>
      </c>
      <c r="BJ278" t="e">
        <f>IF(#REF!,"AAAAAF/56T0=",0)</f>
        <v>#REF!</v>
      </c>
      <c r="BK278" t="e">
        <f>IF(#REF!,"AAAAAF/56T4=",0)</f>
        <v>#REF!</v>
      </c>
      <c r="BL278" t="e">
        <f>IF(#REF!,"AAAAAF/56T8=",0)</f>
        <v>#REF!</v>
      </c>
      <c r="BM278" t="e">
        <f>IF(#REF!,"AAAAAF/56UA=",0)</f>
        <v>#REF!</v>
      </c>
      <c r="BN278" t="e">
        <f>IF(#REF!,"AAAAAF/56UE=",0)</f>
        <v>#REF!</v>
      </c>
      <c r="BO278" t="e">
        <f>IF(#REF!,"AAAAAF/56UI=",0)</f>
        <v>#REF!</v>
      </c>
      <c r="BP278" t="e">
        <f>IF(#REF!,"AAAAAF/56UM=",0)</f>
        <v>#REF!</v>
      </c>
      <c r="BQ278" t="e">
        <f>IF(#REF!,"AAAAAF/56UQ=",0)</f>
        <v>#REF!</v>
      </c>
      <c r="BR278" t="e">
        <f>IF(#REF!,"AAAAAF/56UU=",0)</f>
        <v>#REF!</v>
      </c>
      <c r="BS278" t="e">
        <f>IF(#REF!,"AAAAAF/56UY=",0)</f>
        <v>#REF!</v>
      </c>
      <c r="BT278" t="e">
        <f>IF(#REF!,"AAAAAF/56Uc=",0)</f>
        <v>#REF!</v>
      </c>
      <c r="BU278" t="e">
        <f>IF(#REF!,"AAAAAF/56Ug=",0)</f>
        <v>#REF!</v>
      </c>
      <c r="BV278" t="e">
        <f>IF(#REF!,"AAAAAF/56Uk=",0)</f>
        <v>#REF!</v>
      </c>
      <c r="BW278" t="e">
        <f>IF(#REF!,"AAAAAF/56Uo=",0)</f>
        <v>#REF!</v>
      </c>
      <c r="BX278" t="e">
        <f>IF(#REF!,"AAAAAF/56Us=",0)</f>
        <v>#REF!</v>
      </c>
      <c r="BY278" t="e">
        <f>IF(#REF!,"AAAAAF/56Uw=",0)</f>
        <v>#REF!</v>
      </c>
      <c r="BZ278" t="e">
        <f>IF(#REF!,"AAAAAF/56U0=",0)</f>
        <v>#REF!</v>
      </c>
      <c r="CA278" t="e">
        <f>IF(#REF!,"AAAAAF/56U4=",0)</f>
        <v>#REF!</v>
      </c>
      <c r="CB278" t="e">
        <f>IF(#REF!,"AAAAAF/56U8=",0)</f>
        <v>#REF!</v>
      </c>
      <c r="CC278" t="e">
        <f>IF(#REF!,"AAAAAF/56VA=",0)</f>
        <v>#REF!</v>
      </c>
      <c r="CD278" t="e">
        <f>IF(#REF!,"AAAAAF/56VE=",0)</f>
        <v>#REF!</v>
      </c>
      <c r="CE278" t="e">
        <f>IF(#REF!,"AAAAAF/56VI=",0)</f>
        <v>#REF!</v>
      </c>
      <c r="CF278" t="e">
        <f>IF(#REF!,"AAAAAF/56VM=",0)</f>
        <v>#REF!</v>
      </c>
      <c r="CG278" t="e">
        <f>IF(#REF!,"AAAAAF/56VQ=",0)</f>
        <v>#REF!</v>
      </c>
      <c r="CH278" t="e">
        <f>IF(#REF!,"AAAAAF/56VU=",0)</f>
        <v>#REF!</v>
      </c>
      <c r="CI278" t="e">
        <f>IF(#REF!,"AAAAAF/56VY=",0)</f>
        <v>#REF!</v>
      </c>
      <c r="CJ278" t="e">
        <f>IF(#REF!,"AAAAAF/56Vc=",0)</f>
        <v>#REF!</v>
      </c>
      <c r="CK278" t="e">
        <f>IF(#REF!,"AAAAAF/56Vg=",0)</f>
        <v>#REF!</v>
      </c>
      <c r="CL278" t="e">
        <f>IF(#REF!,"AAAAAF/56Vk=",0)</f>
        <v>#REF!</v>
      </c>
      <c r="CM278" t="e">
        <f>IF(#REF!,"AAAAAF/56Vo=",0)</f>
        <v>#REF!</v>
      </c>
      <c r="CN278" t="e">
        <f>IF(#REF!,"AAAAAF/56Vs=",0)</f>
        <v>#REF!</v>
      </c>
      <c r="CO278" t="e">
        <f>IF(#REF!,"AAAAAF/56Vw=",0)</f>
        <v>#REF!</v>
      </c>
      <c r="CP278" t="e">
        <f>IF(#REF!,"AAAAAF/56V0=",0)</f>
        <v>#REF!</v>
      </c>
      <c r="CQ278" t="e">
        <f>IF(#REF!,"AAAAAF/56V4=",0)</f>
        <v>#REF!</v>
      </c>
      <c r="CR278" t="e">
        <f>IF(#REF!,"AAAAAF/56V8=",0)</f>
        <v>#REF!</v>
      </c>
      <c r="CS278" t="e">
        <f>IF(#REF!,"AAAAAF/56WA=",0)</f>
        <v>#REF!</v>
      </c>
      <c r="CT278" t="e">
        <f>IF(#REF!,"AAAAAF/56WE=",0)</f>
        <v>#REF!</v>
      </c>
      <c r="CU278" t="e">
        <f>IF(#REF!,"AAAAAF/56WI=",0)</f>
        <v>#REF!</v>
      </c>
      <c r="CV278" t="e">
        <f>IF(#REF!,"AAAAAF/56WM=",0)</f>
        <v>#REF!</v>
      </c>
      <c r="CW278" t="e">
        <f>IF(#REF!,"AAAAAF/56WQ=",0)</f>
        <v>#REF!</v>
      </c>
      <c r="CX278" t="e">
        <f>IF(#REF!,"AAAAAF/56WU=",0)</f>
        <v>#REF!</v>
      </c>
      <c r="CY278" t="e">
        <f>IF(#REF!,"AAAAAF/56WY=",0)</f>
        <v>#REF!</v>
      </c>
      <c r="CZ278" t="e">
        <f>IF(#REF!,"AAAAAF/56Wc=",0)</f>
        <v>#REF!</v>
      </c>
      <c r="DA278" t="e">
        <f>IF(#REF!,"AAAAAF/56Wg=",0)</f>
        <v>#REF!</v>
      </c>
      <c r="DB278" t="e">
        <f>IF(#REF!,"AAAAAF/56Wk=",0)</f>
        <v>#REF!</v>
      </c>
      <c r="DC278" t="e">
        <f>IF(#REF!,"AAAAAF/56Wo=",0)</f>
        <v>#REF!</v>
      </c>
      <c r="DD278" t="e">
        <f>IF(#REF!,"AAAAAF/56Ws=",0)</f>
        <v>#REF!</v>
      </c>
      <c r="DE278" t="e">
        <f>IF(#REF!,"AAAAAF/56Ww=",0)</f>
        <v>#REF!</v>
      </c>
      <c r="DF278" t="e">
        <f>IF(#REF!,"AAAAAF/56W0=",0)</f>
        <v>#REF!</v>
      </c>
      <c r="DG278" t="e">
        <f>IF(#REF!,"AAAAAF/56W4=",0)</f>
        <v>#REF!</v>
      </c>
      <c r="DH278" t="e">
        <f>IF(#REF!,"AAAAAF/56W8=",0)</f>
        <v>#REF!</v>
      </c>
      <c r="DI278" t="e">
        <f>IF(#REF!,"AAAAAF/56XA=",0)</f>
        <v>#REF!</v>
      </c>
      <c r="DJ278" t="e">
        <f>IF(#REF!,"AAAAAF/56XE=",0)</f>
        <v>#REF!</v>
      </c>
      <c r="DK278" t="e">
        <f>IF(#REF!,"AAAAAF/56XI=",0)</f>
        <v>#REF!</v>
      </c>
      <c r="DL278" t="e">
        <f>IF(#REF!,"AAAAAF/56XM=",0)</f>
        <v>#REF!</v>
      </c>
      <c r="DM278" t="e">
        <f>IF(#REF!,"AAAAAF/56XQ=",0)</f>
        <v>#REF!</v>
      </c>
      <c r="DN278" t="e">
        <f>IF(#REF!,"AAAAAF/56XU=",0)</f>
        <v>#REF!</v>
      </c>
      <c r="DO278" t="e">
        <f>IF(#REF!,"AAAAAF/56XY=",0)</f>
        <v>#REF!</v>
      </c>
      <c r="DP278" t="e">
        <f>IF(#REF!,"AAAAAF/56Xc=",0)</f>
        <v>#REF!</v>
      </c>
      <c r="DQ278" t="e">
        <f>IF(#REF!,"AAAAAF/56Xg=",0)</f>
        <v>#REF!</v>
      </c>
      <c r="DR278" t="e">
        <f>IF(#REF!,"AAAAAF/56Xk=",0)</f>
        <v>#REF!</v>
      </c>
      <c r="DS278" t="e">
        <f>IF(#REF!,"AAAAAF/56Xo=",0)</f>
        <v>#REF!</v>
      </c>
      <c r="DT278" t="e">
        <f>IF(#REF!,"AAAAAF/56Xs=",0)</f>
        <v>#REF!</v>
      </c>
      <c r="DU278" t="e">
        <f>IF(#REF!,"AAAAAF/56Xw=",0)</f>
        <v>#REF!</v>
      </c>
      <c r="DV278" t="e">
        <f>IF(#REF!,"AAAAAF/56X0=",0)</f>
        <v>#REF!</v>
      </c>
      <c r="DW278" t="e">
        <f>IF(#REF!,"AAAAAF/56X4=",0)</f>
        <v>#REF!</v>
      </c>
      <c r="DX278" t="e">
        <f>IF(#REF!,"AAAAAF/56X8=",0)</f>
        <v>#REF!</v>
      </c>
      <c r="DY278" t="e">
        <f>IF(#REF!,"AAAAAF/56YA=",0)</f>
        <v>#REF!</v>
      </c>
      <c r="DZ278" t="e">
        <f>IF(#REF!,"AAAAAF/56YE=",0)</f>
        <v>#REF!</v>
      </c>
      <c r="EA278" t="e">
        <f>IF(#REF!,"AAAAAF/56YI=",0)</f>
        <v>#REF!</v>
      </c>
      <c r="EB278" t="e">
        <f>IF(#REF!,"AAAAAF/56YM=",0)</f>
        <v>#REF!</v>
      </c>
      <c r="EC278" t="e">
        <f>IF(#REF!,"AAAAAF/56YQ=",0)</f>
        <v>#REF!</v>
      </c>
      <c r="ED278" t="e">
        <f>IF(#REF!,"AAAAAF/56YU=",0)</f>
        <v>#REF!</v>
      </c>
      <c r="EE278" t="e">
        <f>IF(#REF!,"AAAAAF/56YY=",0)</f>
        <v>#REF!</v>
      </c>
      <c r="EF278" t="e">
        <f>IF(#REF!,"AAAAAF/56Yc=",0)</f>
        <v>#REF!</v>
      </c>
      <c r="EG278" t="e">
        <f>IF(#REF!,"AAAAAF/56Yg=",0)</f>
        <v>#REF!</v>
      </c>
      <c r="EH278" t="e">
        <f>IF(#REF!,"AAAAAF/56Yk=",0)</f>
        <v>#REF!</v>
      </c>
      <c r="EI278" t="e">
        <f>IF(#REF!,"AAAAAF/56Yo=",0)</f>
        <v>#REF!</v>
      </c>
      <c r="EJ278" t="e">
        <f>IF(#REF!,"AAAAAF/56Ys=",0)</f>
        <v>#REF!</v>
      </c>
      <c r="EK278" t="e">
        <f>IF(#REF!,"AAAAAF/56Yw=",0)</f>
        <v>#REF!</v>
      </c>
      <c r="EL278" t="e">
        <f>IF(#REF!,"AAAAAF/56Y0=",0)</f>
        <v>#REF!</v>
      </c>
      <c r="EM278" t="e">
        <f>IF(#REF!,"AAAAAF/56Y4=",0)</f>
        <v>#REF!</v>
      </c>
      <c r="EN278" t="e">
        <f>IF(#REF!,"AAAAAF/56Y8=",0)</f>
        <v>#REF!</v>
      </c>
      <c r="EO278" t="e">
        <f>IF(#REF!,"AAAAAF/56ZA=",0)</f>
        <v>#REF!</v>
      </c>
      <c r="EP278" t="e">
        <f>IF(#REF!,"AAAAAF/56ZE=",0)</f>
        <v>#REF!</v>
      </c>
      <c r="EQ278" t="e">
        <f>IF(#REF!,"AAAAAF/56ZI=",0)</f>
        <v>#REF!</v>
      </c>
      <c r="ER278" t="e">
        <f>IF(#REF!,"AAAAAF/56ZM=",0)</f>
        <v>#REF!</v>
      </c>
      <c r="ES278" t="e">
        <f>IF(#REF!,"AAAAAF/56ZQ=",0)</f>
        <v>#REF!</v>
      </c>
      <c r="ET278" t="e">
        <f>IF(#REF!,"AAAAAF/56ZU=",0)</f>
        <v>#REF!</v>
      </c>
      <c r="EU278" t="e">
        <f>IF(#REF!,"AAAAAF/56ZY=",0)</f>
        <v>#REF!</v>
      </c>
      <c r="EV278" t="e">
        <f>IF(#REF!,"AAAAAF/56Zc=",0)</f>
        <v>#REF!</v>
      </c>
      <c r="EW278" t="e">
        <f>IF(#REF!,"AAAAAF/56Zg=",0)</f>
        <v>#REF!</v>
      </c>
      <c r="EX278" t="e">
        <f>IF(#REF!,"AAAAAF/56Zk=",0)</f>
        <v>#REF!</v>
      </c>
      <c r="EY278" t="e">
        <f>IF(#REF!,"AAAAAF/56Zo=",0)</f>
        <v>#REF!</v>
      </c>
      <c r="EZ278" t="e">
        <f>IF(#REF!,"AAAAAF/56Zs=",0)</f>
        <v>#REF!</v>
      </c>
      <c r="FA278" t="e">
        <f>IF(#REF!,"AAAAAF/56Zw=",0)</f>
        <v>#REF!</v>
      </c>
      <c r="FB278" t="e">
        <f>IF(#REF!,"AAAAAF/56Z0=",0)</f>
        <v>#REF!</v>
      </c>
      <c r="FC278" t="e">
        <f>IF(#REF!,"AAAAAF/56Z4=",0)</f>
        <v>#REF!</v>
      </c>
      <c r="FD278" t="e">
        <f>IF(#REF!,"AAAAAF/56Z8=",0)</f>
        <v>#REF!</v>
      </c>
      <c r="FE278" t="e">
        <f>IF(#REF!,"AAAAAF/56aA=",0)</f>
        <v>#REF!</v>
      </c>
      <c r="FF278" t="e">
        <f>IF(#REF!,"AAAAAF/56aE=",0)</f>
        <v>#REF!</v>
      </c>
      <c r="FG278" t="e">
        <f>IF(#REF!,"AAAAAF/56aI=",0)</f>
        <v>#REF!</v>
      </c>
      <c r="FH278" t="e">
        <f>IF(#REF!,"AAAAAF/56aM=",0)</f>
        <v>#REF!</v>
      </c>
      <c r="FI278" t="e">
        <f>IF(#REF!,"AAAAAF/56aQ=",0)</f>
        <v>#REF!</v>
      </c>
      <c r="FJ278" t="e">
        <f>IF(#REF!,"AAAAAF/56aU=",0)</f>
        <v>#REF!</v>
      </c>
      <c r="FK278" t="e">
        <f>IF(#REF!,"AAAAAF/56aY=",0)</f>
        <v>#REF!</v>
      </c>
      <c r="FL278" t="e">
        <f>IF(#REF!,"AAAAAF/56ac=",0)</f>
        <v>#REF!</v>
      </c>
      <c r="FM278" t="e">
        <f>IF(#REF!,"AAAAAF/56ag=",0)</f>
        <v>#REF!</v>
      </c>
      <c r="FN278" t="e">
        <f>IF(#REF!,"AAAAAF/56ak=",0)</f>
        <v>#REF!</v>
      </c>
      <c r="FO278" t="e">
        <f>IF(#REF!,"AAAAAF/56ao=",0)</f>
        <v>#REF!</v>
      </c>
      <c r="FP278" t="e">
        <f>IF(#REF!,"AAAAAF/56as=",0)</f>
        <v>#REF!</v>
      </c>
      <c r="FQ278" t="e">
        <f>IF(#REF!,"AAAAAF/56aw=",0)</f>
        <v>#REF!</v>
      </c>
      <c r="FR278" t="e">
        <f>IF(#REF!,"AAAAAF/56a0=",0)</f>
        <v>#REF!</v>
      </c>
      <c r="FS278" t="e">
        <f>IF(#REF!,"AAAAAF/56a4=",0)</f>
        <v>#REF!</v>
      </c>
      <c r="FT278" t="e">
        <f>IF(#REF!,"AAAAAF/56a8=",0)</f>
        <v>#REF!</v>
      </c>
      <c r="FU278" t="e">
        <f>IF(#REF!,"AAAAAF/56bA=",0)</f>
        <v>#REF!</v>
      </c>
      <c r="FV278" t="e">
        <f>IF(#REF!,"AAAAAF/56bE=",0)</f>
        <v>#REF!</v>
      </c>
      <c r="FW278" t="e">
        <f>IF(#REF!,"AAAAAF/56bI=",0)</f>
        <v>#REF!</v>
      </c>
      <c r="FX278" t="e">
        <f>IF(#REF!,"AAAAAF/56bM=",0)</f>
        <v>#REF!</v>
      </c>
      <c r="FY278" t="e">
        <f>IF(#REF!,"AAAAAF/56bQ=",0)</f>
        <v>#REF!</v>
      </c>
      <c r="FZ278" t="e">
        <f>IF(#REF!,"AAAAAF/56bU=",0)</f>
        <v>#REF!</v>
      </c>
      <c r="GA278" t="e">
        <f>IF(#REF!,"AAAAAF/56bY=",0)</f>
        <v>#REF!</v>
      </c>
      <c r="GB278" t="e">
        <f>IF(#REF!,"AAAAAF/56bc=",0)</f>
        <v>#REF!</v>
      </c>
      <c r="GC278" t="e">
        <f>IF(#REF!,"AAAAAF/56bg=",0)</f>
        <v>#REF!</v>
      </c>
      <c r="GD278" t="e">
        <f>IF(#REF!,"AAAAAF/56bk=",0)</f>
        <v>#REF!</v>
      </c>
      <c r="GE278" t="e">
        <f>IF(#REF!,"AAAAAF/56bo=",0)</f>
        <v>#REF!</v>
      </c>
      <c r="GF278" t="e">
        <f>IF(#REF!,"AAAAAF/56bs=",0)</f>
        <v>#REF!</v>
      </c>
      <c r="GG278" t="e">
        <f>IF(#REF!,"AAAAAF/56bw=",0)</f>
        <v>#REF!</v>
      </c>
      <c r="GH278" t="e">
        <f>IF(#REF!,"AAAAAF/56b0=",0)</f>
        <v>#REF!</v>
      </c>
      <c r="GI278" t="e">
        <f>IF(#REF!,"AAAAAF/56b4=",0)</f>
        <v>#REF!</v>
      </c>
      <c r="GJ278" t="e">
        <f>IF(#REF!,"AAAAAF/56b8=",0)</f>
        <v>#REF!</v>
      </c>
      <c r="GK278" t="e">
        <f>IF(#REF!,"AAAAAF/56cA=",0)</f>
        <v>#REF!</v>
      </c>
      <c r="GL278" t="e">
        <f>IF(#REF!,"AAAAAF/56cE=",0)</f>
        <v>#REF!</v>
      </c>
      <c r="GM278" t="e">
        <f>IF(#REF!,"AAAAAF/56cI=",0)</f>
        <v>#REF!</v>
      </c>
      <c r="GN278" t="e">
        <f>IF(#REF!,"AAAAAF/56cM=",0)</f>
        <v>#REF!</v>
      </c>
      <c r="GO278" t="e">
        <f>IF(#REF!,"AAAAAF/56cQ=",0)</f>
        <v>#REF!</v>
      </c>
      <c r="GP278" t="e">
        <f>IF(#REF!,"AAAAAF/56cU=",0)</f>
        <v>#REF!</v>
      </c>
      <c r="GQ278" t="e">
        <f>IF(#REF!,"AAAAAF/56cY=",0)</f>
        <v>#REF!</v>
      </c>
      <c r="GR278" t="e">
        <f>IF(#REF!,"AAAAAF/56cc=",0)</f>
        <v>#REF!</v>
      </c>
      <c r="GS278" t="e">
        <f>IF(#REF!,"AAAAAF/56cg=",0)</f>
        <v>#REF!</v>
      </c>
      <c r="GT278" t="e">
        <f>IF(#REF!,"AAAAAF/56ck=",0)</f>
        <v>#REF!</v>
      </c>
      <c r="GU278" t="e">
        <f>IF(#REF!,"AAAAAF/56co=",0)</f>
        <v>#REF!</v>
      </c>
      <c r="GV278" t="e">
        <f>IF(#REF!,"AAAAAF/56cs=",0)</f>
        <v>#REF!</v>
      </c>
      <c r="GW278" t="e">
        <f>IF(#REF!,"AAAAAF/56cw=",0)</f>
        <v>#REF!</v>
      </c>
      <c r="GX278" t="e">
        <f>IF(#REF!,"AAAAAF/56c0=",0)</f>
        <v>#REF!</v>
      </c>
      <c r="GY278" t="e">
        <f>IF(#REF!,"AAAAAF/56c4=",0)</f>
        <v>#REF!</v>
      </c>
      <c r="GZ278" t="e">
        <f>IF(#REF!,"AAAAAF/56c8=",0)</f>
        <v>#REF!</v>
      </c>
      <c r="HA278" t="e">
        <f>IF(#REF!,"AAAAAF/56dA=",0)</f>
        <v>#REF!</v>
      </c>
      <c r="HB278" t="e">
        <f>IF(#REF!,"AAAAAF/56dE=",0)</f>
        <v>#REF!</v>
      </c>
      <c r="HC278" t="e">
        <f>IF(#REF!,"AAAAAF/56dI=",0)</f>
        <v>#REF!</v>
      </c>
      <c r="HD278" t="e">
        <f>IF(#REF!,"AAAAAF/56dM=",0)</f>
        <v>#REF!</v>
      </c>
      <c r="HE278" t="e">
        <f>IF(#REF!,"AAAAAF/56dQ=",0)</f>
        <v>#REF!</v>
      </c>
      <c r="HF278" t="e">
        <f>IF(#REF!,"AAAAAF/56dU=",0)</f>
        <v>#REF!</v>
      </c>
      <c r="HG278" t="e">
        <f>IF(#REF!,"AAAAAF/56dY=",0)</f>
        <v>#REF!</v>
      </c>
      <c r="HH278" t="e">
        <f>IF(#REF!,"AAAAAF/56dc=",0)</f>
        <v>#REF!</v>
      </c>
      <c r="HI278" t="e">
        <f>IF(#REF!,"AAAAAF/56dg=",0)</f>
        <v>#REF!</v>
      </c>
      <c r="HJ278" t="e">
        <f>IF(#REF!,"AAAAAF/56dk=",0)</f>
        <v>#REF!</v>
      </c>
      <c r="HK278" t="e">
        <f>IF(#REF!,"AAAAAF/56do=",0)</f>
        <v>#REF!</v>
      </c>
      <c r="HL278" t="e">
        <f>IF(#REF!,"AAAAAF/56ds=",0)</f>
        <v>#REF!</v>
      </c>
      <c r="HM278" t="e">
        <f>IF(#REF!,"AAAAAF/56dw=",0)</f>
        <v>#REF!</v>
      </c>
      <c r="HN278" t="e">
        <f>IF(#REF!,"AAAAAF/56d0=",0)</f>
        <v>#REF!</v>
      </c>
      <c r="HO278" t="e">
        <f>IF(#REF!,"AAAAAF/56d4=",0)</f>
        <v>#REF!</v>
      </c>
      <c r="HP278" t="e">
        <f>IF(#REF!,"AAAAAF/56d8=",0)</f>
        <v>#REF!</v>
      </c>
      <c r="HQ278" t="e">
        <f>IF(#REF!,"AAAAAF/56eA=",0)</f>
        <v>#REF!</v>
      </c>
      <c r="HR278" t="e">
        <f>IF(#REF!,"AAAAAF/56eE=",0)</f>
        <v>#REF!</v>
      </c>
      <c r="HS278" t="e">
        <f>IF(#REF!,"AAAAAF/56eI=",0)</f>
        <v>#REF!</v>
      </c>
      <c r="HT278" t="e">
        <f>IF(#REF!,"AAAAAF/56eM=",0)</f>
        <v>#REF!</v>
      </c>
      <c r="HU278" t="e">
        <f>IF(#REF!,"AAAAAF/56eQ=",0)</f>
        <v>#REF!</v>
      </c>
      <c r="HV278" t="e">
        <f>IF(#REF!,"AAAAAF/56eU=",0)</f>
        <v>#REF!</v>
      </c>
      <c r="HW278" t="e">
        <f>IF(#REF!,"AAAAAF/56eY=",0)</f>
        <v>#REF!</v>
      </c>
      <c r="HX278" t="e">
        <f>IF(#REF!,"AAAAAF/56ec=",0)</f>
        <v>#REF!</v>
      </c>
      <c r="HY278" t="e">
        <f>IF(#REF!,"AAAAAF/56eg=",0)</f>
        <v>#REF!</v>
      </c>
      <c r="HZ278" t="e">
        <f>IF(#REF!,"AAAAAF/56ek=",0)</f>
        <v>#REF!</v>
      </c>
      <c r="IA278" t="e">
        <f>IF(#REF!,"AAAAAF/56eo=",0)</f>
        <v>#REF!</v>
      </c>
      <c r="IB278" t="e">
        <f>IF(#REF!,"AAAAAF/56es=",0)</f>
        <v>#REF!</v>
      </c>
      <c r="IC278" t="e">
        <f>IF(#REF!,"AAAAAF/56ew=",0)</f>
        <v>#REF!</v>
      </c>
      <c r="ID278" t="e">
        <f>IF(#REF!,"AAAAAF/56e0=",0)</f>
        <v>#REF!</v>
      </c>
      <c r="IE278" t="e">
        <f>IF(#REF!,"AAAAAF/56e4=",0)</f>
        <v>#REF!</v>
      </c>
      <c r="IF278" t="e">
        <f>IF(#REF!,"AAAAAF/56e8=",0)</f>
        <v>#REF!</v>
      </c>
      <c r="IG278" t="e">
        <f>IF(#REF!,"AAAAAF/56fA=",0)</f>
        <v>#REF!</v>
      </c>
      <c r="IH278" t="e">
        <f>IF(#REF!,"AAAAAF/56fE=",0)</f>
        <v>#REF!</v>
      </c>
      <c r="II278" t="e">
        <f>IF(#REF!,"AAAAAF/56fI=",0)</f>
        <v>#REF!</v>
      </c>
      <c r="IJ278" t="e">
        <f>IF(#REF!,"AAAAAF/56fM=",0)</f>
        <v>#REF!</v>
      </c>
      <c r="IK278" t="e">
        <f>IF(#REF!,"AAAAAF/56fQ=",0)</f>
        <v>#REF!</v>
      </c>
      <c r="IL278" t="e">
        <f>IF(#REF!,"AAAAAF/56fU=",0)</f>
        <v>#REF!</v>
      </c>
      <c r="IM278" t="e">
        <f>IF(#REF!,"AAAAAF/56fY=",0)</f>
        <v>#REF!</v>
      </c>
      <c r="IN278" t="e">
        <f>IF(#REF!,"AAAAAF/56fc=",0)</f>
        <v>#REF!</v>
      </c>
      <c r="IO278" t="e">
        <f>IF(#REF!,"AAAAAF/56fg=",0)</f>
        <v>#REF!</v>
      </c>
      <c r="IP278" t="e">
        <f>IF(#REF!,"AAAAAF/56fk=",0)</f>
        <v>#REF!</v>
      </c>
      <c r="IQ278" t="e">
        <f>IF(#REF!,"AAAAAF/56fo=",0)</f>
        <v>#REF!</v>
      </c>
      <c r="IR278" t="e">
        <f>IF(#REF!,"AAAAAF/56fs=",0)</f>
        <v>#REF!</v>
      </c>
      <c r="IS278" t="e">
        <f>IF(#REF!,"AAAAAF/56fw=",0)</f>
        <v>#REF!</v>
      </c>
      <c r="IT278" t="e">
        <f>IF(#REF!,"AAAAAF/56f0=",0)</f>
        <v>#REF!</v>
      </c>
      <c r="IU278" t="e">
        <f>IF(#REF!,"AAAAAF/56f4=",0)</f>
        <v>#REF!</v>
      </c>
      <c r="IV278" t="e">
        <f>IF(#REF!,"AAAAAF/56f8=",0)</f>
        <v>#REF!</v>
      </c>
    </row>
    <row r="279" spans="1:256">
      <c r="A279" t="e">
        <f>IF(#REF!,"AAAAAD2f+wA=",0)</f>
        <v>#REF!</v>
      </c>
      <c r="B279" t="e">
        <f>IF(#REF!,"AAAAAD2f+wE=",0)</f>
        <v>#REF!</v>
      </c>
      <c r="C279" t="e">
        <f>IF(#REF!,"AAAAAD2f+wI=",0)</f>
        <v>#REF!</v>
      </c>
      <c r="D279" t="e">
        <f>IF(#REF!,"AAAAAD2f+wM=",0)</f>
        <v>#REF!</v>
      </c>
      <c r="E279" t="e">
        <f>IF(#REF!,"AAAAAD2f+wQ=",0)</f>
        <v>#REF!</v>
      </c>
      <c r="F279" t="e">
        <f>IF(#REF!,"AAAAAD2f+wU=",0)</f>
        <v>#REF!</v>
      </c>
      <c r="G279" t="e">
        <f>IF(#REF!,"AAAAAD2f+wY=",0)</f>
        <v>#REF!</v>
      </c>
      <c r="H279" t="e">
        <f>IF(#REF!,"AAAAAD2f+wc=",0)</f>
        <v>#REF!</v>
      </c>
      <c r="I279" t="e">
        <f>IF(#REF!,"AAAAAD2f+wg=",0)</f>
        <v>#REF!</v>
      </c>
      <c r="J279" t="e">
        <f>IF(#REF!,"AAAAAD2f+wk=",0)</f>
        <v>#REF!</v>
      </c>
      <c r="K279" t="e">
        <f>IF(#REF!,"AAAAAD2f+wo=",0)</f>
        <v>#REF!</v>
      </c>
      <c r="L279" t="e">
        <f>IF(#REF!,"AAAAAD2f+ws=",0)</f>
        <v>#REF!</v>
      </c>
      <c r="M279" t="e">
        <f>IF(#REF!,"AAAAAD2f+ww=",0)</f>
        <v>#REF!</v>
      </c>
      <c r="N279" t="e">
        <f>IF(#REF!,"AAAAAD2f+w0=",0)</f>
        <v>#REF!</v>
      </c>
      <c r="O279" t="e">
        <f>IF(#REF!,"AAAAAD2f+w4=",0)</f>
        <v>#REF!</v>
      </c>
      <c r="P279" t="e">
        <f>IF(#REF!,"AAAAAD2f+w8=",0)</f>
        <v>#REF!</v>
      </c>
      <c r="Q279" t="e">
        <f>IF(#REF!,"AAAAAD2f+xA=",0)</f>
        <v>#REF!</v>
      </c>
      <c r="R279" t="e">
        <f>IF(#REF!,"AAAAAD2f+xE=",0)</f>
        <v>#REF!</v>
      </c>
      <c r="S279" t="e">
        <f>IF(#REF!,"AAAAAD2f+xI=",0)</f>
        <v>#REF!</v>
      </c>
      <c r="T279" t="e">
        <f>IF(#REF!,"AAAAAD2f+xM=",0)</f>
        <v>#REF!</v>
      </c>
      <c r="U279" t="e">
        <f>IF(#REF!,"AAAAAD2f+xQ=",0)</f>
        <v>#REF!</v>
      </c>
      <c r="V279" t="e">
        <f>IF(#REF!,"AAAAAD2f+xU=",0)</f>
        <v>#REF!</v>
      </c>
      <c r="W279" t="e">
        <f>IF(#REF!,"AAAAAD2f+xY=",0)</f>
        <v>#REF!</v>
      </c>
      <c r="X279" t="e">
        <f>IF(#REF!,"AAAAAD2f+xc=",0)</f>
        <v>#REF!</v>
      </c>
      <c r="Y279" t="e">
        <f>IF(#REF!,"AAAAAD2f+xg=",0)</f>
        <v>#REF!</v>
      </c>
      <c r="Z279" t="e">
        <f>IF(#REF!,"AAAAAD2f+xk=",0)</f>
        <v>#REF!</v>
      </c>
      <c r="AA279" t="e">
        <f>IF(#REF!,"AAAAAD2f+xo=",0)</f>
        <v>#REF!</v>
      </c>
      <c r="AB279" t="e">
        <f>IF(#REF!,"AAAAAD2f+xs=",0)</f>
        <v>#REF!</v>
      </c>
      <c r="AC279" t="e">
        <f>IF(#REF!,"AAAAAD2f+xw=",0)</f>
        <v>#REF!</v>
      </c>
      <c r="AD279" t="e">
        <f>IF(#REF!,"AAAAAD2f+x0=",0)</f>
        <v>#REF!</v>
      </c>
      <c r="AE279" t="e">
        <f>IF(#REF!,"AAAAAD2f+x4=",0)</f>
        <v>#REF!</v>
      </c>
      <c r="AF279" t="e">
        <f>IF(#REF!,"AAAAAD2f+x8=",0)</f>
        <v>#REF!</v>
      </c>
      <c r="AG279" t="e">
        <f>IF(#REF!,"AAAAAD2f+yA=",0)</f>
        <v>#REF!</v>
      </c>
      <c r="AH279" t="e">
        <f>IF(#REF!,"AAAAAD2f+yE=",0)</f>
        <v>#REF!</v>
      </c>
      <c r="AI279" t="e">
        <f>IF(#REF!,"AAAAAD2f+yI=",0)</f>
        <v>#REF!</v>
      </c>
      <c r="AJ279" t="e">
        <f>IF(#REF!,"AAAAAD2f+yM=",0)</f>
        <v>#REF!</v>
      </c>
      <c r="AK279" t="e">
        <f>IF(#REF!,"AAAAAD2f+yQ=",0)</f>
        <v>#REF!</v>
      </c>
      <c r="AL279" t="e">
        <f>IF(#REF!,"AAAAAD2f+yU=",0)</f>
        <v>#REF!</v>
      </c>
      <c r="AM279" t="e">
        <f>IF(#REF!,"AAAAAD2f+yY=",0)</f>
        <v>#REF!</v>
      </c>
      <c r="AN279" t="e">
        <f>IF(#REF!,"AAAAAD2f+yc=",0)</f>
        <v>#REF!</v>
      </c>
      <c r="AO279" t="e">
        <f>IF(#REF!,"AAAAAD2f+yg=",0)</f>
        <v>#REF!</v>
      </c>
      <c r="AP279" t="e">
        <f>IF(#REF!,"AAAAAD2f+yk=",0)</f>
        <v>#REF!</v>
      </c>
      <c r="AQ279" t="e">
        <f>IF(#REF!,"AAAAAD2f+yo=",0)</f>
        <v>#REF!</v>
      </c>
      <c r="AR279" t="e">
        <f>IF(#REF!,"AAAAAD2f+ys=",0)</f>
        <v>#REF!</v>
      </c>
      <c r="AS279" t="e">
        <f>IF(#REF!,"AAAAAD2f+yw=",0)</f>
        <v>#REF!</v>
      </c>
      <c r="AT279" t="e">
        <f>IF(#REF!,"AAAAAD2f+y0=",0)</f>
        <v>#REF!</v>
      </c>
      <c r="AU279" t="e">
        <f>IF(#REF!,"AAAAAD2f+y4=",0)</f>
        <v>#REF!</v>
      </c>
      <c r="AV279" t="e">
        <f>IF(#REF!,"AAAAAD2f+y8=",0)</f>
        <v>#REF!</v>
      </c>
      <c r="AW279" t="e">
        <f>IF(#REF!,"AAAAAD2f+zA=",0)</f>
        <v>#REF!</v>
      </c>
      <c r="AX279" t="e">
        <f>IF(#REF!,"AAAAAD2f+zE=",0)</f>
        <v>#REF!</v>
      </c>
      <c r="AY279" t="e">
        <f>IF(#REF!,"AAAAAD2f+zI=",0)</f>
        <v>#REF!</v>
      </c>
      <c r="AZ279" t="e">
        <f>IF(#REF!,"AAAAAD2f+zM=",0)</f>
        <v>#REF!</v>
      </c>
      <c r="BA279" t="e">
        <f>IF(#REF!,"AAAAAD2f+zQ=",0)</f>
        <v>#REF!</v>
      </c>
      <c r="BB279" t="e">
        <f>IF(#REF!,"AAAAAD2f+zU=",0)</f>
        <v>#REF!</v>
      </c>
      <c r="BC279" t="e">
        <f>IF(#REF!,"AAAAAD2f+zY=",0)</f>
        <v>#REF!</v>
      </c>
      <c r="BD279" t="e">
        <f>IF(#REF!,"AAAAAD2f+zc=",0)</f>
        <v>#REF!</v>
      </c>
      <c r="BE279" t="e">
        <f>IF(#REF!,"AAAAAD2f+zg=",0)</f>
        <v>#REF!</v>
      </c>
      <c r="BF279" t="e">
        <f>IF(#REF!,"AAAAAD2f+zk=",0)</f>
        <v>#REF!</v>
      </c>
      <c r="BG279" t="e">
        <f>IF(#REF!,"AAAAAD2f+zo=",0)</f>
        <v>#REF!</v>
      </c>
      <c r="BH279" t="e">
        <f>IF(#REF!,"AAAAAD2f+zs=",0)</f>
        <v>#REF!</v>
      </c>
      <c r="BI279" t="e">
        <f>IF(#REF!,"AAAAAD2f+zw=",0)</f>
        <v>#REF!</v>
      </c>
      <c r="BJ279" t="e">
        <f>IF(#REF!,"AAAAAD2f+z0=",0)</f>
        <v>#REF!</v>
      </c>
      <c r="BK279" t="e">
        <f>IF(#REF!,"AAAAAD2f+z4=",0)</f>
        <v>#REF!</v>
      </c>
      <c r="BL279" t="e">
        <f>IF(#REF!,"AAAAAD2f+z8=",0)</f>
        <v>#REF!</v>
      </c>
      <c r="BM279" t="e">
        <f>IF(#REF!,"AAAAAD2f+0A=",0)</f>
        <v>#REF!</v>
      </c>
      <c r="BN279" t="e">
        <f>IF(#REF!,"AAAAAD2f+0E=",0)</f>
        <v>#REF!</v>
      </c>
      <c r="BO279" t="e">
        <f>IF(#REF!,"AAAAAD2f+0I=",0)</f>
        <v>#REF!</v>
      </c>
      <c r="BP279" t="e">
        <f>IF(#REF!,"AAAAAD2f+0M=",0)</f>
        <v>#REF!</v>
      </c>
      <c r="BQ279" t="e">
        <f>IF(#REF!,"AAAAAD2f+0Q=",0)</f>
        <v>#REF!</v>
      </c>
      <c r="BR279" t="e">
        <f>IF(#REF!,"AAAAAD2f+0U=",0)</f>
        <v>#REF!</v>
      </c>
      <c r="BS279" t="e">
        <f>IF(#REF!,"AAAAAD2f+0Y=",0)</f>
        <v>#REF!</v>
      </c>
      <c r="BT279" t="e">
        <f>IF(#REF!,"AAAAAD2f+0c=",0)</f>
        <v>#REF!</v>
      </c>
      <c r="BU279" t="e">
        <f>IF(#REF!,"AAAAAD2f+0g=",0)</f>
        <v>#REF!</v>
      </c>
      <c r="BV279" t="e">
        <f>IF(#REF!,"AAAAAD2f+0k=",0)</f>
        <v>#REF!</v>
      </c>
      <c r="BW279" t="e">
        <f>IF(#REF!,"AAAAAD2f+0o=",0)</f>
        <v>#REF!</v>
      </c>
      <c r="BX279" t="e">
        <f>IF(#REF!,"AAAAAD2f+0s=",0)</f>
        <v>#REF!</v>
      </c>
      <c r="BY279" t="e">
        <f>IF(#REF!,"AAAAAD2f+0w=",0)</f>
        <v>#REF!</v>
      </c>
      <c r="BZ279" t="e">
        <f>IF(#REF!,"AAAAAD2f+00=",0)</f>
        <v>#REF!</v>
      </c>
      <c r="CA279" t="e">
        <f>IF(#REF!,"AAAAAD2f+04=",0)</f>
        <v>#REF!</v>
      </c>
      <c r="CB279" t="e">
        <f>IF(#REF!,"AAAAAD2f+08=",0)</f>
        <v>#REF!</v>
      </c>
      <c r="CC279" t="e">
        <f>IF(#REF!,"AAAAAD2f+1A=",0)</f>
        <v>#REF!</v>
      </c>
      <c r="CD279" t="e">
        <f>IF(#REF!,"AAAAAD2f+1E=",0)</f>
        <v>#REF!</v>
      </c>
      <c r="CE279" t="e">
        <f>IF(#REF!,"AAAAAD2f+1I=",0)</f>
        <v>#REF!</v>
      </c>
      <c r="CF279" t="e">
        <f>IF(#REF!,"AAAAAD2f+1M=",0)</f>
        <v>#REF!</v>
      </c>
      <c r="CG279" t="e">
        <f>IF(#REF!,"AAAAAD2f+1Q=",0)</f>
        <v>#REF!</v>
      </c>
      <c r="CH279" t="e">
        <f>IF(#REF!,"AAAAAD2f+1U=",0)</f>
        <v>#REF!</v>
      </c>
      <c r="CI279" t="e">
        <f>IF(#REF!,"AAAAAD2f+1Y=",0)</f>
        <v>#REF!</v>
      </c>
      <c r="CJ279" t="e">
        <f>IF(#REF!,"AAAAAD2f+1c=",0)</f>
        <v>#REF!</v>
      </c>
      <c r="CK279" t="e">
        <f>IF(#REF!,"AAAAAD2f+1g=",0)</f>
        <v>#REF!</v>
      </c>
      <c r="CL279" t="e">
        <f>IF(#REF!,"AAAAAD2f+1k=",0)</f>
        <v>#REF!</v>
      </c>
      <c r="CM279" t="e">
        <f>IF(#REF!,"AAAAAD2f+1o=",0)</f>
        <v>#REF!</v>
      </c>
      <c r="CN279" t="e">
        <f>IF(#REF!,"AAAAAD2f+1s=",0)</f>
        <v>#REF!</v>
      </c>
      <c r="CO279" t="e">
        <f>IF(#REF!,"AAAAAD2f+1w=",0)</f>
        <v>#REF!</v>
      </c>
      <c r="CP279" t="e">
        <f>IF(#REF!,"AAAAAD2f+10=",0)</f>
        <v>#REF!</v>
      </c>
      <c r="CQ279" t="e">
        <f>IF(#REF!,"AAAAAD2f+14=",0)</f>
        <v>#REF!</v>
      </c>
      <c r="CR279" t="e">
        <f>IF(#REF!,"AAAAAD2f+18=",0)</f>
        <v>#REF!</v>
      </c>
      <c r="CS279" t="e">
        <f>IF(#REF!,"AAAAAD2f+2A=",0)</f>
        <v>#REF!</v>
      </c>
      <c r="CT279" t="e">
        <f>IF(#REF!,"AAAAAD2f+2E=",0)</f>
        <v>#REF!</v>
      </c>
      <c r="CU279" t="e">
        <f>IF(#REF!,"AAAAAD2f+2I=",0)</f>
        <v>#REF!</v>
      </c>
      <c r="CV279" t="e">
        <f>IF(#REF!,"AAAAAD2f+2M=",0)</f>
        <v>#REF!</v>
      </c>
      <c r="CW279" t="e">
        <f>IF(#REF!,"AAAAAD2f+2Q=",0)</f>
        <v>#REF!</v>
      </c>
      <c r="CX279" t="e">
        <f>IF(#REF!,"AAAAAD2f+2U=",0)</f>
        <v>#REF!</v>
      </c>
      <c r="CY279" t="e">
        <f>IF(#REF!,"AAAAAD2f+2Y=",0)</f>
        <v>#REF!</v>
      </c>
      <c r="CZ279" t="e">
        <f>IF(#REF!,"AAAAAD2f+2c=",0)</f>
        <v>#REF!</v>
      </c>
      <c r="DA279" t="e">
        <f>IF(#REF!,"AAAAAD2f+2g=",0)</f>
        <v>#REF!</v>
      </c>
      <c r="DB279" t="e">
        <f>IF(#REF!,"AAAAAD2f+2k=",0)</f>
        <v>#REF!</v>
      </c>
      <c r="DC279" t="e">
        <f>IF(#REF!,"AAAAAD2f+2o=",0)</f>
        <v>#REF!</v>
      </c>
      <c r="DD279" t="e">
        <f>IF(#REF!,"AAAAAD2f+2s=",0)</f>
        <v>#REF!</v>
      </c>
      <c r="DE279" t="e">
        <f>IF(#REF!,"AAAAAD2f+2w=",0)</f>
        <v>#REF!</v>
      </c>
      <c r="DF279" t="e">
        <f>IF(#REF!,"AAAAAD2f+20=",0)</f>
        <v>#REF!</v>
      </c>
      <c r="DG279" t="e">
        <f>IF(#REF!,"AAAAAD2f+24=",0)</f>
        <v>#REF!</v>
      </c>
      <c r="DH279" t="e">
        <f>IF(#REF!,"AAAAAD2f+28=",0)</f>
        <v>#REF!</v>
      </c>
      <c r="DI279" t="e">
        <f>IF(#REF!,"AAAAAD2f+3A=",0)</f>
        <v>#REF!</v>
      </c>
      <c r="DJ279" t="e">
        <f>IF(#REF!,"AAAAAD2f+3E=",0)</f>
        <v>#REF!</v>
      </c>
      <c r="DK279" t="e">
        <f>IF(#REF!,"AAAAAD2f+3I=",0)</f>
        <v>#REF!</v>
      </c>
      <c r="DL279" t="e">
        <f>IF(#REF!,"AAAAAD2f+3M=",0)</f>
        <v>#REF!</v>
      </c>
      <c r="DM279" t="e">
        <f>IF(#REF!,"AAAAAD2f+3Q=",0)</f>
        <v>#REF!</v>
      </c>
      <c r="DN279" t="e">
        <f>IF(#REF!,"AAAAAD2f+3U=",0)</f>
        <v>#REF!</v>
      </c>
      <c r="DO279" t="e">
        <f>IF(#REF!,"AAAAAD2f+3Y=",0)</f>
        <v>#REF!</v>
      </c>
      <c r="DP279" t="e">
        <f>IF(#REF!,"AAAAAD2f+3c=",0)</f>
        <v>#REF!</v>
      </c>
      <c r="DQ279" t="e">
        <f>IF(#REF!,"AAAAAD2f+3g=",0)</f>
        <v>#REF!</v>
      </c>
      <c r="DR279" t="e">
        <f>IF(#REF!,"AAAAAD2f+3k=",0)</f>
        <v>#REF!</v>
      </c>
      <c r="DS279" t="e">
        <f>IF(#REF!,"AAAAAD2f+3o=",0)</f>
        <v>#REF!</v>
      </c>
      <c r="DT279" t="e">
        <f>IF(#REF!,"AAAAAD2f+3s=",0)</f>
        <v>#REF!</v>
      </c>
      <c r="DU279" t="e">
        <f>IF(#REF!,"AAAAAD2f+3w=",0)</f>
        <v>#REF!</v>
      </c>
      <c r="DV279" t="e">
        <f>IF(#REF!,"AAAAAD2f+30=",0)</f>
        <v>#REF!</v>
      </c>
      <c r="DW279" t="e">
        <f>IF(#REF!,"AAAAAD2f+34=",0)</f>
        <v>#REF!</v>
      </c>
      <c r="DX279" t="e">
        <f>IF(#REF!,"AAAAAD2f+38=",0)</f>
        <v>#REF!</v>
      </c>
      <c r="DY279" t="e">
        <f>IF(#REF!,"AAAAAD2f+4A=",0)</f>
        <v>#REF!</v>
      </c>
      <c r="DZ279" t="e">
        <f>IF(#REF!,"AAAAAD2f+4E=",0)</f>
        <v>#REF!</v>
      </c>
      <c r="EA279" t="e">
        <f>IF(#REF!,"AAAAAD2f+4I=",0)</f>
        <v>#REF!</v>
      </c>
      <c r="EB279" t="e">
        <f>IF(#REF!,"AAAAAD2f+4M=",0)</f>
        <v>#REF!</v>
      </c>
      <c r="EC279" t="e">
        <f>IF(#REF!,"AAAAAD2f+4Q=",0)</f>
        <v>#REF!</v>
      </c>
      <c r="ED279" t="e">
        <f>IF(#REF!,"AAAAAD2f+4U=",0)</f>
        <v>#REF!</v>
      </c>
      <c r="EE279" t="e">
        <f>IF(#REF!,"AAAAAD2f+4Y=",0)</f>
        <v>#REF!</v>
      </c>
      <c r="EF279" t="e">
        <f>IF(#REF!,"AAAAAD2f+4c=",0)</f>
        <v>#REF!</v>
      </c>
      <c r="EG279" t="e">
        <f>IF(#REF!,"AAAAAD2f+4g=",0)</f>
        <v>#REF!</v>
      </c>
      <c r="EH279" t="e">
        <f>IF(#REF!,"AAAAAD2f+4k=",0)</f>
        <v>#REF!</v>
      </c>
      <c r="EI279" t="e">
        <f>IF(#REF!,"AAAAAD2f+4o=",0)</f>
        <v>#REF!</v>
      </c>
      <c r="EJ279" t="e">
        <f>IF(#REF!,"AAAAAD2f+4s=",0)</f>
        <v>#REF!</v>
      </c>
      <c r="EK279" t="e">
        <f>IF(#REF!,"AAAAAD2f+4w=",0)</f>
        <v>#REF!</v>
      </c>
      <c r="EL279" t="e">
        <f>IF(#REF!,"AAAAAD2f+40=",0)</f>
        <v>#REF!</v>
      </c>
      <c r="EM279" t="e">
        <f>IF(#REF!,"AAAAAD2f+44=",0)</f>
        <v>#REF!</v>
      </c>
      <c r="EN279" t="e">
        <f>IF(#REF!,"AAAAAD2f+48=",0)</f>
        <v>#REF!</v>
      </c>
      <c r="EO279" t="e">
        <f>IF(#REF!,"AAAAAD2f+5A=",0)</f>
        <v>#REF!</v>
      </c>
      <c r="EP279" t="e">
        <f>IF(#REF!,"AAAAAD2f+5E=",0)</f>
        <v>#REF!</v>
      </c>
      <c r="EQ279" t="e">
        <f>IF(#REF!,"AAAAAD2f+5I=",0)</f>
        <v>#REF!</v>
      </c>
      <c r="ER279" t="e">
        <f>IF(#REF!,"AAAAAD2f+5M=",0)</f>
        <v>#REF!</v>
      </c>
      <c r="ES279" t="e">
        <f>IF(#REF!,"AAAAAD2f+5Q=",0)</f>
        <v>#REF!</v>
      </c>
      <c r="ET279" t="e">
        <f>IF(#REF!,"AAAAAD2f+5U=",0)</f>
        <v>#REF!</v>
      </c>
      <c r="EU279" t="e">
        <f>IF(#REF!,"AAAAAD2f+5Y=",0)</f>
        <v>#REF!</v>
      </c>
      <c r="EV279" t="e">
        <f>IF(#REF!,"AAAAAD2f+5c=",0)</f>
        <v>#REF!</v>
      </c>
      <c r="EW279" t="e">
        <f>IF(#REF!,"AAAAAD2f+5g=",0)</f>
        <v>#REF!</v>
      </c>
      <c r="EX279" t="e">
        <f>IF(#REF!,"AAAAAD2f+5k=",0)</f>
        <v>#REF!</v>
      </c>
      <c r="EY279" t="e">
        <f>IF(#REF!,"AAAAAD2f+5o=",0)</f>
        <v>#REF!</v>
      </c>
      <c r="EZ279" t="e">
        <f>IF(#REF!,"AAAAAD2f+5s=",0)</f>
        <v>#REF!</v>
      </c>
      <c r="FA279" t="e">
        <f>IF(#REF!,"AAAAAD2f+5w=",0)</f>
        <v>#REF!</v>
      </c>
      <c r="FB279" t="e">
        <f>IF(#REF!,"AAAAAD2f+50=",0)</f>
        <v>#REF!</v>
      </c>
      <c r="FC279" t="e">
        <f>IF(#REF!,"AAAAAD2f+54=",0)</f>
        <v>#REF!</v>
      </c>
      <c r="FD279" t="e">
        <f>IF(#REF!,"AAAAAD2f+58=",0)</f>
        <v>#REF!</v>
      </c>
      <c r="FE279" t="e">
        <f>IF(#REF!,"AAAAAD2f+6A=",0)</f>
        <v>#REF!</v>
      </c>
      <c r="FF279" t="e">
        <f>IF(#REF!,"AAAAAD2f+6E=",0)</f>
        <v>#REF!</v>
      </c>
      <c r="FG279" t="e">
        <f>IF(#REF!,"AAAAAD2f+6I=",0)</f>
        <v>#REF!</v>
      </c>
      <c r="FH279" t="e">
        <f>IF(#REF!,"AAAAAD2f+6M=",0)</f>
        <v>#REF!</v>
      </c>
      <c r="FI279" t="e">
        <f>IF(#REF!,"AAAAAD2f+6Q=",0)</f>
        <v>#REF!</v>
      </c>
      <c r="FJ279" t="e">
        <f>IF(#REF!,"AAAAAD2f+6U=",0)</f>
        <v>#REF!</v>
      </c>
      <c r="FK279" t="e">
        <f>IF(#REF!,"AAAAAD2f+6Y=",0)</f>
        <v>#REF!</v>
      </c>
      <c r="FL279" t="e">
        <f>IF(#REF!,"AAAAAD2f+6c=",0)</f>
        <v>#REF!</v>
      </c>
      <c r="FM279" t="e">
        <f>IF(#REF!,"AAAAAD2f+6g=",0)</f>
        <v>#REF!</v>
      </c>
      <c r="FN279" t="e">
        <f>IF(#REF!,"AAAAAD2f+6k=",0)</f>
        <v>#REF!</v>
      </c>
      <c r="FO279" t="e">
        <f>IF(#REF!,"AAAAAD2f+6o=",0)</f>
        <v>#REF!</v>
      </c>
      <c r="FP279" t="e">
        <f>IF(#REF!,"AAAAAD2f+6s=",0)</f>
        <v>#REF!</v>
      </c>
      <c r="FQ279" t="e">
        <f>IF(#REF!,"AAAAAD2f+6w=",0)</f>
        <v>#REF!</v>
      </c>
      <c r="FR279" t="e">
        <f>IF(#REF!,"AAAAAD2f+60=",0)</f>
        <v>#REF!</v>
      </c>
      <c r="FS279" t="e">
        <f>IF(#REF!,"AAAAAD2f+64=",0)</f>
        <v>#REF!</v>
      </c>
      <c r="FT279" t="e">
        <f>IF(#REF!,"AAAAAD2f+68=",0)</f>
        <v>#REF!</v>
      </c>
      <c r="FU279" t="e">
        <f>IF(#REF!,"AAAAAD2f+7A=",0)</f>
        <v>#REF!</v>
      </c>
      <c r="FV279" t="e">
        <f>IF(#REF!,"AAAAAD2f+7E=",0)</f>
        <v>#REF!</v>
      </c>
      <c r="FW279" t="e">
        <f>IF(#REF!,"AAAAAD2f+7I=",0)</f>
        <v>#REF!</v>
      </c>
      <c r="FX279" t="e">
        <f>IF(#REF!,"AAAAAD2f+7M=",0)</f>
        <v>#REF!</v>
      </c>
      <c r="FY279" t="e">
        <f>IF(#REF!,"AAAAAD2f+7Q=",0)</f>
        <v>#REF!</v>
      </c>
      <c r="FZ279" t="e">
        <f>IF(#REF!,"AAAAAD2f+7U=",0)</f>
        <v>#REF!</v>
      </c>
      <c r="GA279" t="e">
        <f>IF(#REF!,"AAAAAD2f+7Y=",0)</f>
        <v>#REF!</v>
      </c>
      <c r="GB279" t="e">
        <f>IF(#REF!,"AAAAAD2f+7c=",0)</f>
        <v>#REF!</v>
      </c>
      <c r="GC279" t="e">
        <f>IF(#REF!,"AAAAAD2f+7g=",0)</f>
        <v>#REF!</v>
      </c>
      <c r="GD279" t="e">
        <f>IF(#REF!,"AAAAAD2f+7k=",0)</f>
        <v>#REF!</v>
      </c>
      <c r="GE279" t="e">
        <f>IF(#REF!,"AAAAAD2f+7o=",0)</f>
        <v>#REF!</v>
      </c>
      <c r="GF279" t="e">
        <f>IF(#REF!,"AAAAAD2f+7s=",0)</f>
        <v>#REF!</v>
      </c>
      <c r="GG279" t="e">
        <f>IF(#REF!,"AAAAAD2f+7w=",0)</f>
        <v>#REF!</v>
      </c>
      <c r="GH279" t="e">
        <f>IF(#REF!,"AAAAAD2f+70=",0)</f>
        <v>#REF!</v>
      </c>
      <c r="GI279" t="e">
        <f>IF(#REF!,"AAAAAD2f+74=",0)</f>
        <v>#REF!</v>
      </c>
      <c r="GJ279" t="e">
        <f>IF(#REF!,"AAAAAD2f+78=",0)</f>
        <v>#REF!</v>
      </c>
      <c r="GK279" t="e">
        <f>IF(#REF!,"AAAAAD2f+8A=",0)</f>
        <v>#REF!</v>
      </c>
      <c r="GL279" t="e">
        <f>IF(#REF!,"AAAAAD2f+8E=",0)</f>
        <v>#REF!</v>
      </c>
      <c r="GM279" t="e">
        <f>IF(#REF!,"AAAAAD2f+8I=",0)</f>
        <v>#REF!</v>
      </c>
      <c r="GN279" t="e">
        <f>IF(#REF!,"AAAAAD2f+8M=",0)</f>
        <v>#REF!</v>
      </c>
      <c r="GO279" t="e">
        <f>IF(#REF!,"AAAAAD2f+8Q=",0)</f>
        <v>#REF!</v>
      </c>
      <c r="GP279" t="e">
        <f>IF(#REF!,"AAAAAD2f+8U=",0)</f>
        <v>#REF!</v>
      </c>
      <c r="GQ279" t="e">
        <f>IF(#REF!,"AAAAAD2f+8Y=",0)</f>
        <v>#REF!</v>
      </c>
      <c r="GR279" t="e">
        <f>IF(#REF!,"AAAAAD2f+8c=",0)</f>
        <v>#REF!</v>
      </c>
      <c r="GS279" t="e">
        <f>IF(#REF!,"AAAAAD2f+8g=",0)</f>
        <v>#REF!</v>
      </c>
      <c r="GT279" t="e">
        <f>IF(#REF!,"AAAAAD2f+8k=",0)</f>
        <v>#REF!</v>
      </c>
      <c r="GU279" t="e">
        <f>IF(#REF!,"AAAAAD2f+8o=",0)</f>
        <v>#REF!</v>
      </c>
      <c r="GV279" t="e">
        <f>IF(#REF!,"AAAAAD2f+8s=",0)</f>
        <v>#REF!</v>
      </c>
      <c r="GW279" t="e">
        <f>IF(#REF!,"AAAAAD2f+8w=",0)</f>
        <v>#REF!</v>
      </c>
      <c r="GX279" t="e">
        <f>IF(#REF!,"AAAAAD2f+80=",0)</f>
        <v>#REF!</v>
      </c>
      <c r="GY279" t="e">
        <f>IF(#REF!,"AAAAAD2f+84=",0)</f>
        <v>#REF!</v>
      </c>
      <c r="GZ279" t="e">
        <f>IF(#REF!,"AAAAAD2f+88=",0)</f>
        <v>#REF!</v>
      </c>
      <c r="HA279" t="e">
        <f>IF(#REF!,"AAAAAD2f+9A=",0)</f>
        <v>#REF!</v>
      </c>
      <c r="HB279" t="e">
        <f>IF(#REF!,"AAAAAD2f+9E=",0)</f>
        <v>#REF!</v>
      </c>
      <c r="HC279" t="e">
        <f>IF(#REF!,"AAAAAD2f+9I=",0)</f>
        <v>#REF!</v>
      </c>
      <c r="HD279" t="e">
        <f>IF(#REF!,"AAAAAD2f+9M=",0)</f>
        <v>#REF!</v>
      </c>
      <c r="HE279" t="e">
        <f>IF(#REF!,"AAAAAD2f+9Q=",0)</f>
        <v>#REF!</v>
      </c>
      <c r="HF279" t="e">
        <f>IF(#REF!,"AAAAAD2f+9U=",0)</f>
        <v>#REF!</v>
      </c>
      <c r="HG279" t="e">
        <f>IF(#REF!,"AAAAAD2f+9Y=",0)</f>
        <v>#REF!</v>
      </c>
      <c r="HH279" t="e">
        <f>IF(#REF!,"AAAAAD2f+9c=",0)</f>
        <v>#REF!</v>
      </c>
      <c r="HI279" t="e">
        <f>IF(#REF!,"AAAAAD2f+9g=",0)</f>
        <v>#REF!</v>
      </c>
      <c r="HJ279" t="e">
        <f>IF(#REF!,"AAAAAD2f+9k=",0)</f>
        <v>#REF!</v>
      </c>
      <c r="HK279" t="e">
        <f>IF(#REF!,"AAAAAD2f+9o=",0)</f>
        <v>#REF!</v>
      </c>
      <c r="HL279" t="e">
        <f>IF(#REF!,"AAAAAD2f+9s=",0)</f>
        <v>#REF!</v>
      </c>
      <c r="HM279" t="e">
        <f>IF(#REF!,"AAAAAD2f+9w=",0)</f>
        <v>#REF!</v>
      </c>
      <c r="HN279" t="e">
        <f>IF(#REF!,"AAAAAD2f+90=",0)</f>
        <v>#REF!</v>
      </c>
      <c r="HO279" t="e">
        <f>IF(#REF!,"AAAAAD2f+94=",0)</f>
        <v>#REF!</v>
      </c>
      <c r="HP279" t="e">
        <f>IF(#REF!,"AAAAAD2f+98=",0)</f>
        <v>#REF!</v>
      </c>
      <c r="HQ279" t="e">
        <f>IF(#REF!,"AAAAAD2f++A=",0)</f>
        <v>#REF!</v>
      </c>
      <c r="HR279" t="e">
        <f>IF(#REF!,"AAAAAD2f++E=",0)</f>
        <v>#REF!</v>
      </c>
      <c r="HS279" t="e">
        <f>IF(#REF!,"AAAAAD2f++I=",0)</f>
        <v>#REF!</v>
      </c>
      <c r="HT279" t="e">
        <f>IF(#REF!,"AAAAAD2f++M=",0)</f>
        <v>#REF!</v>
      </c>
      <c r="HU279" t="e">
        <f>IF(#REF!,"AAAAAD2f++Q=",0)</f>
        <v>#REF!</v>
      </c>
      <c r="HV279" t="e">
        <f>IF(#REF!,"AAAAAD2f++U=",0)</f>
        <v>#REF!</v>
      </c>
      <c r="HW279" t="e">
        <f>IF(#REF!,"AAAAAD2f++Y=",0)</f>
        <v>#REF!</v>
      </c>
      <c r="HX279" t="e">
        <f>IF(#REF!,"AAAAAD2f++c=",0)</f>
        <v>#REF!</v>
      </c>
      <c r="HY279" t="e">
        <f>IF(#REF!,"AAAAAD2f++g=",0)</f>
        <v>#REF!</v>
      </c>
      <c r="HZ279" t="e">
        <f>IF(#REF!,"AAAAAD2f++k=",0)</f>
        <v>#REF!</v>
      </c>
      <c r="IA279" t="e">
        <f>IF(#REF!,"AAAAAD2f++o=",0)</f>
        <v>#REF!</v>
      </c>
      <c r="IB279" t="e">
        <f>IF(#REF!,"AAAAAD2f++s=",0)</f>
        <v>#REF!</v>
      </c>
      <c r="IC279" t="e">
        <f>IF(#REF!,"AAAAAD2f++w=",0)</f>
        <v>#REF!</v>
      </c>
      <c r="ID279" t="e">
        <f>IF(#REF!,"AAAAAD2f++0=",0)</f>
        <v>#REF!</v>
      </c>
      <c r="IE279" t="e">
        <f>IF(#REF!,"AAAAAD2f++4=",0)</f>
        <v>#REF!</v>
      </c>
      <c r="IF279" t="e">
        <f>IF(#REF!,"AAAAAD2f++8=",0)</f>
        <v>#REF!</v>
      </c>
      <c r="IG279" t="e">
        <f>IF(#REF!,"AAAAAD2f+/A=",0)</f>
        <v>#REF!</v>
      </c>
      <c r="IH279" t="e">
        <f>IF(#REF!,"AAAAAD2f+/E=",0)</f>
        <v>#REF!</v>
      </c>
      <c r="II279" t="e">
        <f>IF(#REF!,"AAAAAD2f+/I=",0)</f>
        <v>#REF!</v>
      </c>
      <c r="IJ279" t="e">
        <f>IF(#REF!,"AAAAAD2f+/M=",0)</f>
        <v>#REF!</v>
      </c>
      <c r="IK279" t="e">
        <f>IF(#REF!,"AAAAAD2f+/Q=",0)</f>
        <v>#REF!</v>
      </c>
      <c r="IL279" t="e">
        <f>IF(#REF!,"AAAAAD2f+/U=",0)</f>
        <v>#REF!</v>
      </c>
      <c r="IM279" t="e">
        <f>IF(#REF!,"AAAAAD2f+/Y=",0)</f>
        <v>#REF!</v>
      </c>
      <c r="IN279" t="e">
        <f>IF(#REF!,"AAAAAD2f+/c=",0)</f>
        <v>#REF!</v>
      </c>
      <c r="IO279" t="e">
        <f>IF(#REF!,"AAAAAD2f+/g=",0)</f>
        <v>#REF!</v>
      </c>
      <c r="IP279" t="e">
        <f>IF(#REF!,"AAAAAD2f+/k=",0)</f>
        <v>#REF!</v>
      </c>
      <c r="IQ279" t="e">
        <f>IF(#REF!,"AAAAAD2f+/o=",0)</f>
        <v>#REF!</v>
      </c>
      <c r="IR279" t="e">
        <f>IF(#REF!,"AAAAAD2f+/s=",0)</f>
        <v>#REF!</v>
      </c>
      <c r="IS279" t="e">
        <f>IF(#REF!,"AAAAAD2f+/w=",0)</f>
        <v>#REF!</v>
      </c>
      <c r="IT279" t="e">
        <f>IF(#REF!,"AAAAAD2f+/0=",0)</f>
        <v>#REF!</v>
      </c>
      <c r="IU279" t="e">
        <f>IF(#REF!,"AAAAAD2f+/4=",0)</f>
        <v>#REF!</v>
      </c>
      <c r="IV279" t="e">
        <f>IF(#REF!,"AAAAAD2f+/8=",0)</f>
        <v>#REF!</v>
      </c>
    </row>
    <row r="280" spans="1:256">
      <c r="A280" t="e">
        <f>IF(#REF!,"AAAAACp8rgA=",0)</f>
        <v>#REF!</v>
      </c>
      <c r="B280" t="e">
        <f>IF(#REF!,"AAAAACp8rgE=",0)</f>
        <v>#REF!</v>
      </c>
      <c r="C280" t="e">
        <f>IF(#REF!,"AAAAACp8rgI=",0)</f>
        <v>#REF!</v>
      </c>
      <c r="D280" t="e">
        <f>IF(#REF!,"AAAAACp8rgM=",0)</f>
        <v>#REF!</v>
      </c>
      <c r="E280" t="e">
        <f>IF(#REF!,"AAAAACp8rgQ=",0)</f>
        <v>#REF!</v>
      </c>
      <c r="F280" t="e">
        <f>IF(#REF!,"AAAAACp8rgU=",0)</f>
        <v>#REF!</v>
      </c>
      <c r="G280" t="e">
        <f>IF(#REF!,"AAAAACp8rgY=",0)</f>
        <v>#REF!</v>
      </c>
      <c r="H280" t="e">
        <f>IF(#REF!,"AAAAACp8rgc=",0)</f>
        <v>#REF!</v>
      </c>
      <c r="I280" t="e">
        <f>IF(#REF!,"AAAAACp8rgg=",0)</f>
        <v>#REF!</v>
      </c>
      <c r="J280" t="e">
        <f>IF(#REF!,"AAAAACp8rgk=",0)</f>
        <v>#REF!</v>
      </c>
      <c r="K280" t="e">
        <f>IF(#REF!,"AAAAACp8rgo=",0)</f>
        <v>#REF!</v>
      </c>
      <c r="L280" t="e">
        <f>IF(#REF!,"AAAAACp8rgs=",0)</f>
        <v>#REF!</v>
      </c>
      <c r="M280" t="e">
        <f>IF(#REF!,"AAAAACp8rgw=",0)</f>
        <v>#REF!</v>
      </c>
      <c r="N280" t="e">
        <f>IF(#REF!,"AAAAACp8rg0=",0)</f>
        <v>#REF!</v>
      </c>
      <c r="O280" t="e">
        <f>IF(#REF!,"AAAAACp8rg4=",0)</f>
        <v>#REF!</v>
      </c>
      <c r="P280" t="e">
        <f>IF(#REF!,"AAAAACp8rg8=",0)</f>
        <v>#REF!</v>
      </c>
      <c r="Q280" t="e">
        <f>IF(#REF!,"AAAAACp8rhA=",0)</f>
        <v>#REF!</v>
      </c>
      <c r="R280" t="e">
        <f>IF(#REF!,"AAAAACp8rhE=",0)</f>
        <v>#REF!</v>
      </c>
      <c r="S280" t="e">
        <f>IF(#REF!,"AAAAACp8rhI=",0)</f>
        <v>#REF!</v>
      </c>
      <c r="T280" t="e">
        <f>IF(#REF!,"AAAAACp8rhM=",0)</f>
        <v>#REF!</v>
      </c>
      <c r="U280" t="e">
        <f>IF(#REF!,"AAAAACp8rhQ=",0)</f>
        <v>#REF!</v>
      </c>
      <c r="V280" t="e">
        <f>IF(#REF!,"AAAAACp8rhU=",0)</f>
        <v>#REF!</v>
      </c>
      <c r="W280" t="e">
        <f>IF(#REF!,"AAAAACp8rhY=",0)</f>
        <v>#REF!</v>
      </c>
      <c r="X280" t="e">
        <f>IF(#REF!,"AAAAACp8rhc=",0)</f>
        <v>#REF!</v>
      </c>
      <c r="Y280" t="e">
        <f>IF(#REF!,"AAAAACp8rhg=",0)</f>
        <v>#REF!</v>
      </c>
      <c r="Z280" t="e">
        <f>IF(#REF!,"AAAAACp8rhk=",0)</f>
        <v>#REF!</v>
      </c>
      <c r="AA280" t="e">
        <f>IF(#REF!,"AAAAACp8rho=",0)</f>
        <v>#REF!</v>
      </c>
      <c r="AB280" t="e">
        <f>IF(#REF!,"AAAAACp8rhs=",0)</f>
        <v>#REF!</v>
      </c>
      <c r="AC280" t="e">
        <f>IF(#REF!,"AAAAACp8rhw=",0)</f>
        <v>#REF!</v>
      </c>
      <c r="AD280" t="e">
        <f>IF(#REF!,"AAAAACp8rh0=",0)</f>
        <v>#REF!</v>
      </c>
      <c r="AE280" t="e">
        <f>IF(#REF!,"AAAAACp8rh4=",0)</f>
        <v>#REF!</v>
      </c>
      <c r="AF280" t="e">
        <f>IF(#REF!,"AAAAACp8rh8=",0)</f>
        <v>#REF!</v>
      </c>
      <c r="AG280" t="e">
        <f>IF(#REF!,"AAAAACp8riA=",0)</f>
        <v>#REF!</v>
      </c>
      <c r="AH280" t="e">
        <f>IF(#REF!,"AAAAACp8riE=",0)</f>
        <v>#REF!</v>
      </c>
      <c r="AI280" t="e">
        <f>IF(#REF!,"AAAAACp8riI=",0)</f>
        <v>#REF!</v>
      </c>
      <c r="AJ280" t="e">
        <f>IF(#REF!,"AAAAACp8riM=",0)</f>
        <v>#REF!</v>
      </c>
      <c r="AK280" t="e">
        <f>IF(#REF!,"AAAAACp8riQ=",0)</f>
        <v>#REF!</v>
      </c>
      <c r="AL280" t="e">
        <f>IF(#REF!,"AAAAACp8riU=",0)</f>
        <v>#REF!</v>
      </c>
      <c r="AM280" t="e">
        <f>IF(#REF!,"AAAAACp8riY=",0)</f>
        <v>#REF!</v>
      </c>
      <c r="AN280" t="e">
        <f>IF(#REF!,"AAAAACp8ric=",0)</f>
        <v>#REF!</v>
      </c>
      <c r="AO280" t="e">
        <f>IF(#REF!,"AAAAACp8rig=",0)</f>
        <v>#REF!</v>
      </c>
      <c r="AP280" t="e">
        <f>IF(#REF!,"AAAAACp8rik=",0)</f>
        <v>#REF!</v>
      </c>
      <c r="AQ280" t="e">
        <f>IF(#REF!,"AAAAACp8rio=",0)</f>
        <v>#REF!</v>
      </c>
      <c r="AR280" t="e">
        <f>IF(#REF!,"AAAAACp8ris=",0)</f>
        <v>#REF!</v>
      </c>
      <c r="AS280" t="e">
        <f>IF(#REF!,"AAAAACp8riw=",0)</f>
        <v>#REF!</v>
      </c>
      <c r="AT280" t="e">
        <f>IF(#REF!,"AAAAACp8ri0=",0)</f>
        <v>#REF!</v>
      </c>
      <c r="AU280" t="e">
        <f>IF(#REF!,"AAAAACp8ri4=",0)</f>
        <v>#REF!</v>
      </c>
      <c r="AV280" t="e">
        <f>IF(#REF!,"AAAAACp8ri8=",0)</f>
        <v>#REF!</v>
      </c>
      <c r="AW280" t="e">
        <f>IF(#REF!,"AAAAACp8rjA=",0)</f>
        <v>#REF!</v>
      </c>
      <c r="AX280" t="e">
        <f>IF(#REF!,"AAAAACp8rjE=",0)</f>
        <v>#REF!</v>
      </c>
      <c r="AY280" t="e">
        <f>IF(#REF!,"AAAAACp8rjI=",0)</f>
        <v>#REF!</v>
      </c>
      <c r="AZ280" t="e">
        <f>IF(#REF!,"AAAAACp8rjM=",0)</f>
        <v>#REF!</v>
      </c>
      <c r="BA280" t="e">
        <f>IF(#REF!,"AAAAACp8rjQ=",0)</f>
        <v>#REF!</v>
      </c>
      <c r="BB280" t="e">
        <f>IF(#REF!,"AAAAACp8rjU=",0)</f>
        <v>#REF!</v>
      </c>
      <c r="BC280" t="e">
        <f>IF(#REF!,"AAAAACp8rjY=",0)</f>
        <v>#REF!</v>
      </c>
      <c r="BD280" t="e">
        <f>IF(#REF!,"AAAAACp8rjc=",0)</f>
        <v>#REF!</v>
      </c>
      <c r="BE280" t="e">
        <f>IF(#REF!,"AAAAACp8rjg=",0)</f>
        <v>#REF!</v>
      </c>
      <c r="BF280" t="e">
        <f>IF(#REF!,"AAAAACp8rjk=",0)</f>
        <v>#REF!</v>
      </c>
      <c r="BG280" t="e">
        <f>IF(#REF!,"AAAAACp8rjo=",0)</f>
        <v>#REF!</v>
      </c>
      <c r="BH280" t="e">
        <f>IF(#REF!,"AAAAACp8rjs=",0)</f>
        <v>#REF!</v>
      </c>
      <c r="BI280" t="e">
        <f>IF(#REF!,"AAAAACp8rjw=",0)</f>
        <v>#REF!</v>
      </c>
      <c r="BJ280" t="e">
        <f>IF(#REF!,"AAAAACp8rj0=",0)</f>
        <v>#REF!</v>
      </c>
      <c r="BK280" t="e">
        <f>IF(#REF!,"AAAAACp8rj4=",0)</f>
        <v>#REF!</v>
      </c>
      <c r="BL280" t="e">
        <f>IF(#REF!,"AAAAACp8rj8=",0)</f>
        <v>#REF!</v>
      </c>
      <c r="BM280" t="e">
        <f>IF(#REF!,"AAAAACp8rkA=",0)</f>
        <v>#REF!</v>
      </c>
      <c r="BN280" t="e">
        <f>IF(#REF!,"AAAAACp8rkE=",0)</f>
        <v>#REF!</v>
      </c>
      <c r="BO280" t="e">
        <f>IF(#REF!,"AAAAACp8rkI=",0)</f>
        <v>#REF!</v>
      </c>
      <c r="BP280" t="e">
        <f>IF(#REF!,"AAAAACp8rkM=",0)</f>
        <v>#REF!</v>
      </c>
      <c r="BQ280" t="e">
        <f>IF(#REF!,"AAAAACp8rkQ=",0)</f>
        <v>#REF!</v>
      </c>
      <c r="BR280" t="e">
        <f>IF(#REF!,"AAAAACp8rkU=",0)</f>
        <v>#REF!</v>
      </c>
      <c r="BS280" t="e">
        <f>IF(#REF!,"AAAAACp8rkY=",0)</f>
        <v>#REF!</v>
      </c>
      <c r="BT280" t="e">
        <f>IF(#REF!,"AAAAACp8rkc=",0)</f>
        <v>#REF!</v>
      </c>
      <c r="BU280" t="e">
        <f>IF(#REF!,"AAAAACp8rkg=",0)</f>
        <v>#REF!</v>
      </c>
      <c r="BV280" t="e">
        <f>IF(#REF!,"AAAAACp8rkk=",0)</f>
        <v>#REF!</v>
      </c>
      <c r="BW280" t="e">
        <f>IF(#REF!,"AAAAACp8rko=",0)</f>
        <v>#REF!</v>
      </c>
      <c r="BX280" t="e">
        <f>IF(#REF!,"AAAAACp8rks=",0)</f>
        <v>#REF!</v>
      </c>
      <c r="BY280" t="e">
        <f>IF(#REF!,"AAAAACp8rkw=",0)</f>
        <v>#REF!</v>
      </c>
      <c r="BZ280" t="e">
        <f>IF(#REF!,"AAAAACp8rk0=",0)</f>
        <v>#REF!</v>
      </c>
      <c r="CA280" t="e">
        <f>IF(#REF!,"AAAAACp8rk4=",0)</f>
        <v>#REF!</v>
      </c>
      <c r="CB280" t="e">
        <f>IF(#REF!,"AAAAACp8rk8=",0)</f>
        <v>#REF!</v>
      </c>
      <c r="CC280" t="e">
        <f>IF(#REF!,"AAAAACp8rlA=",0)</f>
        <v>#REF!</v>
      </c>
      <c r="CD280" t="e">
        <f>IF(#REF!,"AAAAACp8rlE=",0)</f>
        <v>#REF!</v>
      </c>
      <c r="CE280" t="e">
        <f>IF(#REF!,"AAAAACp8rlI=",0)</f>
        <v>#REF!</v>
      </c>
      <c r="CF280" t="e">
        <f>IF(#REF!,"AAAAACp8rlM=",0)</f>
        <v>#REF!</v>
      </c>
      <c r="CG280" t="e">
        <f>IF(#REF!,"AAAAACp8rlQ=",0)</f>
        <v>#REF!</v>
      </c>
      <c r="CH280" t="e">
        <f>IF(#REF!,"AAAAACp8rlU=",0)</f>
        <v>#REF!</v>
      </c>
      <c r="CI280" t="e">
        <f>IF(#REF!,"AAAAACp8rlY=",0)</f>
        <v>#REF!</v>
      </c>
      <c r="CJ280" t="e">
        <f>IF(#REF!,"AAAAACp8rlc=",0)</f>
        <v>#REF!</v>
      </c>
      <c r="CK280" t="e">
        <f>IF(#REF!,"AAAAACp8rlg=",0)</f>
        <v>#REF!</v>
      </c>
      <c r="CL280" t="e">
        <f>IF(#REF!,"AAAAACp8rlk=",0)</f>
        <v>#REF!</v>
      </c>
      <c r="CM280" t="e">
        <f>IF(#REF!,"AAAAACp8rlo=",0)</f>
        <v>#REF!</v>
      </c>
      <c r="CN280" t="e">
        <f>IF(#REF!,"AAAAACp8rls=",0)</f>
        <v>#REF!</v>
      </c>
      <c r="CO280" t="e">
        <f>IF(#REF!,"AAAAACp8rlw=",0)</f>
        <v>#REF!</v>
      </c>
      <c r="CP280" t="e">
        <f>IF(#REF!,"AAAAACp8rl0=",0)</f>
        <v>#REF!</v>
      </c>
      <c r="CQ280" t="e">
        <f>IF(#REF!,"AAAAACp8rl4=",0)</f>
        <v>#REF!</v>
      </c>
      <c r="CR280" t="e">
        <f>IF(#REF!,"AAAAACp8rl8=",0)</f>
        <v>#REF!</v>
      </c>
      <c r="CS280" t="e">
        <f>IF(#REF!,"AAAAACp8rmA=",0)</f>
        <v>#REF!</v>
      </c>
      <c r="CT280" t="e">
        <f>IF(#REF!,"AAAAACp8rmE=",0)</f>
        <v>#REF!</v>
      </c>
      <c r="CU280" t="e">
        <f>IF(#REF!,"AAAAACp8rmI=",0)</f>
        <v>#REF!</v>
      </c>
      <c r="CV280" t="e">
        <f>IF(#REF!,"AAAAACp8rmM=",0)</f>
        <v>#REF!</v>
      </c>
      <c r="CW280" t="e">
        <f>IF(#REF!,"AAAAACp8rmQ=",0)</f>
        <v>#REF!</v>
      </c>
      <c r="CX280" t="e">
        <f>IF(#REF!,"AAAAACp8rmU=",0)</f>
        <v>#REF!</v>
      </c>
      <c r="CY280" t="e">
        <f>IF(#REF!,"AAAAACp8rmY=",0)</f>
        <v>#REF!</v>
      </c>
      <c r="CZ280" t="e">
        <f>IF(#REF!,"AAAAACp8rmc=",0)</f>
        <v>#REF!</v>
      </c>
      <c r="DA280" t="e">
        <f>IF(#REF!,"AAAAACp8rmg=",0)</f>
        <v>#REF!</v>
      </c>
      <c r="DB280" t="e">
        <f>IF(#REF!,"AAAAACp8rmk=",0)</f>
        <v>#REF!</v>
      </c>
      <c r="DC280" t="e">
        <f>IF(#REF!,"AAAAACp8rmo=",0)</f>
        <v>#REF!</v>
      </c>
      <c r="DD280" t="e">
        <f>IF(#REF!,"AAAAACp8rms=",0)</f>
        <v>#REF!</v>
      </c>
      <c r="DE280" t="e">
        <f>IF(#REF!,"AAAAACp8rmw=",0)</f>
        <v>#REF!</v>
      </c>
      <c r="DF280" t="e">
        <f>IF(#REF!,"AAAAACp8rm0=",0)</f>
        <v>#REF!</v>
      </c>
      <c r="DG280" t="e">
        <f>IF(#REF!,"AAAAACp8rm4=",0)</f>
        <v>#REF!</v>
      </c>
      <c r="DH280" t="e">
        <f>IF(#REF!,"AAAAACp8rm8=",0)</f>
        <v>#REF!</v>
      </c>
      <c r="DI280" t="e">
        <f>IF(#REF!,"AAAAACp8rnA=",0)</f>
        <v>#REF!</v>
      </c>
      <c r="DJ280" t="e">
        <f>IF(#REF!,"AAAAACp8rnE=",0)</f>
        <v>#REF!</v>
      </c>
      <c r="DK280" t="e">
        <f>IF(#REF!,"AAAAACp8rnI=",0)</f>
        <v>#REF!</v>
      </c>
      <c r="DL280" t="e">
        <f>IF(#REF!,"AAAAACp8rnM=",0)</f>
        <v>#REF!</v>
      </c>
      <c r="DM280" t="e">
        <f>IF(#REF!,"AAAAACp8rnQ=",0)</f>
        <v>#REF!</v>
      </c>
      <c r="DN280" t="e">
        <f>IF(#REF!,"AAAAACp8rnU=",0)</f>
        <v>#REF!</v>
      </c>
      <c r="DO280" t="e">
        <f>IF(#REF!,"AAAAACp8rnY=",0)</f>
        <v>#REF!</v>
      </c>
      <c r="DP280" t="e">
        <f>IF(#REF!,"AAAAACp8rnc=",0)</f>
        <v>#REF!</v>
      </c>
      <c r="DQ280" t="e">
        <f>IF(#REF!,"AAAAACp8rng=",0)</f>
        <v>#REF!</v>
      </c>
      <c r="DR280" t="e">
        <f>IF(#REF!,"AAAAACp8rnk=",0)</f>
        <v>#REF!</v>
      </c>
      <c r="DS280" t="e">
        <f>IF(#REF!,"AAAAACp8rno=",0)</f>
        <v>#REF!</v>
      </c>
      <c r="DT280" t="e">
        <f>IF(#REF!,"AAAAACp8rns=",0)</f>
        <v>#REF!</v>
      </c>
      <c r="DU280" t="e">
        <f>IF(#REF!,"AAAAACp8rnw=",0)</f>
        <v>#REF!</v>
      </c>
      <c r="DV280" t="e">
        <f>IF(#REF!,"AAAAACp8rn0=",0)</f>
        <v>#REF!</v>
      </c>
      <c r="DW280" t="e">
        <f>IF(#REF!,"AAAAACp8rn4=",0)</f>
        <v>#REF!</v>
      </c>
      <c r="DX280" t="e">
        <f>IF(#REF!,"AAAAACp8rn8=",0)</f>
        <v>#REF!</v>
      </c>
      <c r="DY280" t="e">
        <f>IF(#REF!,"AAAAACp8roA=",0)</f>
        <v>#REF!</v>
      </c>
      <c r="DZ280" t="e">
        <f>IF(#REF!,"AAAAACp8roE=",0)</f>
        <v>#REF!</v>
      </c>
      <c r="EA280" t="e">
        <f>IF(#REF!,"AAAAACp8roI=",0)</f>
        <v>#REF!</v>
      </c>
      <c r="EB280" t="e">
        <f>IF(#REF!,"AAAAACp8roM=",0)</f>
        <v>#REF!</v>
      </c>
      <c r="EC280" t="e">
        <f>IF(#REF!,"AAAAACp8roQ=",0)</f>
        <v>#REF!</v>
      </c>
      <c r="ED280" t="e">
        <f>IF(#REF!,"AAAAACp8roU=",0)</f>
        <v>#REF!</v>
      </c>
      <c r="EE280" t="e">
        <f>IF(#REF!,"AAAAACp8roY=",0)</f>
        <v>#REF!</v>
      </c>
      <c r="EF280" t="e">
        <f>IF(#REF!,"AAAAACp8roc=",0)</f>
        <v>#REF!</v>
      </c>
      <c r="EG280" t="e">
        <f>IF(#REF!,"AAAAACp8rog=",0)</f>
        <v>#REF!</v>
      </c>
      <c r="EH280" t="e">
        <f>IF(#REF!,"AAAAACp8rok=",0)</f>
        <v>#REF!</v>
      </c>
      <c r="EI280" t="e">
        <f>IF(#REF!,"AAAAACp8roo=",0)</f>
        <v>#REF!</v>
      </c>
      <c r="EJ280" t="e">
        <f>IF(#REF!,"AAAAACp8ros=",0)</f>
        <v>#REF!</v>
      </c>
      <c r="EK280" t="e">
        <f>IF(#REF!,"AAAAACp8row=",0)</f>
        <v>#REF!</v>
      </c>
      <c r="EL280" t="e">
        <f>IF(#REF!,"AAAAACp8ro0=",0)</f>
        <v>#REF!</v>
      </c>
      <c r="EM280" t="e">
        <f>IF(#REF!,"AAAAACp8ro4=",0)</f>
        <v>#REF!</v>
      </c>
      <c r="EN280" t="e">
        <f>IF(#REF!,"AAAAACp8ro8=",0)</f>
        <v>#REF!</v>
      </c>
      <c r="EO280" t="e">
        <f>IF(#REF!,"AAAAACp8rpA=",0)</f>
        <v>#REF!</v>
      </c>
      <c r="EP280" t="e">
        <f>IF(#REF!,"AAAAACp8rpE=",0)</f>
        <v>#REF!</v>
      </c>
      <c r="EQ280" t="e">
        <f>IF(#REF!,"AAAAACp8rpI=",0)</f>
        <v>#REF!</v>
      </c>
      <c r="ER280" t="e">
        <f>IF(#REF!,"AAAAACp8rpM=",0)</f>
        <v>#REF!</v>
      </c>
      <c r="ES280" t="e">
        <f>IF(#REF!,"AAAAACp8rpQ=",0)</f>
        <v>#REF!</v>
      </c>
      <c r="ET280" t="e">
        <f>IF(#REF!,"AAAAACp8rpU=",0)</f>
        <v>#REF!</v>
      </c>
      <c r="EU280" t="e">
        <f>IF(#REF!,"AAAAACp8rpY=",0)</f>
        <v>#REF!</v>
      </c>
      <c r="EV280" t="e">
        <f>IF(#REF!,"AAAAACp8rpc=",0)</f>
        <v>#REF!</v>
      </c>
      <c r="EW280" t="e">
        <f>IF(#REF!,"AAAAACp8rpg=",0)</f>
        <v>#REF!</v>
      </c>
      <c r="EX280" t="e">
        <f>IF(#REF!,"AAAAACp8rpk=",0)</f>
        <v>#REF!</v>
      </c>
      <c r="EY280" t="e">
        <f>IF(#REF!,"AAAAACp8rpo=",0)</f>
        <v>#REF!</v>
      </c>
      <c r="EZ280" t="e">
        <f>IF(#REF!,"AAAAACp8rps=",0)</f>
        <v>#REF!</v>
      </c>
      <c r="FA280" t="e">
        <f>IF(#REF!,"AAAAACp8rpw=",0)</f>
        <v>#REF!</v>
      </c>
      <c r="FB280" t="e">
        <f>IF(#REF!,"AAAAACp8rp0=",0)</f>
        <v>#REF!</v>
      </c>
      <c r="FC280" t="e">
        <f>IF(#REF!,"AAAAACp8rp4=",0)</f>
        <v>#REF!</v>
      </c>
      <c r="FD280" t="e">
        <f>IF(#REF!,"AAAAACp8rp8=",0)</f>
        <v>#REF!</v>
      </c>
      <c r="FE280" t="e">
        <f>IF(#REF!,"AAAAACp8rqA=",0)</f>
        <v>#REF!</v>
      </c>
      <c r="FF280" t="e">
        <f>IF(#REF!,"AAAAACp8rqE=",0)</f>
        <v>#REF!</v>
      </c>
      <c r="FG280" t="e">
        <f>IF(#REF!,"AAAAACp8rqI=",0)</f>
        <v>#REF!</v>
      </c>
      <c r="FH280" t="e">
        <f>IF(#REF!,"AAAAACp8rqM=",0)</f>
        <v>#REF!</v>
      </c>
      <c r="FI280" t="e">
        <f>IF(#REF!,"AAAAACp8rqQ=",0)</f>
        <v>#REF!</v>
      </c>
      <c r="FJ280" t="e">
        <f>IF(#REF!,"AAAAACp8rqU=",0)</f>
        <v>#REF!</v>
      </c>
      <c r="FK280" t="e">
        <f>IF(#REF!,"AAAAACp8rqY=",0)</f>
        <v>#REF!</v>
      </c>
      <c r="FL280" t="e">
        <f>IF(#REF!,"AAAAACp8rqc=",0)</f>
        <v>#REF!</v>
      </c>
      <c r="FM280" t="e">
        <f>IF(#REF!,"AAAAACp8rqg=",0)</f>
        <v>#REF!</v>
      </c>
      <c r="FN280" t="e">
        <f>IF(#REF!,"AAAAACp8rqk=",0)</f>
        <v>#REF!</v>
      </c>
      <c r="FO280" t="e">
        <f>IF(#REF!,"AAAAACp8rqo=",0)</f>
        <v>#REF!</v>
      </c>
      <c r="FP280" t="e">
        <f>IF(#REF!,"AAAAACp8rqs=",0)</f>
        <v>#REF!</v>
      </c>
      <c r="FQ280" t="e">
        <f>IF(#REF!,"AAAAACp8rqw=",0)</f>
        <v>#REF!</v>
      </c>
      <c r="FR280" t="e">
        <f>IF(#REF!,"AAAAACp8rq0=",0)</f>
        <v>#REF!</v>
      </c>
      <c r="FS280" t="e">
        <f>IF(#REF!,"AAAAACp8rq4=",0)</f>
        <v>#REF!</v>
      </c>
      <c r="FT280" t="e">
        <f>IF(#REF!,"AAAAACp8rq8=",0)</f>
        <v>#REF!</v>
      </c>
      <c r="FU280" t="e">
        <f>IF(#REF!,"AAAAACp8rrA=",0)</f>
        <v>#REF!</v>
      </c>
      <c r="FV280" t="e">
        <f>IF(#REF!,"AAAAACp8rrE=",0)</f>
        <v>#REF!</v>
      </c>
      <c r="FW280" t="e">
        <f>IF(#REF!,"AAAAACp8rrI=",0)</f>
        <v>#REF!</v>
      </c>
      <c r="FX280" t="e">
        <f>IF(#REF!,"AAAAACp8rrM=",0)</f>
        <v>#REF!</v>
      </c>
      <c r="FY280" t="e">
        <f>IF(#REF!,"AAAAACp8rrQ=",0)</f>
        <v>#REF!</v>
      </c>
      <c r="FZ280" t="e">
        <f>IF(#REF!,"AAAAACp8rrU=",0)</f>
        <v>#REF!</v>
      </c>
      <c r="GA280" t="e">
        <f>IF(#REF!,"AAAAACp8rrY=",0)</f>
        <v>#REF!</v>
      </c>
      <c r="GB280" t="e">
        <f>IF(#REF!,"AAAAACp8rrc=",0)</f>
        <v>#REF!</v>
      </c>
      <c r="GC280" t="e">
        <f>IF(#REF!,"AAAAACp8rrg=",0)</f>
        <v>#REF!</v>
      </c>
      <c r="GD280" t="e">
        <f>IF(#REF!,"AAAAACp8rrk=",0)</f>
        <v>#REF!</v>
      </c>
      <c r="GE280" t="e">
        <f>IF(#REF!,"AAAAACp8rro=",0)</f>
        <v>#REF!</v>
      </c>
      <c r="GF280" t="e">
        <f>IF(#REF!,"AAAAACp8rrs=",0)</f>
        <v>#REF!</v>
      </c>
      <c r="GG280" t="e">
        <f>IF(#REF!,"AAAAACp8rrw=",0)</f>
        <v>#REF!</v>
      </c>
      <c r="GH280" t="e">
        <f>IF(#REF!,"AAAAACp8rr0=",0)</f>
        <v>#REF!</v>
      </c>
      <c r="GI280" t="e">
        <f>IF(#REF!,"AAAAACp8rr4=",0)</f>
        <v>#REF!</v>
      </c>
      <c r="GJ280" t="e">
        <f>IF(#REF!,"AAAAACp8rr8=",0)</f>
        <v>#REF!</v>
      </c>
      <c r="GK280" t="e">
        <f>IF(#REF!,"AAAAACp8rsA=",0)</f>
        <v>#REF!</v>
      </c>
      <c r="GL280" t="e">
        <f>IF(#REF!,"AAAAACp8rsE=",0)</f>
        <v>#REF!</v>
      </c>
      <c r="GM280" t="e">
        <f>IF(#REF!,"AAAAACp8rsI=",0)</f>
        <v>#REF!</v>
      </c>
      <c r="GN280" t="e">
        <f>IF(#REF!,"AAAAACp8rsM=",0)</f>
        <v>#REF!</v>
      </c>
      <c r="GO280" t="e">
        <f>IF(#REF!,"AAAAACp8rsQ=",0)</f>
        <v>#REF!</v>
      </c>
      <c r="GP280" t="e">
        <f>IF(#REF!,"AAAAACp8rsU=",0)</f>
        <v>#REF!</v>
      </c>
      <c r="GQ280" t="e">
        <f>IF(#REF!,"AAAAACp8rsY=",0)</f>
        <v>#REF!</v>
      </c>
      <c r="GR280" t="e">
        <f>IF(#REF!,"AAAAACp8rsc=",0)</f>
        <v>#REF!</v>
      </c>
      <c r="GS280" t="e">
        <f>IF(#REF!,"AAAAACp8rsg=",0)</f>
        <v>#REF!</v>
      </c>
      <c r="GT280" t="e">
        <f>IF(#REF!,"AAAAACp8rsk=",0)</f>
        <v>#REF!</v>
      </c>
      <c r="GU280" t="e">
        <f>IF(#REF!,"AAAAACp8rso=",0)</f>
        <v>#REF!</v>
      </c>
      <c r="GV280" t="e">
        <f>IF(#REF!,"AAAAACp8rss=",0)</f>
        <v>#REF!</v>
      </c>
      <c r="GW280" t="e">
        <f>IF(#REF!,"AAAAACp8rsw=",0)</f>
        <v>#REF!</v>
      </c>
      <c r="GX280" t="e">
        <f>IF(#REF!,"AAAAACp8rs0=",0)</f>
        <v>#REF!</v>
      </c>
      <c r="GY280" t="e">
        <f>IF(#REF!,"AAAAACp8rs4=",0)</f>
        <v>#REF!</v>
      </c>
      <c r="GZ280" t="e">
        <f>IF(#REF!,"AAAAACp8rs8=",0)</f>
        <v>#REF!</v>
      </c>
      <c r="HA280" t="e">
        <f>IF(#REF!,"AAAAACp8rtA=",0)</f>
        <v>#REF!</v>
      </c>
      <c r="HB280" t="e">
        <f>IF(#REF!,"AAAAACp8rtE=",0)</f>
        <v>#REF!</v>
      </c>
      <c r="HC280" t="e">
        <f>IF(#REF!,"AAAAACp8rtI=",0)</f>
        <v>#REF!</v>
      </c>
      <c r="HD280" t="e">
        <f>IF(#REF!,"AAAAACp8rtM=",0)</f>
        <v>#REF!</v>
      </c>
      <c r="HE280" t="e">
        <f>IF(#REF!,"AAAAACp8rtQ=",0)</f>
        <v>#REF!</v>
      </c>
      <c r="HF280" t="e">
        <f>IF(#REF!,"AAAAACp8rtU=",0)</f>
        <v>#REF!</v>
      </c>
      <c r="HG280" t="e">
        <f>IF(#REF!,"AAAAACp8rtY=",0)</f>
        <v>#REF!</v>
      </c>
      <c r="HH280" t="e">
        <f>IF(#REF!,"AAAAACp8rtc=",0)</f>
        <v>#REF!</v>
      </c>
      <c r="HI280" t="e">
        <f>IF(#REF!,"AAAAACp8rtg=",0)</f>
        <v>#REF!</v>
      </c>
      <c r="HJ280" t="e">
        <f>IF(#REF!,"AAAAACp8rtk=",0)</f>
        <v>#REF!</v>
      </c>
      <c r="HK280" t="e">
        <f>IF(#REF!,"AAAAACp8rto=",0)</f>
        <v>#REF!</v>
      </c>
      <c r="HL280" t="e">
        <f>IF(#REF!,"AAAAACp8rts=",0)</f>
        <v>#REF!</v>
      </c>
      <c r="HM280" t="e">
        <f>IF(#REF!,"AAAAACp8rtw=",0)</f>
        <v>#REF!</v>
      </c>
      <c r="HN280" t="e">
        <f>IF(#REF!,"AAAAACp8rt0=",0)</f>
        <v>#REF!</v>
      </c>
      <c r="HO280" t="e">
        <f>IF(#REF!,"AAAAACp8rt4=",0)</f>
        <v>#REF!</v>
      </c>
      <c r="HP280" t="e">
        <f>IF(#REF!,"AAAAACp8rt8=",0)</f>
        <v>#REF!</v>
      </c>
      <c r="HQ280" t="e">
        <f>IF(#REF!,"AAAAACp8ruA=",0)</f>
        <v>#REF!</v>
      </c>
      <c r="HR280" t="e">
        <f>IF(#REF!,"AAAAACp8ruE=",0)</f>
        <v>#REF!</v>
      </c>
      <c r="HS280" t="e">
        <f>IF(#REF!,"AAAAACp8ruI=",0)</f>
        <v>#REF!</v>
      </c>
      <c r="HT280" t="e">
        <f>IF(#REF!,"AAAAACp8ruM=",0)</f>
        <v>#REF!</v>
      </c>
      <c r="HU280" t="e">
        <f>IF(#REF!,"AAAAACp8ruQ=",0)</f>
        <v>#REF!</v>
      </c>
      <c r="HV280" t="e">
        <f>IF(#REF!,"AAAAACp8ruU=",0)</f>
        <v>#REF!</v>
      </c>
      <c r="HW280" t="e">
        <f>IF(#REF!,"AAAAACp8ruY=",0)</f>
        <v>#REF!</v>
      </c>
      <c r="HX280" t="e">
        <f>IF(#REF!,"AAAAACp8ruc=",0)</f>
        <v>#REF!</v>
      </c>
      <c r="HY280" t="e">
        <f>IF(#REF!,"AAAAACp8rug=",0)</f>
        <v>#REF!</v>
      </c>
      <c r="HZ280" t="e">
        <f>IF(#REF!,"AAAAACp8ruk=",0)</f>
        <v>#REF!</v>
      </c>
      <c r="IA280" t="e">
        <f>IF(#REF!,"AAAAACp8ruo=",0)</f>
        <v>#REF!</v>
      </c>
      <c r="IB280" t="e">
        <f>IF(#REF!,"AAAAACp8rus=",0)</f>
        <v>#REF!</v>
      </c>
      <c r="IC280" t="e">
        <f>IF(#REF!,"AAAAACp8ruw=",0)</f>
        <v>#REF!</v>
      </c>
      <c r="ID280" t="e">
        <f>IF(#REF!,"AAAAACp8ru0=",0)</f>
        <v>#REF!</v>
      </c>
      <c r="IE280" t="e">
        <f>IF(#REF!,"AAAAACp8ru4=",0)</f>
        <v>#REF!</v>
      </c>
      <c r="IF280" t="e">
        <f>IF(#REF!,"AAAAACp8ru8=",0)</f>
        <v>#REF!</v>
      </c>
      <c r="IG280" t="e">
        <f>IF(#REF!,"AAAAACp8rvA=",0)</f>
        <v>#REF!</v>
      </c>
      <c r="IH280" t="e">
        <f>IF(#REF!,"AAAAACp8rvE=",0)</f>
        <v>#REF!</v>
      </c>
      <c r="II280" t="e">
        <f>IF(#REF!,"AAAAACp8rvI=",0)</f>
        <v>#REF!</v>
      </c>
      <c r="IJ280" t="e">
        <f>IF(#REF!,"AAAAACp8rvM=",0)</f>
        <v>#REF!</v>
      </c>
      <c r="IK280" t="e">
        <f>IF(#REF!,"AAAAACp8rvQ=",0)</f>
        <v>#REF!</v>
      </c>
      <c r="IL280" t="e">
        <f>IF(#REF!,"AAAAACp8rvU=",0)</f>
        <v>#REF!</v>
      </c>
      <c r="IM280" t="e">
        <f>IF(#REF!,"AAAAACp8rvY=",0)</f>
        <v>#REF!</v>
      </c>
      <c r="IN280" t="e">
        <f>IF(#REF!,"AAAAACp8rvc=",0)</f>
        <v>#REF!</v>
      </c>
      <c r="IO280" t="e">
        <f>IF(#REF!,"AAAAACp8rvg=",0)</f>
        <v>#REF!</v>
      </c>
      <c r="IP280" t="e">
        <f>IF(#REF!,"AAAAACp8rvk=",0)</f>
        <v>#REF!</v>
      </c>
      <c r="IQ280" t="e">
        <f>IF(#REF!,"AAAAACp8rvo=",0)</f>
        <v>#REF!</v>
      </c>
      <c r="IR280" t="e">
        <f>IF(#REF!,"AAAAACp8rvs=",0)</f>
        <v>#REF!</v>
      </c>
      <c r="IS280" t="e">
        <f>IF(#REF!,"AAAAACp8rvw=",0)</f>
        <v>#REF!</v>
      </c>
      <c r="IT280" t="e">
        <f>IF(#REF!,"AAAAACp8rv0=",0)</f>
        <v>#REF!</v>
      </c>
      <c r="IU280" t="e">
        <f>IF(#REF!,"AAAAACp8rv4=",0)</f>
        <v>#REF!</v>
      </c>
      <c r="IV280" t="e">
        <f>IF(#REF!,"AAAAACp8rv8=",0)</f>
        <v>#REF!</v>
      </c>
    </row>
    <row r="281" spans="1:256">
      <c r="A281" t="e">
        <f>IF(#REF!,"AAAAAH9V9gA=",0)</f>
        <v>#REF!</v>
      </c>
      <c r="B281" t="e">
        <f>IF(#REF!,"AAAAAH9V9gE=",0)</f>
        <v>#REF!</v>
      </c>
      <c r="C281" t="e">
        <f>IF(#REF!,"AAAAAH9V9gI=",0)</f>
        <v>#REF!</v>
      </c>
      <c r="D281" t="e">
        <f>IF(#REF!,"AAAAAH9V9gM=",0)</f>
        <v>#REF!</v>
      </c>
      <c r="E281" t="e">
        <f>IF(#REF!,"AAAAAH9V9gQ=",0)</f>
        <v>#REF!</v>
      </c>
      <c r="F281" t="e">
        <f>IF(#REF!,"AAAAAH9V9gU=",0)</f>
        <v>#REF!</v>
      </c>
      <c r="G281" t="e">
        <f>IF(#REF!,"AAAAAH9V9gY=",0)</f>
        <v>#REF!</v>
      </c>
      <c r="H281" t="e">
        <f>IF(#REF!,"AAAAAH9V9gc=",0)</f>
        <v>#REF!</v>
      </c>
      <c r="I281" t="e">
        <f>IF(#REF!,"AAAAAH9V9gg=",0)</f>
        <v>#REF!</v>
      </c>
      <c r="J281" t="e">
        <f>IF(#REF!,"AAAAAH9V9gk=",0)</f>
        <v>#REF!</v>
      </c>
      <c r="K281" t="e">
        <f>IF(#REF!,"AAAAAH9V9go=",0)</f>
        <v>#REF!</v>
      </c>
      <c r="L281" t="e">
        <f>IF(#REF!,"AAAAAH9V9gs=",0)</f>
        <v>#REF!</v>
      </c>
      <c r="M281" t="e">
        <f>IF(#REF!,"AAAAAH9V9gw=",0)</f>
        <v>#REF!</v>
      </c>
      <c r="N281" t="e">
        <f>IF(#REF!,"AAAAAH9V9g0=",0)</f>
        <v>#REF!</v>
      </c>
      <c r="O281" t="e">
        <f>IF(#REF!,"AAAAAH9V9g4=",0)</f>
        <v>#REF!</v>
      </c>
      <c r="P281" t="e">
        <f>IF(#REF!,"AAAAAH9V9g8=",0)</f>
        <v>#REF!</v>
      </c>
      <c r="Q281" t="e">
        <f>IF(#REF!,"AAAAAH9V9hA=",0)</f>
        <v>#REF!</v>
      </c>
      <c r="R281" t="e">
        <f>IF(#REF!,"AAAAAH9V9hE=",0)</f>
        <v>#REF!</v>
      </c>
      <c r="S281" t="e">
        <f>IF(#REF!,"AAAAAH9V9hI=",0)</f>
        <v>#REF!</v>
      </c>
      <c r="T281" t="e">
        <f>IF(#REF!,"AAAAAH9V9hM=",0)</f>
        <v>#REF!</v>
      </c>
      <c r="U281" t="e">
        <f>IF(#REF!,"AAAAAH9V9hQ=",0)</f>
        <v>#REF!</v>
      </c>
      <c r="V281" t="e">
        <f>IF(#REF!,"AAAAAH9V9hU=",0)</f>
        <v>#REF!</v>
      </c>
      <c r="W281" t="e">
        <f>IF(#REF!,"AAAAAH9V9hY=",0)</f>
        <v>#REF!</v>
      </c>
      <c r="X281" t="e">
        <f>IF(#REF!,"AAAAAH9V9hc=",0)</f>
        <v>#REF!</v>
      </c>
      <c r="Y281" t="e">
        <f>IF(#REF!,"AAAAAH9V9hg=",0)</f>
        <v>#REF!</v>
      </c>
      <c r="Z281" t="e">
        <f>IF(#REF!,"AAAAAH9V9hk=",0)</f>
        <v>#REF!</v>
      </c>
      <c r="AA281" t="e">
        <f>IF(#REF!,"AAAAAH9V9ho=",0)</f>
        <v>#REF!</v>
      </c>
      <c r="AB281" t="e">
        <f>IF(#REF!,"AAAAAH9V9hs=",0)</f>
        <v>#REF!</v>
      </c>
      <c r="AC281" t="e">
        <f>IF(#REF!,"AAAAAH9V9hw=",0)</f>
        <v>#REF!</v>
      </c>
      <c r="AD281" t="e">
        <f>IF(#REF!,"AAAAAH9V9h0=",0)</f>
        <v>#REF!</v>
      </c>
      <c r="AE281" t="e">
        <f>IF(#REF!,"AAAAAH9V9h4=",0)</f>
        <v>#REF!</v>
      </c>
      <c r="AF281" t="e">
        <f>IF(#REF!,"AAAAAH9V9h8=",0)</f>
        <v>#REF!</v>
      </c>
      <c r="AG281" t="e">
        <f>IF(#REF!,"AAAAAH9V9iA=",0)</f>
        <v>#REF!</v>
      </c>
      <c r="AH281" t="e">
        <f>IF(#REF!,"AAAAAH9V9iE=",0)</f>
        <v>#REF!</v>
      </c>
      <c r="AI281" t="e">
        <f>IF(#REF!,"AAAAAH9V9iI=",0)</f>
        <v>#REF!</v>
      </c>
      <c r="AJ281" t="e">
        <f>IF(#REF!,"AAAAAH9V9iM=",0)</f>
        <v>#REF!</v>
      </c>
      <c r="AK281" t="e">
        <f>IF(#REF!,"AAAAAH9V9iQ=",0)</f>
        <v>#REF!</v>
      </c>
      <c r="AL281" t="e">
        <f>IF(#REF!,"AAAAAH9V9iU=",0)</f>
        <v>#REF!</v>
      </c>
      <c r="AM281" t="e">
        <f>IF(#REF!,"AAAAAH9V9iY=",0)</f>
        <v>#REF!</v>
      </c>
      <c r="AN281" t="e">
        <f>IF(#REF!,"AAAAAH9V9ic=",0)</f>
        <v>#REF!</v>
      </c>
      <c r="AO281" t="e">
        <f>IF(#REF!,"AAAAAH9V9ig=",0)</f>
        <v>#REF!</v>
      </c>
      <c r="AP281" t="e">
        <f>IF(#REF!,"AAAAAH9V9ik=",0)</f>
        <v>#REF!</v>
      </c>
      <c r="AQ281" t="e">
        <f>IF(#REF!,"AAAAAH9V9io=",0)</f>
        <v>#REF!</v>
      </c>
      <c r="AR281" t="e">
        <f>IF(#REF!,"AAAAAH9V9is=",0)</f>
        <v>#REF!</v>
      </c>
      <c r="AS281" t="e">
        <f>IF(#REF!,"AAAAAH9V9iw=",0)</f>
        <v>#REF!</v>
      </c>
      <c r="AT281" t="e">
        <f>IF(#REF!,"AAAAAH9V9i0=",0)</f>
        <v>#REF!</v>
      </c>
      <c r="AU281" t="e">
        <f>IF(#REF!,"AAAAAH9V9i4=",0)</f>
        <v>#REF!</v>
      </c>
      <c r="AV281" t="e">
        <f>IF(#REF!,"AAAAAH9V9i8=",0)</f>
        <v>#REF!</v>
      </c>
      <c r="AW281" t="e">
        <f>IF(#REF!,"AAAAAH9V9jA=",0)</f>
        <v>#REF!</v>
      </c>
      <c r="AX281" t="e">
        <f>IF(#REF!,"AAAAAH9V9jE=",0)</f>
        <v>#REF!</v>
      </c>
      <c r="AY281" t="e">
        <f>IF(#REF!,"AAAAAH9V9jI=",0)</f>
        <v>#REF!</v>
      </c>
      <c r="AZ281" t="e">
        <f>IF(#REF!,"AAAAAH9V9jM=",0)</f>
        <v>#REF!</v>
      </c>
      <c r="BA281" t="e">
        <f>IF(#REF!,"AAAAAH9V9jQ=",0)</f>
        <v>#REF!</v>
      </c>
      <c r="BB281" t="e">
        <f>IF(#REF!,"AAAAAH9V9jU=",0)</f>
        <v>#REF!</v>
      </c>
      <c r="BC281" t="e">
        <f>IF(#REF!,"AAAAAH9V9jY=",0)</f>
        <v>#REF!</v>
      </c>
      <c r="BD281" t="e">
        <f>IF(#REF!,"AAAAAH9V9jc=",0)</f>
        <v>#REF!</v>
      </c>
      <c r="BE281" t="e">
        <f>IF(#REF!,"AAAAAH9V9jg=",0)</f>
        <v>#REF!</v>
      </c>
      <c r="BF281" t="e">
        <f>IF(#REF!,"AAAAAH9V9jk=",0)</f>
        <v>#REF!</v>
      </c>
      <c r="BG281" t="e">
        <f>IF(#REF!,"AAAAAH9V9jo=",0)</f>
        <v>#REF!</v>
      </c>
      <c r="BH281" t="e">
        <f>IF(#REF!,"AAAAAH9V9js=",0)</f>
        <v>#REF!</v>
      </c>
      <c r="BI281" t="e">
        <f>IF(#REF!,"AAAAAH9V9jw=",0)</f>
        <v>#REF!</v>
      </c>
      <c r="BJ281" t="e">
        <f>IF(#REF!,"AAAAAH9V9j0=",0)</f>
        <v>#REF!</v>
      </c>
      <c r="BK281" t="e">
        <f>IF(#REF!,"AAAAAH9V9j4=",0)</f>
        <v>#REF!</v>
      </c>
      <c r="BL281" t="e">
        <f>IF(#REF!,"AAAAAH9V9j8=",0)</f>
        <v>#REF!</v>
      </c>
      <c r="BM281" t="e">
        <f>IF(#REF!,"AAAAAH9V9kA=",0)</f>
        <v>#REF!</v>
      </c>
      <c r="BN281" t="e">
        <f>IF(#REF!,"AAAAAH9V9kE=",0)</f>
        <v>#REF!</v>
      </c>
      <c r="BO281" t="e">
        <f>IF(#REF!,"AAAAAH9V9kI=",0)</f>
        <v>#REF!</v>
      </c>
      <c r="BP281" t="e">
        <f>IF(#REF!,"AAAAAH9V9kM=",0)</f>
        <v>#REF!</v>
      </c>
      <c r="BQ281" t="e">
        <f>IF(#REF!,"AAAAAH9V9kQ=",0)</f>
        <v>#REF!</v>
      </c>
      <c r="BR281" t="e">
        <f>IF(#REF!,"AAAAAH9V9kU=",0)</f>
        <v>#REF!</v>
      </c>
      <c r="BS281" t="e">
        <f>IF(#REF!,"AAAAAH9V9kY=",0)</f>
        <v>#REF!</v>
      </c>
      <c r="BT281" t="e">
        <f>IF(#REF!,"AAAAAH9V9kc=",0)</f>
        <v>#REF!</v>
      </c>
      <c r="BU281" t="e">
        <f>IF(#REF!,"AAAAAH9V9kg=",0)</f>
        <v>#REF!</v>
      </c>
      <c r="BV281" t="e">
        <f>IF(#REF!,"AAAAAH9V9kk=",0)</f>
        <v>#REF!</v>
      </c>
      <c r="BW281" t="e">
        <f>IF(#REF!,"AAAAAH9V9ko=",0)</f>
        <v>#REF!</v>
      </c>
      <c r="BX281" t="e">
        <f>IF(#REF!,"AAAAAH9V9ks=",0)</f>
        <v>#REF!</v>
      </c>
      <c r="BY281" t="e">
        <f>IF(#REF!,"AAAAAH9V9kw=",0)</f>
        <v>#REF!</v>
      </c>
      <c r="BZ281" t="e">
        <f>IF(#REF!,"AAAAAH9V9k0=",0)</f>
        <v>#REF!</v>
      </c>
      <c r="CA281" t="e">
        <f>IF(#REF!,"AAAAAH9V9k4=",0)</f>
        <v>#REF!</v>
      </c>
      <c r="CB281" t="e">
        <f>IF(#REF!,"AAAAAH9V9k8=",0)</f>
        <v>#REF!</v>
      </c>
      <c r="CC281" t="e">
        <f>IF(#REF!,"AAAAAH9V9lA=",0)</f>
        <v>#REF!</v>
      </c>
      <c r="CD281" t="e">
        <f>IF(#REF!,"AAAAAH9V9lE=",0)</f>
        <v>#REF!</v>
      </c>
      <c r="CE281" t="e">
        <f>IF(#REF!,"AAAAAH9V9lI=",0)</f>
        <v>#REF!</v>
      </c>
      <c r="CF281" t="e">
        <f>IF(#REF!,"AAAAAH9V9lM=",0)</f>
        <v>#REF!</v>
      </c>
      <c r="CG281" t="e">
        <f>IF(#REF!,"AAAAAH9V9lQ=",0)</f>
        <v>#REF!</v>
      </c>
      <c r="CH281" t="e">
        <f>IF(#REF!,"AAAAAH9V9lU=",0)</f>
        <v>#REF!</v>
      </c>
      <c r="CI281" t="e">
        <f>IF(#REF!,"AAAAAH9V9lY=",0)</f>
        <v>#REF!</v>
      </c>
      <c r="CJ281" t="e">
        <f>IF(#REF!,"AAAAAH9V9lc=",0)</f>
        <v>#REF!</v>
      </c>
      <c r="CK281" t="e">
        <f>IF(#REF!,"AAAAAH9V9lg=",0)</f>
        <v>#REF!</v>
      </c>
      <c r="CL281" t="e">
        <f>IF(#REF!,"AAAAAH9V9lk=",0)</f>
        <v>#REF!</v>
      </c>
      <c r="CM281" t="e">
        <f>IF(#REF!,"AAAAAH9V9lo=",0)</f>
        <v>#REF!</v>
      </c>
      <c r="CN281" t="e">
        <f>IF(#REF!,"AAAAAH9V9ls=",0)</f>
        <v>#REF!</v>
      </c>
      <c r="CO281" t="e">
        <f>IF(#REF!,"AAAAAH9V9lw=",0)</f>
        <v>#REF!</v>
      </c>
      <c r="CP281" t="e">
        <f>IF(#REF!,"AAAAAH9V9l0=",0)</f>
        <v>#REF!</v>
      </c>
      <c r="CQ281" t="e">
        <f>IF(#REF!,"AAAAAH9V9l4=",0)</f>
        <v>#REF!</v>
      </c>
      <c r="CR281" t="e">
        <f>IF(#REF!,"AAAAAH9V9l8=",0)</f>
        <v>#REF!</v>
      </c>
      <c r="CS281" t="e">
        <f>IF(#REF!,"AAAAAH9V9mA=",0)</f>
        <v>#REF!</v>
      </c>
      <c r="CT281" t="e">
        <f>IF(#REF!,"AAAAAH9V9mE=",0)</f>
        <v>#REF!</v>
      </c>
      <c r="CU281" t="e">
        <f>IF(#REF!,"AAAAAH9V9mI=",0)</f>
        <v>#REF!</v>
      </c>
      <c r="CV281" t="e">
        <f>IF(#REF!,"AAAAAH9V9mM=",0)</f>
        <v>#REF!</v>
      </c>
      <c r="CW281" t="e">
        <f>IF(#REF!,"AAAAAH9V9mQ=",0)</f>
        <v>#REF!</v>
      </c>
      <c r="CX281" t="e">
        <f>IF(#REF!,"AAAAAH9V9mU=",0)</f>
        <v>#REF!</v>
      </c>
      <c r="CY281" t="e">
        <f>IF(#REF!,"AAAAAH9V9mY=",0)</f>
        <v>#REF!</v>
      </c>
      <c r="CZ281" t="e">
        <f>IF(#REF!,"AAAAAH9V9mc=",0)</f>
        <v>#REF!</v>
      </c>
      <c r="DA281" t="e">
        <f>IF(#REF!,"AAAAAH9V9mg=",0)</f>
        <v>#REF!</v>
      </c>
      <c r="DB281" t="e">
        <f>IF(#REF!,"AAAAAH9V9mk=",0)</f>
        <v>#REF!</v>
      </c>
      <c r="DC281" t="e">
        <f>IF(#REF!,"AAAAAH9V9mo=",0)</f>
        <v>#REF!</v>
      </c>
      <c r="DD281" t="e">
        <f>IF(#REF!,"AAAAAH9V9ms=",0)</f>
        <v>#REF!</v>
      </c>
      <c r="DE281" t="e">
        <f>IF(#REF!,"AAAAAH9V9mw=",0)</f>
        <v>#REF!</v>
      </c>
      <c r="DF281" t="e">
        <f>IF(#REF!,"AAAAAH9V9m0=",0)</f>
        <v>#REF!</v>
      </c>
      <c r="DG281" t="e">
        <f>IF(#REF!,"AAAAAH9V9m4=",0)</f>
        <v>#REF!</v>
      </c>
      <c r="DH281" t="e">
        <f>IF(#REF!,"AAAAAH9V9m8=",0)</f>
        <v>#REF!</v>
      </c>
      <c r="DI281" t="e">
        <f>IF(#REF!,"AAAAAH9V9nA=",0)</f>
        <v>#REF!</v>
      </c>
      <c r="DJ281" t="e">
        <f>IF(#REF!,"AAAAAH9V9nE=",0)</f>
        <v>#REF!</v>
      </c>
      <c r="DK281" t="e">
        <f>IF(#REF!,"AAAAAH9V9nI=",0)</f>
        <v>#REF!</v>
      </c>
      <c r="DL281" t="e">
        <f>IF(#REF!,"AAAAAH9V9nM=",0)</f>
        <v>#REF!</v>
      </c>
      <c r="DM281" t="e">
        <f>IF(#REF!,"AAAAAH9V9nQ=",0)</f>
        <v>#REF!</v>
      </c>
      <c r="DN281" t="e">
        <f>IF(#REF!,"AAAAAH9V9nU=",0)</f>
        <v>#REF!</v>
      </c>
      <c r="DO281" t="e">
        <f>IF(#REF!,"AAAAAH9V9nY=",0)</f>
        <v>#REF!</v>
      </c>
      <c r="DP281" t="e">
        <f>IF(#REF!,"AAAAAH9V9nc=",0)</f>
        <v>#REF!</v>
      </c>
      <c r="DQ281" t="e">
        <f>IF(#REF!,"AAAAAH9V9ng=",0)</f>
        <v>#REF!</v>
      </c>
      <c r="DR281" t="e">
        <f>IF(#REF!,"AAAAAH9V9nk=",0)</f>
        <v>#REF!</v>
      </c>
      <c r="DS281" t="e">
        <f>IF(#REF!,"AAAAAH9V9no=",0)</f>
        <v>#REF!</v>
      </c>
      <c r="DT281" t="e">
        <f>IF(#REF!,"AAAAAH9V9ns=",0)</f>
        <v>#REF!</v>
      </c>
      <c r="DU281" t="e">
        <f>IF(#REF!,"AAAAAH9V9nw=",0)</f>
        <v>#REF!</v>
      </c>
      <c r="DV281" t="e">
        <f>IF(#REF!,"AAAAAH9V9n0=",0)</f>
        <v>#REF!</v>
      </c>
      <c r="DW281" t="e">
        <f>IF(#REF!,"AAAAAH9V9n4=",0)</f>
        <v>#REF!</v>
      </c>
      <c r="DX281" t="e">
        <f>IF(#REF!,"AAAAAH9V9n8=",0)</f>
        <v>#REF!</v>
      </c>
      <c r="DY281" t="e">
        <f>IF(#REF!,"AAAAAH9V9oA=",0)</f>
        <v>#REF!</v>
      </c>
      <c r="DZ281" t="e">
        <f>IF(#REF!,"AAAAAH9V9oE=",0)</f>
        <v>#REF!</v>
      </c>
      <c r="EA281" t="e">
        <f>IF(#REF!,"AAAAAH9V9oI=",0)</f>
        <v>#REF!</v>
      </c>
      <c r="EB281" t="e">
        <f>IF(#REF!,"AAAAAH9V9oM=",0)</f>
        <v>#REF!</v>
      </c>
      <c r="EC281" t="e">
        <f>IF(#REF!,"AAAAAH9V9oQ=",0)</f>
        <v>#REF!</v>
      </c>
      <c r="ED281" t="e">
        <f>IF(#REF!,"AAAAAH9V9oU=",0)</f>
        <v>#REF!</v>
      </c>
      <c r="EE281" t="e">
        <f>IF(#REF!,"AAAAAH9V9oY=",0)</f>
        <v>#REF!</v>
      </c>
      <c r="EF281" t="e">
        <f>IF(#REF!,"AAAAAH9V9oc=",0)</f>
        <v>#REF!</v>
      </c>
      <c r="EG281" t="e">
        <f>IF(#REF!,"AAAAAH9V9og=",0)</f>
        <v>#REF!</v>
      </c>
      <c r="EH281" t="e">
        <f>IF(#REF!,"AAAAAH9V9ok=",0)</f>
        <v>#REF!</v>
      </c>
      <c r="EI281" t="e">
        <f>IF(#REF!,"AAAAAH9V9oo=",0)</f>
        <v>#REF!</v>
      </c>
      <c r="EJ281" t="e">
        <f>IF(#REF!,"AAAAAH9V9os=",0)</f>
        <v>#REF!</v>
      </c>
      <c r="EK281" t="e">
        <f>IF(#REF!,"AAAAAH9V9ow=",0)</f>
        <v>#REF!</v>
      </c>
      <c r="EL281" t="e">
        <f>IF(#REF!,"AAAAAH9V9o0=",0)</f>
        <v>#REF!</v>
      </c>
      <c r="EM281" t="e">
        <f>IF(#REF!,"AAAAAH9V9o4=",0)</f>
        <v>#REF!</v>
      </c>
      <c r="EN281" t="e">
        <f>IF(#REF!,"AAAAAH9V9o8=",0)</f>
        <v>#REF!</v>
      </c>
      <c r="EO281" t="e">
        <f>IF(#REF!,"AAAAAH9V9pA=",0)</f>
        <v>#REF!</v>
      </c>
      <c r="EP281" t="e">
        <f>IF(#REF!,"AAAAAH9V9pE=",0)</f>
        <v>#REF!</v>
      </c>
      <c r="EQ281" t="e">
        <f>IF(#REF!,"AAAAAH9V9pI=",0)</f>
        <v>#REF!</v>
      </c>
      <c r="ER281" t="e">
        <f>IF(#REF!,"AAAAAH9V9pM=",0)</f>
        <v>#REF!</v>
      </c>
      <c r="ES281" t="e">
        <f>IF(#REF!,"AAAAAH9V9pQ=",0)</f>
        <v>#REF!</v>
      </c>
      <c r="ET281" t="e">
        <f>IF(#REF!,"AAAAAH9V9pU=",0)</f>
        <v>#REF!</v>
      </c>
      <c r="EU281" t="e">
        <f>IF(#REF!,"AAAAAH9V9pY=",0)</f>
        <v>#REF!</v>
      </c>
      <c r="EV281" t="e">
        <f>IF(#REF!,"AAAAAH9V9pc=",0)</f>
        <v>#REF!</v>
      </c>
      <c r="EW281" t="e">
        <f>IF(#REF!,"AAAAAH9V9pg=",0)</f>
        <v>#REF!</v>
      </c>
      <c r="EX281" t="e">
        <f>IF(#REF!,"AAAAAH9V9pk=",0)</f>
        <v>#REF!</v>
      </c>
      <c r="EY281" t="e">
        <f>IF(#REF!,"AAAAAH9V9po=",0)</f>
        <v>#REF!</v>
      </c>
      <c r="EZ281" t="e">
        <f>IF(#REF!,"AAAAAH9V9ps=",0)</f>
        <v>#REF!</v>
      </c>
      <c r="FA281" t="e">
        <f>IF(#REF!,"AAAAAH9V9pw=",0)</f>
        <v>#REF!</v>
      </c>
      <c r="FB281" t="e">
        <f>IF(#REF!,"AAAAAH9V9p0=",0)</f>
        <v>#REF!</v>
      </c>
      <c r="FC281" t="e">
        <f>IF(#REF!,"AAAAAH9V9p4=",0)</f>
        <v>#REF!</v>
      </c>
      <c r="FD281" t="e">
        <f>IF(#REF!,"AAAAAH9V9p8=",0)</f>
        <v>#REF!</v>
      </c>
      <c r="FE281" t="e">
        <f>IF(#REF!,"AAAAAH9V9qA=",0)</f>
        <v>#REF!</v>
      </c>
      <c r="FF281" t="e">
        <f>IF(#REF!,"AAAAAH9V9qE=",0)</f>
        <v>#REF!</v>
      </c>
      <c r="FG281" t="e">
        <f>IF(#REF!,"AAAAAH9V9qI=",0)</f>
        <v>#REF!</v>
      </c>
      <c r="FH281" t="e">
        <f>IF(#REF!,"AAAAAH9V9qM=",0)</f>
        <v>#REF!</v>
      </c>
      <c r="FI281" t="e">
        <f>IF(#REF!,"AAAAAH9V9qQ=",0)</f>
        <v>#REF!</v>
      </c>
      <c r="FJ281" t="e">
        <f>IF(#REF!,"AAAAAH9V9qU=",0)</f>
        <v>#REF!</v>
      </c>
      <c r="FK281" t="e">
        <f>IF(#REF!,"AAAAAH9V9qY=",0)</f>
        <v>#REF!</v>
      </c>
      <c r="FL281" t="e">
        <f>IF(#REF!,"AAAAAH9V9qc=",0)</f>
        <v>#REF!</v>
      </c>
      <c r="FM281" t="e">
        <f>IF(#REF!,"AAAAAH9V9qg=",0)</f>
        <v>#REF!</v>
      </c>
      <c r="FN281" t="e">
        <f>IF(#REF!,"AAAAAH9V9qk=",0)</f>
        <v>#REF!</v>
      </c>
      <c r="FO281" t="e">
        <f>IF(#REF!,"AAAAAH9V9qo=",0)</f>
        <v>#REF!</v>
      </c>
      <c r="FP281" t="e">
        <f>IF(#REF!,"AAAAAH9V9qs=",0)</f>
        <v>#REF!</v>
      </c>
      <c r="FQ281" t="e">
        <f>IF(#REF!,"AAAAAH9V9qw=",0)</f>
        <v>#REF!</v>
      </c>
      <c r="FR281" t="e">
        <f>IF(#REF!,"AAAAAH9V9q0=",0)</f>
        <v>#REF!</v>
      </c>
      <c r="FS281" t="e">
        <f>IF(#REF!,"AAAAAH9V9q4=",0)</f>
        <v>#REF!</v>
      </c>
      <c r="FT281" t="e">
        <f>IF(#REF!,"AAAAAH9V9q8=",0)</f>
        <v>#REF!</v>
      </c>
      <c r="FU281" t="e">
        <f>IF(#REF!,"AAAAAH9V9rA=",0)</f>
        <v>#REF!</v>
      </c>
      <c r="FV281" t="e">
        <f>IF(#REF!,"AAAAAH9V9rE=",0)</f>
        <v>#REF!</v>
      </c>
      <c r="FW281" t="e">
        <f>IF(#REF!,"AAAAAH9V9rI=",0)</f>
        <v>#REF!</v>
      </c>
      <c r="FX281" t="e">
        <f>IF(#REF!,"AAAAAH9V9rM=",0)</f>
        <v>#REF!</v>
      </c>
      <c r="FY281" t="e">
        <f>IF(#REF!,"AAAAAH9V9rQ=",0)</f>
        <v>#REF!</v>
      </c>
      <c r="FZ281" t="e">
        <f>IF(#REF!,"AAAAAH9V9rU=",0)</f>
        <v>#REF!</v>
      </c>
      <c r="GA281" t="e">
        <f>IF(#REF!,"AAAAAH9V9rY=",0)</f>
        <v>#REF!</v>
      </c>
      <c r="GB281" t="e">
        <f>IF(#REF!,"AAAAAH9V9rc=",0)</f>
        <v>#REF!</v>
      </c>
      <c r="GC281" t="e">
        <f>IF(#REF!,"AAAAAH9V9rg=",0)</f>
        <v>#REF!</v>
      </c>
      <c r="GD281" t="e">
        <f>IF(#REF!,"AAAAAH9V9rk=",0)</f>
        <v>#REF!</v>
      </c>
      <c r="GE281" t="e">
        <f>IF(#REF!,"AAAAAH9V9ro=",0)</f>
        <v>#REF!</v>
      </c>
      <c r="GF281" t="e">
        <f>IF(#REF!,"AAAAAH9V9rs=",0)</f>
        <v>#REF!</v>
      </c>
      <c r="GG281" t="e">
        <f>IF(#REF!,"AAAAAH9V9rw=",0)</f>
        <v>#REF!</v>
      </c>
      <c r="GH281" t="e">
        <f>IF(#REF!,"AAAAAH9V9r0=",0)</f>
        <v>#REF!</v>
      </c>
      <c r="GI281" t="e">
        <f>IF(#REF!,"AAAAAH9V9r4=",0)</f>
        <v>#REF!</v>
      </c>
      <c r="GJ281" t="e">
        <f>IF(#REF!,"AAAAAH9V9r8=",0)</f>
        <v>#REF!</v>
      </c>
      <c r="GK281" t="e">
        <f>IF(#REF!,"AAAAAH9V9sA=",0)</f>
        <v>#REF!</v>
      </c>
      <c r="GL281" t="e">
        <f>IF(#REF!,"AAAAAH9V9sE=",0)</f>
        <v>#REF!</v>
      </c>
      <c r="GM281" t="e">
        <f>IF(#REF!,"AAAAAH9V9sI=",0)</f>
        <v>#REF!</v>
      </c>
      <c r="GN281" t="e">
        <f>IF(#REF!,"AAAAAH9V9sM=",0)</f>
        <v>#REF!</v>
      </c>
      <c r="GO281" t="e">
        <f>IF(#REF!,"AAAAAH9V9sQ=",0)</f>
        <v>#REF!</v>
      </c>
      <c r="GP281" t="e">
        <f>IF(#REF!,"AAAAAH9V9sU=",0)</f>
        <v>#REF!</v>
      </c>
      <c r="GQ281" t="e">
        <f>IF(#REF!,"AAAAAH9V9sY=",0)</f>
        <v>#REF!</v>
      </c>
      <c r="GR281" t="e">
        <f>IF(#REF!,"AAAAAH9V9sc=",0)</f>
        <v>#REF!</v>
      </c>
      <c r="GS281" t="e">
        <f>IF(#REF!,"AAAAAH9V9sg=",0)</f>
        <v>#REF!</v>
      </c>
      <c r="GT281" t="e">
        <f>IF(#REF!,"AAAAAH9V9sk=",0)</f>
        <v>#REF!</v>
      </c>
      <c r="GU281" t="e">
        <f>IF(#REF!,"AAAAAH9V9so=",0)</f>
        <v>#REF!</v>
      </c>
      <c r="GV281" t="e">
        <f>IF(#REF!,"AAAAAH9V9ss=",0)</f>
        <v>#REF!</v>
      </c>
      <c r="GW281" t="e">
        <f>IF(#REF!,"AAAAAH9V9sw=",0)</f>
        <v>#REF!</v>
      </c>
      <c r="GX281" t="e">
        <f>IF(#REF!,"AAAAAH9V9s0=",0)</f>
        <v>#REF!</v>
      </c>
      <c r="GY281" t="e">
        <f>IF(#REF!,"AAAAAH9V9s4=",0)</f>
        <v>#REF!</v>
      </c>
      <c r="GZ281" t="e">
        <f>IF(#REF!,"AAAAAH9V9s8=",0)</f>
        <v>#REF!</v>
      </c>
      <c r="HA281" t="e">
        <f>IF(#REF!,"AAAAAH9V9tA=",0)</f>
        <v>#REF!</v>
      </c>
      <c r="HB281" t="e">
        <f>IF(#REF!,"AAAAAH9V9tE=",0)</f>
        <v>#REF!</v>
      </c>
      <c r="HC281" t="e">
        <f>IF(#REF!,"AAAAAH9V9tI=",0)</f>
        <v>#REF!</v>
      </c>
      <c r="HD281" t="e">
        <f>IF(#REF!,"AAAAAH9V9tM=",0)</f>
        <v>#REF!</v>
      </c>
      <c r="HE281" t="e">
        <f>IF(#REF!,"AAAAAH9V9tQ=",0)</f>
        <v>#REF!</v>
      </c>
      <c r="HF281" t="e">
        <f>IF(#REF!,"AAAAAH9V9tU=",0)</f>
        <v>#REF!</v>
      </c>
      <c r="HG281" t="e">
        <f>IF(#REF!,"AAAAAH9V9tY=",0)</f>
        <v>#REF!</v>
      </c>
      <c r="HH281" t="e">
        <f>IF(#REF!,"AAAAAH9V9tc=",0)</f>
        <v>#REF!</v>
      </c>
      <c r="HI281" t="e">
        <f>IF(#REF!,"AAAAAH9V9tg=",0)</f>
        <v>#REF!</v>
      </c>
      <c r="HJ281" t="e">
        <f>IF(#REF!,"AAAAAH9V9tk=",0)</f>
        <v>#REF!</v>
      </c>
      <c r="HK281" t="e">
        <f>IF(#REF!,"AAAAAH9V9to=",0)</f>
        <v>#REF!</v>
      </c>
      <c r="HL281" t="e">
        <f>IF(#REF!,"AAAAAH9V9ts=",0)</f>
        <v>#REF!</v>
      </c>
      <c r="HM281" t="e">
        <f>IF(#REF!,"AAAAAH9V9tw=",0)</f>
        <v>#REF!</v>
      </c>
      <c r="HN281" t="e">
        <f>IF(#REF!,"AAAAAH9V9t0=",0)</f>
        <v>#REF!</v>
      </c>
      <c r="HO281" t="e">
        <f>IF(#REF!,"AAAAAH9V9t4=",0)</f>
        <v>#REF!</v>
      </c>
      <c r="HP281" t="e">
        <f>IF(#REF!,"AAAAAH9V9t8=",0)</f>
        <v>#REF!</v>
      </c>
      <c r="HQ281" t="e">
        <f>IF(#REF!,"AAAAAH9V9uA=",0)</f>
        <v>#REF!</v>
      </c>
      <c r="HR281" t="e">
        <f>IF(#REF!,"AAAAAH9V9uE=",0)</f>
        <v>#REF!</v>
      </c>
      <c r="HS281" t="e">
        <f>IF(#REF!,"AAAAAH9V9uI=",0)</f>
        <v>#REF!</v>
      </c>
      <c r="HT281" t="e">
        <f>IF(#REF!,"AAAAAH9V9uM=",0)</f>
        <v>#REF!</v>
      </c>
      <c r="HU281" t="e">
        <f>IF(#REF!,"AAAAAH9V9uQ=",0)</f>
        <v>#REF!</v>
      </c>
      <c r="HV281" t="e">
        <f>IF(#REF!,"AAAAAH9V9uU=",0)</f>
        <v>#REF!</v>
      </c>
      <c r="HW281" t="e">
        <f>IF(#REF!,"AAAAAH9V9uY=",0)</f>
        <v>#REF!</v>
      </c>
      <c r="HX281" t="e">
        <f>IF(#REF!,"AAAAAH9V9uc=",0)</f>
        <v>#REF!</v>
      </c>
      <c r="HY281" t="e">
        <f>IF(#REF!,"AAAAAH9V9ug=",0)</f>
        <v>#REF!</v>
      </c>
      <c r="HZ281" t="e">
        <f>IF(#REF!,"AAAAAH9V9uk=",0)</f>
        <v>#REF!</v>
      </c>
      <c r="IA281" t="e">
        <f>IF(#REF!,"AAAAAH9V9uo=",0)</f>
        <v>#REF!</v>
      </c>
      <c r="IB281" t="e">
        <f>IF(#REF!,"AAAAAH9V9us=",0)</f>
        <v>#REF!</v>
      </c>
      <c r="IC281" t="e">
        <f>IF(#REF!,"AAAAAH9V9uw=",0)</f>
        <v>#REF!</v>
      </c>
      <c r="ID281" t="e">
        <f>IF(#REF!,"AAAAAH9V9u0=",0)</f>
        <v>#REF!</v>
      </c>
      <c r="IE281" t="e">
        <f>IF(#REF!,"AAAAAH9V9u4=",0)</f>
        <v>#REF!</v>
      </c>
      <c r="IF281" t="e">
        <f>IF(#REF!,"AAAAAH9V9u8=",0)</f>
        <v>#REF!</v>
      </c>
      <c r="IG281" t="e">
        <f>IF(#REF!,"AAAAAH9V9vA=",0)</f>
        <v>#REF!</v>
      </c>
      <c r="IH281" t="e">
        <f>IF(#REF!,"AAAAAH9V9vE=",0)</f>
        <v>#REF!</v>
      </c>
      <c r="II281" t="e">
        <f>IF(#REF!,"AAAAAH9V9vI=",0)</f>
        <v>#REF!</v>
      </c>
      <c r="IJ281" t="e">
        <f>IF(#REF!,"AAAAAH9V9vM=",0)</f>
        <v>#REF!</v>
      </c>
      <c r="IK281" t="e">
        <f>IF(#REF!,"AAAAAH9V9vQ=",0)</f>
        <v>#REF!</v>
      </c>
      <c r="IL281" t="e">
        <f>IF(#REF!,"AAAAAH9V9vU=",0)</f>
        <v>#REF!</v>
      </c>
      <c r="IM281" t="e">
        <f>IF(#REF!,"AAAAAH9V9vY=",0)</f>
        <v>#REF!</v>
      </c>
      <c r="IN281" t="e">
        <f>IF(#REF!,"AAAAAH9V9vc=",0)</f>
        <v>#REF!</v>
      </c>
      <c r="IO281" t="e">
        <f>IF(#REF!,"AAAAAH9V9vg=",0)</f>
        <v>#REF!</v>
      </c>
      <c r="IP281" t="e">
        <f>IF(#REF!,"AAAAAH9V9vk=",0)</f>
        <v>#REF!</v>
      </c>
      <c r="IQ281" t="e">
        <f>IF(#REF!,"AAAAAH9V9vo=",0)</f>
        <v>#REF!</v>
      </c>
      <c r="IR281" t="e">
        <f>IF(#REF!,"AAAAAH9V9vs=",0)</f>
        <v>#REF!</v>
      </c>
      <c r="IS281" t="e">
        <f>IF(#REF!,"AAAAAH9V9vw=",0)</f>
        <v>#REF!</v>
      </c>
      <c r="IT281" t="e">
        <f>IF(#REF!,"AAAAAH9V9v0=",0)</f>
        <v>#REF!</v>
      </c>
      <c r="IU281" t="e">
        <f>IF(#REF!,"AAAAAH9V9v4=",0)</f>
        <v>#REF!</v>
      </c>
      <c r="IV281" t="e">
        <f>IF(#REF!,"AAAAAH9V9v8=",0)</f>
        <v>#REF!</v>
      </c>
    </row>
    <row r="282" spans="1:256">
      <c r="A282" t="e">
        <f>IF(#REF!,"AAAAADrM/gA=",0)</f>
        <v>#REF!</v>
      </c>
      <c r="B282" t="e">
        <f>IF(#REF!,"AAAAADrM/gE=",0)</f>
        <v>#REF!</v>
      </c>
      <c r="C282" t="e">
        <f>IF(#REF!,"AAAAADrM/gI=",0)</f>
        <v>#REF!</v>
      </c>
      <c r="D282" t="e">
        <f>IF(#REF!,"AAAAADrM/gM=",0)</f>
        <v>#REF!</v>
      </c>
      <c r="E282" t="e">
        <f>IF(#REF!,"AAAAADrM/gQ=",0)</f>
        <v>#REF!</v>
      </c>
      <c r="F282" t="e">
        <f>IF(#REF!,"AAAAADrM/gU=",0)</f>
        <v>#REF!</v>
      </c>
      <c r="G282" t="e">
        <f>IF(#REF!,"AAAAADrM/gY=",0)</f>
        <v>#REF!</v>
      </c>
      <c r="H282" t="e">
        <f>IF(#REF!,"AAAAADrM/gc=",0)</f>
        <v>#REF!</v>
      </c>
      <c r="I282" t="e">
        <f>IF(#REF!,"AAAAADrM/gg=",0)</f>
        <v>#REF!</v>
      </c>
      <c r="J282" t="e">
        <f>IF(#REF!,"AAAAADrM/gk=",0)</f>
        <v>#REF!</v>
      </c>
      <c r="K282" t="e">
        <f>IF(#REF!,"AAAAADrM/go=",0)</f>
        <v>#REF!</v>
      </c>
      <c r="L282" t="e">
        <f>IF(#REF!,"AAAAADrM/gs=",0)</f>
        <v>#REF!</v>
      </c>
      <c r="M282" t="e">
        <f>IF(#REF!,"AAAAADrM/gw=",0)</f>
        <v>#REF!</v>
      </c>
      <c r="N282" t="e">
        <f>IF(#REF!,"AAAAADrM/g0=",0)</f>
        <v>#REF!</v>
      </c>
      <c r="O282" t="e">
        <f>IF(#REF!,"AAAAADrM/g4=",0)</f>
        <v>#REF!</v>
      </c>
      <c r="P282" t="e">
        <f>IF(#REF!,"AAAAADrM/g8=",0)</f>
        <v>#REF!</v>
      </c>
      <c r="Q282" t="e">
        <f>IF(#REF!,"AAAAADrM/hA=",0)</f>
        <v>#REF!</v>
      </c>
      <c r="R282" t="e">
        <f>IF(#REF!,"AAAAADrM/hE=",0)</f>
        <v>#REF!</v>
      </c>
      <c r="S282" t="e">
        <f>IF(#REF!,"AAAAADrM/hI=",0)</f>
        <v>#REF!</v>
      </c>
      <c r="T282" t="e">
        <f>IF(#REF!,"AAAAADrM/hM=",0)</f>
        <v>#REF!</v>
      </c>
      <c r="U282" t="e">
        <f>IF(#REF!,"AAAAADrM/hQ=",0)</f>
        <v>#REF!</v>
      </c>
      <c r="V282" t="e">
        <f>IF(#REF!,"AAAAADrM/hU=",0)</f>
        <v>#REF!</v>
      </c>
      <c r="W282" t="e">
        <f>IF(#REF!,"AAAAADrM/hY=",0)</f>
        <v>#REF!</v>
      </c>
      <c r="X282" t="e">
        <f>IF(#REF!,"AAAAADrM/hc=",0)</f>
        <v>#REF!</v>
      </c>
      <c r="Y282" t="e">
        <f>IF(#REF!,"AAAAADrM/hg=",0)</f>
        <v>#REF!</v>
      </c>
      <c r="Z282" t="e">
        <f>IF(#REF!,"AAAAADrM/hk=",0)</f>
        <v>#REF!</v>
      </c>
      <c r="AA282" t="e">
        <f>IF(#REF!,"AAAAADrM/ho=",0)</f>
        <v>#REF!</v>
      </c>
      <c r="AB282" t="e">
        <f>IF(#REF!,"AAAAADrM/hs=",0)</f>
        <v>#REF!</v>
      </c>
      <c r="AC282" t="e">
        <f>IF(#REF!,"AAAAADrM/hw=",0)</f>
        <v>#REF!</v>
      </c>
      <c r="AD282" t="e">
        <f>IF(#REF!,"AAAAADrM/h0=",0)</f>
        <v>#REF!</v>
      </c>
      <c r="AE282" t="e">
        <f>IF(#REF!,"AAAAADrM/h4=",0)</f>
        <v>#REF!</v>
      </c>
      <c r="AF282" t="e">
        <f>IF(#REF!,"AAAAADrM/h8=",0)</f>
        <v>#REF!</v>
      </c>
      <c r="AG282" t="e">
        <f>IF(#REF!,"AAAAADrM/iA=",0)</f>
        <v>#REF!</v>
      </c>
      <c r="AH282" t="e">
        <f>IF(#REF!,"AAAAADrM/iE=",0)</f>
        <v>#REF!</v>
      </c>
      <c r="AI282" t="e">
        <f>IF(#REF!,"AAAAADrM/iI=",0)</f>
        <v>#REF!</v>
      </c>
      <c r="AJ282" t="e">
        <f>IF(#REF!,"AAAAADrM/iM=",0)</f>
        <v>#REF!</v>
      </c>
      <c r="AK282" t="e">
        <f>IF(#REF!,"AAAAADrM/iQ=",0)</f>
        <v>#REF!</v>
      </c>
      <c r="AL282" t="e">
        <f>IF(#REF!,"AAAAADrM/iU=",0)</f>
        <v>#REF!</v>
      </c>
      <c r="AM282" t="e">
        <f>IF(#REF!,"AAAAADrM/iY=",0)</f>
        <v>#REF!</v>
      </c>
      <c r="AN282" t="e">
        <f>IF(#REF!,"AAAAADrM/ic=",0)</f>
        <v>#REF!</v>
      </c>
      <c r="AO282" t="e">
        <f>IF(#REF!,"AAAAADrM/ig=",0)</f>
        <v>#REF!</v>
      </c>
      <c r="AP282" t="e">
        <f>IF(#REF!,"AAAAADrM/ik=",0)</f>
        <v>#REF!</v>
      </c>
      <c r="AQ282" t="e">
        <f>IF(#REF!,"AAAAADrM/io=",0)</f>
        <v>#REF!</v>
      </c>
      <c r="AR282" t="e">
        <f>IF(#REF!,"AAAAADrM/is=",0)</f>
        <v>#REF!</v>
      </c>
      <c r="AS282" t="e">
        <f>IF(#REF!,"AAAAADrM/iw=",0)</f>
        <v>#REF!</v>
      </c>
      <c r="AT282" t="e">
        <f>IF(#REF!,"AAAAADrM/i0=",0)</f>
        <v>#REF!</v>
      </c>
      <c r="AU282" t="e">
        <f>IF(#REF!,"AAAAADrM/i4=",0)</f>
        <v>#REF!</v>
      </c>
      <c r="AV282" t="e">
        <f>IF(#REF!,"AAAAADrM/i8=",0)</f>
        <v>#REF!</v>
      </c>
      <c r="AW282" t="e">
        <f>IF(#REF!,"AAAAADrM/jA=",0)</f>
        <v>#REF!</v>
      </c>
      <c r="AX282" t="e">
        <f>IF(#REF!,"AAAAADrM/jE=",0)</f>
        <v>#REF!</v>
      </c>
      <c r="AY282" t="e">
        <f>IF(#REF!,"AAAAADrM/jI=",0)</f>
        <v>#REF!</v>
      </c>
      <c r="AZ282" t="e">
        <f>IF(#REF!,"AAAAADrM/jM=",0)</f>
        <v>#REF!</v>
      </c>
      <c r="BA282" t="e">
        <f>IF(#REF!,"AAAAADrM/jQ=",0)</f>
        <v>#REF!</v>
      </c>
      <c r="BB282" t="e">
        <f>IF(#REF!,"AAAAADrM/jU=",0)</f>
        <v>#REF!</v>
      </c>
      <c r="BC282" t="e">
        <f>IF(#REF!,"AAAAADrM/jY=",0)</f>
        <v>#REF!</v>
      </c>
      <c r="BD282" t="e">
        <f>IF(#REF!,"AAAAADrM/jc=",0)</f>
        <v>#REF!</v>
      </c>
      <c r="BE282" t="e">
        <f>IF(#REF!,"AAAAADrM/jg=",0)</f>
        <v>#REF!</v>
      </c>
      <c r="BF282" t="e">
        <f>IF(#REF!,"AAAAADrM/jk=",0)</f>
        <v>#REF!</v>
      </c>
      <c r="BG282" t="e">
        <f>IF(#REF!,"AAAAADrM/jo=",0)</f>
        <v>#REF!</v>
      </c>
      <c r="BH282" t="e">
        <f>IF(#REF!,"AAAAADrM/js=",0)</f>
        <v>#REF!</v>
      </c>
      <c r="BI282" t="e">
        <f>IF(#REF!,"AAAAADrM/jw=",0)</f>
        <v>#REF!</v>
      </c>
      <c r="BJ282" t="e">
        <f>IF(#REF!,"AAAAADrM/j0=",0)</f>
        <v>#REF!</v>
      </c>
      <c r="BK282" t="e">
        <f>IF(#REF!,"AAAAADrM/j4=",0)</f>
        <v>#REF!</v>
      </c>
      <c r="BL282" t="e">
        <f>IF(#REF!,"AAAAADrM/j8=",0)</f>
        <v>#REF!</v>
      </c>
      <c r="BM282" t="e">
        <f>IF(#REF!,"AAAAADrM/kA=",0)</f>
        <v>#REF!</v>
      </c>
      <c r="BN282" t="e">
        <f>IF(#REF!,"AAAAADrM/kE=",0)</f>
        <v>#REF!</v>
      </c>
      <c r="BO282" t="e">
        <f>IF(#REF!,"AAAAADrM/kI=",0)</f>
        <v>#REF!</v>
      </c>
      <c r="BP282" t="e">
        <f>IF(#REF!,"AAAAADrM/kM=",0)</f>
        <v>#REF!</v>
      </c>
      <c r="BQ282" t="e">
        <f>IF(#REF!,"AAAAADrM/kQ=",0)</f>
        <v>#REF!</v>
      </c>
      <c r="BR282" t="e">
        <f>IF(#REF!,"AAAAADrM/kU=",0)</f>
        <v>#REF!</v>
      </c>
      <c r="BS282" t="e">
        <f>IF(#REF!,"AAAAADrM/kY=",0)</f>
        <v>#REF!</v>
      </c>
      <c r="BT282" t="e">
        <f>IF(#REF!,"AAAAADrM/kc=",0)</f>
        <v>#REF!</v>
      </c>
      <c r="BU282" t="e">
        <f>IF(#REF!,"AAAAADrM/kg=",0)</f>
        <v>#REF!</v>
      </c>
      <c r="BV282" t="e">
        <f>IF(#REF!,"AAAAADrM/kk=",0)</f>
        <v>#REF!</v>
      </c>
      <c r="BW282" t="e">
        <f>IF(#REF!,"AAAAADrM/ko=",0)</f>
        <v>#REF!</v>
      </c>
      <c r="BX282" t="e">
        <f>IF(#REF!,"AAAAADrM/ks=",0)</f>
        <v>#REF!</v>
      </c>
      <c r="BY282" t="e">
        <f>IF(#REF!,"AAAAADrM/kw=",0)</f>
        <v>#REF!</v>
      </c>
      <c r="BZ282" t="e">
        <f>IF(#REF!,"AAAAADrM/k0=",0)</f>
        <v>#REF!</v>
      </c>
      <c r="CA282" t="e">
        <f>IF(#REF!,"AAAAADrM/k4=",0)</f>
        <v>#REF!</v>
      </c>
      <c r="CB282" t="e">
        <f>IF(#REF!,"AAAAADrM/k8=",0)</f>
        <v>#REF!</v>
      </c>
      <c r="CC282" t="e">
        <f>IF(#REF!,"AAAAADrM/lA=",0)</f>
        <v>#REF!</v>
      </c>
      <c r="CD282" t="e">
        <f>IF(#REF!,"AAAAADrM/lE=",0)</f>
        <v>#REF!</v>
      </c>
      <c r="CE282" t="e">
        <f>IF(#REF!,"AAAAADrM/lI=",0)</f>
        <v>#REF!</v>
      </c>
      <c r="CF282" t="e">
        <f>IF(#REF!,"AAAAADrM/lM=",0)</f>
        <v>#REF!</v>
      </c>
      <c r="CG282" t="e">
        <f>IF(#REF!,"AAAAADrM/lQ=",0)</f>
        <v>#REF!</v>
      </c>
      <c r="CH282" t="e">
        <f>IF(#REF!,"AAAAADrM/lU=",0)</f>
        <v>#REF!</v>
      </c>
      <c r="CI282" t="e">
        <f>IF(#REF!,"AAAAADrM/lY=",0)</f>
        <v>#REF!</v>
      </c>
      <c r="CJ282" t="e">
        <f>IF(#REF!,"AAAAADrM/lc=",0)</f>
        <v>#REF!</v>
      </c>
      <c r="CK282" t="e">
        <f>IF(#REF!,"AAAAADrM/lg=",0)</f>
        <v>#REF!</v>
      </c>
      <c r="CL282" t="e">
        <f>IF(#REF!,"AAAAADrM/lk=",0)</f>
        <v>#REF!</v>
      </c>
      <c r="CM282" t="e">
        <f>IF(#REF!,"AAAAADrM/lo=",0)</f>
        <v>#REF!</v>
      </c>
      <c r="CN282" t="e">
        <f>IF(#REF!,"AAAAADrM/ls=",0)</f>
        <v>#REF!</v>
      </c>
      <c r="CO282" t="e">
        <f>IF(#REF!,"AAAAADrM/lw=",0)</f>
        <v>#REF!</v>
      </c>
      <c r="CP282" t="e">
        <f>IF(#REF!,"AAAAADrM/l0=",0)</f>
        <v>#REF!</v>
      </c>
      <c r="CQ282" t="e">
        <f>IF(#REF!,"AAAAADrM/l4=",0)</f>
        <v>#REF!</v>
      </c>
      <c r="CR282" t="e">
        <f>IF(#REF!,"AAAAADrM/l8=",0)</f>
        <v>#REF!</v>
      </c>
      <c r="CS282" t="e">
        <f>IF(#REF!,"AAAAADrM/mA=",0)</f>
        <v>#REF!</v>
      </c>
      <c r="CT282" t="e">
        <f>IF(#REF!,"AAAAADrM/mE=",0)</f>
        <v>#REF!</v>
      </c>
      <c r="CU282" t="e">
        <f>IF(#REF!,"AAAAADrM/mI=",0)</f>
        <v>#REF!</v>
      </c>
      <c r="CV282" t="e">
        <f>IF(#REF!,"AAAAADrM/mM=",0)</f>
        <v>#REF!</v>
      </c>
      <c r="CW282" t="e">
        <f>IF(#REF!,"AAAAADrM/mQ=",0)</f>
        <v>#REF!</v>
      </c>
      <c r="CX282" t="e">
        <f>IF(#REF!,"AAAAADrM/mU=",0)</f>
        <v>#REF!</v>
      </c>
      <c r="CY282" t="e">
        <f>IF(#REF!,"AAAAADrM/mY=",0)</f>
        <v>#REF!</v>
      </c>
      <c r="CZ282" t="e">
        <f>IF(#REF!,"AAAAADrM/mc=",0)</f>
        <v>#REF!</v>
      </c>
      <c r="DA282" t="e">
        <f>IF(#REF!,"AAAAADrM/mg=",0)</f>
        <v>#REF!</v>
      </c>
      <c r="DB282" t="e">
        <f>IF(#REF!,"AAAAADrM/mk=",0)</f>
        <v>#REF!</v>
      </c>
      <c r="DC282" t="e">
        <f>IF(#REF!,"AAAAADrM/mo=",0)</f>
        <v>#REF!</v>
      </c>
      <c r="DD282" t="e">
        <f>IF(#REF!,"AAAAADrM/ms=",0)</f>
        <v>#REF!</v>
      </c>
      <c r="DE282" t="e">
        <f>IF(#REF!,"AAAAADrM/mw=",0)</f>
        <v>#REF!</v>
      </c>
      <c r="DF282" t="e">
        <f>IF(#REF!,"AAAAADrM/m0=",0)</f>
        <v>#REF!</v>
      </c>
      <c r="DG282" t="e">
        <f>IF(#REF!,"AAAAADrM/m4=",0)</f>
        <v>#REF!</v>
      </c>
      <c r="DH282" t="e">
        <f>IF(#REF!,"AAAAADrM/m8=",0)</f>
        <v>#REF!</v>
      </c>
      <c r="DI282" t="e">
        <f>IF(#REF!,"AAAAADrM/nA=",0)</f>
        <v>#REF!</v>
      </c>
      <c r="DJ282" t="e">
        <f>IF(#REF!,"AAAAADrM/nE=",0)</f>
        <v>#REF!</v>
      </c>
      <c r="DK282" t="e">
        <f>IF(#REF!,"AAAAADrM/nI=",0)</f>
        <v>#REF!</v>
      </c>
      <c r="DL282" t="e">
        <f>IF(#REF!,"AAAAADrM/nM=",0)</f>
        <v>#REF!</v>
      </c>
      <c r="DM282" t="e">
        <f>IF(#REF!,"AAAAADrM/nQ=",0)</f>
        <v>#REF!</v>
      </c>
      <c r="DN282" t="e">
        <f>IF(#REF!,"AAAAADrM/nU=",0)</f>
        <v>#REF!</v>
      </c>
      <c r="DO282" t="e">
        <f>IF(#REF!,"AAAAADrM/nY=",0)</f>
        <v>#REF!</v>
      </c>
      <c r="DP282" t="e">
        <f>IF(#REF!,"AAAAADrM/nc=",0)</f>
        <v>#REF!</v>
      </c>
      <c r="DQ282" t="e">
        <f>IF(#REF!,"AAAAADrM/ng=",0)</f>
        <v>#REF!</v>
      </c>
      <c r="DR282" t="e">
        <f>IF(#REF!,"AAAAADrM/nk=",0)</f>
        <v>#REF!</v>
      </c>
      <c r="DS282" t="e">
        <f>IF(#REF!,"AAAAADrM/no=",0)</f>
        <v>#REF!</v>
      </c>
      <c r="DT282" t="e">
        <f>IF(#REF!,"AAAAADrM/ns=",0)</f>
        <v>#REF!</v>
      </c>
      <c r="DU282" t="e">
        <f>IF(#REF!,"AAAAADrM/nw=",0)</f>
        <v>#REF!</v>
      </c>
      <c r="DV282" t="e">
        <f>IF(#REF!,"AAAAADrM/n0=",0)</f>
        <v>#REF!</v>
      </c>
      <c r="DW282" t="e">
        <f>IF(#REF!,"AAAAADrM/n4=",0)</f>
        <v>#REF!</v>
      </c>
      <c r="DX282" t="e">
        <f>IF(#REF!,"AAAAADrM/n8=",0)</f>
        <v>#REF!</v>
      </c>
      <c r="DY282" t="e">
        <f>IF(#REF!,"AAAAADrM/oA=",0)</f>
        <v>#REF!</v>
      </c>
      <c r="DZ282" t="e">
        <f>IF(#REF!,"AAAAADrM/oE=",0)</f>
        <v>#REF!</v>
      </c>
      <c r="EA282" t="e">
        <f>IF(#REF!,"AAAAADrM/oI=",0)</f>
        <v>#REF!</v>
      </c>
      <c r="EB282" t="e">
        <f>IF(#REF!,"AAAAADrM/oM=",0)</f>
        <v>#REF!</v>
      </c>
      <c r="EC282" t="e">
        <f>IF(#REF!,"AAAAADrM/oQ=",0)</f>
        <v>#REF!</v>
      </c>
      <c r="ED282" t="e">
        <f>IF(#REF!,"AAAAADrM/oU=",0)</f>
        <v>#REF!</v>
      </c>
      <c r="EE282" t="e">
        <f>IF(#REF!,"AAAAADrM/oY=",0)</f>
        <v>#REF!</v>
      </c>
      <c r="EF282" t="e">
        <f>IF(#REF!,"AAAAADrM/oc=",0)</f>
        <v>#REF!</v>
      </c>
      <c r="EG282" t="e">
        <f>IF(#REF!,"AAAAADrM/og=",0)</f>
        <v>#REF!</v>
      </c>
      <c r="EH282" t="e">
        <f>IF(#REF!,"AAAAADrM/ok=",0)</f>
        <v>#REF!</v>
      </c>
      <c r="EI282" t="e">
        <f>IF(#REF!,"AAAAADrM/oo=",0)</f>
        <v>#REF!</v>
      </c>
      <c r="EJ282" t="e">
        <f>IF(#REF!,"AAAAADrM/os=",0)</f>
        <v>#REF!</v>
      </c>
      <c r="EK282" t="e">
        <f>IF(#REF!,"AAAAADrM/ow=",0)</f>
        <v>#REF!</v>
      </c>
      <c r="EL282" t="e">
        <f>IF(#REF!,"AAAAADrM/o0=",0)</f>
        <v>#REF!</v>
      </c>
      <c r="EM282" t="e">
        <f>IF(#REF!,"AAAAADrM/o4=",0)</f>
        <v>#REF!</v>
      </c>
      <c r="EN282" t="e">
        <f>IF(#REF!,"AAAAADrM/o8=",0)</f>
        <v>#REF!</v>
      </c>
      <c r="EO282" t="e">
        <f>IF(#REF!,"AAAAADrM/pA=",0)</f>
        <v>#REF!</v>
      </c>
      <c r="EP282" t="e">
        <f>IF(#REF!,"AAAAADrM/pE=",0)</f>
        <v>#REF!</v>
      </c>
      <c r="EQ282" t="e">
        <f>IF(#REF!,"AAAAADrM/pI=",0)</f>
        <v>#REF!</v>
      </c>
      <c r="ER282" t="e">
        <f>IF(#REF!,"AAAAADrM/pM=",0)</f>
        <v>#REF!</v>
      </c>
      <c r="ES282" t="e">
        <f>IF(#REF!,"AAAAADrM/pQ=",0)</f>
        <v>#REF!</v>
      </c>
      <c r="ET282" t="e">
        <f>IF(#REF!,"AAAAADrM/pU=",0)</f>
        <v>#REF!</v>
      </c>
      <c r="EU282" t="e">
        <f>IF(#REF!,"AAAAADrM/pY=",0)</f>
        <v>#REF!</v>
      </c>
      <c r="EV282" t="e">
        <f>IF(#REF!,"AAAAADrM/pc=",0)</f>
        <v>#REF!</v>
      </c>
      <c r="EW282" t="e">
        <f>IF(#REF!,"AAAAADrM/pg=",0)</f>
        <v>#REF!</v>
      </c>
      <c r="EX282" t="e">
        <f>IF(#REF!,"AAAAADrM/pk=",0)</f>
        <v>#REF!</v>
      </c>
      <c r="EY282" t="e">
        <f>IF(#REF!,"AAAAADrM/po=",0)</f>
        <v>#REF!</v>
      </c>
      <c r="EZ282" t="e">
        <f>IF(#REF!,"AAAAADrM/ps=",0)</f>
        <v>#REF!</v>
      </c>
      <c r="FA282" t="e">
        <f>IF(#REF!,"AAAAADrM/pw=",0)</f>
        <v>#REF!</v>
      </c>
      <c r="FB282" t="e">
        <f>IF(#REF!,"AAAAADrM/p0=",0)</f>
        <v>#REF!</v>
      </c>
      <c r="FC282" t="e">
        <f>IF(#REF!,"AAAAADrM/p4=",0)</f>
        <v>#REF!</v>
      </c>
      <c r="FD282" t="e">
        <f>IF(#REF!,"AAAAADrM/p8=",0)</f>
        <v>#REF!</v>
      </c>
      <c r="FE282" t="e">
        <f>IF(#REF!,"AAAAADrM/qA=",0)</f>
        <v>#REF!</v>
      </c>
      <c r="FF282" t="e">
        <f>IF(#REF!,"AAAAADrM/qE=",0)</f>
        <v>#REF!</v>
      </c>
      <c r="FG282" t="e">
        <f>IF(#REF!,"AAAAADrM/qI=",0)</f>
        <v>#REF!</v>
      </c>
      <c r="FH282" t="e">
        <f>IF(#REF!,"AAAAADrM/qM=",0)</f>
        <v>#REF!</v>
      </c>
      <c r="FI282" t="e">
        <f>IF(#REF!,"AAAAADrM/qQ=",0)</f>
        <v>#REF!</v>
      </c>
      <c r="FJ282" t="e">
        <f>IF(#REF!,"AAAAADrM/qU=",0)</f>
        <v>#REF!</v>
      </c>
      <c r="FK282" t="e">
        <f>IF(#REF!,"AAAAADrM/qY=",0)</f>
        <v>#REF!</v>
      </c>
      <c r="FL282" t="e">
        <f>IF(#REF!,"AAAAADrM/qc=",0)</f>
        <v>#REF!</v>
      </c>
      <c r="FM282" t="e">
        <f>IF(#REF!,"AAAAADrM/qg=",0)</f>
        <v>#REF!</v>
      </c>
      <c r="FN282" t="e">
        <f>IF(#REF!,"AAAAADrM/qk=",0)</f>
        <v>#REF!</v>
      </c>
      <c r="FO282" t="e">
        <f>IF(#REF!,"AAAAADrM/qo=",0)</f>
        <v>#REF!</v>
      </c>
      <c r="FP282" t="e">
        <f>IF(#REF!,"AAAAADrM/qs=",0)</f>
        <v>#REF!</v>
      </c>
      <c r="FQ282" t="e">
        <f>IF(#REF!,"AAAAADrM/qw=",0)</f>
        <v>#REF!</v>
      </c>
      <c r="FR282" t="e">
        <f>IF(#REF!,"AAAAADrM/q0=",0)</f>
        <v>#REF!</v>
      </c>
      <c r="FS282" t="e">
        <f>IF(#REF!,"AAAAADrM/q4=",0)</f>
        <v>#REF!</v>
      </c>
      <c r="FT282" t="e">
        <f>IF(#REF!,"AAAAADrM/q8=",0)</f>
        <v>#REF!</v>
      </c>
      <c r="FU282" t="e">
        <f>IF(#REF!,"AAAAADrM/rA=",0)</f>
        <v>#REF!</v>
      </c>
      <c r="FV282" t="e">
        <f>IF(#REF!,"AAAAADrM/rE=",0)</f>
        <v>#REF!</v>
      </c>
      <c r="FW282" t="e">
        <f>IF(#REF!,"AAAAADrM/rI=",0)</f>
        <v>#REF!</v>
      </c>
      <c r="FX282" t="e">
        <f>IF(#REF!,"AAAAADrM/rM=",0)</f>
        <v>#REF!</v>
      </c>
      <c r="FY282" t="e">
        <f>IF(#REF!,"AAAAADrM/rQ=",0)</f>
        <v>#REF!</v>
      </c>
      <c r="FZ282" t="e">
        <f>IF(#REF!,"AAAAADrM/rU=",0)</f>
        <v>#REF!</v>
      </c>
      <c r="GA282" t="e">
        <f>IF(#REF!,"AAAAADrM/rY=",0)</f>
        <v>#REF!</v>
      </c>
      <c r="GB282" t="e">
        <f>IF(#REF!,"AAAAADrM/rc=",0)</f>
        <v>#REF!</v>
      </c>
      <c r="GC282" t="e">
        <f>IF(#REF!,"AAAAADrM/rg=",0)</f>
        <v>#REF!</v>
      </c>
      <c r="GD282" t="e">
        <f>IF(#REF!,"AAAAADrM/rk=",0)</f>
        <v>#REF!</v>
      </c>
      <c r="GE282" t="e">
        <f>IF(#REF!,"AAAAADrM/ro=",0)</f>
        <v>#REF!</v>
      </c>
      <c r="GF282" t="e">
        <f>IF(#REF!,"AAAAADrM/rs=",0)</f>
        <v>#REF!</v>
      </c>
      <c r="GG282" t="e">
        <f>IF(#REF!,"AAAAADrM/rw=",0)</f>
        <v>#REF!</v>
      </c>
      <c r="GH282" t="e">
        <f>IF(#REF!,"AAAAADrM/r0=",0)</f>
        <v>#REF!</v>
      </c>
      <c r="GI282" t="e">
        <f>IF(#REF!,"AAAAADrM/r4=",0)</f>
        <v>#REF!</v>
      </c>
      <c r="GJ282" t="e">
        <f>IF(#REF!,"AAAAADrM/r8=",0)</f>
        <v>#REF!</v>
      </c>
      <c r="GK282" t="e">
        <f>IF(#REF!,"AAAAADrM/sA=",0)</f>
        <v>#REF!</v>
      </c>
      <c r="GL282" t="e">
        <f>IF(#REF!,"AAAAADrM/sE=",0)</f>
        <v>#REF!</v>
      </c>
      <c r="GM282" t="e">
        <f>IF(#REF!,"AAAAADrM/sI=",0)</f>
        <v>#REF!</v>
      </c>
      <c r="GN282" t="e">
        <f>IF(#REF!,"AAAAADrM/sM=",0)</f>
        <v>#REF!</v>
      </c>
      <c r="GO282" t="e">
        <f>IF(#REF!,"AAAAADrM/sQ=",0)</f>
        <v>#REF!</v>
      </c>
      <c r="GP282" t="e">
        <f>IF(#REF!,"AAAAADrM/sU=",0)</f>
        <v>#REF!</v>
      </c>
      <c r="GQ282" t="e">
        <f>IF(#REF!,"AAAAADrM/sY=",0)</f>
        <v>#REF!</v>
      </c>
      <c r="GR282" t="e">
        <f>IF(#REF!,"AAAAADrM/sc=",0)</f>
        <v>#REF!</v>
      </c>
      <c r="GS282" t="e">
        <f>IF(#REF!,"AAAAADrM/sg=",0)</f>
        <v>#REF!</v>
      </c>
      <c r="GT282" t="e">
        <f>IF(#REF!,"AAAAADrM/sk=",0)</f>
        <v>#REF!</v>
      </c>
      <c r="GU282" t="e">
        <f>IF(#REF!,"AAAAADrM/so=",0)</f>
        <v>#REF!</v>
      </c>
      <c r="GV282" t="e">
        <f>IF(#REF!,"AAAAADrM/ss=",0)</f>
        <v>#REF!</v>
      </c>
      <c r="GW282" t="e">
        <f>IF(#REF!,"AAAAADrM/sw=",0)</f>
        <v>#REF!</v>
      </c>
      <c r="GX282" t="e">
        <f>IF(#REF!,"AAAAADrM/s0=",0)</f>
        <v>#REF!</v>
      </c>
      <c r="GY282" t="e">
        <f>IF(#REF!,"AAAAADrM/s4=",0)</f>
        <v>#REF!</v>
      </c>
      <c r="GZ282" t="e">
        <f>IF(#REF!,"AAAAADrM/s8=",0)</f>
        <v>#REF!</v>
      </c>
      <c r="HA282" t="e">
        <f>IF(#REF!,"AAAAADrM/tA=",0)</f>
        <v>#REF!</v>
      </c>
      <c r="HB282" t="e">
        <f>IF(#REF!,"AAAAADrM/tE=",0)</f>
        <v>#REF!</v>
      </c>
      <c r="HC282" t="e">
        <f>IF(#REF!,"AAAAADrM/tI=",0)</f>
        <v>#REF!</v>
      </c>
      <c r="HD282" t="e">
        <f>IF(#REF!,"AAAAADrM/tM=",0)</f>
        <v>#REF!</v>
      </c>
      <c r="HE282" t="e">
        <f>IF(#REF!,"AAAAADrM/tQ=",0)</f>
        <v>#REF!</v>
      </c>
      <c r="HF282" t="e">
        <f>IF(#REF!,"AAAAADrM/tU=",0)</f>
        <v>#REF!</v>
      </c>
      <c r="HG282" t="e">
        <f>IF(#REF!,"AAAAADrM/tY=",0)</f>
        <v>#REF!</v>
      </c>
      <c r="HH282" t="e">
        <f>IF(#REF!,"AAAAADrM/tc=",0)</f>
        <v>#REF!</v>
      </c>
      <c r="HI282" t="e">
        <f>IF(#REF!,"AAAAADrM/tg=",0)</f>
        <v>#REF!</v>
      </c>
      <c r="HJ282" t="e">
        <f>IF(#REF!,"AAAAADrM/tk=",0)</f>
        <v>#REF!</v>
      </c>
      <c r="HK282" t="e">
        <f>IF(#REF!,"AAAAADrM/to=",0)</f>
        <v>#REF!</v>
      </c>
      <c r="HL282" t="e">
        <f>IF(#REF!,"AAAAADrM/ts=",0)</f>
        <v>#REF!</v>
      </c>
      <c r="HM282" t="e">
        <f>IF(#REF!,"AAAAADrM/tw=",0)</f>
        <v>#REF!</v>
      </c>
      <c r="HN282" t="e">
        <f>IF(#REF!,"AAAAADrM/t0=",0)</f>
        <v>#REF!</v>
      </c>
      <c r="HO282" t="e">
        <f>IF(#REF!,"AAAAADrM/t4=",0)</f>
        <v>#REF!</v>
      </c>
      <c r="HP282" t="e">
        <f>IF(#REF!,"AAAAADrM/t8=",0)</f>
        <v>#REF!</v>
      </c>
      <c r="HQ282" t="e">
        <f>IF(#REF!,"AAAAADrM/uA=",0)</f>
        <v>#REF!</v>
      </c>
      <c r="HR282" t="e">
        <f>IF(#REF!,"AAAAADrM/uE=",0)</f>
        <v>#REF!</v>
      </c>
      <c r="HS282" t="e">
        <f>IF(#REF!,"AAAAADrM/uI=",0)</f>
        <v>#REF!</v>
      </c>
      <c r="HT282" t="e">
        <f>IF(#REF!,"AAAAADrM/uM=",0)</f>
        <v>#REF!</v>
      </c>
      <c r="HU282" t="e">
        <f>IF(#REF!,"AAAAADrM/uQ=",0)</f>
        <v>#REF!</v>
      </c>
      <c r="HV282" t="e">
        <f>IF(#REF!,"AAAAADrM/uU=",0)</f>
        <v>#REF!</v>
      </c>
      <c r="HW282" t="e">
        <f>IF(#REF!,"AAAAADrM/uY=",0)</f>
        <v>#REF!</v>
      </c>
      <c r="HX282" t="e">
        <f>IF(#REF!,"AAAAADrM/uc=",0)</f>
        <v>#REF!</v>
      </c>
      <c r="HY282" t="e">
        <f>IF(#REF!,"AAAAADrM/ug=",0)</f>
        <v>#REF!</v>
      </c>
      <c r="HZ282" t="e">
        <f>IF(#REF!,"AAAAADrM/uk=",0)</f>
        <v>#REF!</v>
      </c>
      <c r="IA282" t="e">
        <f>IF(#REF!,"AAAAADrM/uo=",0)</f>
        <v>#REF!</v>
      </c>
      <c r="IB282" t="e">
        <f>IF(#REF!,"AAAAADrM/us=",0)</f>
        <v>#REF!</v>
      </c>
      <c r="IC282" t="e">
        <f>IF(#REF!,"AAAAADrM/uw=",0)</f>
        <v>#REF!</v>
      </c>
      <c r="ID282" t="e">
        <f>IF(#REF!,"AAAAADrM/u0=",0)</f>
        <v>#REF!</v>
      </c>
      <c r="IE282" t="e">
        <f>IF(#REF!,"AAAAADrM/u4=",0)</f>
        <v>#REF!</v>
      </c>
      <c r="IF282" t="e">
        <f>IF(#REF!,"AAAAADrM/u8=",0)</f>
        <v>#REF!</v>
      </c>
      <c r="IG282" t="e">
        <f>IF(#REF!,"AAAAADrM/vA=",0)</f>
        <v>#REF!</v>
      </c>
      <c r="IH282" t="e">
        <f>IF(#REF!,"AAAAADrM/vE=",0)</f>
        <v>#REF!</v>
      </c>
      <c r="II282" t="e">
        <f>IF(#REF!,"AAAAADrM/vI=",0)</f>
        <v>#REF!</v>
      </c>
      <c r="IJ282" t="e">
        <f>IF(#REF!,"AAAAADrM/vM=",0)</f>
        <v>#REF!</v>
      </c>
      <c r="IK282" t="e">
        <f>IF(#REF!,"AAAAADrM/vQ=",0)</f>
        <v>#REF!</v>
      </c>
      <c r="IL282" t="e">
        <f>IF(#REF!,"AAAAADrM/vU=",0)</f>
        <v>#REF!</v>
      </c>
      <c r="IM282" t="e">
        <f>IF(#REF!,"AAAAADrM/vY=",0)</f>
        <v>#REF!</v>
      </c>
      <c r="IN282" t="e">
        <f>IF(#REF!,"AAAAADrM/vc=",0)</f>
        <v>#REF!</v>
      </c>
      <c r="IO282" t="e">
        <f>IF(#REF!,"AAAAADrM/vg=",0)</f>
        <v>#REF!</v>
      </c>
      <c r="IP282" t="e">
        <f>IF(#REF!,"AAAAADrM/vk=",0)</f>
        <v>#REF!</v>
      </c>
      <c r="IQ282" t="e">
        <f>IF(#REF!,"AAAAADrM/vo=",0)</f>
        <v>#REF!</v>
      </c>
      <c r="IR282" t="e">
        <f>IF(#REF!,"AAAAADrM/vs=",0)</f>
        <v>#REF!</v>
      </c>
      <c r="IS282" t="e">
        <f>IF(#REF!,"AAAAADrM/vw=",0)</f>
        <v>#REF!</v>
      </c>
      <c r="IT282" t="e">
        <f>IF(#REF!,"AAAAADrM/v0=",0)</f>
        <v>#REF!</v>
      </c>
      <c r="IU282" t="e">
        <f>IF(#REF!,"AAAAADrM/v4=",0)</f>
        <v>#REF!</v>
      </c>
      <c r="IV282" t="e">
        <f>IF(#REF!,"AAAAADrM/v8=",0)</f>
        <v>#REF!</v>
      </c>
    </row>
    <row r="283" spans="1:256">
      <c r="A283" t="e">
        <f>IF(#REF!,"AAAAACnfsAA=",0)</f>
        <v>#REF!</v>
      </c>
      <c r="B283" t="e">
        <f>IF(#REF!,"AAAAACnfsAE=",0)</f>
        <v>#REF!</v>
      </c>
      <c r="C283" t="e">
        <f>IF(#REF!,"AAAAACnfsAI=",0)</f>
        <v>#REF!</v>
      </c>
      <c r="D283" t="e">
        <f>IF(#REF!,"AAAAACnfsAM=",0)</f>
        <v>#REF!</v>
      </c>
      <c r="E283" t="e">
        <f>IF(#REF!,"AAAAACnfsAQ=",0)</f>
        <v>#REF!</v>
      </c>
      <c r="F283" t="e">
        <f>IF(#REF!,"AAAAACnfsAU=",0)</f>
        <v>#REF!</v>
      </c>
      <c r="G283" t="e">
        <f>IF(#REF!,"AAAAACnfsAY=",0)</f>
        <v>#REF!</v>
      </c>
      <c r="H283" t="e">
        <f>IF(#REF!,"AAAAACnfsAc=",0)</f>
        <v>#REF!</v>
      </c>
      <c r="I283" t="e">
        <f>IF(#REF!,"AAAAACnfsAg=",0)</f>
        <v>#REF!</v>
      </c>
      <c r="J283" t="e">
        <f>IF(#REF!,"AAAAACnfsAk=",0)</f>
        <v>#REF!</v>
      </c>
      <c r="K283" t="e">
        <f>IF(#REF!,"AAAAACnfsAo=",0)</f>
        <v>#REF!</v>
      </c>
      <c r="L283" t="e">
        <f>IF(#REF!,"AAAAACnfsAs=",0)</f>
        <v>#REF!</v>
      </c>
      <c r="M283" t="e">
        <f>IF(#REF!,"AAAAACnfsAw=",0)</f>
        <v>#REF!</v>
      </c>
      <c r="N283" t="e">
        <f>IF(#REF!,"AAAAACnfsA0=",0)</f>
        <v>#REF!</v>
      </c>
      <c r="O283" t="e">
        <f>IF(#REF!,"AAAAACnfsA4=",0)</f>
        <v>#REF!</v>
      </c>
      <c r="P283" t="e">
        <f>IF(#REF!,"AAAAACnfsA8=",0)</f>
        <v>#REF!</v>
      </c>
      <c r="Q283" t="e">
        <f>IF(#REF!,"AAAAACnfsBA=",0)</f>
        <v>#REF!</v>
      </c>
      <c r="R283" t="e">
        <f>IF(#REF!,"AAAAACnfsBE=",0)</f>
        <v>#REF!</v>
      </c>
      <c r="S283" t="e">
        <f>IF(#REF!,"AAAAACnfsBI=",0)</f>
        <v>#REF!</v>
      </c>
      <c r="T283" t="e">
        <f>IF(#REF!,"AAAAACnfsBM=",0)</f>
        <v>#REF!</v>
      </c>
      <c r="U283" t="e">
        <f>IF(#REF!,"AAAAACnfsBQ=",0)</f>
        <v>#REF!</v>
      </c>
      <c r="V283" t="e">
        <f>IF(#REF!,"AAAAACnfsBU=",0)</f>
        <v>#REF!</v>
      </c>
      <c r="W283" t="e">
        <f>IF(#REF!,"AAAAACnfsBY=",0)</f>
        <v>#REF!</v>
      </c>
      <c r="X283" t="e">
        <f>IF(#REF!,"AAAAACnfsBc=",0)</f>
        <v>#REF!</v>
      </c>
      <c r="Y283" t="e">
        <f>IF(#REF!,"AAAAACnfsBg=",0)</f>
        <v>#REF!</v>
      </c>
      <c r="Z283" t="e">
        <f>IF(#REF!,"AAAAACnfsBk=",0)</f>
        <v>#REF!</v>
      </c>
      <c r="AA283" t="e">
        <f>IF(#REF!,"AAAAACnfsBo=",0)</f>
        <v>#REF!</v>
      </c>
      <c r="AB283" t="e">
        <f>IF(#REF!,"AAAAACnfsBs=",0)</f>
        <v>#REF!</v>
      </c>
      <c r="AC283" t="e">
        <f>IF(#REF!,"AAAAACnfsBw=",0)</f>
        <v>#REF!</v>
      </c>
      <c r="AD283" t="e">
        <f>IF(#REF!,"AAAAACnfsB0=",0)</f>
        <v>#REF!</v>
      </c>
      <c r="AE283" t="e">
        <f>IF(#REF!,"AAAAACnfsB4=",0)</f>
        <v>#REF!</v>
      </c>
      <c r="AF283" t="e">
        <f>IF(#REF!,"AAAAACnfsB8=",0)</f>
        <v>#REF!</v>
      </c>
      <c r="AG283" t="e">
        <f>IF(#REF!,"AAAAACnfsCA=",0)</f>
        <v>#REF!</v>
      </c>
      <c r="AH283" t="e">
        <f>IF(#REF!,"AAAAACnfsCE=",0)</f>
        <v>#REF!</v>
      </c>
      <c r="AI283" t="e">
        <f>IF(#REF!,"AAAAACnfsCI=",0)</f>
        <v>#REF!</v>
      </c>
      <c r="AJ283" t="e">
        <f>IF(#REF!,"AAAAACnfsCM=",0)</f>
        <v>#REF!</v>
      </c>
      <c r="AK283" t="e">
        <f>IF(#REF!,"AAAAACnfsCQ=",0)</f>
        <v>#REF!</v>
      </c>
      <c r="AL283" t="e">
        <f>IF(#REF!,"AAAAACnfsCU=",0)</f>
        <v>#REF!</v>
      </c>
      <c r="AM283" t="e">
        <f>IF(#REF!,"AAAAACnfsCY=",0)</f>
        <v>#REF!</v>
      </c>
      <c r="AN283" t="e">
        <f>IF(#REF!,"AAAAACnfsCc=",0)</f>
        <v>#REF!</v>
      </c>
      <c r="AO283" t="e">
        <f>IF(#REF!,"AAAAACnfsCg=",0)</f>
        <v>#REF!</v>
      </c>
      <c r="AP283" t="e">
        <f>IF(#REF!,"AAAAACnfsCk=",0)</f>
        <v>#REF!</v>
      </c>
      <c r="AQ283" t="e">
        <f>IF(#REF!,"AAAAACnfsCo=",0)</f>
        <v>#REF!</v>
      </c>
      <c r="AR283" t="e">
        <f>IF(#REF!,"AAAAACnfsCs=",0)</f>
        <v>#REF!</v>
      </c>
      <c r="AS283" t="e">
        <f>IF(#REF!,"AAAAACnfsCw=",0)</f>
        <v>#REF!</v>
      </c>
      <c r="AT283" t="e">
        <f>IF(#REF!,"AAAAACnfsC0=",0)</f>
        <v>#REF!</v>
      </c>
      <c r="AU283" t="e">
        <f>IF(#REF!,"AAAAACnfsC4=",0)</f>
        <v>#REF!</v>
      </c>
      <c r="AV283" t="e">
        <f>IF(#REF!,"AAAAACnfsC8=",0)</f>
        <v>#REF!</v>
      </c>
      <c r="AW283" t="e">
        <f>IF(#REF!,"AAAAACnfsDA=",0)</f>
        <v>#REF!</v>
      </c>
      <c r="AX283" t="e">
        <f>IF(#REF!,"AAAAACnfsDE=",0)</f>
        <v>#REF!</v>
      </c>
      <c r="AY283" t="e">
        <f>IF(#REF!,"AAAAACnfsDI=",0)</f>
        <v>#REF!</v>
      </c>
      <c r="AZ283" t="e">
        <f>IF(#REF!,"AAAAACnfsDM=",0)</f>
        <v>#REF!</v>
      </c>
      <c r="BA283" t="e">
        <f>IF(#REF!,"AAAAACnfsDQ=",0)</f>
        <v>#REF!</v>
      </c>
      <c r="BB283" t="e">
        <f>IF(#REF!,"AAAAACnfsDU=",0)</f>
        <v>#REF!</v>
      </c>
      <c r="BC283" t="e">
        <f>IF(#REF!,"AAAAACnfsDY=",0)</f>
        <v>#REF!</v>
      </c>
      <c r="BD283" t="e">
        <f>IF(#REF!,"AAAAACnfsDc=",0)</f>
        <v>#REF!</v>
      </c>
      <c r="BE283" t="e">
        <f>IF(#REF!,"AAAAACnfsDg=",0)</f>
        <v>#REF!</v>
      </c>
      <c r="BF283" t="e">
        <f>IF(#REF!,"AAAAACnfsDk=",0)</f>
        <v>#REF!</v>
      </c>
      <c r="BG283" t="e">
        <f>IF(#REF!,"AAAAACnfsDo=",0)</f>
        <v>#REF!</v>
      </c>
      <c r="BH283" t="e">
        <f>IF(#REF!,"AAAAACnfsDs=",0)</f>
        <v>#REF!</v>
      </c>
      <c r="BI283" t="e">
        <f>IF(#REF!,"AAAAACnfsDw=",0)</f>
        <v>#REF!</v>
      </c>
      <c r="BJ283" t="e">
        <f>IF(#REF!,"AAAAACnfsD0=",0)</f>
        <v>#REF!</v>
      </c>
      <c r="BK283" t="e">
        <f>IF(#REF!,"AAAAACnfsD4=",0)</f>
        <v>#REF!</v>
      </c>
      <c r="BL283" t="e">
        <f>IF(#REF!,"AAAAACnfsD8=",0)</f>
        <v>#REF!</v>
      </c>
      <c r="BM283" t="e">
        <f>IF(#REF!,"AAAAACnfsEA=",0)</f>
        <v>#REF!</v>
      </c>
      <c r="BN283" t="e">
        <f>IF(#REF!,"AAAAACnfsEE=",0)</f>
        <v>#REF!</v>
      </c>
      <c r="BO283" t="e">
        <f>IF(#REF!,"AAAAACnfsEI=",0)</f>
        <v>#REF!</v>
      </c>
      <c r="BP283" t="e">
        <f>IF(#REF!,"AAAAACnfsEM=",0)</f>
        <v>#REF!</v>
      </c>
      <c r="BQ283" t="e">
        <f>IF(#REF!,"AAAAACnfsEQ=",0)</f>
        <v>#REF!</v>
      </c>
      <c r="BR283" t="e">
        <f>IF(#REF!,"AAAAACnfsEU=",0)</f>
        <v>#REF!</v>
      </c>
      <c r="BS283" t="e">
        <f>IF(#REF!,"AAAAACnfsEY=",0)</f>
        <v>#REF!</v>
      </c>
      <c r="BT283" t="e">
        <f>IF(#REF!,"AAAAACnfsEc=",0)</f>
        <v>#REF!</v>
      </c>
      <c r="BU283" t="e">
        <f>IF(#REF!,"AAAAACnfsEg=",0)</f>
        <v>#REF!</v>
      </c>
      <c r="BV283" t="e">
        <f>IF(#REF!,"AAAAACnfsEk=",0)</f>
        <v>#REF!</v>
      </c>
      <c r="BW283" t="e">
        <f>IF(#REF!,"AAAAACnfsEo=",0)</f>
        <v>#REF!</v>
      </c>
      <c r="BX283" t="e">
        <f>IF(#REF!,"AAAAACnfsEs=",0)</f>
        <v>#REF!</v>
      </c>
      <c r="BY283" t="e">
        <f>IF(#REF!,"AAAAACnfsEw=",0)</f>
        <v>#REF!</v>
      </c>
      <c r="BZ283" t="e">
        <f>IF(#REF!,"AAAAACnfsE0=",0)</f>
        <v>#REF!</v>
      </c>
      <c r="CA283" t="e">
        <f>IF(#REF!,"AAAAACnfsE4=",0)</f>
        <v>#REF!</v>
      </c>
      <c r="CB283" t="e">
        <f>IF(#REF!,"AAAAACnfsE8=",0)</f>
        <v>#REF!</v>
      </c>
      <c r="CC283" t="e">
        <f>IF(#REF!,"AAAAACnfsFA=",0)</f>
        <v>#REF!</v>
      </c>
      <c r="CD283" t="e">
        <f>IF(#REF!,"AAAAACnfsFE=",0)</f>
        <v>#REF!</v>
      </c>
      <c r="CE283" t="e">
        <f>IF(#REF!,"AAAAACnfsFI=",0)</f>
        <v>#REF!</v>
      </c>
      <c r="CF283" t="e">
        <f>IF(#REF!,"AAAAACnfsFM=",0)</f>
        <v>#REF!</v>
      </c>
      <c r="CG283" t="e">
        <f>IF(#REF!,"AAAAACnfsFQ=",0)</f>
        <v>#REF!</v>
      </c>
      <c r="CH283" t="e">
        <f>IF(#REF!,"AAAAACnfsFU=",0)</f>
        <v>#REF!</v>
      </c>
      <c r="CI283" t="e">
        <f>IF(#REF!,"AAAAACnfsFY=",0)</f>
        <v>#REF!</v>
      </c>
      <c r="CJ283" t="e">
        <f>IF(#REF!,"AAAAACnfsFc=",0)</f>
        <v>#REF!</v>
      </c>
      <c r="CK283" t="e">
        <f>IF(#REF!,"AAAAACnfsFg=",0)</f>
        <v>#REF!</v>
      </c>
      <c r="CL283" t="e">
        <f>IF(#REF!,"AAAAACnfsFk=",0)</f>
        <v>#REF!</v>
      </c>
      <c r="CM283" t="e">
        <f>IF(#REF!,"AAAAACnfsFo=",0)</f>
        <v>#REF!</v>
      </c>
      <c r="CN283" t="e">
        <f>IF(#REF!,"AAAAACnfsFs=",0)</f>
        <v>#REF!</v>
      </c>
      <c r="CO283" t="e">
        <f>IF(#REF!,"AAAAACnfsFw=",0)</f>
        <v>#REF!</v>
      </c>
      <c r="CP283" t="e">
        <f>IF(#REF!,"AAAAACnfsF0=",0)</f>
        <v>#REF!</v>
      </c>
      <c r="CQ283" t="e">
        <f>IF(#REF!,"AAAAACnfsF4=",0)</f>
        <v>#REF!</v>
      </c>
      <c r="CR283" t="e">
        <f>IF(#REF!,"AAAAACnfsF8=",0)</f>
        <v>#REF!</v>
      </c>
      <c r="CS283" t="e">
        <f>IF(#REF!,"AAAAACnfsGA=",0)</f>
        <v>#REF!</v>
      </c>
      <c r="CT283" t="e">
        <f>IF(#REF!,"AAAAACnfsGE=",0)</f>
        <v>#REF!</v>
      </c>
      <c r="CU283" t="e">
        <f>IF(#REF!,"AAAAACnfsGI=",0)</f>
        <v>#REF!</v>
      </c>
      <c r="CV283" t="e">
        <f>IF(#REF!,"AAAAACnfsGM=",0)</f>
        <v>#REF!</v>
      </c>
      <c r="CW283" t="e">
        <f>IF(#REF!,"AAAAACnfsGQ=",0)</f>
        <v>#REF!</v>
      </c>
      <c r="CX283" t="e">
        <f>IF(#REF!,"AAAAACnfsGU=",0)</f>
        <v>#REF!</v>
      </c>
      <c r="CY283" t="e">
        <f>IF(#REF!,"AAAAACnfsGY=",0)</f>
        <v>#REF!</v>
      </c>
      <c r="CZ283" t="e">
        <f>IF(#REF!,"AAAAACnfsGc=",0)</f>
        <v>#REF!</v>
      </c>
      <c r="DA283" t="e">
        <f>IF(#REF!,"AAAAACnfsGg=",0)</f>
        <v>#REF!</v>
      </c>
      <c r="DB283" t="e">
        <f>IF(#REF!,"AAAAACnfsGk=",0)</f>
        <v>#REF!</v>
      </c>
      <c r="DC283" t="e">
        <f>IF(#REF!,"AAAAACnfsGo=",0)</f>
        <v>#REF!</v>
      </c>
      <c r="DD283" t="e">
        <f>IF(#REF!,"AAAAACnfsGs=",0)</f>
        <v>#REF!</v>
      </c>
      <c r="DE283" t="e">
        <f>IF(#REF!,"AAAAACnfsGw=",0)</f>
        <v>#REF!</v>
      </c>
      <c r="DF283" t="e">
        <f>IF(#REF!,"AAAAACnfsG0=",0)</f>
        <v>#REF!</v>
      </c>
      <c r="DG283" t="e">
        <f>IF(#REF!,"AAAAACnfsG4=",0)</f>
        <v>#REF!</v>
      </c>
      <c r="DH283" t="e">
        <f>IF(#REF!,"AAAAACnfsG8=",0)</f>
        <v>#REF!</v>
      </c>
      <c r="DI283" t="e">
        <f>IF(#REF!,"AAAAACnfsHA=",0)</f>
        <v>#REF!</v>
      </c>
      <c r="DJ283" t="e">
        <f>IF(#REF!,"AAAAACnfsHE=",0)</f>
        <v>#REF!</v>
      </c>
      <c r="DK283" t="e">
        <f>IF(#REF!,"AAAAACnfsHI=",0)</f>
        <v>#REF!</v>
      </c>
      <c r="DL283" t="e">
        <f>IF(#REF!,"AAAAACnfsHM=",0)</f>
        <v>#REF!</v>
      </c>
      <c r="DM283" t="e">
        <f>IF(#REF!,"AAAAACnfsHQ=",0)</f>
        <v>#REF!</v>
      </c>
      <c r="DN283" t="e">
        <f>IF(#REF!,"AAAAACnfsHU=",0)</f>
        <v>#REF!</v>
      </c>
      <c r="DO283" t="e">
        <f>IF(#REF!,"AAAAACnfsHY=",0)</f>
        <v>#REF!</v>
      </c>
      <c r="DP283" t="e">
        <f>IF(#REF!,"AAAAACnfsHc=",0)</f>
        <v>#REF!</v>
      </c>
      <c r="DQ283" t="e">
        <f>IF(#REF!,"AAAAACnfsHg=",0)</f>
        <v>#REF!</v>
      </c>
      <c r="DR283" t="e">
        <f>IF(#REF!,"AAAAACnfsHk=",0)</f>
        <v>#REF!</v>
      </c>
      <c r="DS283" t="e">
        <f>IF(#REF!,"AAAAACnfsHo=",0)</f>
        <v>#REF!</v>
      </c>
      <c r="DT283" t="e">
        <f>IF(#REF!,"AAAAACnfsHs=",0)</f>
        <v>#REF!</v>
      </c>
      <c r="DU283" t="e">
        <f>IF(#REF!,"AAAAACnfsHw=",0)</f>
        <v>#REF!</v>
      </c>
      <c r="DV283" t="e">
        <f>IF(#REF!,"AAAAACnfsH0=",0)</f>
        <v>#REF!</v>
      </c>
      <c r="DW283" t="e">
        <f>IF(#REF!,"AAAAACnfsH4=",0)</f>
        <v>#REF!</v>
      </c>
      <c r="DX283" t="e">
        <f>IF(#REF!,"AAAAACnfsH8=",0)</f>
        <v>#REF!</v>
      </c>
      <c r="DY283" t="e">
        <f>IF(#REF!,"AAAAACnfsIA=",0)</f>
        <v>#REF!</v>
      </c>
      <c r="DZ283" t="e">
        <f>IF(#REF!,"AAAAACnfsIE=",0)</f>
        <v>#REF!</v>
      </c>
      <c r="EA283" t="e">
        <f>IF(#REF!,"AAAAACnfsII=",0)</f>
        <v>#REF!</v>
      </c>
      <c r="EB283" t="e">
        <f>IF(#REF!,"AAAAACnfsIM=",0)</f>
        <v>#REF!</v>
      </c>
      <c r="EC283" t="e">
        <f>IF(#REF!,"AAAAACnfsIQ=",0)</f>
        <v>#REF!</v>
      </c>
      <c r="ED283" t="e">
        <f>IF(#REF!,"AAAAACnfsIU=",0)</f>
        <v>#REF!</v>
      </c>
      <c r="EE283" t="e">
        <f>IF(#REF!,"AAAAACnfsIY=",0)</f>
        <v>#REF!</v>
      </c>
      <c r="EF283" t="e">
        <f>IF(#REF!,"AAAAACnfsIc=",0)</f>
        <v>#REF!</v>
      </c>
      <c r="EG283" t="e">
        <f>IF(#REF!,"AAAAACnfsIg=",0)</f>
        <v>#REF!</v>
      </c>
      <c r="EH283" t="e">
        <f>IF(#REF!,"AAAAACnfsIk=",0)</f>
        <v>#REF!</v>
      </c>
      <c r="EI283" t="e">
        <f>IF(#REF!,"AAAAACnfsIo=",0)</f>
        <v>#REF!</v>
      </c>
      <c r="EJ283" t="e">
        <f>IF(#REF!,"AAAAACnfsIs=",0)</f>
        <v>#REF!</v>
      </c>
      <c r="EK283" t="e">
        <f>IF(#REF!,"AAAAACnfsIw=",0)</f>
        <v>#REF!</v>
      </c>
      <c r="EL283" t="e">
        <f>IF(#REF!,"AAAAACnfsI0=",0)</f>
        <v>#REF!</v>
      </c>
      <c r="EM283" t="e">
        <f>IF(#REF!,"AAAAACnfsI4=",0)</f>
        <v>#REF!</v>
      </c>
      <c r="EN283" t="e">
        <f>IF(#REF!,"AAAAACnfsI8=",0)</f>
        <v>#REF!</v>
      </c>
      <c r="EO283" t="e">
        <f>IF(#REF!,"AAAAACnfsJA=",0)</f>
        <v>#REF!</v>
      </c>
      <c r="EP283" t="e">
        <f>IF(#REF!,"AAAAACnfsJE=",0)</f>
        <v>#REF!</v>
      </c>
      <c r="EQ283" t="e">
        <f>IF(#REF!,"AAAAACnfsJI=",0)</f>
        <v>#REF!</v>
      </c>
      <c r="ER283" t="e">
        <f>IF(#REF!,"AAAAACnfsJM=",0)</f>
        <v>#REF!</v>
      </c>
      <c r="ES283" t="e">
        <f>IF(#REF!,"AAAAACnfsJQ=",0)</f>
        <v>#REF!</v>
      </c>
      <c r="ET283" t="e">
        <f>IF(#REF!,"AAAAACnfsJU=",0)</f>
        <v>#REF!</v>
      </c>
      <c r="EU283" t="e">
        <f>IF(#REF!,"AAAAACnfsJY=",0)</f>
        <v>#REF!</v>
      </c>
      <c r="EV283" t="e">
        <f>IF(#REF!,"AAAAACnfsJc=",0)</f>
        <v>#REF!</v>
      </c>
      <c r="EW283" t="e">
        <f>IF(#REF!,"AAAAACnfsJg=",0)</f>
        <v>#REF!</v>
      </c>
      <c r="EX283" t="e">
        <f>IF(#REF!,"AAAAACnfsJk=",0)</f>
        <v>#REF!</v>
      </c>
      <c r="EY283" t="e">
        <f>IF(#REF!,"AAAAACnfsJo=",0)</f>
        <v>#REF!</v>
      </c>
      <c r="EZ283" t="e">
        <f>IF(#REF!,"AAAAACnfsJs=",0)</f>
        <v>#REF!</v>
      </c>
      <c r="FA283" t="e">
        <f>IF(#REF!,"AAAAACnfsJw=",0)</f>
        <v>#REF!</v>
      </c>
      <c r="FB283" t="e">
        <f>IF(#REF!,"AAAAACnfsJ0=",0)</f>
        <v>#REF!</v>
      </c>
      <c r="FC283" t="e">
        <f>IF(#REF!,"AAAAACnfsJ4=",0)</f>
        <v>#REF!</v>
      </c>
      <c r="FD283" t="e">
        <f>IF(#REF!,"AAAAACnfsJ8=",0)</f>
        <v>#REF!</v>
      </c>
      <c r="FE283" t="e">
        <f>IF(#REF!,"AAAAACnfsKA=",0)</f>
        <v>#REF!</v>
      </c>
      <c r="FF283" t="e">
        <f>IF(#REF!,"AAAAACnfsKE=",0)</f>
        <v>#REF!</v>
      </c>
      <c r="FG283" t="e">
        <f>IF(#REF!,"AAAAACnfsKI=",0)</f>
        <v>#REF!</v>
      </c>
      <c r="FH283" t="e">
        <f>IF(#REF!,"AAAAACnfsKM=",0)</f>
        <v>#REF!</v>
      </c>
      <c r="FI283" t="e">
        <f>IF(#REF!,"AAAAACnfsKQ=",0)</f>
        <v>#REF!</v>
      </c>
      <c r="FJ283" t="e">
        <f>IF(#REF!,"AAAAACnfsKU=",0)</f>
        <v>#REF!</v>
      </c>
      <c r="FK283" t="e">
        <f>IF(#REF!,"AAAAACnfsKY=",0)</f>
        <v>#REF!</v>
      </c>
      <c r="FL283" t="e">
        <f>IF(#REF!,"AAAAACnfsKc=",0)</f>
        <v>#REF!</v>
      </c>
      <c r="FM283" t="e">
        <f>IF(#REF!,"AAAAACnfsKg=",0)</f>
        <v>#REF!</v>
      </c>
      <c r="FN283" t="e">
        <f>IF(#REF!,"AAAAACnfsKk=",0)</f>
        <v>#REF!</v>
      </c>
      <c r="FO283" t="e">
        <f>IF(#REF!,"AAAAACnfsKo=",0)</f>
        <v>#REF!</v>
      </c>
      <c r="FP283" t="e">
        <f>IF(#REF!,"AAAAACnfsKs=",0)</f>
        <v>#REF!</v>
      </c>
      <c r="FQ283" t="e">
        <f>IF(#REF!,"AAAAACnfsKw=",0)</f>
        <v>#REF!</v>
      </c>
      <c r="FR283" t="e">
        <f>IF(#REF!,"AAAAACnfsK0=",0)</f>
        <v>#REF!</v>
      </c>
      <c r="FS283" t="e">
        <f>IF(#REF!,"AAAAACnfsK4=",0)</f>
        <v>#REF!</v>
      </c>
      <c r="FT283" t="e">
        <f>IF(#REF!,"AAAAACnfsK8=",0)</f>
        <v>#REF!</v>
      </c>
      <c r="FU283" t="e">
        <f>IF(#REF!,"AAAAACnfsLA=",0)</f>
        <v>#REF!</v>
      </c>
      <c r="FV283" t="e">
        <f>IF(#REF!,"AAAAACnfsLE=",0)</f>
        <v>#REF!</v>
      </c>
      <c r="FW283" t="e">
        <f>IF(#REF!,"AAAAACnfsLI=",0)</f>
        <v>#REF!</v>
      </c>
      <c r="FX283" t="e">
        <f>IF(#REF!,"AAAAACnfsLM=",0)</f>
        <v>#REF!</v>
      </c>
      <c r="FY283" t="e">
        <f>IF(#REF!,"AAAAACnfsLQ=",0)</f>
        <v>#REF!</v>
      </c>
      <c r="FZ283" t="e">
        <f>IF(#REF!,"AAAAACnfsLU=",0)</f>
        <v>#REF!</v>
      </c>
      <c r="GA283" t="e">
        <f>IF(#REF!,"AAAAACnfsLY=",0)</f>
        <v>#REF!</v>
      </c>
      <c r="GB283" t="e">
        <f>IF(#REF!,"AAAAACnfsLc=",0)</f>
        <v>#REF!</v>
      </c>
      <c r="GC283" t="e">
        <f>IF(#REF!,"AAAAACnfsLg=",0)</f>
        <v>#REF!</v>
      </c>
      <c r="GD283" t="e">
        <f>IF(#REF!,"AAAAACnfsLk=",0)</f>
        <v>#REF!</v>
      </c>
      <c r="GE283" t="e">
        <f>IF(#REF!,"AAAAACnfsLo=",0)</f>
        <v>#REF!</v>
      </c>
      <c r="GF283" t="e">
        <f>IF(#REF!,"AAAAACnfsLs=",0)</f>
        <v>#REF!</v>
      </c>
      <c r="GG283" t="e">
        <f>IF(#REF!,"AAAAACnfsLw=",0)</f>
        <v>#REF!</v>
      </c>
      <c r="GH283" t="e">
        <f>IF(#REF!,"AAAAACnfsL0=",0)</f>
        <v>#REF!</v>
      </c>
      <c r="GI283" t="e">
        <f>IF(#REF!,"AAAAACnfsL4=",0)</f>
        <v>#REF!</v>
      </c>
      <c r="GJ283" t="e">
        <f>IF(#REF!,"AAAAACnfsL8=",0)</f>
        <v>#REF!</v>
      </c>
      <c r="GK283" t="e">
        <f>IF(#REF!,"AAAAACnfsMA=",0)</f>
        <v>#REF!</v>
      </c>
      <c r="GL283" t="e">
        <f>IF(#REF!,"AAAAACnfsME=",0)</f>
        <v>#REF!</v>
      </c>
      <c r="GM283" t="e">
        <f>IF(#REF!,"AAAAACnfsMI=",0)</f>
        <v>#REF!</v>
      </c>
      <c r="GN283" t="e">
        <f>IF(#REF!,"AAAAACnfsMM=",0)</f>
        <v>#REF!</v>
      </c>
      <c r="GO283" t="e">
        <f>IF(#REF!,"AAAAACnfsMQ=",0)</f>
        <v>#REF!</v>
      </c>
      <c r="GP283" t="e">
        <f>IF(#REF!,"AAAAACnfsMU=",0)</f>
        <v>#REF!</v>
      </c>
      <c r="GQ283" t="e">
        <f>IF(#REF!,"AAAAACnfsMY=",0)</f>
        <v>#REF!</v>
      </c>
      <c r="GR283" t="e">
        <f>IF(#REF!,"AAAAACnfsMc=",0)</f>
        <v>#REF!</v>
      </c>
      <c r="GS283" t="e">
        <f>IF(#REF!,"AAAAACnfsMg=",0)</f>
        <v>#REF!</v>
      </c>
      <c r="GT283" t="e">
        <f>IF(#REF!,"AAAAACnfsMk=",0)</f>
        <v>#REF!</v>
      </c>
      <c r="GU283" t="e">
        <f>IF(#REF!,"AAAAACnfsMo=",0)</f>
        <v>#REF!</v>
      </c>
      <c r="GV283" t="e">
        <f>IF(#REF!,"AAAAACnfsMs=",0)</f>
        <v>#REF!</v>
      </c>
      <c r="GW283" t="e">
        <f>IF(#REF!,"AAAAACnfsMw=",0)</f>
        <v>#REF!</v>
      </c>
      <c r="GX283" t="e">
        <f>IF(#REF!,"AAAAACnfsM0=",0)</f>
        <v>#REF!</v>
      </c>
      <c r="GY283" t="e">
        <f>IF(#REF!,"AAAAACnfsM4=",0)</f>
        <v>#REF!</v>
      </c>
      <c r="GZ283" t="e">
        <f>IF(#REF!,"AAAAACnfsM8=",0)</f>
        <v>#REF!</v>
      </c>
      <c r="HA283" t="e">
        <f>IF(#REF!,"AAAAACnfsNA=",0)</f>
        <v>#REF!</v>
      </c>
      <c r="HB283" t="e">
        <f>IF(#REF!,"AAAAACnfsNE=",0)</f>
        <v>#REF!</v>
      </c>
      <c r="HC283" t="e">
        <f>IF(#REF!,"AAAAACnfsNI=",0)</f>
        <v>#REF!</v>
      </c>
      <c r="HD283" t="e">
        <f>IF(#REF!,"AAAAACnfsNM=",0)</f>
        <v>#REF!</v>
      </c>
      <c r="HE283" t="e">
        <f>IF(#REF!,"AAAAACnfsNQ=",0)</f>
        <v>#REF!</v>
      </c>
      <c r="HF283" t="e">
        <f>IF(#REF!,"AAAAACnfsNU=",0)</f>
        <v>#REF!</v>
      </c>
      <c r="HG283" t="e">
        <f>IF(#REF!,"AAAAACnfsNY=",0)</f>
        <v>#REF!</v>
      </c>
      <c r="HH283" t="e">
        <f>IF(#REF!,"AAAAACnfsNc=",0)</f>
        <v>#REF!</v>
      </c>
      <c r="HI283" t="e">
        <f>IF(#REF!,"AAAAACnfsNg=",0)</f>
        <v>#REF!</v>
      </c>
      <c r="HJ283" t="e">
        <f>IF(#REF!,"AAAAACnfsNk=",0)</f>
        <v>#REF!</v>
      </c>
      <c r="HK283" t="e">
        <f>IF(#REF!,"AAAAACnfsNo=",0)</f>
        <v>#REF!</v>
      </c>
      <c r="HL283" t="e">
        <f>IF(#REF!,"AAAAACnfsNs=",0)</f>
        <v>#REF!</v>
      </c>
      <c r="HM283" t="e">
        <f>IF(#REF!,"AAAAACnfsNw=",0)</f>
        <v>#REF!</v>
      </c>
      <c r="HN283" t="e">
        <f>IF(#REF!,"AAAAACnfsN0=",0)</f>
        <v>#REF!</v>
      </c>
      <c r="HO283" t="e">
        <f>IF(#REF!,"AAAAACnfsN4=",0)</f>
        <v>#REF!</v>
      </c>
      <c r="HP283" t="e">
        <f>IF(#REF!,"AAAAACnfsN8=",0)</f>
        <v>#REF!</v>
      </c>
      <c r="HQ283" t="e">
        <f>IF(#REF!,"AAAAACnfsOA=",0)</f>
        <v>#REF!</v>
      </c>
      <c r="HR283" t="e">
        <f>IF(#REF!,"AAAAACnfsOE=",0)</f>
        <v>#REF!</v>
      </c>
      <c r="HS283" t="e">
        <f>IF(#REF!,"AAAAACnfsOI=",0)</f>
        <v>#REF!</v>
      </c>
      <c r="HT283" t="e">
        <f>IF(#REF!,"AAAAACnfsOM=",0)</f>
        <v>#REF!</v>
      </c>
      <c r="HU283" t="e">
        <f>IF(#REF!,"AAAAACnfsOQ=",0)</f>
        <v>#REF!</v>
      </c>
      <c r="HV283" t="e">
        <f>IF(#REF!,"AAAAACnfsOU=",0)</f>
        <v>#REF!</v>
      </c>
      <c r="HW283" t="e">
        <f>IF(#REF!,"AAAAACnfsOY=",0)</f>
        <v>#REF!</v>
      </c>
      <c r="HX283" t="e">
        <f>IF(#REF!,"AAAAACnfsOc=",0)</f>
        <v>#REF!</v>
      </c>
      <c r="HY283" t="e">
        <f>IF(#REF!,"AAAAACnfsOg=",0)</f>
        <v>#REF!</v>
      </c>
      <c r="HZ283" t="e">
        <f>IF(#REF!,"AAAAACnfsOk=",0)</f>
        <v>#REF!</v>
      </c>
      <c r="IA283" t="e">
        <f>IF(#REF!,"AAAAACnfsOo=",0)</f>
        <v>#REF!</v>
      </c>
      <c r="IB283" t="e">
        <f>IF(#REF!,"AAAAACnfsOs=",0)</f>
        <v>#REF!</v>
      </c>
      <c r="IC283" t="e">
        <f>IF(#REF!,"AAAAACnfsOw=",0)</f>
        <v>#REF!</v>
      </c>
      <c r="ID283" t="e">
        <f>IF(#REF!,"AAAAACnfsO0=",0)</f>
        <v>#REF!</v>
      </c>
      <c r="IE283" t="e">
        <f>IF(#REF!,"AAAAACnfsO4=",0)</f>
        <v>#REF!</v>
      </c>
      <c r="IF283" t="e">
        <f>IF(#REF!,"AAAAACnfsO8=",0)</f>
        <v>#REF!</v>
      </c>
      <c r="IG283" t="e">
        <f>IF(#REF!,"AAAAACnfsPA=",0)</f>
        <v>#REF!</v>
      </c>
      <c r="IH283" t="e">
        <f>IF(#REF!,"AAAAACnfsPE=",0)</f>
        <v>#REF!</v>
      </c>
      <c r="II283" t="e">
        <f>IF(#REF!,"AAAAACnfsPI=",0)</f>
        <v>#REF!</v>
      </c>
      <c r="IJ283" t="e">
        <f>IF(#REF!,"AAAAACnfsPM=",0)</f>
        <v>#REF!</v>
      </c>
      <c r="IK283" t="e">
        <f>IF(#REF!,"AAAAACnfsPQ=",0)</f>
        <v>#REF!</v>
      </c>
      <c r="IL283" t="e">
        <f>IF(#REF!,"AAAAACnfsPU=",0)</f>
        <v>#REF!</v>
      </c>
      <c r="IM283" t="e">
        <f>IF(#REF!,"AAAAACnfsPY=",0)</f>
        <v>#REF!</v>
      </c>
      <c r="IN283" t="e">
        <f>IF(#REF!,"AAAAACnfsPc=",0)</f>
        <v>#REF!</v>
      </c>
      <c r="IO283" t="e">
        <f>IF(#REF!,"AAAAACnfsPg=",0)</f>
        <v>#REF!</v>
      </c>
      <c r="IP283" t="e">
        <f>IF(#REF!,"AAAAACnfsPk=",0)</f>
        <v>#REF!</v>
      </c>
      <c r="IQ283" t="e">
        <f>IF(#REF!,"AAAAACnfsPo=",0)</f>
        <v>#REF!</v>
      </c>
      <c r="IR283" t="e">
        <f>IF(#REF!,"AAAAACnfsPs=",0)</f>
        <v>#REF!</v>
      </c>
      <c r="IS283" t="e">
        <f>IF(#REF!,"AAAAACnfsPw=",0)</f>
        <v>#REF!</v>
      </c>
      <c r="IT283" t="e">
        <f>IF(#REF!,"AAAAACnfsP0=",0)</f>
        <v>#REF!</v>
      </c>
      <c r="IU283" t="e">
        <f>IF(#REF!,"AAAAACnfsP4=",0)</f>
        <v>#REF!</v>
      </c>
      <c r="IV283" t="e">
        <f>IF(#REF!,"AAAAACnfsP8=",0)</f>
        <v>#REF!</v>
      </c>
    </row>
    <row r="284" spans="1:256">
      <c r="A284" t="e">
        <f>IF(#REF!,"AAAAADv+dwA=",0)</f>
        <v>#REF!</v>
      </c>
      <c r="B284" t="e">
        <f>IF(#REF!,"AAAAADv+dwE=",0)</f>
        <v>#REF!</v>
      </c>
      <c r="C284" t="e">
        <f>IF(#REF!,"AAAAADv+dwI=",0)</f>
        <v>#REF!</v>
      </c>
      <c r="D284" t="e">
        <f>IF(#REF!,"AAAAADv+dwM=",0)</f>
        <v>#REF!</v>
      </c>
      <c r="E284" t="e">
        <f>IF(#REF!,"AAAAADv+dwQ=",0)</f>
        <v>#REF!</v>
      </c>
      <c r="F284" t="e">
        <f>IF(#REF!,"AAAAADv+dwU=",0)</f>
        <v>#REF!</v>
      </c>
      <c r="G284" t="e">
        <f>IF(#REF!,"AAAAADv+dwY=",0)</f>
        <v>#REF!</v>
      </c>
      <c r="H284" t="e">
        <f>IF(#REF!,"AAAAADv+dwc=",0)</f>
        <v>#REF!</v>
      </c>
      <c r="I284" t="e">
        <f>IF(#REF!,"AAAAADv+dwg=",0)</f>
        <v>#REF!</v>
      </c>
      <c r="J284" t="e">
        <f>IF(#REF!,"AAAAADv+dwk=",0)</f>
        <v>#REF!</v>
      </c>
      <c r="K284" t="e">
        <f>IF(#REF!,"AAAAADv+dwo=",0)</f>
        <v>#REF!</v>
      </c>
      <c r="L284" t="e">
        <f>IF(#REF!,"AAAAADv+dws=",0)</f>
        <v>#REF!</v>
      </c>
      <c r="M284" t="e">
        <f>IF(#REF!,"AAAAADv+dww=",0)</f>
        <v>#REF!</v>
      </c>
      <c r="N284" t="e">
        <f>IF(#REF!,"AAAAADv+dw0=",0)</f>
        <v>#REF!</v>
      </c>
      <c r="O284" t="e">
        <f>IF(#REF!,"AAAAADv+dw4=",0)</f>
        <v>#REF!</v>
      </c>
      <c r="P284" t="e">
        <f>IF(#REF!,"AAAAADv+dw8=",0)</f>
        <v>#REF!</v>
      </c>
      <c r="Q284" t="e">
        <f>IF(#REF!,"AAAAADv+dxA=",0)</f>
        <v>#REF!</v>
      </c>
      <c r="R284" t="e">
        <f>IF(#REF!,"AAAAADv+dxE=",0)</f>
        <v>#REF!</v>
      </c>
      <c r="S284" t="e">
        <f>IF(#REF!,"AAAAADv+dxI=",0)</f>
        <v>#REF!</v>
      </c>
      <c r="T284" t="e">
        <f>IF(#REF!,"AAAAADv+dxM=",0)</f>
        <v>#REF!</v>
      </c>
      <c r="U284" t="e">
        <f>IF(#REF!,"AAAAADv+dxQ=",0)</f>
        <v>#REF!</v>
      </c>
      <c r="V284" t="e">
        <f>IF(#REF!,"AAAAADv+dxU=",0)</f>
        <v>#REF!</v>
      </c>
      <c r="W284" t="e">
        <f>IF(#REF!,"AAAAADv+dxY=",0)</f>
        <v>#REF!</v>
      </c>
      <c r="X284" t="e">
        <f>IF(#REF!,"AAAAADv+dxc=",0)</f>
        <v>#REF!</v>
      </c>
      <c r="Y284" t="e">
        <f>IF(#REF!,"AAAAADv+dxg=",0)</f>
        <v>#REF!</v>
      </c>
      <c r="Z284" t="e">
        <f>IF(#REF!,"AAAAADv+dxk=",0)</f>
        <v>#REF!</v>
      </c>
      <c r="AA284" t="e">
        <f>IF(#REF!,"AAAAADv+dxo=",0)</f>
        <v>#REF!</v>
      </c>
      <c r="AB284" t="e">
        <f>IF(#REF!,"AAAAADv+dxs=",0)</f>
        <v>#REF!</v>
      </c>
      <c r="AC284" t="e">
        <f>IF(#REF!,"AAAAADv+dxw=",0)</f>
        <v>#REF!</v>
      </c>
      <c r="AD284" t="e">
        <f>IF(#REF!,"AAAAADv+dx0=",0)</f>
        <v>#REF!</v>
      </c>
      <c r="AE284" t="e">
        <f>IF(#REF!,"AAAAADv+dx4=",0)</f>
        <v>#REF!</v>
      </c>
      <c r="AF284" t="e">
        <f>IF(#REF!,"AAAAADv+dx8=",0)</f>
        <v>#REF!</v>
      </c>
      <c r="AG284" t="e">
        <f>IF(#REF!,"AAAAADv+dyA=",0)</f>
        <v>#REF!</v>
      </c>
      <c r="AH284" t="e">
        <f>IF(#REF!,"AAAAADv+dyE=",0)</f>
        <v>#REF!</v>
      </c>
      <c r="AI284" t="e">
        <f>IF(#REF!,"AAAAADv+dyI=",0)</f>
        <v>#REF!</v>
      </c>
      <c r="AJ284" t="e">
        <f>IF(#REF!,"AAAAADv+dyM=",0)</f>
        <v>#REF!</v>
      </c>
      <c r="AK284" t="e">
        <f>IF(#REF!,"AAAAADv+dyQ=",0)</f>
        <v>#REF!</v>
      </c>
      <c r="AL284" t="e">
        <f>IF(#REF!,"AAAAADv+dyU=",0)</f>
        <v>#REF!</v>
      </c>
      <c r="AM284" t="e">
        <f>IF(#REF!,"AAAAADv+dyY=",0)</f>
        <v>#REF!</v>
      </c>
      <c r="AN284" t="e">
        <f>IF(#REF!,"AAAAADv+dyc=",0)</f>
        <v>#REF!</v>
      </c>
      <c r="AO284" t="e">
        <f>IF(#REF!,"AAAAADv+dyg=",0)</f>
        <v>#REF!</v>
      </c>
      <c r="AP284" t="e">
        <f>IF(#REF!,"AAAAADv+dyk=",0)</f>
        <v>#REF!</v>
      </c>
      <c r="AQ284" t="e">
        <f>IF(#REF!,"AAAAADv+dyo=",0)</f>
        <v>#REF!</v>
      </c>
      <c r="AR284" t="e">
        <f>IF(#REF!,"AAAAADv+dys=",0)</f>
        <v>#REF!</v>
      </c>
      <c r="AS284" t="e">
        <f>IF(#REF!,"AAAAADv+dyw=",0)</f>
        <v>#REF!</v>
      </c>
      <c r="AT284" t="e">
        <f>IF(#REF!,"AAAAADv+dy0=",0)</f>
        <v>#REF!</v>
      </c>
      <c r="AU284" t="e">
        <f>IF(#REF!,"AAAAADv+dy4=",0)</f>
        <v>#REF!</v>
      </c>
      <c r="AV284" t="e">
        <f>IF(#REF!,"AAAAADv+dy8=",0)</f>
        <v>#REF!</v>
      </c>
      <c r="AW284" t="e">
        <f>IF(#REF!,"AAAAADv+dzA=",0)</f>
        <v>#REF!</v>
      </c>
      <c r="AX284" t="e">
        <f>IF(#REF!,"AAAAADv+dzE=",0)</f>
        <v>#REF!</v>
      </c>
      <c r="AY284" t="e">
        <f>IF(#REF!,"AAAAADv+dzI=",0)</f>
        <v>#REF!</v>
      </c>
      <c r="AZ284" t="e">
        <f>IF(#REF!,"AAAAADv+dzM=",0)</f>
        <v>#REF!</v>
      </c>
      <c r="BA284" t="e">
        <f>IF(#REF!,"AAAAADv+dzQ=",0)</f>
        <v>#REF!</v>
      </c>
      <c r="BB284" t="e">
        <f>IF(#REF!,"AAAAADv+dzU=",0)</f>
        <v>#REF!</v>
      </c>
      <c r="BC284" t="e">
        <f>IF(#REF!,"AAAAADv+dzY=",0)</f>
        <v>#REF!</v>
      </c>
      <c r="BD284" t="e">
        <f>IF(#REF!,"AAAAADv+dzc=",0)</f>
        <v>#REF!</v>
      </c>
      <c r="BE284" t="e">
        <f>IF(#REF!,"AAAAADv+dzg=",0)</f>
        <v>#REF!</v>
      </c>
      <c r="BF284" t="e">
        <f>IF(#REF!,"AAAAADv+dzk=",0)</f>
        <v>#REF!</v>
      </c>
      <c r="BG284" t="e">
        <f>IF(#REF!,"AAAAADv+dzo=",0)</f>
        <v>#REF!</v>
      </c>
      <c r="BH284" t="e">
        <f>IF(#REF!,"AAAAADv+dzs=",0)</f>
        <v>#REF!</v>
      </c>
      <c r="BI284" t="e">
        <f>IF(#REF!,"AAAAADv+dzw=",0)</f>
        <v>#REF!</v>
      </c>
      <c r="BJ284" t="e">
        <f>IF(#REF!,"AAAAADv+dz0=",0)</f>
        <v>#REF!</v>
      </c>
      <c r="BK284" t="e">
        <f>IF(#REF!,"AAAAADv+dz4=",0)</f>
        <v>#REF!</v>
      </c>
      <c r="BL284" t="e">
        <f>IF(#REF!,"AAAAADv+dz8=",0)</f>
        <v>#REF!</v>
      </c>
      <c r="BM284" t="e">
        <f>IF(#REF!,"AAAAADv+d0A=",0)</f>
        <v>#REF!</v>
      </c>
      <c r="BN284" t="e">
        <f>IF(#REF!,"AAAAADv+d0E=",0)</f>
        <v>#REF!</v>
      </c>
      <c r="BO284" t="e">
        <f>IF(#REF!,"AAAAADv+d0I=",0)</f>
        <v>#REF!</v>
      </c>
      <c r="BP284" t="e">
        <f>IF(#REF!,"AAAAADv+d0M=",0)</f>
        <v>#REF!</v>
      </c>
      <c r="BQ284" t="e">
        <f>IF(#REF!,"AAAAADv+d0Q=",0)</f>
        <v>#REF!</v>
      </c>
      <c r="BR284" t="e">
        <f>IF(#REF!,"AAAAADv+d0U=",0)</f>
        <v>#REF!</v>
      </c>
      <c r="BS284" t="e">
        <f>IF(#REF!,"AAAAADv+d0Y=",0)</f>
        <v>#REF!</v>
      </c>
      <c r="BT284" t="e">
        <f>IF(#REF!,"AAAAADv+d0c=",0)</f>
        <v>#REF!</v>
      </c>
      <c r="BU284" t="e">
        <f>IF(#REF!,"AAAAADv+d0g=",0)</f>
        <v>#REF!</v>
      </c>
      <c r="BV284" t="e">
        <f>IF(#REF!,"AAAAADv+d0k=",0)</f>
        <v>#REF!</v>
      </c>
      <c r="BW284" t="e">
        <f>IF(#REF!,"AAAAADv+d0o=",0)</f>
        <v>#REF!</v>
      </c>
      <c r="BX284" t="e">
        <f>IF(#REF!,"AAAAADv+d0s=",0)</f>
        <v>#REF!</v>
      </c>
      <c r="BY284" t="e">
        <f>IF(#REF!,"AAAAADv+d0w=",0)</f>
        <v>#REF!</v>
      </c>
      <c r="BZ284" t="e">
        <f>IF(#REF!,"AAAAADv+d00=",0)</f>
        <v>#REF!</v>
      </c>
      <c r="CA284" t="e">
        <f>IF(#REF!,"AAAAADv+d04=",0)</f>
        <v>#REF!</v>
      </c>
      <c r="CB284" t="e">
        <f>IF(#REF!,"AAAAADv+d08=",0)</f>
        <v>#REF!</v>
      </c>
      <c r="CC284" t="e">
        <f>IF(#REF!,"AAAAADv+d1A=",0)</f>
        <v>#REF!</v>
      </c>
      <c r="CD284" t="e">
        <f>IF(#REF!,"AAAAADv+d1E=",0)</f>
        <v>#REF!</v>
      </c>
      <c r="CE284" t="e">
        <f>IF(#REF!,"AAAAADv+d1I=",0)</f>
        <v>#REF!</v>
      </c>
      <c r="CF284" t="e">
        <f>IF(#REF!,"AAAAADv+d1M=",0)</f>
        <v>#REF!</v>
      </c>
      <c r="CG284" t="e">
        <f>IF(#REF!,"AAAAADv+d1Q=",0)</f>
        <v>#REF!</v>
      </c>
      <c r="CH284" t="e">
        <f>IF(#REF!,"AAAAADv+d1U=",0)</f>
        <v>#REF!</v>
      </c>
      <c r="CI284" t="e">
        <f>IF(#REF!,"AAAAADv+d1Y=",0)</f>
        <v>#REF!</v>
      </c>
      <c r="CJ284" t="e">
        <f>IF(#REF!,"AAAAADv+d1c=",0)</f>
        <v>#REF!</v>
      </c>
      <c r="CK284" t="e">
        <f>IF(#REF!,"AAAAADv+d1g=",0)</f>
        <v>#REF!</v>
      </c>
      <c r="CL284" t="e">
        <f>IF(#REF!,"AAAAADv+d1k=",0)</f>
        <v>#REF!</v>
      </c>
      <c r="CM284" t="e">
        <f>IF(#REF!,"AAAAADv+d1o=",0)</f>
        <v>#REF!</v>
      </c>
      <c r="CN284" t="e">
        <f>IF(#REF!,"AAAAADv+d1s=",0)</f>
        <v>#REF!</v>
      </c>
      <c r="CO284" t="e">
        <f>IF(#REF!,"AAAAADv+d1w=",0)</f>
        <v>#REF!</v>
      </c>
      <c r="CP284" t="e">
        <f>IF(#REF!,"AAAAADv+d10=",0)</f>
        <v>#REF!</v>
      </c>
      <c r="CQ284" t="e">
        <f>IF(#REF!,"AAAAADv+d14=",0)</f>
        <v>#REF!</v>
      </c>
      <c r="CR284" t="e">
        <f>IF(#REF!,"AAAAADv+d18=",0)</f>
        <v>#REF!</v>
      </c>
      <c r="CS284" t="e">
        <f>IF(#REF!,"AAAAADv+d2A=",0)</f>
        <v>#REF!</v>
      </c>
      <c r="CT284" t="e">
        <f>IF(#REF!,"AAAAADv+d2E=",0)</f>
        <v>#REF!</v>
      </c>
      <c r="CU284" t="e">
        <f>IF(#REF!,"AAAAADv+d2I=",0)</f>
        <v>#REF!</v>
      </c>
      <c r="CV284" t="e">
        <f>IF(#REF!,"AAAAADv+d2M=",0)</f>
        <v>#REF!</v>
      </c>
      <c r="CW284" t="e">
        <f>IF(#REF!,"AAAAADv+d2Q=",0)</f>
        <v>#REF!</v>
      </c>
      <c r="CX284" t="e">
        <f>IF(#REF!,"AAAAADv+d2U=",0)</f>
        <v>#REF!</v>
      </c>
      <c r="CY284" t="e">
        <f>IF(#REF!,"AAAAADv+d2Y=",0)</f>
        <v>#REF!</v>
      </c>
      <c r="CZ284" t="e">
        <f>IF(#REF!,"AAAAADv+d2c=",0)</f>
        <v>#REF!</v>
      </c>
      <c r="DA284" t="e">
        <f>IF(#REF!,"AAAAADv+d2g=",0)</f>
        <v>#REF!</v>
      </c>
      <c r="DB284" t="e">
        <f>IF(#REF!,"AAAAADv+d2k=",0)</f>
        <v>#REF!</v>
      </c>
      <c r="DC284" t="e">
        <f>IF(#REF!,"AAAAADv+d2o=",0)</f>
        <v>#REF!</v>
      </c>
      <c r="DD284" t="e">
        <f>IF(#REF!,"AAAAADv+d2s=",0)</f>
        <v>#REF!</v>
      </c>
      <c r="DE284" t="e">
        <f>IF(#REF!,"AAAAADv+d2w=",0)</f>
        <v>#REF!</v>
      </c>
      <c r="DF284" t="e">
        <f>IF(#REF!,"AAAAADv+d20=",0)</f>
        <v>#REF!</v>
      </c>
      <c r="DG284" t="e">
        <f>IF(#REF!,"AAAAADv+d24=",0)</f>
        <v>#REF!</v>
      </c>
      <c r="DH284" t="e">
        <f>IF(#REF!,"AAAAADv+d28=",0)</f>
        <v>#REF!</v>
      </c>
      <c r="DI284" t="e">
        <f>IF(#REF!,"AAAAADv+d3A=",0)</f>
        <v>#REF!</v>
      </c>
      <c r="DJ284" t="e">
        <f>IF(#REF!,"AAAAADv+d3E=",0)</f>
        <v>#REF!</v>
      </c>
      <c r="DK284" t="e">
        <f>IF(#REF!,"AAAAADv+d3I=",0)</f>
        <v>#REF!</v>
      </c>
      <c r="DL284" t="e">
        <f>IF(#REF!,"AAAAADv+d3M=",0)</f>
        <v>#REF!</v>
      </c>
      <c r="DM284" t="e">
        <f>IF(#REF!,"AAAAADv+d3Q=",0)</f>
        <v>#REF!</v>
      </c>
      <c r="DN284" t="e">
        <f>IF(#REF!,"AAAAADv+d3U=",0)</f>
        <v>#REF!</v>
      </c>
      <c r="DO284" t="e">
        <f>IF(#REF!,"AAAAADv+d3Y=",0)</f>
        <v>#REF!</v>
      </c>
      <c r="DP284" t="e">
        <f>IF(#REF!,"AAAAADv+d3c=",0)</f>
        <v>#REF!</v>
      </c>
      <c r="DQ284" t="e">
        <f>IF(#REF!,"AAAAADv+d3g=",0)</f>
        <v>#REF!</v>
      </c>
      <c r="DR284" t="e">
        <f>IF(#REF!,"AAAAADv+d3k=",0)</f>
        <v>#REF!</v>
      </c>
      <c r="DS284" t="e">
        <f>IF(#REF!,"AAAAADv+d3o=",0)</f>
        <v>#REF!</v>
      </c>
      <c r="DT284" t="e">
        <f>IF(#REF!,"AAAAADv+d3s=",0)</f>
        <v>#REF!</v>
      </c>
      <c r="DU284" t="e">
        <f>IF(#REF!,"AAAAADv+d3w=",0)</f>
        <v>#REF!</v>
      </c>
      <c r="DV284" t="e">
        <f>IF(#REF!,"AAAAADv+d30=",0)</f>
        <v>#REF!</v>
      </c>
      <c r="DW284" t="e">
        <f>IF(#REF!,"AAAAADv+d34=",0)</f>
        <v>#REF!</v>
      </c>
      <c r="DX284" t="e">
        <f>IF(#REF!,"AAAAADv+d38=",0)</f>
        <v>#REF!</v>
      </c>
      <c r="DY284" t="e">
        <f>IF(#REF!,"AAAAADv+d4A=",0)</f>
        <v>#REF!</v>
      </c>
      <c r="DZ284" t="e">
        <f>IF(#REF!,"AAAAADv+d4E=",0)</f>
        <v>#REF!</v>
      </c>
      <c r="EA284" t="e">
        <f>IF(#REF!,"AAAAADv+d4I=",0)</f>
        <v>#REF!</v>
      </c>
      <c r="EB284" t="e">
        <f>IF(#REF!,"AAAAADv+d4M=",0)</f>
        <v>#REF!</v>
      </c>
      <c r="EC284" t="e">
        <f>IF(#REF!,"AAAAADv+d4Q=",0)</f>
        <v>#REF!</v>
      </c>
      <c r="ED284" t="e">
        <f>IF(#REF!,"AAAAADv+d4U=",0)</f>
        <v>#REF!</v>
      </c>
      <c r="EE284" t="e">
        <f>IF(#REF!,"AAAAADv+d4Y=",0)</f>
        <v>#REF!</v>
      </c>
      <c r="EF284" t="e">
        <f>IF(#REF!,"AAAAADv+d4c=",0)</f>
        <v>#REF!</v>
      </c>
      <c r="EG284" t="e">
        <f>IF(#REF!,"AAAAADv+d4g=",0)</f>
        <v>#REF!</v>
      </c>
      <c r="EH284" t="e">
        <f>IF(#REF!,"AAAAADv+d4k=",0)</f>
        <v>#REF!</v>
      </c>
      <c r="EI284" t="e">
        <f>IF(#REF!,"AAAAADv+d4o=",0)</f>
        <v>#REF!</v>
      </c>
      <c r="EJ284" t="e">
        <f>IF(#REF!,"AAAAADv+d4s=",0)</f>
        <v>#REF!</v>
      </c>
      <c r="EK284" t="e">
        <f>IF(#REF!,"AAAAADv+d4w=",0)</f>
        <v>#REF!</v>
      </c>
      <c r="EL284" t="e">
        <f>IF(#REF!,"AAAAADv+d40=",0)</f>
        <v>#REF!</v>
      </c>
      <c r="EM284" t="e">
        <f>IF(#REF!,"AAAAADv+d44=",0)</f>
        <v>#REF!</v>
      </c>
      <c r="EN284" t="e">
        <f>IF(#REF!,"AAAAADv+d48=",0)</f>
        <v>#REF!</v>
      </c>
      <c r="EO284" t="e">
        <f>IF(#REF!,"AAAAADv+d5A=",0)</f>
        <v>#REF!</v>
      </c>
      <c r="EP284" t="e">
        <f>IF(#REF!,"AAAAADv+d5E=",0)</f>
        <v>#REF!</v>
      </c>
      <c r="EQ284" t="e">
        <f>IF(#REF!,"AAAAADv+d5I=",0)</f>
        <v>#REF!</v>
      </c>
      <c r="ER284" t="e">
        <f>IF(#REF!,"AAAAADv+d5M=",0)</f>
        <v>#REF!</v>
      </c>
      <c r="ES284" t="e">
        <f>IF(#REF!,"AAAAADv+d5Q=",0)</f>
        <v>#REF!</v>
      </c>
      <c r="ET284" t="e">
        <f>IF(#REF!,"AAAAADv+d5U=",0)</f>
        <v>#REF!</v>
      </c>
      <c r="EU284" t="e">
        <f>IF(#REF!,"AAAAADv+d5Y=",0)</f>
        <v>#REF!</v>
      </c>
      <c r="EV284" t="e">
        <f>IF(#REF!,"AAAAADv+d5c=",0)</f>
        <v>#REF!</v>
      </c>
      <c r="EW284" t="e">
        <f>IF(#REF!,"AAAAADv+d5g=",0)</f>
        <v>#REF!</v>
      </c>
      <c r="EX284" t="e">
        <f>IF(#REF!,"AAAAADv+d5k=",0)</f>
        <v>#REF!</v>
      </c>
      <c r="EY284" t="e">
        <f>IF(#REF!,"AAAAADv+d5o=",0)</f>
        <v>#REF!</v>
      </c>
      <c r="EZ284" t="e">
        <f>IF(#REF!,"AAAAADv+d5s=",0)</f>
        <v>#REF!</v>
      </c>
      <c r="FA284" t="e">
        <f>IF(#REF!,"AAAAADv+d5w=",0)</f>
        <v>#REF!</v>
      </c>
      <c r="FB284" t="e">
        <f>IF(#REF!,"AAAAADv+d50=",0)</f>
        <v>#REF!</v>
      </c>
      <c r="FC284" t="e">
        <f>IF(#REF!,"AAAAADv+d54=",0)</f>
        <v>#REF!</v>
      </c>
      <c r="FD284" t="e">
        <f>IF(#REF!,"AAAAADv+d58=",0)</f>
        <v>#REF!</v>
      </c>
      <c r="FE284" t="e">
        <f>IF(#REF!,"AAAAADv+d6A=",0)</f>
        <v>#REF!</v>
      </c>
      <c r="FF284" t="e">
        <f>IF(#REF!,"AAAAADv+d6E=",0)</f>
        <v>#REF!</v>
      </c>
      <c r="FG284" t="e">
        <f>IF(#REF!,"AAAAADv+d6I=",0)</f>
        <v>#REF!</v>
      </c>
      <c r="FH284" t="e">
        <f>IF(#REF!,"AAAAADv+d6M=",0)</f>
        <v>#REF!</v>
      </c>
      <c r="FI284" t="e">
        <f>IF(#REF!,"AAAAADv+d6Q=",0)</f>
        <v>#REF!</v>
      </c>
      <c r="FJ284" t="e">
        <f>IF(#REF!,"AAAAADv+d6U=",0)</f>
        <v>#REF!</v>
      </c>
      <c r="FK284" t="e">
        <f>IF(#REF!,"AAAAADv+d6Y=",0)</f>
        <v>#REF!</v>
      </c>
      <c r="FL284" t="e">
        <f>IF(#REF!,"AAAAADv+d6c=",0)</f>
        <v>#REF!</v>
      </c>
      <c r="FM284" t="e">
        <f>IF(#REF!,"AAAAADv+d6g=",0)</f>
        <v>#REF!</v>
      </c>
      <c r="FN284" t="e">
        <f>IF(#REF!,"AAAAADv+d6k=",0)</f>
        <v>#REF!</v>
      </c>
      <c r="FO284" t="e">
        <f>IF(#REF!,"AAAAADv+d6o=",0)</f>
        <v>#REF!</v>
      </c>
      <c r="FP284" t="e">
        <f>IF(#REF!,"AAAAADv+d6s=",0)</f>
        <v>#REF!</v>
      </c>
      <c r="FQ284" t="e">
        <f>IF(#REF!,"AAAAADv+d6w=",0)</f>
        <v>#REF!</v>
      </c>
      <c r="FR284" t="e">
        <f>IF(#REF!,"AAAAADv+d60=",0)</f>
        <v>#REF!</v>
      </c>
      <c r="FS284" t="e">
        <f>IF(#REF!,"AAAAADv+d64=",0)</f>
        <v>#REF!</v>
      </c>
      <c r="FT284" t="e">
        <f>IF(#REF!,"AAAAADv+d68=",0)</f>
        <v>#REF!</v>
      </c>
      <c r="FU284" t="e">
        <f>IF(#REF!,"AAAAADv+d7A=",0)</f>
        <v>#REF!</v>
      </c>
      <c r="FV284" t="e">
        <f>IF(#REF!,"AAAAADv+d7E=",0)</f>
        <v>#REF!</v>
      </c>
      <c r="FW284" t="e">
        <f>IF(#REF!,"AAAAADv+d7I=",0)</f>
        <v>#REF!</v>
      </c>
      <c r="FX284" t="e">
        <f>IF(#REF!,"AAAAADv+d7M=",0)</f>
        <v>#REF!</v>
      </c>
      <c r="FY284" t="e">
        <f>IF(#REF!,"AAAAADv+d7Q=",0)</f>
        <v>#REF!</v>
      </c>
      <c r="FZ284" t="e">
        <f>IF(#REF!,"AAAAADv+d7U=",0)</f>
        <v>#REF!</v>
      </c>
      <c r="GA284" t="e">
        <f>IF(#REF!,"AAAAADv+d7Y=",0)</f>
        <v>#REF!</v>
      </c>
      <c r="GB284" t="e">
        <f>IF(#REF!,"AAAAADv+d7c=",0)</f>
        <v>#REF!</v>
      </c>
      <c r="GC284" t="e">
        <f>IF(#REF!,"AAAAADv+d7g=",0)</f>
        <v>#REF!</v>
      </c>
      <c r="GD284" t="e">
        <f>IF(#REF!,"AAAAADv+d7k=",0)</f>
        <v>#REF!</v>
      </c>
      <c r="GE284" t="e">
        <f>IF(#REF!,"AAAAADv+d7o=",0)</f>
        <v>#REF!</v>
      </c>
      <c r="GF284" t="e">
        <f>IF(#REF!,"AAAAADv+d7s=",0)</f>
        <v>#REF!</v>
      </c>
      <c r="GG284" t="e">
        <f>IF(#REF!,"AAAAADv+d7w=",0)</f>
        <v>#REF!</v>
      </c>
      <c r="GH284" t="e">
        <f>IF(#REF!,"AAAAADv+d70=",0)</f>
        <v>#REF!</v>
      </c>
      <c r="GI284" t="e">
        <f>IF(#REF!,"AAAAADv+d74=",0)</f>
        <v>#REF!</v>
      </c>
      <c r="GJ284" t="e">
        <f>IF(#REF!,"AAAAADv+d78=",0)</f>
        <v>#REF!</v>
      </c>
      <c r="GK284" t="e">
        <f>IF(#REF!,"AAAAADv+d8A=",0)</f>
        <v>#REF!</v>
      </c>
      <c r="GL284" t="e">
        <f>IF(#REF!,"AAAAADv+d8E=",0)</f>
        <v>#REF!</v>
      </c>
      <c r="GM284" t="e">
        <f>IF(#REF!,"AAAAADv+d8I=",0)</f>
        <v>#REF!</v>
      </c>
      <c r="GN284" t="e">
        <f>IF(#REF!,"AAAAADv+d8M=",0)</f>
        <v>#REF!</v>
      </c>
      <c r="GO284" t="e">
        <f>IF(#REF!,"AAAAADv+d8Q=",0)</f>
        <v>#REF!</v>
      </c>
      <c r="GP284" t="e">
        <f>IF(#REF!,"AAAAADv+d8U=",0)</f>
        <v>#REF!</v>
      </c>
      <c r="GQ284" t="e">
        <f>IF(#REF!,"AAAAADv+d8Y=",0)</f>
        <v>#REF!</v>
      </c>
      <c r="GR284" t="e">
        <f>IF(#REF!,"AAAAADv+d8c=",0)</f>
        <v>#REF!</v>
      </c>
      <c r="GS284" t="e">
        <f>IF(#REF!,"AAAAADv+d8g=",0)</f>
        <v>#REF!</v>
      </c>
      <c r="GT284" t="e">
        <f>IF(#REF!,"AAAAADv+d8k=",0)</f>
        <v>#REF!</v>
      </c>
      <c r="GU284" t="e">
        <f>IF(#REF!,"AAAAADv+d8o=",0)</f>
        <v>#REF!</v>
      </c>
      <c r="GV284" t="e">
        <f>IF(#REF!,"AAAAADv+d8s=",0)</f>
        <v>#REF!</v>
      </c>
      <c r="GW284" t="e">
        <f>IF(#REF!,"AAAAADv+d8w=",0)</f>
        <v>#REF!</v>
      </c>
      <c r="GX284" t="e">
        <f>IF(#REF!,"AAAAADv+d80=",0)</f>
        <v>#REF!</v>
      </c>
      <c r="GY284" t="e">
        <f>IF(#REF!,"AAAAADv+d84=",0)</f>
        <v>#REF!</v>
      </c>
      <c r="GZ284" t="e">
        <f>IF(#REF!,"AAAAADv+d88=",0)</f>
        <v>#REF!</v>
      </c>
      <c r="HA284" t="e">
        <f>IF(#REF!,"AAAAADv+d9A=",0)</f>
        <v>#REF!</v>
      </c>
      <c r="HB284" t="e">
        <f>IF(#REF!,"AAAAADv+d9E=",0)</f>
        <v>#REF!</v>
      </c>
      <c r="HC284" t="e">
        <f>IF(#REF!,"AAAAADv+d9I=",0)</f>
        <v>#REF!</v>
      </c>
      <c r="HD284" t="e">
        <f>IF(#REF!,"AAAAADv+d9M=",0)</f>
        <v>#REF!</v>
      </c>
      <c r="HE284" t="e">
        <f>IF(#REF!,"AAAAADv+d9Q=",0)</f>
        <v>#REF!</v>
      </c>
      <c r="HF284" t="e">
        <f>IF(#REF!,"AAAAADv+d9U=",0)</f>
        <v>#REF!</v>
      </c>
      <c r="HG284" t="e">
        <f>IF(#REF!,"AAAAADv+d9Y=",0)</f>
        <v>#REF!</v>
      </c>
      <c r="HH284" t="e">
        <f>IF(#REF!,"AAAAADv+d9c=",0)</f>
        <v>#REF!</v>
      </c>
      <c r="HI284" t="e">
        <f>IF(#REF!,"AAAAADv+d9g=",0)</f>
        <v>#REF!</v>
      </c>
      <c r="HJ284" t="e">
        <f>IF(#REF!,"AAAAADv+d9k=",0)</f>
        <v>#REF!</v>
      </c>
      <c r="HK284" t="e">
        <f>IF(#REF!,"AAAAADv+d9o=",0)</f>
        <v>#REF!</v>
      </c>
      <c r="HL284" t="e">
        <f>IF(#REF!,"AAAAADv+d9s=",0)</f>
        <v>#REF!</v>
      </c>
      <c r="HM284" t="e">
        <f>IF(#REF!,"AAAAADv+d9w=",0)</f>
        <v>#REF!</v>
      </c>
      <c r="HN284" t="e">
        <f>IF(#REF!,"AAAAADv+d90=",0)</f>
        <v>#REF!</v>
      </c>
      <c r="HO284" t="e">
        <f>IF(#REF!,"AAAAADv+d94=",0)</f>
        <v>#REF!</v>
      </c>
      <c r="HP284" t="e">
        <f>IF(#REF!,"AAAAADv+d98=",0)</f>
        <v>#REF!</v>
      </c>
      <c r="HQ284" t="e">
        <f>IF(#REF!,"AAAAADv+d+A=",0)</f>
        <v>#REF!</v>
      </c>
      <c r="HR284" t="e">
        <f>IF(#REF!,"AAAAADv+d+E=",0)</f>
        <v>#REF!</v>
      </c>
      <c r="HS284" t="e">
        <f>IF(#REF!,"AAAAADv+d+I=",0)</f>
        <v>#REF!</v>
      </c>
      <c r="HT284" t="e">
        <f>IF(#REF!,"AAAAADv+d+M=",0)</f>
        <v>#REF!</v>
      </c>
      <c r="HU284" t="e">
        <f>IF(#REF!,"AAAAADv+d+Q=",0)</f>
        <v>#REF!</v>
      </c>
      <c r="HV284" t="e">
        <f>IF(#REF!,"AAAAADv+d+U=",0)</f>
        <v>#REF!</v>
      </c>
      <c r="HW284" t="e">
        <f>IF(#REF!,"AAAAADv+d+Y=",0)</f>
        <v>#REF!</v>
      </c>
      <c r="HX284" t="e">
        <f>IF(#REF!,"AAAAADv+d+c=",0)</f>
        <v>#REF!</v>
      </c>
      <c r="HY284" t="e">
        <f>IF(#REF!,"AAAAADv+d+g=",0)</f>
        <v>#REF!</v>
      </c>
      <c r="HZ284" t="e">
        <f>IF(#REF!,"AAAAADv+d+k=",0)</f>
        <v>#REF!</v>
      </c>
      <c r="IA284" t="e">
        <f>IF(#REF!,"AAAAADv+d+o=",0)</f>
        <v>#REF!</v>
      </c>
      <c r="IB284" t="e">
        <f>IF(#REF!,"AAAAADv+d+s=",0)</f>
        <v>#REF!</v>
      </c>
      <c r="IC284" t="e">
        <f>IF(#REF!,"AAAAADv+d+w=",0)</f>
        <v>#REF!</v>
      </c>
      <c r="ID284" t="e">
        <f>IF(#REF!,"AAAAADv+d+0=",0)</f>
        <v>#REF!</v>
      </c>
      <c r="IE284" t="e">
        <f>IF(#REF!,"AAAAADv+d+4=",0)</f>
        <v>#REF!</v>
      </c>
      <c r="IF284" t="e">
        <f>IF(#REF!,"AAAAADv+d+8=",0)</f>
        <v>#REF!</v>
      </c>
      <c r="IG284" t="e">
        <f>IF(#REF!,"AAAAADv+d/A=",0)</f>
        <v>#REF!</v>
      </c>
      <c r="IH284" t="e">
        <f>IF(#REF!,"AAAAADv+d/E=",0)</f>
        <v>#REF!</v>
      </c>
      <c r="II284" t="e">
        <f>IF(#REF!,"AAAAADv+d/I=",0)</f>
        <v>#REF!</v>
      </c>
      <c r="IJ284" t="e">
        <f>IF(#REF!,"AAAAADv+d/M=",0)</f>
        <v>#REF!</v>
      </c>
      <c r="IK284" t="e">
        <f>IF(#REF!,"AAAAADv+d/Q=",0)</f>
        <v>#REF!</v>
      </c>
      <c r="IL284" t="e">
        <f>IF(#REF!,"AAAAADv+d/U=",0)</f>
        <v>#REF!</v>
      </c>
      <c r="IM284" t="e">
        <f>IF(#REF!,"AAAAADv+d/Y=",0)</f>
        <v>#REF!</v>
      </c>
      <c r="IN284" t="e">
        <f>IF(#REF!,"AAAAADv+d/c=",0)</f>
        <v>#REF!</v>
      </c>
      <c r="IO284" t="e">
        <f>IF(#REF!,"AAAAADv+d/g=",0)</f>
        <v>#REF!</v>
      </c>
      <c r="IP284" t="e">
        <f>IF(#REF!,"AAAAADv+d/k=",0)</f>
        <v>#REF!</v>
      </c>
      <c r="IQ284" t="e">
        <f>IF(#REF!,"AAAAADv+d/o=",0)</f>
        <v>#REF!</v>
      </c>
      <c r="IR284" t="e">
        <f>IF(#REF!,"AAAAADv+d/s=",0)</f>
        <v>#REF!</v>
      </c>
      <c r="IS284" t="e">
        <f>IF(#REF!,"AAAAADv+d/w=",0)</f>
        <v>#REF!</v>
      </c>
      <c r="IT284" t="e">
        <f>IF(#REF!,"AAAAADv+d/0=",0)</f>
        <v>#REF!</v>
      </c>
      <c r="IU284" t="e">
        <f>IF(#REF!,"AAAAADv+d/4=",0)</f>
        <v>#REF!</v>
      </c>
      <c r="IV284" t="e">
        <f>IF(#REF!,"AAAAADv+d/8=",0)</f>
        <v>#REF!</v>
      </c>
    </row>
    <row r="285" spans="1:256">
      <c r="A285" t="e">
        <f>IF(#REF!,"AAAAAD92awA=",0)</f>
        <v>#REF!</v>
      </c>
      <c r="B285" t="e">
        <f>IF(#REF!,"AAAAAD92awE=",0)</f>
        <v>#REF!</v>
      </c>
      <c r="C285" t="e">
        <f>IF(#REF!,"AAAAAD92awI=",0)</f>
        <v>#REF!</v>
      </c>
      <c r="D285" t="e">
        <f>IF(#REF!,"AAAAAD92awM=",0)</f>
        <v>#REF!</v>
      </c>
      <c r="E285" t="e">
        <f>IF(#REF!,"AAAAAD92awQ=",0)</f>
        <v>#REF!</v>
      </c>
      <c r="F285" t="e">
        <f>IF(#REF!,"AAAAAD92awU=",0)</f>
        <v>#REF!</v>
      </c>
      <c r="G285" t="e">
        <f>IF(#REF!,"AAAAAD92awY=",0)</f>
        <v>#REF!</v>
      </c>
      <c r="H285" t="e">
        <f>IF(#REF!,"AAAAAD92awc=",0)</f>
        <v>#REF!</v>
      </c>
      <c r="I285" t="e">
        <f>IF(#REF!,"AAAAAD92awg=",0)</f>
        <v>#REF!</v>
      </c>
      <c r="J285" t="e">
        <f>IF(#REF!,"AAAAAD92awk=",0)</f>
        <v>#REF!</v>
      </c>
      <c r="K285" t="e">
        <f>IF(#REF!,"AAAAAD92awo=",0)</f>
        <v>#REF!</v>
      </c>
      <c r="L285" t="e">
        <f>IF(#REF!,"AAAAAD92aws=",0)</f>
        <v>#REF!</v>
      </c>
      <c r="M285" t="e">
        <f>IF(#REF!,"AAAAAD92aww=",0)</f>
        <v>#REF!</v>
      </c>
      <c r="N285" t="e">
        <f>IF(#REF!,"AAAAAD92aw0=",0)</f>
        <v>#REF!</v>
      </c>
      <c r="O285" t="e">
        <f>IF(#REF!,"AAAAAD92aw4=",0)</f>
        <v>#REF!</v>
      </c>
      <c r="P285" t="e">
        <f>IF(#REF!,"AAAAAD92aw8=",0)</f>
        <v>#REF!</v>
      </c>
      <c r="Q285" t="e">
        <f>IF(#REF!,"AAAAAD92axA=",0)</f>
        <v>#REF!</v>
      </c>
      <c r="R285" t="e">
        <f>IF(#REF!,"AAAAAD92axE=",0)</f>
        <v>#REF!</v>
      </c>
      <c r="S285" t="e">
        <f>IF(#REF!,"AAAAAD92axI=",0)</f>
        <v>#REF!</v>
      </c>
      <c r="T285" t="e">
        <f>IF(#REF!,"AAAAAD92axM=",0)</f>
        <v>#REF!</v>
      </c>
      <c r="U285" t="e">
        <f>IF(#REF!,"AAAAAD92axQ=",0)</f>
        <v>#REF!</v>
      </c>
      <c r="V285" t="e">
        <f>IF(#REF!,"AAAAAD92axU=",0)</f>
        <v>#REF!</v>
      </c>
      <c r="W285" t="e">
        <f>IF(#REF!,"AAAAAD92axY=",0)</f>
        <v>#REF!</v>
      </c>
      <c r="X285" t="e">
        <f>IF(#REF!,"AAAAAD92axc=",0)</f>
        <v>#REF!</v>
      </c>
      <c r="Y285" t="e">
        <f>IF(#REF!,"AAAAAD92axg=",0)</f>
        <v>#REF!</v>
      </c>
      <c r="Z285" t="e">
        <f>IF(#REF!,"AAAAAD92axk=",0)</f>
        <v>#REF!</v>
      </c>
      <c r="AA285" t="e">
        <f>IF(#REF!,"AAAAAD92axo=",0)</f>
        <v>#REF!</v>
      </c>
      <c r="AB285" t="e">
        <f>IF(#REF!,"AAAAAD92axs=",0)</f>
        <v>#REF!</v>
      </c>
      <c r="AC285" t="e">
        <f>IF(#REF!,"AAAAAD92axw=",0)</f>
        <v>#REF!</v>
      </c>
      <c r="AD285" t="e">
        <f>IF(#REF!,"AAAAAD92ax0=",0)</f>
        <v>#REF!</v>
      </c>
      <c r="AE285" t="e">
        <f>IF(#REF!,"AAAAAD92ax4=",0)</f>
        <v>#REF!</v>
      </c>
      <c r="AF285" t="e">
        <f>IF(#REF!,"AAAAAD92ax8=",0)</f>
        <v>#REF!</v>
      </c>
      <c r="AG285" t="e">
        <f>IF(#REF!,"AAAAAD92ayA=",0)</f>
        <v>#REF!</v>
      </c>
      <c r="AH285" t="e">
        <f>IF(#REF!,"AAAAAD92ayE=",0)</f>
        <v>#REF!</v>
      </c>
      <c r="AI285" t="e">
        <f>IF(#REF!,"AAAAAD92ayI=",0)</f>
        <v>#REF!</v>
      </c>
      <c r="AJ285" t="e">
        <f>IF(#REF!,"AAAAAD92ayM=",0)</f>
        <v>#REF!</v>
      </c>
      <c r="AK285" t="e">
        <f>IF(#REF!,"AAAAAD92ayQ=",0)</f>
        <v>#REF!</v>
      </c>
      <c r="AL285" t="e">
        <f>IF(#REF!,"AAAAAD92ayU=",0)</f>
        <v>#REF!</v>
      </c>
      <c r="AM285" t="e">
        <f>IF(#REF!,"AAAAAD92ayY=",0)</f>
        <v>#REF!</v>
      </c>
      <c r="AN285" t="e">
        <f>IF(#REF!,"AAAAAD92ayc=",0)</f>
        <v>#REF!</v>
      </c>
      <c r="AO285" t="e">
        <f>IF(#REF!,"AAAAAD92ayg=",0)</f>
        <v>#REF!</v>
      </c>
      <c r="AP285" t="e">
        <f>IF(#REF!,"AAAAAD92ayk=",0)</f>
        <v>#REF!</v>
      </c>
      <c r="AQ285" t="e">
        <f>IF(#REF!,"AAAAAD92ayo=",0)</f>
        <v>#REF!</v>
      </c>
      <c r="AR285" t="e">
        <f>IF(#REF!,"AAAAAD92ays=",0)</f>
        <v>#REF!</v>
      </c>
      <c r="AS285" t="e">
        <f>IF(#REF!,"AAAAAD92ayw=",0)</f>
        <v>#REF!</v>
      </c>
      <c r="AT285" t="e">
        <f>IF(#REF!,"AAAAAD92ay0=",0)</f>
        <v>#REF!</v>
      </c>
      <c r="AU285" t="e">
        <f>IF(#REF!,"AAAAAD92ay4=",0)</f>
        <v>#REF!</v>
      </c>
      <c r="AV285" t="e">
        <f>IF(#REF!,"AAAAAD92ay8=",0)</f>
        <v>#REF!</v>
      </c>
      <c r="AW285" t="e">
        <f>IF(#REF!,"AAAAAD92azA=",0)</f>
        <v>#REF!</v>
      </c>
      <c r="AX285" t="e">
        <f>IF(#REF!,"AAAAAD92azE=",0)</f>
        <v>#REF!</v>
      </c>
      <c r="AY285" t="e">
        <f>IF(#REF!,"AAAAAD92azI=",0)</f>
        <v>#REF!</v>
      </c>
      <c r="AZ285" t="e">
        <f>IF(#REF!,"AAAAAD92azM=",0)</f>
        <v>#REF!</v>
      </c>
      <c r="BA285" t="e">
        <f>IF(#REF!,"AAAAAD92azQ=",0)</f>
        <v>#REF!</v>
      </c>
      <c r="BB285" t="e">
        <f>IF(#REF!,"AAAAAD92azU=",0)</f>
        <v>#REF!</v>
      </c>
      <c r="BC285" t="e">
        <f>IF(#REF!,"AAAAAD92azY=",0)</f>
        <v>#REF!</v>
      </c>
      <c r="BD285" t="e">
        <f>IF(#REF!,"AAAAAD92azc=",0)</f>
        <v>#REF!</v>
      </c>
      <c r="BE285" t="e">
        <f>IF(#REF!,"AAAAAD92azg=",0)</f>
        <v>#REF!</v>
      </c>
      <c r="BF285" t="e">
        <f>IF(#REF!,"AAAAAD92azk=",0)</f>
        <v>#REF!</v>
      </c>
      <c r="BG285" t="e">
        <f>IF(#REF!,"AAAAAD92azo=",0)</f>
        <v>#REF!</v>
      </c>
      <c r="BH285" t="e">
        <f>IF(#REF!,"AAAAAD92azs=",0)</f>
        <v>#REF!</v>
      </c>
      <c r="BI285" t="e">
        <f>IF(#REF!,"AAAAAD92azw=",0)</f>
        <v>#REF!</v>
      </c>
      <c r="BJ285" t="e">
        <f>IF(#REF!,"AAAAAD92az0=",0)</f>
        <v>#REF!</v>
      </c>
      <c r="BK285" t="e">
        <f>IF(#REF!,"AAAAAD92az4=",0)</f>
        <v>#REF!</v>
      </c>
      <c r="BL285" t="e">
        <f>IF(#REF!,"AAAAAD92az8=",0)</f>
        <v>#REF!</v>
      </c>
      <c r="BM285" t="e">
        <f>IF(#REF!,"AAAAAD92a0A=",0)</f>
        <v>#REF!</v>
      </c>
      <c r="BN285" t="e">
        <f>IF(#REF!,"AAAAAD92a0E=",0)</f>
        <v>#REF!</v>
      </c>
      <c r="BO285" t="e">
        <f>IF(#REF!,"AAAAAD92a0I=",0)</f>
        <v>#REF!</v>
      </c>
      <c r="BP285" t="e">
        <f>IF(#REF!,"AAAAAD92a0M=",0)</f>
        <v>#REF!</v>
      </c>
      <c r="BQ285" t="e">
        <f>IF(#REF!,"AAAAAD92a0Q=",0)</f>
        <v>#REF!</v>
      </c>
      <c r="BR285" t="e">
        <f>IF(#REF!,"AAAAAD92a0U=",0)</f>
        <v>#REF!</v>
      </c>
      <c r="BS285" t="e">
        <f>IF(#REF!,"AAAAAD92a0Y=",0)</f>
        <v>#REF!</v>
      </c>
      <c r="BT285" t="e">
        <f>IF(#REF!,"AAAAAD92a0c=",0)</f>
        <v>#REF!</v>
      </c>
      <c r="BU285" t="e">
        <f>IF(#REF!,"AAAAAD92a0g=",0)</f>
        <v>#REF!</v>
      </c>
      <c r="BV285" t="e">
        <f>IF(#REF!,"AAAAAD92a0k=",0)</f>
        <v>#REF!</v>
      </c>
      <c r="BW285" t="e">
        <f>IF(#REF!,"AAAAAD92a0o=",0)</f>
        <v>#REF!</v>
      </c>
      <c r="BX285" t="e">
        <f>IF(#REF!,"AAAAAD92a0s=",0)</f>
        <v>#REF!</v>
      </c>
      <c r="BY285" t="e">
        <f>IF(#REF!,"AAAAAD92a0w=",0)</f>
        <v>#REF!</v>
      </c>
      <c r="BZ285" t="e">
        <f>IF(#REF!,"AAAAAD92a00=",0)</f>
        <v>#REF!</v>
      </c>
      <c r="CA285" t="e">
        <f>IF(#REF!,"AAAAAD92a04=",0)</f>
        <v>#REF!</v>
      </c>
      <c r="CB285" t="e">
        <f>IF(#REF!,"AAAAAD92a08=",0)</f>
        <v>#REF!</v>
      </c>
      <c r="CC285" t="e">
        <f>IF(#REF!,"AAAAAD92a1A=",0)</f>
        <v>#REF!</v>
      </c>
      <c r="CD285" t="e">
        <f>IF(#REF!,"AAAAAD92a1E=",0)</f>
        <v>#REF!</v>
      </c>
      <c r="CE285" t="e">
        <f>IF(#REF!,"AAAAAD92a1I=",0)</f>
        <v>#REF!</v>
      </c>
      <c r="CF285" t="e">
        <f>IF(#REF!,"AAAAAD92a1M=",0)</f>
        <v>#REF!</v>
      </c>
      <c r="CG285" t="e">
        <f>IF(#REF!,"AAAAAD92a1Q=",0)</f>
        <v>#REF!</v>
      </c>
      <c r="CH285" t="e">
        <f>IF(#REF!,"AAAAAD92a1U=",0)</f>
        <v>#REF!</v>
      </c>
      <c r="CI285" t="e">
        <f>IF(#REF!,"AAAAAD92a1Y=",0)</f>
        <v>#REF!</v>
      </c>
      <c r="CJ285" t="e">
        <f>IF(#REF!,"AAAAAD92a1c=",0)</f>
        <v>#REF!</v>
      </c>
      <c r="CK285" t="e">
        <f>IF(#REF!,"AAAAAD92a1g=",0)</f>
        <v>#REF!</v>
      </c>
      <c r="CL285" t="e">
        <f>IF(#REF!,"AAAAAD92a1k=",0)</f>
        <v>#REF!</v>
      </c>
      <c r="CM285" t="e">
        <f>IF(#REF!,"AAAAAD92a1o=",0)</f>
        <v>#REF!</v>
      </c>
      <c r="CN285" t="e">
        <f>IF(#REF!,"AAAAAD92a1s=",0)</f>
        <v>#REF!</v>
      </c>
      <c r="CO285" t="e">
        <f>IF(#REF!,"AAAAAD92a1w=",0)</f>
        <v>#REF!</v>
      </c>
      <c r="CP285" t="e">
        <f>IF(#REF!,"AAAAAD92a10=",0)</f>
        <v>#REF!</v>
      </c>
      <c r="CQ285" t="e">
        <f>IF(#REF!,"AAAAAD92a14=",0)</f>
        <v>#REF!</v>
      </c>
      <c r="CR285" t="e">
        <f>IF(#REF!,"AAAAAD92a18=",0)</f>
        <v>#REF!</v>
      </c>
      <c r="CS285" t="e">
        <f>IF(#REF!,"AAAAAD92a2A=",0)</f>
        <v>#REF!</v>
      </c>
      <c r="CT285" t="e">
        <f>IF(#REF!,"AAAAAD92a2E=",0)</f>
        <v>#REF!</v>
      </c>
      <c r="CU285" t="e">
        <f>IF(#REF!,"AAAAAD92a2I=",0)</f>
        <v>#REF!</v>
      </c>
      <c r="CV285" t="e">
        <f>IF(#REF!,"AAAAAD92a2M=",0)</f>
        <v>#REF!</v>
      </c>
      <c r="CW285" t="e">
        <f>IF(#REF!,"AAAAAD92a2Q=",0)</f>
        <v>#REF!</v>
      </c>
      <c r="CX285" t="e">
        <f>IF(#REF!,"AAAAAD92a2U=",0)</f>
        <v>#REF!</v>
      </c>
      <c r="CY285" t="e">
        <f>IF(#REF!,"AAAAAD92a2Y=",0)</f>
        <v>#REF!</v>
      </c>
      <c r="CZ285" t="e">
        <f>IF(#REF!,"AAAAAD92a2c=",0)</f>
        <v>#REF!</v>
      </c>
      <c r="DA285" t="e">
        <f>IF(#REF!,"AAAAAD92a2g=",0)</f>
        <v>#REF!</v>
      </c>
      <c r="DB285" t="e">
        <f>IF(#REF!,"AAAAAD92a2k=",0)</f>
        <v>#REF!</v>
      </c>
      <c r="DC285" t="e">
        <f>IF(#REF!,"AAAAAD92a2o=",0)</f>
        <v>#REF!</v>
      </c>
      <c r="DD285" t="e">
        <f>IF(#REF!,"AAAAAD92a2s=",0)</f>
        <v>#REF!</v>
      </c>
      <c r="DE285" t="e">
        <f>IF(#REF!,"AAAAAD92a2w=",0)</f>
        <v>#REF!</v>
      </c>
      <c r="DF285" t="e">
        <f>IF(#REF!,"AAAAAD92a20=",0)</f>
        <v>#REF!</v>
      </c>
      <c r="DG285" t="e">
        <f>IF(#REF!,"AAAAAD92a24=",0)</f>
        <v>#REF!</v>
      </c>
      <c r="DH285" t="e">
        <f>IF(#REF!,"AAAAAD92a28=",0)</f>
        <v>#REF!</v>
      </c>
      <c r="DI285" t="e">
        <f>IF(#REF!,"AAAAAD92a3A=",0)</f>
        <v>#REF!</v>
      </c>
      <c r="DJ285" t="e">
        <f>IF(#REF!,"AAAAAD92a3E=",0)</f>
        <v>#REF!</v>
      </c>
      <c r="DK285" t="e">
        <f>IF(#REF!,"AAAAAD92a3I=",0)</f>
        <v>#REF!</v>
      </c>
      <c r="DL285" t="e">
        <f>IF(#REF!,"AAAAAD92a3M=",0)</f>
        <v>#REF!</v>
      </c>
      <c r="DM285" t="e">
        <f>IF(#REF!,"AAAAAD92a3Q=",0)</f>
        <v>#REF!</v>
      </c>
      <c r="DN285" t="e">
        <f>IF(#REF!,"AAAAAD92a3U=",0)</f>
        <v>#REF!</v>
      </c>
      <c r="DO285" t="e">
        <f>IF(#REF!,"AAAAAD92a3Y=",0)</f>
        <v>#REF!</v>
      </c>
      <c r="DP285" t="e">
        <f>IF(#REF!,"AAAAAD92a3c=",0)</f>
        <v>#REF!</v>
      </c>
      <c r="DQ285" t="e">
        <f>IF(#REF!,"AAAAAD92a3g=",0)</f>
        <v>#REF!</v>
      </c>
      <c r="DR285" t="e">
        <f>IF(#REF!,"AAAAAD92a3k=",0)</f>
        <v>#REF!</v>
      </c>
      <c r="DS285" t="e">
        <f>IF(#REF!,"AAAAAD92a3o=",0)</f>
        <v>#REF!</v>
      </c>
      <c r="DT285" t="e">
        <f>IF(#REF!,"AAAAAD92a3s=",0)</f>
        <v>#REF!</v>
      </c>
      <c r="DU285" t="e">
        <f>IF(#REF!,"AAAAAD92a3w=",0)</f>
        <v>#REF!</v>
      </c>
      <c r="DV285" t="e">
        <f>IF(#REF!,"AAAAAD92a30=",0)</f>
        <v>#REF!</v>
      </c>
      <c r="DW285" t="e">
        <f>IF(#REF!,"AAAAAD92a34=",0)</f>
        <v>#REF!</v>
      </c>
      <c r="DX285" t="e">
        <f>IF(#REF!,"AAAAAD92a38=",0)</f>
        <v>#REF!</v>
      </c>
      <c r="DY285" t="e">
        <f>IF(#REF!,"AAAAAD92a4A=",0)</f>
        <v>#REF!</v>
      </c>
      <c r="DZ285" t="e">
        <f>IF(#REF!,"AAAAAD92a4E=",0)</f>
        <v>#REF!</v>
      </c>
      <c r="EA285" t="e">
        <f>IF(#REF!,"AAAAAD92a4I=",0)</f>
        <v>#REF!</v>
      </c>
      <c r="EB285" t="e">
        <f>IF(#REF!,"AAAAAD92a4M=",0)</f>
        <v>#REF!</v>
      </c>
      <c r="EC285" t="e">
        <f>IF(#REF!,"AAAAAD92a4Q=",0)</f>
        <v>#REF!</v>
      </c>
      <c r="ED285" t="e">
        <f>IF(#REF!,"AAAAAD92a4U=",0)</f>
        <v>#REF!</v>
      </c>
      <c r="EE285" t="e">
        <f>IF(#REF!,"AAAAAD92a4Y=",0)</f>
        <v>#REF!</v>
      </c>
      <c r="EF285" t="e">
        <f>IF(#REF!,"AAAAAD92a4c=",0)</f>
        <v>#REF!</v>
      </c>
      <c r="EG285" t="e">
        <f>IF(#REF!,"AAAAAD92a4g=",0)</f>
        <v>#REF!</v>
      </c>
      <c r="EH285" t="e">
        <f>IF(#REF!,"AAAAAD92a4k=",0)</f>
        <v>#REF!</v>
      </c>
      <c r="EI285" t="e">
        <f>IF(#REF!,"AAAAAD92a4o=",0)</f>
        <v>#REF!</v>
      </c>
      <c r="EJ285" t="e">
        <f>IF(#REF!,"AAAAAD92a4s=",0)</f>
        <v>#REF!</v>
      </c>
      <c r="EK285" t="e">
        <f>IF(#REF!,"AAAAAD92a4w=",0)</f>
        <v>#REF!</v>
      </c>
      <c r="EL285" t="e">
        <f>IF(#REF!,"AAAAAD92a40=",0)</f>
        <v>#REF!</v>
      </c>
      <c r="EM285" t="e">
        <f>IF(#REF!,"AAAAAD92a44=",0)</f>
        <v>#REF!</v>
      </c>
      <c r="EN285" t="e">
        <f>IF(#REF!,"AAAAAD92a48=",0)</f>
        <v>#REF!</v>
      </c>
      <c r="EO285" t="e">
        <f>IF(#REF!,"AAAAAD92a5A=",0)</f>
        <v>#REF!</v>
      </c>
      <c r="EP285" t="e">
        <f>IF(#REF!,"AAAAAD92a5E=",0)</f>
        <v>#REF!</v>
      </c>
      <c r="EQ285" t="e">
        <f>IF(#REF!,"AAAAAD92a5I=",0)</f>
        <v>#REF!</v>
      </c>
      <c r="ER285" t="e">
        <f>IF(#REF!,"AAAAAD92a5M=",0)</f>
        <v>#REF!</v>
      </c>
      <c r="ES285" t="e">
        <f>IF(#REF!,"AAAAAD92a5Q=",0)</f>
        <v>#REF!</v>
      </c>
      <c r="ET285" t="e">
        <f>IF(#REF!,"AAAAAD92a5U=",0)</f>
        <v>#REF!</v>
      </c>
      <c r="EU285" t="e">
        <f>IF(#REF!,"AAAAAD92a5Y=",0)</f>
        <v>#REF!</v>
      </c>
      <c r="EV285" t="e">
        <f>IF(#REF!,"AAAAAD92a5c=",0)</f>
        <v>#REF!</v>
      </c>
      <c r="EW285" t="e">
        <f>IF(#REF!,"AAAAAD92a5g=",0)</f>
        <v>#REF!</v>
      </c>
      <c r="EX285" t="e">
        <f>IF(#REF!,"AAAAAD92a5k=",0)</f>
        <v>#REF!</v>
      </c>
      <c r="EY285" t="e">
        <f>IF(#REF!,"AAAAAD92a5o=",0)</f>
        <v>#REF!</v>
      </c>
      <c r="EZ285" t="e">
        <f>IF(#REF!,"AAAAAD92a5s=",0)</f>
        <v>#REF!</v>
      </c>
      <c r="FA285" t="e">
        <f>IF(#REF!,"AAAAAD92a5w=",0)</f>
        <v>#REF!</v>
      </c>
      <c r="FB285" t="e">
        <f>IF(#REF!,"AAAAAD92a50=",0)</f>
        <v>#REF!</v>
      </c>
      <c r="FC285" t="e">
        <f>IF(#REF!,"AAAAAD92a54=",0)</f>
        <v>#REF!</v>
      </c>
      <c r="FD285" t="e">
        <f>IF(#REF!,"AAAAAD92a58=",0)</f>
        <v>#REF!</v>
      </c>
      <c r="FE285" t="e">
        <f>IF(#REF!,"AAAAAD92a6A=",0)</f>
        <v>#REF!</v>
      </c>
      <c r="FF285" t="e">
        <f>IF(#REF!,"AAAAAD92a6E=",0)</f>
        <v>#REF!</v>
      </c>
      <c r="FG285" t="e">
        <f>IF(#REF!,"AAAAAD92a6I=",0)</f>
        <v>#REF!</v>
      </c>
      <c r="FH285" t="e">
        <f>IF(#REF!,"AAAAAD92a6M=",0)</f>
        <v>#REF!</v>
      </c>
      <c r="FI285" t="e">
        <f>IF(#REF!,"AAAAAD92a6Q=",0)</f>
        <v>#REF!</v>
      </c>
      <c r="FJ285" t="e">
        <f>IF(#REF!,"AAAAAD92a6U=",0)</f>
        <v>#REF!</v>
      </c>
      <c r="FK285" t="e">
        <f>IF(#REF!,"AAAAAD92a6Y=",0)</f>
        <v>#REF!</v>
      </c>
      <c r="FL285" t="e">
        <f>IF(#REF!,"AAAAAD92a6c=",0)</f>
        <v>#REF!</v>
      </c>
      <c r="FM285" t="e">
        <f>IF(#REF!,"AAAAAD92a6g=",0)</f>
        <v>#REF!</v>
      </c>
      <c r="FN285" t="e">
        <f>IF(#REF!,"AAAAAD92a6k=",0)</f>
        <v>#REF!</v>
      </c>
      <c r="FO285" t="e">
        <f>IF(#REF!,"AAAAAD92a6o=",0)</f>
        <v>#REF!</v>
      </c>
      <c r="FP285" t="e">
        <f>IF(#REF!,"AAAAAD92a6s=",0)</f>
        <v>#REF!</v>
      </c>
      <c r="FQ285" t="e">
        <f>IF(#REF!,"AAAAAD92a6w=",0)</f>
        <v>#REF!</v>
      </c>
      <c r="FR285" t="e">
        <f>IF(#REF!,"AAAAAD92a60=",0)</f>
        <v>#REF!</v>
      </c>
      <c r="FS285" t="e">
        <f>IF(#REF!,"AAAAAD92a64=",0)</f>
        <v>#REF!</v>
      </c>
      <c r="FT285" t="e">
        <f>IF(#REF!,"AAAAAD92a68=",0)</f>
        <v>#REF!</v>
      </c>
      <c r="FU285" t="e">
        <f>IF(#REF!,"AAAAAD92a7A=",0)</f>
        <v>#REF!</v>
      </c>
      <c r="FV285" t="e">
        <f>IF(#REF!,"AAAAAD92a7E=",0)</f>
        <v>#REF!</v>
      </c>
      <c r="FW285" t="e">
        <f>IF(#REF!,"AAAAAD92a7I=",0)</f>
        <v>#REF!</v>
      </c>
      <c r="FX285" t="e">
        <f>IF(#REF!,"AAAAAD92a7M=",0)</f>
        <v>#REF!</v>
      </c>
      <c r="FY285" t="e">
        <f>IF(#REF!,"AAAAAD92a7Q=",0)</f>
        <v>#REF!</v>
      </c>
      <c r="FZ285" t="e">
        <f>IF(#REF!,"AAAAAD92a7U=",0)</f>
        <v>#REF!</v>
      </c>
      <c r="GA285" t="e">
        <f>IF(#REF!,"AAAAAD92a7Y=",0)</f>
        <v>#REF!</v>
      </c>
      <c r="GB285" t="e">
        <f>IF(#REF!,"AAAAAD92a7c=",0)</f>
        <v>#REF!</v>
      </c>
      <c r="GC285" t="e">
        <f>IF(#REF!,"AAAAAD92a7g=",0)</f>
        <v>#REF!</v>
      </c>
      <c r="GD285" t="e">
        <f>IF(#REF!,"AAAAAD92a7k=",0)</f>
        <v>#REF!</v>
      </c>
      <c r="GE285" t="e">
        <f>IF(#REF!,"AAAAAD92a7o=",0)</f>
        <v>#REF!</v>
      </c>
      <c r="GF285" t="e">
        <f>IF(#REF!,"AAAAAD92a7s=",0)</f>
        <v>#REF!</v>
      </c>
      <c r="GG285" t="e">
        <f>IF(#REF!,"AAAAAD92a7w=",0)</f>
        <v>#REF!</v>
      </c>
      <c r="GH285" t="e">
        <f>IF(#REF!,"AAAAAD92a70=",0)</f>
        <v>#REF!</v>
      </c>
      <c r="GI285" t="e">
        <f>IF(#REF!,"AAAAAD92a74=",0)</f>
        <v>#REF!</v>
      </c>
      <c r="GJ285" t="e">
        <f>IF(#REF!,"AAAAAD92a78=",0)</f>
        <v>#REF!</v>
      </c>
      <c r="GK285" t="e">
        <f>IF(#REF!,"AAAAAD92a8A=",0)</f>
        <v>#REF!</v>
      </c>
      <c r="GL285" t="e">
        <f>IF(#REF!,"AAAAAD92a8E=",0)</f>
        <v>#REF!</v>
      </c>
      <c r="GM285" t="e">
        <f>IF(#REF!,"AAAAAD92a8I=",0)</f>
        <v>#REF!</v>
      </c>
      <c r="GN285" t="e">
        <f>IF(#REF!,"AAAAAD92a8M=",0)</f>
        <v>#REF!</v>
      </c>
      <c r="GO285" t="e">
        <f>IF(#REF!,"AAAAAD92a8Q=",0)</f>
        <v>#REF!</v>
      </c>
      <c r="GP285" t="e">
        <f>IF(#REF!,"AAAAAD92a8U=",0)</f>
        <v>#REF!</v>
      </c>
      <c r="GQ285" t="e">
        <f>IF(#REF!,"AAAAAD92a8Y=",0)</f>
        <v>#REF!</v>
      </c>
      <c r="GR285" t="e">
        <f>IF(#REF!,"AAAAAD92a8c=",0)</f>
        <v>#REF!</v>
      </c>
      <c r="GS285" t="e">
        <f>IF(#REF!,"AAAAAD92a8g=",0)</f>
        <v>#REF!</v>
      </c>
      <c r="GT285" t="e">
        <f>IF(#REF!,"AAAAAD92a8k=",0)</f>
        <v>#REF!</v>
      </c>
      <c r="GU285" t="e">
        <f>IF(#REF!,"AAAAAD92a8o=",0)</f>
        <v>#REF!</v>
      </c>
      <c r="GV285" t="e">
        <f>IF(#REF!,"AAAAAD92a8s=",0)</f>
        <v>#REF!</v>
      </c>
      <c r="GW285" t="e">
        <f>IF(#REF!,"AAAAAD92a8w=",0)</f>
        <v>#REF!</v>
      </c>
      <c r="GX285" t="e">
        <f>IF(#REF!,"AAAAAD92a80=",0)</f>
        <v>#REF!</v>
      </c>
      <c r="GY285" t="e">
        <f>IF(#REF!,"AAAAAD92a84=",0)</f>
        <v>#REF!</v>
      </c>
      <c r="GZ285" t="e">
        <f>IF(#REF!,"AAAAAD92a88=",0)</f>
        <v>#REF!</v>
      </c>
      <c r="HA285" t="e">
        <f>IF(#REF!,"AAAAAD92a9A=",0)</f>
        <v>#REF!</v>
      </c>
      <c r="HB285" t="e">
        <f>IF(#REF!,"AAAAAD92a9E=",0)</f>
        <v>#REF!</v>
      </c>
      <c r="HC285" t="e">
        <f>IF(#REF!,"AAAAAD92a9I=",0)</f>
        <v>#REF!</v>
      </c>
      <c r="HD285" t="e">
        <f>IF(#REF!,"AAAAAD92a9M=",0)</f>
        <v>#REF!</v>
      </c>
      <c r="HE285" t="e">
        <f>IF(#REF!,"AAAAAD92a9Q=",0)</f>
        <v>#REF!</v>
      </c>
      <c r="HF285" t="e">
        <f>IF(#REF!,"AAAAAD92a9U=",0)</f>
        <v>#REF!</v>
      </c>
      <c r="HG285" t="e">
        <f>IF(#REF!,"AAAAAD92a9Y=",0)</f>
        <v>#REF!</v>
      </c>
      <c r="HH285" t="e">
        <f>IF(#REF!,"AAAAAD92a9c=",0)</f>
        <v>#REF!</v>
      </c>
      <c r="HI285" t="e">
        <f>IF(#REF!,"AAAAAD92a9g=",0)</f>
        <v>#REF!</v>
      </c>
      <c r="HJ285" t="e">
        <f>IF(#REF!,"AAAAAD92a9k=",0)</f>
        <v>#REF!</v>
      </c>
      <c r="HK285" t="e">
        <f>IF(#REF!,"AAAAAD92a9o=",0)</f>
        <v>#REF!</v>
      </c>
      <c r="HL285" t="e">
        <f>IF(#REF!,"AAAAAD92a9s=",0)</f>
        <v>#REF!</v>
      </c>
      <c r="HM285" t="e">
        <f>IF(#REF!,"AAAAAD92a9w=",0)</f>
        <v>#REF!</v>
      </c>
      <c r="HN285" t="e">
        <f>IF(#REF!,"AAAAAD92a90=",0)</f>
        <v>#REF!</v>
      </c>
      <c r="HO285" t="e">
        <f>IF(#REF!,"AAAAAD92a94=",0)</f>
        <v>#REF!</v>
      </c>
      <c r="HP285" t="e">
        <f>IF(#REF!,"AAAAAD92a98=",0)</f>
        <v>#REF!</v>
      </c>
      <c r="HQ285" t="e">
        <f>IF(#REF!,"AAAAAD92a+A=",0)</f>
        <v>#REF!</v>
      </c>
      <c r="HR285" t="e">
        <f>IF(#REF!,"AAAAAD92a+E=",0)</f>
        <v>#REF!</v>
      </c>
      <c r="HS285" t="e">
        <f>IF(#REF!,"AAAAAD92a+I=",0)</f>
        <v>#REF!</v>
      </c>
      <c r="HT285" t="e">
        <f>IF(#REF!,"AAAAAD92a+M=",0)</f>
        <v>#REF!</v>
      </c>
      <c r="HU285" t="e">
        <f>IF(#REF!,"AAAAAD92a+Q=",0)</f>
        <v>#REF!</v>
      </c>
      <c r="HV285" t="e">
        <f>IF(#REF!,"AAAAAD92a+U=",0)</f>
        <v>#REF!</v>
      </c>
      <c r="HW285" t="e">
        <f>IF(#REF!,"AAAAAD92a+Y=",0)</f>
        <v>#REF!</v>
      </c>
      <c r="HX285" t="e">
        <f>IF(#REF!,"AAAAAD92a+c=",0)</f>
        <v>#REF!</v>
      </c>
      <c r="HY285" t="e">
        <f>IF(#REF!,"AAAAAD92a+g=",0)</f>
        <v>#REF!</v>
      </c>
      <c r="HZ285" t="e">
        <f>IF(#REF!,"AAAAAD92a+k=",0)</f>
        <v>#REF!</v>
      </c>
      <c r="IA285" t="e">
        <f>IF(#REF!,"AAAAAD92a+o=",0)</f>
        <v>#REF!</v>
      </c>
      <c r="IB285" t="e">
        <f>IF(#REF!,"AAAAAD92a+s=",0)</f>
        <v>#REF!</v>
      </c>
      <c r="IC285" t="e">
        <f>IF(#REF!,"AAAAAD92a+w=",0)</f>
        <v>#REF!</v>
      </c>
      <c r="ID285" t="e">
        <f>IF(#REF!,"AAAAAD92a+0=",0)</f>
        <v>#REF!</v>
      </c>
      <c r="IE285" t="e">
        <f>IF(#REF!,"AAAAAD92a+4=",0)</f>
        <v>#REF!</v>
      </c>
      <c r="IF285" t="e">
        <f>IF(#REF!,"AAAAAD92a+8=",0)</f>
        <v>#REF!</v>
      </c>
      <c r="IG285" t="e">
        <f>IF(#REF!,"AAAAAD92a/A=",0)</f>
        <v>#REF!</v>
      </c>
      <c r="IH285" t="e">
        <f>IF(#REF!,"AAAAAD92a/E=",0)</f>
        <v>#REF!</v>
      </c>
      <c r="II285" t="e">
        <f>IF(#REF!,"AAAAAD92a/I=",0)</f>
        <v>#REF!</v>
      </c>
      <c r="IJ285" t="e">
        <f>IF(#REF!,"AAAAAD92a/M=",0)</f>
        <v>#REF!</v>
      </c>
      <c r="IK285" t="e">
        <f>IF(#REF!,"AAAAAD92a/Q=",0)</f>
        <v>#REF!</v>
      </c>
      <c r="IL285" t="e">
        <f>IF(#REF!,"AAAAAD92a/U=",0)</f>
        <v>#REF!</v>
      </c>
      <c r="IM285" t="e">
        <f>IF(#REF!,"AAAAAD92a/Y=",0)</f>
        <v>#REF!</v>
      </c>
      <c r="IN285" t="e">
        <f>IF(#REF!,"AAAAAD92a/c=",0)</f>
        <v>#REF!</v>
      </c>
      <c r="IO285" t="e">
        <f>IF(#REF!,"AAAAAD92a/g=",0)</f>
        <v>#REF!</v>
      </c>
      <c r="IP285" t="e">
        <f>IF(#REF!,"AAAAAD92a/k=",0)</f>
        <v>#REF!</v>
      </c>
      <c r="IQ285" t="e">
        <f>IF(#REF!,"AAAAAD92a/o=",0)</f>
        <v>#REF!</v>
      </c>
      <c r="IR285" t="e">
        <f>IF(#REF!,"AAAAAD92a/s=",0)</f>
        <v>#REF!</v>
      </c>
      <c r="IS285" t="e">
        <f>IF(#REF!,"AAAAAD92a/w=",0)</f>
        <v>#REF!</v>
      </c>
      <c r="IT285" t="e">
        <f>IF(#REF!,"AAAAAD92a/0=",0)</f>
        <v>#REF!</v>
      </c>
      <c r="IU285" t="e">
        <f>IF(#REF!,"AAAAAD92a/4=",0)</f>
        <v>#REF!</v>
      </c>
      <c r="IV285" t="e">
        <f>IF(#REF!,"AAAAAD92a/8=",0)</f>
        <v>#REF!</v>
      </c>
    </row>
    <row r="286" spans="1:256">
      <c r="A286" t="e">
        <f>IF(#REF!,"AAAAAHnX7wA=",0)</f>
        <v>#REF!</v>
      </c>
      <c r="B286" t="e">
        <f>IF(#REF!,"AAAAAHnX7wE=",0)</f>
        <v>#REF!</v>
      </c>
      <c r="C286" t="e">
        <f>IF(#REF!,"AAAAAHnX7wI=",0)</f>
        <v>#REF!</v>
      </c>
      <c r="D286" t="e">
        <f>IF(#REF!,"AAAAAHnX7wM=",0)</f>
        <v>#REF!</v>
      </c>
      <c r="E286" t="e">
        <f>IF(#REF!,"AAAAAHnX7wQ=",0)</f>
        <v>#REF!</v>
      </c>
      <c r="F286" t="e">
        <f>IF(#REF!,"AAAAAHnX7wU=",0)</f>
        <v>#REF!</v>
      </c>
      <c r="G286" t="e">
        <f>IF(#REF!,"AAAAAHnX7wY=",0)</f>
        <v>#REF!</v>
      </c>
      <c r="H286" t="e">
        <f>IF(#REF!,"AAAAAHnX7wc=",0)</f>
        <v>#REF!</v>
      </c>
      <c r="I286" t="e">
        <f>IF(#REF!,"AAAAAHnX7wg=",0)</f>
        <v>#REF!</v>
      </c>
      <c r="J286" t="e">
        <f>IF(#REF!,"AAAAAHnX7wk=",0)</f>
        <v>#REF!</v>
      </c>
      <c r="K286" t="e">
        <f>IF(#REF!,"AAAAAHnX7wo=",0)</f>
        <v>#REF!</v>
      </c>
      <c r="L286" t="e">
        <f>IF(#REF!,"AAAAAHnX7ws=",0)</f>
        <v>#REF!</v>
      </c>
      <c r="M286" t="e">
        <f>IF(#REF!,"AAAAAHnX7ww=",0)</f>
        <v>#REF!</v>
      </c>
      <c r="N286" t="e">
        <f>IF(#REF!,"AAAAAHnX7w0=",0)</f>
        <v>#REF!</v>
      </c>
      <c r="O286" t="e">
        <f>IF(#REF!,"AAAAAHnX7w4=",0)</f>
        <v>#REF!</v>
      </c>
      <c r="P286" t="e">
        <f>IF(#REF!,"AAAAAHnX7w8=",0)</f>
        <v>#REF!</v>
      </c>
      <c r="Q286" t="e">
        <f>IF(#REF!,"AAAAAHnX7xA=",0)</f>
        <v>#REF!</v>
      </c>
      <c r="R286" t="e">
        <f>IF(#REF!,"AAAAAHnX7xE=",0)</f>
        <v>#REF!</v>
      </c>
      <c r="S286" t="e">
        <f>IF(#REF!,"AAAAAHnX7xI=",0)</f>
        <v>#REF!</v>
      </c>
      <c r="T286" t="e">
        <f>IF(#REF!,"AAAAAHnX7xM=",0)</f>
        <v>#REF!</v>
      </c>
      <c r="U286" t="e">
        <f>IF(#REF!,"AAAAAHnX7xQ=",0)</f>
        <v>#REF!</v>
      </c>
      <c r="V286" t="e">
        <f>IF(#REF!,"AAAAAHnX7xU=",0)</f>
        <v>#REF!</v>
      </c>
      <c r="W286" t="e">
        <f>IF(#REF!,"AAAAAHnX7xY=",0)</f>
        <v>#REF!</v>
      </c>
      <c r="X286" t="e">
        <f>IF(#REF!,"AAAAAHnX7xc=",0)</f>
        <v>#REF!</v>
      </c>
      <c r="Y286" t="e">
        <f>IF(#REF!,"AAAAAHnX7xg=",0)</f>
        <v>#REF!</v>
      </c>
      <c r="Z286" t="e">
        <f>IF(#REF!,"AAAAAHnX7xk=",0)</f>
        <v>#REF!</v>
      </c>
      <c r="AA286" t="e">
        <f>IF(#REF!,"AAAAAHnX7xo=",0)</f>
        <v>#REF!</v>
      </c>
      <c r="AB286" t="e">
        <f>IF(#REF!,"AAAAAHnX7xs=",0)</f>
        <v>#REF!</v>
      </c>
      <c r="AC286" t="e">
        <f>IF(#REF!,"AAAAAHnX7xw=",0)</f>
        <v>#REF!</v>
      </c>
      <c r="AD286" t="e">
        <f>IF(#REF!,"AAAAAHnX7x0=",0)</f>
        <v>#REF!</v>
      </c>
      <c r="AE286" t="e">
        <f>IF(#REF!,"AAAAAHnX7x4=",0)</f>
        <v>#REF!</v>
      </c>
      <c r="AF286" t="e">
        <f>IF(#REF!,"AAAAAHnX7x8=",0)</f>
        <v>#REF!</v>
      </c>
      <c r="AG286" t="e">
        <f>IF(#REF!,"AAAAAHnX7yA=",0)</f>
        <v>#REF!</v>
      </c>
      <c r="AH286" t="e">
        <f>IF(#REF!,"AAAAAHnX7yE=",0)</f>
        <v>#REF!</v>
      </c>
      <c r="AI286" t="e">
        <f>IF(#REF!,"AAAAAHnX7yI=",0)</f>
        <v>#REF!</v>
      </c>
      <c r="AJ286" t="e">
        <f>IF(#REF!,"AAAAAHnX7yM=",0)</f>
        <v>#REF!</v>
      </c>
      <c r="AK286" t="e">
        <f>IF(#REF!,"AAAAAHnX7yQ=",0)</f>
        <v>#REF!</v>
      </c>
      <c r="AL286" t="e">
        <f>IF(#REF!,"AAAAAHnX7yU=",0)</f>
        <v>#REF!</v>
      </c>
      <c r="AM286" t="e">
        <f>IF(#REF!,"AAAAAHnX7yY=",0)</f>
        <v>#REF!</v>
      </c>
      <c r="AN286" t="e">
        <f>IF(#REF!,"AAAAAHnX7yc=",0)</f>
        <v>#REF!</v>
      </c>
      <c r="AO286" t="e">
        <f>IF(#REF!,"AAAAAHnX7yg=",0)</f>
        <v>#REF!</v>
      </c>
      <c r="AP286" t="e">
        <f>IF(#REF!,"AAAAAHnX7yk=",0)</f>
        <v>#REF!</v>
      </c>
      <c r="AQ286" t="e">
        <f>IF(#REF!,"AAAAAHnX7yo=",0)</f>
        <v>#REF!</v>
      </c>
      <c r="AR286" t="e">
        <f>IF(#REF!,"AAAAAHnX7ys=",0)</f>
        <v>#REF!</v>
      </c>
      <c r="AS286" t="e">
        <f>IF(#REF!,"AAAAAHnX7yw=",0)</f>
        <v>#REF!</v>
      </c>
      <c r="AT286" t="e">
        <f>IF(#REF!,"AAAAAHnX7y0=",0)</f>
        <v>#REF!</v>
      </c>
      <c r="AU286" t="e">
        <f>IF(#REF!,"AAAAAHnX7y4=",0)</f>
        <v>#REF!</v>
      </c>
      <c r="AV286" t="e">
        <f>IF(#REF!,"AAAAAHnX7y8=",0)</f>
        <v>#REF!</v>
      </c>
      <c r="AW286" t="e">
        <f>IF(#REF!,"AAAAAHnX7zA=",0)</f>
        <v>#REF!</v>
      </c>
      <c r="AX286" t="e">
        <f>IF(#REF!,"AAAAAHnX7zE=",0)</f>
        <v>#REF!</v>
      </c>
      <c r="AY286" t="e">
        <f>IF(#REF!,"AAAAAHnX7zI=",0)</f>
        <v>#REF!</v>
      </c>
      <c r="AZ286" t="e">
        <f>IF(#REF!,"AAAAAHnX7zM=",0)</f>
        <v>#REF!</v>
      </c>
      <c r="BA286" t="e">
        <f>IF(#REF!,"AAAAAHnX7zQ=",0)</f>
        <v>#REF!</v>
      </c>
      <c r="BB286" t="e">
        <f>IF(#REF!,"AAAAAHnX7zU=",0)</f>
        <v>#REF!</v>
      </c>
      <c r="BC286" t="e">
        <f>IF(#REF!,"AAAAAHnX7zY=",0)</f>
        <v>#REF!</v>
      </c>
      <c r="BD286" t="e">
        <f>IF(#REF!,"AAAAAHnX7zc=",0)</f>
        <v>#REF!</v>
      </c>
      <c r="BE286" t="e">
        <f>IF(#REF!,"AAAAAHnX7zg=",0)</f>
        <v>#REF!</v>
      </c>
      <c r="BF286" t="e">
        <f>IF(#REF!,"AAAAAHnX7zk=",0)</f>
        <v>#REF!</v>
      </c>
      <c r="BG286" t="e">
        <f>IF(#REF!,"AAAAAHnX7zo=",0)</f>
        <v>#REF!</v>
      </c>
      <c r="BH286" t="e">
        <f>IF(#REF!,"AAAAAHnX7zs=",0)</f>
        <v>#REF!</v>
      </c>
      <c r="BI286" t="e">
        <f>IF(#REF!,"AAAAAHnX7zw=",0)</f>
        <v>#REF!</v>
      </c>
      <c r="BJ286" t="e">
        <f>IF(#REF!,"AAAAAHnX7z0=",0)</f>
        <v>#REF!</v>
      </c>
      <c r="BK286" t="e">
        <f>IF(#REF!,"AAAAAHnX7z4=",0)</f>
        <v>#REF!</v>
      </c>
      <c r="BL286" t="e">
        <f>IF(#REF!,"AAAAAHnX7z8=",0)</f>
        <v>#REF!</v>
      </c>
      <c r="BM286" t="e">
        <f>IF(#REF!,"AAAAAHnX70A=",0)</f>
        <v>#REF!</v>
      </c>
      <c r="BN286" t="e">
        <f>IF(#REF!,"AAAAAHnX70E=",0)</f>
        <v>#REF!</v>
      </c>
      <c r="BO286" t="e">
        <f>IF(#REF!,"AAAAAHnX70I=",0)</f>
        <v>#REF!</v>
      </c>
      <c r="BP286" t="e">
        <f>IF(#REF!,"AAAAAHnX70M=",0)</f>
        <v>#REF!</v>
      </c>
      <c r="BQ286" t="e">
        <f>IF(#REF!,"AAAAAHnX70Q=",0)</f>
        <v>#REF!</v>
      </c>
      <c r="BR286" t="e">
        <f>IF(#REF!,"AAAAAHnX70U=",0)</f>
        <v>#REF!</v>
      </c>
      <c r="BS286" t="e">
        <f>IF(#REF!,"AAAAAHnX70Y=",0)</f>
        <v>#REF!</v>
      </c>
      <c r="BT286" t="e">
        <f>IF(#REF!,"AAAAAHnX70c=",0)</f>
        <v>#REF!</v>
      </c>
      <c r="BU286" t="e">
        <f>IF(#REF!,"AAAAAHnX70g=",0)</f>
        <v>#REF!</v>
      </c>
      <c r="BV286" t="e">
        <f>IF(#REF!,"AAAAAHnX70k=",0)</f>
        <v>#REF!</v>
      </c>
      <c r="BW286" t="e">
        <f>IF(#REF!,"AAAAAHnX70o=",0)</f>
        <v>#REF!</v>
      </c>
      <c r="BX286" t="e">
        <f>IF(#REF!,"AAAAAHnX70s=",0)</f>
        <v>#REF!</v>
      </c>
      <c r="BY286" t="e">
        <f>IF(#REF!,"AAAAAHnX70w=",0)</f>
        <v>#REF!</v>
      </c>
      <c r="BZ286" t="e">
        <f>IF(#REF!,"AAAAAHnX700=",0)</f>
        <v>#REF!</v>
      </c>
      <c r="CA286" t="e">
        <f>IF(#REF!,"AAAAAHnX704=",0)</f>
        <v>#REF!</v>
      </c>
      <c r="CB286" t="e">
        <f>IF(#REF!,"AAAAAHnX708=",0)</f>
        <v>#REF!</v>
      </c>
      <c r="CC286" t="e">
        <f>IF(#REF!,"AAAAAHnX71A=",0)</f>
        <v>#REF!</v>
      </c>
      <c r="CD286" t="e">
        <f>IF(#REF!,"AAAAAHnX71E=",0)</f>
        <v>#REF!</v>
      </c>
      <c r="CE286" t="e">
        <f>IF(#REF!,"AAAAAHnX71I=",0)</f>
        <v>#REF!</v>
      </c>
      <c r="CF286" t="e">
        <f>IF(#REF!,"AAAAAHnX71M=",0)</f>
        <v>#REF!</v>
      </c>
      <c r="CG286" t="e">
        <f>IF(#REF!,"AAAAAHnX71Q=",0)</f>
        <v>#REF!</v>
      </c>
      <c r="CH286" t="e">
        <f>IF(#REF!,"AAAAAHnX71U=",0)</f>
        <v>#REF!</v>
      </c>
      <c r="CI286" t="e">
        <f>IF(#REF!,"AAAAAHnX71Y=",0)</f>
        <v>#REF!</v>
      </c>
      <c r="CJ286" t="e">
        <f>IF(#REF!,"AAAAAHnX71c=",0)</f>
        <v>#REF!</v>
      </c>
      <c r="CK286" t="e">
        <f>IF(#REF!,"AAAAAHnX71g=",0)</f>
        <v>#REF!</v>
      </c>
      <c r="CL286" t="e">
        <f>IF(#REF!,"AAAAAHnX71k=",0)</f>
        <v>#REF!</v>
      </c>
      <c r="CM286" t="e">
        <f>IF(#REF!,"AAAAAHnX71o=",0)</f>
        <v>#REF!</v>
      </c>
      <c r="CN286" t="e">
        <f>IF(#REF!,"AAAAAHnX71s=",0)</f>
        <v>#REF!</v>
      </c>
      <c r="CO286" t="e">
        <f>IF(#REF!,"AAAAAHnX71w=",0)</f>
        <v>#REF!</v>
      </c>
      <c r="CP286" t="e">
        <f>IF(#REF!,"AAAAAHnX710=",0)</f>
        <v>#REF!</v>
      </c>
      <c r="CQ286" t="e">
        <f>IF(#REF!,"AAAAAHnX714=",0)</f>
        <v>#REF!</v>
      </c>
      <c r="CR286" t="e">
        <f>IF(#REF!,"AAAAAHnX718=",0)</f>
        <v>#REF!</v>
      </c>
      <c r="CS286" t="e">
        <f>IF(#REF!,"AAAAAHnX72A=",0)</f>
        <v>#REF!</v>
      </c>
      <c r="CT286" t="e">
        <f>IF(#REF!,"AAAAAHnX72E=",0)</f>
        <v>#REF!</v>
      </c>
      <c r="CU286" t="e">
        <f>IF(#REF!,"AAAAAHnX72I=",0)</f>
        <v>#REF!</v>
      </c>
      <c r="CV286" t="e">
        <f>IF(#REF!,"AAAAAHnX72M=",0)</f>
        <v>#REF!</v>
      </c>
      <c r="CW286" t="e">
        <f>IF(#REF!,"AAAAAHnX72Q=",0)</f>
        <v>#REF!</v>
      </c>
      <c r="CX286" t="e">
        <f>IF(#REF!,"AAAAAHnX72U=",0)</f>
        <v>#REF!</v>
      </c>
      <c r="CY286" t="e">
        <f>IF(#REF!,"AAAAAHnX72Y=",0)</f>
        <v>#REF!</v>
      </c>
      <c r="CZ286" t="e">
        <f>IF(#REF!,"AAAAAHnX72c=",0)</f>
        <v>#REF!</v>
      </c>
      <c r="DA286" t="e">
        <f>IF(#REF!,"AAAAAHnX72g=",0)</f>
        <v>#REF!</v>
      </c>
      <c r="DB286" t="e">
        <f>IF(#REF!,"AAAAAHnX72k=",0)</f>
        <v>#REF!</v>
      </c>
      <c r="DC286" t="e">
        <f>IF(#REF!,"AAAAAHnX72o=",0)</f>
        <v>#REF!</v>
      </c>
      <c r="DD286" t="e">
        <f>IF(#REF!,"AAAAAHnX72s=",0)</f>
        <v>#REF!</v>
      </c>
      <c r="DE286" t="e">
        <f>IF(#REF!,"AAAAAHnX72w=",0)</f>
        <v>#REF!</v>
      </c>
      <c r="DF286" t="e">
        <f>IF(#REF!,"AAAAAHnX720=",0)</f>
        <v>#REF!</v>
      </c>
      <c r="DG286" t="e">
        <f>IF(#REF!,"AAAAAHnX724=",0)</f>
        <v>#REF!</v>
      </c>
      <c r="DH286" t="e">
        <f>IF(#REF!,"AAAAAHnX728=",0)</f>
        <v>#REF!</v>
      </c>
      <c r="DI286" t="e">
        <f>IF(#REF!,"AAAAAHnX73A=",0)</f>
        <v>#REF!</v>
      </c>
      <c r="DJ286" t="e">
        <f>IF(#REF!,"AAAAAHnX73E=",0)</f>
        <v>#REF!</v>
      </c>
      <c r="DK286" t="e">
        <f>IF(#REF!,"AAAAAHnX73I=",0)</f>
        <v>#REF!</v>
      </c>
      <c r="DL286" t="e">
        <f>IF(#REF!,"AAAAAHnX73M=",0)</f>
        <v>#REF!</v>
      </c>
      <c r="DM286" t="e">
        <f>IF(#REF!,"AAAAAHnX73Q=",0)</f>
        <v>#REF!</v>
      </c>
      <c r="DN286" t="e">
        <f>IF(#REF!,"AAAAAHnX73U=",0)</f>
        <v>#REF!</v>
      </c>
      <c r="DO286" t="e">
        <f>IF(#REF!,"AAAAAHnX73Y=",0)</f>
        <v>#REF!</v>
      </c>
      <c r="DP286" t="e">
        <f>IF(#REF!,"AAAAAHnX73c=",0)</f>
        <v>#REF!</v>
      </c>
      <c r="DQ286" t="e">
        <f>IF(#REF!,"AAAAAHnX73g=",0)</f>
        <v>#REF!</v>
      </c>
      <c r="DR286" t="e">
        <f>IF(#REF!,"AAAAAHnX73k=",0)</f>
        <v>#REF!</v>
      </c>
      <c r="DS286" t="e">
        <f>IF(#REF!,"AAAAAHnX73o=",0)</f>
        <v>#REF!</v>
      </c>
      <c r="DT286" t="e">
        <f>IF(#REF!,"AAAAAHnX73s=",0)</f>
        <v>#REF!</v>
      </c>
      <c r="DU286" t="e">
        <f>IF(#REF!,"AAAAAHnX73w=",0)</f>
        <v>#REF!</v>
      </c>
      <c r="DV286" t="e">
        <f>IF(#REF!,"AAAAAHnX730=",0)</f>
        <v>#REF!</v>
      </c>
      <c r="DW286" t="e">
        <f>IF(#REF!,"AAAAAHnX734=",0)</f>
        <v>#REF!</v>
      </c>
      <c r="DX286" t="e">
        <f>IF(#REF!,"AAAAAHnX738=",0)</f>
        <v>#REF!</v>
      </c>
      <c r="DY286" t="e">
        <f>IF(#REF!,"AAAAAHnX74A=",0)</f>
        <v>#REF!</v>
      </c>
      <c r="DZ286" t="e">
        <f>IF(#REF!,"AAAAAHnX74E=",0)</f>
        <v>#REF!</v>
      </c>
      <c r="EA286" t="e">
        <f>IF(#REF!,"AAAAAHnX74I=",0)</f>
        <v>#REF!</v>
      </c>
      <c r="EB286" t="e">
        <f>IF(#REF!,"AAAAAHnX74M=",0)</f>
        <v>#REF!</v>
      </c>
      <c r="EC286" t="e">
        <f>IF(#REF!,"AAAAAHnX74Q=",0)</f>
        <v>#REF!</v>
      </c>
      <c r="ED286" t="e">
        <f>IF(#REF!,"AAAAAHnX74U=",0)</f>
        <v>#REF!</v>
      </c>
      <c r="EE286" t="e">
        <f>IF(#REF!,"AAAAAHnX74Y=",0)</f>
        <v>#REF!</v>
      </c>
      <c r="EF286" t="e">
        <f>IF(#REF!,"AAAAAHnX74c=",0)</f>
        <v>#REF!</v>
      </c>
      <c r="EG286" t="e">
        <f>IF(#REF!,"AAAAAHnX74g=",0)</f>
        <v>#REF!</v>
      </c>
      <c r="EH286" t="e">
        <f>IF(#REF!,"AAAAAHnX74k=",0)</f>
        <v>#REF!</v>
      </c>
      <c r="EI286" t="e">
        <f>IF(#REF!,"AAAAAHnX74o=",0)</f>
        <v>#REF!</v>
      </c>
      <c r="EJ286" t="e">
        <f>IF(#REF!,"AAAAAHnX74s=",0)</f>
        <v>#REF!</v>
      </c>
      <c r="EK286" t="e">
        <f>IF(#REF!,"AAAAAHnX74w=",0)</f>
        <v>#REF!</v>
      </c>
      <c r="EL286" t="e">
        <f>IF(#REF!,"AAAAAHnX740=",0)</f>
        <v>#REF!</v>
      </c>
      <c r="EM286" t="e">
        <f>IF(#REF!,"AAAAAHnX744=",0)</f>
        <v>#REF!</v>
      </c>
      <c r="EN286" t="e">
        <f>IF(#REF!,"AAAAAHnX748=",0)</f>
        <v>#REF!</v>
      </c>
      <c r="EO286" t="e">
        <f>IF(#REF!,"AAAAAHnX75A=",0)</f>
        <v>#REF!</v>
      </c>
      <c r="EP286" t="e">
        <f>IF(#REF!,"AAAAAHnX75E=",0)</f>
        <v>#REF!</v>
      </c>
      <c r="EQ286" t="e">
        <f>IF(#REF!,"AAAAAHnX75I=",0)</f>
        <v>#REF!</v>
      </c>
      <c r="ER286" t="e">
        <f>IF(#REF!,"AAAAAHnX75M=",0)</f>
        <v>#REF!</v>
      </c>
      <c r="ES286" t="e">
        <f>IF(#REF!,"AAAAAHnX75Q=",0)</f>
        <v>#REF!</v>
      </c>
      <c r="ET286" t="e">
        <f>IF(#REF!,"AAAAAHnX75U=",0)</f>
        <v>#REF!</v>
      </c>
      <c r="EU286" t="e">
        <f>IF(#REF!,"AAAAAHnX75Y=",0)</f>
        <v>#REF!</v>
      </c>
      <c r="EV286" t="e">
        <f>IF(#REF!,"AAAAAHnX75c=",0)</f>
        <v>#REF!</v>
      </c>
      <c r="EW286" t="e">
        <f>IF(#REF!,"AAAAAHnX75g=",0)</f>
        <v>#REF!</v>
      </c>
      <c r="EX286" t="e">
        <f>IF(#REF!,"AAAAAHnX75k=",0)</f>
        <v>#REF!</v>
      </c>
      <c r="EY286" t="e">
        <f>IF(#REF!,"AAAAAHnX75o=",0)</f>
        <v>#REF!</v>
      </c>
      <c r="EZ286" t="e">
        <f>IF(#REF!,"AAAAAHnX75s=",0)</f>
        <v>#REF!</v>
      </c>
      <c r="FA286" t="e">
        <f>IF(#REF!,"AAAAAHnX75w=",0)</f>
        <v>#REF!</v>
      </c>
      <c r="FB286" t="e">
        <f>IF(#REF!,"AAAAAHnX750=",0)</f>
        <v>#REF!</v>
      </c>
      <c r="FC286" t="e">
        <f>IF(#REF!,"AAAAAHnX754=",0)</f>
        <v>#REF!</v>
      </c>
      <c r="FD286" t="e">
        <f>IF(#REF!,"AAAAAHnX758=",0)</f>
        <v>#REF!</v>
      </c>
      <c r="FE286" t="e">
        <f>IF(#REF!,"AAAAAHnX76A=",0)</f>
        <v>#REF!</v>
      </c>
      <c r="FF286" t="e">
        <f>IF(#REF!,"AAAAAHnX76E=",0)</f>
        <v>#REF!</v>
      </c>
      <c r="FG286" t="e">
        <f>IF(#REF!,"AAAAAHnX76I=",0)</f>
        <v>#REF!</v>
      </c>
      <c r="FH286" t="e">
        <f>IF(#REF!,"AAAAAHnX76M=",0)</f>
        <v>#REF!</v>
      </c>
      <c r="FI286" t="e">
        <f>IF(#REF!,"AAAAAHnX76Q=",0)</f>
        <v>#REF!</v>
      </c>
      <c r="FJ286" t="e">
        <f>IF(#REF!,"AAAAAHnX76U=",0)</f>
        <v>#REF!</v>
      </c>
      <c r="FK286" t="e">
        <f>IF(#REF!,"AAAAAHnX76Y=",0)</f>
        <v>#REF!</v>
      </c>
      <c r="FL286" t="e">
        <f>IF(#REF!,"AAAAAHnX76c=",0)</f>
        <v>#REF!</v>
      </c>
      <c r="FM286" t="e">
        <f>IF(#REF!,"AAAAAHnX76g=",0)</f>
        <v>#REF!</v>
      </c>
      <c r="FN286" t="e">
        <f>IF(#REF!,"AAAAAHnX76k=",0)</f>
        <v>#REF!</v>
      </c>
      <c r="FO286" t="e">
        <f>IF(#REF!,"AAAAAHnX76o=",0)</f>
        <v>#REF!</v>
      </c>
      <c r="FP286" t="e">
        <f>IF(#REF!,"AAAAAHnX76s=",0)</f>
        <v>#REF!</v>
      </c>
      <c r="FQ286" t="e">
        <f>IF(#REF!,"AAAAAHnX76w=",0)</f>
        <v>#REF!</v>
      </c>
      <c r="FR286" t="e">
        <f>IF(#REF!,"AAAAAHnX760=",0)</f>
        <v>#REF!</v>
      </c>
      <c r="FS286" t="e">
        <f>IF(#REF!,"AAAAAHnX764=",0)</f>
        <v>#REF!</v>
      </c>
      <c r="FT286" t="e">
        <f>IF(#REF!,"AAAAAHnX768=",0)</f>
        <v>#REF!</v>
      </c>
      <c r="FU286" t="e">
        <f>IF(#REF!,"AAAAAHnX77A=",0)</f>
        <v>#REF!</v>
      </c>
      <c r="FV286" t="e">
        <f>IF(#REF!,"AAAAAHnX77E=",0)</f>
        <v>#REF!</v>
      </c>
      <c r="FW286" t="e">
        <f>IF(#REF!,"AAAAAHnX77I=",0)</f>
        <v>#REF!</v>
      </c>
      <c r="FX286" t="e">
        <f>IF(#REF!,"AAAAAHnX77M=",0)</f>
        <v>#REF!</v>
      </c>
      <c r="FY286" t="e">
        <f>IF(#REF!,"AAAAAHnX77Q=",0)</f>
        <v>#REF!</v>
      </c>
      <c r="FZ286" t="e">
        <f>IF(#REF!,"AAAAAHnX77U=",0)</f>
        <v>#REF!</v>
      </c>
      <c r="GA286" t="e">
        <f>IF(#REF!,"AAAAAHnX77Y=",0)</f>
        <v>#REF!</v>
      </c>
      <c r="GB286" t="e">
        <f>IF(#REF!,"AAAAAHnX77c=",0)</f>
        <v>#REF!</v>
      </c>
      <c r="GC286" t="e">
        <f>IF(#REF!,"AAAAAHnX77g=",0)</f>
        <v>#REF!</v>
      </c>
      <c r="GD286" t="e">
        <f>IF(#REF!,"AAAAAHnX77k=",0)</f>
        <v>#REF!</v>
      </c>
      <c r="GE286" t="e">
        <f>IF(#REF!,"AAAAAHnX77o=",0)</f>
        <v>#REF!</v>
      </c>
      <c r="GF286" t="e">
        <f>IF(#REF!,"AAAAAHnX77s=",0)</f>
        <v>#REF!</v>
      </c>
      <c r="GG286" t="e">
        <f>IF(#REF!,"AAAAAHnX77w=",0)</f>
        <v>#REF!</v>
      </c>
      <c r="GH286" t="e">
        <f>IF(#REF!,"AAAAAHnX770=",0)</f>
        <v>#REF!</v>
      </c>
      <c r="GI286" t="e">
        <f>IF(#REF!,"AAAAAHnX774=",0)</f>
        <v>#REF!</v>
      </c>
      <c r="GJ286" t="e">
        <f>IF(#REF!,"AAAAAHnX778=",0)</f>
        <v>#REF!</v>
      </c>
      <c r="GK286" t="e">
        <f>IF(#REF!,"AAAAAHnX78A=",0)</f>
        <v>#REF!</v>
      </c>
      <c r="GL286" t="e">
        <f>IF(#REF!,"AAAAAHnX78E=",0)</f>
        <v>#REF!</v>
      </c>
      <c r="GM286" t="e">
        <f>IF(#REF!,"AAAAAHnX78I=",0)</f>
        <v>#REF!</v>
      </c>
      <c r="GN286" t="e">
        <f>IF(#REF!,"AAAAAHnX78M=",0)</f>
        <v>#REF!</v>
      </c>
      <c r="GO286" t="e">
        <f>IF(#REF!,"AAAAAHnX78Q=",0)</f>
        <v>#REF!</v>
      </c>
      <c r="GP286" t="e">
        <f>IF(#REF!,"AAAAAHnX78U=",0)</f>
        <v>#REF!</v>
      </c>
      <c r="GQ286" t="e">
        <f>IF(#REF!,"AAAAAHnX78Y=",0)</f>
        <v>#REF!</v>
      </c>
      <c r="GR286" t="e">
        <f>IF(#REF!,"AAAAAHnX78c=",0)</f>
        <v>#REF!</v>
      </c>
      <c r="GS286" t="e">
        <f>IF(#REF!,"AAAAAHnX78g=",0)</f>
        <v>#REF!</v>
      </c>
      <c r="GT286" t="e">
        <f>IF(#REF!,"AAAAAHnX78k=",0)</f>
        <v>#REF!</v>
      </c>
      <c r="GU286" t="e">
        <f>IF(#REF!,"AAAAAHnX78o=",0)</f>
        <v>#REF!</v>
      </c>
      <c r="GV286" t="e">
        <f>IF(#REF!,"AAAAAHnX78s=",0)</f>
        <v>#REF!</v>
      </c>
      <c r="GW286" t="e">
        <f>IF(#REF!,"AAAAAHnX78w=",0)</f>
        <v>#REF!</v>
      </c>
      <c r="GX286" t="e">
        <f>IF(#REF!,"AAAAAHnX780=",0)</f>
        <v>#REF!</v>
      </c>
      <c r="GY286" t="e">
        <f>IF(#REF!,"AAAAAHnX784=",0)</f>
        <v>#REF!</v>
      </c>
      <c r="GZ286" t="e">
        <f>IF(#REF!,"AAAAAHnX788=",0)</f>
        <v>#REF!</v>
      </c>
      <c r="HA286" t="e">
        <f>IF(#REF!,"AAAAAHnX79A=",0)</f>
        <v>#REF!</v>
      </c>
      <c r="HB286" t="e">
        <f>IF(#REF!,"AAAAAHnX79E=",0)</f>
        <v>#REF!</v>
      </c>
      <c r="HC286" t="e">
        <f>IF(#REF!,"AAAAAHnX79I=",0)</f>
        <v>#REF!</v>
      </c>
      <c r="HD286" t="e">
        <f>IF(#REF!,"AAAAAHnX79M=",0)</f>
        <v>#REF!</v>
      </c>
      <c r="HE286" t="e">
        <f>IF(#REF!,"AAAAAHnX79Q=",0)</f>
        <v>#REF!</v>
      </c>
      <c r="HF286" t="e">
        <f>IF(#REF!,"AAAAAHnX79U=",0)</f>
        <v>#REF!</v>
      </c>
      <c r="HG286" t="e">
        <f>IF(#REF!,"AAAAAHnX79Y=",0)</f>
        <v>#REF!</v>
      </c>
      <c r="HH286" t="e">
        <f>IF(#REF!,"AAAAAHnX79c=",0)</f>
        <v>#REF!</v>
      </c>
      <c r="HI286" t="e">
        <f>IF(#REF!,"AAAAAHnX79g=",0)</f>
        <v>#REF!</v>
      </c>
      <c r="HJ286" t="e">
        <f>IF(#REF!,"AAAAAHnX79k=",0)</f>
        <v>#REF!</v>
      </c>
      <c r="HK286" t="e">
        <f>IF(#REF!,"AAAAAHnX79o=",0)</f>
        <v>#REF!</v>
      </c>
      <c r="HL286" t="e">
        <f>IF(#REF!,"AAAAAHnX79s=",0)</f>
        <v>#REF!</v>
      </c>
      <c r="HM286" t="e">
        <f>IF(#REF!,"AAAAAHnX79w=",0)</f>
        <v>#REF!</v>
      </c>
      <c r="HN286" t="e">
        <f>IF(#REF!,"AAAAAHnX790=",0)</f>
        <v>#REF!</v>
      </c>
      <c r="HO286" t="e">
        <f>IF(#REF!,"AAAAAHnX794=",0)</f>
        <v>#REF!</v>
      </c>
      <c r="HP286" t="e">
        <f>IF(#REF!,"AAAAAHnX798=",0)</f>
        <v>#REF!</v>
      </c>
      <c r="HQ286" t="e">
        <f>IF(#REF!,"AAAAAHnX7+A=",0)</f>
        <v>#REF!</v>
      </c>
      <c r="HR286" t="e">
        <f>IF(#REF!,"AAAAAHnX7+E=",0)</f>
        <v>#REF!</v>
      </c>
      <c r="HS286" t="e">
        <f>IF(#REF!,"AAAAAHnX7+I=",0)</f>
        <v>#REF!</v>
      </c>
      <c r="HT286" t="e">
        <f>IF(#REF!,"AAAAAHnX7+M=",0)</f>
        <v>#REF!</v>
      </c>
      <c r="HU286" t="e">
        <f>IF(#REF!,"AAAAAHnX7+Q=",0)</f>
        <v>#REF!</v>
      </c>
      <c r="HV286" t="e">
        <f>IF(#REF!,"AAAAAHnX7+U=",0)</f>
        <v>#REF!</v>
      </c>
      <c r="HW286" t="e">
        <f>IF(#REF!,"AAAAAHnX7+Y=",0)</f>
        <v>#REF!</v>
      </c>
      <c r="HX286" t="e">
        <f>IF(#REF!,"AAAAAHnX7+c=",0)</f>
        <v>#REF!</v>
      </c>
      <c r="HY286" t="e">
        <f>IF(#REF!,"AAAAAHnX7+g=",0)</f>
        <v>#REF!</v>
      </c>
      <c r="HZ286" t="e">
        <f>IF(#REF!,"AAAAAHnX7+k=",0)</f>
        <v>#REF!</v>
      </c>
      <c r="IA286" t="e">
        <f>IF(#REF!,"AAAAAHnX7+o=",0)</f>
        <v>#REF!</v>
      </c>
      <c r="IB286" t="e">
        <f>IF(#REF!,"AAAAAHnX7+s=",0)</f>
        <v>#REF!</v>
      </c>
      <c r="IC286" t="e">
        <f>IF(#REF!,"AAAAAHnX7+w=",0)</f>
        <v>#REF!</v>
      </c>
      <c r="ID286" t="e">
        <f>IF(#REF!,"AAAAAHnX7+0=",0)</f>
        <v>#REF!</v>
      </c>
      <c r="IE286" t="e">
        <f>IF(#REF!,"AAAAAHnX7+4=",0)</f>
        <v>#REF!</v>
      </c>
      <c r="IF286" t="e">
        <f>IF(#REF!,"AAAAAHnX7+8=",0)</f>
        <v>#REF!</v>
      </c>
      <c r="IG286" t="e">
        <f>IF(#REF!,"AAAAAHnX7/A=",0)</f>
        <v>#REF!</v>
      </c>
      <c r="IH286" t="e">
        <f>IF(#REF!,"AAAAAHnX7/E=",0)</f>
        <v>#REF!</v>
      </c>
      <c r="II286" t="e">
        <f>IF(#REF!,"AAAAAHnX7/I=",0)</f>
        <v>#REF!</v>
      </c>
      <c r="IJ286" t="e">
        <f>IF(#REF!,"AAAAAHnX7/M=",0)</f>
        <v>#REF!</v>
      </c>
      <c r="IK286" t="e">
        <f>IF(#REF!,"AAAAAHnX7/Q=",0)</f>
        <v>#REF!</v>
      </c>
      <c r="IL286" t="e">
        <f>IF(#REF!,"AAAAAHnX7/U=",0)</f>
        <v>#REF!</v>
      </c>
      <c r="IM286" t="e">
        <f>IF(#REF!,"AAAAAHnX7/Y=",0)</f>
        <v>#REF!</v>
      </c>
      <c r="IN286" t="e">
        <f>IF(#REF!,"AAAAAHnX7/c=",0)</f>
        <v>#REF!</v>
      </c>
      <c r="IO286" t="e">
        <f>IF(#REF!,"AAAAAHnX7/g=",0)</f>
        <v>#REF!</v>
      </c>
      <c r="IP286" t="e">
        <f>IF(#REF!,"AAAAAHnX7/k=",0)</f>
        <v>#REF!</v>
      </c>
      <c r="IQ286" t="e">
        <f>IF(#REF!,"AAAAAHnX7/o=",0)</f>
        <v>#REF!</v>
      </c>
      <c r="IR286" t="e">
        <f>IF(#REF!,"AAAAAHnX7/s=",0)</f>
        <v>#REF!</v>
      </c>
      <c r="IS286" t="e">
        <f>IF(#REF!,"AAAAAHnX7/w=",0)</f>
        <v>#REF!</v>
      </c>
      <c r="IT286" t="e">
        <f>IF(#REF!,"AAAAAHnX7/0=",0)</f>
        <v>#REF!</v>
      </c>
      <c r="IU286" t="e">
        <f>IF(#REF!,"AAAAAHnX7/4=",0)</f>
        <v>#REF!</v>
      </c>
      <c r="IV286" t="e">
        <f>IF(#REF!,"AAAAAHnX7/8=",0)</f>
        <v>#REF!</v>
      </c>
    </row>
    <row r="287" spans="1:256">
      <c r="A287" t="e">
        <f>IF(#REF!,"AAAAAG9ZPwA=",0)</f>
        <v>#REF!</v>
      </c>
      <c r="B287" t="e">
        <f>IF(#REF!,"AAAAAG9ZPwE=",0)</f>
        <v>#REF!</v>
      </c>
      <c r="C287" t="e">
        <f>IF(#REF!,"AAAAAG9ZPwI=",0)</f>
        <v>#REF!</v>
      </c>
      <c r="D287" t="e">
        <f>IF(#REF!,"AAAAAG9ZPwM=",0)</f>
        <v>#REF!</v>
      </c>
      <c r="E287" t="e">
        <f>IF(#REF!,"AAAAAG9ZPwQ=",0)</f>
        <v>#REF!</v>
      </c>
      <c r="F287" t="e">
        <f>IF(#REF!,"AAAAAG9ZPwU=",0)</f>
        <v>#REF!</v>
      </c>
      <c r="G287" t="e">
        <f>IF(#REF!,"AAAAAG9ZPwY=",0)</f>
        <v>#REF!</v>
      </c>
      <c r="H287" t="e">
        <f>IF(#REF!,"AAAAAG9ZPwc=",0)</f>
        <v>#REF!</v>
      </c>
      <c r="I287" t="e">
        <f>IF(#REF!,"AAAAAG9ZPwg=",0)</f>
        <v>#REF!</v>
      </c>
      <c r="J287" t="e">
        <f>IF(#REF!,"AAAAAG9ZPwk=",0)</f>
        <v>#REF!</v>
      </c>
      <c r="K287" t="e">
        <f>IF(#REF!,"AAAAAG9ZPwo=",0)</f>
        <v>#REF!</v>
      </c>
      <c r="L287" t="e">
        <f>IF(#REF!,"AAAAAG9ZPws=",0)</f>
        <v>#REF!</v>
      </c>
      <c r="M287" t="e">
        <f>IF(#REF!,"AAAAAG9ZPww=",0)</f>
        <v>#REF!</v>
      </c>
      <c r="N287" t="e">
        <f>IF(#REF!,"AAAAAG9ZPw0=",0)</f>
        <v>#REF!</v>
      </c>
      <c r="O287" t="e">
        <f>IF(#REF!,"AAAAAG9ZPw4=",0)</f>
        <v>#REF!</v>
      </c>
      <c r="P287" t="e">
        <f>IF(#REF!,"AAAAAG9ZPw8=",0)</f>
        <v>#REF!</v>
      </c>
      <c r="Q287" t="e">
        <f>IF(#REF!,"AAAAAG9ZPxA=",0)</f>
        <v>#REF!</v>
      </c>
      <c r="R287" t="e">
        <f>IF(#REF!,"AAAAAG9ZPxE=",0)</f>
        <v>#REF!</v>
      </c>
      <c r="S287" t="e">
        <f>IF(#REF!,"AAAAAG9ZPxI=",0)</f>
        <v>#REF!</v>
      </c>
      <c r="T287" t="e">
        <f>IF(#REF!,"AAAAAG9ZPxM=",0)</f>
        <v>#REF!</v>
      </c>
      <c r="U287" t="e">
        <f>IF(#REF!,"AAAAAG9ZPxQ=",0)</f>
        <v>#REF!</v>
      </c>
      <c r="V287" t="e">
        <f>IF(#REF!,"AAAAAG9ZPxU=",0)</f>
        <v>#REF!</v>
      </c>
      <c r="W287" t="e">
        <f>IF(#REF!,"AAAAAG9ZPxY=",0)</f>
        <v>#REF!</v>
      </c>
      <c r="X287" t="e">
        <f>IF(#REF!,"AAAAAG9ZPxc=",0)</f>
        <v>#REF!</v>
      </c>
      <c r="Y287" t="e">
        <f>IF(#REF!,"AAAAAG9ZPxg=",0)</f>
        <v>#REF!</v>
      </c>
      <c r="Z287" t="e">
        <f>IF(#REF!,"AAAAAG9ZPxk=",0)</f>
        <v>#REF!</v>
      </c>
      <c r="AA287" t="e">
        <f>IF(#REF!,"AAAAAG9ZPxo=",0)</f>
        <v>#REF!</v>
      </c>
      <c r="AB287" t="e">
        <f>IF(#REF!,"AAAAAG9ZPxs=",0)</f>
        <v>#REF!</v>
      </c>
      <c r="AC287" t="e">
        <f>IF(#REF!,"AAAAAG9ZPxw=",0)</f>
        <v>#REF!</v>
      </c>
      <c r="AD287" t="e">
        <f>IF(#REF!,"AAAAAG9ZPx0=",0)</f>
        <v>#REF!</v>
      </c>
      <c r="AE287" t="e">
        <f>IF(#REF!,"AAAAAG9ZPx4=",0)</f>
        <v>#REF!</v>
      </c>
      <c r="AF287" t="e">
        <f>IF(#REF!,"AAAAAG9ZPx8=",0)</f>
        <v>#REF!</v>
      </c>
      <c r="AG287" t="e">
        <f>IF(#REF!,"AAAAAG9ZPyA=",0)</f>
        <v>#REF!</v>
      </c>
      <c r="AH287" t="e">
        <f>IF(#REF!,"AAAAAG9ZPyE=",0)</f>
        <v>#REF!</v>
      </c>
      <c r="AI287" t="e">
        <f>IF(#REF!,"AAAAAG9ZPyI=",0)</f>
        <v>#REF!</v>
      </c>
      <c r="AJ287" t="e">
        <f>IF(#REF!,"AAAAAG9ZPyM=",0)</f>
        <v>#REF!</v>
      </c>
      <c r="AK287" t="e">
        <f>IF(#REF!,"AAAAAG9ZPyQ=",0)</f>
        <v>#REF!</v>
      </c>
      <c r="AL287" t="e">
        <f>IF(#REF!,"AAAAAG9ZPyU=",0)</f>
        <v>#REF!</v>
      </c>
      <c r="AM287" t="e">
        <f>IF(#REF!,"AAAAAG9ZPyY=",0)</f>
        <v>#REF!</v>
      </c>
      <c r="AN287" t="e">
        <f>IF(#REF!,"AAAAAG9ZPyc=",0)</f>
        <v>#REF!</v>
      </c>
      <c r="AO287" t="e">
        <f>IF(#REF!,"AAAAAG9ZPyg=",0)</f>
        <v>#REF!</v>
      </c>
      <c r="AP287" t="e">
        <f>IF(#REF!,"AAAAAG9ZPyk=",0)</f>
        <v>#REF!</v>
      </c>
      <c r="AQ287" t="e">
        <f>IF(#REF!,"AAAAAG9ZPyo=",0)</f>
        <v>#REF!</v>
      </c>
      <c r="AR287" t="e">
        <f>IF(#REF!,"AAAAAG9ZPys=",0)</f>
        <v>#REF!</v>
      </c>
      <c r="AS287" t="e">
        <f>IF(#REF!,"AAAAAG9ZPyw=",0)</f>
        <v>#REF!</v>
      </c>
      <c r="AT287" t="e">
        <f>IF(#REF!,"AAAAAG9ZPy0=",0)</f>
        <v>#REF!</v>
      </c>
      <c r="AU287" t="e">
        <f>IF(#REF!,"AAAAAG9ZPy4=",0)</f>
        <v>#REF!</v>
      </c>
      <c r="AV287" t="e">
        <f>IF(#REF!,"AAAAAG9ZPy8=",0)</f>
        <v>#REF!</v>
      </c>
      <c r="AW287" t="e">
        <f>IF(#REF!,"AAAAAG9ZPzA=",0)</f>
        <v>#REF!</v>
      </c>
      <c r="AX287" t="e">
        <f>IF(#REF!,"AAAAAG9ZPzE=",0)</f>
        <v>#REF!</v>
      </c>
      <c r="AY287" t="e">
        <f>IF(#REF!,"AAAAAG9ZPzI=",0)</f>
        <v>#REF!</v>
      </c>
      <c r="AZ287" t="e">
        <f>IF(#REF!,"AAAAAG9ZPzM=",0)</f>
        <v>#REF!</v>
      </c>
      <c r="BA287" t="e">
        <f>IF(#REF!,"AAAAAG9ZPzQ=",0)</f>
        <v>#REF!</v>
      </c>
      <c r="BB287" t="e">
        <f>IF(#REF!,"AAAAAG9ZPzU=",0)</f>
        <v>#REF!</v>
      </c>
      <c r="BC287" t="e">
        <f>IF(#REF!,"AAAAAG9ZPzY=",0)</f>
        <v>#REF!</v>
      </c>
      <c r="BD287" t="e">
        <f>IF(#REF!,"AAAAAG9ZPzc=",0)</f>
        <v>#REF!</v>
      </c>
      <c r="BE287" t="e">
        <f>IF(#REF!,"AAAAAG9ZPzg=",0)</f>
        <v>#REF!</v>
      </c>
      <c r="BF287" t="e">
        <f>IF(#REF!,"AAAAAG9ZPzk=",0)</f>
        <v>#REF!</v>
      </c>
      <c r="BG287" t="e">
        <f>IF(#REF!,"AAAAAG9ZPzo=",0)</f>
        <v>#REF!</v>
      </c>
      <c r="BH287" t="e">
        <f>IF(#REF!,"AAAAAG9ZPzs=",0)</f>
        <v>#REF!</v>
      </c>
      <c r="BI287" t="e">
        <f>IF(#REF!,"AAAAAG9ZPzw=",0)</f>
        <v>#REF!</v>
      </c>
      <c r="BJ287" t="e">
        <f>IF(#REF!,"AAAAAG9ZPz0=",0)</f>
        <v>#REF!</v>
      </c>
      <c r="BK287" t="e">
        <f>IF(#REF!,"AAAAAG9ZPz4=",0)</f>
        <v>#REF!</v>
      </c>
      <c r="BL287" t="e">
        <f>IF(#REF!,"AAAAAG9ZPz8=",0)</f>
        <v>#REF!</v>
      </c>
      <c r="BM287" t="e">
        <f>IF(#REF!,"AAAAAG9ZP0A=",0)</f>
        <v>#REF!</v>
      </c>
      <c r="BN287" t="e">
        <f>IF(#REF!,"AAAAAG9ZP0E=",0)</f>
        <v>#REF!</v>
      </c>
      <c r="BO287" t="e">
        <f>IF(#REF!,"AAAAAG9ZP0I=",0)</f>
        <v>#REF!</v>
      </c>
      <c r="BP287" t="e">
        <f>IF(#REF!,"AAAAAG9ZP0M=",0)</f>
        <v>#REF!</v>
      </c>
      <c r="BQ287" t="e">
        <f>IF(#REF!,"AAAAAG9ZP0Q=",0)</f>
        <v>#REF!</v>
      </c>
      <c r="BR287" t="e">
        <f>IF(#REF!,"AAAAAG9ZP0U=",0)</f>
        <v>#REF!</v>
      </c>
      <c r="BS287" t="e">
        <f>IF(#REF!,"AAAAAG9ZP0Y=",0)</f>
        <v>#REF!</v>
      </c>
      <c r="BT287" t="e">
        <f>IF(#REF!,"AAAAAG9ZP0c=",0)</f>
        <v>#REF!</v>
      </c>
      <c r="BU287" t="e">
        <f>IF(#REF!,"AAAAAG9ZP0g=",0)</f>
        <v>#REF!</v>
      </c>
      <c r="BV287" t="e">
        <f>IF(#REF!,"AAAAAG9ZP0k=",0)</f>
        <v>#REF!</v>
      </c>
      <c r="BW287" t="e">
        <f>IF(#REF!,"AAAAAG9ZP0o=",0)</f>
        <v>#REF!</v>
      </c>
      <c r="BX287" t="e">
        <f>IF(#REF!,"AAAAAG9ZP0s=",0)</f>
        <v>#REF!</v>
      </c>
      <c r="BY287" t="e">
        <f>IF(#REF!,"AAAAAG9ZP0w=",0)</f>
        <v>#REF!</v>
      </c>
      <c r="BZ287" t="e">
        <f>IF(#REF!,"AAAAAG9ZP00=",0)</f>
        <v>#REF!</v>
      </c>
      <c r="CA287" t="e">
        <f>IF(#REF!,"AAAAAG9ZP04=",0)</f>
        <v>#REF!</v>
      </c>
      <c r="CB287" t="e">
        <f>IF(#REF!,"AAAAAG9ZP08=",0)</f>
        <v>#REF!</v>
      </c>
      <c r="CC287" t="e">
        <f>IF(#REF!,"AAAAAG9ZP1A=",0)</f>
        <v>#REF!</v>
      </c>
      <c r="CD287" t="e">
        <f>IF(#REF!,"AAAAAG9ZP1E=",0)</f>
        <v>#REF!</v>
      </c>
      <c r="CE287" t="e">
        <f>IF(#REF!,"AAAAAG9ZP1I=",0)</f>
        <v>#REF!</v>
      </c>
      <c r="CF287" t="e">
        <f>IF(#REF!,"AAAAAG9ZP1M=",0)</f>
        <v>#REF!</v>
      </c>
      <c r="CG287" t="e">
        <f>IF(#REF!,"AAAAAG9ZP1Q=",0)</f>
        <v>#REF!</v>
      </c>
      <c r="CH287" t="e">
        <f>IF(#REF!,"AAAAAG9ZP1U=",0)</f>
        <v>#REF!</v>
      </c>
      <c r="CI287" t="e">
        <f>IF(#REF!,"AAAAAG9ZP1Y=",0)</f>
        <v>#REF!</v>
      </c>
      <c r="CJ287" t="e">
        <f>IF(#REF!,"AAAAAG9ZP1c=",0)</f>
        <v>#REF!</v>
      </c>
      <c r="CK287" t="e">
        <f>IF(#REF!,"AAAAAG9ZP1g=",0)</f>
        <v>#REF!</v>
      </c>
      <c r="CL287" t="e">
        <f>IF(#REF!,"AAAAAG9ZP1k=",0)</f>
        <v>#REF!</v>
      </c>
      <c r="CM287" t="e">
        <f>IF(#REF!,"AAAAAG9ZP1o=",0)</f>
        <v>#REF!</v>
      </c>
      <c r="CN287" t="e">
        <f>IF(#REF!,"AAAAAG9ZP1s=",0)</f>
        <v>#REF!</v>
      </c>
      <c r="CO287" t="e">
        <f>IF(#REF!,"AAAAAG9ZP1w=",0)</f>
        <v>#REF!</v>
      </c>
      <c r="CP287" t="e">
        <f>IF(#REF!,"AAAAAG9ZP10=",0)</f>
        <v>#REF!</v>
      </c>
      <c r="CQ287" t="e">
        <f>IF(#REF!,"AAAAAG9ZP14=",0)</f>
        <v>#REF!</v>
      </c>
      <c r="CR287" t="e">
        <f>IF(#REF!,"AAAAAG9ZP18=",0)</f>
        <v>#REF!</v>
      </c>
      <c r="CS287" t="e">
        <f>IF(#REF!,"AAAAAG9ZP2A=",0)</f>
        <v>#REF!</v>
      </c>
      <c r="CT287" t="e">
        <f>IF(#REF!,"AAAAAG9ZP2E=",0)</f>
        <v>#REF!</v>
      </c>
      <c r="CU287" t="e">
        <f>IF(#REF!,"AAAAAG9ZP2I=",0)</f>
        <v>#REF!</v>
      </c>
      <c r="CV287" t="e">
        <f>IF(#REF!,"AAAAAG9ZP2M=",0)</f>
        <v>#REF!</v>
      </c>
      <c r="CW287" t="e">
        <f>IF(#REF!,"AAAAAG9ZP2Q=",0)</f>
        <v>#REF!</v>
      </c>
      <c r="CX287" t="e">
        <f>IF(#REF!,"AAAAAG9ZP2U=",0)</f>
        <v>#REF!</v>
      </c>
      <c r="CY287" t="e">
        <f>IF(#REF!,"AAAAAG9ZP2Y=",0)</f>
        <v>#REF!</v>
      </c>
      <c r="CZ287" t="e">
        <f>IF(#REF!,"AAAAAG9ZP2c=",0)</f>
        <v>#REF!</v>
      </c>
      <c r="DA287" t="e">
        <f>IF(#REF!,"AAAAAG9ZP2g=",0)</f>
        <v>#REF!</v>
      </c>
      <c r="DB287" t="e">
        <f>IF(#REF!,"AAAAAG9ZP2k=",0)</f>
        <v>#REF!</v>
      </c>
      <c r="DC287" t="e">
        <f>IF(#REF!,"AAAAAG9ZP2o=",0)</f>
        <v>#REF!</v>
      </c>
      <c r="DD287" t="e">
        <f>IF(#REF!,"AAAAAG9ZP2s=",0)</f>
        <v>#REF!</v>
      </c>
      <c r="DE287" t="e">
        <f>IF(#REF!,"AAAAAG9ZP2w=",0)</f>
        <v>#REF!</v>
      </c>
      <c r="DF287" t="e">
        <f>IF(#REF!,"AAAAAG9ZP20=",0)</f>
        <v>#REF!</v>
      </c>
      <c r="DG287" t="e">
        <f>IF(#REF!,"AAAAAG9ZP24=",0)</f>
        <v>#REF!</v>
      </c>
      <c r="DH287" t="e">
        <f>IF(#REF!,"AAAAAG9ZP28=",0)</f>
        <v>#REF!</v>
      </c>
      <c r="DI287" t="e">
        <f>IF(#REF!,"AAAAAG9ZP3A=",0)</f>
        <v>#REF!</v>
      </c>
      <c r="DJ287" t="e">
        <f>IF(#REF!,"AAAAAG9ZP3E=",0)</f>
        <v>#REF!</v>
      </c>
      <c r="DK287" t="e">
        <f>IF(#REF!,"AAAAAG9ZP3I=",0)</f>
        <v>#REF!</v>
      </c>
      <c r="DL287" t="e">
        <f>IF(#REF!,"AAAAAG9ZP3M=",0)</f>
        <v>#REF!</v>
      </c>
      <c r="DM287" t="e">
        <f>IF(#REF!,"AAAAAG9ZP3Q=",0)</f>
        <v>#REF!</v>
      </c>
      <c r="DN287" t="e">
        <f>IF(#REF!,"AAAAAG9ZP3U=",0)</f>
        <v>#REF!</v>
      </c>
      <c r="DO287" t="e">
        <f>IF(#REF!,"AAAAAG9ZP3Y=",0)</f>
        <v>#REF!</v>
      </c>
      <c r="DP287" t="e">
        <f>IF(#REF!,"AAAAAG9ZP3c=",0)</f>
        <v>#REF!</v>
      </c>
      <c r="DQ287" t="e">
        <f>IF(#REF!,"AAAAAG9ZP3g=",0)</f>
        <v>#REF!</v>
      </c>
      <c r="DR287" t="e">
        <f>IF(#REF!,"AAAAAG9ZP3k=",0)</f>
        <v>#REF!</v>
      </c>
      <c r="DS287" t="e">
        <f>IF(#REF!,"AAAAAG9ZP3o=",0)</f>
        <v>#REF!</v>
      </c>
      <c r="DT287" t="e">
        <f>IF(#REF!,"AAAAAG9ZP3s=",0)</f>
        <v>#REF!</v>
      </c>
      <c r="DU287" t="e">
        <f>IF(#REF!,"AAAAAG9ZP3w=",0)</f>
        <v>#REF!</v>
      </c>
      <c r="DV287" t="e">
        <f>IF(#REF!,"AAAAAG9ZP30=",0)</f>
        <v>#REF!</v>
      </c>
      <c r="DW287" t="e">
        <f>IF(#REF!,"AAAAAG9ZP34=",0)</f>
        <v>#REF!</v>
      </c>
      <c r="DX287" t="e">
        <f>IF(#REF!,"AAAAAG9ZP38=",0)</f>
        <v>#REF!</v>
      </c>
      <c r="DY287" t="e">
        <f>IF(#REF!,"AAAAAG9ZP4A=",0)</f>
        <v>#REF!</v>
      </c>
      <c r="DZ287" t="e">
        <f>IF(#REF!,"AAAAAG9ZP4E=",0)</f>
        <v>#REF!</v>
      </c>
      <c r="EA287" t="e">
        <f>IF(#REF!,"AAAAAG9ZP4I=",0)</f>
        <v>#REF!</v>
      </c>
      <c r="EB287" t="e">
        <f>IF(#REF!,"AAAAAG9ZP4M=",0)</f>
        <v>#REF!</v>
      </c>
      <c r="EC287" t="e">
        <f>IF(#REF!,"AAAAAG9ZP4Q=",0)</f>
        <v>#REF!</v>
      </c>
      <c r="ED287" t="e">
        <f>IF(#REF!,"AAAAAG9ZP4U=",0)</f>
        <v>#REF!</v>
      </c>
      <c r="EE287" t="e">
        <f>IF(#REF!,"AAAAAG9ZP4Y=",0)</f>
        <v>#REF!</v>
      </c>
      <c r="EF287" t="e">
        <f>IF(#REF!,"AAAAAG9ZP4c=",0)</f>
        <v>#REF!</v>
      </c>
      <c r="EG287" t="e">
        <f>IF(#REF!,"AAAAAG9ZP4g=",0)</f>
        <v>#REF!</v>
      </c>
      <c r="EH287" t="e">
        <f>IF(#REF!,"AAAAAG9ZP4k=",0)</f>
        <v>#REF!</v>
      </c>
      <c r="EI287" t="e">
        <f>IF(#REF!,"AAAAAG9ZP4o=",0)</f>
        <v>#REF!</v>
      </c>
      <c r="EJ287" t="e">
        <f>IF(#REF!,"AAAAAG9ZP4s=",0)</f>
        <v>#REF!</v>
      </c>
      <c r="EK287" t="e">
        <f>IF(#REF!,"AAAAAG9ZP4w=",0)</f>
        <v>#REF!</v>
      </c>
      <c r="EL287" t="e">
        <f>IF(#REF!,"AAAAAG9ZP40=",0)</f>
        <v>#REF!</v>
      </c>
      <c r="EM287" t="e">
        <f>IF(#REF!,"AAAAAG9ZP44=",0)</f>
        <v>#REF!</v>
      </c>
      <c r="EN287" t="e">
        <f>IF(#REF!,"AAAAAG9ZP48=",0)</f>
        <v>#REF!</v>
      </c>
      <c r="EO287" t="e">
        <f>IF(#REF!,"AAAAAG9ZP5A=",0)</f>
        <v>#REF!</v>
      </c>
      <c r="EP287" t="e">
        <f>IF(#REF!,"AAAAAG9ZP5E=",0)</f>
        <v>#REF!</v>
      </c>
      <c r="EQ287" t="e">
        <f>IF(#REF!,"AAAAAG9ZP5I=",0)</f>
        <v>#REF!</v>
      </c>
      <c r="ER287" t="e">
        <f>IF(#REF!,"AAAAAG9ZP5M=",0)</f>
        <v>#REF!</v>
      </c>
      <c r="ES287" t="e">
        <f>IF(#REF!,"AAAAAG9ZP5Q=",0)</f>
        <v>#REF!</v>
      </c>
      <c r="ET287" t="e">
        <f>IF(#REF!,"AAAAAG9ZP5U=",0)</f>
        <v>#REF!</v>
      </c>
      <c r="EU287" t="e">
        <f>IF(#REF!,"AAAAAG9ZP5Y=",0)</f>
        <v>#REF!</v>
      </c>
      <c r="EV287" t="e">
        <f>IF(#REF!,"AAAAAG9ZP5c=",0)</f>
        <v>#REF!</v>
      </c>
      <c r="EW287" t="e">
        <f>IF(#REF!,"AAAAAG9ZP5g=",0)</f>
        <v>#REF!</v>
      </c>
      <c r="EX287" t="e">
        <f>IF(#REF!,"AAAAAG9ZP5k=",0)</f>
        <v>#REF!</v>
      </c>
      <c r="EY287" t="e">
        <f>IF(#REF!,"AAAAAG9ZP5o=",0)</f>
        <v>#REF!</v>
      </c>
      <c r="EZ287" t="e">
        <f>IF(#REF!,"AAAAAG9ZP5s=",0)</f>
        <v>#REF!</v>
      </c>
      <c r="FA287" t="e">
        <f>IF(#REF!,"AAAAAG9ZP5w=",0)</f>
        <v>#REF!</v>
      </c>
      <c r="FB287" t="e">
        <f>IF(#REF!,"AAAAAG9ZP50=",0)</f>
        <v>#REF!</v>
      </c>
      <c r="FC287" t="e">
        <f>IF(#REF!,"AAAAAG9ZP54=",0)</f>
        <v>#REF!</v>
      </c>
      <c r="FD287" t="e">
        <f>IF(#REF!,"AAAAAG9ZP58=",0)</f>
        <v>#REF!</v>
      </c>
      <c r="FE287" t="e">
        <f>IF(#REF!,"AAAAAG9ZP6A=",0)</f>
        <v>#REF!</v>
      </c>
      <c r="FF287" t="e">
        <f>IF(#REF!,"AAAAAG9ZP6E=",0)</f>
        <v>#REF!</v>
      </c>
      <c r="FG287" t="e">
        <f>IF(#REF!,"AAAAAG9ZP6I=",0)</f>
        <v>#REF!</v>
      </c>
      <c r="FH287" t="e">
        <f>IF(#REF!,"AAAAAG9ZP6M=",0)</f>
        <v>#REF!</v>
      </c>
      <c r="FI287" t="e">
        <f>IF(#REF!,"AAAAAG9ZP6Q=",0)</f>
        <v>#REF!</v>
      </c>
      <c r="FJ287" t="e">
        <f>IF(#REF!,"AAAAAG9ZP6U=",0)</f>
        <v>#REF!</v>
      </c>
      <c r="FK287" t="e">
        <f>IF(#REF!,"AAAAAG9ZP6Y=",0)</f>
        <v>#REF!</v>
      </c>
      <c r="FL287" t="e">
        <f>IF(#REF!,"AAAAAG9ZP6c=",0)</f>
        <v>#REF!</v>
      </c>
      <c r="FM287" t="e">
        <f>IF(#REF!,"AAAAAG9ZP6g=",0)</f>
        <v>#REF!</v>
      </c>
      <c r="FN287" t="e">
        <f>IF(#REF!,"AAAAAG9ZP6k=",0)</f>
        <v>#REF!</v>
      </c>
      <c r="FO287" t="e">
        <f>IF(#REF!,"AAAAAG9ZP6o=",0)</f>
        <v>#REF!</v>
      </c>
      <c r="FP287" t="e">
        <f>IF(#REF!,"AAAAAG9ZP6s=",0)</f>
        <v>#REF!</v>
      </c>
      <c r="FQ287" t="e">
        <f>IF(#REF!,"AAAAAG9ZP6w=",0)</f>
        <v>#REF!</v>
      </c>
      <c r="FR287" t="e">
        <f>IF(#REF!,"AAAAAG9ZP60=",0)</f>
        <v>#REF!</v>
      </c>
      <c r="FS287" t="e">
        <f>IF(#REF!,"AAAAAG9ZP64=",0)</f>
        <v>#REF!</v>
      </c>
      <c r="FT287" t="e">
        <f>IF(#REF!,"AAAAAG9ZP68=",0)</f>
        <v>#REF!</v>
      </c>
      <c r="FU287" t="e">
        <f>IF(#REF!,"AAAAAG9ZP7A=",0)</f>
        <v>#REF!</v>
      </c>
      <c r="FV287" t="e">
        <f>IF(#REF!,"AAAAAG9ZP7E=",0)</f>
        <v>#REF!</v>
      </c>
      <c r="FW287" t="e">
        <f>IF(#REF!,"AAAAAG9ZP7I=",0)</f>
        <v>#REF!</v>
      </c>
      <c r="FX287" t="e">
        <f>IF(#REF!,"AAAAAG9ZP7M=",0)</f>
        <v>#REF!</v>
      </c>
      <c r="FY287" t="e">
        <f>IF(#REF!,"AAAAAG9ZP7Q=",0)</f>
        <v>#REF!</v>
      </c>
      <c r="FZ287" t="e">
        <f>IF(#REF!,"AAAAAG9ZP7U=",0)</f>
        <v>#REF!</v>
      </c>
      <c r="GA287" t="e">
        <f>IF(#REF!,"AAAAAG9ZP7Y=",0)</f>
        <v>#REF!</v>
      </c>
      <c r="GB287" t="e">
        <f>IF(#REF!,"AAAAAG9ZP7c=",0)</f>
        <v>#REF!</v>
      </c>
      <c r="GC287" t="e">
        <f>IF(#REF!,"AAAAAG9ZP7g=",0)</f>
        <v>#REF!</v>
      </c>
      <c r="GD287" t="e">
        <f>IF(#REF!,"AAAAAG9ZP7k=",0)</f>
        <v>#REF!</v>
      </c>
      <c r="GE287" t="e">
        <f>IF(#REF!,"AAAAAG9ZP7o=",0)</f>
        <v>#REF!</v>
      </c>
      <c r="GF287" t="e">
        <f>IF(#REF!,"AAAAAG9ZP7s=",0)</f>
        <v>#REF!</v>
      </c>
      <c r="GG287" t="e">
        <f>IF(#REF!,"AAAAAG9ZP7w=",0)</f>
        <v>#REF!</v>
      </c>
      <c r="GH287" t="e">
        <f>IF(#REF!,"AAAAAG9ZP70=",0)</f>
        <v>#REF!</v>
      </c>
      <c r="GI287" t="e">
        <f>IF(#REF!,"AAAAAG9ZP74=",0)</f>
        <v>#REF!</v>
      </c>
      <c r="GJ287" t="e">
        <f>IF(#REF!,"AAAAAG9ZP78=",0)</f>
        <v>#REF!</v>
      </c>
      <c r="GK287" t="e">
        <f>IF(#REF!,"AAAAAG9ZP8A=",0)</f>
        <v>#REF!</v>
      </c>
      <c r="GL287" t="e">
        <f>IF(#REF!,"AAAAAG9ZP8E=",0)</f>
        <v>#REF!</v>
      </c>
      <c r="GM287" t="e">
        <f>IF(#REF!,"AAAAAG9ZP8I=",0)</f>
        <v>#REF!</v>
      </c>
      <c r="GN287" t="e">
        <f>IF(#REF!,"AAAAAG9ZP8M=",0)</f>
        <v>#REF!</v>
      </c>
      <c r="GO287" t="e">
        <f>IF(#REF!,"AAAAAG9ZP8Q=",0)</f>
        <v>#REF!</v>
      </c>
      <c r="GP287" t="e">
        <f>IF(#REF!,"AAAAAG9ZP8U=",0)</f>
        <v>#REF!</v>
      </c>
      <c r="GQ287" t="e">
        <f>IF(#REF!,"AAAAAG9ZP8Y=",0)</f>
        <v>#REF!</v>
      </c>
      <c r="GR287" t="e">
        <f>IF(#REF!,"AAAAAG9ZP8c=",0)</f>
        <v>#REF!</v>
      </c>
      <c r="GS287" t="e">
        <f>IF(#REF!,"AAAAAG9ZP8g=",0)</f>
        <v>#REF!</v>
      </c>
      <c r="GT287" t="e">
        <f>IF(#REF!,"AAAAAG9ZP8k=",0)</f>
        <v>#REF!</v>
      </c>
      <c r="GU287" t="e">
        <f>IF(#REF!,"AAAAAG9ZP8o=",0)</f>
        <v>#REF!</v>
      </c>
      <c r="GV287" t="e">
        <f>IF(#REF!,"AAAAAG9ZP8s=",0)</f>
        <v>#REF!</v>
      </c>
      <c r="GW287" t="e">
        <f>IF(#REF!,"AAAAAG9ZP8w=",0)</f>
        <v>#REF!</v>
      </c>
      <c r="GX287" t="e">
        <f>IF(#REF!,"AAAAAG9ZP80=",0)</f>
        <v>#REF!</v>
      </c>
      <c r="GY287" t="e">
        <f>IF(#REF!,"AAAAAG9ZP84=",0)</f>
        <v>#REF!</v>
      </c>
      <c r="GZ287" t="e">
        <f>IF(#REF!,"AAAAAG9ZP88=",0)</f>
        <v>#REF!</v>
      </c>
      <c r="HA287" t="e">
        <f>IF(#REF!,"AAAAAG9ZP9A=",0)</f>
        <v>#REF!</v>
      </c>
      <c r="HB287" t="e">
        <f>IF(#REF!,"AAAAAG9ZP9E=",0)</f>
        <v>#REF!</v>
      </c>
      <c r="HC287" t="e">
        <f>IF(#REF!,"AAAAAG9ZP9I=",0)</f>
        <v>#REF!</v>
      </c>
      <c r="HD287" t="e">
        <f>IF(#REF!,"AAAAAG9ZP9M=",0)</f>
        <v>#REF!</v>
      </c>
      <c r="HE287" t="e">
        <f>IF(#REF!,"AAAAAG9ZP9Q=",0)</f>
        <v>#REF!</v>
      </c>
      <c r="HF287" t="e">
        <f>IF(#REF!,"AAAAAG9ZP9U=",0)</f>
        <v>#REF!</v>
      </c>
      <c r="HG287" t="e">
        <f>IF(#REF!,"AAAAAG9ZP9Y=",0)</f>
        <v>#REF!</v>
      </c>
      <c r="HH287" t="e">
        <f>IF(#REF!,"AAAAAG9ZP9c=",0)</f>
        <v>#REF!</v>
      </c>
      <c r="HI287" t="e">
        <f>IF(#REF!,"AAAAAG9ZP9g=",0)</f>
        <v>#REF!</v>
      </c>
      <c r="HJ287" t="e">
        <f>IF(#REF!,"AAAAAG9ZP9k=",0)</f>
        <v>#REF!</v>
      </c>
      <c r="HK287" t="e">
        <f>IF(#REF!,"AAAAAG9ZP9o=",0)</f>
        <v>#REF!</v>
      </c>
      <c r="HL287" t="e">
        <f>IF(#REF!,"AAAAAG9ZP9s=",0)</f>
        <v>#REF!</v>
      </c>
      <c r="HM287" t="e">
        <f>IF(#REF!,"AAAAAG9ZP9w=",0)</f>
        <v>#REF!</v>
      </c>
      <c r="HN287" t="e">
        <f>IF(#REF!,"AAAAAG9ZP90=",0)</f>
        <v>#REF!</v>
      </c>
      <c r="HO287" t="e">
        <f>IF(#REF!,"AAAAAG9ZP94=",0)</f>
        <v>#REF!</v>
      </c>
      <c r="HP287" t="e">
        <f>IF(#REF!,"AAAAAG9ZP98=",0)</f>
        <v>#REF!</v>
      </c>
      <c r="HQ287" t="e">
        <f>IF(#REF!,"AAAAAG9ZP+A=",0)</f>
        <v>#REF!</v>
      </c>
      <c r="HR287" t="e">
        <f>IF(#REF!,"AAAAAG9ZP+E=",0)</f>
        <v>#REF!</v>
      </c>
      <c r="HS287" t="e">
        <f>IF(#REF!,"AAAAAG9ZP+I=",0)</f>
        <v>#REF!</v>
      </c>
      <c r="HT287" t="e">
        <f>IF(#REF!,"AAAAAG9ZP+M=",0)</f>
        <v>#REF!</v>
      </c>
      <c r="HU287" t="e">
        <f>IF(#REF!,"AAAAAG9ZP+Q=",0)</f>
        <v>#REF!</v>
      </c>
      <c r="HV287" t="e">
        <f>IF(#REF!,"AAAAAG9ZP+U=",0)</f>
        <v>#REF!</v>
      </c>
      <c r="HW287" t="e">
        <f>IF(#REF!,"AAAAAG9ZP+Y=",0)</f>
        <v>#REF!</v>
      </c>
      <c r="HX287" t="e">
        <f>IF(#REF!,"AAAAAG9ZP+c=",0)</f>
        <v>#REF!</v>
      </c>
      <c r="HY287" t="e">
        <f>IF(#REF!,"AAAAAG9ZP+g=",0)</f>
        <v>#REF!</v>
      </c>
      <c r="HZ287" t="e">
        <f>IF(#REF!,"AAAAAG9ZP+k=",0)</f>
        <v>#REF!</v>
      </c>
      <c r="IA287" t="e">
        <f>IF(#REF!,"AAAAAG9ZP+o=",0)</f>
        <v>#REF!</v>
      </c>
      <c r="IB287" t="e">
        <f>IF(#REF!,"AAAAAG9ZP+s=",0)</f>
        <v>#REF!</v>
      </c>
      <c r="IC287" t="e">
        <f>IF(#REF!,"AAAAAG9ZP+w=",0)</f>
        <v>#REF!</v>
      </c>
      <c r="ID287" t="e">
        <f>IF(#REF!,"AAAAAG9ZP+0=",0)</f>
        <v>#REF!</v>
      </c>
      <c r="IE287" t="e">
        <f>IF(#REF!,"AAAAAG9ZP+4=",0)</f>
        <v>#REF!</v>
      </c>
      <c r="IF287" t="e">
        <f>IF(#REF!,"AAAAAG9ZP+8=",0)</f>
        <v>#REF!</v>
      </c>
      <c r="IG287" t="e">
        <f>IF(#REF!,"AAAAAG9ZP/A=",0)</f>
        <v>#REF!</v>
      </c>
      <c r="IH287" t="e">
        <f>IF(#REF!,"AAAAAG9ZP/E=",0)</f>
        <v>#REF!</v>
      </c>
      <c r="II287" t="e">
        <f>IF(#REF!,"AAAAAG9ZP/I=",0)</f>
        <v>#REF!</v>
      </c>
      <c r="IJ287" t="e">
        <f>IF(#REF!,"AAAAAG9ZP/M=",0)</f>
        <v>#REF!</v>
      </c>
      <c r="IK287" t="e">
        <f>IF(#REF!,"AAAAAG9ZP/Q=",0)</f>
        <v>#REF!</v>
      </c>
      <c r="IL287" t="e">
        <f>IF(#REF!,"AAAAAG9ZP/U=",0)</f>
        <v>#REF!</v>
      </c>
      <c r="IM287" t="e">
        <f>IF(#REF!,"AAAAAG9ZP/Y=",0)</f>
        <v>#REF!</v>
      </c>
      <c r="IN287" t="e">
        <f>IF(#REF!,"AAAAAG9ZP/c=",0)</f>
        <v>#REF!</v>
      </c>
      <c r="IO287" t="e">
        <f>IF(#REF!,"AAAAAG9ZP/g=",0)</f>
        <v>#REF!</v>
      </c>
      <c r="IP287" t="e">
        <f>IF(#REF!,"AAAAAG9ZP/k=",0)</f>
        <v>#REF!</v>
      </c>
      <c r="IQ287" t="e">
        <f>IF(#REF!,"AAAAAG9ZP/o=",0)</f>
        <v>#REF!</v>
      </c>
      <c r="IR287" t="e">
        <f>IF(#REF!,"AAAAAG9ZP/s=",0)</f>
        <v>#REF!</v>
      </c>
      <c r="IS287" t="e">
        <f>IF(#REF!,"AAAAAG9ZP/w=",0)</f>
        <v>#REF!</v>
      </c>
      <c r="IT287" t="e">
        <f>IF(#REF!,"AAAAAG9ZP/0=",0)</f>
        <v>#REF!</v>
      </c>
      <c r="IU287" t="e">
        <f>IF(#REF!,"AAAAAG9ZP/4=",0)</f>
        <v>#REF!</v>
      </c>
      <c r="IV287" t="e">
        <f>IF(#REF!,"AAAAAG9ZP/8=",0)</f>
        <v>#REF!</v>
      </c>
    </row>
    <row r="288" spans="1:256">
      <c r="A288" t="e">
        <f>IF(#REF!,"AAAAAHr+rwA=",0)</f>
        <v>#REF!</v>
      </c>
      <c r="B288" t="e">
        <f>IF(#REF!,"AAAAAHr+rwE=",0)</f>
        <v>#REF!</v>
      </c>
      <c r="C288" t="e">
        <f>IF(#REF!,"AAAAAHr+rwI=",0)</f>
        <v>#REF!</v>
      </c>
      <c r="D288" t="e">
        <f>IF(#REF!,"AAAAAHr+rwM=",0)</f>
        <v>#REF!</v>
      </c>
      <c r="E288" t="e">
        <f>IF(#REF!,"AAAAAHr+rwQ=",0)</f>
        <v>#REF!</v>
      </c>
      <c r="F288" t="e">
        <f>IF(#REF!,"AAAAAHr+rwU=",0)</f>
        <v>#REF!</v>
      </c>
      <c r="G288" t="e">
        <f>IF(#REF!,"AAAAAHr+rwY=",0)</f>
        <v>#REF!</v>
      </c>
      <c r="H288" t="e">
        <f>IF(#REF!,"AAAAAHr+rwc=",0)</f>
        <v>#REF!</v>
      </c>
      <c r="I288" t="e">
        <f>IF(#REF!,"AAAAAHr+rwg=",0)</f>
        <v>#REF!</v>
      </c>
      <c r="J288" t="e">
        <f>IF(#REF!,"AAAAAHr+rwk=",0)</f>
        <v>#REF!</v>
      </c>
      <c r="K288" t="e">
        <f>IF(#REF!,"AAAAAHr+rwo=",0)</f>
        <v>#REF!</v>
      </c>
      <c r="L288" t="e">
        <f>IF(#REF!,"AAAAAHr+rws=",0)</f>
        <v>#REF!</v>
      </c>
      <c r="M288" t="e">
        <f>IF(#REF!,"AAAAAHr+rww=",0)</f>
        <v>#REF!</v>
      </c>
      <c r="N288" t="e">
        <f>IF(#REF!,"AAAAAHr+rw0=",0)</f>
        <v>#REF!</v>
      </c>
      <c r="O288" t="e">
        <f>IF(#REF!,"AAAAAHr+rw4=",0)</f>
        <v>#REF!</v>
      </c>
      <c r="P288" t="e">
        <f>IF(#REF!,"AAAAAHr+rw8=",0)</f>
        <v>#REF!</v>
      </c>
      <c r="Q288" t="e">
        <f>IF(#REF!,"AAAAAHr+rxA=",0)</f>
        <v>#REF!</v>
      </c>
      <c r="R288" t="e">
        <f>IF(#REF!,"AAAAAHr+rxE=",0)</f>
        <v>#REF!</v>
      </c>
      <c r="S288" t="e">
        <f>IF(#REF!,"AAAAAHr+rxI=",0)</f>
        <v>#REF!</v>
      </c>
      <c r="T288" t="e">
        <f>IF(#REF!,"AAAAAHr+rxM=",0)</f>
        <v>#REF!</v>
      </c>
      <c r="U288" t="e">
        <f>IF(#REF!,"AAAAAHr+rxQ=",0)</f>
        <v>#REF!</v>
      </c>
      <c r="V288" t="e">
        <f>IF(#REF!,"AAAAAHr+rxU=",0)</f>
        <v>#REF!</v>
      </c>
      <c r="W288" t="e">
        <f>IF(#REF!,"AAAAAHr+rxY=",0)</f>
        <v>#REF!</v>
      </c>
      <c r="X288" t="e">
        <f>IF(#REF!,"AAAAAHr+rxc=",0)</f>
        <v>#REF!</v>
      </c>
      <c r="Y288" t="e">
        <f>IF(#REF!,"AAAAAHr+rxg=",0)</f>
        <v>#REF!</v>
      </c>
      <c r="Z288" t="e">
        <f>IF(#REF!,"AAAAAHr+rxk=",0)</f>
        <v>#REF!</v>
      </c>
      <c r="AA288" t="e">
        <f>IF(#REF!,"AAAAAHr+rxo=",0)</f>
        <v>#REF!</v>
      </c>
      <c r="AB288" t="e">
        <f>IF(#REF!,"AAAAAHr+rxs=",0)</f>
        <v>#REF!</v>
      </c>
      <c r="AC288" t="e">
        <f>IF(#REF!,"AAAAAHr+rxw=",0)</f>
        <v>#REF!</v>
      </c>
      <c r="AD288" t="e">
        <f>IF(#REF!,"AAAAAHr+rx0=",0)</f>
        <v>#REF!</v>
      </c>
      <c r="AE288" t="e">
        <f>IF(#REF!,"AAAAAHr+rx4=",0)</f>
        <v>#REF!</v>
      </c>
      <c r="AF288" t="e">
        <f>IF(#REF!,"AAAAAHr+rx8=",0)</f>
        <v>#REF!</v>
      </c>
      <c r="AG288" t="e">
        <f>IF(#REF!,"AAAAAHr+ryA=",0)</f>
        <v>#REF!</v>
      </c>
      <c r="AH288" t="e">
        <f>IF(#REF!,"AAAAAHr+ryE=",0)</f>
        <v>#REF!</v>
      </c>
      <c r="AI288" t="e">
        <f>IF(#REF!,"AAAAAHr+ryI=",0)</f>
        <v>#REF!</v>
      </c>
      <c r="AJ288" t="e">
        <f>IF(#REF!,"AAAAAHr+ryM=",0)</f>
        <v>#REF!</v>
      </c>
      <c r="AK288" t="e">
        <f>IF(#REF!,"AAAAAHr+ryQ=",0)</f>
        <v>#REF!</v>
      </c>
      <c r="AL288" t="e">
        <f>IF(#REF!,"AAAAAHr+ryU=",0)</f>
        <v>#REF!</v>
      </c>
      <c r="AM288" t="e">
        <f>IF(#REF!,"AAAAAHr+ryY=",0)</f>
        <v>#REF!</v>
      </c>
      <c r="AN288" t="e">
        <f>IF(#REF!,"AAAAAHr+ryc=",0)</f>
        <v>#REF!</v>
      </c>
      <c r="AO288" t="e">
        <f>IF(#REF!,"AAAAAHr+ryg=",0)</f>
        <v>#REF!</v>
      </c>
      <c r="AP288" t="e">
        <f>IF(#REF!,"AAAAAHr+ryk=",0)</f>
        <v>#REF!</v>
      </c>
      <c r="AQ288" t="e">
        <f>IF(#REF!,"AAAAAHr+ryo=",0)</f>
        <v>#REF!</v>
      </c>
      <c r="AR288" t="e">
        <f>IF(#REF!,"AAAAAHr+rys=",0)</f>
        <v>#REF!</v>
      </c>
      <c r="AS288" t="e">
        <f>IF(#REF!,"AAAAAHr+ryw=",0)</f>
        <v>#REF!</v>
      </c>
      <c r="AT288" t="e">
        <f>IF(#REF!,"AAAAAHr+ry0=",0)</f>
        <v>#REF!</v>
      </c>
      <c r="AU288" t="e">
        <f>IF(#REF!,"AAAAAHr+ry4=",0)</f>
        <v>#REF!</v>
      </c>
      <c r="AV288" t="e">
        <f>IF(#REF!,"AAAAAHr+ry8=",0)</f>
        <v>#REF!</v>
      </c>
      <c r="AW288" t="e">
        <f>IF(#REF!,"AAAAAHr+rzA=",0)</f>
        <v>#REF!</v>
      </c>
      <c r="AX288" t="e">
        <f>IF(#REF!,"AAAAAHr+rzE=",0)</f>
        <v>#REF!</v>
      </c>
      <c r="AY288" t="e">
        <f>IF(#REF!,"AAAAAHr+rzI=",0)</f>
        <v>#REF!</v>
      </c>
      <c r="AZ288" t="e">
        <f>IF(#REF!,"AAAAAHr+rzM=",0)</f>
        <v>#REF!</v>
      </c>
      <c r="BA288" t="e">
        <f>IF(#REF!,"AAAAAHr+rzQ=",0)</f>
        <v>#REF!</v>
      </c>
      <c r="BB288" t="e">
        <f>IF(#REF!,"AAAAAHr+rzU=",0)</f>
        <v>#REF!</v>
      </c>
      <c r="BC288" t="e">
        <f>IF(#REF!,"AAAAAHr+rzY=",0)</f>
        <v>#REF!</v>
      </c>
      <c r="BD288" t="e">
        <f>IF(#REF!,"AAAAAHr+rzc=",0)</f>
        <v>#REF!</v>
      </c>
      <c r="BE288" t="e">
        <f>IF(#REF!,"AAAAAHr+rzg=",0)</f>
        <v>#REF!</v>
      </c>
      <c r="BF288" t="e">
        <f>IF(#REF!,"AAAAAHr+rzk=",0)</f>
        <v>#REF!</v>
      </c>
      <c r="BG288" t="e">
        <f>IF(#REF!,"AAAAAHr+rzo=",0)</f>
        <v>#REF!</v>
      </c>
      <c r="BH288" t="e">
        <f>IF(#REF!,"AAAAAHr+rzs=",0)</f>
        <v>#REF!</v>
      </c>
      <c r="BI288" t="e">
        <f>IF(#REF!,"AAAAAHr+rzw=",0)</f>
        <v>#REF!</v>
      </c>
      <c r="BJ288" t="e">
        <f>IF(#REF!,"AAAAAHr+rz0=",0)</f>
        <v>#REF!</v>
      </c>
      <c r="BK288" t="e">
        <f>IF(#REF!,"AAAAAHr+rz4=",0)</f>
        <v>#REF!</v>
      </c>
      <c r="BL288" t="e">
        <f>IF(#REF!,"AAAAAHr+rz8=",0)</f>
        <v>#REF!</v>
      </c>
      <c r="BM288" t="e">
        <f>IF(#REF!,"AAAAAHr+r0A=",0)</f>
        <v>#REF!</v>
      </c>
      <c r="BN288" t="e">
        <f>IF(#REF!,"AAAAAHr+r0E=",0)</f>
        <v>#REF!</v>
      </c>
      <c r="BO288" t="e">
        <f>IF(#REF!,"AAAAAHr+r0I=",0)</f>
        <v>#REF!</v>
      </c>
      <c r="BP288" t="e">
        <f>IF(#REF!,"AAAAAHr+r0M=",0)</f>
        <v>#REF!</v>
      </c>
      <c r="BQ288" t="e">
        <f>IF(#REF!,"AAAAAHr+r0Q=",0)</f>
        <v>#REF!</v>
      </c>
      <c r="BR288" t="e">
        <f>IF(#REF!,"AAAAAHr+r0U=",0)</f>
        <v>#REF!</v>
      </c>
      <c r="BS288" t="e">
        <f>IF(#REF!,"AAAAAHr+r0Y=",0)</f>
        <v>#REF!</v>
      </c>
      <c r="BT288" t="e">
        <f>IF(#REF!,"AAAAAHr+r0c=",0)</f>
        <v>#REF!</v>
      </c>
      <c r="BU288" t="e">
        <f>IF(#REF!,"AAAAAHr+r0g=",0)</f>
        <v>#REF!</v>
      </c>
      <c r="BV288" t="e">
        <f>IF(#REF!,"AAAAAHr+r0k=",0)</f>
        <v>#REF!</v>
      </c>
      <c r="BW288" t="e">
        <f>IF(#REF!,"AAAAAHr+r0o=",0)</f>
        <v>#REF!</v>
      </c>
      <c r="BX288" t="e">
        <f>IF(#REF!,"AAAAAHr+r0s=",0)</f>
        <v>#REF!</v>
      </c>
      <c r="BY288" t="e">
        <f>IF(#REF!,"AAAAAHr+r0w=",0)</f>
        <v>#REF!</v>
      </c>
      <c r="BZ288" t="e">
        <f>IF(#REF!,"AAAAAHr+r00=",0)</f>
        <v>#REF!</v>
      </c>
      <c r="CA288" t="e">
        <f>IF(#REF!,"AAAAAHr+r04=",0)</f>
        <v>#REF!</v>
      </c>
      <c r="CB288" t="e">
        <f>IF(#REF!,"AAAAAHr+r08=",0)</f>
        <v>#REF!</v>
      </c>
      <c r="CC288" t="e">
        <f>IF(#REF!,"AAAAAHr+r1A=",0)</f>
        <v>#REF!</v>
      </c>
      <c r="CD288" t="e">
        <f>IF(#REF!,"AAAAAHr+r1E=",0)</f>
        <v>#REF!</v>
      </c>
      <c r="CE288" t="e">
        <f>IF(#REF!,"AAAAAHr+r1I=",0)</f>
        <v>#REF!</v>
      </c>
      <c r="CF288" t="e">
        <f>IF(#REF!,"AAAAAHr+r1M=",0)</f>
        <v>#REF!</v>
      </c>
      <c r="CG288" t="e">
        <f>IF(#REF!,"AAAAAHr+r1Q=",0)</f>
        <v>#REF!</v>
      </c>
      <c r="CH288" t="e">
        <f>IF(#REF!,"AAAAAHr+r1U=",0)</f>
        <v>#REF!</v>
      </c>
      <c r="CI288" t="e">
        <f>IF(#REF!,"AAAAAHr+r1Y=",0)</f>
        <v>#REF!</v>
      </c>
      <c r="CJ288" t="e">
        <f>IF(#REF!,"AAAAAHr+r1c=",0)</f>
        <v>#REF!</v>
      </c>
      <c r="CK288" t="e">
        <f>IF(#REF!,"AAAAAHr+r1g=",0)</f>
        <v>#REF!</v>
      </c>
      <c r="CL288" t="e">
        <f>IF(#REF!,"AAAAAHr+r1k=",0)</f>
        <v>#REF!</v>
      </c>
      <c r="CM288" t="e">
        <f>IF(#REF!,"AAAAAHr+r1o=",0)</f>
        <v>#REF!</v>
      </c>
      <c r="CN288" t="e">
        <f>IF(#REF!,"AAAAAHr+r1s=",0)</f>
        <v>#REF!</v>
      </c>
      <c r="CO288" t="e">
        <f>IF(#REF!,"AAAAAHr+r1w=",0)</f>
        <v>#REF!</v>
      </c>
      <c r="CP288" t="e">
        <f>IF(#REF!,"AAAAAHr+r10=",0)</f>
        <v>#REF!</v>
      </c>
      <c r="CQ288" t="e">
        <f>IF(#REF!,"AAAAAHr+r14=",0)</f>
        <v>#REF!</v>
      </c>
      <c r="CR288" t="e">
        <f>IF(#REF!,"AAAAAHr+r18=",0)</f>
        <v>#REF!</v>
      </c>
      <c r="CS288" t="e">
        <f>IF(#REF!,"AAAAAHr+r2A=",0)</f>
        <v>#REF!</v>
      </c>
      <c r="CT288" t="e">
        <f>IF(#REF!,"AAAAAHr+r2E=",0)</f>
        <v>#REF!</v>
      </c>
      <c r="CU288" t="e">
        <f>IF(#REF!,"AAAAAHr+r2I=",0)</f>
        <v>#REF!</v>
      </c>
      <c r="CV288" t="e">
        <f>IF(#REF!,"AAAAAHr+r2M=",0)</f>
        <v>#REF!</v>
      </c>
      <c r="CW288" t="e">
        <f>IF(#REF!,"AAAAAHr+r2Q=",0)</f>
        <v>#REF!</v>
      </c>
      <c r="CX288" t="e">
        <f>IF(#REF!,"AAAAAHr+r2U=",0)</f>
        <v>#REF!</v>
      </c>
      <c r="CY288" t="e">
        <f>IF(#REF!,"AAAAAHr+r2Y=",0)</f>
        <v>#REF!</v>
      </c>
      <c r="CZ288" t="e">
        <f>IF(#REF!,"AAAAAHr+r2c=",0)</f>
        <v>#REF!</v>
      </c>
      <c r="DA288" t="e">
        <f>IF(#REF!,"AAAAAHr+r2g=",0)</f>
        <v>#REF!</v>
      </c>
      <c r="DB288" t="e">
        <f>IF(#REF!,"AAAAAHr+r2k=",0)</f>
        <v>#REF!</v>
      </c>
      <c r="DC288" t="e">
        <f>IF(#REF!,"AAAAAHr+r2o=",0)</f>
        <v>#REF!</v>
      </c>
      <c r="DD288" t="e">
        <f>IF(#REF!,"AAAAAHr+r2s=",0)</f>
        <v>#REF!</v>
      </c>
      <c r="DE288" t="e">
        <f>IF(#REF!,"AAAAAHr+r2w=",0)</f>
        <v>#REF!</v>
      </c>
      <c r="DF288" t="e">
        <f>IF(#REF!,"AAAAAHr+r20=",0)</f>
        <v>#REF!</v>
      </c>
      <c r="DG288" t="e">
        <f>IF(#REF!,"AAAAAHr+r24=",0)</f>
        <v>#REF!</v>
      </c>
      <c r="DH288" t="e">
        <f>IF(#REF!,"AAAAAHr+r28=",0)</f>
        <v>#REF!</v>
      </c>
      <c r="DI288" t="e">
        <f>IF(#REF!,"AAAAAHr+r3A=",0)</f>
        <v>#REF!</v>
      </c>
      <c r="DJ288" t="e">
        <f>IF(#REF!,"AAAAAHr+r3E=",0)</f>
        <v>#REF!</v>
      </c>
      <c r="DK288" t="e">
        <f>IF(#REF!,"AAAAAHr+r3I=",0)</f>
        <v>#REF!</v>
      </c>
      <c r="DL288" t="e">
        <f>IF(#REF!,"AAAAAHr+r3M=",0)</f>
        <v>#REF!</v>
      </c>
      <c r="DM288" t="e">
        <f>IF(#REF!,"AAAAAHr+r3Q=",0)</f>
        <v>#REF!</v>
      </c>
      <c r="DN288" t="e">
        <f>IF(#REF!,"AAAAAHr+r3U=",0)</f>
        <v>#REF!</v>
      </c>
      <c r="DO288" t="e">
        <f>IF(#REF!,"AAAAAHr+r3Y=",0)</f>
        <v>#REF!</v>
      </c>
      <c r="DP288" t="e">
        <f>IF(#REF!,"AAAAAHr+r3c=",0)</f>
        <v>#REF!</v>
      </c>
      <c r="DQ288" t="e">
        <f>IF(#REF!,"AAAAAHr+r3g=",0)</f>
        <v>#REF!</v>
      </c>
      <c r="DR288" t="e">
        <f>IF(#REF!,"AAAAAHr+r3k=",0)</f>
        <v>#REF!</v>
      </c>
      <c r="DS288" t="e">
        <f>IF(#REF!,"AAAAAHr+r3o=",0)</f>
        <v>#REF!</v>
      </c>
      <c r="DT288" t="e">
        <f>IF(#REF!,"AAAAAHr+r3s=",0)</f>
        <v>#REF!</v>
      </c>
      <c r="DU288" t="e">
        <f>IF(#REF!,"AAAAAHr+r3w=",0)</f>
        <v>#REF!</v>
      </c>
      <c r="DV288" t="e">
        <f>IF(#REF!,"AAAAAHr+r30=",0)</f>
        <v>#REF!</v>
      </c>
      <c r="DW288" t="e">
        <f>IF(#REF!,"AAAAAHr+r34=",0)</f>
        <v>#REF!</v>
      </c>
      <c r="DX288" t="e">
        <f>IF(#REF!,"AAAAAHr+r38=",0)</f>
        <v>#REF!</v>
      </c>
      <c r="DY288" t="e">
        <f>IF(#REF!,"AAAAAHr+r4A=",0)</f>
        <v>#REF!</v>
      </c>
      <c r="DZ288" t="e">
        <f>IF(#REF!,"AAAAAHr+r4E=",0)</f>
        <v>#REF!</v>
      </c>
      <c r="EA288" t="e">
        <f>IF(#REF!,"AAAAAHr+r4I=",0)</f>
        <v>#REF!</v>
      </c>
      <c r="EB288" t="e">
        <f>IF(#REF!,"AAAAAHr+r4M=",0)</f>
        <v>#REF!</v>
      </c>
      <c r="EC288" t="e">
        <f>IF(#REF!,"AAAAAHr+r4Q=",0)</f>
        <v>#REF!</v>
      </c>
      <c r="ED288" t="e">
        <f>IF(#REF!,"AAAAAHr+r4U=",0)</f>
        <v>#REF!</v>
      </c>
      <c r="EE288" t="e">
        <f>IF(#REF!,"AAAAAHr+r4Y=",0)</f>
        <v>#REF!</v>
      </c>
      <c r="EF288" t="e">
        <f>IF(#REF!,"AAAAAHr+r4c=",0)</f>
        <v>#REF!</v>
      </c>
      <c r="EG288" t="e">
        <f>IF(#REF!,"AAAAAHr+r4g=",0)</f>
        <v>#REF!</v>
      </c>
      <c r="EH288" t="e">
        <f>IF(#REF!,"AAAAAHr+r4k=",0)</f>
        <v>#REF!</v>
      </c>
      <c r="EI288" t="e">
        <f>IF(#REF!,"AAAAAHr+r4o=",0)</f>
        <v>#REF!</v>
      </c>
      <c r="EJ288" t="e">
        <f>IF(#REF!,"AAAAAHr+r4s=",0)</f>
        <v>#REF!</v>
      </c>
      <c r="EK288" t="e">
        <f>IF(#REF!,"AAAAAHr+r4w=",0)</f>
        <v>#REF!</v>
      </c>
      <c r="EL288" t="e">
        <f>IF(#REF!,"AAAAAHr+r40=",0)</f>
        <v>#REF!</v>
      </c>
      <c r="EM288" t="e">
        <f>IF(#REF!,"AAAAAHr+r44=",0)</f>
        <v>#REF!</v>
      </c>
      <c r="EN288" t="e">
        <f>IF(#REF!,"AAAAAHr+r48=",0)</f>
        <v>#REF!</v>
      </c>
      <c r="EO288" t="e">
        <f>IF(#REF!,"AAAAAHr+r5A=",0)</f>
        <v>#REF!</v>
      </c>
      <c r="EP288" t="e">
        <f>IF(#REF!,"AAAAAHr+r5E=",0)</f>
        <v>#REF!</v>
      </c>
      <c r="EQ288" t="e">
        <f>IF(#REF!,"AAAAAHr+r5I=",0)</f>
        <v>#REF!</v>
      </c>
      <c r="ER288" t="e">
        <f>IF(#REF!,"AAAAAHr+r5M=",0)</f>
        <v>#REF!</v>
      </c>
      <c r="ES288" t="e">
        <f>IF(#REF!,"AAAAAHr+r5Q=",0)</f>
        <v>#REF!</v>
      </c>
      <c r="ET288" t="e">
        <f>IF(#REF!,"AAAAAHr+r5U=",0)</f>
        <v>#REF!</v>
      </c>
      <c r="EU288" t="e">
        <f>IF(#REF!,"AAAAAHr+r5Y=",0)</f>
        <v>#REF!</v>
      </c>
      <c r="EV288" t="e">
        <f>IF(#REF!,"AAAAAHr+r5c=",0)</f>
        <v>#REF!</v>
      </c>
      <c r="EW288" t="e">
        <f>IF(#REF!,"AAAAAHr+r5g=",0)</f>
        <v>#REF!</v>
      </c>
      <c r="EX288" t="e">
        <f>IF(#REF!,"AAAAAHr+r5k=",0)</f>
        <v>#REF!</v>
      </c>
      <c r="EY288" t="e">
        <f>IF(#REF!,"AAAAAHr+r5o=",0)</f>
        <v>#REF!</v>
      </c>
      <c r="EZ288" t="e">
        <f>IF(#REF!,"AAAAAHr+r5s=",0)</f>
        <v>#REF!</v>
      </c>
      <c r="FA288" t="e">
        <f>IF(#REF!,"AAAAAHr+r5w=",0)</f>
        <v>#REF!</v>
      </c>
      <c r="FB288" t="e">
        <f>IF(#REF!,"AAAAAHr+r50=",0)</f>
        <v>#REF!</v>
      </c>
      <c r="FC288" t="e">
        <f>IF(#REF!,"AAAAAHr+r54=",0)</f>
        <v>#REF!</v>
      </c>
      <c r="FD288" t="e">
        <f>IF(#REF!,"AAAAAHr+r58=",0)</f>
        <v>#REF!</v>
      </c>
      <c r="FE288" t="e">
        <f>IF(#REF!,"AAAAAHr+r6A=",0)</f>
        <v>#REF!</v>
      </c>
      <c r="FF288" t="e">
        <f>IF(#REF!,"AAAAAHr+r6E=",0)</f>
        <v>#REF!</v>
      </c>
      <c r="FG288" t="e">
        <f>IF(#REF!,"AAAAAHr+r6I=",0)</f>
        <v>#REF!</v>
      </c>
      <c r="FH288" t="e">
        <f>IF(#REF!,"AAAAAHr+r6M=",0)</f>
        <v>#REF!</v>
      </c>
      <c r="FI288" t="e">
        <f>IF(#REF!,"AAAAAHr+r6Q=",0)</f>
        <v>#REF!</v>
      </c>
      <c r="FJ288" t="e">
        <f>IF(#REF!,"AAAAAHr+r6U=",0)</f>
        <v>#REF!</v>
      </c>
      <c r="FK288" t="e">
        <f>IF(#REF!,"AAAAAHr+r6Y=",0)</f>
        <v>#REF!</v>
      </c>
      <c r="FL288" t="e">
        <f>IF(#REF!,"AAAAAHr+r6c=",0)</f>
        <v>#REF!</v>
      </c>
      <c r="FM288" t="e">
        <f>IF(#REF!,"AAAAAHr+r6g=",0)</f>
        <v>#REF!</v>
      </c>
      <c r="FN288" t="e">
        <f>IF(#REF!,"AAAAAHr+r6k=",0)</f>
        <v>#REF!</v>
      </c>
      <c r="FO288" t="e">
        <f>IF(#REF!,"AAAAAHr+r6o=",0)</f>
        <v>#REF!</v>
      </c>
      <c r="FP288" t="e">
        <f>IF(#REF!,"AAAAAHr+r6s=",0)</f>
        <v>#REF!</v>
      </c>
      <c r="FQ288" t="e">
        <f>IF(#REF!,"AAAAAHr+r6w=",0)</f>
        <v>#REF!</v>
      </c>
      <c r="FR288" t="e">
        <f>IF(#REF!,"AAAAAHr+r60=",0)</f>
        <v>#REF!</v>
      </c>
      <c r="FS288" t="e">
        <f>IF(#REF!,"AAAAAHr+r64=",0)</f>
        <v>#REF!</v>
      </c>
      <c r="FT288" t="e">
        <f>IF(#REF!,"AAAAAHr+r68=",0)</f>
        <v>#REF!</v>
      </c>
      <c r="FU288" t="e">
        <f>IF(#REF!,"AAAAAHr+r7A=",0)</f>
        <v>#REF!</v>
      </c>
      <c r="FV288" t="e">
        <f>IF(#REF!,"AAAAAHr+r7E=",0)</f>
        <v>#REF!</v>
      </c>
      <c r="FW288" t="e">
        <f>IF(#REF!,"AAAAAHr+r7I=",0)</f>
        <v>#REF!</v>
      </c>
      <c r="FX288" t="e">
        <f>IF(#REF!,"AAAAAHr+r7M=",0)</f>
        <v>#REF!</v>
      </c>
      <c r="FY288" t="e">
        <f>IF(#REF!,"AAAAAHr+r7Q=",0)</f>
        <v>#REF!</v>
      </c>
      <c r="FZ288" t="e">
        <f>IF(#REF!,"AAAAAHr+r7U=",0)</f>
        <v>#REF!</v>
      </c>
      <c r="GA288" t="e">
        <f>IF(#REF!,"AAAAAHr+r7Y=",0)</f>
        <v>#REF!</v>
      </c>
      <c r="GB288" t="e">
        <f>IF(#REF!,"AAAAAHr+r7c=",0)</f>
        <v>#REF!</v>
      </c>
      <c r="GC288" t="e">
        <f>IF(#REF!,"AAAAAHr+r7g=",0)</f>
        <v>#REF!</v>
      </c>
      <c r="GD288" t="e">
        <f>IF(#REF!,"AAAAAHr+r7k=",0)</f>
        <v>#REF!</v>
      </c>
      <c r="GE288" t="e">
        <f>IF(#REF!,"AAAAAHr+r7o=",0)</f>
        <v>#REF!</v>
      </c>
      <c r="GF288" t="e">
        <f>IF(#REF!,"AAAAAHr+r7s=",0)</f>
        <v>#REF!</v>
      </c>
      <c r="GG288" t="e">
        <f>IF(#REF!,"AAAAAHr+r7w=",0)</f>
        <v>#REF!</v>
      </c>
      <c r="GH288" t="e">
        <f>IF(#REF!,"AAAAAHr+r70=",0)</f>
        <v>#REF!</v>
      </c>
      <c r="GI288" t="e">
        <f>IF(#REF!,"AAAAAHr+r74=",0)</f>
        <v>#REF!</v>
      </c>
      <c r="GJ288" t="e">
        <f>IF(#REF!,"AAAAAHr+r78=",0)</f>
        <v>#REF!</v>
      </c>
      <c r="GK288" t="e">
        <f>IF(#REF!,"AAAAAHr+r8A=",0)</f>
        <v>#REF!</v>
      </c>
      <c r="GL288" t="e">
        <f>IF(#REF!,"AAAAAHr+r8E=",0)</f>
        <v>#REF!</v>
      </c>
      <c r="GM288" t="e">
        <f>IF(#REF!,"AAAAAHr+r8I=",0)</f>
        <v>#REF!</v>
      </c>
      <c r="GN288" t="e">
        <f>IF(#REF!,"AAAAAHr+r8M=",0)</f>
        <v>#REF!</v>
      </c>
      <c r="GO288" t="e">
        <f>IF(#REF!,"AAAAAHr+r8Q=",0)</f>
        <v>#REF!</v>
      </c>
      <c r="GP288" t="e">
        <f>IF(#REF!,"AAAAAHr+r8U=",0)</f>
        <v>#REF!</v>
      </c>
      <c r="GQ288" t="e">
        <f>IF(#REF!,"AAAAAHr+r8Y=",0)</f>
        <v>#REF!</v>
      </c>
      <c r="GR288" t="e">
        <f>IF(#REF!,"AAAAAHr+r8c=",0)</f>
        <v>#REF!</v>
      </c>
      <c r="GS288" t="e">
        <f>IF(#REF!,"AAAAAHr+r8g=",0)</f>
        <v>#REF!</v>
      </c>
      <c r="GT288" t="e">
        <f>IF(#REF!,"AAAAAHr+r8k=",0)</f>
        <v>#REF!</v>
      </c>
      <c r="GU288" t="e">
        <f>IF(#REF!,"AAAAAHr+r8o=",0)</f>
        <v>#REF!</v>
      </c>
      <c r="GV288" t="e">
        <f>IF(#REF!,"AAAAAHr+r8s=",0)</f>
        <v>#REF!</v>
      </c>
      <c r="GW288" t="e">
        <f>IF(#REF!,"AAAAAHr+r8w=",0)</f>
        <v>#REF!</v>
      </c>
      <c r="GX288" t="e">
        <f>IF(#REF!,"AAAAAHr+r80=",0)</f>
        <v>#REF!</v>
      </c>
      <c r="GY288" t="e">
        <f>IF(#REF!,"AAAAAHr+r84=",0)</f>
        <v>#REF!</v>
      </c>
      <c r="GZ288" t="e">
        <f>IF(#REF!,"AAAAAHr+r88=",0)</f>
        <v>#REF!</v>
      </c>
      <c r="HA288" t="e">
        <f>IF(#REF!,"AAAAAHr+r9A=",0)</f>
        <v>#REF!</v>
      </c>
      <c r="HB288" t="e">
        <f>IF(#REF!,"AAAAAHr+r9E=",0)</f>
        <v>#REF!</v>
      </c>
      <c r="HC288" t="e">
        <f>IF(#REF!,"AAAAAHr+r9I=",0)</f>
        <v>#REF!</v>
      </c>
      <c r="HD288" t="e">
        <f>IF(#REF!,"AAAAAHr+r9M=",0)</f>
        <v>#REF!</v>
      </c>
      <c r="HE288" t="e">
        <f>IF(#REF!,"AAAAAHr+r9Q=",0)</f>
        <v>#REF!</v>
      </c>
      <c r="HF288" t="e">
        <f>IF(#REF!,"AAAAAHr+r9U=",0)</f>
        <v>#REF!</v>
      </c>
      <c r="HG288" t="e">
        <f>IF(#REF!,"AAAAAHr+r9Y=",0)</f>
        <v>#REF!</v>
      </c>
      <c r="HH288" t="e">
        <f>IF(#REF!,"AAAAAHr+r9c=",0)</f>
        <v>#REF!</v>
      </c>
      <c r="HI288" t="e">
        <f>IF(#REF!,"AAAAAHr+r9g=",0)</f>
        <v>#REF!</v>
      </c>
      <c r="HJ288" t="e">
        <f>IF(#REF!,"AAAAAHr+r9k=",0)</f>
        <v>#REF!</v>
      </c>
      <c r="HK288" t="e">
        <f>IF(#REF!,"AAAAAHr+r9o=",0)</f>
        <v>#REF!</v>
      </c>
      <c r="HL288" t="e">
        <f>IF(#REF!,"AAAAAHr+r9s=",0)</f>
        <v>#REF!</v>
      </c>
      <c r="HM288" t="e">
        <f>IF(#REF!,"AAAAAHr+r9w=",0)</f>
        <v>#REF!</v>
      </c>
      <c r="HN288" t="e">
        <f>IF(#REF!,"AAAAAHr+r90=",0)</f>
        <v>#REF!</v>
      </c>
      <c r="HO288" t="e">
        <f>IF(#REF!,"AAAAAHr+r94=",0)</f>
        <v>#REF!</v>
      </c>
      <c r="HP288" t="e">
        <f>IF(#REF!,"AAAAAHr+r98=",0)</f>
        <v>#REF!</v>
      </c>
      <c r="HQ288" t="e">
        <f>IF(#REF!,"AAAAAHr+r+A=",0)</f>
        <v>#REF!</v>
      </c>
      <c r="HR288" t="e">
        <f>IF(#REF!,"AAAAAHr+r+E=",0)</f>
        <v>#REF!</v>
      </c>
      <c r="HS288" t="e">
        <f>IF(#REF!,"AAAAAHr+r+I=",0)</f>
        <v>#REF!</v>
      </c>
      <c r="HT288" t="e">
        <f>IF(#REF!,"AAAAAHr+r+M=",0)</f>
        <v>#REF!</v>
      </c>
      <c r="HU288" t="e">
        <f>IF(#REF!,"AAAAAHr+r+Q=",0)</f>
        <v>#REF!</v>
      </c>
      <c r="HV288" t="e">
        <f>IF(#REF!,"AAAAAHr+r+U=",0)</f>
        <v>#REF!</v>
      </c>
      <c r="HW288" t="e">
        <f>IF(#REF!,"AAAAAHr+r+Y=",0)</f>
        <v>#REF!</v>
      </c>
      <c r="HX288" t="e">
        <f>IF(#REF!,"AAAAAHr+r+c=",0)</f>
        <v>#REF!</v>
      </c>
      <c r="HY288" t="e">
        <f>IF(#REF!,"AAAAAHr+r+g=",0)</f>
        <v>#REF!</v>
      </c>
      <c r="HZ288" t="e">
        <f>IF(#REF!,"AAAAAHr+r+k=",0)</f>
        <v>#REF!</v>
      </c>
      <c r="IA288" t="e">
        <f>IF(#REF!,"AAAAAHr+r+o=",0)</f>
        <v>#REF!</v>
      </c>
      <c r="IB288" t="e">
        <f>IF(#REF!,"AAAAAHr+r+s=",0)</f>
        <v>#REF!</v>
      </c>
      <c r="IC288" t="e">
        <f>IF(#REF!,"AAAAAHr+r+w=",0)</f>
        <v>#REF!</v>
      </c>
      <c r="ID288" t="e">
        <f>IF(#REF!,"AAAAAHr+r+0=",0)</f>
        <v>#REF!</v>
      </c>
      <c r="IE288" t="e">
        <f>IF(#REF!,"AAAAAHr+r+4=",0)</f>
        <v>#REF!</v>
      </c>
      <c r="IF288" t="e">
        <f>IF(#REF!,"AAAAAHr+r+8=",0)</f>
        <v>#REF!</v>
      </c>
      <c r="IG288" t="e">
        <f>IF(#REF!,"AAAAAHr+r/A=",0)</f>
        <v>#REF!</v>
      </c>
      <c r="IH288" t="e">
        <f>IF(#REF!,"AAAAAHr+r/E=",0)</f>
        <v>#REF!</v>
      </c>
      <c r="II288" t="e">
        <f>IF(#REF!,"AAAAAHr+r/I=",0)</f>
        <v>#REF!</v>
      </c>
      <c r="IJ288" t="e">
        <f>IF(#REF!,"AAAAAHr+r/M=",0)</f>
        <v>#REF!</v>
      </c>
      <c r="IK288" t="e">
        <f>IF(#REF!,"AAAAAHr+r/Q=",0)</f>
        <v>#REF!</v>
      </c>
      <c r="IL288" t="e">
        <f>IF(#REF!,"AAAAAHr+r/U=",0)</f>
        <v>#REF!</v>
      </c>
      <c r="IM288" t="e">
        <f>IF(#REF!,"AAAAAHr+r/Y=",0)</f>
        <v>#REF!</v>
      </c>
      <c r="IN288" t="e">
        <f>IF(#REF!,"AAAAAHr+r/c=",0)</f>
        <v>#REF!</v>
      </c>
      <c r="IO288" t="e">
        <f>IF(#REF!,"AAAAAHr+r/g=",0)</f>
        <v>#REF!</v>
      </c>
      <c r="IP288" t="e">
        <f>IF(#REF!,"AAAAAHr+r/k=",0)</f>
        <v>#REF!</v>
      </c>
      <c r="IQ288" t="e">
        <f>IF(#REF!,"AAAAAHr+r/o=",0)</f>
        <v>#REF!</v>
      </c>
      <c r="IR288" t="e">
        <f>IF(#REF!,"AAAAAHr+r/s=",0)</f>
        <v>#REF!</v>
      </c>
      <c r="IS288" t="e">
        <f>IF(#REF!,"AAAAAHr+r/w=",0)</f>
        <v>#REF!</v>
      </c>
      <c r="IT288" t="e">
        <f>IF(#REF!,"AAAAAHr+r/0=",0)</f>
        <v>#REF!</v>
      </c>
      <c r="IU288" t="e">
        <f>IF(#REF!,"AAAAAHr+r/4=",0)</f>
        <v>#REF!</v>
      </c>
      <c r="IV288" t="e">
        <f>IF(#REF!,"AAAAAHr+r/8=",0)</f>
        <v>#REF!</v>
      </c>
    </row>
    <row r="289" spans="1:256">
      <c r="A289" t="e">
        <f>IF(#REF!,"AAAAAHf/9QA=",0)</f>
        <v>#REF!</v>
      </c>
      <c r="B289" t="e">
        <f>IF(#REF!,"AAAAAHf/9QE=",0)</f>
        <v>#REF!</v>
      </c>
      <c r="C289" t="e">
        <f>IF(#REF!,"AAAAAHf/9QI=",0)</f>
        <v>#REF!</v>
      </c>
      <c r="D289" t="e">
        <f>IF(#REF!,"AAAAAHf/9QM=",0)</f>
        <v>#REF!</v>
      </c>
      <c r="E289" t="e">
        <f>IF(#REF!,"AAAAAHf/9QQ=",0)</f>
        <v>#REF!</v>
      </c>
      <c r="F289" t="e">
        <f>IF(#REF!,"AAAAAHf/9QU=",0)</f>
        <v>#REF!</v>
      </c>
      <c r="G289" t="e">
        <f>IF(#REF!,"AAAAAHf/9QY=",0)</f>
        <v>#REF!</v>
      </c>
      <c r="H289" t="e">
        <f>IF(#REF!,"AAAAAHf/9Qc=",0)</f>
        <v>#REF!</v>
      </c>
      <c r="I289" t="e">
        <f>IF(#REF!,"AAAAAHf/9Qg=",0)</f>
        <v>#REF!</v>
      </c>
      <c r="J289" t="e">
        <f>IF(#REF!,"AAAAAHf/9Qk=",0)</f>
        <v>#REF!</v>
      </c>
      <c r="K289" t="e">
        <f>IF(#REF!,"AAAAAHf/9Qo=",0)</f>
        <v>#REF!</v>
      </c>
      <c r="L289" t="e">
        <f>IF(#REF!,"AAAAAHf/9Qs=",0)</f>
        <v>#REF!</v>
      </c>
      <c r="M289" t="e">
        <f>IF(#REF!,"AAAAAHf/9Qw=",0)</f>
        <v>#REF!</v>
      </c>
      <c r="N289" t="e">
        <f>IF(#REF!,"AAAAAHf/9Q0=",0)</f>
        <v>#REF!</v>
      </c>
      <c r="O289" t="e">
        <f>IF(#REF!,"AAAAAHf/9Q4=",0)</f>
        <v>#REF!</v>
      </c>
      <c r="P289" t="e">
        <f>IF(#REF!,"AAAAAHf/9Q8=",0)</f>
        <v>#REF!</v>
      </c>
      <c r="Q289" t="e">
        <f>IF(#REF!,"AAAAAHf/9RA=",0)</f>
        <v>#REF!</v>
      </c>
      <c r="R289" t="e">
        <f>IF(#REF!,"AAAAAHf/9RE=",0)</f>
        <v>#REF!</v>
      </c>
      <c r="S289" t="e">
        <f>IF(#REF!,"AAAAAHf/9RI=",0)</f>
        <v>#REF!</v>
      </c>
      <c r="T289" t="e">
        <f>IF(#REF!,"AAAAAHf/9RM=",0)</f>
        <v>#REF!</v>
      </c>
      <c r="U289" t="e">
        <f>IF(#REF!,"AAAAAHf/9RQ=",0)</f>
        <v>#REF!</v>
      </c>
      <c r="V289" t="e">
        <f>IF(#REF!,"AAAAAHf/9RU=",0)</f>
        <v>#REF!</v>
      </c>
      <c r="W289" t="e">
        <f>IF(#REF!,"AAAAAHf/9RY=",0)</f>
        <v>#REF!</v>
      </c>
      <c r="X289" t="e">
        <f>IF(#REF!,"AAAAAHf/9Rc=",0)</f>
        <v>#REF!</v>
      </c>
      <c r="Y289" t="e">
        <f>IF(#REF!,"AAAAAHf/9Rg=",0)</f>
        <v>#REF!</v>
      </c>
      <c r="Z289" t="e">
        <f>IF(#REF!,"AAAAAHf/9Rk=",0)</f>
        <v>#REF!</v>
      </c>
      <c r="AA289" t="e">
        <f>IF(#REF!,"AAAAAHf/9Ro=",0)</f>
        <v>#REF!</v>
      </c>
      <c r="AB289" t="e">
        <f>IF(#REF!,"AAAAAHf/9Rs=",0)</f>
        <v>#REF!</v>
      </c>
      <c r="AC289" t="e">
        <f>IF(#REF!,"AAAAAHf/9Rw=",0)</f>
        <v>#REF!</v>
      </c>
      <c r="AD289" t="e">
        <f>IF(#REF!,"AAAAAHf/9R0=",0)</f>
        <v>#REF!</v>
      </c>
      <c r="AE289" t="e">
        <f>IF(#REF!,"AAAAAHf/9R4=",0)</f>
        <v>#REF!</v>
      </c>
      <c r="AF289" t="e">
        <f>IF(#REF!,"AAAAAHf/9R8=",0)</f>
        <v>#REF!</v>
      </c>
      <c r="AG289" t="e">
        <f>IF(#REF!,"AAAAAHf/9SA=",0)</f>
        <v>#REF!</v>
      </c>
      <c r="AH289" t="e">
        <f>IF(#REF!,"AAAAAHf/9SE=",0)</f>
        <v>#REF!</v>
      </c>
      <c r="AI289" t="e">
        <f>IF(#REF!,"AAAAAHf/9SI=",0)</f>
        <v>#REF!</v>
      </c>
      <c r="AJ289" t="e">
        <f>IF(#REF!,"AAAAAHf/9SM=",0)</f>
        <v>#REF!</v>
      </c>
      <c r="AK289" t="e">
        <f>IF(#REF!,"AAAAAHf/9SQ=",0)</f>
        <v>#REF!</v>
      </c>
      <c r="AL289" t="e">
        <f>IF(#REF!,"AAAAAHf/9SU=",0)</f>
        <v>#REF!</v>
      </c>
      <c r="AM289" t="e">
        <f>IF(#REF!,"AAAAAHf/9SY=",0)</f>
        <v>#REF!</v>
      </c>
      <c r="AN289" t="e">
        <f>IF(#REF!,"AAAAAHf/9Sc=",0)</f>
        <v>#REF!</v>
      </c>
      <c r="AO289" t="e">
        <f>IF(#REF!,"AAAAAHf/9Sg=",0)</f>
        <v>#REF!</v>
      </c>
      <c r="AP289" t="e">
        <f>IF(#REF!,"AAAAAHf/9Sk=",0)</f>
        <v>#REF!</v>
      </c>
      <c r="AQ289" t="e">
        <f>IF(#REF!,"AAAAAHf/9So=",0)</f>
        <v>#REF!</v>
      </c>
      <c r="AR289" t="e">
        <f>IF(#REF!,"AAAAAHf/9Ss=",0)</f>
        <v>#REF!</v>
      </c>
      <c r="AS289" t="e">
        <f>IF(#REF!,"AAAAAHf/9Sw=",0)</f>
        <v>#REF!</v>
      </c>
      <c r="AT289" t="e">
        <f>IF(#REF!,"AAAAAHf/9S0=",0)</f>
        <v>#REF!</v>
      </c>
      <c r="AU289" t="e">
        <f>IF(#REF!,"AAAAAHf/9S4=",0)</f>
        <v>#REF!</v>
      </c>
      <c r="AV289" t="e">
        <f>IF(#REF!,"AAAAAHf/9S8=",0)</f>
        <v>#REF!</v>
      </c>
      <c r="AW289" t="e">
        <f>IF(#REF!,"AAAAAHf/9TA=",0)</f>
        <v>#REF!</v>
      </c>
      <c r="AX289" t="e">
        <f>IF(#REF!,"AAAAAHf/9TE=",0)</f>
        <v>#REF!</v>
      </c>
      <c r="AY289" t="e">
        <f>IF(#REF!,"AAAAAHf/9TI=",0)</f>
        <v>#REF!</v>
      </c>
      <c r="AZ289" t="e">
        <f>IF(#REF!,"AAAAAHf/9TM=",0)</f>
        <v>#REF!</v>
      </c>
      <c r="BA289" t="e">
        <f>IF(#REF!,"AAAAAHf/9TQ=",0)</f>
        <v>#REF!</v>
      </c>
      <c r="BB289" t="e">
        <f>IF(#REF!,"AAAAAHf/9TU=",0)</f>
        <v>#REF!</v>
      </c>
      <c r="BC289" t="e">
        <f>IF(#REF!,"AAAAAHf/9TY=",0)</f>
        <v>#REF!</v>
      </c>
      <c r="BD289" t="e">
        <f>IF(#REF!,"AAAAAHf/9Tc=",0)</f>
        <v>#REF!</v>
      </c>
      <c r="BE289" t="e">
        <f>IF(#REF!,"AAAAAHf/9Tg=",0)</f>
        <v>#REF!</v>
      </c>
      <c r="BF289" t="e">
        <f>IF(#REF!,"AAAAAHf/9Tk=",0)</f>
        <v>#REF!</v>
      </c>
      <c r="BG289" t="e">
        <f>IF(#REF!,"AAAAAHf/9To=",0)</f>
        <v>#REF!</v>
      </c>
      <c r="BH289" t="e">
        <f>IF(#REF!,"AAAAAHf/9Ts=",0)</f>
        <v>#REF!</v>
      </c>
      <c r="BI289" t="e">
        <f>IF(#REF!,"AAAAAHf/9Tw=",0)</f>
        <v>#REF!</v>
      </c>
      <c r="BJ289" t="e">
        <f>IF(#REF!,"AAAAAHf/9T0=",0)</f>
        <v>#REF!</v>
      </c>
      <c r="BK289" t="e">
        <f>IF(#REF!,"AAAAAHf/9T4=",0)</f>
        <v>#REF!</v>
      </c>
      <c r="BL289" t="e">
        <f>IF(#REF!,"AAAAAHf/9T8=",0)</f>
        <v>#REF!</v>
      </c>
      <c r="BM289" t="e">
        <f>IF(#REF!,"AAAAAHf/9UA=",0)</f>
        <v>#REF!</v>
      </c>
      <c r="BN289" t="e">
        <f>IF(#REF!,"AAAAAHf/9UE=",0)</f>
        <v>#REF!</v>
      </c>
      <c r="BO289" t="e">
        <f>IF(#REF!,"AAAAAHf/9UI=",0)</f>
        <v>#REF!</v>
      </c>
      <c r="BP289" t="e">
        <f>IF(#REF!,"AAAAAHf/9UM=",0)</f>
        <v>#REF!</v>
      </c>
      <c r="BQ289" t="e">
        <f>IF(#REF!,"AAAAAHf/9UQ=",0)</f>
        <v>#REF!</v>
      </c>
      <c r="BR289" t="e">
        <f>IF(#REF!,"AAAAAHf/9UU=",0)</f>
        <v>#REF!</v>
      </c>
      <c r="BS289" t="e">
        <f>IF(#REF!,"AAAAAHf/9UY=",0)</f>
        <v>#REF!</v>
      </c>
      <c r="BT289" t="e">
        <f>IF(#REF!,"AAAAAHf/9Uc=",0)</f>
        <v>#REF!</v>
      </c>
      <c r="BU289" t="e">
        <f>IF(#REF!,"AAAAAHf/9Ug=",0)</f>
        <v>#REF!</v>
      </c>
      <c r="BV289" t="e">
        <f>IF(#REF!,"AAAAAHf/9Uk=",0)</f>
        <v>#REF!</v>
      </c>
      <c r="BW289" t="e">
        <f>IF(#REF!,"AAAAAHf/9Uo=",0)</f>
        <v>#REF!</v>
      </c>
      <c r="BX289" t="e">
        <f>IF(#REF!,"AAAAAHf/9Us=",0)</f>
        <v>#REF!</v>
      </c>
      <c r="BY289" t="e">
        <f>IF(#REF!,"AAAAAHf/9Uw=",0)</f>
        <v>#REF!</v>
      </c>
      <c r="BZ289" t="e">
        <f>IF(#REF!,"AAAAAHf/9U0=",0)</f>
        <v>#REF!</v>
      </c>
      <c r="CA289" t="e">
        <f>IF(#REF!,"AAAAAHf/9U4=",0)</f>
        <v>#REF!</v>
      </c>
      <c r="CB289" t="e">
        <f>IF(#REF!,"AAAAAHf/9U8=",0)</f>
        <v>#REF!</v>
      </c>
      <c r="CC289" t="e">
        <f>IF(#REF!,"AAAAAHf/9VA=",0)</f>
        <v>#REF!</v>
      </c>
      <c r="CD289" t="e">
        <f>IF(#REF!,"AAAAAHf/9VE=",0)</f>
        <v>#REF!</v>
      </c>
      <c r="CE289" t="e">
        <f>IF(#REF!,"AAAAAHf/9VI=",0)</f>
        <v>#REF!</v>
      </c>
      <c r="CF289" t="e">
        <f>IF(#REF!,"AAAAAHf/9VM=",0)</f>
        <v>#REF!</v>
      </c>
      <c r="CG289" t="e">
        <f>IF(#REF!,"AAAAAHf/9VQ=",0)</f>
        <v>#REF!</v>
      </c>
      <c r="CH289" t="e">
        <f>IF(#REF!,"AAAAAHf/9VU=",0)</f>
        <v>#REF!</v>
      </c>
      <c r="CI289" t="e">
        <f>IF(#REF!,"AAAAAHf/9VY=",0)</f>
        <v>#REF!</v>
      </c>
      <c r="CJ289" t="e">
        <f>IF(#REF!,"AAAAAHf/9Vc=",0)</f>
        <v>#REF!</v>
      </c>
      <c r="CK289" t="e">
        <f>IF(#REF!,"AAAAAHf/9Vg=",0)</f>
        <v>#REF!</v>
      </c>
      <c r="CL289" t="e">
        <f>IF(#REF!,"AAAAAHf/9Vk=",0)</f>
        <v>#REF!</v>
      </c>
      <c r="CM289" t="e">
        <f>IF(#REF!,"AAAAAHf/9Vo=",0)</f>
        <v>#REF!</v>
      </c>
      <c r="CN289" t="e">
        <f>IF(#REF!,"AAAAAHf/9Vs=",0)</f>
        <v>#REF!</v>
      </c>
      <c r="CO289" t="e">
        <f>IF(#REF!,"AAAAAHf/9Vw=",0)</f>
        <v>#REF!</v>
      </c>
      <c r="CP289" t="e">
        <f>IF(#REF!,"AAAAAHf/9V0=",0)</f>
        <v>#REF!</v>
      </c>
      <c r="CQ289" t="e">
        <f>IF(#REF!,"AAAAAHf/9V4=",0)</f>
        <v>#REF!</v>
      </c>
      <c r="CR289" t="e">
        <f>IF(#REF!,"AAAAAHf/9V8=",0)</f>
        <v>#REF!</v>
      </c>
      <c r="CS289" t="e">
        <f>IF(#REF!,"AAAAAHf/9WA=",0)</f>
        <v>#REF!</v>
      </c>
      <c r="CT289" t="e">
        <f>IF(#REF!,"AAAAAHf/9WE=",0)</f>
        <v>#REF!</v>
      </c>
      <c r="CU289" t="e">
        <f>IF(#REF!,"AAAAAHf/9WI=",0)</f>
        <v>#REF!</v>
      </c>
      <c r="CV289" t="e">
        <f>IF(#REF!,"AAAAAHf/9WM=",0)</f>
        <v>#REF!</v>
      </c>
      <c r="CW289" t="e">
        <f>IF(#REF!,"AAAAAHf/9WQ=",0)</f>
        <v>#REF!</v>
      </c>
      <c r="CX289" t="e">
        <f>IF(#REF!,"AAAAAHf/9WU=",0)</f>
        <v>#REF!</v>
      </c>
      <c r="CY289" t="e">
        <f>IF(#REF!,"AAAAAHf/9WY=",0)</f>
        <v>#REF!</v>
      </c>
      <c r="CZ289" t="e">
        <f>IF(#REF!,"AAAAAHf/9Wc=",0)</f>
        <v>#REF!</v>
      </c>
      <c r="DA289" t="e">
        <f>IF(#REF!,"AAAAAHf/9Wg=",0)</f>
        <v>#REF!</v>
      </c>
      <c r="DB289" t="e">
        <f>IF(#REF!,"AAAAAHf/9Wk=",0)</f>
        <v>#REF!</v>
      </c>
      <c r="DC289" t="e">
        <f>IF(#REF!,"AAAAAHf/9Wo=",0)</f>
        <v>#REF!</v>
      </c>
      <c r="DD289" t="e">
        <f>IF(#REF!,"AAAAAHf/9Ws=",0)</f>
        <v>#REF!</v>
      </c>
      <c r="DE289" t="e">
        <f>IF(#REF!,"AAAAAHf/9Ww=",0)</f>
        <v>#REF!</v>
      </c>
      <c r="DF289" t="e">
        <f>IF(#REF!,"AAAAAHf/9W0=",0)</f>
        <v>#REF!</v>
      </c>
      <c r="DG289" t="e">
        <f>IF(#REF!,"AAAAAHf/9W4=",0)</f>
        <v>#REF!</v>
      </c>
      <c r="DH289" t="e">
        <f>IF(#REF!,"AAAAAHf/9W8=",0)</f>
        <v>#REF!</v>
      </c>
      <c r="DI289" t="e">
        <f>IF(#REF!,"AAAAAHf/9XA=",0)</f>
        <v>#REF!</v>
      </c>
      <c r="DJ289" t="e">
        <f>IF(#REF!,"AAAAAHf/9XE=",0)</f>
        <v>#REF!</v>
      </c>
      <c r="DK289" t="e">
        <f>IF(#REF!,"AAAAAHf/9XI=",0)</f>
        <v>#REF!</v>
      </c>
      <c r="DL289" t="e">
        <f>IF(#REF!,"AAAAAHf/9XM=",0)</f>
        <v>#REF!</v>
      </c>
      <c r="DM289" t="e">
        <f>IF(#REF!,"AAAAAHf/9XQ=",0)</f>
        <v>#REF!</v>
      </c>
      <c r="DN289" t="e">
        <f>IF(#REF!,"AAAAAHf/9XU=",0)</f>
        <v>#REF!</v>
      </c>
      <c r="DO289" t="e">
        <f>IF(#REF!,"AAAAAHf/9XY=",0)</f>
        <v>#REF!</v>
      </c>
      <c r="DP289" t="e">
        <f>IF(#REF!,"AAAAAHf/9Xc=",0)</f>
        <v>#REF!</v>
      </c>
      <c r="DQ289" t="e">
        <f>IF(#REF!,"AAAAAHf/9Xg=",0)</f>
        <v>#REF!</v>
      </c>
      <c r="DR289" t="e">
        <f>IF(#REF!,"AAAAAHf/9Xk=",0)</f>
        <v>#REF!</v>
      </c>
      <c r="DS289" t="e">
        <f>IF(#REF!,"AAAAAHf/9Xo=",0)</f>
        <v>#REF!</v>
      </c>
      <c r="DT289" t="e">
        <f>IF(#REF!,"AAAAAHf/9Xs=",0)</f>
        <v>#REF!</v>
      </c>
      <c r="DU289" t="e">
        <f>IF(#REF!,"AAAAAHf/9Xw=",0)</f>
        <v>#REF!</v>
      </c>
      <c r="DV289" t="e">
        <f>IF(#REF!,"AAAAAHf/9X0=",0)</f>
        <v>#REF!</v>
      </c>
      <c r="DW289" t="e">
        <f>IF(#REF!,"AAAAAHf/9X4=",0)</f>
        <v>#REF!</v>
      </c>
      <c r="DX289" t="e">
        <f>IF(#REF!,"AAAAAHf/9X8=",0)</f>
        <v>#REF!</v>
      </c>
      <c r="DY289" t="e">
        <f>IF(#REF!,"AAAAAHf/9YA=",0)</f>
        <v>#REF!</v>
      </c>
      <c r="DZ289" t="e">
        <f>IF(#REF!,"AAAAAHf/9YE=",0)</f>
        <v>#REF!</v>
      </c>
      <c r="EA289" t="e">
        <f>IF(#REF!,"AAAAAHf/9YI=",0)</f>
        <v>#REF!</v>
      </c>
      <c r="EB289" t="e">
        <f>IF(#REF!,"AAAAAHf/9YM=",0)</f>
        <v>#REF!</v>
      </c>
      <c r="EC289" t="e">
        <f>IF(#REF!,"AAAAAHf/9YQ=",0)</f>
        <v>#REF!</v>
      </c>
      <c r="ED289" t="e">
        <f>IF(#REF!,"AAAAAHf/9YU=",0)</f>
        <v>#REF!</v>
      </c>
      <c r="EE289" t="e">
        <f>IF(#REF!,"AAAAAHf/9YY=",0)</f>
        <v>#REF!</v>
      </c>
      <c r="EF289" t="e">
        <f>IF(#REF!,"AAAAAHf/9Yc=",0)</f>
        <v>#REF!</v>
      </c>
      <c r="EG289" t="e">
        <f>IF(#REF!,"AAAAAHf/9Yg=",0)</f>
        <v>#REF!</v>
      </c>
      <c r="EH289" t="e">
        <f>IF(#REF!,"AAAAAHf/9Yk=",0)</f>
        <v>#REF!</v>
      </c>
      <c r="EI289" t="e">
        <f>IF(#REF!,"AAAAAHf/9Yo=",0)</f>
        <v>#REF!</v>
      </c>
      <c r="EJ289" t="e">
        <f>IF(#REF!,"AAAAAHf/9Ys=",0)</f>
        <v>#REF!</v>
      </c>
      <c r="EK289" t="e">
        <f>IF(#REF!,"AAAAAHf/9Yw=",0)</f>
        <v>#REF!</v>
      </c>
      <c r="EL289" t="e">
        <f>IF(#REF!,"AAAAAHf/9Y0=",0)</f>
        <v>#REF!</v>
      </c>
      <c r="EM289" t="e">
        <f>IF(#REF!,"AAAAAHf/9Y4=",0)</f>
        <v>#REF!</v>
      </c>
      <c r="EN289" t="e">
        <f>IF(#REF!,"AAAAAHf/9Y8=",0)</f>
        <v>#REF!</v>
      </c>
      <c r="EO289" t="e">
        <f>IF(#REF!,"AAAAAHf/9ZA=",0)</f>
        <v>#REF!</v>
      </c>
      <c r="EP289" t="e">
        <f>IF(#REF!,"AAAAAHf/9ZE=",0)</f>
        <v>#REF!</v>
      </c>
      <c r="EQ289" t="e">
        <f>IF(#REF!,"AAAAAHf/9ZI=",0)</f>
        <v>#REF!</v>
      </c>
      <c r="ER289" t="e">
        <f>IF(#REF!,"AAAAAHf/9ZM=",0)</f>
        <v>#REF!</v>
      </c>
      <c r="ES289" t="e">
        <f>IF(#REF!,"AAAAAHf/9ZQ=",0)</f>
        <v>#REF!</v>
      </c>
      <c r="ET289" t="e">
        <f>IF(#REF!,"AAAAAHf/9ZU=",0)</f>
        <v>#REF!</v>
      </c>
      <c r="EU289" t="e">
        <f>IF(#REF!,"AAAAAHf/9ZY=",0)</f>
        <v>#REF!</v>
      </c>
      <c r="EV289" t="e">
        <f>IF(#REF!,"AAAAAHf/9Zc=",0)</f>
        <v>#REF!</v>
      </c>
      <c r="EW289" t="e">
        <f>IF(#REF!,"AAAAAHf/9Zg=",0)</f>
        <v>#REF!</v>
      </c>
      <c r="EX289" t="e">
        <f>IF(#REF!,"AAAAAHf/9Zk=",0)</f>
        <v>#REF!</v>
      </c>
      <c r="EY289" t="e">
        <f>IF(#REF!,"AAAAAHf/9Zo=",0)</f>
        <v>#REF!</v>
      </c>
      <c r="EZ289" t="e">
        <f>IF(#REF!,"AAAAAHf/9Zs=",0)</f>
        <v>#REF!</v>
      </c>
      <c r="FA289" t="e">
        <f>IF(#REF!,"AAAAAHf/9Zw=",0)</f>
        <v>#REF!</v>
      </c>
      <c r="FB289" t="e">
        <f>IF(#REF!,"AAAAAHf/9Z0=",0)</f>
        <v>#REF!</v>
      </c>
      <c r="FC289" t="e">
        <f>IF(#REF!,"AAAAAHf/9Z4=",0)</f>
        <v>#REF!</v>
      </c>
      <c r="FD289" t="e">
        <f>IF(#REF!,"AAAAAHf/9Z8=",0)</f>
        <v>#REF!</v>
      </c>
      <c r="FE289" t="e">
        <f>IF(#REF!,"AAAAAHf/9aA=",0)</f>
        <v>#REF!</v>
      </c>
      <c r="FF289" t="e">
        <f>IF(#REF!,"AAAAAHf/9aE=",0)</f>
        <v>#REF!</v>
      </c>
      <c r="FG289" t="e">
        <f>IF(#REF!,"AAAAAHf/9aI=",0)</f>
        <v>#REF!</v>
      </c>
      <c r="FH289" t="e">
        <f>IF(#REF!,"AAAAAHf/9aM=",0)</f>
        <v>#REF!</v>
      </c>
      <c r="FI289" t="e">
        <f>IF(#REF!,"AAAAAHf/9aQ=",0)</f>
        <v>#REF!</v>
      </c>
      <c r="FJ289" t="e">
        <f>IF(#REF!,"AAAAAHf/9aU=",0)</f>
        <v>#REF!</v>
      </c>
      <c r="FK289" t="e">
        <f>IF(#REF!,"AAAAAHf/9aY=",0)</f>
        <v>#REF!</v>
      </c>
      <c r="FL289" t="e">
        <f>IF(#REF!,"AAAAAHf/9ac=",0)</f>
        <v>#REF!</v>
      </c>
      <c r="FM289" t="e">
        <f>IF(#REF!,"AAAAAHf/9ag=",0)</f>
        <v>#REF!</v>
      </c>
      <c r="FN289" t="e">
        <f>IF(#REF!,"AAAAAHf/9ak=",0)</f>
        <v>#REF!</v>
      </c>
      <c r="FO289" t="e">
        <f>IF(#REF!,"AAAAAHf/9ao=",0)</f>
        <v>#REF!</v>
      </c>
      <c r="FP289" t="e">
        <f>IF(#REF!,"AAAAAHf/9as=",0)</f>
        <v>#REF!</v>
      </c>
      <c r="FQ289" t="e">
        <f>IF(#REF!,"AAAAAHf/9aw=",0)</f>
        <v>#REF!</v>
      </c>
      <c r="FR289" t="e">
        <f>IF(#REF!,"AAAAAHf/9a0=",0)</f>
        <v>#REF!</v>
      </c>
      <c r="FS289" t="e">
        <f>IF(#REF!,"AAAAAHf/9a4=",0)</f>
        <v>#REF!</v>
      </c>
      <c r="FT289" t="e">
        <f>IF(#REF!,"AAAAAHf/9a8=",0)</f>
        <v>#REF!</v>
      </c>
      <c r="FU289" t="e">
        <f>IF(#REF!,"AAAAAHf/9bA=",0)</f>
        <v>#REF!</v>
      </c>
      <c r="FV289" t="e">
        <f>IF(#REF!,"AAAAAHf/9bE=",0)</f>
        <v>#REF!</v>
      </c>
      <c r="FW289" t="e">
        <f>IF(#REF!,"AAAAAHf/9bI=",0)</f>
        <v>#REF!</v>
      </c>
      <c r="FX289" t="e">
        <f>IF(#REF!,"AAAAAHf/9bM=",0)</f>
        <v>#REF!</v>
      </c>
      <c r="FY289" t="e">
        <f>IF(#REF!,"AAAAAHf/9bQ=",0)</f>
        <v>#REF!</v>
      </c>
      <c r="FZ289" t="e">
        <f>IF(#REF!,"AAAAAHf/9bU=",0)</f>
        <v>#REF!</v>
      </c>
      <c r="GA289" t="e">
        <f>IF(#REF!,"AAAAAHf/9bY=",0)</f>
        <v>#REF!</v>
      </c>
      <c r="GB289" t="e">
        <f>IF(#REF!,"AAAAAHf/9bc=",0)</f>
        <v>#REF!</v>
      </c>
      <c r="GC289" t="e">
        <f>IF(#REF!,"AAAAAHf/9bg=",0)</f>
        <v>#REF!</v>
      </c>
      <c r="GD289" t="e">
        <f>IF(#REF!,"AAAAAHf/9bk=",0)</f>
        <v>#REF!</v>
      </c>
      <c r="GE289" t="e">
        <f>IF(#REF!,"AAAAAHf/9bo=",0)</f>
        <v>#REF!</v>
      </c>
      <c r="GF289" t="e">
        <f>IF(#REF!,"AAAAAHf/9bs=",0)</f>
        <v>#REF!</v>
      </c>
      <c r="GG289" t="e">
        <f>IF(#REF!,"AAAAAHf/9bw=",0)</f>
        <v>#REF!</v>
      </c>
      <c r="GH289" t="e">
        <f>IF(#REF!,"AAAAAHf/9b0=",0)</f>
        <v>#REF!</v>
      </c>
      <c r="GI289" t="e">
        <f>IF(#REF!,"AAAAAHf/9b4=",0)</f>
        <v>#REF!</v>
      </c>
      <c r="GJ289" t="e">
        <f>IF(#REF!,"AAAAAHf/9b8=",0)</f>
        <v>#REF!</v>
      </c>
      <c r="GK289" t="e">
        <f>IF(#REF!,"AAAAAHf/9cA=",0)</f>
        <v>#REF!</v>
      </c>
      <c r="GL289" t="e">
        <f>IF(#REF!,"AAAAAHf/9cE=",0)</f>
        <v>#REF!</v>
      </c>
      <c r="GM289" t="e">
        <f>IF(#REF!,"AAAAAHf/9cI=",0)</f>
        <v>#REF!</v>
      </c>
      <c r="GN289" t="e">
        <f>IF(#REF!,"AAAAAHf/9cM=",0)</f>
        <v>#REF!</v>
      </c>
      <c r="GO289" t="e">
        <f>IF(#REF!,"AAAAAHf/9cQ=",0)</f>
        <v>#REF!</v>
      </c>
      <c r="GP289" t="e">
        <f>IF(#REF!,"AAAAAHf/9cU=",0)</f>
        <v>#REF!</v>
      </c>
      <c r="GQ289" t="e">
        <f>IF(#REF!,"AAAAAHf/9cY=",0)</f>
        <v>#REF!</v>
      </c>
      <c r="GR289" t="e">
        <f>IF(#REF!,"AAAAAHf/9cc=",0)</f>
        <v>#REF!</v>
      </c>
      <c r="GS289" t="e">
        <f>IF(#REF!,"AAAAAHf/9cg=",0)</f>
        <v>#REF!</v>
      </c>
      <c r="GT289" t="e">
        <f>IF(#REF!,"AAAAAHf/9ck=",0)</f>
        <v>#REF!</v>
      </c>
      <c r="GU289" t="e">
        <f>IF(#REF!,"AAAAAHf/9co=",0)</f>
        <v>#REF!</v>
      </c>
      <c r="GV289" t="e">
        <f>IF(#REF!,"AAAAAHf/9cs=",0)</f>
        <v>#REF!</v>
      </c>
      <c r="GW289" t="e">
        <f>IF(#REF!,"AAAAAHf/9cw=",0)</f>
        <v>#REF!</v>
      </c>
      <c r="GX289" t="e">
        <f>IF(#REF!,"AAAAAHf/9c0=",0)</f>
        <v>#REF!</v>
      </c>
      <c r="GY289" t="e">
        <f>IF(#REF!,"AAAAAHf/9c4=",0)</f>
        <v>#REF!</v>
      </c>
      <c r="GZ289" t="e">
        <f>IF(#REF!,"AAAAAHf/9c8=",0)</f>
        <v>#REF!</v>
      </c>
      <c r="HA289" t="e">
        <f>IF(#REF!,"AAAAAHf/9dA=",0)</f>
        <v>#REF!</v>
      </c>
      <c r="HB289" t="e">
        <f>IF(#REF!,"AAAAAHf/9dE=",0)</f>
        <v>#REF!</v>
      </c>
      <c r="HC289" t="e">
        <f>IF(#REF!,"AAAAAHf/9dI=",0)</f>
        <v>#REF!</v>
      </c>
      <c r="HD289" t="e">
        <f>IF(#REF!,"AAAAAHf/9dM=",0)</f>
        <v>#REF!</v>
      </c>
      <c r="HE289" t="e">
        <f>IF(#REF!,"AAAAAHf/9dQ=",0)</f>
        <v>#REF!</v>
      </c>
      <c r="HF289" t="e">
        <f>IF(#REF!,"AAAAAHf/9dU=",0)</f>
        <v>#REF!</v>
      </c>
      <c r="HG289" t="e">
        <f>IF(#REF!,"AAAAAHf/9dY=",0)</f>
        <v>#REF!</v>
      </c>
      <c r="HH289" t="e">
        <f>IF(#REF!,"AAAAAHf/9dc=",0)</f>
        <v>#REF!</v>
      </c>
      <c r="HI289" t="e">
        <f>IF(#REF!,"AAAAAHf/9dg=",0)</f>
        <v>#REF!</v>
      </c>
      <c r="HJ289" t="e">
        <f>IF(#REF!,"AAAAAHf/9dk=",0)</f>
        <v>#REF!</v>
      </c>
      <c r="HK289" t="e">
        <f>IF(#REF!,"AAAAAHf/9do=",0)</f>
        <v>#REF!</v>
      </c>
      <c r="HL289" t="e">
        <f>IF(#REF!,"AAAAAHf/9ds=",0)</f>
        <v>#REF!</v>
      </c>
      <c r="HM289" t="e">
        <f>IF(#REF!,"AAAAAHf/9dw=",0)</f>
        <v>#REF!</v>
      </c>
      <c r="HN289" t="e">
        <f>IF(#REF!,"AAAAAHf/9d0=",0)</f>
        <v>#REF!</v>
      </c>
      <c r="HO289" t="e">
        <f>IF(#REF!,"AAAAAHf/9d4=",0)</f>
        <v>#REF!</v>
      </c>
      <c r="HP289" t="e">
        <f>IF(#REF!,"AAAAAHf/9d8=",0)</f>
        <v>#REF!</v>
      </c>
      <c r="HQ289" t="e">
        <f>IF(#REF!,"AAAAAHf/9eA=",0)</f>
        <v>#REF!</v>
      </c>
      <c r="HR289" t="e">
        <f>IF(#REF!,"AAAAAHf/9eE=",0)</f>
        <v>#REF!</v>
      </c>
      <c r="HS289" t="e">
        <f>IF(#REF!,"AAAAAHf/9eI=",0)</f>
        <v>#REF!</v>
      </c>
      <c r="HT289" t="e">
        <f>IF(#REF!,"AAAAAHf/9eM=",0)</f>
        <v>#REF!</v>
      </c>
      <c r="HU289" t="e">
        <f>IF(#REF!,"AAAAAHf/9eQ=",0)</f>
        <v>#REF!</v>
      </c>
      <c r="HV289" t="e">
        <f>IF(#REF!,"AAAAAHf/9eU=",0)</f>
        <v>#REF!</v>
      </c>
      <c r="HW289" t="e">
        <f>IF(#REF!,"AAAAAHf/9eY=",0)</f>
        <v>#REF!</v>
      </c>
      <c r="HX289" t="e">
        <f>IF(#REF!,"AAAAAHf/9ec=",0)</f>
        <v>#REF!</v>
      </c>
      <c r="HY289" t="e">
        <f>IF(#REF!,"AAAAAHf/9eg=",0)</f>
        <v>#REF!</v>
      </c>
      <c r="HZ289" t="e">
        <f>IF(#REF!,"AAAAAHf/9ek=",0)</f>
        <v>#REF!</v>
      </c>
      <c r="IA289" t="e">
        <f>IF(#REF!,"AAAAAHf/9eo=",0)</f>
        <v>#REF!</v>
      </c>
      <c r="IB289" t="e">
        <f>IF(#REF!,"AAAAAHf/9es=",0)</f>
        <v>#REF!</v>
      </c>
      <c r="IC289" t="e">
        <f>IF(#REF!,"AAAAAHf/9ew=",0)</f>
        <v>#REF!</v>
      </c>
      <c r="ID289" t="e">
        <f>IF(#REF!,"AAAAAHf/9e0=",0)</f>
        <v>#REF!</v>
      </c>
      <c r="IE289" t="e">
        <f>IF(#REF!,"AAAAAHf/9e4=",0)</f>
        <v>#REF!</v>
      </c>
      <c r="IF289" t="e">
        <f>IF(#REF!,"AAAAAHf/9e8=",0)</f>
        <v>#REF!</v>
      </c>
      <c r="IG289" t="e">
        <f>IF(#REF!,"AAAAAHf/9fA=",0)</f>
        <v>#REF!</v>
      </c>
      <c r="IH289" t="e">
        <f>IF(#REF!,"AAAAAHf/9fE=",0)</f>
        <v>#REF!</v>
      </c>
      <c r="II289" t="e">
        <f>IF(#REF!,"AAAAAHf/9fI=",0)</f>
        <v>#REF!</v>
      </c>
      <c r="IJ289" t="e">
        <f>IF(#REF!,"AAAAAHf/9fM=",0)</f>
        <v>#REF!</v>
      </c>
      <c r="IK289" t="e">
        <f>IF(#REF!,"AAAAAHf/9fQ=",0)</f>
        <v>#REF!</v>
      </c>
      <c r="IL289" t="e">
        <f>IF(#REF!,"AAAAAHf/9fU=",0)</f>
        <v>#REF!</v>
      </c>
      <c r="IM289" t="e">
        <f>IF(#REF!,"AAAAAHf/9fY=",0)</f>
        <v>#REF!</v>
      </c>
      <c r="IN289" t="e">
        <f>IF(#REF!,"AAAAAHf/9fc=",0)</f>
        <v>#REF!</v>
      </c>
      <c r="IO289" t="e">
        <f>IF(#REF!,"AAAAAHf/9fg=",0)</f>
        <v>#REF!</v>
      </c>
      <c r="IP289" t="e">
        <f>IF(#REF!,"AAAAAHf/9fk=",0)</f>
        <v>#REF!</v>
      </c>
      <c r="IQ289" t="e">
        <f>IF(#REF!,"AAAAAHf/9fo=",0)</f>
        <v>#REF!</v>
      </c>
      <c r="IR289" t="e">
        <f>IF(#REF!,"AAAAAHf/9fs=",0)</f>
        <v>#REF!</v>
      </c>
      <c r="IS289" t="e">
        <f>IF(#REF!,"AAAAAHf/9fw=",0)</f>
        <v>#REF!</v>
      </c>
      <c r="IT289" t="e">
        <f>IF(#REF!,"AAAAAHf/9f0=",0)</f>
        <v>#REF!</v>
      </c>
      <c r="IU289" t="e">
        <f>IF(#REF!,"AAAAAHf/9f4=",0)</f>
        <v>#REF!</v>
      </c>
      <c r="IV289" t="e">
        <f>IF(#REF!,"AAAAAHf/9f8=",0)</f>
        <v>#REF!</v>
      </c>
    </row>
    <row r="290" spans="1:256">
      <c r="A290" t="e">
        <f>IF(#REF!,"AAAAAHrvfwA=",0)</f>
        <v>#REF!</v>
      </c>
      <c r="B290" t="e">
        <f>IF(#REF!,"AAAAAHrvfwE=",0)</f>
        <v>#REF!</v>
      </c>
      <c r="C290" t="e">
        <f>IF(#REF!,"AAAAAHrvfwI=",0)</f>
        <v>#REF!</v>
      </c>
      <c r="D290" t="e">
        <f>IF(#REF!,"AAAAAHrvfwM=",0)</f>
        <v>#REF!</v>
      </c>
      <c r="E290" t="e">
        <f>IF(#REF!,"AAAAAHrvfwQ=",0)</f>
        <v>#REF!</v>
      </c>
      <c r="F290" t="e">
        <f>IF(#REF!,"AAAAAHrvfwU=",0)</f>
        <v>#REF!</v>
      </c>
      <c r="G290" t="e">
        <f>IF(#REF!,"AAAAAHrvfwY=",0)</f>
        <v>#REF!</v>
      </c>
      <c r="H290" t="e">
        <f>IF(#REF!,"AAAAAHrvfwc=",0)</f>
        <v>#REF!</v>
      </c>
      <c r="I290" t="e">
        <f>IF(#REF!,"AAAAAHrvfwg=",0)</f>
        <v>#REF!</v>
      </c>
      <c r="J290" t="e">
        <f>IF(#REF!,"AAAAAHrvfwk=",0)</f>
        <v>#REF!</v>
      </c>
      <c r="K290" t="e">
        <f>IF(#REF!,"AAAAAHrvfwo=",0)</f>
        <v>#REF!</v>
      </c>
      <c r="L290" t="e">
        <f>IF(#REF!,"AAAAAHrvfws=",0)</f>
        <v>#REF!</v>
      </c>
      <c r="M290" t="e">
        <f>IF(#REF!,"AAAAAHrvfww=",0)</f>
        <v>#REF!</v>
      </c>
      <c r="N290" t="e">
        <f>IF(#REF!,"AAAAAHrvfw0=",0)</f>
        <v>#REF!</v>
      </c>
      <c r="O290" t="e">
        <f>IF(#REF!,"AAAAAHrvfw4=",0)</f>
        <v>#REF!</v>
      </c>
      <c r="P290" t="e">
        <f>IF(#REF!,"AAAAAHrvfw8=",0)</f>
        <v>#REF!</v>
      </c>
      <c r="Q290" t="e">
        <f>IF(#REF!,"AAAAAHrvfxA=",0)</f>
        <v>#REF!</v>
      </c>
      <c r="R290" t="e">
        <f>IF(#REF!,"AAAAAHrvfxE=",0)</f>
        <v>#REF!</v>
      </c>
      <c r="S290" t="e">
        <f>IF(#REF!,"AAAAAHrvfxI=",0)</f>
        <v>#REF!</v>
      </c>
      <c r="T290" t="e">
        <f>IF(#REF!,"AAAAAHrvfxM=",0)</f>
        <v>#REF!</v>
      </c>
      <c r="U290" t="e">
        <f>IF(#REF!,"AAAAAHrvfxQ=",0)</f>
        <v>#REF!</v>
      </c>
      <c r="V290" t="e">
        <f>IF(#REF!,"AAAAAHrvfxU=",0)</f>
        <v>#REF!</v>
      </c>
      <c r="W290" t="e">
        <f>IF(#REF!,"AAAAAHrvfxY=",0)</f>
        <v>#REF!</v>
      </c>
      <c r="X290" t="e">
        <f>IF(#REF!,"AAAAAHrvfxc=",0)</f>
        <v>#REF!</v>
      </c>
      <c r="Y290" t="e">
        <f>IF(#REF!,"AAAAAHrvfxg=",0)</f>
        <v>#REF!</v>
      </c>
      <c r="Z290" t="e">
        <f>IF(#REF!,"AAAAAHrvfxk=",0)</f>
        <v>#REF!</v>
      </c>
      <c r="AA290" t="e">
        <f>IF(#REF!,"AAAAAHrvfxo=",0)</f>
        <v>#REF!</v>
      </c>
      <c r="AB290" t="e">
        <f>IF(#REF!,"AAAAAHrvfxs=",0)</f>
        <v>#REF!</v>
      </c>
      <c r="AC290" t="e">
        <f>IF(#REF!,"AAAAAHrvfxw=",0)</f>
        <v>#REF!</v>
      </c>
      <c r="AD290" t="e">
        <f>IF(#REF!,"AAAAAHrvfx0=",0)</f>
        <v>#REF!</v>
      </c>
      <c r="AE290" t="e">
        <f>IF(#REF!,"AAAAAHrvfx4=",0)</f>
        <v>#REF!</v>
      </c>
      <c r="AF290" t="e">
        <f>IF(#REF!,"AAAAAHrvfx8=",0)</f>
        <v>#REF!</v>
      </c>
      <c r="AG290" t="e">
        <f>IF(#REF!,"AAAAAHrvfyA=",0)</f>
        <v>#REF!</v>
      </c>
      <c r="AH290" t="e">
        <f>IF(#REF!,"AAAAAHrvfyE=",0)</f>
        <v>#REF!</v>
      </c>
      <c r="AI290" t="e">
        <f>IF(#REF!,"AAAAAHrvfyI=",0)</f>
        <v>#REF!</v>
      </c>
      <c r="AJ290" t="e">
        <f>IF(#REF!,"AAAAAHrvfyM=",0)</f>
        <v>#REF!</v>
      </c>
      <c r="AK290" t="e">
        <f>IF(#REF!,"AAAAAHrvfyQ=",0)</f>
        <v>#REF!</v>
      </c>
      <c r="AL290" t="e">
        <f>IF(#REF!,"AAAAAHrvfyU=",0)</f>
        <v>#REF!</v>
      </c>
      <c r="AM290" t="e">
        <f>IF(#REF!,"AAAAAHrvfyY=",0)</f>
        <v>#REF!</v>
      </c>
      <c r="AN290" t="e">
        <f>IF(#REF!,"AAAAAHrvfyc=",0)</f>
        <v>#REF!</v>
      </c>
      <c r="AO290" t="e">
        <f>IF(#REF!,"AAAAAHrvfyg=",0)</f>
        <v>#REF!</v>
      </c>
      <c r="AP290" t="e">
        <f>IF(#REF!,"AAAAAHrvfyk=",0)</f>
        <v>#REF!</v>
      </c>
      <c r="AQ290" t="e">
        <f>IF(#REF!,"AAAAAHrvfyo=",0)</f>
        <v>#REF!</v>
      </c>
      <c r="AR290" t="e">
        <f>IF(#REF!,"AAAAAHrvfys=",0)</f>
        <v>#REF!</v>
      </c>
      <c r="AS290" t="e">
        <f>IF(#REF!,"AAAAAHrvfyw=",0)</f>
        <v>#REF!</v>
      </c>
      <c r="AT290" t="e">
        <f>IF(#REF!,"AAAAAHrvfy0=",0)</f>
        <v>#REF!</v>
      </c>
      <c r="AU290" t="e">
        <f>IF(#REF!,"AAAAAHrvfy4=",0)</f>
        <v>#REF!</v>
      </c>
      <c r="AV290" t="e">
        <f>IF(#REF!,"AAAAAHrvfy8=",0)</f>
        <v>#REF!</v>
      </c>
      <c r="AW290" t="e">
        <f>IF(#REF!,"AAAAAHrvfzA=",0)</f>
        <v>#REF!</v>
      </c>
      <c r="AX290" t="e">
        <f>IF(#REF!,"AAAAAHrvfzE=",0)</f>
        <v>#REF!</v>
      </c>
      <c r="AY290" t="e">
        <f>IF(#REF!,"AAAAAHrvfzI=",0)</f>
        <v>#REF!</v>
      </c>
      <c r="AZ290" t="e">
        <f>IF(#REF!,"AAAAAHrvfzM=",0)</f>
        <v>#REF!</v>
      </c>
      <c r="BA290" t="e">
        <f>IF(#REF!,"AAAAAHrvfzQ=",0)</f>
        <v>#REF!</v>
      </c>
      <c r="BB290" t="e">
        <f>IF(#REF!,"AAAAAHrvfzU=",0)</f>
        <v>#REF!</v>
      </c>
      <c r="BC290" t="e">
        <f>IF(#REF!,"AAAAAHrvfzY=",0)</f>
        <v>#REF!</v>
      </c>
      <c r="BD290" t="e">
        <f>IF(#REF!,"AAAAAHrvfzc=",0)</f>
        <v>#REF!</v>
      </c>
      <c r="BE290" t="e">
        <f>IF(#REF!,"AAAAAHrvfzg=",0)</f>
        <v>#REF!</v>
      </c>
      <c r="BF290" t="e">
        <f>IF(#REF!,"AAAAAHrvfzk=",0)</f>
        <v>#REF!</v>
      </c>
      <c r="BG290" t="e">
        <f>IF(#REF!,"AAAAAHrvfzo=",0)</f>
        <v>#REF!</v>
      </c>
      <c r="BH290" t="e">
        <f>IF(#REF!,"AAAAAHrvfzs=",0)</f>
        <v>#REF!</v>
      </c>
      <c r="BI290" t="e">
        <f>IF(#REF!,"AAAAAHrvfzw=",0)</f>
        <v>#REF!</v>
      </c>
      <c r="BJ290" t="e">
        <f>IF(#REF!,"AAAAAHrvfz0=",0)</f>
        <v>#REF!</v>
      </c>
      <c r="BK290" t="e">
        <f>IF(#REF!,"AAAAAHrvfz4=",0)</f>
        <v>#REF!</v>
      </c>
      <c r="BL290" t="e">
        <f>IF(#REF!,"AAAAAHrvfz8=",0)</f>
        <v>#REF!</v>
      </c>
      <c r="BM290" t="e">
        <f>IF(#REF!,"AAAAAHrvf0A=",0)</f>
        <v>#REF!</v>
      </c>
      <c r="BN290" t="e">
        <f>IF(#REF!,"AAAAAHrvf0E=",0)</f>
        <v>#REF!</v>
      </c>
      <c r="BO290" t="e">
        <f>IF(#REF!,"AAAAAHrvf0I=",0)</f>
        <v>#REF!</v>
      </c>
      <c r="BP290" t="e">
        <f>IF(#REF!,"AAAAAHrvf0M=",0)</f>
        <v>#REF!</v>
      </c>
      <c r="BQ290" t="e">
        <f>IF(#REF!,"AAAAAHrvf0Q=",0)</f>
        <v>#REF!</v>
      </c>
      <c r="BR290" t="e">
        <f>IF(#REF!,"AAAAAHrvf0U=",0)</f>
        <v>#REF!</v>
      </c>
      <c r="BS290" t="e">
        <f>IF(#REF!,"AAAAAHrvf0Y=",0)</f>
        <v>#REF!</v>
      </c>
      <c r="BT290" t="e">
        <f>IF(#REF!,"AAAAAHrvf0c=",0)</f>
        <v>#REF!</v>
      </c>
      <c r="BU290" t="e">
        <f>IF(#REF!,"AAAAAHrvf0g=",0)</f>
        <v>#REF!</v>
      </c>
      <c r="BV290" t="e">
        <f>IF(#REF!,"AAAAAHrvf0k=",0)</f>
        <v>#REF!</v>
      </c>
      <c r="BW290" t="e">
        <f>IF(#REF!,"AAAAAHrvf0o=",0)</f>
        <v>#REF!</v>
      </c>
      <c r="BX290" t="e">
        <f>IF(#REF!,"AAAAAHrvf0s=",0)</f>
        <v>#REF!</v>
      </c>
      <c r="BY290" t="e">
        <f>IF(#REF!,"AAAAAHrvf0w=",0)</f>
        <v>#REF!</v>
      </c>
      <c r="BZ290" t="e">
        <f>IF(#REF!,"AAAAAHrvf00=",0)</f>
        <v>#REF!</v>
      </c>
      <c r="CA290" t="e">
        <f>IF(#REF!,"AAAAAHrvf04=",0)</f>
        <v>#REF!</v>
      </c>
      <c r="CB290" t="e">
        <f>IF(#REF!,"AAAAAHrvf08=",0)</f>
        <v>#REF!</v>
      </c>
      <c r="CC290" t="e">
        <f>IF(#REF!,"AAAAAHrvf1A=",0)</f>
        <v>#REF!</v>
      </c>
      <c r="CD290" t="e">
        <f>IF(#REF!,"AAAAAHrvf1E=",0)</f>
        <v>#REF!</v>
      </c>
      <c r="CE290" t="e">
        <f>IF(#REF!,"AAAAAHrvf1I=",0)</f>
        <v>#REF!</v>
      </c>
      <c r="CF290" t="e">
        <f>IF(#REF!,"AAAAAHrvf1M=",0)</f>
        <v>#REF!</v>
      </c>
      <c r="CG290" t="e">
        <f>IF(#REF!,"AAAAAHrvf1Q=",0)</f>
        <v>#REF!</v>
      </c>
      <c r="CH290" t="e">
        <f>IF(#REF!,"AAAAAHrvf1U=",0)</f>
        <v>#REF!</v>
      </c>
      <c r="CI290" t="e">
        <f>IF(#REF!,"AAAAAHrvf1Y=",0)</f>
        <v>#REF!</v>
      </c>
      <c r="CJ290" t="e">
        <f>IF(#REF!,"AAAAAHrvf1c=",0)</f>
        <v>#REF!</v>
      </c>
      <c r="CK290" t="e">
        <f>IF(#REF!,"AAAAAHrvf1g=",0)</f>
        <v>#REF!</v>
      </c>
      <c r="CL290" t="e">
        <f>IF(#REF!,"AAAAAHrvf1k=",0)</f>
        <v>#REF!</v>
      </c>
      <c r="CM290" t="e">
        <f>IF(#REF!,"AAAAAHrvf1o=",0)</f>
        <v>#REF!</v>
      </c>
      <c r="CN290" t="e">
        <f>IF(#REF!,"AAAAAHrvf1s=",0)</f>
        <v>#REF!</v>
      </c>
      <c r="CO290" t="e">
        <f>IF(#REF!,"AAAAAHrvf1w=",0)</f>
        <v>#REF!</v>
      </c>
      <c r="CP290" t="e">
        <f>IF(#REF!,"AAAAAHrvf10=",0)</f>
        <v>#REF!</v>
      </c>
      <c r="CQ290" t="e">
        <f>IF(#REF!,"AAAAAHrvf14=",0)</f>
        <v>#REF!</v>
      </c>
      <c r="CR290" t="e">
        <f>IF(#REF!,"AAAAAHrvf18=",0)</f>
        <v>#REF!</v>
      </c>
      <c r="CS290" t="e">
        <f>IF(#REF!,"AAAAAHrvf2A=",0)</f>
        <v>#REF!</v>
      </c>
      <c r="CT290" t="e">
        <f>IF(#REF!,"AAAAAHrvf2E=",0)</f>
        <v>#REF!</v>
      </c>
      <c r="CU290" t="e">
        <f>IF(#REF!,"AAAAAHrvf2I=",0)</f>
        <v>#REF!</v>
      </c>
      <c r="CV290" t="e">
        <f>IF(#REF!,"AAAAAHrvf2M=",0)</f>
        <v>#REF!</v>
      </c>
      <c r="CW290" t="e">
        <f>IF(#REF!,"AAAAAHrvf2Q=",0)</f>
        <v>#REF!</v>
      </c>
      <c r="CX290" t="e">
        <f>IF(#REF!,"AAAAAHrvf2U=",0)</f>
        <v>#REF!</v>
      </c>
      <c r="CY290" t="e">
        <f>IF(#REF!,"AAAAAHrvf2Y=",0)</f>
        <v>#REF!</v>
      </c>
      <c r="CZ290" t="e">
        <f>IF(#REF!,"AAAAAHrvf2c=",0)</f>
        <v>#REF!</v>
      </c>
      <c r="DA290" t="e">
        <f>IF(#REF!,"AAAAAHrvf2g=",0)</f>
        <v>#REF!</v>
      </c>
      <c r="DB290" t="e">
        <f>IF(#REF!,"AAAAAHrvf2k=",0)</f>
        <v>#REF!</v>
      </c>
      <c r="DC290" t="e">
        <f>IF(#REF!,"AAAAAHrvf2o=",0)</f>
        <v>#REF!</v>
      </c>
      <c r="DD290" t="e">
        <f>IF(#REF!,"AAAAAHrvf2s=",0)</f>
        <v>#REF!</v>
      </c>
      <c r="DE290" t="e">
        <f>IF(#REF!,"AAAAAHrvf2w=",0)</f>
        <v>#REF!</v>
      </c>
      <c r="DF290" t="e">
        <f>IF(#REF!,"AAAAAHrvf20=",0)</f>
        <v>#REF!</v>
      </c>
      <c r="DG290" t="e">
        <f>IF(#REF!,"AAAAAHrvf24=",0)</f>
        <v>#REF!</v>
      </c>
      <c r="DH290" t="e">
        <f>IF(#REF!,"AAAAAHrvf28=",0)</f>
        <v>#REF!</v>
      </c>
      <c r="DI290" t="e">
        <f>IF(#REF!,"AAAAAHrvf3A=",0)</f>
        <v>#REF!</v>
      </c>
      <c r="DJ290" t="e">
        <f>IF(#REF!,"AAAAAHrvf3E=",0)</f>
        <v>#REF!</v>
      </c>
      <c r="DK290" t="e">
        <f>IF(#REF!,"AAAAAHrvf3I=",0)</f>
        <v>#REF!</v>
      </c>
      <c r="DL290" t="e">
        <f>IF(#REF!,"AAAAAHrvf3M=",0)</f>
        <v>#REF!</v>
      </c>
      <c r="DM290" t="e">
        <f>IF(#REF!,"AAAAAHrvf3Q=",0)</f>
        <v>#REF!</v>
      </c>
      <c r="DN290" t="e">
        <f>IF(#REF!,"AAAAAHrvf3U=",0)</f>
        <v>#REF!</v>
      </c>
      <c r="DO290" t="e">
        <f>IF(#REF!,"AAAAAHrvf3Y=",0)</f>
        <v>#REF!</v>
      </c>
      <c r="DP290" t="e">
        <f>IF(#REF!,"AAAAAHrvf3c=",0)</f>
        <v>#REF!</v>
      </c>
      <c r="DQ290" t="e">
        <f>IF(#REF!,"AAAAAHrvf3g=",0)</f>
        <v>#REF!</v>
      </c>
      <c r="DR290" t="e">
        <f>IF(#REF!,"AAAAAHrvf3k=",0)</f>
        <v>#REF!</v>
      </c>
      <c r="DS290" t="e">
        <f>IF(#REF!,"AAAAAHrvf3o=",0)</f>
        <v>#REF!</v>
      </c>
      <c r="DT290" t="e">
        <f>IF(#REF!,"AAAAAHrvf3s=",0)</f>
        <v>#REF!</v>
      </c>
      <c r="DU290" t="e">
        <f>IF(#REF!,"AAAAAHrvf3w=",0)</f>
        <v>#REF!</v>
      </c>
      <c r="DV290" t="e">
        <f>IF(#REF!,"AAAAAHrvf30=",0)</f>
        <v>#REF!</v>
      </c>
      <c r="DW290" t="e">
        <f>IF(#REF!,"AAAAAHrvf34=",0)</f>
        <v>#REF!</v>
      </c>
      <c r="DX290" t="e">
        <f>IF(#REF!,"AAAAAHrvf38=",0)</f>
        <v>#REF!</v>
      </c>
      <c r="DY290" t="e">
        <f>IF(#REF!,"AAAAAHrvf4A=",0)</f>
        <v>#REF!</v>
      </c>
      <c r="DZ290" t="e">
        <f>IF(#REF!,"AAAAAHrvf4E=",0)</f>
        <v>#REF!</v>
      </c>
      <c r="EA290" t="e">
        <f>IF(#REF!,"AAAAAHrvf4I=",0)</f>
        <v>#REF!</v>
      </c>
      <c r="EB290" t="e">
        <f>IF(#REF!,"AAAAAHrvf4M=",0)</f>
        <v>#REF!</v>
      </c>
      <c r="EC290" t="e">
        <f>IF(#REF!,"AAAAAHrvf4Q=",0)</f>
        <v>#REF!</v>
      </c>
      <c r="ED290" t="e">
        <f>IF(#REF!,"AAAAAHrvf4U=",0)</f>
        <v>#REF!</v>
      </c>
      <c r="EE290" t="e">
        <f>IF(#REF!,"AAAAAHrvf4Y=",0)</f>
        <v>#REF!</v>
      </c>
      <c r="EF290" t="e">
        <f>IF(#REF!,"AAAAAHrvf4c=",0)</f>
        <v>#REF!</v>
      </c>
      <c r="EG290" t="e">
        <f>IF(#REF!,"AAAAAHrvf4g=",0)</f>
        <v>#REF!</v>
      </c>
      <c r="EH290" t="e">
        <f>IF(#REF!,"AAAAAHrvf4k=",0)</f>
        <v>#REF!</v>
      </c>
      <c r="EI290" t="e">
        <f>IF(#REF!,"AAAAAHrvf4o=",0)</f>
        <v>#REF!</v>
      </c>
      <c r="EJ290" t="e">
        <f>IF(#REF!,"AAAAAHrvf4s=",0)</f>
        <v>#REF!</v>
      </c>
      <c r="EK290" t="e">
        <f>IF(#REF!,"AAAAAHrvf4w=",0)</f>
        <v>#REF!</v>
      </c>
      <c r="EL290" t="e">
        <f>IF(#REF!,"AAAAAHrvf40=",0)</f>
        <v>#REF!</v>
      </c>
      <c r="EM290" t="e">
        <f>IF(#REF!,"AAAAAHrvf44=",0)</f>
        <v>#REF!</v>
      </c>
      <c r="EN290" t="e">
        <f>IF(#REF!,"AAAAAHrvf48=",0)</f>
        <v>#REF!</v>
      </c>
      <c r="EO290" t="e">
        <f>IF(#REF!,"AAAAAHrvf5A=",0)</f>
        <v>#REF!</v>
      </c>
      <c r="EP290" t="e">
        <f>IF(#REF!,"AAAAAHrvf5E=",0)</f>
        <v>#REF!</v>
      </c>
      <c r="EQ290" t="e">
        <f>IF(#REF!,"AAAAAHrvf5I=",0)</f>
        <v>#REF!</v>
      </c>
      <c r="ER290" t="e">
        <f>IF(#REF!,"AAAAAHrvf5M=",0)</f>
        <v>#REF!</v>
      </c>
      <c r="ES290" t="e">
        <f>IF(#REF!,"AAAAAHrvf5Q=",0)</f>
        <v>#REF!</v>
      </c>
      <c r="ET290" t="e">
        <f>IF(#REF!,"AAAAAHrvf5U=",0)</f>
        <v>#REF!</v>
      </c>
      <c r="EU290" t="e">
        <f>IF(#REF!,"AAAAAHrvf5Y=",0)</f>
        <v>#REF!</v>
      </c>
      <c r="EV290" t="e">
        <f>IF(#REF!,"AAAAAHrvf5c=",0)</f>
        <v>#REF!</v>
      </c>
      <c r="EW290" t="e">
        <f>IF(#REF!,"AAAAAHrvf5g=",0)</f>
        <v>#REF!</v>
      </c>
      <c r="EX290" t="e">
        <f>IF(#REF!,"AAAAAHrvf5k=",0)</f>
        <v>#REF!</v>
      </c>
      <c r="EY290" t="e">
        <f>IF(#REF!,"AAAAAHrvf5o=",0)</f>
        <v>#REF!</v>
      </c>
      <c r="EZ290" t="e">
        <f>IF(#REF!,"AAAAAHrvf5s=",0)</f>
        <v>#REF!</v>
      </c>
      <c r="FA290" t="e">
        <f>IF(#REF!,"AAAAAHrvf5w=",0)</f>
        <v>#REF!</v>
      </c>
      <c r="FB290" t="e">
        <f>IF(#REF!,"AAAAAHrvf50=",0)</f>
        <v>#REF!</v>
      </c>
      <c r="FC290" t="e">
        <f>IF(#REF!,"AAAAAHrvf54=",0)</f>
        <v>#REF!</v>
      </c>
      <c r="FD290" t="e">
        <f>IF(#REF!,"AAAAAHrvf58=",0)</f>
        <v>#REF!</v>
      </c>
      <c r="FE290" t="e">
        <f>IF(#REF!,"AAAAAHrvf6A=",0)</f>
        <v>#REF!</v>
      </c>
      <c r="FF290" t="e">
        <f>IF(#REF!,"AAAAAHrvf6E=",0)</f>
        <v>#REF!</v>
      </c>
      <c r="FG290" t="e">
        <f>IF(#REF!,"AAAAAHrvf6I=",0)</f>
        <v>#REF!</v>
      </c>
      <c r="FH290" t="e">
        <f>IF(#REF!,"AAAAAHrvf6M=",0)</f>
        <v>#REF!</v>
      </c>
      <c r="FI290" t="e">
        <f>IF(#REF!,"AAAAAHrvf6Q=",0)</f>
        <v>#REF!</v>
      </c>
      <c r="FJ290" t="e">
        <f>IF(#REF!,"AAAAAHrvf6U=",0)</f>
        <v>#REF!</v>
      </c>
      <c r="FK290" t="e">
        <f>IF(#REF!,"AAAAAHrvf6Y=",0)</f>
        <v>#REF!</v>
      </c>
      <c r="FL290" t="e">
        <f>IF(#REF!,"AAAAAHrvf6c=",0)</f>
        <v>#REF!</v>
      </c>
      <c r="FM290" t="e">
        <f>IF(#REF!,"AAAAAHrvf6g=",0)</f>
        <v>#REF!</v>
      </c>
      <c r="FN290" t="e">
        <f>IF(#REF!,"AAAAAHrvf6k=",0)</f>
        <v>#REF!</v>
      </c>
      <c r="FO290" t="e">
        <f>IF(#REF!,"AAAAAHrvf6o=",0)</f>
        <v>#REF!</v>
      </c>
      <c r="FP290" t="e">
        <f>IF(#REF!,"AAAAAHrvf6s=",0)</f>
        <v>#REF!</v>
      </c>
      <c r="FQ290" t="e">
        <f>IF(#REF!,"AAAAAHrvf6w=",0)</f>
        <v>#REF!</v>
      </c>
      <c r="FR290" t="e">
        <f>IF(#REF!,"AAAAAHrvf60=",0)</f>
        <v>#REF!</v>
      </c>
      <c r="FS290" t="e">
        <f>IF(#REF!,"AAAAAHrvf64=",0)</f>
        <v>#REF!</v>
      </c>
      <c r="FT290" t="e">
        <f>IF(#REF!,"AAAAAHrvf68=",0)</f>
        <v>#REF!</v>
      </c>
      <c r="FU290" t="e">
        <f>IF(#REF!,"AAAAAHrvf7A=",0)</f>
        <v>#REF!</v>
      </c>
      <c r="FV290" t="e">
        <f>IF(#REF!,"AAAAAHrvf7E=",0)</f>
        <v>#REF!</v>
      </c>
      <c r="FW290" t="e">
        <f>IF(#REF!,"AAAAAHrvf7I=",0)</f>
        <v>#REF!</v>
      </c>
      <c r="FX290" t="e">
        <f>IF(#REF!,"AAAAAHrvf7M=",0)</f>
        <v>#REF!</v>
      </c>
      <c r="FY290" t="e">
        <f>IF(#REF!,"AAAAAHrvf7Q=",0)</f>
        <v>#REF!</v>
      </c>
      <c r="FZ290" t="e">
        <f>IF(#REF!,"AAAAAHrvf7U=",0)</f>
        <v>#REF!</v>
      </c>
      <c r="GA290" t="e">
        <f>IF(#REF!,"AAAAAHrvf7Y=",0)</f>
        <v>#REF!</v>
      </c>
      <c r="GB290" t="e">
        <f>IF(#REF!,"AAAAAHrvf7c=",0)</f>
        <v>#REF!</v>
      </c>
      <c r="GC290" t="e">
        <f>IF(#REF!,"AAAAAHrvf7g=",0)</f>
        <v>#REF!</v>
      </c>
      <c r="GD290" t="e">
        <f>IF(#REF!,"AAAAAHrvf7k=",0)</f>
        <v>#REF!</v>
      </c>
      <c r="GE290" t="e">
        <f>IF(#REF!,"AAAAAHrvf7o=",0)</f>
        <v>#REF!</v>
      </c>
      <c r="GF290" t="e">
        <f>IF(#REF!,"AAAAAHrvf7s=",0)</f>
        <v>#REF!</v>
      </c>
      <c r="GG290" t="e">
        <f>IF(#REF!,"AAAAAHrvf7w=",0)</f>
        <v>#REF!</v>
      </c>
      <c r="GH290" t="e">
        <f>IF(#REF!,"AAAAAHrvf70=",0)</f>
        <v>#REF!</v>
      </c>
      <c r="GI290" t="e">
        <f>IF(#REF!,"AAAAAHrvf74=",0)</f>
        <v>#REF!</v>
      </c>
      <c r="GJ290" t="e">
        <f>IF(#REF!,"AAAAAHrvf78=",0)</f>
        <v>#REF!</v>
      </c>
      <c r="GK290" t="e">
        <f>IF(#REF!,"AAAAAHrvf8A=",0)</f>
        <v>#REF!</v>
      </c>
      <c r="GL290" t="e">
        <f>IF(#REF!,"AAAAAHrvf8E=",0)</f>
        <v>#REF!</v>
      </c>
      <c r="GM290" t="e">
        <f>IF(#REF!,"AAAAAHrvf8I=",0)</f>
        <v>#REF!</v>
      </c>
      <c r="GN290" t="e">
        <f>IF(#REF!,"AAAAAHrvf8M=",0)</f>
        <v>#REF!</v>
      </c>
      <c r="GO290" t="e">
        <f>IF(#REF!,"AAAAAHrvf8Q=",0)</f>
        <v>#REF!</v>
      </c>
      <c r="GP290" t="e">
        <f>IF(#REF!,"AAAAAHrvf8U=",0)</f>
        <v>#REF!</v>
      </c>
      <c r="GQ290" t="e">
        <f>IF(#REF!,"AAAAAHrvf8Y=",0)</f>
        <v>#REF!</v>
      </c>
      <c r="GR290" t="e">
        <f>IF(#REF!,"AAAAAHrvf8c=",0)</f>
        <v>#REF!</v>
      </c>
      <c r="GS290" t="e">
        <f>IF(#REF!,"AAAAAHrvf8g=",0)</f>
        <v>#REF!</v>
      </c>
      <c r="GT290" t="e">
        <f>IF(#REF!,"AAAAAHrvf8k=",0)</f>
        <v>#REF!</v>
      </c>
      <c r="GU290" t="e">
        <f>IF(#REF!,"AAAAAHrvf8o=",0)</f>
        <v>#REF!</v>
      </c>
      <c r="GV290" t="e">
        <f>IF(#REF!,"AAAAAHrvf8s=",0)</f>
        <v>#REF!</v>
      </c>
      <c r="GW290" t="e">
        <f>IF(#REF!,"AAAAAHrvf8w=",0)</f>
        <v>#REF!</v>
      </c>
      <c r="GX290" t="e">
        <f>IF(#REF!,"AAAAAHrvf80=",0)</f>
        <v>#REF!</v>
      </c>
      <c r="GY290" t="e">
        <f>IF(#REF!,"AAAAAHrvf84=",0)</f>
        <v>#REF!</v>
      </c>
      <c r="GZ290" t="e">
        <f>IF(#REF!,"AAAAAHrvf88=",0)</f>
        <v>#REF!</v>
      </c>
      <c r="HA290" t="e">
        <f>IF(#REF!,"AAAAAHrvf9A=",0)</f>
        <v>#REF!</v>
      </c>
      <c r="HB290" t="e">
        <f>IF(#REF!,"AAAAAHrvf9E=",0)</f>
        <v>#REF!</v>
      </c>
      <c r="HC290" t="e">
        <f>IF(#REF!,"AAAAAHrvf9I=",0)</f>
        <v>#REF!</v>
      </c>
      <c r="HD290" t="e">
        <f>IF(#REF!,"AAAAAHrvf9M=",0)</f>
        <v>#REF!</v>
      </c>
      <c r="HE290" t="e">
        <f>IF(#REF!,"AAAAAHrvf9Q=",0)</f>
        <v>#REF!</v>
      </c>
      <c r="HF290" t="e">
        <f>IF(#REF!,"AAAAAHrvf9U=",0)</f>
        <v>#REF!</v>
      </c>
      <c r="HG290" t="e">
        <f>IF(#REF!,"AAAAAHrvf9Y=",0)</f>
        <v>#REF!</v>
      </c>
      <c r="HH290" t="e">
        <f>IF(#REF!,"AAAAAHrvf9c=",0)</f>
        <v>#REF!</v>
      </c>
      <c r="HI290" t="e">
        <f>IF(#REF!,"AAAAAHrvf9g=",0)</f>
        <v>#REF!</v>
      </c>
      <c r="HJ290" t="e">
        <f>IF(#REF!,"AAAAAHrvf9k=",0)</f>
        <v>#REF!</v>
      </c>
      <c r="HK290" t="e">
        <f>IF(#REF!,"AAAAAHrvf9o=",0)</f>
        <v>#REF!</v>
      </c>
      <c r="HL290" t="e">
        <f>IF(#REF!,"AAAAAHrvf9s=",0)</f>
        <v>#REF!</v>
      </c>
      <c r="HM290" t="e">
        <f>IF(#REF!,"AAAAAHrvf9w=",0)</f>
        <v>#REF!</v>
      </c>
      <c r="HN290" t="e">
        <f>IF(#REF!,"AAAAAHrvf90=",0)</f>
        <v>#REF!</v>
      </c>
      <c r="HO290" t="e">
        <f>IF(#REF!,"AAAAAHrvf94=",0)</f>
        <v>#REF!</v>
      </c>
      <c r="HP290" t="e">
        <f>IF(#REF!,"AAAAAHrvf98=",0)</f>
        <v>#REF!</v>
      </c>
      <c r="HQ290" t="e">
        <f>IF(#REF!,"AAAAAHrvf+A=",0)</f>
        <v>#REF!</v>
      </c>
      <c r="HR290" t="e">
        <f>IF(#REF!,"AAAAAHrvf+E=",0)</f>
        <v>#REF!</v>
      </c>
      <c r="HS290" t="e">
        <f>IF(#REF!,"AAAAAHrvf+I=",0)</f>
        <v>#REF!</v>
      </c>
      <c r="HT290" t="e">
        <f>IF(#REF!,"AAAAAHrvf+M=",0)</f>
        <v>#REF!</v>
      </c>
      <c r="HU290" t="e">
        <f>IF(#REF!,"AAAAAHrvf+Q=",0)</f>
        <v>#REF!</v>
      </c>
      <c r="HV290" t="e">
        <f>IF(#REF!,"AAAAAHrvf+U=",0)</f>
        <v>#REF!</v>
      </c>
      <c r="HW290" t="e">
        <f>IF(#REF!,"AAAAAHrvf+Y=",0)</f>
        <v>#REF!</v>
      </c>
      <c r="HX290" t="e">
        <f>IF(#REF!,"AAAAAHrvf+c=",0)</f>
        <v>#REF!</v>
      </c>
      <c r="HY290" t="e">
        <f>IF(#REF!,"AAAAAHrvf+g=",0)</f>
        <v>#REF!</v>
      </c>
      <c r="HZ290" t="e">
        <f>IF(#REF!,"AAAAAHrvf+k=",0)</f>
        <v>#REF!</v>
      </c>
      <c r="IA290" t="e">
        <f>IF(#REF!,"AAAAAHrvf+o=",0)</f>
        <v>#REF!</v>
      </c>
      <c r="IB290" t="e">
        <f>IF(#REF!,"AAAAAHrvf+s=",0)</f>
        <v>#REF!</v>
      </c>
      <c r="IC290" t="e">
        <f>IF(#REF!,"AAAAAHrvf+w=",0)</f>
        <v>#REF!</v>
      </c>
      <c r="ID290" t="e">
        <f>IF(#REF!,"AAAAAHrvf+0=",0)</f>
        <v>#REF!</v>
      </c>
      <c r="IE290" t="e">
        <f>IF(#REF!,"AAAAAHrvf+4=",0)</f>
        <v>#REF!</v>
      </c>
      <c r="IF290" t="e">
        <f>IF(#REF!,"AAAAAHrvf+8=",0)</f>
        <v>#REF!</v>
      </c>
      <c r="IG290" t="e">
        <f>IF(#REF!,"AAAAAHrvf/A=",0)</f>
        <v>#REF!</v>
      </c>
      <c r="IH290" t="e">
        <f>IF(#REF!,"AAAAAHrvf/E=",0)</f>
        <v>#REF!</v>
      </c>
      <c r="II290" t="e">
        <f>IF(#REF!,"AAAAAHrvf/I=",0)</f>
        <v>#REF!</v>
      </c>
      <c r="IJ290" t="e">
        <f>IF(#REF!,"AAAAAHrvf/M=",0)</f>
        <v>#REF!</v>
      </c>
      <c r="IK290" t="e">
        <f>IF(#REF!,"AAAAAHrvf/Q=",0)</f>
        <v>#REF!</v>
      </c>
      <c r="IL290" t="e">
        <f>IF(#REF!,"AAAAAHrvf/U=",0)</f>
        <v>#REF!</v>
      </c>
      <c r="IM290" t="e">
        <f>IF(#REF!,"AAAAAHrvf/Y=",0)</f>
        <v>#REF!</v>
      </c>
      <c r="IN290" t="e">
        <f>IF(#REF!,"AAAAAHrvf/c=",0)</f>
        <v>#REF!</v>
      </c>
      <c r="IO290" t="e">
        <f>IF(#REF!,"AAAAAHrvf/g=",0)</f>
        <v>#REF!</v>
      </c>
      <c r="IP290" t="e">
        <f>IF(#REF!,"AAAAAHrvf/k=",0)</f>
        <v>#REF!</v>
      </c>
      <c r="IQ290" t="e">
        <f>IF(#REF!,"AAAAAHrvf/o=",0)</f>
        <v>#REF!</v>
      </c>
      <c r="IR290" t="e">
        <f>IF(#REF!,"AAAAAHrvf/s=",0)</f>
        <v>#REF!</v>
      </c>
      <c r="IS290" t="e">
        <f>IF(#REF!,"AAAAAHrvf/w=",0)</f>
        <v>#REF!</v>
      </c>
      <c r="IT290" t="e">
        <f>IF(#REF!,"AAAAAHrvf/0=",0)</f>
        <v>#REF!</v>
      </c>
      <c r="IU290" t="e">
        <f>IF(#REF!,"AAAAAHrvf/4=",0)</f>
        <v>#REF!</v>
      </c>
      <c r="IV290" t="e">
        <f>IF(#REF!,"AAAAAHrvf/8=",0)</f>
        <v>#REF!</v>
      </c>
    </row>
    <row r="291" spans="1:256">
      <c r="A291" t="e">
        <f>IF(#REF!,"AAAAAH/95gA=",0)</f>
        <v>#REF!</v>
      </c>
      <c r="B291" t="e">
        <f>IF(#REF!,"AAAAAH/95gE=",0)</f>
        <v>#REF!</v>
      </c>
      <c r="C291" t="e">
        <f>IF(#REF!,"AAAAAH/95gI=",0)</f>
        <v>#REF!</v>
      </c>
      <c r="D291" t="e">
        <f>IF(#REF!,"AAAAAH/95gM=",0)</f>
        <v>#REF!</v>
      </c>
      <c r="E291" t="e">
        <f>IF(#REF!,"AAAAAH/95gQ=",0)</f>
        <v>#REF!</v>
      </c>
      <c r="F291" t="e">
        <f>IF(#REF!,"AAAAAH/95gU=",0)</f>
        <v>#REF!</v>
      </c>
      <c r="G291" t="e">
        <f>IF(#REF!,"AAAAAH/95gY=",0)</f>
        <v>#REF!</v>
      </c>
      <c r="H291" t="e">
        <f>IF(#REF!,"AAAAAH/95gc=",0)</f>
        <v>#REF!</v>
      </c>
      <c r="I291" t="e">
        <f>IF(#REF!,"AAAAAH/95gg=",0)</f>
        <v>#REF!</v>
      </c>
      <c r="J291" t="e">
        <f>IF(#REF!,"AAAAAH/95gk=",0)</f>
        <v>#REF!</v>
      </c>
      <c r="K291" t="e">
        <f>IF(#REF!,"AAAAAH/95go=",0)</f>
        <v>#REF!</v>
      </c>
      <c r="L291" t="e">
        <f>IF(#REF!,"AAAAAH/95gs=",0)</f>
        <v>#REF!</v>
      </c>
      <c r="M291" t="e">
        <f>IF(#REF!,"AAAAAH/95gw=",0)</f>
        <v>#REF!</v>
      </c>
      <c r="N291" t="e">
        <f>IF(#REF!,"AAAAAH/95g0=",0)</f>
        <v>#REF!</v>
      </c>
      <c r="O291" t="e">
        <f>IF(#REF!,"AAAAAH/95g4=",0)</f>
        <v>#REF!</v>
      </c>
      <c r="P291" t="e">
        <f>IF(#REF!,"AAAAAH/95g8=",0)</f>
        <v>#REF!</v>
      </c>
      <c r="Q291" t="e">
        <f>IF(#REF!,"AAAAAH/95hA=",0)</f>
        <v>#REF!</v>
      </c>
      <c r="R291" t="e">
        <f>IF(#REF!,"AAAAAH/95hE=",0)</f>
        <v>#REF!</v>
      </c>
      <c r="S291" t="e">
        <f>IF(#REF!,"AAAAAH/95hI=",0)</f>
        <v>#REF!</v>
      </c>
      <c r="T291" t="e">
        <f>IF(#REF!,"AAAAAH/95hM=",0)</f>
        <v>#REF!</v>
      </c>
      <c r="U291" t="e">
        <f>IF(#REF!,"AAAAAH/95hQ=",0)</f>
        <v>#REF!</v>
      </c>
      <c r="V291" t="e">
        <f>IF(#REF!,"AAAAAH/95hU=",0)</f>
        <v>#REF!</v>
      </c>
      <c r="W291" t="e">
        <f>IF(#REF!,"AAAAAH/95hY=",0)</f>
        <v>#REF!</v>
      </c>
      <c r="X291" t="e">
        <f>IF(#REF!,"AAAAAH/95hc=",0)</f>
        <v>#REF!</v>
      </c>
      <c r="Y291" t="e">
        <f>IF(#REF!,"AAAAAH/95hg=",0)</f>
        <v>#REF!</v>
      </c>
      <c r="Z291" t="e">
        <f>IF(#REF!,"AAAAAH/95hk=",0)</f>
        <v>#REF!</v>
      </c>
      <c r="AA291" t="e">
        <f>IF(#REF!,"AAAAAH/95ho=",0)</f>
        <v>#REF!</v>
      </c>
      <c r="AB291" t="e">
        <f>IF(#REF!,"AAAAAH/95hs=",0)</f>
        <v>#REF!</v>
      </c>
      <c r="AC291" t="e">
        <f>IF(#REF!,"AAAAAH/95hw=",0)</f>
        <v>#REF!</v>
      </c>
      <c r="AD291" t="e">
        <f>IF(#REF!,"AAAAAH/95h0=",0)</f>
        <v>#REF!</v>
      </c>
      <c r="AE291" t="e">
        <f>IF(#REF!,"AAAAAH/95h4=",0)</f>
        <v>#REF!</v>
      </c>
      <c r="AF291" t="e">
        <f>IF(#REF!,"AAAAAH/95h8=",0)</f>
        <v>#REF!</v>
      </c>
      <c r="AG291" t="e">
        <f>IF(#REF!,"AAAAAH/95iA=",0)</f>
        <v>#REF!</v>
      </c>
      <c r="AH291" t="e">
        <f>IF(#REF!,"AAAAAH/95iE=",0)</f>
        <v>#REF!</v>
      </c>
      <c r="AI291" t="e">
        <f>IF(#REF!,"AAAAAH/95iI=",0)</f>
        <v>#REF!</v>
      </c>
      <c r="AJ291" t="e">
        <f>IF(#REF!,"AAAAAH/95iM=",0)</f>
        <v>#REF!</v>
      </c>
      <c r="AK291" t="e">
        <f>IF(#REF!,"AAAAAH/95iQ=",0)</f>
        <v>#REF!</v>
      </c>
      <c r="AL291" t="e">
        <f>IF(#REF!,"AAAAAH/95iU=",0)</f>
        <v>#REF!</v>
      </c>
      <c r="AM291" t="e">
        <f>IF(#REF!,"AAAAAH/95iY=",0)</f>
        <v>#REF!</v>
      </c>
      <c r="AN291" t="e">
        <f>IF(#REF!,"AAAAAH/95ic=",0)</f>
        <v>#REF!</v>
      </c>
      <c r="AO291" t="e">
        <f>IF(#REF!,"AAAAAH/95ig=",0)</f>
        <v>#REF!</v>
      </c>
      <c r="AP291" t="e">
        <f>IF(#REF!,"AAAAAH/95ik=",0)</f>
        <v>#REF!</v>
      </c>
      <c r="AQ291" t="e">
        <f>IF(#REF!,"AAAAAH/95io=",0)</f>
        <v>#REF!</v>
      </c>
      <c r="AR291" t="e">
        <f>IF(#REF!,"AAAAAH/95is=",0)</f>
        <v>#REF!</v>
      </c>
      <c r="AS291" t="e">
        <f>IF(#REF!,"AAAAAH/95iw=",0)</f>
        <v>#REF!</v>
      </c>
      <c r="AT291" t="e">
        <f>IF(#REF!,"AAAAAH/95i0=",0)</f>
        <v>#REF!</v>
      </c>
      <c r="AU291" t="e">
        <f>IF(#REF!,"AAAAAH/95i4=",0)</f>
        <v>#REF!</v>
      </c>
      <c r="AV291" t="e">
        <f>IF(#REF!,"AAAAAH/95i8=",0)</f>
        <v>#REF!</v>
      </c>
      <c r="AW291" t="e">
        <f>IF(#REF!,"AAAAAH/95jA=",0)</f>
        <v>#REF!</v>
      </c>
      <c r="AX291" t="e">
        <f>IF(#REF!,"AAAAAH/95jE=",0)</f>
        <v>#REF!</v>
      </c>
      <c r="AY291" t="e">
        <f>IF(#REF!,"AAAAAH/95jI=",0)</f>
        <v>#REF!</v>
      </c>
      <c r="AZ291" t="e">
        <f>IF(#REF!,"AAAAAH/95jM=",0)</f>
        <v>#REF!</v>
      </c>
      <c r="BA291" t="e">
        <f>IF(#REF!,"AAAAAH/95jQ=",0)</f>
        <v>#REF!</v>
      </c>
      <c r="BB291" t="e">
        <f>IF(#REF!,"AAAAAH/95jU=",0)</f>
        <v>#REF!</v>
      </c>
      <c r="BC291" t="e">
        <f>IF(#REF!,"AAAAAH/95jY=",0)</f>
        <v>#REF!</v>
      </c>
      <c r="BD291" t="e">
        <f>IF(#REF!,"AAAAAH/95jc=",0)</f>
        <v>#REF!</v>
      </c>
      <c r="BE291" t="e">
        <f>IF(#REF!,"AAAAAH/95jg=",0)</f>
        <v>#REF!</v>
      </c>
      <c r="BF291" t="e">
        <f>IF(#REF!,"AAAAAH/95jk=",0)</f>
        <v>#REF!</v>
      </c>
      <c r="BG291" t="e">
        <f>IF(#REF!,"AAAAAH/95jo=",0)</f>
        <v>#REF!</v>
      </c>
      <c r="BH291" t="e">
        <f>IF(#REF!,"AAAAAH/95js=",0)</f>
        <v>#REF!</v>
      </c>
      <c r="BI291" t="e">
        <f>IF(#REF!,"AAAAAH/95jw=",0)</f>
        <v>#REF!</v>
      </c>
      <c r="BJ291" t="e">
        <f>IF(#REF!,"AAAAAH/95j0=",0)</f>
        <v>#REF!</v>
      </c>
      <c r="BK291" t="e">
        <f>IF(#REF!,"AAAAAH/95j4=",0)</f>
        <v>#REF!</v>
      </c>
      <c r="BL291" t="e">
        <f>IF(#REF!,"AAAAAH/95j8=",0)</f>
        <v>#REF!</v>
      </c>
      <c r="BM291" t="e">
        <f>IF(#REF!,"AAAAAH/95kA=",0)</f>
        <v>#REF!</v>
      </c>
      <c r="BN291" t="e">
        <f>IF(#REF!,"AAAAAH/95kE=",0)</f>
        <v>#REF!</v>
      </c>
      <c r="BO291" t="e">
        <f>IF(#REF!,"AAAAAH/95kI=",0)</f>
        <v>#REF!</v>
      </c>
      <c r="BP291" t="e">
        <f>IF(#REF!,"AAAAAH/95kM=",0)</f>
        <v>#REF!</v>
      </c>
      <c r="BQ291" t="e">
        <f>IF(#REF!,"AAAAAH/95kQ=",0)</f>
        <v>#REF!</v>
      </c>
      <c r="BR291" t="e">
        <f>IF(#REF!,"AAAAAH/95kU=",0)</f>
        <v>#REF!</v>
      </c>
      <c r="BS291" t="e">
        <f>IF(#REF!,"AAAAAH/95kY=",0)</f>
        <v>#REF!</v>
      </c>
      <c r="BT291" t="e">
        <f>IF(#REF!,"AAAAAH/95kc=",0)</f>
        <v>#REF!</v>
      </c>
      <c r="BU291" t="e">
        <f>IF(#REF!,"AAAAAH/95kg=",0)</f>
        <v>#REF!</v>
      </c>
      <c r="BV291" t="e">
        <f>IF(#REF!,"AAAAAH/95kk=",0)</f>
        <v>#REF!</v>
      </c>
      <c r="BW291" t="e">
        <f>IF(#REF!,"AAAAAH/95ko=",0)</f>
        <v>#REF!</v>
      </c>
      <c r="BX291" t="e">
        <f>IF(#REF!,"AAAAAH/95ks=",0)</f>
        <v>#REF!</v>
      </c>
      <c r="BY291" t="e">
        <f>IF(#REF!,"AAAAAH/95kw=",0)</f>
        <v>#REF!</v>
      </c>
      <c r="BZ291" t="e">
        <f>IF(#REF!,"AAAAAH/95k0=",0)</f>
        <v>#REF!</v>
      </c>
      <c r="CA291" t="e">
        <f>IF(#REF!,"AAAAAH/95k4=",0)</f>
        <v>#REF!</v>
      </c>
      <c r="CB291" t="e">
        <f>IF(#REF!,"AAAAAH/95k8=",0)</f>
        <v>#REF!</v>
      </c>
      <c r="CC291" t="e">
        <f>IF(#REF!,"AAAAAH/95lA=",0)</f>
        <v>#REF!</v>
      </c>
      <c r="CD291" t="e">
        <f>IF(#REF!,"AAAAAH/95lE=",0)</f>
        <v>#REF!</v>
      </c>
      <c r="CE291" t="e">
        <f>IF(#REF!,"AAAAAH/95lI=",0)</f>
        <v>#REF!</v>
      </c>
      <c r="CF291" t="e">
        <f>IF(#REF!,"AAAAAH/95lM=",0)</f>
        <v>#REF!</v>
      </c>
      <c r="CG291" t="e">
        <f>IF(#REF!,"AAAAAH/95lQ=",0)</f>
        <v>#REF!</v>
      </c>
      <c r="CH291" t="e">
        <f>IF(#REF!,"AAAAAH/95lU=",0)</f>
        <v>#REF!</v>
      </c>
      <c r="CI291" t="e">
        <f>IF(#REF!,"AAAAAH/95lY=",0)</f>
        <v>#REF!</v>
      </c>
      <c r="CJ291" t="e">
        <f>IF(#REF!,"AAAAAH/95lc=",0)</f>
        <v>#REF!</v>
      </c>
      <c r="CK291" t="e">
        <f>IF(#REF!,"AAAAAH/95lg=",0)</f>
        <v>#REF!</v>
      </c>
      <c r="CL291" t="e">
        <f>IF(#REF!,"AAAAAH/95lk=",0)</f>
        <v>#REF!</v>
      </c>
      <c r="CM291" t="e">
        <f>IF(#REF!,"AAAAAH/95lo=",0)</f>
        <v>#REF!</v>
      </c>
      <c r="CN291" t="e">
        <f>IF(#REF!,"AAAAAH/95ls=",0)</f>
        <v>#REF!</v>
      </c>
      <c r="CO291" t="e">
        <f>IF(#REF!,"AAAAAH/95lw=",0)</f>
        <v>#REF!</v>
      </c>
      <c r="CP291" t="e">
        <f>IF(#REF!,"AAAAAH/95l0=",0)</f>
        <v>#REF!</v>
      </c>
      <c r="CQ291" t="e">
        <f>IF(#REF!,"AAAAAH/95l4=",0)</f>
        <v>#REF!</v>
      </c>
      <c r="CR291" t="e">
        <f>IF(#REF!,"AAAAAH/95l8=",0)</f>
        <v>#REF!</v>
      </c>
      <c r="CS291" t="e">
        <f>IF(#REF!,"AAAAAH/95mA=",0)</f>
        <v>#REF!</v>
      </c>
      <c r="CT291" t="e">
        <f>IF(#REF!,"AAAAAH/95mE=",0)</f>
        <v>#REF!</v>
      </c>
      <c r="CU291" t="e">
        <f>IF(#REF!,"AAAAAH/95mI=",0)</f>
        <v>#REF!</v>
      </c>
      <c r="CV291" t="e">
        <f>IF(#REF!,"AAAAAH/95mM=",0)</f>
        <v>#REF!</v>
      </c>
      <c r="CW291" t="e">
        <f>IF(#REF!,"AAAAAH/95mQ=",0)</f>
        <v>#REF!</v>
      </c>
      <c r="CX291" t="e">
        <f>IF(#REF!,"AAAAAH/95mU=",0)</f>
        <v>#REF!</v>
      </c>
      <c r="CY291" t="e">
        <f>IF(#REF!,"AAAAAH/95mY=",0)</f>
        <v>#REF!</v>
      </c>
      <c r="CZ291" t="e">
        <f>IF(#REF!,"AAAAAH/95mc=",0)</f>
        <v>#REF!</v>
      </c>
      <c r="DA291" t="e">
        <f>IF(#REF!,"AAAAAH/95mg=",0)</f>
        <v>#REF!</v>
      </c>
      <c r="DB291" t="e">
        <f>IF(#REF!,"AAAAAH/95mk=",0)</f>
        <v>#REF!</v>
      </c>
      <c r="DC291" t="e">
        <f>IF(#REF!,"AAAAAH/95mo=",0)</f>
        <v>#REF!</v>
      </c>
      <c r="DD291" t="e">
        <f>IF(#REF!,"AAAAAH/95ms=",0)</f>
        <v>#REF!</v>
      </c>
      <c r="DE291" t="e">
        <f>IF(#REF!,"AAAAAH/95mw=",0)</f>
        <v>#REF!</v>
      </c>
      <c r="DF291" t="e">
        <f>IF(#REF!,"AAAAAH/95m0=",0)</f>
        <v>#REF!</v>
      </c>
      <c r="DG291" t="e">
        <f>IF(#REF!,"AAAAAH/95m4=",0)</f>
        <v>#REF!</v>
      </c>
      <c r="DH291" t="e">
        <f>IF(#REF!,"AAAAAH/95m8=",0)</f>
        <v>#REF!</v>
      </c>
      <c r="DI291" t="e">
        <f>IF(#REF!,"AAAAAH/95nA=",0)</f>
        <v>#REF!</v>
      </c>
      <c r="DJ291" t="e">
        <f>IF(#REF!,"AAAAAH/95nE=",0)</f>
        <v>#REF!</v>
      </c>
      <c r="DK291" t="e">
        <f>IF(#REF!,"AAAAAH/95nI=",0)</f>
        <v>#REF!</v>
      </c>
      <c r="DL291" t="e">
        <f>IF(#REF!,"AAAAAH/95nM=",0)</f>
        <v>#REF!</v>
      </c>
      <c r="DM291" t="e">
        <f>IF(#REF!,"AAAAAH/95nQ=",0)</f>
        <v>#REF!</v>
      </c>
      <c r="DN291" t="e">
        <f>IF(#REF!,"AAAAAH/95nU=",0)</f>
        <v>#REF!</v>
      </c>
      <c r="DO291" t="e">
        <f>IF(#REF!,"AAAAAH/95nY=",0)</f>
        <v>#REF!</v>
      </c>
      <c r="DP291" t="e">
        <f>IF(#REF!,"AAAAAH/95nc=",0)</f>
        <v>#REF!</v>
      </c>
      <c r="DQ291" t="e">
        <f>IF(#REF!,"AAAAAH/95ng=",0)</f>
        <v>#REF!</v>
      </c>
      <c r="DR291" t="e">
        <f>IF(#REF!,"AAAAAH/95nk=",0)</f>
        <v>#REF!</v>
      </c>
      <c r="DS291" t="e">
        <f>IF(#REF!,"AAAAAH/95no=",0)</f>
        <v>#REF!</v>
      </c>
      <c r="DT291" t="e">
        <f>IF(#REF!,"AAAAAH/95ns=",0)</f>
        <v>#REF!</v>
      </c>
      <c r="DU291" t="e">
        <f>IF(#REF!,"AAAAAH/95nw=",0)</f>
        <v>#REF!</v>
      </c>
      <c r="DV291" t="e">
        <f>IF(#REF!,"AAAAAH/95n0=",0)</f>
        <v>#REF!</v>
      </c>
      <c r="DW291" t="e">
        <f>IF(#REF!,"AAAAAH/95n4=",0)</f>
        <v>#REF!</v>
      </c>
      <c r="DX291" t="e">
        <f>IF(#REF!,"AAAAAH/95n8=",0)</f>
        <v>#REF!</v>
      </c>
      <c r="DY291" t="e">
        <f>IF(#REF!,"AAAAAH/95oA=",0)</f>
        <v>#REF!</v>
      </c>
      <c r="DZ291" t="e">
        <f>IF(#REF!,"AAAAAH/95oE=",0)</f>
        <v>#REF!</v>
      </c>
      <c r="EA291" t="e">
        <f>IF(#REF!,"AAAAAH/95oI=",0)</f>
        <v>#REF!</v>
      </c>
      <c r="EB291" t="e">
        <f>IF(#REF!,"AAAAAH/95oM=",0)</f>
        <v>#REF!</v>
      </c>
      <c r="EC291" t="e">
        <f>IF(#REF!,"AAAAAH/95oQ=",0)</f>
        <v>#REF!</v>
      </c>
      <c r="ED291" t="e">
        <f>IF(#REF!,"AAAAAH/95oU=",0)</f>
        <v>#REF!</v>
      </c>
      <c r="EE291" t="e">
        <f>IF(#REF!,"AAAAAH/95oY=",0)</f>
        <v>#REF!</v>
      </c>
      <c r="EF291" t="e">
        <f>IF(#REF!,"AAAAAH/95oc=",0)</f>
        <v>#REF!</v>
      </c>
      <c r="EG291" t="e">
        <f>IF(#REF!,"AAAAAH/95og=",0)</f>
        <v>#REF!</v>
      </c>
      <c r="EH291" t="e">
        <f>IF(#REF!,"AAAAAH/95ok=",0)</f>
        <v>#REF!</v>
      </c>
      <c r="EI291" t="e">
        <f>IF(#REF!,"AAAAAH/95oo=",0)</f>
        <v>#REF!</v>
      </c>
      <c r="EJ291" t="e">
        <f>IF(#REF!,"AAAAAH/95os=",0)</f>
        <v>#REF!</v>
      </c>
      <c r="EK291" t="e">
        <f>IF(#REF!,"AAAAAH/95ow=",0)</f>
        <v>#REF!</v>
      </c>
      <c r="EL291" t="e">
        <f>IF(#REF!,"AAAAAH/95o0=",0)</f>
        <v>#REF!</v>
      </c>
      <c r="EM291" t="e">
        <f>IF(#REF!,"AAAAAH/95o4=",0)</f>
        <v>#REF!</v>
      </c>
      <c r="EN291" t="e">
        <f>IF(#REF!,"AAAAAH/95o8=",0)</f>
        <v>#REF!</v>
      </c>
      <c r="EO291" t="e">
        <f>IF(#REF!,"AAAAAH/95pA=",0)</f>
        <v>#REF!</v>
      </c>
      <c r="EP291" t="e">
        <f>IF(#REF!,"AAAAAH/95pE=",0)</f>
        <v>#REF!</v>
      </c>
      <c r="EQ291" t="e">
        <f>IF(#REF!,"AAAAAH/95pI=",0)</f>
        <v>#REF!</v>
      </c>
      <c r="ER291" t="e">
        <f>IF(#REF!,"AAAAAH/95pM=",0)</f>
        <v>#REF!</v>
      </c>
      <c r="ES291" t="e">
        <f>IF(#REF!,"AAAAAH/95pQ=",0)</f>
        <v>#REF!</v>
      </c>
      <c r="ET291" t="e">
        <f>IF(#REF!,"AAAAAH/95pU=",0)</f>
        <v>#REF!</v>
      </c>
      <c r="EU291" t="e">
        <f>IF(#REF!,"AAAAAH/95pY=",0)</f>
        <v>#REF!</v>
      </c>
      <c r="EV291" t="e">
        <f>IF(#REF!,"AAAAAH/95pc=",0)</f>
        <v>#REF!</v>
      </c>
      <c r="EW291" t="e">
        <f>IF(#REF!,"AAAAAH/95pg=",0)</f>
        <v>#REF!</v>
      </c>
      <c r="EX291" t="e">
        <f>IF(#REF!,"AAAAAH/95pk=",0)</f>
        <v>#REF!</v>
      </c>
      <c r="EY291" t="e">
        <f>IF(#REF!,"AAAAAH/95po=",0)</f>
        <v>#REF!</v>
      </c>
      <c r="EZ291" t="e">
        <f>IF(#REF!,"AAAAAH/95ps=",0)</f>
        <v>#REF!</v>
      </c>
      <c r="FA291" t="e">
        <f>IF(#REF!,"AAAAAH/95pw=",0)</f>
        <v>#REF!</v>
      </c>
      <c r="FB291" t="e">
        <f>IF(#REF!,"AAAAAH/95p0=",0)</f>
        <v>#REF!</v>
      </c>
      <c r="FC291" t="e">
        <f>IF(#REF!,"AAAAAH/95p4=",0)</f>
        <v>#REF!</v>
      </c>
      <c r="FD291" t="e">
        <f>IF(#REF!,"AAAAAH/95p8=",0)</f>
        <v>#REF!</v>
      </c>
      <c r="FE291" t="e">
        <f>IF(#REF!,"AAAAAH/95qA=",0)</f>
        <v>#REF!</v>
      </c>
      <c r="FF291" t="e">
        <f>IF(#REF!,"AAAAAH/95qE=",0)</f>
        <v>#REF!</v>
      </c>
      <c r="FG291" t="e">
        <f>IF(#REF!,"AAAAAH/95qI=",0)</f>
        <v>#REF!</v>
      </c>
      <c r="FH291" t="e">
        <f>IF(#REF!,"AAAAAH/95qM=",0)</f>
        <v>#REF!</v>
      </c>
      <c r="FI291" t="e">
        <f>IF(#REF!,"AAAAAH/95qQ=",0)</f>
        <v>#REF!</v>
      </c>
      <c r="FJ291" t="e">
        <f>IF(#REF!,"AAAAAH/95qU=",0)</f>
        <v>#REF!</v>
      </c>
      <c r="FK291" t="e">
        <f>IF(#REF!,"AAAAAH/95qY=",0)</f>
        <v>#REF!</v>
      </c>
      <c r="FL291" t="e">
        <f>IF(#REF!,"AAAAAH/95qc=",0)</f>
        <v>#REF!</v>
      </c>
      <c r="FM291" t="e">
        <f>IF(#REF!,"AAAAAH/95qg=",0)</f>
        <v>#REF!</v>
      </c>
      <c r="FN291" t="e">
        <f>IF(#REF!,"AAAAAH/95qk=",0)</f>
        <v>#REF!</v>
      </c>
      <c r="FO291" t="e">
        <f>IF(#REF!,"AAAAAH/95qo=",0)</f>
        <v>#REF!</v>
      </c>
      <c r="FP291" t="e">
        <f>IF(#REF!,"AAAAAH/95qs=",0)</f>
        <v>#REF!</v>
      </c>
      <c r="FQ291" t="e">
        <f>IF(#REF!,"AAAAAH/95qw=",0)</f>
        <v>#REF!</v>
      </c>
      <c r="FR291" t="e">
        <f>IF(#REF!,"AAAAAH/95q0=",0)</f>
        <v>#REF!</v>
      </c>
      <c r="FS291" t="e">
        <f>IF(#REF!,"AAAAAH/95q4=",0)</f>
        <v>#REF!</v>
      </c>
      <c r="FT291" t="e">
        <f>IF(#REF!,"AAAAAH/95q8=",0)</f>
        <v>#REF!</v>
      </c>
      <c r="FU291" t="e">
        <f>IF(#REF!,"AAAAAH/95rA=",0)</f>
        <v>#REF!</v>
      </c>
      <c r="FV291" t="e">
        <f>IF(#REF!,"AAAAAH/95rE=",0)</f>
        <v>#REF!</v>
      </c>
      <c r="FW291" t="e">
        <f>IF(#REF!,"AAAAAH/95rI=",0)</f>
        <v>#REF!</v>
      </c>
      <c r="FX291" t="e">
        <f>IF(#REF!,"AAAAAH/95rM=",0)</f>
        <v>#REF!</v>
      </c>
      <c r="FY291" t="e">
        <f>IF(#REF!,"AAAAAH/95rQ=",0)</f>
        <v>#REF!</v>
      </c>
      <c r="FZ291" t="e">
        <f>IF(#REF!,"AAAAAH/95rU=",0)</f>
        <v>#REF!</v>
      </c>
      <c r="GA291" t="e">
        <f>IF(#REF!,"AAAAAH/95rY=",0)</f>
        <v>#REF!</v>
      </c>
      <c r="GB291" t="e">
        <f>IF(#REF!,"AAAAAH/95rc=",0)</f>
        <v>#REF!</v>
      </c>
      <c r="GC291" t="e">
        <f>IF(#REF!,"AAAAAH/95rg=",0)</f>
        <v>#REF!</v>
      </c>
      <c r="GD291" t="e">
        <f>IF(#REF!,"AAAAAH/95rk=",0)</f>
        <v>#REF!</v>
      </c>
      <c r="GE291" t="e">
        <f>IF(#REF!,"AAAAAH/95ro=",0)</f>
        <v>#REF!</v>
      </c>
      <c r="GF291" t="e">
        <f>IF(#REF!,"AAAAAH/95rs=",0)</f>
        <v>#REF!</v>
      </c>
      <c r="GG291" t="e">
        <f>IF(#REF!,"AAAAAH/95rw=",0)</f>
        <v>#REF!</v>
      </c>
      <c r="GH291" t="e">
        <f>IF(#REF!,"AAAAAH/95r0=",0)</f>
        <v>#REF!</v>
      </c>
      <c r="GI291" t="e">
        <f>IF(#REF!,"AAAAAH/95r4=",0)</f>
        <v>#REF!</v>
      </c>
      <c r="GJ291" t="e">
        <f>IF(#REF!,"AAAAAH/95r8=",0)</f>
        <v>#REF!</v>
      </c>
      <c r="GK291" t="e">
        <f>IF(#REF!,"AAAAAH/95sA=",0)</f>
        <v>#REF!</v>
      </c>
      <c r="GL291" t="e">
        <f>IF(#REF!,"AAAAAH/95sE=",0)</f>
        <v>#REF!</v>
      </c>
      <c r="GM291" t="e">
        <f>IF(#REF!,"AAAAAH/95sI=",0)</f>
        <v>#REF!</v>
      </c>
      <c r="GN291" t="e">
        <f>IF(#REF!,"AAAAAH/95sM=",0)</f>
        <v>#REF!</v>
      </c>
      <c r="GO291" t="e">
        <f>IF(#REF!,"AAAAAH/95sQ=",0)</f>
        <v>#REF!</v>
      </c>
      <c r="GP291" t="e">
        <f>IF(#REF!,"AAAAAH/95sU=",0)</f>
        <v>#REF!</v>
      </c>
      <c r="GQ291" t="e">
        <f>IF(#REF!,"AAAAAH/95sY=",0)</f>
        <v>#REF!</v>
      </c>
      <c r="GR291" t="e">
        <f>IF(#REF!,"AAAAAH/95sc=",0)</f>
        <v>#REF!</v>
      </c>
      <c r="GS291" t="e">
        <f>IF(#REF!,"AAAAAH/95sg=",0)</f>
        <v>#REF!</v>
      </c>
      <c r="GT291" t="e">
        <f>IF(#REF!,"AAAAAH/95sk=",0)</f>
        <v>#REF!</v>
      </c>
      <c r="GU291" t="e">
        <f>IF(#REF!,"AAAAAH/95so=",0)</f>
        <v>#REF!</v>
      </c>
      <c r="GV291" t="e">
        <f>IF(#REF!,"AAAAAH/95ss=",0)</f>
        <v>#REF!</v>
      </c>
      <c r="GW291" t="e">
        <f>IF(#REF!,"AAAAAH/95sw=",0)</f>
        <v>#REF!</v>
      </c>
      <c r="GX291" t="e">
        <f>IF(#REF!,"AAAAAH/95s0=",0)</f>
        <v>#REF!</v>
      </c>
      <c r="GY291" t="e">
        <f>IF(#REF!,"AAAAAH/95s4=",0)</f>
        <v>#REF!</v>
      </c>
      <c r="GZ291" t="e">
        <f>IF(#REF!,"AAAAAH/95s8=",0)</f>
        <v>#REF!</v>
      </c>
      <c r="HA291" t="e">
        <f>IF(#REF!,"AAAAAH/95tA=",0)</f>
        <v>#REF!</v>
      </c>
      <c r="HB291" t="e">
        <f>IF(#REF!,"AAAAAH/95tE=",0)</f>
        <v>#REF!</v>
      </c>
      <c r="HC291" t="e">
        <f>IF(#REF!,"AAAAAH/95tI=",0)</f>
        <v>#REF!</v>
      </c>
      <c r="HD291" t="e">
        <f>IF(#REF!,"AAAAAH/95tM=",0)</f>
        <v>#REF!</v>
      </c>
      <c r="HE291" t="e">
        <f>IF(#REF!,"AAAAAH/95tQ=",0)</f>
        <v>#REF!</v>
      </c>
      <c r="HF291" t="e">
        <f>IF(#REF!,"AAAAAH/95tU=",0)</f>
        <v>#REF!</v>
      </c>
      <c r="HG291" t="e">
        <f>IF(#REF!,"AAAAAH/95tY=",0)</f>
        <v>#REF!</v>
      </c>
      <c r="HH291" t="e">
        <f>IF(#REF!,"AAAAAH/95tc=",0)</f>
        <v>#REF!</v>
      </c>
      <c r="HI291" t="e">
        <f>IF(#REF!,"AAAAAH/95tg=",0)</f>
        <v>#REF!</v>
      </c>
      <c r="HJ291" t="e">
        <f>IF(#REF!,"AAAAAH/95tk=",0)</f>
        <v>#REF!</v>
      </c>
      <c r="HK291" t="e">
        <f>IF(#REF!,"AAAAAH/95to=",0)</f>
        <v>#REF!</v>
      </c>
      <c r="HL291" t="e">
        <f>IF(#REF!,"AAAAAH/95ts=",0)</f>
        <v>#REF!</v>
      </c>
      <c r="HM291" t="e">
        <f>IF(#REF!,"AAAAAH/95tw=",0)</f>
        <v>#REF!</v>
      </c>
      <c r="HN291" t="e">
        <f>IF(#REF!,"AAAAAH/95t0=",0)</f>
        <v>#REF!</v>
      </c>
      <c r="HO291" t="e">
        <f>IF(#REF!,"AAAAAH/95t4=",0)</f>
        <v>#REF!</v>
      </c>
      <c r="HP291" t="e">
        <f>IF(#REF!,"AAAAAH/95t8=",0)</f>
        <v>#REF!</v>
      </c>
      <c r="HQ291" t="e">
        <f>IF(#REF!,"AAAAAH/95uA=",0)</f>
        <v>#REF!</v>
      </c>
      <c r="HR291" t="e">
        <f>IF(#REF!,"AAAAAH/95uE=",0)</f>
        <v>#REF!</v>
      </c>
      <c r="HS291" t="e">
        <f>IF(#REF!,"AAAAAH/95uI=",0)</f>
        <v>#REF!</v>
      </c>
      <c r="HT291" t="e">
        <f>IF(#REF!,"AAAAAH/95uM=",0)</f>
        <v>#REF!</v>
      </c>
      <c r="HU291" t="e">
        <f>IF(#REF!,"AAAAAH/95uQ=",0)</f>
        <v>#REF!</v>
      </c>
      <c r="HV291" t="e">
        <f>IF(#REF!,"AAAAAH/95uU=",0)</f>
        <v>#REF!</v>
      </c>
      <c r="HW291" t="e">
        <f>IF(#REF!,"AAAAAH/95uY=",0)</f>
        <v>#REF!</v>
      </c>
      <c r="HX291" t="e">
        <f>IF(#REF!,"AAAAAH/95uc=",0)</f>
        <v>#REF!</v>
      </c>
      <c r="HY291" t="e">
        <f>IF(#REF!,"AAAAAH/95ug=",0)</f>
        <v>#REF!</v>
      </c>
      <c r="HZ291" t="e">
        <f>IF(#REF!,"AAAAAH/95uk=",0)</f>
        <v>#REF!</v>
      </c>
      <c r="IA291" t="e">
        <f>IF(#REF!,"AAAAAH/95uo=",0)</f>
        <v>#REF!</v>
      </c>
      <c r="IB291" t="e">
        <f>IF(#REF!,"AAAAAH/95us=",0)</f>
        <v>#REF!</v>
      </c>
      <c r="IC291" t="e">
        <f>IF(#REF!,"AAAAAH/95uw=",0)</f>
        <v>#REF!</v>
      </c>
      <c r="ID291" t="e">
        <f>IF(#REF!,"AAAAAH/95u0=",0)</f>
        <v>#REF!</v>
      </c>
      <c r="IE291" t="e">
        <f>IF(#REF!,"AAAAAH/95u4=",0)</f>
        <v>#REF!</v>
      </c>
      <c r="IF291" t="e">
        <f>IF(#REF!,"AAAAAH/95u8=",0)</f>
        <v>#REF!</v>
      </c>
      <c r="IG291" t="e">
        <f>IF(#REF!,"AAAAAH/95vA=",0)</f>
        <v>#REF!</v>
      </c>
      <c r="IH291" t="e">
        <f>IF(#REF!,"AAAAAH/95vE=",0)</f>
        <v>#REF!</v>
      </c>
      <c r="II291" t="e">
        <f>IF(#REF!,"AAAAAH/95vI=",0)</f>
        <v>#REF!</v>
      </c>
      <c r="IJ291" t="e">
        <f>IF(#REF!,"AAAAAH/95vM=",0)</f>
        <v>#REF!</v>
      </c>
      <c r="IK291" t="e">
        <f>IF(#REF!,"AAAAAH/95vQ=",0)</f>
        <v>#REF!</v>
      </c>
      <c r="IL291" t="e">
        <f>IF(#REF!,"AAAAAH/95vU=",0)</f>
        <v>#REF!</v>
      </c>
      <c r="IM291" t="e">
        <f>IF(#REF!,"AAAAAH/95vY=",0)</f>
        <v>#REF!</v>
      </c>
      <c r="IN291" t="e">
        <f>IF(#REF!,"AAAAAH/95vc=",0)</f>
        <v>#REF!</v>
      </c>
      <c r="IO291" t="e">
        <f>IF(#REF!,"AAAAAH/95vg=",0)</f>
        <v>#REF!</v>
      </c>
      <c r="IP291" t="e">
        <f>IF(#REF!,"AAAAAH/95vk=",0)</f>
        <v>#REF!</v>
      </c>
      <c r="IQ291" t="e">
        <f>IF(#REF!,"AAAAAH/95vo=",0)</f>
        <v>#REF!</v>
      </c>
      <c r="IR291" t="e">
        <f>IF(#REF!,"AAAAAH/95vs=",0)</f>
        <v>#REF!</v>
      </c>
      <c r="IS291" t="e">
        <f>IF(#REF!,"AAAAAH/95vw=",0)</f>
        <v>#REF!</v>
      </c>
      <c r="IT291" t="e">
        <f>IF(#REF!,"AAAAAH/95v0=",0)</f>
        <v>#REF!</v>
      </c>
      <c r="IU291" t="e">
        <f>IF(#REF!,"AAAAAH/95v4=",0)</f>
        <v>#REF!</v>
      </c>
      <c r="IV291" t="e">
        <f>IF(#REF!,"AAAAAH/95v8=",0)</f>
        <v>#REF!</v>
      </c>
    </row>
    <row r="292" spans="1:256">
      <c r="A292" t="e">
        <f>IF(#REF!,"AAAAAH9/ZwA=",0)</f>
        <v>#REF!</v>
      </c>
      <c r="B292" t="e">
        <f>IF(#REF!,"AAAAAH9/ZwE=",0)</f>
        <v>#REF!</v>
      </c>
      <c r="C292" t="e">
        <f>IF(#REF!,"AAAAAH9/ZwI=",0)</f>
        <v>#REF!</v>
      </c>
      <c r="D292" t="e">
        <f>IF(#REF!,"AAAAAH9/ZwM=",0)</f>
        <v>#REF!</v>
      </c>
      <c r="E292" t="e">
        <f>IF(#REF!,"AAAAAH9/ZwQ=",0)</f>
        <v>#REF!</v>
      </c>
      <c r="F292" t="e">
        <f>IF(#REF!,"AAAAAH9/ZwU=",0)</f>
        <v>#REF!</v>
      </c>
      <c r="G292" t="e">
        <f>IF(#REF!,"AAAAAH9/ZwY=",0)</f>
        <v>#REF!</v>
      </c>
      <c r="H292" t="e">
        <f>IF(#REF!,"AAAAAH9/Zwc=",0)</f>
        <v>#REF!</v>
      </c>
      <c r="I292" t="e">
        <f>IF(#REF!,"AAAAAH9/Zwg=",0)</f>
        <v>#REF!</v>
      </c>
      <c r="J292" t="e">
        <f>IF(#REF!,"AAAAAH9/Zwk=",0)</f>
        <v>#REF!</v>
      </c>
      <c r="K292" t="e">
        <f>IF(#REF!,"AAAAAH9/Zwo=",0)</f>
        <v>#REF!</v>
      </c>
      <c r="L292" t="e">
        <f>IF(#REF!,"AAAAAH9/Zws=",0)</f>
        <v>#REF!</v>
      </c>
      <c r="M292" t="e">
        <f>IF(#REF!,"AAAAAH9/Zww=",0)</f>
        <v>#REF!</v>
      </c>
      <c r="N292" t="e">
        <f>IF(#REF!,"AAAAAH9/Zw0=",0)</f>
        <v>#REF!</v>
      </c>
      <c r="O292" t="e">
        <f>IF(#REF!,"AAAAAH9/Zw4=",0)</f>
        <v>#REF!</v>
      </c>
      <c r="P292" t="e">
        <f>IF(#REF!,"AAAAAH9/Zw8=",0)</f>
        <v>#REF!</v>
      </c>
      <c r="Q292" t="e">
        <f>IF(#REF!,"AAAAAH9/ZxA=",0)</f>
        <v>#REF!</v>
      </c>
      <c r="R292" t="e">
        <f>IF(#REF!,"AAAAAH9/ZxE=",0)</f>
        <v>#REF!</v>
      </c>
      <c r="S292" t="e">
        <f>IF(#REF!,"AAAAAH9/ZxI=",0)</f>
        <v>#REF!</v>
      </c>
      <c r="T292" t="e">
        <f>IF(#REF!,"AAAAAH9/ZxM=",0)</f>
        <v>#REF!</v>
      </c>
      <c r="U292" t="e">
        <f>IF(#REF!,"AAAAAH9/ZxQ=",0)</f>
        <v>#REF!</v>
      </c>
      <c r="V292" t="e">
        <f>IF(#REF!,"AAAAAH9/ZxU=",0)</f>
        <v>#REF!</v>
      </c>
      <c r="W292" t="e">
        <f>IF(#REF!,"AAAAAH9/ZxY=",0)</f>
        <v>#REF!</v>
      </c>
      <c r="X292" t="e">
        <f>IF(#REF!,"AAAAAH9/Zxc=",0)</f>
        <v>#REF!</v>
      </c>
      <c r="Y292" t="e">
        <f>IF(#REF!,"AAAAAH9/Zxg=",0)</f>
        <v>#REF!</v>
      </c>
      <c r="Z292" t="e">
        <f>IF(#REF!,"AAAAAH9/Zxk=",0)</f>
        <v>#REF!</v>
      </c>
      <c r="AA292" t="e">
        <f>IF(#REF!,"AAAAAH9/Zxo=",0)</f>
        <v>#REF!</v>
      </c>
      <c r="AB292" t="e">
        <f>IF(#REF!,"AAAAAH9/Zxs=",0)</f>
        <v>#REF!</v>
      </c>
      <c r="AC292" t="e">
        <f>IF(#REF!,"AAAAAH9/Zxw=",0)</f>
        <v>#REF!</v>
      </c>
      <c r="AD292" t="e">
        <f>IF(#REF!,"AAAAAH9/Zx0=",0)</f>
        <v>#REF!</v>
      </c>
      <c r="AE292" t="e">
        <f>IF(#REF!,"AAAAAH9/Zx4=",0)</f>
        <v>#REF!</v>
      </c>
      <c r="AF292" t="e">
        <f>IF(#REF!,"AAAAAH9/Zx8=",0)</f>
        <v>#REF!</v>
      </c>
      <c r="AG292" t="e">
        <f>IF(#REF!,"AAAAAH9/ZyA=",0)</f>
        <v>#REF!</v>
      </c>
      <c r="AH292" t="e">
        <f>IF(#REF!,"AAAAAH9/ZyE=",0)</f>
        <v>#REF!</v>
      </c>
      <c r="AI292" t="e">
        <f>IF(#REF!,"AAAAAH9/ZyI=",0)</f>
        <v>#REF!</v>
      </c>
      <c r="AJ292" t="e">
        <f>IF(#REF!,"AAAAAH9/ZyM=",0)</f>
        <v>#REF!</v>
      </c>
      <c r="AK292" t="e">
        <f>IF(#REF!,"AAAAAH9/ZyQ=",0)</f>
        <v>#REF!</v>
      </c>
      <c r="AL292" t="e">
        <f>IF(#REF!,"AAAAAH9/ZyU=",0)</f>
        <v>#REF!</v>
      </c>
      <c r="AM292" t="e">
        <f>IF(#REF!,"AAAAAH9/ZyY=",0)</f>
        <v>#REF!</v>
      </c>
      <c r="AN292" t="e">
        <f>IF(#REF!,"AAAAAH9/Zyc=",0)</f>
        <v>#REF!</v>
      </c>
      <c r="AO292" t="e">
        <f>IF(#REF!,"AAAAAH9/Zyg=",0)</f>
        <v>#REF!</v>
      </c>
      <c r="AP292" t="e">
        <f>IF(#REF!,"AAAAAH9/Zyk=",0)</f>
        <v>#REF!</v>
      </c>
      <c r="AQ292" t="e">
        <f>IF(#REF!,"AAAAAH9/Zyo=",0)</f>
        <v>#REF!</v>
      </c>
      <c r="AR292" t="e">
        <f>IF(#REF!,"AAAAAH9/Zys=",0)</f>
        <v>#REF!</v>
      </c>
      <c r="AS292" t="e">
        <f>IF(#REF!,"AAAAAH9/Zyw=",0)</f>
        <v>#REF!</v>
      </c>
      <c r="AT292" t="e">
        <f>IF(#REF!,"AAAAAH9/Zy0=",0)</f>
        <v>#REF!</v>
      </c>
      <c r="AU292" t="e">
        <f>IF(#REF!,"AAAAAH9/Zy4=",0)</f>
        <v>#REF!</v>
      </c>
      <c r="AV292" t="e">
        <f>IF(#REF!,"AAAAAH9/Zy8=",0)</f>
        <v>#REF!</v>
      </c>
      <c r="AW292" t="e">
        <f>IF(#REF!,"AAAAAH9/ZzA=",0)</f>
        <v>#REF!</v>
      </c>
      <c r="AX292" t="e">
        <f>IF(#REF!,"AAAAAH9/ZzE=",0)</f>
        <v>#REF!</v>
      </c>
      <c r="AY292" t="e">
        <f>IF(#REF!,"AAAAAH9/ZzI=",0)</f>
        <v>#REF!</v>
      </c>
      <c r="AZ292" t="e">
        <f>IF(#REF!,"AAAAAH9/ZzM=",0)</f>
        <v>#REF!</v>
      </c>
      <c r="BA292" t="e">
        <f>IF(#REF!,"AAAAAH9/ZzQ=",0)</f>
        <v>#REF!</v>
      </c>
      <c r="BB292" t="e">
        <f>IF(#REF!,"AAAAAH9/ZzU=",0)</f>
        <v>#REF!</v>
      </c>
      <c r="BC292" t="e">
        <f>IF(#REF!,"AAAAAH9/ZzY=",0)</f>
        <v>#REF!</v>
      </c>
      <c r="BD292" t="e">
        <f>IF(#REF!,"AAAAAH9/Zzc=",0)</f>
        <v>#REF!</v>
      </c>
      <c r="BE292" t="e">
        <f>IF(#REF!,"AAAAAH9/Zzg=",0)</f>
        <v>#REF!</v>
      </c>
      <c r="BF292" t="e">
        <f>IF(#REF!,"AAAAAH9/Zzk=",0)</f>
        <v>#REF!</v>
      </c>
      <c r="BG292" t="e">
        <f>IF(#REF!,"AAAAAH9/Zzo=",0)</f>
        <v>#REF!</v>
      </c>
      <c r="BH292" t="e">
        <f>IF(#REF!,"AAAAAH9/Zzs=",0)</f>
        <v>#REF!</v>
      </c>
      <c r="BI292" t="e">
        <f>IF(#REF!,"AAAAAH9/Zzw=",0)</f>
        <v>#REF!</v>
      </c>
      <c r="BJ292" t="e">
        <f>IF(#REF!,"AAAAAH9/Zz0=",0)</f>
        <v>#REF!</v>
      </c>
      <c r="BK292" t="e">
        <f>IF(#REF!,"AAAAAH9/Zz4=",0)</f>
        <v>#REF!</v>
      </c>
      <c r="BL292" t="e">
        <f>IF(#REF!,"AAAAAH9/Zz8=",0)</f>
        <v>#REF!</v>
      </c>
      <c r="BM292" t="e">
        <f>IF(#REF!,"AAAAAH9/Z0A=",0)</f>
        <v>#REF!</v>
      </c>
      <c r="BN292" t="e">
        <f>IF(#REF!,"AAAAAH9/Z0E=",0)</f>
        <v>#REF!</v>
      </c>
      <c r="BO292" t="e">
        <f>IF(#REF!,"AAAAAH9/Z0I=",0)</f>
        <v>#REF!</v>
      </c>
      <c r="BP292" t="e">
        <f>IF(#REF!,"AAAAAH9/Z0M=",0)</f>
        <v>#REF!</v>
      </c>
      <c r="BQ292" t="e">
        <f>IF(#REF!,"AAAAAH9/Z0Q=",0)</f>
        <v>#REF!</v>
      </c>
      <c r="BR292" t="e">
        <f>IF(#REF!,"AAAAAH9/Z0U=",0)</f>
        <v>#REF!</v>
      </c>
      <c r="BS292" t="e">
        <f>IF(#REF!,"AAAAAH9/Z0Y=",0)</f>
        <v>#REF!</v>
      </c>
      <c r="BT292" t="e">
        <f>IF(#REF!,"AAAAAH9/Z0c=",0)</f>
        <v>#REF!</v>
      </c>
      <c r="BU292" t="e">
        <f>IF(#REF!,"AAAAAH9/Z0g=",0)</f>
        <v>#REF!</v>
      </c>
      <c r="BV292" t="e">
        <f>IF(#REF!,"AAAAAH9/Z0k=",0)</f>
        <v>#REF!</v>
      </c>
      <c r="BW292" t="e">
        <f>IF(#REF!,"AAAAAH9/Z0o=",0)</f>
        <v>#REF!</v>
      </c>
      <c r="BX292" t="e">
        <f>IF(#REF!,"AAAAAH9/Z0s=",0)</f>
        <v>#REF!</v>
      </c>
      <c r="BY292" t="e">
        <f>IF(#REF!,"AAAAAH9/Z0w=",0)</f>
        <v>#REF!</v>
      </c>
      <c r="BZ292" t="e">
        <f>IF(#REF!,"AAAAAH9/Z00=",0)</f>
        <v>#REF!</v>
      </c>
      <c r="CA292" t="e">
        <f>IF(#REF!,"AAAAAH9/Z04=",0)</f>
        <v>#REF!</v>
      </c>
      <c r="CB292" t="e">
        <f>IF(#REF!,"AAAAAH9/Z08=",0)</f>
        <v>#REF!</v>
      </c>
      <c r="CC292" t="e">
        <f>IF(#REF!,"AAAAAH9/Z1A=",0)</f>
        <v>#REF!</v>
      </c>
      <c r="CD292" t="e">
        <f>IF(#REF!,"AAAAAH9/Z1E=",0)</f>
        <v>#REF!</v>
      </c>
      <c r="CE292" t="e">
        <f>IF(#REF!,"AAAAAH9/Z1I=",0)</f>
        <v>#REF!</v>
      </c>
      <c r="CF292" t="e">
        <f>IF(#REF!,"AAAAAH9/Z1M=",0)</f>
        <v>#REF!</v>
      </c>
      <c r="CG292" t="e">
        <f>IF(#REF!,"AAAAAH9/Z1Q=",0)</f>
        <v>#REF!</v>
      </c>
      <c r="CH292" t="e">
        <f>IF(#REF!,"AAAAAH9/Z1U=",0)</f>
        <v>#REF!</v>
      </c>
      <c r="CI292" t="e">
        <f>IF(#REF!,"AAAAAH9/Z1Y=",0)</f>
        <v>#REF!</v>
      </c>
      <c r="CJ292" t="e">
        <f>IF(#REF!,"AAAAAH9/Z1c=",0)</f>
        <v>#REF!</v>
      </c>
      <c r="CK292" t="e">
        <f>IF(#REF!,"AAAAAH9/Z1g=",0)</f>
        <v>#REF!</v>
      </c>
      <c r="CL292" t="e">
        <f>IF(#REF!,"AAAAAH9/Z1k=",0)</f>
        <v>#REF!</v>
      </c>
      <c r="CM292" t="e">
        <f>IF(#REF!,"AAAAAH9/Z1o=",0)</f>
        <v>#REF!</v>
      </c>
      <c r="CN292" t="e">
        <f>IF(#REF!,"AAAAAH9/Z1s=",0)</f>
        <v>#REF!</v>
      </c>
      <c r="CO292" t="e">
        <f>IF(#REF!,"AAAAAH9/Z1w=",0)</f>
        <v>#REF!</v>
      </c>
      <c r="CP292" t="e">
        <f>IF(#REF!,"AAAAAH9/Z10=",0)</f>
        <v>#REF!</v>
      </c>
      <c r="CQ292" t="e">
        <f>IF(#REF!,"AAAAAH9/Z14=",0)</f>
        <v>#REF!</v>
      </c>
      <c r="CR292" t="e">
        <f>IF(#REF!,"AAAAAH9/Z18=",0)</f>
        <v>#REF!</v>
      </c>
      <c r="CS292" t="e">
        <f>IF(#REF!,"AAAAAH9/Z2A=",0)</f>
        <v>#REF!</v>
      </c>
      <c r="CT292" t="e">
        <f>IF(#REF!,"AAAAAH9/Z2E=",0)</f>
        <v>#REF!</v>
      </c>
      <c r="CU292" t="e">
        <f>IF(#REF!,"AAAAAH9/Z2I=",0)</f>
        <v>#REF!</v>
      </c>
      <c r="CV292" t="e">
        <f>IF(#REF!,"AAAAAH9/Z2M=",0)</f>
        <v>#REF!</v>
      </c>
      <c r="CW292" t="e">
        <f>IF(#REF!,"AAAAAH9/Z2Q=",0)</f>
        <v>#REF!</v>
      </c>
      <c r="CX292" t="e">
        <f>IF(#REF!,"AAAAAH9/Z2U=",0)</f>
        <v>#REF!</v>
      </c>
      <c r="CY292" t="e">
        <f>IF(#REF!,"AAAAAH9/Z2Y=",0)</f>
        <v>#REF!</v>
      </c>
      <c r="CZ292" t="e">
        <f>IF(#REF!,"AAAAAH9/Z2c=",0)</f>
        <v>#REF!</v>
      </c>
      <c r="DA292" t="e">
        <f>IF(#REF!,"AAAAAH9/Z2g=",0)</f>
        <v>#REF!</v>
      </c>
      <c r="DB292" t="e">
        <f>IF(#REF!,"AAAAAH9/Z2k=",0)</f>
        <v>#REF!</v>
      </c>
      <c r="DC292" t="e">
        <f>IF(#REF!,"AAAAAH9/Z2o=",0)</f>
        <v>#REF!</v>
      </c>
      <c r="DD292" t="e">
        <f>IF(#REF!,"AAAAAH9/Z2s=",0)</f>
        <v>#REF!</v>
      </c>
      <c r="DE292" t="e">
        <f>IF(#REF!,"AAAAAH9/Z2w=",0)</f>
        <v>#REF!</v>
      </c>
      <c r="DF292" t="e">
        <f>IF(#REF!,"AAAAAH9/Z20=",0)</f>
        <v>#REF!</v>
      </c>
      <c r="DG292" t="e">
        <f>IF(#REF!,"AAAAAH9/Z24=",0)</f>
        <v>#REF!</v>
      </c>
      <c r="DH292" t="e">
        <f>IF(#REF!,"AAAAAH9/Z28=",0)</f>
        <v>#REF!</v>
      </c>
      <c r="DI292" t="e">
        <f>IF(#REF!,"AAAAAH9/Z3A=",0)</f>
        <v>#REF!</v>
      </c>
      <c r="DJ292" t="e">
        <f>IF(#REF!,"AAAAAH9/Z3E=",0)</f>
        <v>#REF!</v>
      </c>
      <c r="DK292" t="e">
        <f>IF(#REF!,"AAAAAH9/Z3I=",0)</f>
        <v>#REF!</v>
      </c>
      <c r="DL292" t="e">
        <f>IF(#REF!,"AAAAAH9/Z3M=",0)</f>
        <v>#REF!</v>
      </c>
      <c r="DM292" t="e">
        <f>IF(#REF!,"AAAAAH9/Z3Q=",0)</f>
        <v>#REF!</v>
      </c>
      <c r="DN292" t="e">
        <f>IF(#REF!,"AAAAAH9/Z3U=",0)</f>
        <v>#REF!</v>
      </c>
      <c r="DO292" t="e">
        <f>IF(#REF!,"AAAAAH9/Z3Y=",0)</f>
        <v>#REF!</v>
      </c>
      <c r="DP292" t="e">
        <f>IF(#REF!,"AAAAAH9/Z3c=",0)</f>
        <v>#REF!</v>
      </c>
      <c r="DQ292" t="e">
        <f>IF(#REF!,"AAAAAH9/Z3g=",0)</f>
        <v>#REF!</v>
      </c>
      <c r="DR292" t="e">
        <f>IF(#REF!,"AAAAAH9/Z3k=",0)</f>
        <v>#REF!</v>
      </c>
      <c r="DS292" t="e">
        <f>IF(#REF!,"AAAAAH9/Z3o=",0)</f>
        <v>#REF!</v>
      </c>
      <c r="DT292" t="e">
        <f>IF(#REF!,"AAAAAH9/Z3s=",0)</f>
        <v>#REF!</v>
      </c>
      <c r="DU292" t="e">
        <f>IF(#REF!,"AAAAAH9/Z3w=",0)</f>
        <v>#REF!</v>
      </c>
      <c r="DV292" t="e">
        <f>IF(#REF!,"AAAAAH9/Z30=",0)</f>
        <v>#REF!</v>
      </c>
      <c r="DW292" t="e">
        <f>IF(#REF!,"AAAAAH9/Z34=",0)</f>
        <v>#REF!</v>
      </c>
      <c r="DX292" t="e">
        <f>IF(#REF!,"AAAAAH9/Z38=",0)</f>
        <v>#REF!</v>
      </c>
      <c r="DY292" t="e">
        <f>IF(#REF!,"AAAAAH9/Z4A=",0)</f>
        <v>#REF!</v>
      </c>
      <c r="DZ292" t="e">
        <f>IF(#REF!,"AAAAAH9/Z4E=",0)</f>
        <v>#REF!</v>
      </c>
      <c r="EA292" t="e">
        <f>IF(#REF!,"AAAAAH9/Z4I=",0)</f>
        <v>#REF!</v>
      </c>
      <c r="EB292" t="e">
        <f>IF(#REF!,"AAAAAH9/Z4M=",0)</f>
        <v>#REF!</v>
      </c>
      <c r="EC292" t="e">
        <f>IF(#REF!,"AAAAAH9/Z4Q=",0)</f>
        <v>#REF!</v>
      </c>
      <c r="ED292" t="e">
        <f>IF(#REF!,"AAAAAH9/Z4U=",0)</f>
        <v>#REF!</v>
      </c>
      <c r="EE292" t="e">
        <f>IF(#REF!,"AAAAAH9/Z4Y=",0)</f>
        <v>#REF!</v>
      </c>
      <c r="EF292" t="e">
        <f>IF(#REF!,"AAAAAH9/Z4c=",0)</f>
        <v>#REF!</v>
      </c>
      <c r="EG292" t="e">
        <f>IF(#REF!,"AAAAAH9/Z4g=",0)</f>
        <v>#REF!</v>
      </c>
      <c r="EH292" t="e">
        <f>IF(#REF!,"AAAAAH9/Z4k=",0)</f>
        <v>#REF!</v>
      </c>
      <c r="EI292" t="e">
        <f>IF(#REF!,"AAAAAH9/Z4o=",0)</f>
        <v>#REF!</v>
      </c>
      <c r="EJ292" t="e">
        <f>IF(#REF!,"AAAAAH9/Z4s=",0)</f>
        <v>#REF!</v>
      </c>
      <c r="EK292" t="e">
        <f>IF(#REF!,"AAAAAH9/Z4w=",0)</f>
        <v>#REF!</v>
      </c>
      <c r="EL292" t="e">
        <f>IF(#REF!,"AAAAAH9/Z40=",0)</f>
        <v>#REF!</v>
      </c>
      <c r="EM292" t="e">
        <f>IF(#REF!,"AAAAAH9/Z44=",0)</f>
        <v>#REF!</v>
      </c>
      <c r="EN292" t="e">
        <f>IF(#REF!,"AAAAAH9/Z48=",0)</f>
        <v>#REF!</v>
      </c>
      <c r="EO292" t="e">
        <f>IF(#REF!,"AAAAAH9/Z5A=",0)</f>
        <v>#REF!</v>
      </c>
      <c r="EP292" t="e">
        <f>IF(#REF!,"AAAAAH9/Z5E=",0)</f>
        <v>#REF!</v>
      </c>
      <c r="EQ292" t="e">
        <f>IF(#REF!,"AAAAAH9/Z5I=",0)</f>
        <v>#REF!</v>
      </c>
      <c r="ER292" t="e">
        <f>IF(#REF!,"AAAAAH9/Z5M=",0)</f>
        <v>#REF!</v>
      </c>
      <c r="ES292" t="e">
        <f>IF(#REF!,"AAAAAH9/Z5Q=",0)</f>
        <v>#REF!</v>
      </c>
      <c r="ET292" t="e">
        <f>IF(#REF!,"AAAAAH9/Z5U=",0)</f>
        <v>#REF!</v>
      </c>
      <c r="EU292" t="e">
        <f>IF(#REF!,"AAAAAH9/Z5Y=",0)</f>
        <v>#REF!</v>
      </c>
      <c r="EV292" t="e">
        <f>IF(#REF!,"AAAAAH9/Z5c=",0)</f>
        <v>#REF!</v>
      </c>
      <c r="EW292" t="e">
        <f>IF(#REF!,"AAAAAH9/Z5g=",0)</f>
        <v>#REF!</v>
      </c>
      <c r="EX292" t="e">
        <f>IF(#REF!,"AAAAAH9/Z5k=",0)</f>
        <v>#REF!</v>
      </c>
      <c r="EY292" t="e">
        <f>IF(#REF!,"AAAAAH9/Z5o=",0)</f>
        <v>#REF!</v>
      </c>
      <c r="EZ292" t="e">
        <f>IF(#REF!,"AAAAAH9/Z5s=",0)</f>
        <v>#REF!</v>
      </c>
      <c r="FA292" t="e">
        <f>IF(#REF!,"AAAAAH9/Z5w=",0)</f>
        <v>#REF!</v>
      </c>
      <c r="FB292" t="e">
        <f>IF(#REF!,"AAAAAH9/Z50=",0)</f>
        <v>#REF!</v>
      </c>
      <c r="FC292" t="e">
        <f>IF(#REF!,"AAAAAH9/Z54=",0)</f>
        <v>#REF!</v>
      </c>
      <c r="FD292" t="e">
        <f>IF(#REF!,"AAAAAH9/Z58=",0)</f>
        <v>#REF!</v>
      </c>
      <c r="FE292" t="e">
        <f>IF(#REF!,"AAAAAH9/Z6A=",0)</f>
        <v>#REF!</v>
      </c>
      <c r="FF292" t="e">
        <f>IF(#REF!,"AAAAAH9/Z6E=",0)</f>
        <v>#REF!</v>
      </c>
      <c r="FG292" t="e">
        <f>IF(#REF!,"AAAAAH9/Z6I=",0)</f>
        <v>#REF!</v>
      </c>
      <c r="FH292" t="e">
        <f>IF(#REF!,"AAAAAH9/Z6M=",0)</f>
        <v>#REF!</v>
      </c>
      <c r="FI292" t="e">
        <f>IF(#REF!,"AAAAAH9/Z6Q=",0)</f>
        <v>#REF!</v>
      </c>
      <c r="FJ292" t="e">
        <f>IF(#REF!,"AAAAAH9/Z6U=",0)</f>
        <v>#REF!</v>
      </c>
      <c r="FK292" t="e">
        <f>IF(#REF!,"AAAAAH9/Z6Y=",0)</f>
        <v>#REF!</v>
      </c>
      <c r="FL292" t="e">
        <f>IF(#REF!,"AAAAAH9/Z6c=",0)</f>
        <v>#REF!</v>
      </c>
      <c r="FM292" t="e">
        <f>IF(#REF!,"AAAAAH9/Z6g=",0)</f>
        <v>#REF!</v>
      </c>
      <c r="FN292" t="e">
        <f>IF(#REF!,"AAAAAH9/Z6k=",0)</f>
        <v>#REF!</v>
      </c>
      <c r="FO292" t="e">
        <f>IF(#REF!,"AAAAAH9/Z6o=",0)</f>
        <v>#REF!</v>
      </c>
      <c r="FP292" t="e">
        <f>IF(#REF!,"AAAAAH9/Z6s=",0)</f>
        <v>#REF!</v>
      </c>
      <c r="FQ292" t="e">
        <f>IF(#REF!,"AAAAAH9/Z6w=",0)</f>
        <v>#REF!</v>
      </c>
      <c r="FR292" t="e">
        <f>IF(#REF!,"AAAAAH9/Z60=",0)</f>
        <v>#REF!</v>
      </c>
      <c r="FS292" t="e">
        <f>IF(#REF!,"AAAAAH9/Z64=",0)</f>
        <v>#REF!</v>
      </c>
      <c r="FT292" t="e">
        <f>IF(#REF!,"AAAAAH9/Z68=",0)</f>
        <v>#REF!</v>
      </c>
      <c r="FU292" t="e">
        <f>IF(#REF!,"AAAAAH9/Z7A=",0)</f>
        <v>#REF!</v>
      </c>
      <c r="FV292" t="e">
        <f>IF(#REF!,"AAAAAH9/Z7E=",0)</f>
        <v>#REF!</v>
      </c>
      <c r="FW292" t="e">
        <f>IF(#REF!,"AAAAAH9/Z7I=",0)</f>
        <v>#REF!</v>
      </c>
      <c r="FX292" t="e">
        <f>IF(#REF!,"AAAAAH9/Z7M=",0)</f>
        <v>#REF!</v>
      </c>
      <c r="FY292" t="e">
        <f>IF(#REF!,"AAAAAH9/Z7Q=",0)</f>
        <v>#REF!</v>
      </c>
      <c r="FZ292" t="e">
        <f>IF(#REF!,"AAAAAH9/Z7U=",0)</f>
        <v>#REF!</v>
      </c>
      <c r="GA292" t="e">
        <f>IF(#REF!,"AAAAAH9/Z7Y=",0)</f>
        <v>#REF!</v>
      </c>
      <c r="GB292" t="e">
        <f>IF(#REF!,"AAAAAH9/Z7c=",0)</f>
        <v>#REF!</v>
      </c>
      <c r="GC292" t="e">
        <f>IF(#REF!,"AAAAAH9/Z7g=",0)</f>
        <v>#REF!</v>
      </c>
      <c r="GD292" t="e">
        <f>IF(#REF!,"AAAAAH9/Z7k=",0)</f>
        <v>#REF!</v>
      </c>
      <c r="GE292" t="e">
        <f>IF(#REF!,"AAAAAH9/Z7o=",0)</f>
        <v>#REF!</v>
      </c>
      <c r="GF292" t="e">
        <f>IF(#REF!,"AAAAAH9/Z7s=",0)</f>
        <v>#REF!</v>
      </c>
      <c r="GG292" t="e">
        <f>IF(#REF!,"AAAAAH9/Z7w=",0)</f>
        <v>#REF!</v>
      </c>
      <c r="GH292" t="e">
        <f>IF(#REF!,"AAAAAH9/Z70=",0)</f>
        <v>#REF!</v>
      </c>
      <c r="GI292" t="e">
        <f>IF(#REF!,"AAAAAH9/Z74=",0)</f>
        <v>#REF!</v>
      </c>
      <c r="GJ292" t="e">
        <f>IF(#REF!,"AAAAAH9/Z78=",0)</f>
        <v>#REF!</v>
      </c>
      <c r="GK292" t="e">
        <f>IF(#REF!,"AAAAAH9/Z8A=",0)</f>
        <v>#REF!</v>
      </c>
      <c r="GL292" t="e">
        <f>IF(#REF!,"AAAAAH9/Z8E=",0)</f>
        <v>#REF!</v>
      </c>
      <c r="GM292" t="e">
        <f>IF(#REF!,"AAAAAH9/Z8I=",0)</f>
        <v>#REF!</v>
      </c>
      <c r="GN292" t="e">
        <f>IF(#REF!,"AAAAAH9/Z8M=",0)</f>
        <v>#REF!</v>
      </c>
      <c r="GO292" t="e">
        <f>IF(#REF!,"AAAAAH9/Z8Q=",0)</f>
        <v>#REF!</v>
      </c>
      <c r="GP292" t="e">
        <f>IF(#REF!,"AAAAAH9/Z8U=",0)</f>
        <v>#REF!</v>
      </c>
      <c r="GQ292" t="e">
        <f>IF(#REF!,"AAAAAH9/Z8Y=",0)</f>
        <v>#REF!</v>
      </c>
      <c r="GR292" t="e">
        <f>IF(#REF!,"AAAAAH9/Z8c=",0)</f>
        <v>#REF!</v>
      </c>
      <c r="GS292" t="e">
        <f>IF(#REF!,"AAAAAH9/Z8g=",0)</f>
        <v>#REF!</v>
      </c>
      <c r="GT292" t="e">
        <f>IF(#REF!,"AAAAAH9/Z8k=",0)</f>
        <v>#REF!</v>
      </c>
      <c r="GU292" t="e">
        <f>IF(#REF!,"AAAAAH9/Z8o=",0)</f>
        <v>#REF!</v>
      </c>
      <c r="GV292" t="e">
        <f>IF(#REF!,"AAAAAH9/Z8s=",0)</f>
        <v>#REF!</v>
      </c>
      <c r="GW292" t="e">
        <f>IF(#REF!,"AAAAAH9/Z8w=",0)</f>
        <v>#REF!</v>
      </c>
      <c r="GX292" t="e">
        <f>IF(#REF!,"AAAAAH9/Z80=",0)</f>
        <v>#REF!</v>
      </c>
      <c r="GY292" t="e">
        <f>IF(#REF!,"AAAAAH9/Z84=",0)</f>
        <v>#REF!</v>
      </c>
      <c r="GZ292" t="e">
        <f>IF(#REF!,"AAAAAH9/Z88=",0)</f>
        <v>#REF!</v>
      </c>
      <c r="HA292" t="e">
        <f>IF(#REF!,"AAAAAH9/Z9A=",0)</f>
        <v>#REF!</v>
      </c>
      <c r="HB292" t="e">
        <f>IF(#REF!,"AAAAAH9/Z9E=",0)</f>
        <v>#REF!</v>
      </c>
      <c r="HC292" t="e">
        <f>IF(#REF!,"AAAAAH9/Z9I=",0)</f>
        <v>#REF!</v>
      </c>
      <c r="HD292" t="e">
        <f>IF(#REF!,"AAAAAH9/Z9M=",0)</f>
        <v>#REF!</v>
      </c>
      <c r="HE292" t="e">
        <f>IF(#REF!,"AAAAAH9/Z9Q=",0)</f>
        <v>#REF!</v>
      </c>
      <c r="HF292" t="e">
        <f>IF(#REF!,"AAAAAH9/Z9U=",0)</f>
        <v>#REF!</v>
      </c>
      <c r="HG292" t="e">
        <f>IF(#REF!,"AAAAAH9/Z9Y=",0)</f>
        <v>#REF!</v>
      </c>
      <c r="HH292" t="e">
        <f>IF(#REF!,"AAAAAH9/Z9c=",0)</f>
        <v>#REF!</v>
      </c>
      <c r="HI292" t="e">
        <f>IF(#REF!,"AAAAAH9/Z9g=",0)</f>
        <v>#REF!</v>
      </c>
      <c r="HJ292" t="e">
        <f>IF(#REF!,"AAAAAH9/Z9k=",0)</f>
        <v>#REF!</v>
      </c>
      <c r="HK292" t="e">
        <f>IF(#REF!,"AAAAAH9/Z9o=",0)</f>
        <v>#REF!</v>
      </c>
      <c r="HL292" t="e">
        <f>IF(#REF!,"AAAAAH9/Z9s=",0)</f>
        <v>#REF!</v>
      </c>
      <c r="HM292" t="e">
        <f>IF(#REF!,"AAAAAH9/Z9w=",0)</f>
        <v>#REF!</v>
      </c>
      <c r="HN292" t="e">
        <f>IF(#REF!,"AAAAAH9/Z90=",0)</f>
        <v>#REF!</v>
      </c>
      <c r="HO292" t="e">
        <f>IF(#REF!,"AAAAAH9/Z94=",0)</f>
        <v>#REF!</v>
      </c>
      <c r="HP292" t="e">
        <f>IF(#REF!,"AAAAAH9/Z98=",0)</f>
        <v>#REF!</v>
      </c>
      <c r="HQ292" t="e">
        <f>IF(#REF!,"AAAAAH9/Z+A=",0)</f>
        <v>#REF!</v>
      </c>
      <c r="HR292" t="e">
        <f>IF(#REF!,"AAAAAH9/Z+E=",0)</f>
        <v>#REF!</v>
      </c>
      <c r="HS292" t="e">
        <f>IF(#REF!,"AAAAAH9/Z+I=",0)</f>
        <v>#REF!</v>
      </c>
      <c r="HT292" t="e">
        <f>IF(#REF!,"AAAAAH9/Z+M=",0)</f>
        <v>#REF!</v>
      </c>
      <c r="HU292" t="e">
        <f>IF(#REF!,"AAAAAH9/Z+Q=",0)</f>
        <v>#REF!</v>
      </c>
      <c r="HV292" t="e">
        <f>IF(#REF!,"AAAAAH9/Z+U=",0)</f>
        <v>#REF!</v>
      </c>
      <c r="HW292" t="e">
        <f>IF(#REF!,"AAAAAH9/Z+Y=",0)</f>
        <v>#REF!</v>
      </c>
      <c r="HX292" t="e">
        <f>IF(#REF!,"AAAAAH9/Z+c=",0)</f>
        <v>#REF!</v>
      </c>
      <c r="HY292" t="e">
        <f>IF(#REF!,"AAAAAH9/Z+g=",0)</f>
        <v>#REF!</v>
      </c>
      <c r="HZ292" t="e">
        <f>IF(#REF!,"AAAAAH9/Z+k=",0)</f>
        <v>#REF!</v>
      </c>
      <c r="IA292" t="e">
        <f>IF(#REF!,"AAAAAH9/Z+o=",0)</f>
        <v>#REF!</v>
      </c>
      <c r="IB292" t="e">
        <f>IF(#REF!,"AAAAAH9/Z+s=",0)</f>
        <v>#REF!</v>
      </c>
      <c r="IC292" t="e">
        <f>IF(#REF!,"AAAAAH9/Z+w=",0)</f>
        <v>#REF!</v>
      </c>
      <c r="ID292" t="e">
        <f>IF(#REF!,"AAAAAH9/Z+0=",0)</f>
        <v>#REF!</v>
      </c>
      <c r="IE292" t="e">
        <f>IF(#REF!,"AAAAAH9/Z+4=",0)</f>
        <v>#REF!</v>
      </c>
      <c r="IF292" t="e">
        <f>IF(#REF!,"AAAAAH9/Z+8=",0)</f>
        <v>#REF!</v>
      </c>
      <c r="IG292" t="e">
        <f>IF(#REF!,"AAAAAH9/Z/A=",0)</f>
        <v>#REF!</v>
      </c>
      <c r="IH292" t="e">
        <f>IF(#REF!,"AAAAAH9/Z/E=",0)</f>
        <v>#REF!</v>
      </c>
      <c r="II292" t="e">
        <f>IF(#REF!,"AAAAAH9/Z/I=",0)</f>
        <v>#REF!</v>
      </c>
      <c r="IJ292" t="e">
        <f>IF(#REF!,"AAAAAH9/Z/M=",0)</f>
        <v>#REF!</v>
      </c>
      <c r="IK292" t="e">
        <f>IF(#REF!,"AAAAAH9/Z/Q=",0)</f>
        <v>#REF!</v>
      </c>
      <c r="IL292" t="e">
        <f>IF(#REF!,"AAAAAH9/Z/U=",0)</f>
        <v>#REF!</v>
      </c>
      <c r="IM292" t="e">
        <f>IF(#REF!,"AAAAAH9/Z/Y=",0)</f>
        <v>#REF!</v>
      </c>
      <c r="IN292" t="e">
        <f>IF(#REF!,"AAAAAH9/Z/c=",0)</f>
        <v>#REF!</v>
      </c>
      <c r="IO292" t="e">
        <f>IF(#REF!,"AAAAAH9/Z/g=",0)</f>
        <v>#REF!</v>
      </c>
      <c r="IP292" t="e">
        <f>IF(#REF!,"AAAAAH9/Z/k=",0)</f>
        <v>#REF!</v>
      </c>
      <c r="IQ292" t="e">
        <f>IF(#REF!,"AAAAAH9/Z/o=",0)</f>
        <v>#REF!</v>
      </c>
      <c r="IR292" t="e">
        <f>IF(#REF!,"AAAAAH9/Z/s=",0)</f>
        <v>#REF!</v>
      </c>
      <c r="IS292" t="e">
        <f>IF(#REF!,"AAAAAH9/Z/w=",0)</f>
        <v>#REF!</v>
      </c>
      <c r="IT292" t="e">
        <f>IF(#REF!,"AAAAAH9/Z/0=",0)</f>
        <v>#REF!</v>
      </c>
      <c r="IU292" t="e">
        <f>IF(#REF!,"AAAAAH9/Z/4=",0)</f>
        <v>#REF!</v>
      </c>
      <c r="IV292" t="e">
        <f>IF(#REF!,"AAAAAH9/Z/8=",0)</f>
        <v>#REF!</v>
      </c>
    </row>
    <row r="293" spans="1:256">
      <c r="A293" t="e">
        <f>IF(#REF!,"AAAAACv9bwA=",0)</f>
        <v>#REF!</v>
      </c>
      <c r="B293" t="e">
        <f>IF(#REF!,"AAAAACv9bwE=",0)</f>
        <v>#REF!</v>
      </c>
      <c r="C293" t="e">
        <f>IF(#REF!,"AAAAACv9bwI=",0)</f>
        <v>#REF!</v>
      </c>
      <c r="D293" t="e">
        <f>IF(#REF!,"AAAAACv9bwM=",0)</f>
        <v>#REF!</v>
      </c>
      <c r="E293" t="e">
        <f>IF(#REF!,"AAAAACv9bwQ=",0)</f>
        <v>#REF!</v>
      </c>
      <c r="F293" t="e">
        <f>IF(#REF!,"AAAAACv9bwU=",0)</f>
        <v>#REF!</v>
      </c>
      <c r="G293" t="e">
        <f>IF(#REF!,"AAAAACv9bwY=",0)</f>
        <v>#REF!</v>
      </c>
      <c r="H293" t="e">
        <f>IF(#REF!,"AAAAACv9bwc=",0)</f>
        <v>#REF!</v>
      </c>
      <c r="I293" t="e">
        <f>IF(#REF!,"AAAAACv9bwg=",0)</f>
        <v>#REF!</v>
      </c>
      <c r="J293" t="e">
        <f>IF(#REF!,"AAAAACv9bwk=",0)</f>
        <v>#REF!</v>
      </c>
      <c r="K293" t="e">
        <f>IF(#REF!,"AAAAACv9bwo=",0)</f>
        <v>#REF!</v>
      </c>
      <c r="L293" t="e">
        <f>IF(#REF!,"AAAAACv9bws=",0)</f>
        <v>#REF!</v>
      </c>
      <c r="M293" t="e">
        <f>IF(#REF!,"AAAAACv9bww=",0)</f>
        <v>#REF!</v>
      </c>
      <c r="N293" t="e">
        <f>IF(#REF!,"AAAAACv9bw0=",0)</f>
        <v>#REF!</v>
      </c>
      <c r="O293" t="e">
        <f>IF(#REF!,"AAAAACv9bw4=",0)</f>
        <v>#REF!</v>
      </c>
      <c r="P293" t="e">
        <f>IF(#REF!,"AAAAACv9bw8=",0)</f>
        <v>#REF!</v>
      </c>
      <c r="Q293" t="e">
        <f>IF(#REF!,"AAAAACv9bxA=",0)</f>
        <v>#REF!</v>
      </c>
      <c r="R293" t="e">
        <f>IF(#REF!,"AAAAACv9bxE=",0)</f>
        <v>#REF!</v>
      </c>
      <c r="S293" t="e">
        <f>IF(#REF!,"AAAAACv9bxI=",0)</f>
        <v>#REF!</v>
      </c>
      <c r="T293" t="e">
        <f>IF(#REF!,"AAAAACv9bxM=",0)</f>
        <v>#REF!</v>
      </c>
      <c r="U293" t="e">
        <f>IF(#REF!,"AAAAACv9bxQ=",0)</f>
        <v>#REF!</v>
      </c>
      <c r="V293" t="e">
        <f>IF(#REF!,"AAAAACv9bxU=",0)</f>
        <v>#REF!</v>
      </c>
      <c r="W293" t="e">
        <f>IF(#REF!,"AAAAACv9bxY=",0)</f>
        <v>#REF!</v>
      </c>
      <c r="X293" t="e">
        <f>IF(#REF!,"AAAAACv9bxc=",0)</f>
        <v>#REF!</v>
      </c>
      <c r="Y293" t="e">
        <f>IF(#REF!,"AAAAACv9bxg=",0)</f>
        <v>#REF!</v>
      </c>
      <c r="Z293" t="e">
        <f>IF(#REF!,"AAAAACv9bxk=",0)</f>
        <v>#REF!</v>
      </c>
      <c r="AA293" t="e">
        <f>IF(#REF!,"AAAAACv9bxo=",0)</f>
        <v>#REF!</v>
      </c>
      <c r="AB293" t="e">
        <f>IF(#REF!,"AAAAACv9bxs=",0)</f>
        <v>#REF!</v>
      </c>
      <c r="AC293" t="e">
        <f>IF(#REF!,"AAAAACv9bxw=",0)</f>
        <v>#REF!</v>
      </c>
      <c r="AD293" t="e">
        <f>IF(#REF!,"AAAAACv9bx0=",0)</f>
        <v>#REF!</v>
      </c>
      <c r="AE293" t="e">
        <f>IF(#REF!,"AAAAACv9bx4=",0)</f>
        <v>#REF!</v>
      </c>
      <c r="AF293" t="e">
        <f>IF(#REF!,"AAAAACv9bx8=",0)</f>
        <v>#REF!</v>
      </c>
      <c r="AG293" t="e">
        <f>IF(#REF!,"AAAAACv9byA=",0)</f>
        <v>#REF!</v>
      </c>
      <c r="AH293" t="e">
        <f>IF(#REF!,"AAAAACv9byE=",0)</f>
        <v>#REF!</v>
      </c>
      <c r="AI293" t="e">
        <f>IF(#REF!,"AAAAACv9byI=",0)</f>
        <v>#REF!</v>
      </c>
      <c r="AJ293" t="e">
        <f>IF(#REF!,"AAAAACv9byM=",0)</f>
        <v>#REF!</v>
      </c>
      <c r="AK293" t="e">
        <f>IF(#REF!,"AAAAACv9byQ=",0)</f>
        <v>#REF!</v>
      </c>
      <c r="AL293" t="e">
        <f>IF(#REF!,"AAAAACv9byU=",0)</f>
        <v>#REF!</v>
      </c>
      <c r="AM293" t="e">
        <f>IF(#REF!,"AAAAACv9byY=",0)</f>
        <v>#REF!</v>
      </c>
      <c r="AN293" t="e">
        <f>IF(#REF!,"AAAAACv9byc=",0)</f>
        <v>#REF!</v>
      </c>
      <c r="AO293" t="e">
        <f>IF(#REF!,"AAAAACv9byg=",0)</f>
        <v>#REF!</v>
      </c>
      <c r="AP293" t="e">
        <f>IF(#REF!,"AAAAACv9byk=",0)</f>
        <v>#REF!</v>
      </c>
      <c r="AQ293" t="e">
        <f>IF(#REF!,"AAAAACv9byo=",0)</f>
        <v>#REF!</v>
      </c>
      <c r="AR293" t="e">
        <f>IF(#REF!,"AAAAACv9bys=",0)</f>
        <v>#REF!</v>
      </c>
      <c r="AS293" t="e">
        <f>IF(#REF!,"AAAAACv9byw=",0)</f>
        <v>#REF!</v>
      </c>
      <c r="AT293" t="e">
        <f>IF(#REF!,"AAAAACv9by0=",0)</f>
        <v>#REF!</v>
      </c>
      <c r="AU293" t="e">
        <f>IF(#REF!,"AAAAACv9by4=",0)</f>
        <v>#REF!</v>
      </c>
      <c r="AV293" t="e">
        <f>IF(#REF!,"AAAAACv9by8=",0)</f>
        <v>#REF!</v>
      </c>
      <c r="AW293" t="e">
        <f>IF(#REF!,"AAAAACv9bzA=",0)</f>
        <v>#REF!</v>
      </c>
      <c r="AX293" t="e">
        <f>IF(#REF!,"AAAAACv9bzE=",0)</f>
        <v>#REF!</v>
      </c>
      <c r="AY293" t="e">
        <f>IF(#REF!,"AAAAACv9bzI=",0)</f>
        <v>#REF!</v>
      </c>
      <c r="AZ293" t="e">
        <f>IF(#REF!,"AAAAACv9bzM=",0)</f>
        <v>#REF!</v>
      </c>
      <c r="BA293" t="e">
        <f>IF(#REF!,"AAAAACv9bzQ=",0)</f>
        <v>#REF!</v>
      </c>
      <c r="BB293" t="e">
        <f>IF(#REF!,"AAAAACv9bzU=",0)</f>
        <v>#REF!</v>
      </c>
      <c r="BC293" t="e">
        <f>IF(#REF!,"AAAAACv9bzY=",0)</f>
        <v>#REF!</v>
      </c>
      <c r="BD293" t="e">
        <f>IF(#REF!,"AAAAACv9bzc=",0)</f>
        <v>#REF!</v>
      </c>
      <c r="BE293" t="e">
        <f>IF(#REF!,"AAAAACv9bzg=",0)</f>
        <v>#REF!</v>
      </c>
      <c r="BF293" t="e">
        <f>IF(#REF!,"AAAAACv9bzk=",0)</f>
        <v>#REF!</v>
      </c>
      <c r="BG293" t="e">
        <f>IF(#REF!,"AAAAACv9bzo=",0)</f>
        <v>#REF!</v>
      </c>
      <c r="BH293" t="e">
        <f>IF(#REF!,"AAAAACv9bzs=",0)</f>
        <v>#REF!</v>
      </c>
      <c r="BI293" t="e">
        <f>IF(#REF!,"AAAAACv9bzw=",0)</f>
        <v>#REF!</v>
      </c>
      <c r="BJ293" t="e">
        <f>IF(#REF!,"AAAAACv9bz0=",0)</f>
        <v>#REF!</v>
      </c>
      <c r="BK293" t="e">
        <f>IF(#REF!,"AAAAACv9bz4=",0)</f>
        <v>#REF!</v>
      </c>
      <c r="BL293" t="e">
        <f>IF(#REF!,"AAAAACv9bz8=",0)</f>
        <v>#REF!</v>
      </c>
      <c r="BM293" t="e">
        <f>IF(#REF!,"AAAAACv9b0A=",0)</f>
        <v>#REF!</v>
      </c>
      <c r="BN293" t="e">
        <f>IF(#REF!,"AAAAACv9b0E=",0)</f>
        <v>#REF!</v>
      </c>
      <c r="BO293" t="e">
        <f>IF(#REF!,"AAAAACv9b0I=",0)</f>
        <v>#REF!</v>
      </c>
      <c r="BP293" t="e">
        <f>IF(#REF!,"AAAAACv9b0M=",0)</f>
        <v>#REF!</v>
      </c>
      <c r="BQ293" t="e">
        <f>IF(#REF!,"AAAAACv9b0Q=",0)</f>
        <v>#REF!</v>
      </c>
      <c r="BR293" t="e">
        <f>IF(#REF!,"AAAAACv9b0U=",0)</f>
        <v>#REF!</v>
      </c>
      <c r="BS293" t="e">
        <f>IF(#REF!,"AAAAACv9b0Y=",0)</f>
        <v>#REF!</v>
      </c>
      <c r="BT293" t="e">
        <f>IF(#REF!,"AAAAACv9b0c=",0)</f>
        <v>#REF!</v>
      </c>
      <c r="BU293" t="e">
        <f>IF(#REF!,"AAAAACv9b0g=",0)</f>
        <v>#REF!</v>
      </c>
      <c r="BV293" t="e">
        <f>IF(#REF!,"AAAAACv9b0k=",0)</f>
        <v>#REF!</v>
      </c>
      <c r="BW293" t="e">
        <f>IF(#REF!,"AAAAACv9b0o=",0)</f>
        <v>#REF!</v>
      </c>
      <c r="BX293" t="e">
        <f>IF(#REF!,"AAAAACv9b0s=",0)</f>
        <v>#REF!</v>
      </c>
      <c r="BY293" t="e">
        <f>IF(#REF!,"AAAAACv9b0w=",0)</f>
        <v>#REF!</v>
      </c>
      <c r="BZ293" t="e">
        <f>IF(#REF!,"AAAAACv9b00=",0)</f>
        <v>#REF!</v>
      </c>
      <c r="CA293" t="e">
        <f>IF(#REF!,"AAAAACv9b04=",0)</f>
        <v>#REF!</v>
      </c>
      <c r="CB293" t="e">
        <f>IF(#REF!,"AAAAACv9b08=",0)</f>
        <v>#REF!</v>
      </c>
      <c r="CC293" t="e">
        <f>IF(#REF!,"AAAAACv9b1A=",0)</f>
        <v>#REF!</v>
      </c>
      <c r="CD293" t="e">
        <f>IF(#REF!,"AAAAACv9b1E=",0)</f>
        <v>#REF!</v>
      </c>
      <c r="CE293" t="e">
        <f>IF(#REF!,"AAAAACv9b1I=",0)</f>
        <v>#REF!</v>
      </c>
      <c r="CF293" t="e">
        <f>IF(#REF!,"AAAAACv9b1M=",0)</f>
        <v>#REF!</v>
      </c>
      <c r="CG293" t="e">
        <f>IF(#REF!,"AAAAACv9b1Q=",0)</f>
        <v>#REF!</v>
      </c>
      <c r="CH293" t="e">
        <f>IF(#REF!,"AAAAACv9b1U=",0)</f>
        <v>#REF!</v>
      </c>
      <c r="CI293" t="e">
        <f>IF(#REF!,"AAAAACv9b1Y=",0)</f>
        <v>#REF!</v>
      </c>
      <c r="CJ293" t="e">
        <f>IF(#REF!,"AAAAACv9b1c=",0)</f>
        <v>#REF!</v>
      </c>
      <c r="CK293" t="e">
        <f>IF(#REF!,"AAAAACv9b1g=",0)</f>
        <v>#REF!</v>
      </c>
      <c r="CL293" t="e">
        <f>IF(#REF!,"AAAAACv9b1k=",0)</f>
        <v>#REF!</v>
      </c>
      <c r="CM293" t="e">
        <f>IF(#REF!,"AAAAACv9b1o=",0)</f>
        <v>#REF!</v>
      </c>
      <c r="CN293" t="e">
        <f>IF(#REF!,"AAAAACv9b1s=",0)</f>
        <v>#REF!</v>
      </c>
      <c r="CO293" t="e">
        <f>IF(#REF!,"AAAAACv9b1w=",0)</f>
        <v>#REF!</v>
      </c>
      <c r="CP293" t="e">
        <f>IF(#REF!,"AAAAACv9b10=",0)</f>
        <v>#REF!</v>
      </c>
      <c r="CQ293" t="e">
        <f>IF(#REF!,"AAAAACv9b14=",0)</f>
        <v>#REF!</v>
      </c>
      <c r="CR293" t="e">
        <f>IF(#REF!,"AAAAACv9b18=",0)</f>
        <v>#REF!</v>
      </c>
      <c r="CS293" t="e">
        <f>IF(#REF!,"AAAAACv9b2A=",0)</f>
        <v>#REF!</v>
      </c>
      <c r="CT293" t="e">
        <f>IF(#REF!,"AAAAACv9b2E=",0)</f>
        <v>#REF!</v>
      </c>
      <c r="CU293" t="e">
        <f>IF(#REF!,"AAAAACv9b2I=",0)</f>
        <v>#REF!</v>
      </c>
      <c r="CV293" t="e">
        <f>IF(#REF!,"AAAAACv9b2M=",0)</f>
        <v>#REF!</v>
      </c>
      <c r="CW293" t="e">
        <f>IF(#REF!,"AAAAACv9b2Q=",0)</f>
        <v>#REF!</v>
      </c>
      <c r="CX293" t="e">
        <f>IF(#REF!,"AAAAACv9b2U=",0)</f>
        <v>#REF!</v>
      </c>
      <c r="CY293" t="e">
        <f>IF(#REF!,"AAAAACv9b2Y=",0)</f>
        <v>#REF!</v>
      </c>
      <c r="CZ293" t="e">
        <f>IF(#REF!,"AAAAACv9b2c=",0)</f>
        <v>#REF!</v>
      </c>
      <c r="DA293" t="e">
        <f>IF(#REF!,"AAAAACv9b2g=",0)</f>
        <v>#REF!</v>
      </c>
      <c r="DB293" t="e">
        <f>IF(#REF!,"AAAAACv9b2k=",0)</f>
        <v>#REF!</v>
      </c>
      <c r="DC293" t="e">
        <f>IF(#REF!,"AAAAACv9b2o=",0)</f>
        <v>#REF!</v>
      </c>
      <c r="DD293" t="e">
        <f>IF(#REF!,"AAAAACv9b2s=",0)</f>
        <v>#REF!</v>
      </c>
      <c r="DE293" t="e">
        <f>IF(#REF!,"AAAAACv9b2w=",0)</f>
        <v>#REF!</v>
      </c>
      <c r="DF293" t="e">
        <f>IF(#REF!,"AAAAACv9b20=",0)</f>
        <v>#REF!</v>
      </c>
      <c r="DG293" t="e">
        <f>IF(#REF!,"AAAAACv9b24=",0)</f>
        <v>#REF!</v>
      </c>
      <c r="DH293" t="e">
        <f>IF(#REF!,"AAAAACv9b28=",0)</f>
        <v>#REF!</v>
      </c>
      <c r="DI293" t="e">
        <f>IF(#REF!,"AAAAACv9b3A=",0)</f>
        <v>#REF!</v>
      </c>
      <c r="DJ293" t="e">
        <f>IF(#REF!,"AAAAACv9b3E=",0)</f>
        <v>#REF!</v>
      </c>
      <c r="DK293" t="e">
        <f>IF(#REF!,"AAAAACv9b3I=",0)</f>
        <v>#REF!</v>
      </c>
      <c r="DL293" t="e">
        <f>IF(#REF!,"AAAAACv9b3M=",0)</f>
        <v>#REF!</v>
      </c>
      <c r="DM293" t="e">
        <f>IF(#REF!,"AAAAACv9b3Q=",0)</f>
        <v>#REF!</v>
      </c>
      <c r="DN293" t="e">
        <f>IF(#REF!,"AAAAACv9b3U=",0)</f>
        <v>#REF!</v>
      </c>
      <c r="DO293" t="e">
        <f>IF(#REF!,"AAAAACv9b3Y=",0)</f>
        <v>#REF!</v>
      </c>
      <c r="DP293" t="e">
        <f>IF(#REF!,"AAAAACv9b3c=",0)</f>
        <v>#REF!</v>
      </c>
      <c r="DQ293" t="e">
        <f>IF(#REF!,"AAAAACv9b3g=",0)</f>
        <v>#REF!</v>
      </c>
      <c r="DR293" t="e">
        <f>IF(#REF!,"AAAAACv9b3k=",0)</f>
        <v>#REF!</v>
      </c>
      <c r="DS293" t="e">
        <f>IF(#REF!,"AAAAACv9b3o=",0)</f>
        <v>#REF!</v>
      </c>
      <c r="DT293" t="e">
        <f>IF(#REF!,"AAAAACv9b3s=",0)</f>
        <v>#REF!</v>
      </c>
      <c r="DU293" t="e">
        <f>IF(#REF!,"AAAAACv9b3w=",0)</f>
        <v>#REF!</v>
      </c>
      <c r="DV293" t="e">
        <f>IF(#REF!,"AAAAACv9b30=",0)</f>
        <v>#REF!</v>
      </c>
      <c r="DW293" t="e">
        <f>IF(#REF!,"AAAAACv9b34=",0)</f>
        <v>#REF!</v>
      </c>
      <c r="DX293" t="e">
        <f>IF(#REF!,"AAAAACv9b38=",0)</f>
        <v>#REF!</v>
      </c>
      <c r="DY293" t="e">
        <f>IF(#REF!,"AAAAACv9b4A=",0)</f>
        <v>#REF!</v>
      </c>
      <c r="DZ293" t="e">
        <f>IF(#REF!,"AAAAACv9b4E=",0)</f>
        <v>#REF!</v>
      </c>
      <c r="EA293" t="e">
        <f>IF(#REF!,"AAAAACv9b4I=",0)</f>
        <v>#REF!</v>
      </c>
      <c r="EB293" t="e">
        <f>IF(#REF!,"AAAAACv9b4M=",0)</f>
        <v>#REF!</v>
      </c>
      <c r="EC293" t="e">
        <f>IF(#REF!,"AAAAACv9b4Q=",0)</f>
        <v>#REF!</v>
      </c>
      <c r="ED293" t="e">
        <f>IF(#REF!,"AAAAACv9b4U=",0)</f>
        <v>#REF!</v>
      </c>
      <c r="EE293" t="e">
        <f>IF(#REF!,"AAAAACv9b4Y=",0)</f>
        <v>#REF!</v>
      </c>
      <c r="EF293" t="e">
        <f>IF(#REF!,"AAAAACv9b4c=",0)</f>
        <v>#REF!</v>
      </c>
      <c r="EG293" t="e">
        <f>IF(#REF!,"AAAAACv9b4g=",0)</f>
        <v>#REF!</v>
      </c>
      <c r="EH293" t="e">
        <f>IF(#REF!,"AAAAACv9b4k=",0)</f>
        <v>#REF!</v>
      </c>
      <c r="EI293" t="e">
        <f>IF(#REF!,"AAAAACv9b4o=",0)</f>
        <v>#REF!</v>
      </c>
      <c r="EJ293" t="e">
        <f>IF(#REF!,"AAAAACv9b4s=",0)</f>
        <v>#REF!</v>
      </c>
      <c r="EK293" t="e">
        <f>IF(#REF!,"AAAAACv9b4w=",0)</f>
        <v>#REF!</v>
      </c>
      <c r="EL293" t="e">
        <f>IF(#REF!,"AAAAACv9b40=",0)</f>
        <v>#REF!</v>
      </c>
      <c r="EM293" t="e">
        <f>IF(#REF!,"AAAAACv9b44=",0)</f>
        <v>#REF!</v>
      </c>
      <c r="EN293" t="e">
        <f>IF(#REF!,"AAAAACv9b48=",0)</f>
        <v>#REF!</v>
      </c>
      <c r="EO293" t="e">
        <f>IF(#REF!,"AAAAACv9b5A=",0)</f>
        <v>#REF!</v>
      </c>
      <c r="EP293" t="e">
        <f>IF(#REF!,"AAAAACv9b5E=",0)</f>
        <v>#REF!</v>
      </c>
      <c r="EQ293" t="e">
        <f>IF(#REF!,"AAAAACv9b5I=",0)</f>
        <v>#REF!</v>
      </c>
      <c r="ER293" t="e">
        <f>IF(#REF!,"AAAAACv9b5M=",0)</f>
        <v>#REF!</v>
      </c>
      <c r="ES293" t="e">
        <f>IF(#REF!,"AAAAACv9b5Q=",0)</f>
        <v>#REF!</v>
      </c>
      <c r="ET293" t="e">
        <f>IF(#REF!,"AAAAACv9b5U=",0)</f>
        <v>#REF!</v>
      </c>
      <c r="EU293" t="e">
        <f>IF(#REF!,"AAAAACv9b5Y=",0)</f>
        <v>#REF!</v>
      </c>
      <c r="EV293" t="e">
        <f>IF(#REF!,"AAAAACv9b5c=",0)</f>
        <v>#REF!</v>
      </c>
      <c r="EW293" t="e">
        <f>IF(#REF!,"AAAAACv9b5g=",0)</f>
        <v>#REF!</v>
      </c>
      <c r="EX293" t="e">
        <f>IF(#REF!,"AAAAACv9b5k=",0)</f>
        <v>#REF!</v>
      </c>
      <c r="EY293" t="e">
        <f>IF(#REF!,"AAAAACv9b5o=",0)</f>
        <v>#REF!</v>
      </c>
      <c r="EZ293" t="e">
        <f>IF(#REF!,"AAAAACv9b5s=",0)</f>
        <v>#REF!</v>
      </c>
      <c r="FA293" t="e">
        <f>IF(#REF!,"AAAAACv9b5w=",0)</f>
        <v>#REF!</v>
      </c>
      <c r="FB293" t="e">
        <f>IF(#REF!,"AAAAACv9b50=",0)</f>
        <v>#REF!</v>
      </c>
      <c r="FC293" t="e">
        <f>IF(#REF!,"AAAAACv9b54=",0)</f>
        <v>#REF!</v>
      </c>
      <c r="FD293" t="e">
        <f>IF(#REF!,"AAAAACv9b58=",0)</f>
        <v>#REF!</v>
      </c>
      <c r="FE293" t="e">
        <f>IF(#REF!,"AAAAACv9b6A=",0)</f>
        <v>#REF!</v>
      </c>
      <c r="FF293" t="e">
        <f>IF(#REF!,"AAAAACv9b6E=",0)</f>
        <v>#REF!</v>
      </c>
      <c r="FG293" t="e">
        <f>IF(#REF!,"AAAAACv9b6I=",0)</f>
        <v>#REF!</v>
      </c>
      <c r="FH293" t="e">
        <f>IF(#REF!,"AAAAACv9b6M=",0)</f>
        <v>#REF!</v>
      </c>
      <c r="FI293" t="e">
        <f>IF(#REF!,"AAAAACv9b6Q=",0)</f>
        <v>#REF!</v>
      </c>
      <c r="FJ293" t="e">
        <f>IF(#REF!,"AAAAACv9b6U=",0)</f>
        <v>#REF!</v>
      </c>
      <c r="FK293" t="e">
        <f>IF(#REF!,"AAAAACv9b6Y=",0)</f>
        <v>#REF!</v>
      </c>
      <c r="FL293" t="e">
        <f>IF(#REF!,"AAAAACv9b6c=",0)</f>
        <v>#REF!</v>
      </c>
      <c r="FM293" t="e">
        <f>IF(#REF!,"AAAAACv9b6g=",0)</f>
        <v>#REF!</v>
      </c>
      <c r="FN293" t="e">
        <f>IF(#REF!,"AAAAACv9b6k=",0)</f>
        <v>#REF!</v>
      </c>
      <c r="FO293" t="e">
        <f>IF(#REF!,"AAAAACv9b6o=",0)</f>
        <v>#REF!</v>
      </c>
      <c r="FP293" t="e">
        <f>IF(#REF!,"AAAAACv9b6s=",0)</f>
        <v>#REF!</v>
      </c>
      <c r="FQ293" t="e">
        <f>IF(#REF!,"AAAAACv9b6w=",0)</f>
        <v>#REF!</v>
      </c>
      <c r="FR293" t="e">
        <f>IF(#REF!,"AAAAACv9b60=",0)</f>
        <v>#REF!</v>
      </c>
      <c r="FS293" t="e">
        <f>IF(#REF!,"AAAAACv9b64=",0)</f>
        <v>#REF!</v>
      </c>
      <c r="FT293" t="e">
        <f>IF(#REF!,"AAAAACv9b68=",0)</f>
        <v>#REF!</v>
      </c>
      <c r="FU293" t="e">
        <f>IF(#REF!,"AAAAACv9b7A=",0)</f>
        <v>#REF!</v>
      </c>
      <c r="FV293" t="e">
        <f>IF(#REF!,"AAAAACv9b7E=",0)</f>
        <v>#REF!</v>
      </c>
      <c r="FW293" t="e">
        <f>IF(#REF!,"AAAAACv9b7I=",0)</f>
        <v>#REF!</v>
      </c>
      <c r="FX293" t="e">
        <f>IF(#REF!,"AAAAACv9b7M=",0)</f>
        <v>#REF!</v>
      </c>
      <c r="FY293" t="e">
        <f>IF(#REF!,"AAAAACv9b7Q=",0)</f>
        <v>#REF!</v>
      </c>
      <c r="FZ293" t="e">
        <f>IF(#REF!,"AAAAACv9b7U=",0)</f>
        <v>#REF!</v>
      </c>
      <c r="GA293" t="e">
        <f>IF(#REF!,"AAAAACv9b7Y=",0)</f>
        <v>#REF!</v>
      </c>
      <c r="GB293" t="e">
        <f>IF(#REF!,"AAAAACv9b7c=",0)</f>
        <v>#REF!</v>
      </c>
      <c r="GC293" t="e">
        <f>IF(#REF!,"AAAAACv9b7g=",0)</f>
        <v>#REF!</v>
      </c>
      <c r="GD293" t="e">
        <f>IF(#REF!,"AAAAACv9b7k=",0)</f>
        <v>#REF!</v>
      </c>
      <c r="GE293" t="e">
        <f>IF(#REF!,"AAAAACv9b7o=",0)</f>
        <v>#REF!</v>
      </c>
      <c r="GF293" t="e">
        <f>IF(#REF!,"AAAAACv9b7s=",0)</f>
        <v>#REF!</v>
      </c>
      <c r="GG293" t="e">
        <f>IF(#REF!,"AAAAACv9b7w=",0)</f>
        <v>#REF!</v>
      </c>
      <c r="GH293" t="e">
        <f>IF(#REF!,"AAAAACv9b70=",0)</f>
        <v>#REF!</v>
      </c>
      <c r="GI293" t="e">
        <f>IF(#REF!,"AAAAACv9b74=",0)</f>
        <v>#REF!</v>
      </c>
      <c r="GJ293" t="e">
        <f>IF(#REF!,"AAAAACv9b78=",0)</f>
        <v>#REF!</v>
      </c>
      <c r="GK293" t="e">
        <f>IF(#REF!,"AAAAACv9b8A=",0)</f>
        <v>#REF!</v>
      </c>
      <c r="GL293" t="e">
        <f>IF(#REF!,"AAAAACv9b8E=",0)</f>
        <v>#REF!</v>
      </c>
      <c r="GM293" t="e">
        <f>IF(#REF!,"AAAAACv9b8I=",0)</f>
        <v>#REF!</v>
      </c>
      <c r="GN293" t="e">
        <f>IF(#REF!,"AAAAACv9b8M=",0)</f>
        <v>#REF!</v>
      </c>
      <c r="GO293" t="e">
        <f>IF(#REF!,"AAAAACv9b8Q=",0)</f>
        <v>#REF!</v>
      </c>
      <c r="GP293" t="e">
        <f>IF(#REF!,"AAAAACv9b8U=",0)</f>
        <v>#REF!</v>
      </c>
      <c r="GQ293" t="e">
        <f>IF(#REF!,"AAAAACv9b8Y=",0)</f>
        <v>#REF!</v>
      </c>
      <c r="GR293" t="e">
        <f>IF(#REF!,"AAAAACv9b8c=",0)</f>
        <v>#REF!</v>
      </c>
      <c r="GS293" t="e">
        <f>IF(#REF!,"AAAAACv9b8g=",0)</f>
        <v>#REF!</v>
      </c>
      <c r="GT293" t="e">
        <f>IF(#REF!,"AAAAACv9b8k=",0)</f>
        <v>#REF!</v>
      </c>
      <c r="GU293" t="e">
        <f>IF(#REF!,"AAAAACv9b8o=",0)</f>
        <v>#REF!</v>
      </c>
      <c r="GV293" t="e">
        <f>IF(#REF!,"AAAAACv9b8s=",0)</f>
        <v>#REF!</v>
      </c>
      <c r="GW293" t="e">
        <f>IF(#REF!,"AAAAACv9b8w=",0)</f>
        <v>#REF!</v>
      </c>
      <c r="GX293" t="e">
        <f>IF(#REF!,"AAAAACv9b80=",0)</f>
        <v>#REF!</v>
      </c>
      <c r="GY293" t="e">
        <f>IF(#REF!,"AAAAACv9b84=",0)</f>
        <v>#REF!</v>
      </c>
      <c r="GZ293" t="e">
        <f>IF(#REF!,"AAAAACv9b88=",0)</f>
        <v>#REF!</v>
      </c>
      <c r="HA293" t="e">
        <f>IF(#REF!,"AAAAACv9b9A=",0)</f>
        <v>#REF!</v>
      </c>
      <c r="HB293" t="e">
        <f>IF(#REF!,"AAAAACv9b9E=",0)</f>
        <v>#REF!</v>
      </c>
      <c r="HC293" t="e">
        <f>IF(#REF!,"AAAAACv9b9I=",0)</f>
        <v>#REF!</v>
      </c>
      <c r="HD293" t="e">
        <f>IF(#REF!,"AAAAACv9b9M=",0)</f>
        <v>#REF!</v>
      </c>
      <c r="HE293" t="e">
        <f>IF(#REF!,"AAAAACv9b9Q=",0)</f>
        <v>#REF!</v>
      </c>
      <c r="HF293" t="e">
        <f>IF(#REF!,"AAAAACv9b9U=",0)</f>
        <v>#REF!</v>
      </c>
      <c r="HG293" t="e">
        <f>IF(#REF!,"AAAAACv9b9Y=",0)</f>
        <v>#REF!</v>
      </c>
      <c r="HH293" t="e">
        <f>IF(#REF!,"AAAAACv9b9c=",0)</f>
        <v>#REF!</v>
      </c>
      <c r="HI293" t="e">
        <f>IF(#REF!,"AAAAACv9b9g=",0)</f>
        <v>#REF!</v>
      </c>
      <c r="HJ293" t="e">
        <f>IF(#REF!,"AAAAACv9b9k=",0)</f>
        <v>#REF!</v>
      </c>
      <c r="HK293" t="e">
        <f>IF(#REF!,"AAAAACv9b9o=",0)</f>
        <v>#REF!</v>
      </c>
      <c r="HL293" t="e">
        <f>IF(#REF!,"AAAAACv9b9s=",0)</f>
        <v>#REF!</v>
      </c>
      <c r="HM293" t="e">
        <f>IF(#REF!,"AAAAACv9b9w=",0)</f>
        <v>#REF!</v>
      </c>
      <c r="HN293" t="e">
        <f>IF(#REF!,"AAAAACv9b90=",0)</f>
        <v>#REF!</v>
      </c>
      <c r="HO293" t="e">
        <f>IF(#REF!,"AAAAACv9b94=",0)</f>
        <v>#REF!</v>
      </c>
      <c r="HP293" t="e">
        <f>IF(#REF!,"AAAAACv9b98=",0)</f>
        <v>#REF!</v>
      </c>
      <c r="HQ293" t="e">
        <f>IF(#REF!,"AAAAACv9b+A=",0)</f>
        <v>#REF!</v>
      </c>
      <c r="HR293" t="e">
        <f>IF(#REF!,"AAAAACv9b+E=",0)</f>
        <v>#REF!</v>
      </c>
      <c r="HS293" t="e">
        <f>IF(#REF!,"AAAAACv9b+I=",0)</f>
        <v>#REF!</v>
      </c>
      <c r="HT293" t="e">
        <f>IF(#REF!,"AAAAACv9b+M=",0)</f>
        <v>#REF!</v>
      </c>
      <c r="HU293" t="e">
        <f>IF(#REF!,"AAAAACv9b+Q=",0)</f>
        <v>#REF!</v>
      </c>
      <c r="HV293" t="e">
        <f>IF(#REF!,"AAAAACv9b+U=",0)</f>
        <v>#REF!</v>
      </c>
      <c r="HW293" t="e">
        <f>IF(#REF!,"AAAAACv9b+Y=",0)</f>
        <v>#REF!</v>
      </c>
      <c r="HX293" t="e">
        <f>IF(#REF!,"AAAAACv9b+c=",0)</f>
        <v>#REF!</v>
      </c>
      <c r="HY293" t="e">
        <f>IF(#REF!,"AAAAACv9b+g=",0)</f>
        <v>#REF!</v>
      </c>
      <c r="HZ293" t="e">
        <f>IF(#REF!,"AAAAACv9b+k=",0)</f>
        <v>#REF!</v>
      </c>
      <c r="IA293" t="e">
        <f>IF(#REF!,"AAAAACv9b+o=",0)</f>
        <v>#REF!</v>
      </c>
      <c r="IB293" t="e">
        <f>IF(#REF!,"AAAAACv9b+s=",0)</f>
        <v>#REF!</v>
      </c>
      <c r="IC293" t="e">
        <f>IF(#REF!,"AAAAACv9b+w=",0)</f>
        <v>#REF!</v>
      </c>
      <c r="ID293" t="e">
        <f>IF(#REF!,"AAAAACv9b+0=",0)</f>
        <v>#REF!</v>
      </c>
      <c r="IE293" t="e">
        <f>IF(#REF!,"AAAAACv9b+4=",0)</f>
        <v>#REF!</v>
      </c>
      <c r="IF293" t="e">
        <f>IF(#REF!,"AAAAACv9b+8=",0)</f>
        <v>#REF!</v>
      </c>
      <c r="IG293" t="e">
        <f>IF(#REF!,"AAAAACv9b/A=",0)</f>
        <v>#REF!</v>
      </c>
      <c r="IH293" t="e">
        <f>IF(#REF!,"AAAAACv9b/E=",0)</f>
        <v>#REF!</v>
      </c>
      <c r="II293" t="e">
        <f>IF(#REF!,"AAAAACv9b/I=",0)</f>
        <v>#REF!</v>
      </c>
      <c r="IJ293" t="e">
        <f>IF(#REF!,"AAAAACv9b/M=",0)</f>
        <v>#REF!</v>
      </c>
      <c r="IK293" t="e">
        <f>IF(#REF!,"AAAAACv9b/Q=",0)</f>
        <v>#REF!</v>
      </c>
      <c r="IL293" t="e">
        <f>IF(#REF!,"AAAAACv9b/U=",0)</f>
        <v>#REF!</v>
      </c>
      <c r="IM293" t="e">
        <f>IF(#REF!,"AAAAACv9b/Y=",0)</f>
        <v>#REF!</v>
      </c>
      <c r="IN293" t="e">
        <f>IF(#REF!,"AAAAACv9b/c=",0)</f>
        <v>#REF!</v>
      </c>
      <c r="IO293" t="e">
        <f>IF(#REF!,"AAAAACv9b/g=",0)</f>
        <v>#REF!</v>
      </c>
      <c r="IP293" t="e">
        <f>IF(#REF!,"AAAAACv9b/k=",0)</f>
        <v>#REF!</v>
      </c>
      <c r="IQ293" t="e">
        <f>IF(#REF!,"AAAAACv9b/o=",0)</f>
        <v>#REF!</v>
      </c>
      <c r="IR293" t="e">
        <f>IF(#REF!,"AAAAACv9b/s=",0)</f>
        <v>#REF!</v>
      </c>
      <c r="IS293" t="e">
        <f>IF(#REF!,"AAAAACv9b/w=",0)</f>
        <v>#REF!</v>
      </c>
      <c r="IT293" t="e">
        <f>IF(#REF!,"AAAAACv9b/0=",0)</f>
        <v>#REF!</v>
      </c>
      <c r="IU293" t="e">
        <f>IF(#REF!,"AAAAACv9b/4=",0)</f>
        <v>#REF!</v>
      </c>
      <c r="IV293" t="e">
        <f>IF(#REF!,"AAAAACv9b/8=",0)</f>
        <v>#REF!</v>
      </c>
    </row>
    <row r="294" spans="1:256">
      <c r="A294" t="e">
        <f>IF(#REF!,"AAAAAFf7fwA=",0)</f>
        <v>#REF!</v>
      </c>
      <c r="B294" t="e">
        <f>IF(#REF!,"AAAAAFf7fwE=",0)</f>
        <v>#REF!</v>
      </c>
      <c r="C294" t="e">
        <f>IF(#REF!,"AAAAAFf7fwI=",0)</f>
        <v>#REF!</v>
      </c>
      <c r="D294" t="e">
        <f>IF(#REF!,"AAAAAFf7fwM=",0)</f>
        <v>#REF!</v>
      </c>
      <c r="E294" t="e">
        <f>IF(#REF!,"AAAAAFf7fwQ=",0)</f>
        <v>#REF!</v>
      </c>
      <c r="F294" t="e">
        <f>IF(#REF!,"AAAAAFf7fwU=",0)</f>
        <v>#REF!</v>
      </c>
      <c r="G294" t="e">
        <f>IF(#REF!,"AAAAAFf7fwY=",0)</f>
        <v>#REF!</v>
      </c>
      <c r="H294" t="e">
        <f>IF(#REF!,"AAAAAFf7fwc=",0)</f>
        <v>#REF!</v>
      </c>
      <c r="I294" t="e">
        <f>IF(#REF!,"AAAAAFf7fwg=",0)</f>
        <v>#REF!</v>
      </c>
      <c r="J294" t="e">
        <f>IF(#REF!,"AAAAAFf7fwk=",0)</f>
        <v>#REF!</v>
      </c>
      <c r="K294" t="e">
        <f>IF(#REF!,"AAAAAFf7fwo=",0)</f>
        <v>#REF!</v>
      </c>
      <c r="L294" t="e">
        <f>IF(#REF!,"AAAAAFf7fws=",0)</f>
        <v>#REF!</v>
      </c>
      <c r="M294" t="e">
        <f>IF(#REF!,"AAAAAFf7fww=",0)</f>
        <v>#REF!</v>
      </c>
      <c r="N294" t="e">
        <f>IF(#REF!,"AAAAAFf7fw0=",0)</f>
        <v>#REF!</v>
      </c>
      <c r="O294" t="e">
        <f>IF(#REF!,"AAAAAFf7fw4=",0)</f>
        <v>#REF!</v>
      </c>
      <c r="P294" t="e">
        <f>IF(#REF!,"AAAAAFf7fw8=",0)</f>
        <v>#REF!</v>
      </c>
      <c r="Q294" t="e">
        <f>IF(#REF!,"AAAAAFf7fxA=",0)</f>
        <v>#REF!</v>
      </c>
      <c r="R294" t="e">
        <f>IF(#REF!,"AAAAAFf7fxE=",0)</f>
        <v>#REF!</v>
      </c>
      <c r="S294" t="e">
        <f>IF(#REF!,"AAAAAFf7fxI=",0)</f>
        <v>#REF!</v>
      </c>
      <c r="T294" t="e">
        <f>IF(#REF!,"AAAAAFf7fxM=",0)</f>
        <v>#REF!</v>
      </c>
      <c r="U294" t="e">
        <f>IF(#REF!,"AAAAAFf7fxQ=",0)</f>
        <v>#REF!</v>
      </c>
      <c r="V294" t="e">
        <f>IF(#REF!,"AAAAAFf7fxU=",0)</f>
        <v>#REF!</v>
      </c>
      <c r="W294" t="e">
        <f>IF(#REF!,"AAAAAFf7fxY=",0)</f>
        <v>#REF!</v>
      </c>
      <c r="X294" t="e">
        <f>IF(#REF!,"AAAAAFf7fxc=",0)</f>
        <v>#REF!</v>
      </c>
      <c r="Y294" t="e">
        <f>IF(#REF!,"AAAAAFf7fxg=",0)</f>
        <v>#REF!</v>
      </c>
      <c r="Z294" t="e">
        <f>IF(#REF!,"AAAAAFf7fxk=",0)</f>
        <v>#REF!</v>
      </c>
      <c r="AA294" t="e">
        <f>IF(#REF!,"AAAAAFf7fxo=",0)</f>
        <v>#REF!</v>
      </c>
      <c r="AB294" t="e">
        <f>IF(#REF!,"AAAAAFf7fxs=",0)</f>
        <v>#REF!</v>
      </c>
      <c r="AC294" t="e">
        <f>IF(#REF!,"AAAAAFf7fxw=",0)</f>
        <v>#REF!</v>
      </c>
      <c r="AD294" t="e">
        <f>IF(#REF!,"AAAAAFf7fx0=",0)</f>
        <v>#REF!</v>
      </c>
      <c r="AE294" t="e">
        <f>IF(#REF!,"AAAAAFf7fx4=",0)</f>
        <v>#REF!</v>
      </c>
      <c r="AF294" t="e">
        <f>IF(#REF!,"AAAAAFf7fx8=",0)</f>
        <v>#REF!</v>
      </c>
      <c r="AG294" t="e">
        <f>IF(#REF!,"AAAAAFf7fyA=",0)</f>
        <v>#REF!</v>
      </c>
      <c r="AH294" t="e">
        <f>IF(#REF!,"AAAAAFf7fyE=",0)</f>
        <v>#REF!</v>
      </c>
      <c r="AI294" t="e">
        <f>IF(#REF!,"AAAAAFf7fyI=",0)</f>
        <v>#REF!</v>
      </c>
      <c r="AJ294" t="e">
        <f>IF(#REF!,"AAAAAFf7fyM=",0)</f>
        <v>#REF!</v>
      </c>
      <c r="AK294" t="e">
        <f>IF(#REF!,"AAAAAFf7fyQ=",0)</f>
        <v>#REF!</v>
      </c>
      <c r="AL294" t="e">
        <f>IF(#REF!,"AAAAAFf7fyU=",0)</f>
        <v>#REF!</v>
      </c>
      <c r="AM294" t="e">
        <f>IF(#REF!,"AAAAAFf7fyY=",0)</f>
        <v>#REF!</v>
      </c>
      <c r="AN294" t="e">
        <f>IF(#REF!,"AAAAAFf7fyc=",0)</f>
        <v>#REF!</v>
      </c>
      <c r="AO294" t="e">
        <f>IF(#REF!,"AAAAAFf7fyg=",0)</f>
        <v>#REF!</v>
      </c>
      <c r="AP294" t="e">
        <f>IF(#REF!,"AAAAAFf7fyk=",0)</f>
        <v>#REF!</v>
      </c>
      <c r="AQ294" t="e">
        <f>IF(#REF!,"AAAAAFf7fyo=",0)</f>
        <v>#REF!</v>
      </c>
      <c r="AR294" t="e">
        <f>IF(#REF!,"AAAAAFf7fys=",0)</f>
        <v>#REF!</v>
      </c>
      <c r="AS294" t="e">
        <f>IF(#REF!,"AAAAAFf7fyw=",0)</f>
        <v>#REF!</v>
      </c>
      <c r="AT294" t="e">
        <f>IF(#REF!,"AAAAAFf7fy0=",0)</f>
        <v>#REF!</v>
      </c>
      <c r="AU294" t="e">
        <f>IF(#REF!,"AAAAAFf7fy4=",0)</f>
        <v>#REF!</v>
      </c>
      <c r="AV294" t="e">
        <f>IF(#REF!,"AAAAAFf7fy8=",0)</f>
        <v>#REF!</v>
      </c>
      <c r="AW294" t="e">
        <f>IF(#REF!,"AAAAAFf7fzA=",0)</f>
        <v>#REF!</v>
      </c>
      <c r="AX294" t="e">
        <f>IF(#REF!,"AAAAAFf7fzE=",0)</f>
        <v>#REF!</v>
      </c>
      <c r="AY294" t="e">
        <f>IF(#REF!,"AAAAAFf7fzI=",0)</f>
        <v>#REF!</v>
      </c>
      <c r="AZ294" t="e">
        <f>IF(#REF!,"AAAAAFf7fzM=",0)</f>
        <v>#REF!</v>
      </c>
      <c r="BA294" t="e">
        <f>IF(#REF!,"AAAAAFf7fzQ=",0)</f>
        <v>#REF!</v>
      </c>
      <c r="BB294" t="e">
        <f>IF(#REF!,"AAAAAFf7fzU=",0)</f>
        <v>#REF!</v>
      </c>
      <c r="BC294" t="e">
        <f>IF(#REF!,"AAAAAFf7fzY=",0)</f>
        <v>#REF!</v>
      </c>
      <c r="BD294" t="e">
        <f>IF(#REF!,"AAAAAFf7fzc=",0)</f>
        <v>#REF!</v>
      </c>
      <c r="BE294" t="e">
        <f>IF(#REF!,"AAAAAFf7fzg=",0)</f>
        <v>#REF!</v>
      </c>
      <c r="BF294" t="e">
        <f>IF(#REF!,"AAAAAFf7fzk=",0)</f>
        <v>#REF!</v>
      </c>
      <c r="BG294" t="e">
        <f>IF(#REF!,"AAAAAFf7fzo=",0)</f>
        <v>#REF!</v>
      </c>
      <c r="BH294" t="e">
        <f>IF(#REF!,"AAAAAFf7fzs=",0)</f>
        <v>#REF!</v>
      </c>
      <c r="BI294" t="e">
        <f>IF(#REF!,"AAAAAFf7fzw=",0)</f>
        <v>#REF!</v>
      </c>
      <c r="BJ294" t="e">
        <f>IF(#REF!,"AAAAAFf7fz0=",0)</f>
        <v>#REF!</v>
      </c>
      <c r="BK294" t="e">
        <f>IF(#REF!,"AAAAAFf7fz4=",0)</f>
        <v>#REF!</v>
      </c>
      <c r="BL294" t="e">
        <f>IF(#REF!,"AAAAAFf7fz8=",0)</f>
        <v>#REF!</v>
      </c>
      <c r="BM294" t="e">
        <f>IF(#REF!,"AAAAAFf7f0A=",0)</f>
        <v>#REF!</v>
      </c>
      <c r="BN294" t="e">
        <f>IF(#REF!,"AAAAAFf7f0E=",0)</f>
        <v>#REF!</v>
      </c>
      <c r="BO294" t="e">
        <f>IF(#REF!,"AAAAAFf7f0I=",0)</f>
        <v>#REF!</v>
      </c>
      <c r="BP294" t="e">
        <f>IF(#REF!,"AAAAAFf7f0M=",0)</f>
        <v>#REF!</v>
      </c>
      <c r="BQ294" t="e">
        <f>IF(#REF!,"AAAAAFf7f0Q=",0)</f>
        <v>#REF!</v>
      </c>
      <c r="BR294" t="e">
        <f>IF(#REF!,"AAAAAFf7f0U=",0)</f>
        <v>#REF!</v>
      </c>
      <c r="BS294" t="e">
        <f>IF(#REF!,"AAAAAFf7f0Y=",0)</f>
        <v>#REF!</v>
      </c>
      <c r="BT294" t="e">
        <f>IF(#REF!,"AAAAAFf7f0c=",0)</f>
        <v>#REF!</v>
      </c>
      <c r="BU294" t="e">
        <f>IF(#REF!,"AAAAAFf7f0g=",0)</f>
        <v>#REF!</v>
      </c>
      <c r="BV294" t="e">
        <f>IF(#REF!,"AAAAAFf7f0k=",0)</f>
        <v>#REF!</v>
      </c>
      <c r="BW294" t="e">
        <f>IF(#REF!,"AAAAAFf7f0o=",0)</f>
        <v>#REF!</v>
      </c>
      <c r="BX294" t="e">
        <f>IF(#REF!,"AAAAAFf7f0s=",0)</f>
        <v>#REF!</v>
      </c>
      <c r="BY294" t="e">
        <f>IF(#REF!,"AAAAAFf7f0w=",0)</f>
        <v>#REF!</v>
      </c>
      <c r="BZ294" t="e">
        <f>IF(#REF!,"AAAAAFf7f00=",0)</f>
        <v>#REF!</v>
      </c>
      <c r="CA294" t="e">
        <f>IF(#REF!,"AAAAAFf7f04=",0)</f>
        <v>#REF!</v>
      </c>
      <c r="CB294" t="e">
        <f>IF(#REF!,"AAAAAFf7f08=",0)</f>
        <v>#REF!</v>
      </c>
      <c r="CC294" t="e">
        <f>IF(#REF!,"AAAAAFf7f1A=",0)</f>
        <v>#REF!</v>
      </c>
      <c r="CD294" t="e">
        <f>IF(#REF!,"AAAAAFf7f1E=",0)</f>
        <v>#REF!</v>
      </c>
      <c r="CE294" t="e">
        <f>IF(#REF!,"AAAAAFf7f1I=",0)</f>
        <v>#REF!</v>
      </c>
      <c r="CF294" t="e">
        <f>IF(#REF!,"AAAAAFf7f1M=",0)</f>
        <v>#REF!</v>
      </c>
      <c r="CG294" t="e">
        <f>IF(#REF!,"AAAAAFf7f1Q=",0)</f>
        <v>#REF!</v>
      </c>
      <c r="CH294" t="e">
        <f>IF(#REF!,"AAAAAFf7f1U=",0)</f>
        <v>#REF!</v>
      </c>
      <c r="CI294" t="e">
        <f>IF(#REF!,"AAAAAFf7f1Y=",0)</f>
        <v>#REF!</v>
      </c>
      <c r="CJ294" t="e">
        <f>IF(#REF!,"AAAAAFf7f1c=",0)</f>
        <v>#REF!</v>
      </c>
      <c r="CK294" t="e">
        <f>IF(#REF!,"AAAAAFf7f1g=",0)</f>
        <v>#REF!</v>
      </c>
      <c r="CL294" t="e">
        <f>IF(#REF!,"AAAAAFf7f1k=",0)</f>
        <v>#REF!</v>
      </c>
      <c r="CM294" t="e">
        <f>IF(#REF!,"AAAAAFf7f1o=",0)</f>
        <v>#REF!</v>
      </c>
      <c r="CN294" t="e">
        <f>IF(#REF!,"AAAAAFf7f1s=",0)</f>
        <v>#REF!</v>
      </c>
      <c r="CO294" t="e">
        <f>IF(#REF!,"AAAAAFf7f1w=",0)</f>
        <v>#REF!</v>
      </c>
      <c r="CP294" t="e">
        <f>IF(#REF!,"AAAAAFf7f10=",0)</f>
        <v>#REF!</v>
      </c>
      <c r="CQ294" t="e">
        <f>IF(#REF!,"AAAAAFf7f14=",0)</f>
        <v>#REF!</v>
      </c>
      <c r="CR294" t="e">
        <f>IF(#REF!,"AAAAAFf7f18=",0)</f>
        <v>#REF!</v>
      </c>
      <c r="CS294" t="e">
        <f>IF(#REF!,"AAAAAFf7f2A=",0)</f>
        <v>#REF!</v>
      </c>
      <c r="CT294" t="e">
        <f>IF(#REF!,"AAAAAFf7f2E=",0)</f>
        <v>#REF!</v>
      </c>
      <c r="CU294" t="e">
        <f>IF(#REF!,"AAAAAFf7f2I=",0)</f>
        <v>#REF!</v>
      </c>
      <c r="CV294" t="e">
        <f>IF(#REF!,"AAAAAFf7f2M=",0)</f>
        <v>#REF!</v>
      </c>
      <c r="CW294" t="e">
        <f>IF(#REF!,"AAAAAFf7f2Q=",0)</f>
        <v>#REF!</v>
      </c>
      <c r="CX294" t="e">
        <f>IF(#REF!,"AAAAAFf7f2U=",0)</f>
        <v>#REF!</v>
      </c>
      <c r="CY294" t="e">
        <f>IF(#REF!,"AAAAAFf7f2Y=",0)</f>
        <v>#REF!</v>
      </c>
      <c r="CZ294" t="e">
        <f>IF(#REF!,"AAAAAFf7f2c=",0)</f>
        <v>#REF!</v>
      </c>
      <c r="DA294" t="e">
        <f>IF(#REF!,"AAAAAFf7f2g=",0)</f>
        <v>#REF!</v>
      </c>
      <c r="DB294" t="e">
        <f>IF(#REF!,"AAAAAFf7f2k=",0)</f>
        <v>#REF!</v>
      </c>
      <c r="DC294" t="e">
        <f>IF(#REF!,"AAAAAFf7f2o=",0)</f>
        <v>#REF!</v>
      </c>
      <c r="DD294" t="e">
        <f>IF(#REF!,"AAAAAFf7f2s=",0)</f>
        <v>#REF!</v>
      </c>
      <c r="DE294" t="e">
        <f>IF(#REF!,"AAAAAFf7f2w=",0)</f>
        <v>#REF!</v>
      </c>
      <c r="DF294" t="e">
        <f>IF(#REF!,"AAAAAFf7f20=",0)</f>
        <v>#REF!</v>
      </c>
      <c r="DG294" t="e">
        <f>IF(#REF!,"AAAAAFf7f24=",0)</f>
        <v>#REF!</v>
      </c>
      <c r="DH294" t="e">
        <f>IF(#REF!,"AAAAAFf7f28=",0)</f>
        <v>#REF!</v>
      </c>
      <c r="DI294" t="e">
        <f>IF(#REF!,"AAAAAFf7f3A=",0)</f>
        <v>#REF!</v>
      </c>
      <c r="DJ294" t="e">
        <f>IF(#REF!,"AAAAAFf7f3E=",0)</f>
        <v>#REF!</v>
      </c>
      <c r="DK294" t="e">
        <f>IF(#REF!,"AAAAAFf7f3I=",0)</f>
        <v>#REF!</v>
      </c>
      <c r="DL294" t="e">
        <f>IF(#REF!,"AAAAAFf7f3M=",0)</f>
        <v>#REF!</v>
      </c>
      <c r="DM294" t="e">
        <f>IF(#REF!,"AAAAAFf7f3Q=",0)</f>
        <v>#REF!</v>
      </c>
      <c r="DN294" t="e">
        <f>IF(#REF!,"AAAAAFf7f3U=",0)</f>
        <v>#REF!</v>
      </c>
      <c r="DO294" t="e">
        <f>IF(#REF!,"AAAAAFf7f3Y=",0)</f>
        <v>#REF!</v>
      </c>
      <c r="DP294" t="e">
        <f>IF(#REF!,"AAAAAFf7f3c=",0)</f>
        <v>#REF!</v>
      </c>
      <c r="DQ294" t="e">
        <f>IF(#REF!,"AAAAAFf7f3g=",0)</f>
        <v>#REF!</v>
      </c>
      <c r="DR294" t="e">
        <f>IF(#REF!,"AAAAAFf7f3k=",0)</f>
        <v>#REF!</v>
      </c>
      <c r="DS294" t="e">
        <f>IF(#REF!,"AAAAAFf7f3o=",0)</f>
        <v>#REF!</v>
      </c>
      <c r="DT294" t="e">
        <f>IF(#REF!,"AAAAAFf7f3s=",0)</f>
        <v>#REF!</v>
      </c>
      <c r="DU294" t="e">
        <f>IF(#REF!,"AAAAAFf7f3w=",0)</f>
        <v>#REF!</v>
      </c>
      <c r="DV294" t="e">
        <f>IF(#REF!,"AAAAAFf7f30=",0)</f>
        <v>#REF!</v>
      </c>
      <c r="DW294" t="e">
        <f>IF(#REF!,"AAAAAFf7f34=",0)</f>
        <v>#REF!</v>
      </c>
      <c r="DX294" t="e">
        <f>IF(#REF!,"AAAAAFf7f38=",0)</f>
        <v>#REF!</v>
      </c>
      <c r="DY294" t="e">
        <f>IF(#REF!,"AAAAAFf7f4A=",0)</f>
        <v>#REF!</v>
      </c>
      <c r="DZ294" t="e">
        <f>IF(#REF!,"AAAAAFf7f4E=",0)</f>
        <v>#REF!</v>
      </c>
      <c r="EA294" t="e">
        <f>IF(#REF!,"AAAAAFf7f4I=",0)</f>
        <v>#REF!</v>
      </c>
      <c r="EB294" t="e">
        <f>IF(#REF!,"AAAAAFf7f4M=",0)</f>
        <v>#REF!</v>
      </c>
      <c r="EC294" t="e">
        <f>IF(#REF!,"AAAAAFf7f4Q=",0)</f>
        <v>#REF!</v>
      </c>
      <c r="ED294" t="e">
        <f>IF(#REF!,"AAAAAFf7f4U=",0)</f>
        <v>#REF!</v>
      </c>
      <c r="EE294" t="e">
        <f>IF(#REF!,"AAAAAFf7f4Y=",0)</f>
        <v>#REF!</v>
      </c>
      <c r="EF294" t="e">
        <f>IF(#REF!,"AAAAAFf7f4c=",0)</f>
        <v>#REF!</v>
      </c>
      <c r="EG294" t="e">
        <f>IF(#REF!,"AAAAAFf7f4g=",0)</f>
        <v>#REF!</v>
      </c>
      <c r="EH294" t="e">
        <f>IF(#REF!,"AAAAAFf7f4k=",0)</f>
        <v>#REF!</v>
      </c>
      <c r="EI294" t="e">
        <f>IF(#REF!,"AAAAAFf7f4o=",0)</f>
        <v>#REF!</v>
      </c>
      <c r="EJ294" t="e">
        <f>IF(#REF!,"AAAAAFf7f4s=",0)</f>
        <v>#REF!</v>
      </c>
      <c r="EK294" t="e">
        <f>IF(#REF!,"AAAAAFf7f4w=",0)</f>
        <v>#REF!</v>
      </c>
      <c r="EL294" t="e">
        <f>IF(#REF!,"AAAAAFf7f40=",0)</f>
        <v>#REF!</v>
      </c>
      <c r="EM294" t="e">
        <f>IF(#REF!,"AAAAAFf7f44=",0)</f>
        <v>#REF!</v>
      </c>
      <c r="EN294" t="e">
        <f>IF(#REF!,"AAAAAFf7f48=",0)</f>
        <v>#REF!</v>
      </c>
      <c r="EO294" t="e">
        <f>IF(#REF!,"AAAAAFf7f5A=",0)</f>
        <v>#REF!</v>
      </c>
      <c r="EP294" t="e">
        <f>IF(#REF!,"AAAAAFf7f5E=",0)</f>
        <v>#REF!</v>
      </c>
      <c r="EQ294" t="e">
        <f>IF(#REF!,"AAAAAFf7f5I=",0)</f>
        <v>#REF!</v>
      </c>
      <c r="ER294" t="e">
        <f>IF(#REF!,"AAAAAFf7f5M=",0)</f>
        <v>#REF!</v>
      </c>
      <c r="ES294" t="e">
        <f>IF(#REF!,"AAAAAFf7f5Q=",0)</f>
        <v>#REF!</v>
      </c>
      <c r="ET294" t="e">
        <f>IF(#REF!,"AAAAAFf7f5U=",0)</f>
        <v>#REF!</v>
      </c>
      <c r="EU294" t="e">
        <f>IF(#REF!,"AAAAAFf7f5Y=",0)</f>
        <v>#REF!</v>
      </c>
      <c r="EV294" t="e">
        <f>IF(#REF!,"AAAAAFf7f5c=",0)</f>
        <v>#REF!</v>
      </c>
      <c r="EW294" t="e">
        <f>IF(#REF!,"AAAAAFf7f5g=",0)</f>
        <v>#REF!</v>
      </c>
      <c r="EX294" t="e">
        <f>IF(#REF!,"AAAAAFf7f5k=",0)</f>
        <v>#REF!</v>
      </c>
      <c r="EY294" t="e">
        <f>IF(#REF!,"AAAAAFf7f5o=",0)</f>
        <v>#REF!</v>
      </c>
      <c r="EZ294" t="e">
        <f>IF(#REF!,"AAAAAFf7f5s=",0)</f>
        <v>#REF!</v>
      </c>
      <c r="FA294" t="e">
        <f>IF(#REF!,"AAAAAFf7f5w=",0)</f>
        <v>#REF!</v>
      </c>
      <c r="FB294" t="e">
        <f>IF(#REF!,"AAAAAFf7f50=",0)</f>
        <v>#REF!</v>
      </c>
      <c r="FC294" t="e">
        <f>IF(#REF!,"AAAAAFf7f54=",0)</f>
        <v>#REF!</v>
      </c>
      <c r="FD294" t="e">
        <f>IF(#REF!,"AAAAAFf7f58=",0)</f>
        <v>#REF!</v>
      </c>
      <c r="FE294" t="e">
        <f>IF(#REF!,"AAAAAFf7f6A=",0)</f>
        <v>#REF!</v>
      </c>
      <c r="FF294" t="e">
        <f>IF(#REF!,"AAAAAFf7f6E=",0)</f>
        <v>#REF!</v>
      </c>
      <c r="FG294" t="e">
        <f>IF(#REF!,"AAAAAFf7f6I=",0)</f>
        <v>#REF!</v>
      </c>
      <c r="FH294" t="e">
        <f>IF(#REF!,"AAAAAFf7f6M=",0)</f>
        <v>#REF!</v>
      </c>
      <c r="FI294" t="e">
        <f>IF(#REF!,"AAAAAFf7f6Q=",0)</f>
        <v>#REF!</v>
      </c>
      <c r="FJ294" t="e">
        <f>IF(#REF!,"AAAAAFf7f6U=",0)</f>
        <v>#REF!</v>
      </c>
      <c r="FK294" t="e">
        <f>IF(#REF!,"AAAAAFf7f6Y=",0)</f>
        <v>#REF!</v>
      </c>
      <c r="FL294" t="e">
        <f>IF(#REF!,"AAAAAFf7f6c=",0)</f>
        <v>#REF!</v>
      </c>
      <c r="FM294" t="e">
        <f>IF(#REF!,"AAAAAFf7f6g=",0)</f>
        <v>#REF!</v>
      </c>
      <c r="FN294" t="e">
        <f>IF(#REF!,"AAAAAFf7f6k=",0)</f>
        <v>#REF!</v>
      </c>
      <c r="FO294" t="e">
        <f>IF(#REF!,"AAAAAFf7f6o=",0)</f>
        <v>#REF!</v>
      </c>
      <c r="FP294" t="e">
        <f>IF(#REF!,"AAAAAFf7f6s=",0)</f>
        <v>#REF!</v>
      </c>
      <c r="FQ294" t="e">
        <f>IF(#REF!,"AAAAAFf7f6w=",0)</f>
        <v>#REF!</v>
      </c>
      <c r="FR294" t="e">
        <f>IF(#REF!,"AAAAAFf7f60=",0)</f>
        <v>#REF!</v>
      </c>
      <c r="FS294" t="e">
        <f>IF(#REF!,"AAAAAFf7f64=",0)</f>
        <v>#REF!</v>
      </c>
      <c r="FT294" t="e">
        <f>IF(#REF!,"AAAAAFf7f68=",0)</f>
        <v>#REF!</v>
      </c>
      <c r="FU294" t="e">
        <f>IF(#REF!,"AAAAAFf7f7A=",0)</f>
        <v>#REF!</v>
      </c>
      <c r="FV294" t="e">
        <f>IF(#REF!,"AAAAAFf7f7E=",0)</f>
        <v>#REF!</v>
      </c>
      <c r="FW294" t="e">
        <f>IF(#REF!,"AAAAAFf7f7I=",0)</f>
        <v>#REF!</v>
      </c>
      <c r="FX294" t="e">
        <f>IF(#REF!,"AAAAAFf7f7M=",0)</f>
        <v>#REF!</v>
      </c>
      <c r="FY294" t="e">
        <f>IF(#REF!,"AAAAAFf7f7Q=",0)</f>
        <v>#REF!</v>
      </c>
      <c r="FZ294" t="e">
        <f>IF(#REF!,"AAAAAFf7f7U=",0)</f>
        <v>#REF!</v>
      </c>
      <c r="GA294" t="e">
        <f>IF(#REF!,"AAAAAFf7f7Y=",0)</f>
        <v>#REF!</v>
      </c>
      <c r="GB294" t="e">
        <f>IF(#REF!,"AAAAAFf7f7c=",0)</f>
        <v>#REF!</v>
      </c>
      <c r="GC294" t="e">
        <f>IF(#REF!,"AAAAAFf7f7g=",0)</f>
        <v>#REF!</v>
      </c>
      <c r="GD294" t="e">
        <f>IF(#REF!,"AAAAAFf7f7k=",0)</f>
        <v>#REF!</v>
      </c>
      <c r="GE294" t="e">
        <f>IF(#REF!,"AAAAAFf7f7o=",0)</f>
        <v>#REF!</v>
      </c>
      <c r="GF294" t="e">
        <f>IF(#REF!,"AAAAAFf7f7s=",0)</f>
        <v>#REF!</v>
      </c>
      <c r="GG294" t="e">
        <f>IF(#REF!,"AAAAAFf7f7w=",0)</f>
        <v>#REF!</v>
      </c>
      <c r="GH294" t="e">
        <f>IF(#REF!,"AAAAAFf7f70=",0)</f>
        <v>#REF!</v>
      </c>
      <c r="GI294" t="e">
        <f>IF(#REF!,"AAAAAFf7f74=",0)</f>
        <v>#REF!</v>
      </c>
      <c r="GJ294" t="e">
        <f>IF(#REF!,"AAAAAFf7f78=",0)</f>
        <v>#REF!</v>
      </c>
      <c r="GK294" t="e">
        <f>IF(#REF!,"AAAAAFf7f8A=",0)</f>
        <v>#REF!</v>
      </c>
      <c r="GL294" t="e">
        <f>IF(#REF!,"AAAAAFf7f8E=",0)</f>
        <v>#REF!</v>
      </c>
      <c r="GM294" t="e">
        <f>IF(#REF!,"AAAAAFf7f8I=",0)</f>
        <v>#REF!</v>
      </c>
      <c r="GN294" t="e">
        <f>IF(#REF!,"AAAAAFf7f8M=",0)</f>
        <v>#REF!</v>
      </c>
      <c r="GO294" t="e">
        <f>IF(#REF!,"AAAAAFf7f8Q=",0)</f>
        <v>#REF!</v>
      </c>
      <c r="GP294" t="e">
        <f>IF(#REF!,"AAAAAFf7f8U=",0)</f>
        <v>#REF!</v>
      </c>
      <c r="GQ294" t="e">
        <f>IF(#REF!,"AAAAAFf7f8Y=",0)</f>
        <v>#REF!</v>
      </c>
      <c r="GR294" t="e">
        <f>IF(#REF!,"AAAAAFf7f8c=",0)</f>
        <v>#REF!</v>
      </c>
      <c r="GS294" t="e">
        <f>IF(#REF!,"AAAAAFf7f8g=",0)</f>
        <v>#REF!</v>
      </c>
      <c r="GT294" t="e">
        <f>IF(#REF!,"AAAAAFf7f8k=",0)</f>
        <v>#REF!</v>
      </c>
      <c r="GU294" t="e">
        <f>IF(#REF!,"AAAAAFf7f8o=",0)</f>
        <v>#REF!</v>
      </c>
      <c r="GV294" t="e">
        <f>IF(#REF!,"AAAAAFf7f8s=",0)</f>
        <v>#REF!</v>
      </c>
      <c r="GW294" t="e">
        <f>IF(#REF!,"AAAAAFf7f8w=",0)</f>
        <v>#REF!</v>
      </c>
      <c r="GX294" t="e">
        <f>IF(#REF!,"AAAAAFf7f80=",0)</f>
        <v>#REF!</v>
      </c>
      <c r="GY294" t="e">
        <f>IF(#REF!,"AAAAAFf7f84=",0)</f>
        <v>#REF!</v>
      </c>
      <c r="GZ294" t="e">
        <f>IF(#REF!,"AAAAAFf7f88=",0)</f>
        <v>#REF!</v>
      </c>
      <c r="HA294" t="e">
        <f>IF(#REF!,"AAAAAFf7f9A=",0)</f>
        <v>#REF!</v>
      </c>
      <c r="HB294" t="e">
        <f>IF(#REF!,"AAAAAFf7f9E=",0)</f>
        <v>#REF!</v>
      </c>
      <c r="HC294" t="e">
        <f>IF(#REF!,"AAAAAFf7f9I=",0)</f>
        <v>#REF!</v>
      </c>
      <c r="HD294" t="e">
        <f>IF(#REF!,"AAAAAFf7f9M=",0)</f>
        <v>#REF!</v>
      </c>
      <c r="HE294" t="e">
        <f>IF(#REF!,"AAAAAFf7f9Q=",0)</f>
        <v>#REF!</v>
      </c>
      <c r="HF294" t="e">
        <f>IF(#REF!,"AAAAAFf7f9U=",0)</f>
        <v>#REF!</v>
      </c>
      <c r="HG294" t="e">
        <f>IF(#REF!,"AAAAAFf7f9Y=",0)</f>
        <v>#REF!</v>
      </c>
      <c r="HH294" t="e">
        <f>IF(#REF!,"AAAAAFf7f9c=",0)</f>
        <v>#REF!</v>
      </c>
      <c r="HI294" t="e">
        <f>IF(#REF!,"AAAAAFf7f9g=",0)</f>
        <v>#REF!</v>
      </c>
      <c r="HJ294" t="e">
        <f>IF(#REF!,"AAAAAFf7f9k=",0)</f>
        <v>#REF!</v>
      </c>
      <c r="HK294" t="e">
        <f>IF(#REF!,"AAAAAFf7f9o=",0)</f>
        <v>#REF!</v>
      </c>
      <c r="HL294" t="e">
        <f>IF(#REF!,"AAAAAFf7f9s=",0)</f>
        <v>#REF!</v>
      </c>
      <c r="HM294" t="e">
        <f>IF(#REF!,"AAAAAFf7f9w=",0)</f>
        <v>#REF!</v>
      </c>
      <c r="HN294" t="e">
        <f>IF(#REF!,"AAAAAFf7f90=",0)</f>
        <v>#REF!</v>
      </c>
      <c r="HO294" t="e">
        <f>IF(#REF!,"AAAAAFf7f94=",0)</f>
        <v>#REF!</v>
      </c>
      <c r="HP294" t="e">
        <f>IF(#REF!,"AAAAAFf7f98=",0)</f>
        <v>#REF!</v>
      </c>
      <c r="HQ294" t="e">
        <f>IF(#REF!,"AAAAAFf7f+A=",0)</f>
        <v>#REF!</v>
      </c>
      <c r="HR294" t="e">
        <f>IF(#REF!,"AAAAAFf7f+E=",0)</f>
        <v>#REF!</v>
      </c>
      <c r="HS294" t="e">
        <f>IF(#REF!,"AAAAAFf7f+I=",0)</f>
        <v>#REF!</v>
      </c>
      <c r="HT294" t="e">
        <f>IF(#REF!,"AAAAAFf7f+M=",0)</f>
        <v>#REF!</v>
      </c>
      <c r="HU294" t="e">
        <f>IF(#REF!,"AAAAAFf7f+Q=",0)</f>
        <v>#REF!</v>
      </c>
      <c r="HV294" t="e">
        <f>IF(#REF!,"AAAAAFf7f+U=",0)</f>
        <v>#REF!</v>
      </c>
      <c r="HW294" t="e">
        <f>IF(#REF!,"AAAAAFf7f+Y=",0)</f>
        <v>#REF!</v>
      </c>
      <c r="HX294" t="e">
        <f>IF(#REF!,"AAAAAFf7f+c=",0)</f>
        <v>#REF!</v>
      </c>
      <c r="HY294" t="e">
        <f>IF(#REF!,"AAAAAFf7f+g=",0)</f>
        <v>#REF!</v>
      </c>
      <c r="HZ294" t="e">
        <f>IF(#REF!,"AAAAAFf7f+k=",0)</f>
        <v>#REF!</v>
      </c>
      <c r="IA294" t="e">
        <f>IF(#REF!,"AAAAAFf7f+o=",0)</f>
        <v>#REF!</v>
      </c>
      <c r="IB294" t="e">
        <f>IF(#REF!,"AAAAAFf7f+s=",0)</f>
        <v>#REF!</v>
      </c>
      <c r="IC294" t="e">
        <f>IF(#REF!,"AAAAAFf7f+w=",0)</f>
        <v>#REF!</v>
      </c>
      <c r="ID294" t="e">
        <f>IF(#REF!,"AAAAAFf7f+0=",0)</f>
        <v>#REF!</v>
      </c>
      <c r="IE294" t="e">
        <f>IF(#REF!,"AAAAAFf7f+4=",0)</f>
        <v>#REF!</v>
      </c>
      <c r="IF294" t="e">
        <f>IF(#REF!,"AAAAAFf7f+8=",0)</f>
        <v>#REF!</v>
      </c>
      <c r="IG294" t="e">
        <f>IF(#REF!,"AAAAAFf7f/A=",0)</f>
        <v>#REF!</v>
      </c>
      <c r="IH294" t="e">
        <f>IF(#REF!,"AAAAAFf7f/E=",0)</f>
        <v>#REF!</v>
      </c>
      <c r="II294" t="e">
        <f>IF(#REF!,"AAAAAFf7f/I=",0)</f>
        <v>#REF!</v>
      </c>
      <c r="IJ294" t="e">
        <f>IF(#REF!,"AAAAAFf7f/M=",0)</f>
        <v>#REF!</v>
      </c>
      <c r="IK294" t="e">
        <f>IF(#REF!,"AAAAAFf7f/Q=",0)</f>
        <v>#REF!</v>
      </c>
      <c r="IL294" t="e">
        <f>IF(#REF!,"AAAAAFf7f/U=",0)</f>
        <v>#REF!</v>
      </c>
      <c r="IM294" t="e">
        <f>IF(#REF!,"AAAAAFf7f/Y=",0)</f>
        <v>#REF!</v>
      </c>
      <c r="IN294" t="e">
        <f>IF(#REF!,"AAAAAFf7f/c=",0)</f>
        <v>#REF!</v>
      </c>
      <c r="IO294" t="e">
        <f>IF(#REF!,"AAAAAFf7f/g=",0)</f>
        <v>#REF!</v>
      </c>
      <c r="IP294" t="e">
        <f>IF(#REF!,"AAAAAFf7f/k=",0)</f>
        <v>#REF!</v>
      </c>
      <c r="IQ294" t="e">
        <f>IF(#REF!,"AAAAAFf7f/o=",0)</f>
        <v>#REF!</v>
      </c>
      <c r="IR294" t="e">
        <f>IF(#REF!,"AAAAAFf7f/s=",0)</f>
        <v>#REF!</v>
      </c>
      <c r="IS294" t="e">
        <f>IF(#REF!,"AAAAAFf7f/w=",0)</f>
        <v>#REF!</v>
      </c>
      <c r="IT294" t="e">
        <f>IF(#REF!,"AAAAAFf7f/0=",0)</f>
        <v>#REF!</v>
      </c>
      <c r="IU294" t="e">
        <f>IF(#REF!,"AAAAAFf7f/4=",0)</f>
        <v>#REF!</v>
      </c>
      <c r="IV294" t="e">
        <f>IF(#REF!,"AAAAAFf7f/8=",0)</f>
        <v>#REF!</v>
      </c>
    </row>
    <row r="295" spans="1:256">
      <c r="A295" t="e">
        <f>IF(#REF!,"AAAAAEOXzAA=",0)</f>
        <v>#REF!</v>
      </c>
      <c r="B295" t="e">
        <f>IF(#REF!,"AAAAAEOXzAE=",0)</f>
        <v>#REF!</v>
      </c>
      <c r="C295" t="e">
        <f>IF(#REF!,"AAAAAEOXzAI=",0)</f>
        <v>#REF!</v>
      </c>
      <c r="D295" t="e">
        <f>IF(#REF!,"AAAAAEOXzAM=",0)</f>
        <v>#REF!</v>
      </c>
      <c r="E295" t="e">
        <f>IF(#REF!,"AAAAAEOXzAQ=",0)</f>
        <v>#REF!</v>
      </c>
      <c r="F295" t="e">
        <f>IF(#REF!,"AAAAAEOXzAU=",0)</f>
        <v>#REF!</v>
      </c>
      <c r="G295" t="e">
        <f>IF(#REF!,"AAAAAEOXzAY=",0)</f>
        <v>#REF!</v>
      </c>
      <c r="H295" t="e">
        <f>IF(#REF!,"AAAAAEOXzAc=",0)</f>
        <v>#REF!</v>
      </c>
      <c r="I295" t="e">
        <f>IF(#REF!,"AAAAAEOXzAg=",0)</f>
        <v>#REF!</v>
      </c>
      <c r="J295" t="e">
        <f>IF(#REF!,"AAAAAEOXzAk=",0)</f>
        <v>#REF!</v>
      </c>
      <c r="K295" t="e">
        <f>IF(#REF!,"AAAAAEOXzAo=",0)</f>
        <v>#REF!</v>
      </c>
      <c r="L295" t="e">
        <f>IF(#REF!,"AAAAAEOXzAs=",0)</f>
        <v>#REF!</v>
      </c>
      <c r="M295" t="e">
        <f>IF(#REF!,"AAAAAEOXzAw=",0)</f>
        <v>#REF!</v>
      </c>
      <c r="N295" t="e">
        <f>IF(#REF!,"AAAAAEOXzA0=",0)</f>
        <v>#REF!</v>
      </c>
      <c r="O295" t="e">
        <f>IF(#REF!,"AAAAAEOXzA4=",0)</f>
        <v>#REF!</v>
      </c>
      <c r="P295" t="e">
        <f>IF(#REF!,"AAAAAEOXzA8=",0)</f>
        <v>#REF!</v>
      </c>
      <c r="Q295" t="e">
        <f>IF(#REF!,"AAAAAEOXzBA=",0)</f>
        <v>#REF!</v>
      </c>
      <c r="R295" t="e">
        <f>IF(#REF!,"AAAAAEOXzBE=",0)</f>
        <v>#REF!</v>
      </c>
      <c r="S295" t="e">
        <f>IF(#REF!,"AAAAAEOXzBI=",0)</f>
        <v>#REF!</v>
      </c>
      <c r="T295" t="e">
        <f>IF(#REF!,"AAAAAEOXzBM=",0)</f>
        <v>#REF!</v>
      </c>
      <c r="U295" t="e">
        <f>IF(#REF!,"AAAAAEOXzBQ=",0)</f>
        <v>#REF!</v>
      </c>
      <c r="V295" t="e">
        <f>IF(#REF!,"AAAAAEOXzBU=",0)</f>
        <v>#REF!</v>
      </c>
      <c r="W295" t="e">
        <f>IF(#REF!,"AAAAAEOXzBY=",0)</f>
        <v>#REF!</v>
      </c>
      <c r="X295" t="e">
        <f>IF(#REF!,"AAAAAEOXzBc=",0)</f>
        <v>#REF!</v>
      </c>
      <c r="Y295" t="e">
        <f>IF(#REF!,"AAAAAEOXzBg=",0)</f>
        <v>#REF!</v>
      </c>
      <c r="Z295" t="e">
        <f>IF(#REF!,"AAAAAEOXzBk=",0)</f>
        <v>#REF!</v>
      </c>
      <c r="AA295" t="e">
        <f>IF(#REF!,"AAAAAEOXzBo=",0)</f>
        <v>#REF!</v>
      </c>
      <c r="AB295" t="e">
        <f>IF(#REF!,"AAAAAEOXzBs=",0)</f>
        <v>#REF!</v>
      </c>
      <c r="AC295" t="e">
        <f>IF(#REF!,"AAAAAEOXzBw=",0)</f>
        <v>#REF!</v>
      </c>
      <c r="AD295" t="e">
        <f>IF(#REF!,"AAAAAEOXzB0=",0)</f>
        <v>#REF!</v>
      </c>
      <c r="AE295" t="e">
        <f>IF(#REF!,"AAAAAEOXzB4=",0)</f>
        <v>#REF!</v>
      </c>
      <c r="AF295" t="e">
        <f>IF(#REF!,"AAAAAEOXzB8=",0)</f>
        <v>#REF!</v>
      </c>
      <c r="AG295" t="e">
        <f>IF(#REF!,"AAAAAEOXzCA=",0)</f>
        <v>#REF!</v>
      </c>
      <c r="AH295" t="e">
        <f>IF(#REF!,"AAAAAEOXzCE=",0)</f>
        <v>#REF!</v>
      </c>
      <c r="AI295" t="e">
        <f>IF(#REF!,"AAAAAEOXzCI=",0)</f>
        <v>#REF!</v>
      </c>
      <c r="AJ295" t="e">
        <f>IF(#REF!,"AAAAAEOXzCM=",0)</f>
        <v>#REF!</v>
      </c>
      <c r="AK295" t="e">
        <f>IF(#REF!,"AAAAAEOXzCQ=",0)</f>
        <v>#REF!</v>
      </c>
      <c r="AL295" t="e">
        <f>IF(#REF!,"AAAAAEOXzCU=",0)</f>
        <v>#REF!</v>
      </c>
      <c r="AM295" t="e">
        <f>IF(#REF!,"AAAAAEOXzCY=",0)</f>
        <v>#REF!</v>
      </c>
      <c r="AN295" t="e">
        <f>IF(#REF!,"AAAAAEOXzCc=",0)</f>
        <v>#REF!</v>
      </c>
      <c r="AO295" t="e">
        <f>IF(#REF!,"AAAAAEOXzCg=",0)</f>
        <v>#REF!</v>
      </c>
      <c r="AP295" t="e">
        <f>IF(#REF!,"AAAAAEOXzCk=",0)</f>
        <v>#REF!</v>
      </c>
      <c r="AQ295" t="e">
        <f>IF(#REF!,"AAAAAEOXzCo=",0)</f>
        <v>#REF!</v>
      </c>
      <c r="AR295" t="e">
        <f>IF(#REF!,"AAAAAEOXzCs=",0)</f>
        <v>#REF!</v>
      </c>
      <c r="AS295" t="e">
        <f>IF(#REF!,"AAAAAEOXzCw=",0)</f>
        <v>#REF!</v>
      </c>
      <c r="AT295" t="e">
        <f>IF(#REF!,"AAAAAEOXzC0=",0)</f>
        <v>#REF!</v>
      </c>
      <c r="AU295" t="e">
        <f>IF(#REF!,"AAAAAEOXzC4=",0)</f>
        <v>#REF!</v>
      </c>
      <c r="AV295" t="e">
        <f>IF(#REF!,"AAAAAEOXzC8=",0)</f>
        <v>#REF!</v>
      </c>
      <c r="AW295" t="e">
        <f>IF(#REF!,"AAAAAEOXzDA=",0)</f>
        <v>#REF!</v>
      </c>
      <c r="AX295" t="e">
        <f>IF(#REF!,"AAAAAEOXzDE=",0)</f>
        <v>#REF!</v>
      </c>
      <c r="AY295" t="e">
        <f>IF(#REF!,"AAAAAEOXzDI=",0)</f>
        <v>#REF!</v>
      </c>
      <c r="AZ295" t="e">
        <f>IF(#REF!,"AAAAAEOXzDM=",0)</f>
        <v>#REF!</v>
      </c>
      <c r="BA295" t="e">
        <f>IF(#REF!,"AAAAAEOXzDQ=",0)</f>
        <v>#REF!</v>
      </c>
      <c r="BB295" t="e">
        <f>IF(#REF!,"AAAAAEOXzDU=",0)</f>
        <v>#REF!</v>
      </c>
      <c r="BC295" t="e">
        <f>IF(#REF!,"AAAAAEOXzDY=",0)</f>
        <v>#REF!</v>
      </c>
      <c r="BD295" t="e">
        <f>IF(#REF!,"AAAAAEOXzDc=",0)</f>
        <v>#REF!</v>
      </c>
      <c r="BE295" t="e">
        <f>IF(#REF!,"AAAAAEOXzDg=",0)</f>
        <v>#REF!</v>
      </c>
      <c r="BF295" t="e">
        <f>IF(#REF!,"AAAAAEOXzDk=",0)</f>
        <v>#REF!</v>
      </c>
      <c r="BG295" t="e">
        <f>IF(#REF!,"AAAAAEOXzDo=",0)</f>
        <v>#REF!</v>
      </c>
      <c r="BH295" t="e">
        <f>IF(#REF!,"AAAAAEOXzDs=",0)</f>
        <v>#REF!</v>
      </c>
      <c r="BI295" t="e">
        <f>IF(#REF!,"AAAAAEOXzDw=",0)</f>
        <v>#REF!</v>
      </c>
      <c r="BJ295" t="e">
        <f>IF(#REF!,"AAAAAEOXzD0=",0)</f>
        <v>#REF!</v>
      </c>
      <c r="BK295" t="e">
        <f>IF(#REF!,"AAAAAEOXzD4=",0)</f>
        <v>#REF!</v>
      </c>
      <c r="BL295" t="e">
        <f>IF(#REF!,"AAAAAEOXzD8=",0)</f>
        <v>#REF!</v>
      </c>
      <c r="BM295" t="e">
        <f>IF(#REF!,"AAAAAEOXzEA=",0)</f>
        <v>#REF!</v>
      </c>
      <c r="BN295" t="e">
        <f>IF(#REF!,"AAAAAEOXzEE=",0)</f>
        <v>#REF!</v>
      </c>
      <c r="BO295" t="e">
        <f>IF(#REF!,"AAAAAEOXzEI=",0)</f>
        <v>#REF!</v>
      </c>
      <c r="BP295" t="e">
        <f>IF(#REF!,"AAAAAEOXzEM=",0)</f>
        <v>#REF!</v>
      </c>
      <c r="BQ295" t="e">
        <f>IF(#REF!,"AAAAAEOXzEQ=",0)</f>
        <v>#REF!</v>
      </c>
      <c r="BR295" t="e">
        <f>IF(#REF!,"AAAAAEOXzEU=",0)</f>
        <v>#REF!</v>
      </c>
      <c r="BS295" t="e">
        <f>IF(#REF!,"AAAAAEOXzEY=",0)</f>
        <v>#REF!</v>
      </c>
      <c r="BT295" t="e">
        <f>IF(#REF!,"AAAAAEOXzEc=",0)</f>
        <v>#REF!</v>
      </c>
      <c r="BU295" t="e">
        <f>IF(#REF!,"AAAAAEOXzEg=",0)</f>
        <v>#REF!</v>
      </c>
      <c r="BV295" t="e">
        <f>IF(#REF!,"AAAAAEOXzEk=",0)</f>
        <v>#REF!</v>
      </c>
      <c r="BW295" t="e">
        <f>IF(#REF!,"AAAAAEOXzEo=",0)</f>
        <v>#REF!</v>
      </c>
      <c r="BX295" t="e">
        <f>IF(#REF!,"AAAAAEOXzEs=",0)</f>
        <v>#REF!</v>
      </c>
      <c r="BY295" t="e">
        <f>IF(#REF!,"AAAAAEOXzEw=",0)</f>
        <v>#REF!</v>
      </c>
      <c r="BZ295" t="e">
        <f>IF(#REF!,"AAAAAEOXzE0=",0)</f>
        <v>#REF!</v>
      </c>
      <c r="CA295" t="e">
        <f>IF(#REF!,"AAAAAEOXzE4=",0)</f>
        <v>#REF!</v>
      </c>
      <c r="CB295" t="e">
        <f>IF(#REF!,"AAAAAEOXzE8=",0)</f>
        <v>#REF!</v>
      </c>
      <c r="CC295" t="e">
        <f>IF(#REF!,"AAAAAEOXzFA=",0)</f>
        <v>#REF!</v>
      </c>
      <c r="CD295" t="e">
        <f>IF(#REF!,"AAAAAEOXzFE=",0)</f>
        <v>#REF!</v>
      </c>
      <c r="CE295" t="e">
        <f>IF(#REF!,"AAAAAEOXzFI=",0)</f>
        <v>#REF!</v>
      </c>
      <c r="CF295" t="e">
        <f>IF(#REF!,"AAAAAEOXzFM=",0)</f>
        <v>#REF!</v>
      </c>
      <c r="CG295" t="e">
        <f>IF(#REF!,"AAAAAEOXzFQ=",0)</f>
        <v>#REF!</v>
      </c>
      <c r="CH295" t="e">
        <f>IF(#REF!,"AAAAAEOXzFU=",0)</f>
        <v>#REF!</v>
      </c>
      <c r="CI295" t="e">
        <f>IF(#REF!,"AAAAAEOXzFY=",0)</f>
        <v>#REF!</v>
      </c>
      <c r="CJ295" t="e">
        <f>IF(#REF!,"AAAAAEOXzFc=",0)</f>
        <v>#REF!</v>
      </c>
      <c r="CK295" t="e">
        <f>IF(#REF!,"AAAAAEOXzFg=",0)</f>
        <v>#REF!</v>
      </c>
      <c r="CL295" t="e">
        <f>IF(#REF!,"AAAAAEOXzFk=",0)</f>
        <v>#REF!</v>
      </c>
      <c r="CM295" t="e">
        <f>IF(#REF!,"AAAAAEOXzFo=",0)</f>
        <v>#REF!</v>
      </c>
      <c r="CN295" t="e">
        <f>IF(#REF!,"AAAAAEOXzFs=",0)</f>
        <v>#REF!</v>
      </c>
      <c r="CO295" t="e">
        <f>IF(#REF!,"AAAAAEOXzFw=",0)</f>
        <v>#REF!</v>
      </c>
      <c r="CP295" t="e">
        <f>IF(#REF!,"AAAAAEOXzF0=",0)</f>
        <v>#REF!</v>
      </c>
      <c r="CQ295" t="e">
        <f>IF(#REF!,"AAAAAEOXzF4=",0)</f>
        <v>#REF!</v>
      </c>
      <c r="CR295" t="e">
        <f>IF(#REF!,"AAAAAEOXzF8=",0)</f>
        <v>#REF!</v>
      </c>
      <c r="CS295" t="e">
        <f>IF(#REF!,"AAAAAEOXzGA=",0)</f>
        <v>#REF!</v>
      </c>
      <c r="CT295" t="e">
        <f>IF(#REF!,"AAAAAEOXzGE=",0)</f>
        <v>#REF!</v>
      </c>
      <c r="CU295" t="e">
        <f>IF(#REF!,"AAAAAEOXzGI=",0)</f>
        <v>#REF!</v>
      </c>
      <c r="CV295" t="e">
        <f>IF(#REF!,"AAAAAEOXzGM=",0)</f>
        <v>#REF!</v>
      </c>
      <c r="CW295" t="e">
        <f>IF(#REF!,"AAAAAEOXzGQ=",0)</f>
        <v>#REF!</v>
      </c>
      <c r="CX295" t="e">
        <f>IF(#REF!,"AAAAAEOXzGU=",0)</f>
        <v>#REF!</v>
      </c>
      <c r="CY295" t="e">
        <f>IF(#REF!,"AAAAAEOXzGY=",0)</f>
        <v>#REF!</v>
      </c>
      <c r="CZ295" t="e">
        <f>IF(#REF!,"AAAAAEOXzGc=",0)</f>
        <v>#REF!</v>
      </c>
      <c r="DA295" t="e">
        <f>IF(#REF!,"AAAAAEOXzGg=",0)</f>
        <v>#REF!</v>
      </c>
      <c r="DB295" t="e">
        <f>IF(#REF!,"AAAAAEOXzGk=",0)</f>
        <v>#REF!</v>
      </c>
      <c r="DC295" t="e">
        <f>IF(#REF!,"AAAAAEOXzGo=",0)</f>
        <v>#REF!</v>
      </c>
      <c r="DD295" t="e">
        <f>IF(#REF!,"AAAAAEOXzGs=",0)</f>
        <v>#REF!</v>
      </c>
      <c r="DE295" t="e">
        <f>IF(#REF!,"AAAAAEOXzGw=",0)</f>
        <v>#REF!</v>
      </c>
      <c r="DF295" t="e">
        <f>IF(#REF!,"AAAAAEOXzG0=",0)</f>
        <v>#REF!</v>
      </c>
      <c r="DG295" t="e">
        <f>IF(#REF!,"AAAAAEOXzG4=",0)</f>
        <v>#REF!</v>
      </c>
      <c r="DH295" t="e">
        <f>IF(#REF!,"AAAAAEOXzG8=",0)</f>
        <v>#REF!</v>
      </c>
      <c r="DI295" t="e">
        <f>IF(#REF!,"AAAAAEOXzHA=",0)</f>
        <v>#REF!</v>
      </c>
      <c r="DJ295" t="e">
        <f>IF(#REF!,"AAAAAEOXzHE=",0)</f>
        <v>#REF!</v>
      </c>
      <c r="DK295" t="e">
        <f>IF(#REF!,"AAAAAEOXzHI=",0)</f>
        <v>#REF!</v>
      </c>
      <c r="DL295" t="e">
        <f>IF(#REF!,"AAAAAEOXzHM=",0)</f>
        <v>#REF!</v>
      </c>
      <c r="DM295" t="e">
        <f>IF(#REF!,"AAAAAEOXzHQ=",0)</f>
        <v>#REF!</v>
      </c>
      <c r="DN295" t="e">
        <f>IF(#REF!,"AAAAAEOXzHU=",0)</f>
        <v>#REF!</v>
      </c>
      <c r="DO295" t="e">
        <f>IF(#REF!,"AAAAAEOXzHY=",0)</f>
        <v>#REF!</v>
      </c>
      <c r="DP295" t="e">
        <f>IF(#REF!,"AAAAAEOXzHc=",0)</f>
        <v>#REF!</v>
      </c>
      <c r="DQ295" t="e">
        <f>IF(#REF!,"AAAAAEOXzHg=",0)</f>
        <v>#REF!</v>
      </c>
      <c r="DR295" t="e">
        <f>IF(#REF!,"AAAAAEOXzHk=",0)</f>
        <v>#REF!</v>
      </c>
      <c r="DS295" t="e">
        <f>IF(#REF!,"AAAAAEOXzHo=",0)</f>
        <v>#REF!</v>
      </c>
      <c r="DT295" t="e">
        <f>IF(#REF!,"AAAAAEOXzHs=",0)</f>
        <v>#REF!</v>
      </c>
      <c r="DU295" t="e">
        <f>IF(#REF!,"AAAAAEOXzHw=",0)</f>
        <v>#REF!</v>
      </c>
      <c r="DV295" t="e">
        <f>IF(#REF!,"AAAAAEOXzH0=",0)</f>
        <v>#REF!</v>
      </c>
      <c r="DW295" t="e">
        <f>IF(#REF!,"AAAAAEOXzH4=",0)</f>
        <v>#REF!</v>
      </c>
      <c r="DX295" t="e">
        <f>IF(#REF!,"AAAAAEOXzH8=",0)</f>
        <v>#REF!</v>
      </c>
      <c r="DY295" t="e">
        <f>IF(#REF!,"AAAAAEOXzIA=",0)</f>
        <v>#REF!</v>
      </c>
      <c r="DZ295" t="e">
        <f>IF(#REF!,"AAAAAEOXzIE=",0)</f>
        <v>#REF!</v>
      </c>
      <c r="EA295" t="e">
        <f>IF(#REF!,"AAAAAEOXzII=",0)</f>
        <v>#REF!</v>
      </c>
      <c r="EB295" t="e">
        <f>IF(#REF!,"AAAAAEOXzIM=",0)</f>
        <v>#REF!</v>
      </c>
      <c r="EC295" t="e">
        <f>IF(#REF!,"AAAAAEOXzIQ=",0)</f>
        <v>#REF!</v>
      </c>
      <c r="ED295" t="e">
        <f>IF(#REF!,"AAAAAEOXzIU=",0)</f>
        <v>#REF!</v>
      </c>
      <c r="EE295" t="e">
        <f>IF(#REF!,"AAAAAEOXzIY=",0)</f>
        <v>#REF!</v>
      </c>
      <c r="EF295" t="e">
        <f>IF(#REF!,"AAAAAEOXzIc=",0)</f>
        <v>#REF!</v>
      </c>
      <c r="EG295" t="e">
        <f>IF(#REF!,"AAAAAEOXzIg=",0)</f>
        <v>#REF!</v>
      </c>
      <c r="EH295" t="e">
        <f>IF(#REF!,"AAAAAEOXzIk=",0)</f>
        <v>#REF!</v>
      </c>
      <c r="EI295" t="e">
        <f>IF(#REF!,"AAAAAEOXzIo=",0)</f>
        <v>#REF!</v>
      </c>
      <c r="EJ295" t="e">
        <f>IF(#REF!,"AAAAAEOXzIs=",0)</f>
        <v>#REF!</v>
      </c>
      <c r="EK295" t="e">
        <f>IF(#REF!,"AAAAAEOXzIw=",0)</f>
        <v>#REF!</v>
      </c>
      <c r="EL295" t="e">
        <f>IF(#REF!,"AAAAAEOXzI0=",0)</f>
        <v>#REF!</v>
      </c>
      <c r="EM295" t="e">
        <f>IF(#REF!,"AAAAAEOXzI4=",0)</f>
        <v>#REF!</v>
      </c>
      <c r="EN295" t="e">
        <f>IF(#REF!,"AAAAAEOXzI8=",0)</f>
        <v>#REF!</v>
      </c>
      <c r="EO295" t="e">
        <f>IF(#REF!,"AAAAAEOXzJA=",0)</f>
        <v>#REF!</v>
      </c>
      <c r="EP295" t="e">
        <f>IF(#REF!,"AAAAAEOXzJE=",0)</f>
        <v>#REF!</v>
      </c>
      <c r="EQ295" t="e">
        <f>IF(#REF!,"AAAAAEOXzJI=",0)</f>
        <v>#REF!</v>
      </c>
      <c r="ER295" t="e">
        <f>IF(#REF!,"AAAAAEOXzJM=",0)</f>
        <v>#REF!</v>
      </c>
      <c r="ES295" t="e">
        <f>IF(#REF!,"AAAAAEOXzJQ=",0)</f>
        <v>#REF!</v>
      </c>
      <c r="ET295" t="e">
        <f>IF(#REF!,"AAAAAEOXzJU=",0)</f>
        <v>#REF!</v>
      </c>
      <c r="EU295" t="e">
        <f>IF(#REF!,"AAAAAEOXzJY=",0)</f>
        <v>#REF!</v>
      </c>
      <c r="EV295" t="e">
        <f>IF(#REF!,"AAAAAEOXzJc=",0)</f>
        <v>#REF!</v>
      </c>
      <c r="EW295" t="e">
        <f>IF(#REF!,"AAAAAEOXzJg=",0)</f>
        <v>#REF!</v>
      </c>
      <c r="EX295" t="e">
        <f>IF(#REF!,"AAAAAEOXzJk=",0)</f>
        <v>#REF!</v>
      </c>
      <c r="EY295" t="e">
        <f>IF(#REF!,"AAAAAEOXzJo=",0)</f>
        <v>#REF!</v>
      </c>
      <c r="EZ295" t="e">
        <f>IF(#REF!,"AAAAAEOXzJs=",0)</f>
        <v>#REF!</v>
      </c>
      <c r="FA295" t="e">
        <f>IF(#REF!,"AAAAAEOXzJw=",0)</f>
        <v>#REF!</v>
      </c>
      <c r="FB295" t="e">
        <f>IF(#REF!,"AAAAAEOXzJ0=",0)</f>
        <v>#REF!</v>
      </c>
      <c r="FC295" t="e">
        <f>IF(#REF!,"AAAAAEOXzJ4=",0)</f>
        <v>#REF!</v>
      </c>
      <c r="FD295" t="e">
        <f>IF(#REF!,"AAAAAEOXzJ8=",0)</f>
        <v>#REF!</v>
      </c>
      <c r="FE295" t="e">
        <f>IF(#REF!,"AAAAAEOXzKA=",0)</f>
        <v>#REF!</v>
      </c>
      <c r="FF295" t="e">
        <f>IF(#REF!,"AAAAAEOXzKE=",0)</f>
        <v>#REF!</v>
      </c>
      <c r="FG295" t="e">
        <f>IF(#REF!,"AAAAAEOXzKI=",0)</f>
        <v>#REF!</v>
      </c>
      <c r="FH295" t="e">
        <f>IF(#REF!,"AAAAAEOXzKM=",0)</f>
        <v>#REF!</v>
      </c>
      <c r="FI295" t="e">
        <f>IF(#REF!,"AAAAAEOXzKQ=",0)</f>
        <v>#REF!</v>
      </c>
      <c r="FJ295" t="e">
        <f>IF(#REF!,"AAAAAEOXzKU=",0)</f>
        <v>#REF!</v>
      </c>
      <c r="FK295" t="e">
        <f>IF(#REF!,"AAAAAEOXzKY=",0)</f>
        <v>#REF!</v>
      </c>
      <c r="FL295" t="e">
        <f>IF(#REF!,"AAAAAEOXzKc=",0)</f>
        <v>#REF!</v>
      </c>
      <c r="FM295" t="e">
        <f>IF(#REF!,"AAAAAEOXzKg=",0)</f>
        <v>#REF!</v>
      </c>
      <c r="FN295" t="e">
        <f>IF(#REF!,"AAAAAEOXzKk=",0)</f>
        <v>#REF!</v>
      </c>
      <c r="FO295" t="e">
        <f>IF(#REF!,"AAAAAEOXzKo=",0)</f>
        <v>#REF!</v>
      </c>
      <c r="FP295" t="e">
        <f>IF(#REF!,"AAAAAEOXzKs=",0)</f>
        <v>#REF!</v>
      </c>
      <c r="FQ295" t="e">
        <f>IF(#REF!,"AAAAAEOXzKw=",0)</f>
        <v>#REF!</v>
      </c>
      <c r="FR295" t="e">
        <f>IF(#REF!,"AAAAAEOXzK0=",0)</f>
        <v>#REF!</v>
      </c>
      <c r="FS295" t="e">
        <f>IF(#REF!,"AAAAAEOXzK4=",0)</f>
        <v>#REF!</v>
      </c>
      <c r="FT295" t="e">
        <f>IF(#REF!,"AAAAAEOXzK8=",0)</f>
        <v>#REF!</v>
      </c>
      <c r="FU295" t="e">
        <f>IF(#REF!,"AAAAAEOXzLA=",0)</f>
        <v>#REF!</v>
      </c>
      <c r="FV295" t="e">
        <f>IF(#REF!,"AAAAAEOXzLE=",0)</f>
        <v>#REF!</v>
      </c>
      <c r="FW295" t="e">
        <f>IF(#REF!,"AAAAAEOXzLI=",0)</f>
        <v>#REF!</v>
      </c>
      <c r="FX295" t="e">
        <f>IF(#REF!,"AAAAAEOXzLM=",0)</f>
        <v>#REF!</v>
      </c>
      <c r="FY295" t="e">
        <f>IF(#REF!,"AAAAAEOXzLQ=",0)</f>
        <v>#REF!</v>
      </c>
      <c r="FZ295" t="e">
        <f>IF(#REF!,"AAAAAEOXzLU=",0)</f>
        <v>#REF!</v>
      </c>
      <c r="GA295" t="e">
        <f>IF(#REF!,"AAAAAEOXzLY=",0)</f>
        <v>#REF!</v>
      </c>
      <c r="GB295" t="e">
        <f>IF(#REF!,"AAAAAEOXzLc=",0)</f>
        <v>#REF!</v>
      </c>
      <c r="GC295" t="e">
        <f>IF(#REF!,"AAAAAEOXzLg=",0)</f>
        <v>#REF!</v>
      </c>
      <c r="GD295" t="e">
        <f>IF(#REF!,"AAAAAEOXzLk=",0)</f>
        <v>#REF!</v>
      </c>
      <c r="GE295" t="e">
        <f>IF(#REF!,"AAAAAEOXzLo=",0)</f>
        <v>#REF!</v>
      </c>
      <c r="GF295" t="e">
        <f>IF(#REF!,"AAAAAEOXzLs=",0)</f>
        <v>#REF!</v>
      </c>
      <c r="GG295" t="e">
        <f>IF(#REF!,"AAAAAEOXzLw=",0)</f>
        <v>#REF!</v>
      </c>
      <c r="GH295" t="e">
        <f>IF(#REF!,"AAAAAEOXzL0=",0)</f>
        <v>#REF!</v>
      </c>
      <c r="GI295" t="e">
        <f>IF(#REF!,"AAAAAEOXzL4=",0)</f>
        <v>#REF!</v>
      </c>
      <c r="GJ295" t="e">
        <f>IF(#REF!,"AAAAAEOXzL8=",0)</f>
        <v>#REF!</v>
      </c>
      <c r="GK295" t="e">
        <f>IF(#REF!,"AAAAAEOXzMA=",0)</f>
        <v>#REF!</v>
      </c>
      <c r="GL295" t="e">
        <f>IF(#REF!,"AAAAAEOXzME=",0)</f>
        <v>#REF!</v>
      </c>
      <c r="GM295" t="e">
        <f>IF(#REF!,"AAAAAEOXzMI=",0)</f>
        <v>#REF!</v>
      </c>
      <c r="GN295" t="e">
        <f>IF(#REF!,"AAAAAEOXzMM=",0)</f>
        <v>#REF!</v>
      </c>
      <c r="GO295" t="e">
        <f>IF(#REF!,"AAAAAEOXzMQ=",0)</f>
        <v>#REF!</v>
      </c>
      <c r="GP295" t="e">
        <f>IF(#REF!,"AAAAAEOXzMU=",0)</f>
        <v>#REF!</v>
      </c>
      <c r="GQ295" t="e">
        <f>IF(#REF!,"AAAAAEOXzMY=",0)</f>
        <v>#REF!</v>
      </c>
      <c r="GR295" t="e">
        <f>IF(#REF!,"AAAAAEOXzMc=",0)</f>
        <v>#REF!</v>
      </c>
      <c r="GS295" t="e">
        <f>IF(#REF!,"AAAAAEOXzMg=",0)</f>
        <v>#REF!</v>
      </c>
      <c r="GT295" t="e">
        <f>IF(#REF!,"AAAAAEOXzMk=",0)</f>
        <v>#REF!</v>
      </c>
      <c r="GU295" t="e">
        <f>IF(#REF!,"AAAAAEOXzMo=",0)</f>
        <v>#REF!</v>
      </c>
      <c r="GV295" t="e">
        <f>IF(#REF!,"AAAAAEOXzMs=",0)</f>
        <v>#REF!</v>
      </c>
      <c r="GW295" t="e">
        <f>IF(#REF!,"AAAAAEOXzMw=",0)</f>
        <v>#REF!</v>
      </c>
      <c r="GX295" t="e">
        <f>IF(#REF!,"AAAAAEOXzM0=",0)</f>
        <v>#REF!</v>
      </c>
      <c r="GY295" t="e">
        <f>IF(#REF!,"AAAAAEOXzM4=",0)</f>
        <v>#REF!</v>
      </c>
      <c r="GZ295" t="e">
        <f>IF(#REF!,"AAAAAEOXzM8=",0)</f>
        <v>#REF!</v>
      </c>
      <c r="HA295" t="e">
        <f>IF(#REF!,"AAAAAEOXzNA=",0)</f>
        <v>#REF!</v>
      </c>
      <c r="HB295" t="e">
        <f>IF(#REF!,"AAAAAEOXzNE=",0)</f>
        <v>#REF!</v>
      </c>
      <c r="HC295" t="e">
        <f>IF(#REF!,"AAAAAEOXzNI=",0)</f>
        <v>#REF!</v>
      </c>
      <c r="HD295" t="e">
        <f>IF(#REF!,"AAAAAEOXzNM=",0)</f>
        <v>#REF!</v>
      </c>
      <c r="HE295" t="e">
        <f>IF(#REF!,"AAAAAEOXzNQ=",0)</f>
        <v>#REF!</v>
      </c>
      <c r="HF295" t="e">
        <f>IF(#REF!,"AAAAAEOXzNU=",0)</f>
        <v>#REF!</v>
      </c>
      <c r="HG295" t="e">
        <f>IF(#REF!,"AAAAAEOXzNY=",0)</f>
        <v>#REF!</v>
      </c>
      <c r="HH295" t="e">
        <f>IF(#REF!,"AAAAAEOXzNc=",0)</f>
        <v>#REF!</v>
      </c>
      <c r="HI295" t="e">
        <f>IF(#REF!,"AAAAAEOXzNg=",0)</f>
        <v>#REF!</v>
      </c>
      <c r="HJ295" t="e">
        <f>IF(#REF!,"AAAAAEOXzNk=",0)</f>
        <v>#REF!</v>
      </c>
      <c r="HK295" t="e">
        <f>IF(#REF!,"AAAAAEOXzNo=",0)</f>
        <v>#REF!</v>
      </c>
      <c r="HL295" t="e">
        <f>IF(#REF!,"AAAAAEOXzNs=",0)</f>
        <v>#REF!</v>
      </c>
      <c r="HM295" t="e">
        <f>IF(#REF!,"AAAAAEOXzNw=",0)</f>
        <v>#REF!</v>
      </c>
      <c r="HN295" t="e">
        <f>IF(#REF!,"AAAAAEOXzN0=",0)</f>
        <v>#REF!</v>
      </c>
      <c r="HO295" t="e">
        <f>IF(#REF!,"AAAAAEOXzN4=",0)</f>
        <v>#REF!</v>
      </c>
      <c r="HP295" t="e">
        <f>IF(#REF!,"AAAAAEOXzN8=",0)</f>
        <v>#REF!</v>
      </c>
      <c r="HQ295" t="e">
        <f>IF(#REF!,"AAAAAEOXzOA=",0)</f>
        <v>#REF!</v>
      </c>
      <c r="HR295" t="e">
        <f>IF(#REF!,"AAAAAEOXzOE=",0)</f>
        <v>#REF!</v>
      </c>
      <c r="HS295" t="e">
        <f>IF(#REF!,"AAAAAEOXzOI=",0)</f>
        <v>#REF!</v>
      </c>
      <c r="HT295" t="e">
        <f>IF(#REF!,"AAAAAEOXzOM=",0)</f>
        <v>#REF!</v>
      </c>
      <c r="HU295" t="e">
        <f>IF(#REF!,"AAAAAEOXzOQ=",0)</f>
        <v>#REF!</v>
      </c>
      <c r="HV295" t="e">
        <f>IF(#REF!,"AAAAAEOXzOU=",0)</f>
        <v>#REF!</v>
      </c>
      <c r="HW295" t="e">
        <f>IF(#REF!,"AAAAAEOXzOY=",0)</f>
        <v>#REF!</v>
      </c>
      <c r="HX295" t="e">
        <f>IF(#REF!,"AAAAAEOXzOc=",0)</f>
        <v>#REF!</v>
      </c>
      <c r="HY295" t="e">
        <f>IF(#REF!,"AAAAAEOXzOg=",0)</f>
        <v>#REF!</v>
      </c>
      <c r="HZ295" t="e">
        <f>IF(#REF!,"AAAAAEOXzOk=",0)</f>
        <v>#REF!</v>
      </c>
      <c r="IA295" t="e">
        <f>IF(#REF!,"AAAAAEOXzOo=",0)</f>
        <v>#REF!</v>
      </c>
      <c r="IB295" t="e">
        <f>IF(#REF!,"AAAAAEOXzOs=",0)</f>
        <v>#REF!</v>
      </c>
      <c r="IC295" t="e">
        <f>IF(#REF!,"AAAAAEOXzOw=",0)</f>
        <v>#REF!</v>
      </c>
      <c r="ID295" t="e">
        <f>IF(#REF!,"AAAAAEOXzO0=",0)</f>
        <v>#REF!</v>
      </c>
      <c r="IE295" t="e">
        <f>IF(#REF!,"AAAAAEOXzO4=",0)</f>
        <v>#REF!</v>
      </c>
      <c r="IF295" t="e">
        <f>IF(#REF!,"AAAAAEOXzO8=",0)</f>
        <v>#REF!</v>
      </c>
      <c r="IG295" t="e">
        <f>IF(#REF!,"AAAAAEOXzPA=",0)</f>
        <v>#REF!</v>
      </c>
      <c r="IH295" t="e">
        <f>IF(#REF!,"AAAAAEOXzPE=",0)</f>
        <v>#REF!</v>
      </c>
      <c r="II295" t="e">
        <f>IF(#REF!,"AAAAAEOXzPI=",0)</f>
        <v>#REF!</v>
      </c>
      <c r="IJ295" t="e">
        <f>IF(#REF!,"AAAAAEOXzPM=",0)</f>
        <v>#REF!</v>
      </c>
      <c r="IK295" t="e">
        <f>IF(#REF!,"AAAAAEOXzPQ=",0)</f>
        <v>#REF!</v>
      </c>
      <c r="IL295" t="e">
        <f>IF(#REF!,"AAAAAEOXzPU=",0)</f>
        <v>#REF!</v>
      </c>
      <c r="IM295" t="e">
        <f>IF(#REF!,"AAAAAEOXzPY=",0)</f>
        <v>#REF!</v>
      </c>
      <c r="IN295" t="e">
        <f>IF(#REF!,"AAAAAEOXzPc=",0)</f>
        <v>#REF!</v>
      </c>
      <c r="IO295" t="e">
        <f>IF(#REF!,"AAAAAEOXzPg=",0)</f>
        <v>#REF!</v>
      </c>
      <c r="IP295" t="e">
        <f>IF(#REF!,"AAAAAEOXzPk=",0)</f>
        <v>#REF!</v>
      </c>
      <c r="IQ295" t="e">
        <f>IF(#REF!,"AAAAAEOXzPo=",0)</f>
        <v>#REF!</v>
      </c>
      <c r="IR295" t="e">
        <f>IF(#REF!,"AAAAAEOXzPs=",0)</f>
        <v>#REF!</v>
      </c>
      <c r="IS295" t="e">
        <f>IF(#REF!,"AAAAAEOXzPw=",0)</f>
        <v>#REF!</v>
      </c>
      <c r="IT295" t="e">
        <f>IF(#REF!,"AAAAAEOXzP0=",0)</f>
        <v>#REF!</v>
      </c>
      <c r="IU295" t="e">
        <f>IF(#REF!,"AAAAAEOXzP4=",0)</f>
        <v>#REF!</v>
      </c>
      <c r="IV295" t="e">
        <f>IF(#REF!,"AAAAAEOXzP8=",0)</f>
        <v>#REF!</v>
      </c>
    </row>
    <row r="296" spans="1:256">
      <c r="A296" t="e">
        <f>IF(#REF!,"AAAAADutvwA=",0)</f>
        <v>#REF!</v>
      </c>
      <c r="B296" t="e">
        <f>IF(#REF!,"AAAAADutvwE=",0)</f>
        <v>#REF!</v>
      </c>
      <c r="C296" t="e">
        <f>IF(#REF!,"AAAAADutvwI=",0)</f>
        <v>#REF!</v>
      </c>
      <c r="D296" t="e">
        <f>IF(#REF!,"AAAAADutvwM=",0)</f>
        <v>#REF!</v>
      </c>
      <c r="E296" t="e">
        <f>IF(#REF!,"AAAAADutvwQ=",0)</f>
        <v>#REF!</v>
      </c>
      <c r="F296" t="e">
        <f>IF(#REF!,"AAAAADutvwU=",0)</f>
        <v>#REF!</v>
      </c>
      <c r="G296" t="e">
        <f>IF(#REF!,"AAAAADutvwY=",0)</f>
        <v>#REF!</v>
      </c>
      <c r="H296" t="e">
        <f>IF(#REF!,"AAAAADutvwc=",0)</f>
        <v>#REF!</v>
      </c>
      <c r="I296" t="e">
        <f>IF(#REF!,"AAAAADutvwg=",0)</f>
        <v>#REF!</v>
      </c>
      <c r="J296" t="e">
        <f>IF(#REF!,"AAAAADutvwk=",0)</f>
        <v>#REF!</v>
      </c>
      <c r="K296" t="e">
        <f>IF(#REF!,"AAAAADutvwo=",0)</f>
        <v>#REF!</v>
      </c>
      <c r="L296" t="e">
        <f>IF(#REF!,"AAAAADutvws=",0)</f>
        <v>#REF!</v>
      </c>
      <c r="M296" t="e">
        <f>IF(#REF!,"AAAAADutvww=",0)</f>
        <v>#REF!</v>
      </c>
      <c r="N296" t="e">
        <f>IF(#REF!,"AAAAADutvw0=",0)</f>
        <v>#REF!</v>
      </c>
      <c r="O296" t="e">
        <f>IF(#REF!,"AAAAADutvw4=",0)</f>
        <v>#REF!</v>
      </c>
      <c r="P296" t="e">
        <f>IF(#REF!,"AAAAADutvw8=",0)</f>
        <v>#REF!</v>
      </c>
      <c r="Q296" t="e">
        <f>IF(#REF!,"AAAAADutvxA=",0)</f>
        <v>#REF!</v>
      </c>
      <c r="R296" t="e">
        <f>IF(#REF!,"AAAAADutvxE=",0)</f>
        <v>#REF!</v>
      </c>
      <c r="S296" t="e">
        <f>IF(#REF!,"AAAAADutvxI=",0)</f>
        <v>#REF!</v>
      </c>
      <c r="T296" t="e">
        <f>IF(#REF!,"AAAAADutvxM=",0)</f>
        <v>#REF!</v>
      </c>
      <c r="U296" t="e">
        <f>IF(#REF!,"AAAAADutvxQ=",0)</f>
        <v>#REF!</v>
      </c>
      <c r="V296" t="e">
        <f>IF(#REF!,"AAAAADutvxU=",0)</f>
        <v>#REF!</v>
      </c>
      <c r="W296" t="e">
        <f>IF(#REF!,"AAAAADutvxY=",0)</f>
        <v>#REF!</v>
      </c>
      <c r="X296" t="e">
        <f>IF(#REF!,"AAAAADutvxc=",0)</f>
        <v>#REF!</v>
      </c>
      <c r="Y296" t="e">
        <f>IF(#REF!,"AAAAADutvxg=",0)</f>
        <v>#REF!</v>
      </c>
      <c r="Z296" t="e">
        <f>IF(#REF!,"AAAAADutvxk=",0)</f>
        <v>#REF!</v>
      </c>
      <c r="AA296" t="e">
        <f>IF(#REF!,"AAAAADutvxo=",0)</f>
        <v>#REF!</v>
      </c>
      <c r="AB296" t="e">
        <f>IF(#REF!,"AAAAADutvxs=",0)</f>
        <v>#REF!</v>
      </c>
      <c r="AC296" t="e">
        <f>IF(#REF!,"AAAAADutvxw=",0)</f>
        <v>#REF!</v>
      </c>
      <c r="AD296" t="e">
        <f>IF(#REF!,"AAAAADutvx0=",0)</f>
        <v>#REF!</v>
      </c>
      <c r="AE296" t="e">
        <f>IF(#REF!,"AAAAADutvx4=",0)</f>
        <v>#REF!</v>
      </c>
      <c r="AF296" t="e">
        <f>IF(#REF!,"AAAAADutvx8=",0)</f>
        <v>#REF!</v>
      </c>
      <c r="AG296" t="e">
        <f>IF(#REF!,"AAAAADutvyA=",0)</f>
        <v>#REF!</v>
      </c>
      <c r="AH296" t="e">
        <f>IF(#REF!,"AAAAADutvyE=",0)</f>
        <v>#REF!</v>
      </c>
      <c r="AI296" t="e">
        <f>IF(#REF!,"AAAAADutvyI=",0)</f>
        <v>#REF!</v>
      </c>
      <c r="AJ296" t="e">
        <f>IF(#REF!,"AAAAADutvyM=",0)</f>
        <v>#REF!</v>
      </c>
      <c r="AK296" t="e">
        <f>IF(#REF!,"AAAAADutvyQ=",0)</f>
        <v>#REF!</v>
      </c>
      <c r="AL296" t="e">
        <f>IF(#REF!,"AAAAADutvyU=",0)</f>
        <v>#REF!</v>
      </c>
      <c r="AM296" t="e">
        <f>IF(#REF!,"AAAAADutvyY=",0)</f>
        <v>#REF!</v>
      </c>
      <c r="AN296" t="e">
        <f>IF(#REF!,"AAAAADutvyc=",0)</f>
        <v>#REF!</v>
      </c>
      <c r="AO296" t="e">
        <f>IF(#REF!,"AAAAADutvyg=",0)</f>
        <v>#REF!</v>
      </c>
      <c r="AP296" t="e">
        <f>IF(#REF!,"AAAAADutvyk=",0)</f>
        <v>#REF!</v>
      </c>
      <c r="AQ296" t="e">
        <f>IF(#REF!,"AAAAADutvyo=",0)</f>
        <v>#REF!</v>
      </c>
      <c r="AR296" t="e">
        <f>IF(#REF!,"AAAAADutvys=",0)</f>
        <v>#REF!</v>
      </c>
      <c r="AS296" t="e">
        <f>IF(#REF!,"AAAAADutvyw=",0)</f>
        <v>#REF!</v>
      </c>
      <c r="AT296" t="e">
        <f>IF(#REF!,"AAAAADutvy0=",0)</f>
        <v>#REF!</v>
      </c>
      <c r="AU296" t="e">
        <f>IF(#REF!,"AAAAADutvy4=",0)</f>
        <v>#REF!</v>
      </c>
      <c r="AV296" t="e">
        <f>IF(#REF!,"AAAAADutvy8=",0)</f>
        <v>#REF!</v>
      </c>
      <c r="AW296" t="e">
        <f>IF(#REF!,"AAAAADutvzA=",0)</f>
        <v>#REF!</v>
      </c>
      <c r="AX296" t="e">
        <f>IF(#REF!,"AAAAADutvzE=",0)</f>
        <v>#REF!</v>
      </c>
      <c r="AY296" t="e">
        <f>IF(#REF!,"AAAAADutvzI=",0)</f>
        <v>#REF!</v>
      </c>
      <c r="AZ296" t="e">
        <f>IF(#REF!,"AAAAADutvzM=",0)</f>
        <v>#REF!</v>
      </c>
      <c r="BA296" t="e">
        <f>IF(#REF!,"AAAAADutvzQ=",0)</f>
        <v>#REF!</v>
      </c>
      <c r="BB296" t="e">
        <f>IF(#REF!,"AAAAADutvzU=",0)</f>
        <v>#REF!</v>
      </c>
      <c r="BC296" t="e">
        <f>IF(#REF!,"AAAAADutvzY=",0)</f>
        <v>#REF!</v>
      </c>
      <c r="BD296" t="e">
        <f>IF(#REF!,"AAAAADutvzc=",0)</f>
        <v>#REF!</v>
      </c>
      <c r="BE296" t="e">
        <f>IF(#REF!,"AAAAADutvzg=",0)</f>
        <v>#REF!</v>
      </c>
      <c r="BF296" t="e">
        <f>IF(#REF!,"AAAAADutvzk=",0)</f>
        <v>#REF!</v>
      </c>
      <c r="BG296" t="e">
        <f>IF(#REF!,"AAAAADutvzo=",0)</f>
        <v>#REF!</v>
      </c>
      <c r="BH296" t="e">
        <f>IF(#REF!,"AAAAADutvzs=",0)</f>
        <v>#REF!</v>
      </c>
      <c r="BI296" t="e">
        <f>IF(#REF!,"AAAAADutvzw=",0)</f>
        <v>#REF!</v>
      </c>
      <c r="BJ296" t="e">
        <f>IF(#REF!,"AAAAADutvz0=",0)</f>
        <v>#REF!</v>
      </c>
      <c r="BK296" t="e">
        <f>IF(#REF!,"AAAAADutvz4=",0)</f>
        <v>#REF!</v>
      </c>
      <c r="BL296" t="e">
        <f>IF(#REF!,"AAAAADutvz8=",0)</f>
        <v>#REF!</v>
      </c>
      <c r="BM296" t="e">
        <f>IF(#REF!,"AAAAADutv0A=",0)</f>
        <v>#REF!</v>
      </c>
      <c r="BN296" t="e">
        <f>IF(#REF!,"AAAAADutv0E=",0)</f>
        <v>#REF!</v>
      </c>
      <c r="BO296" t="e">
        <f>IF(#REF!,"AAAAADutv0I=",0)</f>
        <v>#REF!</v>
      </c>
      <c r="BP296" t="e">
        <f>IF(#REF!,"AAAAADutv0M=",0)</f>
        <v>#REF!</v>
      </c>
      <c r="BQ296" t="e">
        <f>IF(#REF!,"AAAAADutv0Q=",0)</f>
        <v>#REF!</v>
      </c>
      <c r="BR296" t="e">
        <f>IF(#REF!,"AAAAADutv0U=",0)</f>
        <v>#REF!</v>
      </c>
      <c r="BS296" t="e">
        <f>IF(#REF!,"AAAAADutv0Y=",0)</f>
        <v>#REF!</v>
      </c>
      <c r="BT296" t="e">
        <f>IF(#REF!,"AAAAADutv0c=",0)</f>
        <v>#REF!</v>
      </c>
      <c r="BU296" t="e">
        <f>IF(#REF!,"AAAAADutv0g=",0)</f>
        <v>#REF!</v>
      </c>
      <c r="BV296" t="e">
        <f>IF(#REF!,"AAAAADutv0k=",0)</f>
        <v>#REF!</v>
      </c>
      <c r="BW296" t="e">
        <f>IF(#REF!,"AAAAADutv0o=",0)</f>
        <v>#REF!</v>
      </c>
      <c r="BX296" t="e">
        <f>IF(#REF!,"AAAAADutv0s=",0)</f>
        <v>#REF!</v>
      </c>
      <c r="BY296" t="e">
        <f>IF(#REF!,"AAAAADutv0w=",0)</f>
        <v>#REF!</v>
      </c>
      <c r="BZ296" t="e">
        <f>IF(#REF!,"AAAAADutv00=",0)</f>
        <v>#REF!</v>
      </c>
      <c r="CA296" t="e">
        <f>IF(#REF!,"AAAAADutv04=",0)</f>
        <v>#REF!</v>
      </c>
      <c r="CB296" t="e">
        <f>IF(#REF!,"AAAAADutv08=",0)</f>
        <v>#REF!</v>
      </c>
      <c r="CC296" t="e">
        <f>IF(#REF!,"AAAAADutv1A=",0)</f>
        <v>#REF!</v>
      </c>
      <c r="CD296" t="e">
        <f>IF(#REF!,"AAAAADutv1E=",0)</f>
        <v>#REF!</v>
      </c>
      <c r="CE296" t="e">
        <f>IF(#REF!,"AAAAADutv1I=",0)</f>
        <v>#REF!</v>
      </c>
      <c r="CF296" t="e">
        <f>IF(#REF!,"AAAAADutv1M=",0)</f>
        <v>#REF!</v>
      </c>
      <c r="CG296" t="e">
        <f>IF(#REF!,"AAAAADutv1Q=",0)</f>
        <v>#REF!</v>
      </c>
      <c r="CH296" t="e">
        <f>IF(#REF!,"AAAAADutv1U=",0)</f>
        <v>#REF!</v>
      </c>
      <c r="CI296" t="e">
        <f>IF(#REF!,"AAAAADutv1Y=",0)</f>
        <v>#REF!</v>
      </c>
      <c r="CJ296" t="e">
        <f>IF(#REF!,"AAAAADutv1c=",0)</f>
        <v>#REF!</v>
      </c>
      <c r="CK296" t="e">
        <f>IF(#REF!,"AAAAADutv1g=",0)</f>
        <v>#REF!</v>
      </c>
      <c r="CL296" t="e">
        <f>IF(#REF!,"AAAAADutv1k=",0)</f>
        <v>#REF!</v>
      </c>
      <c r="CM296" t="e">
        <f>IF(#REF!,"AAAAADutv1o=",0)</f>
        <v>#REF!</v>
      </c>
      <c r="CN296" t="e">
        <f>IF(#REF!,"AAAAADutv1s=",0)</f>
        <v>#REF!</v>
      </c>
      <c r="CO296" t="e">
        <f>IF(#REF!,"AAAAADutv1w=",0)</f>
        <v>#REF!</v>
      </c>
      <c r="CP296" t="e">
        <f>IF(#REF!,"AAAAADutv10=",0)</f>
        <v>#REF!</v>
      </c>
      <c r="CQ296" t="e">
        <f>IF(#REF!,"AAAAADutv14=",0)</f>
        <v>#REF!</v>
      </c>
      <c r="CR296" t="e">
        <f>IF(#REF!,"AAAAADutv18=",0)</f>
        <v>#REF!</v>
      </c>
      <c r="CS296" t="e">
        <f>IF(#REF!,"AAAAADutv2A=",0)</f>
        <v>#REF!</v>
      </c>
      <c r="CT296" t="e">
        <f>IF(#REF!,"AAAAADutv2E=",0)</f>
        <v>#REF!</v>
      </c>
      <c r="CU296" t="e">
        <f>IF(#REF!,"AAAAADutv2I=",0)</f>
        <v>#REF!</v>
      </c>
      <c r="CV296" t="e">
        <f>IF(#REF!,"AAAAADutv2M=",0)</f>
        <v>#REF!</v>
      </c>
      <c r="CW296" t="e">
        <f>IF(#REF!,"AAAAADutv2Q=",0)</f>
        <v>#REF!</v>
      </c>
      <c r="CX296" t="e">
        <f>IF(#REF!,"AAAAADutv2U=",0)</f>
        <v>#REF!</v>
      </c>
      <c r="CY296" t="e">
        <f>IF(#REF!,"AAAAADutv2Y=",0)</f>
        <v>#REF!</v>
      </c>
      <c r="CZ296" t="e">
        <f>IF(#REF!,"AAAAADutv2c=",0)</f>
        <v>#REF!</v>
      </c>
      <c r="DA296" t="e">
        <f>IF(#REF!,"AAAAADutv2g=",0)</f>
        <v>#REF!</v>
      </c>
      <c r="DB296" t="e">
        <f>IF(#REF!,"AAAAADutv2k=",0)</f>
        <v>#REF!</v>
      </c>
      <c r="DC296" t="e">
        <f>IF(#REF!,"AAAAADutv2o=",0)</f>
        <v>#REF!</v>
      </c>
      <c r="DD296" t="e">
        <f>IF(#REF!,"AAAAADutv2s=",0)</f>
        <v>#REF!</v>
      </c>
      <c r="DE296" t="e">
        <f>IF(#REF!,"AAAAADutv2w=",0)</f>
        <v>#REF!</v>
      </c>
      <c r="DF296" t="e">
        <f>IF(#REF!,"AAAAADutv20=",0)</f>
        <v>#REF!</v>
      </c>
      <c r="DG296" t="e">
        <f>IF(#REF!,"AAAAADutv24=",0)</f>
        <v>#REF!</v>
      </c>
      <c r="DH296" t="e">
        <f>IF(#REF!,"AAAAADutv28=",0)</f>
        <v>#REF!</v>
      </c>
      <c r="DI296" t="e">
        <f>IF(#REF!,"AAAAADutv3A=",0)</f>
        <v>#REF!</v>
      </c>
      <c r="DJ296" t="e">
        <f>IF(#REF!,"AAAAADutv3E=",0)</f>
        <v>#REF!</v>
      </c>
      <c r="DK296" t="e">
        <f>IF(#REF!,"AAAAADutv3I=",0)</f>
        <v>#REF!</v>
      </c>
      <c r="DL296" t="e">
        <f>IF(#REF!,"AAAAADutv3M=",0)</f>
        <v>#REF!</v>
      </c>
      <c r="DM296" t="e">
        <f>IF(#REF!,"AAAAADutv3Q=",0)</f>
        <v>#REF!</v>
      </c>
      <c r="DN296" t="e">
        <f>IF(#REF!,"AAAAADutv3U=",0)</f>
        <v>#REF!</v>
      </c>
      <c r="DO296" t="e">
        <f>IF(#REF!,"AAAAADutv3Y=",0)</f>
        <v>#REF!</v>
      </c>
      <c r="DP296" t="e">
        <f>IF(#REF!,"AAAAADutv3c=",0)</f>
        <v>#REF!</v>
      </c>
      <c r="DQ296" t="e">
        <f>IF(#REF!,"AAAAADutv3g=",0)</f>
        <v>#REF!</v>
      </c>
      <c r="DR296" t="e">
        <f>IF(#REF!,"AAAAADutv3k=",0)</f>
        <v>#REF!</v>
      </c>
      <c r="DS296" t="e">
        <f>IF(#REF!,"AAAAADutv3o=",0)</f>
        <v>#REF!</v>
      </c>
      <c r="DT296" t="e">
        <f>IF(#REF!,"AAAAADutv3s=",0)</f>
        <v>#REF!</v>
      </c>
      <c r="DU296" t="e">
        <f>IF(#REF!,"AAAAADutv3w=",0)</f>
        <v>#REF!</v>
      </c>
      <c r="DV296" t="e">
        <f>IF(#REF!,"AAAAADutv30=",0)</f>
        <v>#REF!</v>
      </c>
      <c r="DW296" t="e">
        <f>IF(#REF!,"AAAAADutv34=",0)</f>
        <v>#REF!</v>
      </c>
      <c r="DX296" t="e">
        <f>IF(#REF!,"AAAAADutv38=",0)</f>
        <v>#REF!</v>
      </c>
      <c r="DY296" t="e">
        <f>IF(#REF!,"AAAAADutv4A=",0)</f>
        <v>#REF!</v>
      </c>
      <c r="DZ296" t="e">
        <f>IF(#REF!,"AAAAADutv4E=",0)</f>
        <v>#REF!</v>
      </c>
      <c r="EA296" t="e">
        <f>IF(#REF!,"AAAAADutv4I=",0)</f>
        <v>#REF!</v>
      </c>
      <c r="EB296" t="e">
        <f>IF(#REF!,"AAAAADutv4M=",0)</f>
        <v>#REF!</v>
      </c>
      <c r="EC296" t="e">
        <f>IF(#REF!,"AAAAADutv4Q=",0)</f>
        <v>#REF!</v>
      </c>
      <c r="ED296" t="e">
        <f>IF(#REF!,"AAAAADutv4U=",0)</f>
        <v>#REF!</v>
      </c>
      <c r="EE296" t="e">
        <f>IF(#REF!,"AAAAADutv4Y=",0)</f>
        <v>#REF!</v>
      </c>
      <c r="EF296" t="e">
        <f>IF(#REF!,"AAAAADutv4c=",0)</f>
        <v>#REF!</v>
      </c>
      <c r="EG296" t="e">
        <f>IF(#REF!,"AAAAADutv4g=",0)</f>
        <v>#REF!</v>
      </c>
      <c r="EH296" t="e">
        <f>IF(#REF!,"AAAAADutv4k=",0)</f>
        <v>#REF!</v>
      </c>
      <c r="EI296" t="e">
        <f>IF(#REF!,"AAAAADutv4o=",0)</f>
        <v>#REF!</v>
      </c>
      <c r="EJ296" t="e">
        <f>IF(#REF!,"AAAAADutv4s=",0)</f>
        <v>#REF!</v>
      </c>
      <c r="EK296" t="e">
        <f>IF(#REF!,"AAAAADutv4w=",0)</f>
        <v>#REF!</v>
      </c>
      <c r="EL296" t="e">
        <f>IF(#REF!,"AAAAADutv40=",0)</f>
        <v>#REF!</v>
      </c>
      <c r="EM296" t="e">
        <f>IF(#REF!,"AAAAADutv44=",0)</f>
        <v>#REF!</v>
      </c>
      <c r="EN296" t="e">
        <f>IF(#REF!,"AAAAADutv48=",0)</f>
        <v>#REF!</v>
      </c>
      <c r="EO296" t="e">
        <f>IF(#REF!,"AAAAADutv5A=",0)</f>
        <v>#REF!</v>
      </c>
      <c r="EP296" t="e">
        <f>IF(#REF!,"AAAAADutv5E=",0)</f>
        <v>#REF!</v>
      </c>
      <c r="EQ296" t="e">
        <f>IF(#REF!,"AAAAADutv5I=",0)</f>
        <v>#REF!</v>
      </c>
      <c r="ER296" t="e">
        <f>IF(#REF!,"AAAAADutv5M=",0)</f>
        <v>#REF!</v>
      </c>
      <c r="ES296" t="e">
        <f>IF(#REF!,"AAAAADutv5Q=",0)</f>
        <v>#REF!</v>
      </c>
      <c r="ET296" t="e">
        <f>IF(#REF!,"AAAAADutv5U=",0)</f>
        <v>#REF!</v>
      </c>
      <c r="EU296" t="e">
        <f>IF(#REF!,"AAAAADutv5Y=",0)</f>
        <v>#REF!</v>
      </c>
      <c r="EV296" t="e">
        <f>IF(#REF!,"AAAAADutv5c=",0)</f>
        <v>#REF!</v>
      </c>
      <c r="EW296" t="e">
        <f>IF(#REF!,"AAAAADutv5g=",0)</f>
        <v>#REF!</v>
      </c>
      <c r="EX296" t="e">
        <f>IF(#REF!,"AAAAADutv5k=",0)</f>
        <v>#REF!</v>
      </c>
      <c r="EY296" t="e">
        <f>IF(#REF!,"AAAAADutv5o=",0)</f>
        <v>#REF!</v>
      </c>
      <c r="EZ296" t="e">
        <f>IF(#REF!,"AAAAADutv5s=",0)</f>
        <v>#REF!</v>
      </c>
      <c r="FA296" t="e">
        <f>IF(#REF!,"AAAAADutv5w=",0)</f>
        <v>#REF!</v>
      </c>
      <c r="FB296" t="e">
        <f>IF(#REF!,"AAAAADutv50=",0)</f>
        <v>#REF!</v>
      </c>
      <c r="FC296" t="e">
        <f>IF(#REF!,"AAAAADutv54=",0)</f>
        <v>#REF!</v>
      </c>
      <c r="FD296" t="e">
        <f>IF(#REF!,"AAAAADutv58=",0)</f>
        <v>#REF!</v>
      </c>
      <c r="FE296" t="e">
        <f>IF(#REF!,"AAAAADutv6A=",0)</f>
        <v>#REF!</v>
      </c>
      <c r="FF296" t="e">
        <f>IF(#REF!,"AAAAADutv6E=",0)</f>
        <v>#REF!</v>
      </c>
      <c r="FG296" t="e">
        <f>IF(#REF!,"AAAAADutv6I=",0)</f>
        <v>#REF!</v>
      </c>
      <c r="FH296" t="e">
        <f>IF(#REF!,"AAAAADutv6M=",0)</f>
        <v>#REF!</v>
      </c>
      <c r="FI296" t="e">
        <f>IF(#REF!,"AAAAADutv6Q=",0)</f>
        <v>#REF!</v>
      </c>
      <c r="FJ296" t="e">
        <f>IF(#REF!,"AAAAADutv6U=",0)</f>
        <v>#REF!</v>
      </c>
      <c r="FK296" t="e">
        <f>IF(#REF!,"AAAAADutv6Y=",0)</f>
        <v>#REF!</v>
      </c>
      <c r="FL296" t="e">
        <f>IF(#REF!,"AAAAADutv6c=",0)</f>
        <v>#REF!</v>
      </c>
      <c r="FM296" t="e">
        <f>IF(#REF!,"AAAAADutv6g=",0)</f>
        <v>#REF!</v>
      </c>
      <c r="FN296" t="e">
        <f>IF(#REF!,"AAAAADutv6k=",0)</f>
        <v>#REF!</v>
      </c>
      <c r="FO296" t="e">
        <f>IF(#REF!,"AAAAADutv6o=",0)</f>
        <v>#REF!</v>
      </c>
      <c r="FP296" t="e">
        <f>IF(#REF!,"AAAAADutv6s=",0)</f>
        <v>#REF!</v>
      </c>
      <c r="FQ296" t="e">
        <f>IF(#REF!,"AAAAADutv6w=",0)</f>
        <v>#REF!</v>
      </c>
      <c r="FR296" t="e">
        <f>IF(#REF!,"AAAAADutv60=",0)</f>
        <v>#REF!</v>
      </c>
      <c r="FS296" t="e">
        <f>IF(#REF!,"AAAAADutv64=",0)</f>
        <v>#REF!</v>
      </c>
      <c r="FT296" t="e">
        <f>IF(#REF!,"AAAAADutv68=",0)</f>
        <v>#REF!</v>
      </c>
      <c r="FU296" t="e">
        <f>IF(#REF!,"AAAAADutv7A=",0)</f>
        <v>#REF!</v>
      </c>
      <c r="FV296" t="e">
        <f>IF(#REF!,"AAAAADutv7E=",0)</f>
        <v>#REF!</v>
      </c>
      <c r="FW296" t="e">
        <f>IF(#REF!,"AAAAADutv7I=",0)</f>
        <v>#REF!</v>
      </c>
      <c r="FX296" t="e">
        <f>IF(#REF!,"AAAAADutv7M=",0)</f>
        <v>#REF!</v>
      </c>
      <c r="FY296" t="e">
        <f>IF(#REF!,"AAAAADutv7Q=",0)</f>
        <v>#REF!</v>
      </c>
      <c r="FZ296" t="e">
        <f>IF(#REF!,"AAAAADutv7U=",0)</f>
        <v>#REF!</v>
      </c>
      <c r="GA296" t="e">
        <f>IF(#REF!,"AAAAADutv7Y=",0)</f>
        <v>#REF!</v>
      </c>
      <c r="GB296" t="e">
        <f>IF(#REF!,"AAAAADutv7c=",0)</f>
        <v>#REF!</v>
      </c>
      <c r="GC296" t="e">
        <f>IF(#REF!,"AAAAADutv7g=",0)</f>
        <v>#REF!</v>
      </c>
      <c r="GD296" t="e">
        <f>IF(#REF!,"AAAAADutv7k=",0)</f>
        <v>#REF!</v>
      </c>
      <c r="GE296" t="e">
        <f>IF(#REF!,"AAAAADutv7o=",0)</f>
        <v>#REF!</v>
      </c>
      <c r="GF296" t="e">
        <f>IF(#REF!,"AAAAADutv7s=",0)</f>
        <v>#REF!</v>
      </c>
      <c r="GG296" t="e">
        <f>IF(#REF!,"AAAAADutv7w=",0)</f>
        <v>#REF!</v>
      </c>
      <c r="GH296" t="e">
        <f>IF(#REF!,"AAAAADutv70=",0)</f>
        <v>#REF!</v>
      </c>
      <c r="GI296" t="e">
        <f>IF(#REF!,"AAAAADutv74=",0)</f>
        <v>#REF!</v>
      </c>
      <c r="GJ296" t="e">
        <f>IF(#REF!,"AAAAADutv78=",0)</f>
        <v>#REF!</v>
      </c>
      <c r="GK296" t="e">
        <f>IF(#REF!,"AAAAADutv8A=",0)</f>
        <v>#REF!</v>
      </c>
      <c r="GL296" t="e">
        <f>IF(#REF!,"AAAAADutv8E=",0)</f>
        <v>#REF!</v>
      </c>
      <c r="GM296" t="e">
        <f>IF(#REF!,"AAAAADutv8I=",0)</f>
        <v>#REF!</v>
      </c>
      <c r="GN296" t="e">
        <f>IF(#REF!,"AAAAADutv8M=",0)</f>
        <v>#REF!</v>
      </c>
      <c r="GO296" t="e">
        <f>IF(#REF!,"AAAAADutv8Q=",0)</f>
        <v>#REF!</v>
      </c>
      <c r="GP296" t="e">
        <f>IF(#REF!,"AAAAADutv8U=",0)</f>
        <v>#REF!</v>
      </c>
      <c r="GQ296" t="e">
        <f>IF(#REF!,"AAAAADutv8Y=",0)</f>
        <v>#REF!</v>
      </c>
      <c r="GR296" t="e">
        <f>IF(#REF!,"AAAAADutv8c=",0)</f>
        <v>#REF!</v>
      </c>
      <c r="GS296" t="e">
        <f>IF(#REF!,"AAAAADutv8g=",0)</f>
        <v>#REF!</v>
      </c>
      <c r="GT296" t="e">
        <f>IF(#REF!,"AAAAADutv8k=",0)</f>
        <v>#REF!</v>
      </c>
      <c r="GU296" t="e">
        <f>IF(#REF!,"AAAAADutv8o=",0)</f>
        <v>#REF!</v>
      </c>
      <c r="GV296" t="e">
        <f>IF(#REF!,"AAAAADutv8s=",0)</f>
        <v>#REF!</v>
      </c>
      <c r="GW296" t="e">
        <f>IF(#REF!,"AAAAADutv8w=",0)</f>
        <v>#REF!</v>
      </c>
      <c r="GX296" t="e">
        <f>IF(#REF!,"AAAAADutv80=",0)</f>
        <v>#REF!</v>
      </c>
      <c r="GY296" t="e">
        <f>IF(#REF!,"AAAAADutv84=",0)</f>
        <v>#REF!</v>
      </c>
      <c r="GZ296" t="e">
        <f>IF(#REF!,"AAAAADutv88=",0)</f>
        <v>#REF!</v>
      </c>
      <c r="HA296" t="e">
        <f>IF(#REF!,"AAAAADutv9A=",0)</f>
        <v>#REF!</v>
      </c>
      <c r="HB296" t="e">
        <f>IF(#REF!,"AAAAADutv9E=",0)</f>
        <v>#REF!</v>
      </c>
      <c r="HC296" t="e">
        <f>IF(#REF!,"AAAAADutv9I=",0)</f>
        <v>#REF!</v>
      </c>
      <c r="HD296" t="e">
        <f>IF(#REF!,"AAAAADutv9M=",0)</f>
        <v>#REF!</v>
      </c>
      <c r="HE296" t="e">
        <f>IF(#REF!,"AAAAADutv9Q=",0)</f>
        <v>#REF!</v>
      </c>
      <c r="HF296" t="e">
        <f>IF(#REF!,"AAAAADutv9U=",0)</f>
        <v>#REF!</v>
      </c>
      <c r="HG296" t="e">
        <f>IF(#REF!,"AAAAADutv9Y=",0)</f>
        <v>#REF!</v>
      </c>
      <c r="HH296" t="e">
        <f>IF(#REF!,"AAAAADutv9c=",0)</f>
        <v>#REF!</v>
      </c>
      <c r="HI296" t="e">
        <f>IF(#REF!,"AAAAADutv9g=",0)</f>
        <v>#REF!</v>
      </c>
      <c r="HJ296" t="e">
        <f>IF(#REF!,"AAAAADutv9k=",0)</f>
        <v>#REF!</v>
      </c>
      <c r="HK296" t="e">
        <f>IF(#REF!,"AAAAADutv9o=",0)</f>
        <v>#REF!</v>
      </c>
      <c r="HL296" t="e">
        <f>IF(#REF!,"AAAAADutv9s=",0)</f>
        <v>#REF!</v>
      </c>
      <c r="HM296" t="e">
        <f>IF(#REF!,"AAAAADutv9w=",0)</f>
        <v>#REF!</v>
      </c>
      <c r="HN296" t="e">
        <f>IF(#REF!,"AAAAADutv90=",0)</f>
        <v>#REF!</v>
      </c>
      <c r="HO296" t="e">
        <f>IF(#REF!,"AAAAADutv94=",0)</f>
        <v>#REF!</v>
      </c>
      <c r="HP296" t="e">
        <f>IF(#REF!,"AAAAADutv98=",0)</f>
        <v>#REF!</v>
      </c>
      <c r="HQ296" t="e">
        <f>IF(#REF!,"AAAAADutv+A=",0)</f>
        <v>#REF!</v>
      </c>
      <c r="HR296" t="e">
        <f>IF(#REF!,"AAAAADutv+E=",0)</f>
        <v>#REF!</v>
      </c>
      <c r="HS296" t="e">
        <f>IF(#REF!,"AAAAADutv+I=",0)</f>
        <v>#REF!</v>
      </c>
      <c r="HT296" t="e">
        <f>IF(#REF!,"AAAAADutv+M=",0)</f>
        <v>#REF!</v>
      </c>
      <c r="HU296" t="e">
        <f>IF(#REF!,"AAAAADutv+Q=",0)</f>
        <v>#REF!</v>
      </c>
      <c r="HV296" t="e">
        <f>IF(#REF!,"AAAAADutv+U=",0)</f>
        <v>#REF!</v>
      </c>
      <c r="HW296" t="e">
        <f>IF(#REF!,"AAAAADutv+Y=",0)</f>
        <v>#REF!</v>
      </c>
      <c r="HX296" t="e">
        <f>IF(#REF!,"AAAAADutv+c=",0)</f>
        <v>#REF!</v>
      </c>
      <c r="HY296" t="e">
        <f>IF(#REF!,"AAAAADutv+g=",0)</f>
        <v>#REF!</v>
      </c>
      <c r="HZ296" t="e">
        <f>IF(#REF!,"AAAAADutv+k=",0)</f>
        <v>#REF!</v>
      </c>
      <c r="IA296" t="e">
        <f>IF(#REF!,"AAAAADutv+o=",0)</f>
        <v>#REF!</v>
      </c>
      <c r="IB296" t="e">
        <f>IF(#REF!,"AAAAADutv+s=",0)</f>
        <v>#REF!</v>
      </c>
      <c r="IC296" t="e">
        <f>IF(#REF!,"AAAAADutv+w=",0)</f>
        <v>#REF!</v>
      </c>
      <c r="ID296" t="e">
        <f>IF(#REF!,"AAAAADutv+0=",0)</f>
        <v>#REF!</v>
      </c>
      <c r="IE296" t="e">
        <f>IF(#REF!,"AAAAADutv+4=",0)</f>
        <v>#REF!</v>
      </c>
      <c r="IF296" t="e">
        <f>IF(#REF!,"AAAAADutv+8=",0)</f>
        <v>#REF!</v>
      </c>
      <c r="IG296" t="e">
        <f>IF(#REF!,"AAAAADutv/A=",0)</f>
        <v>#REF!</v>
      </c>
      <c r="IH296" t="e">
        <f>IF(#REF!,"AAAAADutv/E=",0)</f>
        <v>#REF!</v>
      </c>
      <c r="II296" t="e">
        <f>IF(#REF!,"AAAAADutv/I=",0)</f>
        <v>#REF!</v>
      </c>
      <c r="IJ296" t="e">
        <f>IF(#REF!,"AAAAADutv/M=",0)</f>
        <v>#REF!</v>
      </c>
      <c r="IK296" t="e">
        <f>IF(#REF!,"AAAAADutv/Q=",0)</f>
        <v>#REF!</v>
      </c>
      <c r="IL296" t="e">
        <f>IF(#REF!,"AAAAADutv/U=",0)</f>
        <v>#REF!</v>
      </c>
      <c r="IM296" t="e">
        <f>IF(#REF!,"AAAAADutv/Y=",0)</f>
        <v>#REF!</v>
      </c>
      <c r="IN296" t="e">
        <f>IF(#REF!,"AAAAADutv/c=",0)</f>
        <v>#REF!</v>
      </c>
      <c r="IO296" t="e">
        <f>IF(#REF!,"AAAAADutv/g=",0)</f>
        <v>#REF!</v>
      </c>
      <c r="IP296" t="e">
        <f>IF(#REF!,"AAAAADutv/k=",0)</f>
        <v>#REF!</v>
      </c>
      <c r="IQ296" t="e">
        <f>IF(#REF!,"AAAAADutv/o=",0)</f>
        <v>#REF!</v>
      </c>
      <c r="IR296" t="e">
        <f>IF(#REF!,"AAAAADutv/s=",0)</f>
        <v>#REF!</v>
      </c>
      <c r="IS296" t="e">
        <f>IF(#REF!,"AAAAADutv/w=",0)</f>
        <v>#REF!</v>
      </c>
      <c r="IT296" t="e">
        <f>IF(#REF!,"AAAAADutv/0=",0)</f>
        <v>#REF!</v>
      </c>
      <c r="IU296" t="e">
        <f>IF(#REF!,"AAAAADutv/4=",0)</f>
        <v>#REF!</v>
      </c>
      <c r="IV296" t="e">
        <f>IF(#REF!,"AAAAADutv/8=",0)</f>
        <v>#REF!</v>
      </c>
    </row>
    <row r="297" spans="1:256">
      <c r="A297" t="e">
        <f>IF(#REF!,"AAAAAHrevwA=",0)</f>
        <v>#REF!</v>
      </c>
      <c r="B297" t="e">
        <f>IF(#REF!,"AAAAAHrevwE=",0)</f>
        <v>#REF!</v>
      </c>
      <c r="C297" t="e">
        <f>IF(#REF!,"AAAAAHrevwI=",0)</f>
        <v>#REF!</v>
      </c>
      <c r="D297" t="e">
        <f>IF(#REF!,"AAAAAHrevwM=",0)</f>
        <v>#REF!</v>
      </c>
      <c r="E297" t="e">
        <f>IF(#REF!,"AAAAAHrevwQ=",0)</f>
        <v>#REF!</v>
      </c>
      <c r="F297" t="e">
        <f>IF(#REF!,"AAAAAHrevwU=",0)</f>
        <v>#REF!</v>
      </c>
      <c r="G297" t="e">
        <f>IF(#REF!,"AAAAAHrevwY=",0)</f>
        <v>#REF!</v>
      </c>
      <c r="H297" t="e">
        <f>IF(#REF!,"AAAAAHrevwc=",0)</f>
        <v>#REF!</v>
      </c>
      <c r="I297" t="e">
        <f>IF(#REF!,"AAAAAHrevwg=",0)</f>
        <v>#REF!</v>
      </c>
      <c r="J297" t="e">
        <f>IF(#REF!,"AAAAAHrevwk=",0)</f>
        <v>#REF!</v>
      </c>
      <c r="K297" t="e">
        <f>IF(#REF!,"AAAAAHrevwo=",0)</f>
        <v>#REF!</v>
      </c>
      <c r="L297" t="e">
        <f>IF(#REF!,"AAAAAHrevws=",0)</f>
        <v>#REF!</v>
      </c>
      <c r="M297" t="e">
        <f>IF(#REF!,"AAAAAHrevww=",0)</f>
        <v>#REF!</v>
      </c>
      <c r="N297" t="e">
        <f>IF(#REF!,"AAAAAHrevw0=",0)</f>
        <v>#REF!</v>
      </c>
      <c r="O297" t="e">
        <f>IF(#REF!,"AAAAAHrevw4=",0)</f>
        <v>#REF!</v>
      </c>
      <c r="P297" t="e">
        <f>IF(#REF!,"AAAAAHrevw8=",0)</f>
        <v>#REF!</v>
      </c>
      <c r="Q297" t="e">
        <f>IF(#REF!,"AAAAAHrevxA=",0)</f>
        <v>#REF!</v>
      </c>
      <c r="R297" t="e">
        <f>IF(#REF!,"AAAAAHrevxE=",0)</f>
        <v>#REF!</v>
      </c>
      <c r="S297" t="e">
        <f>IF(#REF!,"AAAAAHrevxI=",0)</f>
        <v>#REF!</v>
      </c>
      <c r="T297" t="e">
        <f>IF(#REF!,"AAAAAHrevxM=",0)</f>
        <v>#REF!</v>
      </c>
      <c r="U297" t="e">
        <f>IF(#REF!,"AAAAAHrevxQ=",0)</f>
        <v>#REF!</v>
      </c>
      <c r="V297" t="e">
        <f>IF(#REF!,"AAAAAHrevxU=",0)</f>
        <v>#REF!</v>
      </c>
      <c r="W297" t="e">
        <f>IF(#REF!,"AAAAAHrevxY=",0)</f>
        <v>#REF!</v>
      </c>
      <c r="X297" t="e">
        <f>IF(#REF!,"AAAAAHrevxc=",0)</f>
        <v>#REF!</v>
      </c>
      <c r="Y297" t="e">
        <f>IF(#REF!,"AAAAAHrevxg=",0)</f>
        <v>#REF!</v>
      </c>
      <c r="Z297" t="e">
        <f>IF(#REF!,"AAAAAHrevxk=",0)</f>
        <v>#REF!</v>
      </c>
      <c r="AA297" t="e">
        <f>IF(#REF!,"AAAAAHrevxo=",0)</f>
        <v>#REF!</v>
      </c>
      <c r="AB297" t="e">
        <f>IF(#REF!,"AAAAAHrevxs=",0)</f>
        <v>#REF!</v>
      </c>
      <c r="AC297" t="e">
        <f>IF(#REF!,"AAAAAHrevxw=",0)</f>
        <v>#REF!</v>
      </c>
      <c r="AD297" t="e">
        <f>IF(#REF!,"AAAAAHrevx0=",0)</f>
        <v>#REF!</v>
      </c>
      <c r="AE297" t="e">
        <f>IF(#REF!,"AAAAAHrevx4=",0)</f>
        <v>#REF!</v>
      </c>
      <c r="AF297" t="e">
        <f>IF(#REF!,"AAAAAHrevx8=",0)</f>
        <v>#REF!</v>
      </c>
      <c r="AG297" t="e">
        <f>IF(#REF!,"AAAAAHrevyA=",0)</f>
        <v>#REF!</v>
      </c>
      <c r="AH297" t="e">
        <f>IF(#REF!,"AAAAAHrevyE=",0)</f>
        <v>#REF!</v>
      </c>
      <c r="AI297" t="e">
        <f>IF(#REF!,"AAAAAHrevyI=",0)</f>
        <v>#REF!</v>
      </c>
      <c r="AJ297" t="e">
        <f>IF(#REF!,"AAAAAHrevyM=",0)</f>
        <v>#REF!</v>
      </c>
      <c r="AK297" t="e">
        <f>IF(#REF!,"AAAAAHrevyQ=",0)</f>
        <v>#REF!</v>
      </c>
      <c r="AL297" t="e">
        <f>IF(#REF!,"AAAAAHrevyU=",0)</f>
        <v>#REF!</v>
      </c>
      <c r="AM297" t="e">
        <f>IF(#REF!,"AAAAAHrevyY=",0)</f>
        <v>#REF!</v>
      </c>
      <c r="AN297" t="e">
        <f>IF(#REF!,"AAAAAHrevyc=",0)</f>
        <v>#REF!</v>
      </c>
      <c r="AO297" t="e">
        <f>IF(#REF!,"AAAAAHrevyg=",0)</f>
        <v>#REF!</v>
      </c>
      <c r="AP297" t="e">
        <f>IF(#REF!,"AAAAAHrevyk=",0)</f>
        <v>#REF!</v>
      </c>
      <c r="AQ297" t="e">
        <f>IF(#REF!,"AAAAAHrevyo=",0)</f>
        <v>#REF!</v>
      </c>
      <c r="AR297" t="e">
        <f>IF(#REF!,"AAAAAHrevys=",0)</f>
        <v>#REF!</v>
      </c>
      <c r="AS297" t="e">
        <f>IF(#REF!,"AAAAAHrevyw=",0)</f>
        <v>#REF!</v>
      </c>
      <c r="AT297" t="e">
        <f>IF(#REF!,"AAAAAHrevy0=",0)</f>
        <v>#REF!</v>
      </c>
      <c r="AU297" t="e">
        <f>IF(#REF!,"AAAAAHrevy4=",0)</f>
        <v>#REF!</v>
      </c>
      <c r="AV297" t="e">
        <f>IF(#REF!,"AAAAAHrevy8=",0)</f>
        <v>#REF!</v>
      </c>
      <c r="AW297" t="e">
        <f>IF(#REF!,"AAAAAHrevzA=",0)</f>
        <v>#REF!</v>
      </c>
      <c r="AX297" t="e">
        <f>IF(#REF!,"AAAAAHrevzE=",0)</f>
        <v>#REF!</v>
      </c>
      <c r="AY297" t="e">
        <f>IF(#REF!,"AAAAAHrevzI=",0)</f>
        <v>#REF!</v>
      </c>
      <c r="AZ297" t="e">
        <f>IF(#REF!,"AAAAAHrevzM=",0)</f>
        <v>#REF!</v>
      </c>
      <c r="BA297" t="e">
        <f>IF(#REF!,"AAAAAHrevzQ=",0)</f>
        <v>#REF!</v>
      </c>
      <c r="BB297" t="e">
        <f>IF(#REF!,"AAAAAHrevzU=",0)</f>
        <v>#REF!</v>
      </c>
      <c r="BC297" t="e">
        <f>IF(#REF!,"AAAAAHrevzY=",0)</f>
        <v>#REF!</v>
      </c>
      <c r="BD297" t="e">
        <f>IF(#REF!,"AAAAAHrevzc=",0)</f>
        <v>#REF!</v>
      </c>
      <c r="BE297" t="e">
        <f>IF(#REF!,"AAAAAHrevzg=",0)</f>
        <v>#REF!</v>
      </c>
      <c r="BF297" t="e">
        <f>IF(#REF!,"AAAAAHrevzk=",0)</f>
        <v>#REF!</v>
      </c>
      <c r="BG297" t="e">
        <f>IF(#REF!,"AAAAAHrevzo=",0)</f>
        <v>#REF!</v>
      </c>
      <c r="BH297" t="e">
        <f>IF(#REF!,"AAAAAHrevzs=",0)</f>
        <v>#REF!</v>
      </c>
      <c r="BI297" t="e">
        <f>IF(#REF!,"AAAAAHrevzw=",0)</f>
        <v>#REF!</v>
      </c>
      <c r="BJ297" t="e">
        <f>IF(#REF!,"AAAAAHrevz0=",0)</f>
        <v>#REF!</v>
      </c>
      <c r="BK297" t="e">
        <f>IF(#REF!,"AAAAAHrevz4=",0)</f>
        <v>#REF!</v>
      </c>
      <c r="BL297" t="e">
        <f>IF(#REF!,"AAAAAHrevz8=",0)</f>
        <v>#REF!</v>
      </c>
      <c r="BM297" t="e">
        <f>IF(#REF!,"AAAAAHrev0A=",0)</f>
        <v>#REF!</v>
      </c>
      <c r="BN297" t="e">
        <f>IF(#REF!,"AAAAAHrev0E=",0)</f>
        <v>#REF!</v>
      </c>
      <c r="BO297" t="e">
        <f>IF(#REF!,"AAAAAHrev0I=",0)</f>
        <v>#REF!</v>
      </c>
      <c r="BP297" t="e">
        <f>IF(#REF!,"AAAAAHrev0M=",0)</f>
        <v>#REF!</v>
      </c>
      <c r="BQ297" t="e">
        <f>IF(#REF!,"AAAAAHrev0Q=",0)</f>
        <v>#REF!</v>
      </c>
      <c r="BR297" t="e">
        <f>IF(#REF!,"AAAAAHrev0U=",0)</f>
        <v>#REF!</v>
      </c>
      <c r="BS297" t="e">
        <f>IF(#REF!,"AAAAAHrev0Y=",0)</f>
        <v>#REF!</v>
      </c>
      <c r="BT297" t="e">
        <f>IF(#REF!,"AAAAAHrev0c=",0)</f>
        <v>#REF!</v>
      </c>
      <c r="BU297" t="e">
        <f>IF(#REF!,"AAAAAHrev0g=",0)</f>
        <v>#REF!</v>
      </c>
      <c r="BV297" t="e">
        <f>IF(#REF!,"AAAAAHrev0k=",0)</f>
        <v>#REF!</v>
      </c>
      <c r="BW297" t="e">
        <f>IF(#REF!,"AAAAAHrev0o=",0)</f>
        <v>#REF!</v>
      </c>
      <c r="BX297" t="e">
        <f>IF(#REF!,"AAAAAHrev0s=",0)</f>
        <v>#REF!</v>
      </c>
      <c r="BY297" t="e">
        <f>IF(#REF!,"AAAAAHrev0w=",0)</f>
        <v>#REF!</v>
      </c>
      <c r="BZ297" t="e">
        <f>IF(#REF!,"AAAAAHrev00=",0)</f>
        <v>#REF!</v>
      </c>
      <c r="CA297" t="e">
        <f>IF(#REF!,"AAAAAHrev04=",0)</f>
        <v>#REF!</v>
      </c>
      <c r="CB297" t="e">
        <f>IF(#REF!,"AAAAAHrev08=",0)</f>
        <v>#REF!</v>
      </c>
      <c r="CC297" t="e">
        <f>IF(#REF!,"AAAAAHrev1A=",0)</f>
        <v>#REF!</v>
      </c>
      <c r="CD297" t="e">
        <f>IF(#REF!,"AAAAAHrev1E=",0)</f>
        <v>#REF!</v>
      </c>
      <c r="CE297" t="e">
        <f>IF(#REF!,"AAAAAHrev1I=",0)</f>
        <v>#REF!</v>
      </c>
      <c r="CF297" t="e">
        <f>IF(#REF!,"AAAAAHrev1M=",0)</f>
        <v>#REF!</v>
      </c>
      <c r="CG297" t="e">
        <f>IF(#REF!,"AAAAAHrev1Q=",0)</f>
        <v>#REF!</v>
      </c>
      <c r="CH297" t="e">
        <f>IF(#REF!,"AAAAAHrev1U=",0)</f>
        <v>#REF!</v>
      </c>
      <c r="CI297" t="e">
        <f>IF(#REF!,"AAAAAHrev1Y=",0)</f>
        <v>#REF!</v>
      </c>
      <c r="CJ297" t="e">
        <f>IF(#REF!,"AAAAAHrev1c=",0)</f>
        <v>#REF!</v>
      </c>
      <c r="CK297" t="e">
        <f>IF(#REF!,"AAAAAHrev1g=",0)</f>
        <v>#REF!</v>
      </c>
      <c r="CL297" t="e">
        <f>IF(#REF!,"AAAAAHrev1k=",0)</f>
        <v>#REF!</v>
      </c>
      <c r="CM297" t="e">
        <f>IF(#REF!,"AAAAAHrev1o=",0)</f>
        <v>#REF!</v>
      </c>
      <c r="CN297" t="e">
        <f>IF(#REF!,"AAAAAHrev1s=",0)</f>
        <v>#REF!</v>
      </c>
      <c r="CO297" t="e">
        <f>IF(#REF!,"AAAAAHrev1w=",0)</f>
        <v>#REF!</v>
      </c>
      <c r="CP297" t="e">
        <f>IF(#REF!,"AAAAAHrev10=",0)</f>
        <v>#REF!</v>
      </c>
      <c r="CQ297" t="e">
        <f>IF(#REF!,"AAAAAHrev14=",0)</f>
        <v>#REF!</v>
      </c>
      <c r="CR297" t="e">
        <f>IF(#REF!,"AAAAAHrev18=",0)</f>
        <v>#REF!</v>
      </c>
      <c r="CS297" t="e">
        <f>IF(#REF!,"AAAAAHrev2A=",0)</f>
        <v>#REF!</v>
      </c>
      <c r="CT297" t="e">
        <f>IF(#REF!,"AAAAAHrev2E=",0)</f>
        <v>#REF!</v>
      </c>
      <c r="CU297" t="e">
        <f>IF(#REF!,"AAAAAHrev2I=",0)</f>
        <v>#REF!</v>
      </c>
      <c r="CV297" t="e">
        <f>IF(#REF!,"AAAAAHrev2M=",0)</f>
        <v>#REF!</v>
      </c>
      <c r="CW297" t="e">
        <f>IF(#REF!,"AAAAAHrev2Q=",0)</f>
        <v>#REF!</v>
      </c>
      <c r="CX297" t="e">
        <f>IF(#REF!,"AAAAAHrev2U=",0)</f>
        <v>#REF!</v>
      </c>
      <c r="CY297" t="e">
        <f>IF(#REF!,"AAAAAHrev2Y=",0)</f>
        <v>#REF!</v>
      </c>
      <c r="CZ297" t="e">
        <f>IF(#REF!,"AAAAAHrev2c=",0)</f>
        <v>#REF!</v>
      </c>
      <c r="DA297" t="e">
        <f>IF(#REF!,"AAAAAHrev2g=",0)</f>
        <v>#REF!</v>
      </c>
      <c r="DB297" t="e">
        <f>IF(#REF!,"AAAAAHrev2k=",0)</f>
        <v>#REF!</v>
      </c>
      <c r="DC297" t="e">
        <f>IF(#REF!,"AAAAAHrev2o=",0)</f>
        <v>#REF!</v>
      </c>
      <c r="DD297" t="e">
        <f>IF(#REF!,"AAAAAHrev2s=",0)</f>
        <v>#REF!</v>
      </c>
      <c r="DE297" t="e">
        <f>IF(#REF!,"AAAAAHrev2w=",0)</f>
        <v>#REF!</v>
      </c>
      <c r="DF297" t="e">
        <f>IF(#REF!,"AAAAAHrev20=",0)</f>
        <v>#REF!</v>
      </c>
      <c r="DG297" t="e">
        <f>IF(#REF!,"AAAAAHrev24=",0)</f>
        <v>#REF!</v>
      </c>
      <c r="DH297" t="e">
        <f>IF(#REF!,"AAAAAHrev28=",0)</f>
        <v>#REF!</v>
      </c>
      <c r="DI297" t="e">
        <f>IF(#REF!,"AAAAAHrev3A=",0)</f>
        <v>#REF!</v>
      </c>
      <c r="DJ297" t="e">
        <f>IF(#REF!,"AAAAAHrev3E=",0)</f>
        <v>#REF!</v>
      </c>
      <c r="DK297" t="e">
        <f>IF(#REF!,"AAAAAHrev3I=",0)</f>
        <v>#REF!</v>
      </c>
      <c r="DL297" t="e">
        <f>IF(#REF!,"AAAAAHrev3M=",0)</f>
        <v>#REF!</v>
      </c>
      <c r="DM297" t="e">
        <f>IF(#REF!,"AAAAAHrev3Q=",0)</f>
        <v>#REF!</v>
      </c>
      <c r="DN297" t="e">
        <f>IF(#REF!,"AAAAAHrev3U=",0)</f>
        <v>#REF!</v>
      </c>
      <c r="DO297" t="e">
        <f>IF(#REF!,"AAAAAHrev3Y=",0)</f>
        <v>#REF!</v>
      </c>
      <c r="DP297" t="e">
        <f>IF(#REF!,"AAAAAHrev3c=",0)</f>
        <v>#REF!</v>
      </c>
      <c r="DQ297" t="e">
        <f>IF(#REF!,"AAAAAHrev3g=",0)</f>
        <v>#REF!</v>
      </c>
      <c r="DR297" t="e">
        <f>IF(#REF!,"AAAAAHrev3k=",0)</f>
        <v>#REF!</v>
      </c>
      <c r="DS297" t="e">
        <f>IF(#REF!,"AAAAAHrev3o=",0)</f>
        <v>#REF!</v>
      </c>
      <c r="DT297" t="e">
        <f>IF(#REF!,"AAAAAHrev3s=",0)</f>
        <v>#REF!</v>
      </c>
      <c r="DU297" t="e">
        <f>IF(#REF!,"AAAAAHrev3w=",0)</f>
        <v>#REF!</v>
      </c>
      <c r="DV297" t="e">
        <f>IF(#REF!,"AAAAAHrev30=",0)</f>
        <v>#REF!</v>
      </c>
      <c r="DW297" t="e">
        <f>IF(#REF!,"AAAAAHrev34=",0)</f>
        <v>#REF!</v>
      </c>
      <c r="DX297" t="e">
        <f>IF(#REF!,"AAAAAHrev38=",0)</f>
        <v>#REF!</v>
      </c>
      <c r="DY297" t="e">
        <f>IF(#REF!,"AAAAAHrev4A=",0)</f>
        <v>#REF!</v>
      </c>
      <c r="DZ297" t="e">
        <f>IF(#REF!,"AAAAAHrev4E=",0)</f>
        <v>#REF!</v>
      </c>
      <c r="EA297" t="e">
        <f>IF(#REF!,"AAAAAHrev4I=",0)</f>
        <v>#REF!</v>
      </c>
      <c r="EB297" t="e">
        <f>IF(#REF!,"AAAAAHrev4M=",0)</f>
        <v>#REF!</v>
      </c>
      <c r="EC297" t="e">
        <f>IF(#REF!,"AAAAAHrev4Q=",0)</f>
        <v>#REF!</v>
      </c>
      <c r="ED297" t="e">
        <f>IF(#REF!,"AAAAAHrev4U=",0)</f>
        <v>#REF!</v>
      </c>
      <c r="EE297" t="e">
        <f>IF(#REF!,"AAAAAHrev4Y=",0)</f>
        <v>#REF!</v>
      </c>
      <c r="EF297" t="e">
        <f>IF(#REF!,"AAAAAHrev4c=",0)</f>
        <v>#REF!</v>
      </c>
      <c r="EG297" t="e">
        <f>IF(#REF!,"AAAAAHrev4g=",0)</f>
        <v>#REF!</v>
      </c>
      <c r="EH297" t="e">
        <f>IF(#REF!,"AAAAAHrev4k=",0)</f>
        <v>#REF!</v>
      </c>
      <c r="EI297" t="e">
        <f>IF(#REF!,"AAAAAHrev4o=",0)</f>
        <v>#REF!</v>
      </c>
      <c r="EJ297" t="e">
        <f>IF(#REF!,"AAAAAHrev4s=",0)</f>
        <v>#REF!</v>
      </c>
      <c r="EK297" t="e">
        <f>IF(#REF!,"AAAAAHrev4w=",0)</f>
        <v>#REF!</v>
      </c>
      <c r="EL297" t="e">
        <f>IF(#REF!,"AAAAAHrev40=",0)</f>
        <v>#REF!</v>
      </c>
      <c r="EM297" t="e">
        <f>IF(#REF!,"AAAAAHrev44=",0)</f>
        <v>#REF!</v>
      </c>
      <c r="EN297" t="e">
        <f>IF(#REF!,"AAAAAHrev48=",0)</f>
        <v>#REF!</v>
      </c>
      <c r="EO297" t="e">
        <f>IF(#REF!,"AAAAAHrev5A=",0)</f>
        <v>#REF!</v>
      </c>
      <c r="EP297" t="e">
        <f>IF(#REF!,"AAAAAHrev5E=",0)</f>
        <v>#REF!</v>
      </c>
      <c r="EQ297" t="e">
        <f>IF(#REF!,"AAAAAHrev5I=",0)</f>
        <v>#REF!</v>
      </c>
      <c r="ER297" t="e">
        <f>IF(#REF!,"AAAAAHrev5M=",0)</f>
        <v>#REF!</v>
      </c>
      <c r="ES297" t="e">
        <f>IF(#REF!,"AAAAAHrev5Q=",0)</f>
        <v>#REF!</v>
      </c>
      <c r="ET297" t="e">
        <f>IF(#REF!,"AAAAAHrev5U=",0)</f>
        <v>#REF!</v>
      </c>
      <c r="EU297" t="e">
        <f>IF(#REF!,"AAAAAHrev5Y=",0)</f>
        <v>#REF!</v>
      </c>
      <c r="EV297" t="e">
        <f>IF(#REF!,"AAAAAHrev5c=",0)</f>
        <v>#REF!</v>
      </c>
      <c r="EW297" t="e">
        <f>IF(#REF!,"AAAAAHrev5g=",0)</f>
        <v>#REF!</v>
      </c>
      <c r="EX297" t="e">
        <f>IF(#REF!,"AAAAAHrev5k=",0)</f>
        <v>#REF!</v>
      </c>
      <c r="EY297" t="e">
        <f>IF(#REF!,"AAAAAHrev5o=",0)</f>
        <v>#REF!</v>
      </c>
      <c r="EZ297" t="e">
        <f>IF(#REF!,"AAAAAHrev5s=",0)</f>
        <v>#REF!</v>
      </c>
      <c r="FA297" t="e">
        <f>IF(#REF!,"AAAAAHrev5w=",0)</f>
        <v>#REF!</v>
      </c>
      <c r="FB297" t="e">
        <f>IF(#REF!,"AAAAAHrev50=",0)</f>
        <v>#REF!</v>
      </c>
      <c r="FC297" t="e">
        <f>IF(#REF!,"AAAAAHrev54=",0)</f>
        <v>#REF!</v>
      </c>
      <c r="FD297" t="e">
        <f>IF(#REF!,"AAAAAHrev58=",0)</f>
        <v>#REF!</v>
      </c>
      <c r="FE297" t="e">
        <f>IF(#REF!,"AAAAAHrev6A=",0)</f>
        <v>#REF!</v>
      </c>
      <c r="FF297" t="e">
        <f>IF(#REF!,"AAAAAHrev6E=",0)</f>
        <v>#REF!</v>
      </c>
      <c r="FG297" t="e">
        <f>IF(#REF!,"AAAAAHrev6I=",0)</f>
        <v>#REF!</v>
      </c>
      <c r="FH297" t="e">
        <f>IF(#REF!,"AAAAAHrev6M=",0)</f>
        <v>#REF!</v>
      </c>
      <c r="FI297" t="e">
        <f>IF(#REF!,"AAAAAHrev6Q=",0)</f>
        <v>#REF!</v>
      </c>
      <c r="FJ297" t="e">
        <f>IF(#REF!,"AAAAAHrev6U=",0)</f>
        <v>#REF!</v>
      </c>
      <c r="FK297" t="e">
        <f>IF(#REF!,"AAAAAHrev6Y=",0)</f>
        <v>#REF!</v>
      </c>
      <c r="FL297" t="e">
        <f>IF(#REF!,"AAAAAHrev6c=",0)</f>
        <v>#REF!</v>
      </c>
      <c r="FM297" t="e">
        <f>IF(#REF!,"AAAAAHrev6g=",0)</f>
        <v>#REF!</v>
      </c>
      <c r="FN297" t="e">
        <f>IF(#REF!,"AAAAAHrev6k=",0)</f>
        <v>#REF!</v>
      </c>
      <c r="FO297" t="e">
        <f>IF(#REF!,"AAAAAHrev6o=",0)</f>
        <v>#REF!</v>
      </c>
      <c r="FP297" t="e">
        <f>IF(#REF!,"AAAAAHrev6s=",0)</f>
        <v>#REF!</v>
      </c>
      <c r="FQ297" t="e">
        <f>IF(#REF!,"AAAAAHrev6w=",0)</f>
        <v>#REF!</v>
      </c>
      <c r="FR297" t="e">
        <f>IF(#REF!,"AAAAAHrev60=",0)</f>
        <v>#REF!</v>
      </c>
      <c r="FS297" t="e">
        <f>IF(#REF!,"AAAAAHrev64=",0)</f>
        <v>#REF!</v>
      </c>
      <c r="FT297" t="e">
        <f>IF(#REF!,"AAAAAHrev68=",0)</f>
        <v>#REF!</v>
      </c>
      <c r="FU297" t="e">
        <f>IF(#REF!,"AAAAAHrev7A=",0)</f>
        <v>#REF!</v>
      </c>
      <c r="FV297" t="e">
        <f>IF(#REF!,"AAAAAHrev7E=",0)</f>
        <v>#REF!</v>
      </c>
      <c r="FW297" t="e">
        <f>IF(#REF!,"AAAAAHrev7I=",0)</f>
        <v>#REF!</v>
      </c>
      <c r="FX297" t="e">
        <f>IF(#REF!,"AAAAAHrev7M=",0)</f>
        <v>#REF!</v>
      </c>
      <c r="FY297" t="e">
        <f>IF(#REF!,"AAAAAHrev7Q=",0)</f>
        <v>#REF!</v>
      </c>
      <c r="FZ297" t="e">
        <f>IF(#REF!,"AAAAAHrev7U=",0)</f>
        <v>#REF!</v>
      </c>
      <c r="GA297" t="e">
        <f>IF(#REF!,"AAAAAHrev7Y=",0)</f>
        <v>#REF!</v>
      </c>
      <c r="GB297" t="e">
        <f>IF(#REF!,"AAAAAHrev7c=",0)</f>
        <v>#REF!</v>
      </c>
      <c r="GC297" t="e">
        <f>IF(#REF!,"AAAAAHrev7g=",0)</f>
        <v>#REF!</v>
      </c>
      <c r="GD297" t="e">
        <f>IF(#REF!,"AAAAAHrev7k=",0)</f>
        <v>#REF!</v>
      </c>
      <c r="GE297" t="e">
        <f>IF(#REF!,"AAAAAHrev7o=",0)</f>
        <v>#REF!</v>
      </c>
      <c r="GF297" t="e">
        <f>IF(#REF!,"AAAAAHrev7s=",0)</f>
        <v>#REF!</v>
      </c>
      <c r="GG297" t="e">
        <f>IF(#REF!,"AAAAAHrev7w=",0)</f>
        <v>#REF!</v>
      </c>
      <c r="GH297" t="e">
        <f>IF(#REF!,"AAAAAHrev70=",0)</f>
        <v>#REF!</v>
      </c>
      <c r="GI297" t="e">
        <f>IF(#REF!,"AAAAAHrev74=",0)</f>
        <v>#REF!</v>
      </c>
      <c r="GJ297" t="e">
        <f>IF(#REF!,"AAAAAHrev78=",0)</f>
        <v>#REF!</v>
      </c>
      <c r="GK297" t="e">
        <f>IF(#REF!,"AAAAAHrev8A=",0)</f>
        <v>#REF!</v>
      </c>
      <c r="GL297" t="e">
        <f>IF(#REF!,"AAAAAHrev8E=",0)</f>
        <v>#REF!</v>
      </c>
      <c r="GM297" t="e">
        <f>IF(#REF!,"AAAAAHrev8I=",0)</f>
        <v>#REF!</v>
      </c>
      <c r="GN297" t="e">
        <f>IF(#REF!,"AAAAAHrev8M=",0)</f>
        <v>#REF!</v>
      </c>
      <c r="GO297" t="e">
        <f>IF(#REF!,"AAAAAHrev8Q=",0)</f>
        <v>#REF!</v>
      </c>
      <c r="GP297" t="e">
        <f>IF(#REF!,"AAAAAHrev8U=",0)</f>
        <v>#REF!</v>
      </c>
      <c r="GQ297" t="e">
        <f>IF(#REF!,"AAAAAHrev8Y=",0)</f>
        <v>#REF!</v>
      </c>
      <c r="GR297" t="e">
        <f>IF(#REF!,"AAAAAHrev8c=",0)</f>
        <v>#REF!</v>
      </c>
      <c r="GS297" t="e">
        <f>IF(#REF!,"AAAAAHrev8g=",0)</f>
        <v>#REF!</v>
      </c>
      <c r="GT297" t="e">
        <f>IF(#REF!,"AAAAAHrev8k=",0)</f>
        <v>#REF!</v>
      </c>
      <c r="GU297" t="e">
        <f>IF(#REF!,"AAAAAHrev8o=",0)</f>
        <v>#REF!</v>
      </c>
      <c r="GV297" t="e">
        <f>IF(#REF!,"AAAAAHrev8s=",0)</f>
        <v>#REF!</v>
      </c>
      <c r="GW297" t="e">
        <f>IF(#REF!,"AAAAAHrev8w=",0)</f>
        <v>#REF!</v>
      </c>
      <c r="GX297" t="e">
        <f>IF(#REF!,"AAAAAHrev80=",0)</f>
        <v>#REF!</v>
      </c>
      <c r="GY297" t="e">
        <f>IF(#REF!,"AAAAAHrev84=",0)</f>
        <v>#REF!</v>
      </c>
      <c r="GZ297" t="e">
        <f>IF(#REF!,"AAAAAHrev88=",0)</f>
        <v>#REF!</v>
      </c>
      <c r="HA297" t="e">
        <f>IF(#REF!,"AAAAAHrev9A=",0)</f>
        <v>#REF!</v>
      </c>
      <c r="HB297" t="e">
        <f>IF(#REF!,"AAAAAHrev9E=",0)</f>
        <v>#REF!</v>
      </c>
      <c r="HC297" t="e">
        <f>IF(#REF!,"AAAAAHrev9I=",0)</f>
        <v>#REF!</v>
      </c>
      <c r="HD297" t="e">
        <f>IF(#REF!,"AAAAAHrev9M=",0)</f>
        <v>#REF!</v>
      </c>
      <c r="HE297" t="e">
        <f>IF(#REF!,"AAAAAHrev9Q=",0)</f>
        <v>#REF!</v>
      </c>
      <c r="HF297" t="e">
        <f>IF(#REF!,"AAAAAHrev9U=",0)</f>
        <v>#REF!</v>
      </c>
      <c r="HG297" t="e">
        <f>IF(#REF!,"AAAAAHrev9Y=",0)</f>
        <v>#REF!</v>
      </c>
      <c r="HH297" t="e">
        <f>IF(#REF!,"AAAAAHrev9c=",0)</f>
        <v>#REF!</v>
      </c>
      <c r="HI297" t="e">
        <f>IF(#REF!,"AAAAAHrev9g=",0)</f>
        <v>#REF!</v>
      </c>
      <c r="HJ297" t="e">
        <f>IF(#REF!,"AAAAAHrev9k=",0)</f>
        <v>#REF!</v>
      </c>
      <c r="HK297" t="e">
        <f>IF(#REF!,"AAAAAHrev9o=",0)</f>
        <v>#REF!</v>
      </c>
      <c r="HL297" t="e">
        <f>IF(#REF!,"AAAAAHrev9s=",0)</f>
        <v>#REF!</v>
      </c>
      <c r="HM297" t="e">
        <f>IF(#REF!,"AAAAAHrev9w=",0)</f>
        <v>#REF!</v>
      </c>
      <c r="HN297" t="e">
        <f>IF(#REF!,"AAAAAHrev90=",0)</f>
        <v>#REF!</v>
      </c>
      <c r="HO297" t="e">
        <f>IF(#REF!,"AAAAAHrev94=",0)</f>
        <v>#REF!</v>
      </c>
      <c r="HP297" t="e">
        <f>IF(#REF!,"AAAAAHrev98=",0)</f>
        <v>#REF!</v>
      </c>
      <c r="HQ297" t="e">
        <f>IF(#REF!,"AAAAAHrev+A=",0)</f>
        <v>#REF!</v>
      </c>
      <c r="HR297" t="e">
        <f>IF(#REF!,"AAAAAHrev+E=",0)</f>
        <v>#REF!</v>
      </c>
      <c r="HS297" t="e">
        <f>IF(#REF!,"AAAAAHrev+I=",0)</f>
        <v>#REF!</v>
      </c>
      <c r="HT297" t="e">
        <f>IF(#REF!,"AAAAAHrev+M=",0)</f>
        <v>#REF!</v>
      </c>
      <c r="HU297" t="e">
        <f>IF(#REF!,"AAAAAHrev+Q=",0)</f>
        <v>#REF!</v>
      </c>
      <c r="HV297" t="e">
        <f>IF(#REF!,"AAAAAHrev+U=",0)</f>
        <v>#REF!</v>
      </c>
      <c r="HW297" t="e">
        <f>IF(#REF!,"AAAAAHrev+Y=",0)</f>
        <v>#REF!</v>
      </c>
      <c r="HX297" t="e">
        <f>IF(#REF!,"AAAAAHrev+c=",0)</f>
        <v>#REF!</v>
      </c>
      <c r="HY297" t="e">
        <f>IF(#REF!,"AAAAAHrev+g=",0)</f>
        <v>#REF!</v>
      </c>
      <c r="HZ297" t="e">
        <f>IF(#REF!,"AAAAAHrev+k=",0)</f>
        <v>#REF!</v>
      </c>
      <c r="IA297" t="e">
        <f>IF(#REF!,"AAAAAHrev+o=",0)</f>
        <v>#REF!</v>
      </c>
      <c r="IB297" t="e">
        <f>IF(#REF!,"AAAAAHrev+s=",0)</f>
        <v>#REF!</v>
      </c>
      <c r="IC297" t="e">
        <f>IF(#REF!,"AAAAAHrev+w=",0)</f>
        <v>#REF!</v>
      </c>
      <c r="ID297" t="e">
        <f>IF(#REF!,"AAAAAHrev+0=",0)</f>
        <v>#REF!</v>
      </c>
      <c r="IE297" t="e">
        <f>IF(#REF!,"AAAAAHrev+4=",0)</f>
        <v>#REF!</v>
      </c>
      <c r="IF297" t="e">
        <f>IF(#REF!,"AAAAAHrev+8=",0)</f>
        <v>#REF!</v>
      </c>
      <c r="IG297" t="e">
        <f>IF(#REF!,"AAAAAHrev/A=",0)</f>
        <v>#REF!</v>
      </c>
      <c r="IH297" t="e">
        <f>IF(#REF!,"AAAAAHrev/E=",0)</f>
        <v>#REF!</v>
      </c>
      <c r="II297" t="e">
        <f>IF(#REF!,"AAAAAHrev/I=",0)</f>
        <v>#REF!</v>
      </c>
      <c r="IJ297" t="e">
        <f>IF(#REF!,"AAAAAHrev/M=",0)</f>
        <v>#REF!</v>
      </c>
      <c r="IK297" t="e">
        <f>IF(#REF!,"AAAAAHrev/Q=",0)</f>
        <v>#REF!</v>
      </c>
      <c r="IL297" t="e">
        <f>IF(#REF!,"AAAAAHrev/U=",0)</f>
        <v>#REF!</v>
      </c>
      <c r="IM297" t="e">
        <f>IF(#REF!,"AAAAAHrev/Y=",0)</f>
        <v>#REF!</v>
      </c>
      <c r="IN297" t="e">
        <f>IF(#REF!,"AAAAAHrev/c=",0)</f>
        <v>#REF!</v>
      </c>
      <c r="IO297" t="e">
        <f>IF(#REF!,"AAAAAHrev/g=",0)</f>
        <v>#REF!</v>
      </c>
      <c r="IP297" t="e">
        <f>IF(#REF!,"AAAAAHrev/k=",0)</f>
        <v>#REF!</v>
      </c>
      <c r="IQ297" t="e">
        <f>IF(#REF!,"AAAAAHrev/o=",0)</f>
        <v>#REF!</v>
      </c>
      <c r="IR297" t="e">
        <f>IF(#REF!,"AAAAAHrev/s=",0)</f>
        <v>#REF!</v>
      </c>
      <c r="IS297" t="e">
        <f>IF(#REF!,"AAAAAHrev/w=",0)</f>
        <v>#REF!</v>
      </c>
      <c r="IT297" t="e">
        <f>IF(#REF!,"AAAAAHrev/0=",0)</f>
        <v>#REF!</v>
      </c>
      <c r="IU297" t="e">
        <f>IF(#REF!,"AAAAAHrev/4=",0)</f>
        <v>#REF!</v>
      </c>
      <c r="IV297" t="e">
        <f>IF(#REF!,"AAAAAHrev/8=",0)</f>
        <v>#REF!</v>
      </c>
    </row>
    <row r="298" spans="1:256">
      <c r="A298" t="e">
        <f>IF(#REF!,"AAAAAHwv+QA=",0)</f>
        <v>#REF!</v>
      </c>
      <c r="B298" t="e">
        <f>IF(#REF!,"AAAAAHwv+QE=",0)</f>
        <v>#REF!</v>
      </c>
      <c r="C298" t="e">
        <f>IF(#REF!,"AAAAAHwv+QI=",0)</f>
        <v>#REF!</v>
      </c>
      <c r="D298" t="e">
        <f>IF(#REF!,"AAAAAHwv+QM=",0)</f>
        <v>#REF!</v>
      </c>
      <c r="E298" t="e">
        <f>IF(#REF!,"AAAAAHwv+QQ=",0)</f>
        <v>#REF!</v>
      </c>
      <c r="F298" t="e">
        <f>IF(#REF!,"AAAAAHwv+QU=",0)</f>
        <v>#REF!</v>
      </c>
      <c r="G298" t="e">
        <f>IF(#REF!,"AAAAAHwv+QY=",0)</f>
        <v>#REF!</v>
      </c>
      <c r="H298" t="e">
        <f>IF(#REF!,"AAAAAHwv+Qc=",0)</f>
        <v>#REF!</v>
      </c>
      <c r="I298" t="e">
        <f>IF(#REF!,"AAAAAHwv+Qg=",0)</f>
        <v>#REF!</v>
      </c>
      <c r="J298" t="e">
        <f>IF(#REF!,"AAAAAHwv+Qk=",0)</f>
        <v>#REF!</v>
      </c>
      <c r="K298" t="e">
        <f>IF(#REF!,"AAAAAHwv+Qo=",0)</f>
        <v>#REF!</v>
      </c>
      <c r="L298" t="e">
        <f>IF(#REF!,"AAAAAHwv+Qs=",0)</f>
        <v>#REF!</v>
      </c>
      <c r="M298" t="e">
        <f>IF(#REF!,"AAAAAHwv+Qw=",0)</f>
        <v>#REF!</v>
      </c>
      <c r="N298" t="e">
        <f>IF(#REF!,"AAAAAHwv+Q0=",0)</f>
        <v>#REF!</v>
      </c>
      <c r="O298" t="e">
        <f>IF(#REF!,"AAAAAHwv+Q4=",0)</f>
        <v>#REF!</v>
      </c>
      <c r="P298" t="e">
        <f>IF(#REF!,"AAAAAHwv+Q8=",0)</f>
        <v>#REF!</v>
      </c>
      <c r="Q298" t="e">
        <f>IF(#REF!,"AAAAAHwv+RA=",0)</f>
        <v>#REF!</v>
      </c>
      <c r="R298" t="e">
        <f>IF(#REF!,"AAAAAHwv+RE=",0)</f>
        <v>#REF!</v>
      </c>
      <c r="S298" t="e">
        <f>IF(#REF!,"AAAAAHwv+RI=",0)</f>
        <v>#REF!</v>
      </c>
      <c r="T298" t="e">
        <f>IF(#REF!,"AAAAAHwv+RM=",0)</f>
        <v>#REF!</v>
      </c>
      <c r="U298" t="e">
        <f>IF(#REF!,"AAAAAHwv+RQ=",0)</f>
        <v>#REF!</v>
      </c>
      <c r="V298" t="e">
        <f>IF(#REF!,"AAAAAHwv+RU=",0)</f>
        <v>#REF!</v>
      </c>
      <c r="W298" t="e">
        <f>IF(#REF!,"AAAAAHwv+RY=",0)</f>
        <v>#REF!</v>
      </c>
      <c r="X298" t="e">
        <f>IF(#REF!,"AAAAAHwv+Rc=",0)</f>
        <v>#REF!</v>
      </c>
      <c r="Y298" t="e">
        <f>IF(#REF!,"AAAAAHwv+Rg=",0)</f>
        <v>#REF!</v>
      </c>
      <c r="Z298" t="e">
        <f>IF(#REF!,"AAAAAHwv+Rk=",0)</f>
        <v>#REF!</v>
      </c>
      <c r="AA298" t="e">
        <f>IF(#REF!,"AAAAAHwv+Ro=",0)</f>
        <v>#REF!</v>
      </c>
      <c r="AB298" t="e">
        <f>IF(#REF!,"AAAAAHwv+Rs=",0)</f>
        <v>#REF!</v>
      </c>
      <c r="AC298" t="e">
        <f>IF(#REF!,"AAAAAHwv+Rw=",0)</f>
        <v>#REF!</v>
      </c>
      <c r="AD298" t="e">
        <f>IF(#REF!,"AAAAAHwv+R0=",0)</f>
        <v>#REF!</v>
      </c>
      <c r="AE298" t="e">
        <f>IF(#REF!,"AAAAAHwv+R4=",0)</f>
        <v>#REF!</v>
      </c>
      <c r="AF298" t="e">
        <f>IF(#REF!,"AAAAAHwv+R8=",0)</f>
        <v>#REF!</v>
      </c>
      <c r="AG298" t="e">
        <f>IF(#REF!,"AAAAAHwv+SA=",0)</f>
        <v>#REF!</v>
      </c>
      <c r="AH298" t="e">
        <f>IF(#REF!,"AAAAAHwv+SE=",0)</f>
        <v>#REF!</v>
      </c>
      <c r="AI298" t="e">
        <f>IF(#REF!,"AAAAAHwv+SI=",0)</f>
        <v>#REF!</v>
      </c>
      <c r="AJ298" t="e">
        <f>IF(#REF!,"AAAAAHwv+SM=",0)</f>
        <v>#REF!</v>
      </c>
      <c r="AK298" t="e">
        <f>IF(#REF!,"AAAAAHwv+SQ=",0)</f>
        <v>#REF!</v>
      </c>
      <c r="AL298" t="e">
        <f>IF(#REF!,"AAAAAHwv+SU=",0)</f>
        <v>#REF!</v>
      </c>
      <c r="AM298" t="e">
        <f>IF(#REF!,"AAAAAHwv+SY=",0)</f>
        <v>#REF!</v>
      </c>
      <c r="AN298" t="e">
        <f>IF(#REF!,"AAAAAHwv+Sc=",0)</f>
        <v>#REF!</v>
      </c>
      <c r="AO298" t="e">
        <f>IF(#REF!,"AAAAAHwv+Sg=",0)</f>
        <v>#REF!</v>
      </c>
      <c r="AP298" t="e">
        <f>IF(#REF!,"AAAAAHwv+Sk=",0)</f>
        <v>#REF!</v>
      </c>
      <c r="AQ298" t="e">
        <f>IF(#REF!,"AAAAAHwv+So=",0)</f>
        <v>#REF!</v>
      </c>
      <c r="AR298" t="e">
        <f>IF(#REF!,"AAAAAHwv+Ss=",0)</f>
        <v>#REF!</v>
      </c>
      <c r="AS298" t="e">
        <f>IF(#REF!,"AAAAAHwv+Sw=",0)</f>
        <v>#REF!</v>
      </c>
      <c r="AT298" t="e">
        <f>IF(#REF!,"AAAAAHwv+S0=",0)</f>
        <v>#REF!</v>
      </c>
      <c r="AU298" t="e">
        <f>IF(#REF!,"AAAAAHwv+S4=",0)</f>
        <v>#REF!</v>
      </c>
      <c r="AV298" t="e">
        <f>IF(#REF!,"AAAAAHwv+S8=",0)</f>
        <v>#REF!</v>
      </c>
      <c r="AW298" t="e">
        <f>IF(#REF!,"AAAAAHwv+TA=",0)</f>
        <v>#REF!</v>
      </c>
      <c r="AX298" t="e">
        <f>IF(#REF!,"AAAAAHwv+TE=",0)</f>
        <v>#REF!</v>
      </c>
      <c r="AY298" t="e">
        <f>IF(#REF!,"AAAAAHwv+TI=",0)</f>
        <v>#REF!</v>
      </c>
      <c r="AZ298" t="e">
        <f>IF(#REF!,"AAAAAHwv+TM=",0)</f>
        <v>#REF!</v>
      </c>
      <c r="BA298" t="e">
        <f>IF(#REF!,"AAAAAHwv+TQ=",0)</f>
        <v>#REF!</v>
      </c>
      <c r="BB298" t="e">
        <f>IF(#REF!,"AAAAAHwv+TU=",0)</f>
        <v>#REF!</v>
      </c>
      <c r="BC298" t="e">
        <f>IF(#REF!,"AAAAAHwv+TY=",0)</f>
        <v>#REF!</v>
      </c>
      <c r="BD298" t="e">
        <f>IF(#REF!,"AAAAAHwv+Tc=",0)</f>
        <v>#REF!</v>
      </c>
      <c r="BE298" t="e">
        <f>IF(#REF!,"AAAAAHwv+Tg=",0)</f>
        <v>#REF!</v>
      </c>
      <c r="BF298" t="e">
        <f>IF(#REF!,"AAAAAHwv+Tk=",0)</f>
        <v>#REF!</v>
      </c>
      <c r="BG298" t="e">
        <f>IF(#REF!,"AAAAAHwv+To=",0)</f>
        <v>#REF!</v>
      </c>
      <c r="BH298" t="e">
        <f>IF(#REF!,"AAAAAHwv+Ts=",0)</f>
        <v>#REF!</v>
      </c>
      <c r="BI298" t="e">
        <f>IF(#REF!,"AAAAAHwv+Tw=",0)</f>
        <v>#REF!</v>
      </c>
      <c r="BJ298" t="e">
        <f>IF(#REF!,"AAAAAHwv+T0=",0)</f>
        <v>#REF!</v>
      </c>
      <c r="BK298" t="e">
        <f>IF(#REF!,"AAAAAHwv+T4=",0)</f>
        <v>#REF!</v>
      </c>
      <c r="BL298" t="e">
        <f>IF(#REF!,"AAAAAHwv+T8=",0)</f>
        <v>#REF!</v>
      </c>
      <c r="BM298" t="e">
        <f>IF(#REF!,"AAAAAHwv+UA=",0)</f>
        <v>#REF!</v>
      </c>
      <c r="BN298" t="e">
        <f>IF(#REF!,"AAAAAHwv+UE=",0)</f>
        <v>#REF!</v>
      </c>
      <c r="BO298" t="e">
        <f>IF(#REF!,"AAAAAHwv+UI=",0)</f>
        <v>#REF!</v>
      </c>
      <c r="BP298" t="e">
        <f>IF(#REF!,"AAAAAHwv+UM=",0)</f>
        <v>#REF!</v>
      </c>
      <c r="BQ298" t="e">
        <f>IF(#REF!,"AAAAAHwv+UQ=",0)</f>
        <v>#REF!</v>
      </c>
      <c r="BR298" t="e">
        <f>IF(#REF!,"AAAAAHwv+UU=",0)</f>
        <v>#REF!</v>
      </c>
      <c r="BS298" t="e">
        <f>IF(#REF!,"AAAAAHwv+UY=",0)</f>
        <v>#REF!</v>
      </c>
      <c r="BT298" t="e">
        <f>IF(#REF!,"AAAAAHwv+Uc=",0)</f>
        <v>#REF!</v>
      </c>
      <c r="BU298" t="e">
        <f>IF(#REF!,"AAAAAHwv+Ug=",0)</f>
        <v>#REF!</v>
      </c>
      <c r="BV298" t="e">
        <f>IF(#REF!,"AAAAAHwv+Uk=",0)</f>
        <v>#REF!</v>
      </c>
      <c r="BW298" t="e">
        <f>IF(#REF!,"AAAAAHwv+Uo=",0)</f>
        <v>#REF!</v>
      </c>
      <c r="BX298" t="e">
        <f>IF(#REF!,"AAAAAHwv+Us=",0)</f>
        <v>#REF!</v>
      </c>
      <c r="BY298" t="e">
        <f>IF(#REF!,"AAAAAHwv+Uw=",0)</f>
        <v>#REF!</v>
      </c>
      <c r="BZ298" t="e">
        <f>IF(#REF!,"AAAAAHwv+U0=",0)</f>
        <v>#REF!</v>
      </c>
      <c r="CA298" t="e">
        <f>IF(#REF!,"AAAAAHwv+U4=",0)</f>
        <v>#REF!</v>
      </c>
      <c r="CB298" t="e">
        <f>IF(#REF!,"AAAAAHwv+U8=",0)</f>
        <v>#REF!</v>
      </c>
      <c r="CC298" t="e">
        <f>IF(#REF!,"AAAAAHwv+VA=",0)</f>
        <v>#REF!</v>
      </c>
      <c r="CD298" t="e">
        <f>IF(#REF!,"AAAAAHwv+VE=",0)</f>
        <v>#REF!</v>
      </c>
      <c r="CE298" t="e">
        <f>IF(#REF!,"AAAAAHwv+VI=",0)</f>
        <v>#REF!</v>
      </c>
      <c r="CF298" t="e">
        <f>IF(#REF!,"AAAAAHwv+VM=",0)</f>
        <v>#REF!</v>
      </c>
      <c r="CG298" t="e">
        <f>IF(#REF!,"AAAAAHwv+VQ=",0)</f>
        <v>#REF!</v>
      </c>
      <c r="CH298" t="e">
        <f>IF(#REF!,"AAAAAHwv+VU=",0)</f>
        <v>#REF!</v>
      </c>
      <c r="CI298" t="e">
        <f>IF(#REF!,"AAAAAHwv+VY=",0)</f>
        <v>#REF!</v>
      </c>
      <c r="CJ298" t="e">
        <f>IF(#REF!,"AAAAAHwv+Vc=",0)</f>
        <v>#REF!</v>
      </c>
      <c r="CK298" t="e">
        <f>IF(#REF!,"AAAAAHwv+Vg=",0)</f>
        <v>#REF!</v>
      </c>
      <c r="CL298" t="e">
        <f>IF(#REF!,"AAAAAHwv+Vk=",0)</f>
        <v>#REF!</v>
      </c>
      <c r="CM298" t="e">
        <f>IF(#REF!,"AAAAAHwv+Vo=",0)</f>
        <v>#REF!</v>
      </c>
      <c r="CN298" t="e">
        <f>IF(#REF!,"AAAAAHwv+Vs=",0)</f>
        <v>#REF!</v>
      </c>
      <c r="CO298" t="e">
        <f>IF(#REF!,"AAAAAHwv+Vw=",0)</f>
        <v>#REF!</v>
      </c>
      <c r="CP298" t="e">
        <f>IF(#REF!,"AAAAAHwv+V0=",0)</f>
        <v>#REF!</v>
      </c>
      <c r="CQ298" t="e">
        <f>IF(#REF!,"AAAAAHwv+V4=",0)</f>
        <v>#REF!</v>
      </c>
      <c r="CR298" t="e">
        <f>IF(#REF!,"AAAAAHwv+V8=",0)</f>
        <v>#REF!</v>
      </c>
      <c r="CS298" t="e">
        <f>IF(#REF!,"AAAAAHwv+WA=",0)</f>
        <v>#REF!</v>
      </c>
      <c r="CT298" t="e">
        <f>IF(#REF!,"AAAAAHwv+WE=",0)</f>
        <v>#REF!</v>
      </c>
      <c r="CU298" t="e">
        <f>IF(#REF!,"AAAAAHwv+WI=",0)</f>
        <v>#REF!</v>
      </c>
      <c r="CV298" t="e">
        <f>IF(#REF!,"AAAAAHwv+WM=",0)</f>
        <v>#REF!</v>
      </c>
      <c r="CW298" t="e">
        <f>IF(#REF!,"AAAAAHwv+WQ=",0)</f>
        <v>#REF!</v>
      </c>
      <c r="CX298" t="e">
        <f>IF(#REF!,"AAAAAHwv+WU=",0)</f>
        <v>#REF!</v>
      </c>
      <c r="CY298" t="e">
        <f>IF(#REF!,"AAAAAHwv+WY=",0)</f>
        <v>#REF!</v>
      </c>
      <c r="CZ298" t="e">
        <f>IF(#REF!,"AAAAAHwv+Wc=",0)</f>
        <v>#REF!</v>
      </c>
      <c r="DA298" t="e">
        <f>IF(#REF!,"AAAAAHwv+Wg=",0)</f>
        <v>#REF!</v>
      </c>
      <c r="DB298" t="e">
        <f>IF(#REF!,"AAAAAHwv+Wk=",0)</f>
        <v>#REF!</v>
      </c>
      <c r="DC298" t="e">
        <f>IF(#REF!,"AAAAAHwv+Wo=",0)</f>
        <v>#REF!</v>
      </c>
      <c r="DD298" t="e">
        <f>IF(#REF!,"AAAAAHwv+Ws=",0)</f>
        <v>#REF!</v>
      </c>
      <c r="DE298" t="e">
        <f>IF(#REF!,"AAAAAHwv+Ww=",0)</f>
        <v>#REF!</v>
      </c>
      <c r="DF298" t="e">
        <f>IF(#REF!,"AAAAAHwv+W0=",0)</f>
        <v>#REF!</v>
      </c>
      <c r="DG298" t="e">
        <f>IF(#REF!,"AAAAAHwv+W4=",0)</f>
        <v>#REF!</v>
      </c>
      <c r="DH298" t="e">
        <f>IF(#REF!,"AAAAAHwv+W8=",0)</f>
        <v>#REF!</v>
      </c>
      <c r="DI298" t="e">
        <f>IF(#REF!,"AAAAAHwv+XA=",0)</f>
        <v>#REF!</v>
      </c>
      <c r="DJ298" t="e">
        <f>IF(#REF!,"AAAAAHwv+XE=",0)</f>
        <v>#REF!</v>
      </c>
      <c r="DK298" t="e">
        <f>IF(#REF!,"AAAAAHwv+XI=",0)</f>
        <v>#REF!</v>
      </c>
      <c r="DL298" t="e">
        <f>IF(#REF!,"AAAAAHwv+XM=",0)</f>
        <v>#REF!</v>
      </c>
      <c r="DM298" t="e">
        <f>IF(#REF!,"AAAAAHwv+XQ=",0)</f>
        <v>#REF!</v>
      </c>
      <c r="DN298" t="e">
        <f>IF(#REF!,"AAAAAHwv+XU=",0)</f>
        <v>#REF!</v>
      </c>
      <c r="DO298" t="e">
        <f>IF(#REF!,"AAAAAHwv+XY=",0)</f>
        <v>#REF!</v>
      </c>
      <c r="DP298" t="e">
        <f>IF(#REF!,"AAAAAHwv+Xc=",0)</f>
        <v>#REF!</v>
      </c>
      <c r="DQ298" t="e">
        <f>IF(#REF!,"AAAAAHwv+Xg=",0)</f>
        <v>#REF!</v>
      </c>
      <c r="DR298" t="e">
        <f>IF(#REF!,"AAAAAHwv+Xk=",0)</f>
        <v>#REF!</v>
      </c>
      <c r="DS298" t="e">
        <f>IF(#REF!,"AAAAAHwv+Xo=",0)</f>
        <v>#REF!</v>
      </c>
      <c r="DT298" t="e">
        <f>IF(#REF!,"AAAAAHwv+Xs=",0)</f>
        <v>#REF!</v>
      </c>
      <c r="DU298" t="e">
        <f>IF(#REF!,"AAAAAHwv+Xw=",0)</f>
        <v>#REF!</v>
      </c>
      <c r="DV298" t="e">
        <f>IF(#REF!,"AAAAAHwv+X0=",0)</f>
        <v>#REF!</v>
      </c>
      <c r="DW298" t="e">
        <f>IF(#REF!,"AAAAAHwv+X4=",0)</f>
        <v>#REF!</v>
      </c>
      <c r="DX298" t="e">
        <f>IF(#REF!,"AAAAAHwv+X8=",0)</f>
        <v>#REF!</v>
      </c>
      <c r="DY298" t="e">
        <f>IF(#REF!,"AAAAAHwv+YA=",0)</f>
        <v>#REF!</v>
      </c>
      <c r="DZ298" t="e">
        <f>IF(#REF!,"AAAAAHwv+YE=",0)</f>
        <v>#REF!</v>
      </c>
      <c r="EA298" t="e">
        <f>IF(#REF!,"AAAAAHwv+YI=",0)</f>
        <v>#REF!</v>
      </c>
      <c r="EB298" t="e">
        <f>IF(#REF!,"AAAAAHwv+YM=",0)</f>
        <v>#REF!</v>
      </c>
      <c r="EC298" t="e">
        <f>IF(#REF!,"AAAAAHwv+YQ=",0)</f>
        <v>#REF!</v>
      </c>
      <c r="ED298" t="e">
        <f>IF(#REF!,"AAAAAHwv+YU=",0)</f>
        <v>#REF!</v>
      </c>
      <c r="EE298" t="e">
        <f>IF(#REF!,"AAAAAHwv+YY=",0)</f>
        <v>#REF!</v>
      </c>
      <c r="EF298" t="e">
        <f>IF(#REF!,"AAAAAHwv+Yc=",0)</f>
        <v>#REF!</v>
      </c>
      <c r="EG298" t="e">
        <f>IF(#REF!,"AAAAAHwv+Yg=",0)</f>
        <v>#REF!</v>
      </c>
      <c r="EH298" t="e">
        <f>IF(#REF!,"AAAAAHwv+Yk=",0)</f>
        <v>#REF!</v>
      </c>
      <c r="EI298" t="e">
        <f>IF(#REF!,"AAAAAHwv+Yo=",0)</f>
        <v>#REF!</v>
      </c>
      <c r="EJ298" t="e">
        <f>IF(#REF!,"AAAAAHwv+Ys=",0)</f>
        <v>#REF!</v>
      </c>
      <c r="EK298" t="e">
        <f>IF(#REF!,"AAAAAHwv+Yw=",0)</f>
        <v>#REF!</v>
      </c>
      <c r="EL298" t="e">
        <f>IF(#REF!,"AAAAAHwv+Y0=",0)</f>
        <v>#REF!</v>
      </c>
      <c r="EM298" t="e">
        <f>IF(#REF!,"AAAAAHwv+Y4=",0)</f>
        <v>#REF!</v>
      </c>
      <c r="EN298" t="e">
        <f>IF(#REF!,"AAAAAHwv+Y8=",0)</f>
        <v>#REF!</v>
      </c>
      <c r="EO298" t="e">
        <f>IF(#REF!,"AAAAAHwv+ZA=",0)</f>
        <v>#REF!</v>
      </c>
      <c r="EP298" t="e">
        <f>IF(#REF!,"AAAAAHwv+ZE=",0)</f>
        <v>#REF!</v>
      </c>
      <c r="EQ298" t="e">
        <f>IF(#REF!,"AAAAAHwv+ZI=",0)</f>
        <v>#REF!</v>
      </c>
      <c r="ER298" t="e">
        <f>IF(#REF!,"AAAAAHwv+ZM=",0)</f>
        <v>#REF!</v>
      </c>
      <c r="ES298" t="e">
        <f>IF(#REF!,"AAAAAHwv+ZQ=",0)</f>
        <v>#REF!</v>
      </c>
      <c r="ET298" t="e">
        <f>IF(#REF!,"AAAAAHwv+ZU=",0)</f>
        <v>#REF!</v>
      </c>
      <c r="EU298" t="e">
        <f>IF(#REF!,"AAAAAHwv+ZY=",0)</f>
        <v>#REF!</v>
      </c>
      <c r="EV298" t="e">
        <f>IF(#REF!,"AAAAAHwv+Zc=",0)</f>
        <v>#REF!</v>
      </c>
      <c r="EW298" t="e">
        <f>IF(#REF!,"AAAAAHwv+Zg=",0)</f>
        <v>#REF!</v>
      </c>
      <c r="EX298" t="e">
        <f>IF(#REF!,"AAAAAHwv+Zk=",0)</f>
        <v>#REF!</v>
      </c>
      <c r="EY298" t="e">
        <f>IF(#REF!,"AAAAAHwv+Zo=",0)</f>
        <v>#REF!</v>
      </c>
      <c r="EZ298" t="e">
        <f>IF(#REF!,"AAAAAHwv+Zs=",0)</f>
        <v>#REF!</v>
      </c>
      <c r="FA298" t="e">
        <f>IF(#REF!,"AAAAAHwv+Zw=",0)</f>
        <v>#REF!</v>
      </c>
      <c r="FB298" t="e">
        <f>IF(#REF!,"AAAAAHwv+Z0=",0)</f>
        <v>#REF!</v>
      </c>
      <c r="FC298" t="e">
        <f>IF(#REF!,"AAAAAHwv+Z4=",0)</f>
        <v>#REF!</v>
      </c>
      <c r="FD298" t="e">
        <f>IF(#REF!,"AAAAAHwv+Z8=",0)</f>
        <v>#REF!</v>
      </c>
      <c r="FE298" t="e">
        <f>IF(#REF!,"AAAAAHwv+aA=",0)</f>
        <v>#REF!</v>
      </c>
      <c r="FF298" t="e">
        <f>IF(#REF!,"AAAAAHwv+aE=",0)</f>
        <v>#REF!</v>
      </c>
      <c r="FG298" t="e">
        <f>IF(#REF!,"AAAAAHwv+aI=",0)</f>
        <v>#REF!</v>
      </c>
      <c r="FH298" t="e">
        <f>IF(#REF!,"AAAAAHwv+aM=",0)</f>
        <v>#REF!</v>
      </c>
      <c r="FI298" t="e">
        <f>IF(#REF!,"AAAAAHwv+aQ=",0)</f>
        <v>#REF!</v>
      </c>
      <c r="FJ298" t="e">
        <f>IF(#REF!,"AAAAAHwv+aU=",0)</f>
        <v>#REF!</v>
      </c>
      <c r="FK298" t="e">
        <f>IF(#REF!,"AAAAAHwv+aY=",0)</f>
        <v>#REF!</v>
      </c>
      <c r="FL298" t="e">
        <f>IF(#REF!,"AAAAAHwv+ac=",0)</f>
        <v>#REF!</v>
      </c>
      <c r="FM298" t="e">
        <f>IF(#REF!,"AAAAAHwv+ag=",0)</f>
        <v>#REF!</v>
      </c>
      <c r="FN298" t="e">
        <f>IF(#REF!,"AAAAAHwv+ak=",0)</f>
        <v>#REF!</v>
      </c>
      <c r="FO298" t="e">
        <f>IF(#REF!,"AAAAAHwv+ao=",0)</f>
        <v>#REF!</v>
      </c>
      <c r="FP298" t="e">
        <f>IF(#REF!,"AAAAAHwv+as=",0)</f>
        <v>#REF!</v>
      </c>
      <c r="FQ298" t="e">
        <f>IF(#REF!,"AAAAAHwv+aw=",0)</f>
        <v>#REF!</v>
      </c>
      <c r="FR298" t="e">
        <f>IF(#REF!,"AAAAAHwv+a0=",0)</f>
        <v>#REF!</v>
      </c>
      <c r="FS298" t="e">
        <f>IF(#REF!,"AAAAAHwv+a4=",0)</f>
        <v>#REF!</v>
      </c>
      <c r="FT298" t="e">
        <f>IF(#REF!,"AAAAAHwv+a8=",0)</f>
        <v>#REF!</v>
      </c>
      <c r="FU298" t="e">
        <f>IF(#REF!,"AAAAAHwv+bA=",0)</f>
        <v>#REF!</v>
      </c>
      <c r="FV298" t="e">
        <f>IF(#REF!,"AAAAAHwv+bE=",0)</f>
        <v>#REF!</v>
      </c>
      <c r="FW298" t="e">
        <f>IF(#REF!,"AAAAAHwv+bI=",0)</f>
        <v>#REF!</v>
      </c>
      <c r="FX298" t="e">
        <f>IF(#REF!,"AAAAAHwv+bM=",0)</f>
        <v>#REF!</v>
      </c>
      <c r="FY298" t="e">
        <f>IF(#REF!,"AAAAAHwv+bQ=",0)</f>
        <v>#REF!</v>
      </c>
      <c r="FZ298" t="e">
        <f>IF(#REF!,"AAAAAHwv+bU=",0)</f>
        <v>#REF!</v>
      </c>
      <c r="GA298" t="e">
        <f>IF(#REF!,"AAAAAHwv+bY=",0)</f>
        <v>#REF!</v>
      </c>
      <c r="GB298" t="e">
        <f>IF(#REF!,"AAAAAHwv+bc=",0)</f>
        <v>#REF!</v>
      </c>
      <c r="GC298" t="e">
        <f>IF(#REF!,"AAAAAHwv+bg=",0)</f>
        <v>#REF!</v>
      </c>
      <c r="GD298" t="e">
        <f>IF(#REF!,"AAAAAHwv+bk=",0)</f>
        <v>#REF!</v>
      </c>
      <c r="GE298" t="e">
        <f>IF(#REF!,"AAAAAHwv+bo=",0)</f>
        <v>#REF!</v>
      </c>
      <c r="GF298" t="e">
        <f>IF(#REF!,"AAAAAHwv+bs=",0)</f>
        <v>#REF!</v>
      </c>
      <c r="GG298" t="e">
        <f>IF(#REF!,"AAAAAHwv+bw=",0)</f>
        <v>#REF!</v>
      </c>
      <c r="GH298" t="e">
        <f>IF(#REF!,"AAAAAHwv+b0=",0)</f>
        <v>#REF!</v>
      </c>
      <c r="GI298" t="e">
        <f>IF(#REF!,"AAAAAHwv+b4=",0)</f>
        <v>#REF!</v>
      </c>
      <c r="GJ298" t="e">
        <f>IF(#REF!,"AAAAAHwv+b8=",0)</f>
        <v>#REF!</v>
      </c>
      <c r="GK298" t="e">
        <f>IF(#REF!,"AAAAAHwv+cA=",0)</f>
        <v>#REF!</v>
      </c>
      <c r="GL298" t="e">
        <f>IF(#REF!,"AAAAAHwv+cE=",0)</f>
        <v>#REF!</v>
      </c>
      <c r="GM298" t="e">
        <f>IF(#REF!,"AAAAAHwv+cI=",0)</f>
        <v>#REF!</v>
      </c>
      <c r="GN298" t="e">
        <f>IF(#REF!,"AAAAAHwv+cM=",0)</f>
        <v>#REF!</v>
      </c>
      <c r="GO298" t="e">
        <f>IF(#REF!,"AAAAAHwv+cQ=",0)</f>
        <v>#REF!</v>
      </c>
      <c r="GP298" t="e">
        <f>IF(#REF!,"AAAAAHwv+cU=",0)</f>
        <v>#REF!</v>
      </c>
      <c r="GQ298" t="e">
        <f>IF(#REF!,"AAAAAHwv+cY=",0)</f>
        <v>#REF!</v>
      </c>
      <c r="GR298" t="e">
        <f>IF(#REF!,"AAAAAHwv+cc=",0)</f>
        <v>#REF!</v>
      </c>
      <c r="GS298" t="e">
        <f>IF(#REF!,"AAAAAHwv+cg=",0)</f>
        <v>#REF!</v>
      </c>
      <c r="GT298" t="e">
        <f>IF(#REF!,"AAAAAHwv+ck=",0)</f>
        <v>#REF!</v>
      </c>
      <c r="GU298" t="e">
        <f>IF(#REF!,"AAAAAHwv+co=",0)</f>
        <v>#REF!</v>
      </c>
      <c r="GV298" t="e">
        <f>IF(#REF!,"AAAAAHwv+cs=",0)</f>
        <v>#REF!</v>
      </c>
      <c r="GW298" t="e">
        <f>IF(#REF!,"AAAAAHwv+cw=",0)</f>
        <v>#REF!</v>
      </c>
      <c r="GX298" t="e">
        <f>IF(#REF!,"AAAAAHwv+c0=",0)</f>
        <v>#REF!</v>
      </c>
      <c r="GY298" t="e">
        <f>IF(#REF!,"AAAAAHwv+c4=",0)</f>
        <v>#REF!</v>
      </c>
      <c r="GZ298" t="e">
        <f>IF(#REF!,"AAAAAHwv+c8=",0)</f>
        <v>#REF!</v>
      </c>
      <c r="HA298" t="e">
        <f>IF(#REF!,"AAAAAHwv+dA=",0)</f>
        <v>#REF!</v>
      </c>
      <c r="HB298" t="e">
        <f>IF(#REF!,"AAAAAHwv+dE=",0)</f>
        <v>#REF!</v>
      </c>
      <c r="HC298" t="e">
        <f>IF(#REF!,"AAAAAHwv+dI=",0)</f>
        <v>#REF!</v>
      </c>
      <c r="HD298" t="e">
        <f>IF(#REF!,"AAAAAHwv+dM=",0)</f>
        <v>#REF!</v>
      </c>
      <c r="HE298" t="e">
        <f>IF(#REF!,"AAAAAHwv+dQ=",0)</f>
        <v>#REF!</v>
      </c>
      <c r="HF298" t="e">
        <f>IF(#REF!,"AAAAAHwv+dU=",0)</f>
        <v>#REF!</v>
      </c>
      <c r="HG298" t="e">
        <f>IF(#REF!,"AAAAAHwv+dY=",0)</f>
        <v>#REF!</v>
      </c>
      <c r="HH298" t="e">
        <f>IF(#REF!,"AAAAAHwv+dc=",0)</f>
        <v>#REF!</v>
      </c>
      <c r="HI298" t="e">
        <f>IF(#REF!,"AAAAAHwv+dg=",0)</f>
        <v>#REF!</v>
      </c>
      <c r="HJ298" t="e">
        <f>IF(#REF!,"AAAAAHwv+dk=",0)</f>
        <v>#REF!</v>
      </c>
      <c r="HK298" t="e">
        <f>IF(#REF!,"AAAAAHwv+do=",0)</f>
        <v>#REF!</v>
      </c>
      <c r="HL298" t="e">
        <f>IF(#REF!,"AAAAAHwv+ds=",0)</f>
        <v>#REF!</v>
      </c>
      <c r="HM298" t="e">
        <f>IF(#REF!,"AAAAAHwv+dw=",0)</f>
        <v>#REF!</v>
      </c>
      <c r="HN298" t="e">
        <f>IF(#REF!,"AAAAAHwv+d0=",0)</f>
        <v>#REF!</v>
      </c>
      <c r="HO298" t="e">
        <f>IF(#REF!,"AAAAAHwv+d4=",0)</f>
        <v>#REF!</v>
      </c>
      <c r="HP298" t="e">
        <f>IF(#REF!,"AAAAAHwv+d8=",0)</f>
        <v>#REF!</v>
      </c>
      <c r="HQ298" t="e">
        <f>IF(#REF!,"AAAAAHwv+eA=",0)</f>
        <v>#REF!</v>
      </c>
      <c r="HR298" t="e">
        <f>IF(#REF!,"AAAAAHwv+eE=",0)</f>
        <v>#REF!</v>
      </c>
      <c r="HS298" t="e">
        <f>IF(#REF!,"AAAAAHwv+eI=",0)</f>
        <v>#REF!</v>
      </c>
      <c r="HT298" t="e">
        <f>IF(#REF!,"AAAAAHwv+eM=",0)</f>
        <v>#REF!</v>
      </c>
      <c r="HU298" t="e">
        <f>IF(#REF!,"AAAAAHwv+eQ=",0)</f>
        <v>#REF!</v>
      </c>
      <c r="HV298" t="e">
        <f>IF(#REF!,"AAAAAHwv+eU=",0)</f>
        <v>#REF!</v>
      </c>
      <c r="HW298" t="e">
        <f>IF(#REF!,"AAAAAHwv+eY=",0)</f>
        <v>#REF!</v>
      </c>
      <c r="HX298" t="e">
        <f>IF(#REF!,"AAAAAHwv+ec=",0)</f>
        <v>#REF!</v>
      </c>
      <c r="HY298" t="e">
        <f>IF(#REF!,"AAAAAHwv+eg=",0)</f>
        <v>#REF!</v>
      </c>
      <c r="HZ298" t="e">
        <f>IF(#REF!,"AAAAAHwv+ek=",0)</f>
        <v>#REF!</v>
      </c>
      <c r="IA298" t="e">
        <f>IF(#REF!,"AAAAAHwv+eo=",0)</f>
        <v>#REF!</v>
      </c>
      <c r="IB298" t="e">
        <f>IF(#REF!,"AAAAAHwv+es=",0)</f>
        <v>#REF!</v>
      </c>
      <c r="IC298" t="e">
        <f>IF(#REF!,"AAAAAHwv+ew=",0)</f>
        <v>#REF!</v>
      </c>
      <c r="ID298" t="e">
        <f>IF(#REF!,"AAAAAHwv+e0=",0)</f>
        <v>#REF!</v>
      </c>
      <c r="IE298" t="e">
        <f>IF(#REF!,"AAAAAHwv+e4=",0)</f>
        <v>#REF!</v>
      </c>
      <c r="IF298" t="e">
        <f>IF(#REF!,"AAAAAHwv+e8=",0)</f>
        <v>#REF!</v>
      </c>
      <c r="IG298" t="e">
        <f>IF(#REF!,"AAAAAHwv+fA=",0)</f>
        <v>#REF!</v>
      </c>
      <c r="IH298" t="e">
        <f>IF(#REF!,"AAAAAHwv+fE=",0)</f>
        <v>#REF!</v>
      </c>
      <c r="II298" t="e">
        <f>IF(#REF!,"AAAAAHwv+fI=",0)</f>
        <v>#REF!</v>
      </c>
      <c r="IJ298" t="e">
        <f>IF(#REF!,"AAAAAHwv+fM=",0)</f>
        <v>#REF!</v>
      </c>
      <c r="IK298" t="e">
        <f>IF(#REF!,"AAAAAHwv+fQ=",0)</f>
        <v>#REF!</v>
      </c>
      <c r="IL298" t="e">
        <f>IF(#REF!,"AAAAAHwv+fU=",0)</f>
        <v>#REF!</v>
      </c>
      <c r="IM298" t="e">
        <f>IF(#REF!,"AAAAAHwv+fY=",0)</f>
        <v>#REF!</v>
      </c>
      <c r="IN298" t="e">
        <f>IF(#REF!,"AAAAAHwv+fc=",0)</f>
        <v>#REF!</v>
      </c>
      <c r="IO298" t="e">
        <f>IF(#REF!,"AAAAAHwv+fg=",0)</f>
        <v>#REF!</v>
      </c>
      <c r="IP298" t="e">
        <f>IF(#REF!,"AAAAAHwv+fk=",0)</f>
        <v>#REF!</v>
      </c>
      <c r="IQ298" t="e">
        <f>IF(#REF!,"AAAAAHwv+fo=",0)</f>
        <v>#REF!</v>
      </c>
      <c r="IR298" t="e">
        <f>IF(#REF!,"AAAAAHwv+fs=",0)</f>
        <v>#REF!</v>
      </c>
      <c r="IS298" t="e">
        <f>IF(#REF!,"AAAAAHwv+fw=",0)</f>
        <v>#REF!</v>
      </c>
      <c r="IT298" t="e">
        <f>IF(#REF!,"AAAAAHwv+f0=",0)</f>
        <v>#REF!</v>
      </c>
      <c r="IU298" t="e">
        <f>IF(#REF!,"AAAAAHwv+f4=",0)</f>
        <v>#REF!</v>
      </c>
      <c r="IV298" t="e">
        <f>IF(#REF!,"AAAAAHwv+f8=",0)</f>
        <v>#REF!</v>
      </c>
    </row>
    <row r="299" spans="1:256">
      <c r="A299" t="e">
        <f>IF(#REF!,"AAAAAH999AA=",0)</f>
        <v>#REF!</v>
      </c>
      <c r="B299" t="e">
        <f>IF(#REF!,"AAAAAH999AE=",0)</f>
        <v>#REF!</v>
      </c>
      <c r="C299" t="e">
        <f>IF(#REF!,"AAAAAH999AI=",0)</f>
        <v>#REF!</v>
      </c>
      <c r="D299" t="e">
        <f>IF(#REF!,"AAAAAH999AM=",0)</f>
        <v>#REF!</v>
      </c>
      <c r="E299" t="e">
        <f>IF(#REF!,"AAAAAH999AQ=",0)</f>
        <v>#REF!</v>
      </c>
      <c r="F299" t="e">
        <f>IF(#REF!,"AAAAAH999AU=",0)</f>
        <v>#REF!</v>
      </c>
      <c r="G299" t="e">
        <f>IF(#REF!,"AAAAAH999AY=",0)</f>
        <v>#REF!</v>
      </c>
      <c r="H299" t="e">
        <f>IF(#REF!,"AAAAAH999Ac=",0)</f>
        <v>#REF!</v>
      </c>
      <c r="I299" t="e">
        <f>IF(#REF!,"AAAAAH999Ag=",0)</f>
        <v>#REF!</v>
      </c>
      <c r="J299" t="e">
        <f>IF(#REF!,"AAAAAH999Ak=",0)</f>
        <v>#REF!</v>
      </c>
      <c r="K299" t="e">
        <f>IF(#REF!,"AAAAAH999Ao=",0)</f>
        <v>#REF!</v>
      </c>
      <c r="L299" t="e">
        <f>IF(#REF!,"AAAAAH999As=",0)</f>
        <v>#REF!</v>
      </c>
      <c r="M299" t="e">
        <f>IF(#REF!,"AAAAAH999Aw=",0)</f>
        <v>#REF!</v>
      </c>
      <c r="N299" t="e">
        <f>IF(#REF!,"AAAAAH999A0=",0)</f>
        <v>#REF!</v>
      </c>
      <c r="O299" t="e">
        <f>IF(#REF!,"AAAAAH999A4=",0)</f>
        <v>#REF!</v>
      </c>
      <c r="P299" t="e">
        <f>IF(#REF!,"AAAAAH999A8=",0)</f>
        <v>#REF!</v>
      </c>
      <c r="Q299" t="e">
        <f>IF(#REF!,"AAAAAH999BA=",0)</f>
        <v>#REF!</v>
      </c>
      <c r="R299" t="e">
        <f>IF(#REF!,"AAAAAH999BE=",0)</f>
        <v>#REF!</v>
      </c>
      <c r="S299" t="e">
        <f>IF(#REF!,"AAAAAH999BI=",0)</f>
        <v>#REF!</v>
      </c>
      <c r="T299" t="e">
        <f>IF(#REF!,"AAAAAH999BM=",0)</f>
        <v>#REF!</v>
      </c>
      <c r="U299" t="e">
        <f>IF(#REF!,"AAAAAH999BQ=",0)</f>
        <v>#REF!</v>
      </c>
      <c r="V299" t="e">
        <f>IF(#REF!,"AAAAAH999BU=",0)</f>
        <v>#REF!</v>
      </c>
      <c r="W299" t="e">
        <f>IF(#REF!,"AAAAAH999BY=",0)</f>
        <v>#REF!</v>
      </c>
      <c r="X299" t="e">
        <f>IF(#REF!,"AAAAAH999Bc=",0)</f>
        <v>#REF!</v>
      </c>
      <c r="Y299" t="e">
        <f>IF(#REF!,"AAAAAH999Bg=",0)</f>
        <v>#REF!</v>
      </c>
      <c r="Z299" t="e">
        <f>IF(#REF!,"AAAAAH999Bk=",0)</f>
        <v>#REF!</v>
      </c>
      <c r="AA299" t="e">
        <f>IF(#REF!,"AAAAAH999Bo=",0)</f>
        <v>#REF!</v>
      </c>
      <c r="AB299" t="e">
        <f>IF(#REF!,"AAAAAH999Bs=",0)</f>
        <v>#REF!</v>
      </c>
      <c r="AC299" t="e">
        <f>IF(#REF!,"AAAAAH999Bw=",0)</f>
        <v>#REF!</v>
      </c>
      <c r="AD299" t="e">
        <f>IF(#REF!,"AAAAAH999B0=",0)</f>
        <v>#REF!</v>
      </c>
      <c r="AE299" t="e">
        <f>IF(#REF!,"AAAAAH999B4=",0)</f>
        <v>#REF!</v>
      </c>
      <c r="AF299" t="e">
        <f>IF(#REF!,"AAAAAH999B8=",0)</f>
        <v>#REF!</v>
      </c>
      <c r="AG299" t="e">
        <f>IF(#REF!,"AAAAAH999CA=",0)</f>
        <v>#REF!</v>
      </c>
      <c r="AH299" t="e">
        <f>IF(#REF!,"AAAAAH999CE=",0)</f>
        <v>#REF!</v>
      </c>
      <c r="AI299" t="e">
        <f>IF(#REF!,"AAAAAH999CI=",0)</f>
        <v>#REF!</v>
      </c>
      <c r="AJ299" t="e">
        <f>IF(#REF!,"AAAAAH999CM=",0)</f>
        <v>#REF!</v>
      </c>
      <c r="AK299" t="e">
        <f>IF(#REF!,"AAAAAH999CQ=",0)</f>
        <v>#REF!</v>
      </c>
      <c r="AL299" t="e">
        <f>IF(#REF!,"AAAAAH999CU=",0)</f>
        <v>#REF!</v>
      </c>
      <c r="AM299" t="e">
        <f>IF(#REF!,"AAAAAH999CY=",0)</f>
        <v>#REF!</v>
      </c>
      <c r="AN299" t="e">
        <f>IF(#REF!,"AAAAAH999Cc=",0)</f>
        <v>#REF!</v>
      </c>
      <c r="AO299" t="e">
        <f>IF(#REF!,"AAAAAH999Cg=",0)</f>
        <v>#REF!</v>
      </c>
      <c r="AP299" t="e">
        <f>IF(#REF!,"AAAAAH999Ck=",0)</f>
        <v>#REF!</v>
      </c>
      <c r="AQ299" t="e">
        <f>IF(#REF!,"AAAAAH999Co=",0)</f>
        <v>#REF!</v>
      </c>
      <c r="AR299" t="e">
        <f>IF(#REF!,"AAAAAH999Cs=",0)</f>
        <v>#REF!</v>
      </c>
      <c r="AS299" t="e">
        <f>IF(#REF!,"AAAAAH999Cw=",0)</f>
        <v>#REF!</v>
      </c>
      <c r="AT299" t="e">
        <f>IF(#REF!,"AAAAAH999C0=",0)</f>
        <v>#REF!</v>
      </c>
      <c r="AU299" t="e">
        <f>IF(#REF!,"AAAAAH999C4=",0)</f>
        <v>#REF!</v>
      </c>
      <c r="AV299" t="e">
        <f>IF(#REF!,"AAAAAH999C8=",0)</f>
        <v>#REF!</v>
      </c>
      <c r="AW299" t="e">
        <f>IF(#REF!,"AAAAAH999DA=",0)</f>
        <v>#REF!</v>
      </c>
      <c r="AX299" t="e">
        <f>IF(#REF!,"AAAAAH999DE=",0)</f>
        <v>#REF!</v>
      </c>
      <c r="AY299" t="e">
        <f>IF(#REF!,"AAAAAH999DI=",0)</f>
        <v>#REF!</v>
      </c>
      <c r="AZ299" t="e">
        <f>IF(#REF!,"AAAAAH999DM=",0)</f>
        <v>#REF!</v>
      </c>
      <c r="BA299" t="e">
        <f>IF(#REF!,"AAAAAH999DQ=",0)</f>
        <v>#REF!</v>
      </c>
      <c r="BB299" t="e">
        <f>IF(#REF!,"AAAAAH999DU=",0)</f>
        <v>#REF!</v>
      </c>
      <c r="BC299" t="e">
        <f>IF(#REF!,"AAAAAH999DY=",0)</f>
        <v>#REF!</v>
      </c>
      <c r="BD299" t="e">
        <f>IF(#REF!,"AAAAAH999Dc=",0)</f>
        <v>#REF!</v>
      </c>
      <c r="BE299" t="e">
        <f>IF(#REF!,"AAAAAH999Dg=",0)</f>
        <v>#REF!</v>
      </c>
      <c r="BF299" t="e">
        <f>IF(#REF!,"AAAAAH999Dk=",0)</f>
        <v>#REF!</v>
      </c>
      <c r="BG299" t="e">
        <f>IF(#REF!,"AAAAAH999Do=",0)</f>
        <v>#REF!</v>
      </c>
      <c r="BH299" t="e">
        <f>IF(#REF!,"AAAAAH999Ds=",0)</f>
        <v>#REF!</v>
      </c>
      <c r="BI299" t="e">
        <f>IF(#REF!,"AAAAAH999Dw=",0)</f>
        <v>#REF!</v>
      </c>
      <c r="BJ299" t="e">
        <f>IF(#REF!,"AAAAAH999D0=",0)</f>
        <v>#REF!</v>
      </c>
      <c r="BK299" t="e">
        <f>IF(#REF!,"AAAAAH999D4=",0)</f>
        <v>#REF!</v>
      </c>
      <c r="BL299" t="e">
        <f>IF(#REF!,"AAAAAH999D8=",0)</f>
        <v>#REF!</v>
      </c>
      <c r="BM299" t="e">
        <f>IF(#REF!,"AAAAAH999EA=",0)</f>
        <v>#REF!</v>
      </c>
      <c r="BN299" t="e">
        <f>IF(#REF!,"AAAAAH999EE=",0)</f>
        <v>#REF!</v>
      </c>
      <c r="BO299" t="e">
        <f>IF(#REF!,"AAAAAH999EI=",0)</f>
        <v>#REF!</v>
      </c>
      <c r="BP299" t="e">
        <f>IF(#REF!,"AAAAAH999EM=",0)</f>
        <v>#REF!</v>
      </c>
      <c r="BQ299" t="e">
        <f>IF(#REF!,"AAAAAH999EQ=",0)</f>
        <v>#REF!</v>
      </c>
      <c r="BR299" t="e">
        <f>IF(#REF!,"AAAAAH999EU=",0)</f>
        <v>#REF!</v>
      </c>
      <c r="BS299" t="e">
        <f>IF(#REF!,"AAAAAH999EY=",0)</f>
        <v>#REF!</v>
      </c>
      <c r="BT299" t="e">
        <f>IF(#REF!,"AAAAAH999Ec=",0)</f>
        <v>#REF!</v>
      </c>
      <c r="BU299" t="e">
        <f>IF(#REF!,"AAAAAH999Eg=",0)</f>
        <v>#REF!</v>
      </c>
      <c r="BV299" t="e">
        <f>IF(#REF!,"AAAAAH999Ek=",0)</f>
        <v>#REF!</v>
      </c>
      <c r="BW299" t="e">
        <f>IF(#REF!,"AAAAAH999Eo=",0)</f>
        <v>#REF!</v>
      </c>
      <c r="BX299" t="e">
        <f>IF(#REF!,"AAAAAH999Es=",0)</f>
        <v>#REF!</v>
      </c>
      <c r="BY299" t="e">
        <f>IF(#REF!,"AAAAAH999Ew=",0)</f>
        <v>#REF!</v>
      </c>
      <c r="BZ299" t="e">
        <f>IF(#REF!,"AAAAAH999E0=",0)</f>
        <v>#REF!</v>
      </c>
      <c r="CA299" t="e">
        <f>IF(#REF!,"AAAAAH999E4=",0)</f>
        <v>#REF!</v>
      </c>
      <c r="CB299" t="e">
        <f>IF(#REF!,"AAAAAH999E8=",0)</f>
        <v>#REF!</v>
      </c>
      <c r="CC299" t="e">
        <f>IF(#REF!,"AAAAAH999FA=",0)</f>
        <v>#REF!</v>
      </c>
      <c r="CD299" t="e">
        <f>IF(#REF!,"AAAAAH999FE=",0)</f>
        <v>#REF!</v>
      </c>
      <c r="CE299" t="e">
        <f>IF(#REF!,"AAAAAH999FI=",0)</f>
        <v>#REF!</v>
      </c>
      <c r="CF299" t="e">
        <f>IF(#REF!,"AAAAAH999FM=",0)</f>
        <v>#REF!</v>
      </c>
      <c r="CG299" t="e">
        <f>IF(#REF!,"AAAAAH999FQ=",0)</f>
        <v>#REF!</v>
      </c>
      <c r="CH299" t="e">
        <f>IF(#REF!,"AAAAAH999FU=",0)</f>
        <v>#REF!</v>
      </c>
      <c r="CI299" t="e">
        <f>IF(#REF!,"AAAAAH999FY=",0)</f>
        <v>#REF!</v>
      </c>
      <c r="CJ299" t="e">
        <f>IF(#REF!,"AAAAAH999Fc=",0)</f>
        <v>#REF!</v>
      </c>
      <c r="CK299" t="e">
        <f>IF(#REF!,"AAAAAH999Fg=",0)</f>
        <v>#REF!</v>
      </c>
      <c r="CL299" t="e">
        <f>IF(#REF!,"AAAAAH999Fk=",0)</f>
        <v>#REF!</v>
      </c>
      <c r="CM299" t="e">
        <f>IF(#REF!,"AAAAAH999Fo=",0)</f>
        <v>#REF!</v>
      </c>
      <c r="CN299" t="e">
        <f>IF(#REF!,"AAAAAH999Fs=",0)</f>
        <v>#REF!</v>
      </c>
      <c r="CO299" t="e">
        <f>IF(#REF!,"AAAAAH999Fw=",0)</f>
        <v>#REF!</v>
      </c>
      <c r="CP299" t="e">
        <f>IF(#REF!,"AAAAAH999F0=",0)</f>
        <v>#REF!</v>
      </c>
      <c r="CQ299" t="e">
        <f>IF(#REF!,"AAAAAH999F4=",0)</f>
        <v>#REF!</v>
      </c>
      <c r="CR299" t="e">
        <f>IF(#REF!,"AAAAAH999F8=",0)</f>
        <v>#REF!</v>
      </c>
      <c r="CS299" t="e">
        <f>IF(#REF!,"AAAAAH999GA=",0)</f>
        <v>#REF!</v>
      </c>
      <c r="CT299" t="e">
        <f>IF(#REF!,"AAAAAH999GE=",0)</f>
        <v>#REF!</v>
      </c>
      <c r="CU299" t="e">
        <f>IF(#REF!,"AAAAAH999GI=",0)</f>
        <v>#REF!</v>
      </c>
      <c r="CV299" t="e">
        <f>IF(#REF!,"AAAAAH999GM=",0)</f>
        <v>#REF!</v>
      </c>
      <c r="CW299" t="e">
        <f>IF(#REF!,"AAAAAH999GQ=",0)</f>
        <v>#REF!</v>
      </c>
      <c r="CX299" t="e">
        <f>IF(#REF!,"AAAAAH999GU=",0)</f>
        <v>#REF!</v>
      </c>
      <c r="CY299" t="e">
        <f>IF(#REF!,"AAAAAH999GY=",0)</f>
        <v>#REF!</v>
      </c>
      <c r="CZ299" t="e">
        <f>IF(#REF!,"AAAAAH999Gc=",0)</f>
        <v>#REF!</v>
      </c>
      <c r="DA299" t="e">
        <f>IF(#REF!,"AAAAAH999Gg=",0)</f>
        <v>#REF!</v>
      </c>
      <c r="DB299" t="e">
        <f>IF(#REF!,"AAAAAH999Gk=",0)</f>
        <v>#REF!</v>
      </c>
      <c r="DC299" t="e">
        <f>IF(#REF!,"AAAAAH999Go=",0)</f>
        <v>#REF!</v>
      </c>
      <c r="DD299" t="e">
        <f>IF(#REF!,"AAAAAH999Gs=",0)</f>
        <v>#REF!</v>
      </c>
      <c r="DE299" t="e">
        <f>IF(#REF!,"AAAAAH999Gw=",0)</f>
        <v>#REF!</v>
      </c>
      <c r="DF299" t="e">
        <f>IF(#REF!,"AAAAAH999G0=",0)</f>
        <v>#REF!</v>
      </c>
      <c r="DG299" t="e">
        <f>IF(#REF!,"AAAAAH999G4=",0)</f>
        <v>#REF!</v>
      </c>
      <c r="DH299" t="e">
        <f>IF(#REF!,"AAAAAH999G8=",0)</f>
        <v>#REF!</v>
      </c>
      <c r="DI299" t="e">
        <f>IF(#REF!,"AAAAAH999HA=",0)</f>
        <v>#REF!</v>
      </c>
      <c r="DJ299" t="e">
        <f>IF(#REF!,"AAAAAH999HE=",0)</f>
        <v>#REF!</v>
      </c>
      <c r="DK299" t="e">
        <f>IF(#REF!,"AAAAAH999HI=",0)</f>
        <v>#REF!</v>
      </c>
      <c r="DL299" t="e">
        <f>IF(#REF!,"AAAAAH999HM=",0)</f>
        <v>#REF!</v>
      </c>
      <c r="DM299" t="e">
        <f>IF(#REF!,"AAAAAH999HQ=",0)</f>
        <v>#REF!</v>
      </c>
      <c r="DN299" t="e">
        <f>IF(#REF!,"AAAAAH999HU=",0)</f>
        <v>#REF!</v>
      </c>
      <c r="DO299" t="e">
        <f>IF(#REF!,"AAAAAH999HY=",0)</f>
        <v>#REF!</v>
      </c>
      <c r="DP299" t="e">
        <f>IF(#REF!,"AAAAAH999Hc=",0)</f>
        <v>#REF!</v>
      </c>
      <c r="DQ299" t="e">
        <f>IF(#REF!,"AAAAAH999Hg=",0)</f>
        <v>#REF!</v>
      </c>
      <c r="DR299" t="e">
        <f>IF(#REF!,"AAAAAH999Hk=",0)</f>
        <v>#REF!</v>
      </c>
      <c r="DS299" t="e">
        <f>IF(#REF!,"AAAAAH999Ho=",0)</f>
        <v>#REF!</v>
      </c>
      <c r="DT299" t="e">
        <f>IF(#REF!,"AAAAAH999Hs=",0)</f>
        <v>#REF!</v>
      </c>
      <c r="DU299" t="e">
        <f>IF(#REF!,"AAAAAH999Hw=",0)</f>
        <v>#REF!</v>
      </c>
      <c r="DV299" t="e">
        <f>IF(#REF!,"AAAAAH999H0=",0)</f>
        <v>#REF!</v>
      </c>
      <c r="DW299" t="e">
        <f>IF(#REF!,"AAAAAH999H4=",0)</f>
        <v>#REF!</v>
      </c>
      <c r="DX299" t="e">
        <f>IF(#REF!,"AAAAAH999H8=",0)</f>
        <v>#REF!</v>
      </c>
      <c r="DY299" t="e">
        <f>IF(#REF!,"AAAAAH999IA=",0)</f>
        <v>#REF!</v>
      </c>
      <c r="DZ299" t="e">
        <f>IF(#REF!,"AAAAAH999IE=",0)</f>
        <v>#REF!</v>
      </c>
      <c r="EA299" t="e">
        <f>IF(#REF!,"AAAAAH999II=",0)</f>
        <v>#REF!</v>
      </c>
      <c r="EB299" t="e">
        <f>IF(#REF!,"AAAAAH999IM=",0)</f>
        <v>#REF!</v>
      </c>
      <c r="EC299" t="e">
        <f>IF(#REF!,"AAAAAH999IQ=",0)</f>
        <v>#REF!</v>
      </c>
      <c r="ED299" t="e">
        <f>IF(#REF!,"AAAAAH999IU=",0)</f>
        <v>#REF!</v>
      </c>
      <c r="EE299" t="e">
        <f>IF(#REF!,"AAAAAH999IY=",0)</f>
        <v>#REF!</v>
      </c>
      <c r="EF299" t="e">
        <f>IF(#REF!,"AAAAAH999Ic=",0)</f>
        <v>#REF!</v>
      </c>
      <c r="EG299" t="e">
        <f>IF(#REF!,"AAAAAH999Ig=",0)</f>
        <v>#REF!</v>
      </c>
      <c r="EH299" t="e">
        <f>IF(#REF!,"AAAAAH999Ik=",0)</f>
        <v>#REF!</v>
      </c>
      <c r="EI299" t="e">
        <f>IF(#REF!,"AAAAAH999Io=",0)</f>
        <v>#REF!</v>
      </c>
      <c r="EJ299" t="e">
        <f>IF(#REF!,"AAAAAH999Is=",0)</f>
        <v>#REF!</v>
      </c>
      <c r="EK299" t="e">
        <f>IF(#REF!,"AAAAAH999Iw=",0)</f>
        <v>#REF!</v>
      </c>
      <c r="EL299" t="e">
        <f>IF(#REF!,"AAAAAH999I0=",0)</f>
        <v>#REF!</v>
      </c>
      <c r="EM299" t="e">
        <f>IF(#REF!,"AAAAAH999I4=",0)</f>
        <v>#REF!</v>
      </c>
      <c r="EN299" t="e">
        <f>IF(#REF!,"AAAAAH999I8=",0)</f>
        <v>#REF!</v>
      </c>
      <c r="EO299" t="e">
        <f>IF(#REF!,"AAAAAH999JA=",0)</f>
        <v>#REF!</v>
      </c>
      <c r="EP299" t="e">
        <f>IF(#REF!,"AAAAAH999JE=",0)</f>
        <v>#REF!</v>
      </c>
      <c r="EQ299" t="e">
        <f>IF(#REF!,"AAAAAH999JI=",0)</f>
        <v>#REF!</v>
      </c>
      <c r="ER299" t="e">
        <f>IF(#REF!,"AAAAAH999JM=",0)</f>
        <v>#REF!</v>
      </c>
      <c r="ES299" t="e">
        <f>IF(#REF!,"AAAAAH999JQ=",0)</f>
        <v>#REF!</v>
      </c>
      <c r="ET299" t="e">
        <f>IF(#REF!,"AAAAAH999JU=",0)</f>
        <v>#REF!</v>
      </c>
      <c r="EU299" t="e">
        <f>IF(#REF!,"AAAAAH999JY=",0)</f>
        <v>#REF!</v>
      </c>
      <c r="EV299" t="e">
        <f>IF(#REF!,"AAAAAH999Jc=",0)</f>
        <v>#REF!</v>
      </c>
      <c r="EW299" t="e">
        <f>IF(#REF!,"AAAAAH999Jg=",0)</f>
        <v>#REF!</v>
      </c>
      <c r="EX299" t="e">
        <f>IF(#REF!,"AAAAAH999Jk=",0)</f>
        <v>#REF!</v>
      </c>
      <c r="EY299" t="e">
        <f>IF(#REF!,"AAAAAH999Jo=",0)</f>
        <v>#REF!</v>
      </c>
      <c r="EZ299" t="e">
        <f>IF(#REF!,"AAAAAH999Js=",0)</f>
        <v>#REF!</v>
      </c>
      <c r="FA299" t="e">
        <f>IF(#REF!,"AAAAAH999Jw=",0)</f>
        <v>#REF!</v>
      </c>
      <c r="FB299" t="e">
        <f>IF(#REF!,"AAAAAH999J0=",0)</f>
        <v>#REF!</v>
      </c>
      <c r="FC299" t="e">
        <f>IF(#REF!,"AAAAAH999J4=",0)</f>
        <v>#REF!</v>
      </c>
      <c r="FD299" t="e">
        <f>IF(#REF!,"AAAAAH999J8=",0)</f>
        <v>#REF!</v>
      </c>
      <c r="FE299" t="e">
        <f>IF(#REF!,"AAAAAH999KA=",0)</f>
        <v>#REF!</v>
      </c>
      <c r="FF299" t="e">
        <f>IF(#REF!,"AAAAAH999KE=",0)</f>
        <v>#REF!</v>
      </c>
      <c r="FG299" t="e">
        <f>IF(#REF!,"AAAAAH999KI=",0)</f>
        <v>#REF!</v>
      </c>
      <c r="FH299" t="e">
        <f>IF(#REF!,"AAAAAH999KM=",0)</f>
        <v>#REF!</v>
      </c>
      <c r="FI299" t="e">
        <f>IF(#REF!,"AAAAAH999KQ=",0)</f>
        <v>#REF!</v>
      </c>
      <c r="FJ299" t="e">
        <f>IF(#REF!,"AAAAAH999KU=",0)</f>
        <v>#REF!</v>
      </c>
      <c r="FK299" t="e">
        <f>IF(#REF!,"AAAAAH999KY=",0)</f>
        <v>#REF!</v>
      </c>
      <c r="FL299" t="e">
        <f>IF(#REF!,"AAAAAH999Kc=",0)</f>
        <v>#REF!</v>
      </c>
      <c r="FM299" t="e">
        <f>IF(#REF!,"AAAAAH999Kg=",0)</f>
        <v>#REF!</v>
      </c>
      <c r="FN299" t="e">
        <f>IF(#REF!,"AAAAAH999Kk=",0)</f>
        <v>#REF!</v>
      </c>
      <c r="FO299" t="e">
        <f>IF(#REF!,"AAAAAH999Ko=",0)</f>
        <v>#REF!</v>
      </c>
      <c r="FP299" t="e">
        <f>IF(#REF!,"AAAAAH999Ks=",0)</f>
        <v>#REF!</v>
      </c>
      <c r="FQ299" t="e">
        <f>IF(#REF!,"AAAAAH999Kw=",0)</f>
        <v>#REF!</v>
      </c>
      <c r="FR299" t="e">
        <f>IF(#REF!,"AAAAAH999K0=",0)</f>
        <v>#REF!</v>
      </c>
      <c r="FS299" t="e">
        <f>IF(#REF!,"AAAAAH999K4=",0)</f>
        <v>#REF!</v>
      </c>
      <c r="FT299" t="e">
        <f>IF(#REF!,"AAAAAH999K8=",0)</f>
        <v>#REF!</v>
      </c>
      <c r="FU299" t="e">
        <f>IF(#REF!,"AAAAAH999LA=",0)</f>
        <v>#REF!</v>
      </c>
      <c r="FV299" t="e">
        <f>IF(#REF!,"AAAAAH999LE=",0)</f>
        <v>#REF!</v>
      </c>
      <c r="FW299" t="e">
        <f>IF(#REF!,"AAAAAH999LI=",0)</f>
        <v>#REF!</v>
      </c>
      <c r="FX299" t="e">
        <f>IF(#REF!,"AAAAAH999LM=",0)</f>
        <v>#REF!</v>
      </c>
      <c r="FY299" t="e">
        <f>IF(#REF!,"AAAAAH999LQ=",0)</f>
        <v>#REF!</v>
      </c>
      <c r="FZ299" t="e">
        <f>IF(#REF!,"AAAAAH999LU=",0)</f>
        <v>#REF!</v>
      </c>
      <c r="GA299" t="e">
        <f>IF(#REF!,"AAAAAH999LY=",0)</f>
        <v>#REF!</v>
      </c>
      <c r="GB299" t="e">
        <f>IF(#REF!,"AAAAAH999Lc=",0)</f>
        <v>#REF!</v>
      </c>
      <c r="GC299" t="e">
        <f>IF(#REF!,"AAAAAH999Lg=",0)</f>
        <v>#REF!</v>
      </c>
      <c r="GD299" t="e">
        <f>IF(#REF!,"AAAAAH999Lk=",0)</f>
        <v>#REF!</v>
      </c>
      <c r="GE299" t="e">
        <f>IF(#REF!,"AAAAAH999Lo=",0)</f>
        <v>#REF!</v>
      </c>
      <c r="GF299" t="e">
        <f>IF(#REF!,"AAAAAH999Ls=",0)</f>
        <v>#REF!</v>
      </c>
      <c r="GG299" t="e">
        <f>IF(#REF!,"AAAAAH999Lw=",0)</f>
        <v>#REF!</v>
      </c>
      <c r="GH299" t="e">
        <f>IF(#REF!,"AAAAAH999L0=",0)</f>
        <v>#REF!</v>
      </c>
      <c r="GI299" t="e">
        <f>IF(#REF!,"AAAAAH999L4=",0)</f>
        <v>#REF!</v>
      </c>
      <c r="GJ299" t="e">
        <f>IF(#REF!,"AAAAAH999L8=",0)</f>
        <v>#REF!</v>
      </c>
      <c r="GK299" t="e">
        <f>IF(#REF!,"AAAAAH999MA=",0)</f>
        <v>#REF!</v>
      </c>
      <c r="GL299" t="e">
        <f>IF(#REF!,"AAAAAH999ME=",0)</f>
        <v>#REF!</v>
      </c>
      <c r="GM299" t="e">
        <f>IF(#REF!,"AAAAAH999MI=",0)</f>
        <v>#REF!</v>
      </c>
      <c r="GN299" t="e">
        <f>IF(#REF!,"AAAAAH999MM=",0)</f>
        <v>#REF!</v>
      </c>
      <c r="GO299" t="e">
        <f>IF(#REF!,"AAAAAH999MQ=",0)</f>
        <v>#REF!</v>
      </c>
      <c r="GP299" t="e">
        <f>IF(#REF!,"AAAAAH999MU=",0)</f>
        <v>#REF!</v>
      </c>
      <c r="GQ299" t="e">
        <f>IF(#REF!,"AAAAAH999MY=",0)</f>
        <v>#REF!</v>
      </c>
      <c r="GR299" t="e">
        <f>IF(#REF!,"AAAAAH999Mc=",0)</f>
        <v>#REF!</v>
      </c>
      <c r="GS299" t="e">
        <f>IF(#REF!,"AAAAAH999Mg=",0)</f>
        <v>#REF!</v>
      </c>
      <c r="GT299" t="e">
        <f>IF(#REF!,"AAAAAH999Mk=",0)</f>
        <v>#REF!</v>
      </c>
      <c r="GU299" t="e">
        <f>IF(#REF!,"AAAAAH999Mo=",0)</f>
        <v>#REF!</v>
      </c>
      <c r="GV299" t="e">
        <f>IF(#REF!,"AAAAAH999Ms=",0)</f>
        <v>#REF!</v>
      </c>
      <c r="GW299" t="e">
        <f>IF(#REF!,"AAAAAH999Mw=",0)</f>
        <v>#REF!</v>
      </c>
      <c r="GX299" t="e">
        <f>IF(#REF!,"AAAAAH999M0=",0)</f>
        <v>#REF!</v>
      </c>
      <c r="GY299" t="e">
        <f>IF(#REF!,"AAAAAH999M4=",0)</f>
        <v>#REF!</v>
      </c>
      <c r="GZ299" t="e">
        <f>IF(#REF!,"AAAAAH999M8=",0)</f>
        <v>#REF!</v>
      </c>
      <c r="HA299" t="e">
        <f>IF(#REF!,"AAAAAH999NA=",0)</f>
        <v>#REF!</v>
      </c>
      <c r="HB299" t="e">
        <f>IF(#REF!,"AAAAAH999NE=",0)</f>
        <v>#REF!</v>
      </c>
      <c r="HC299" t="e">
        <f>IF(#REF!,"AAAAAH999NI=",0)</f>
        <v>#REF!</v>
      </c>
      <c r="HD299" t="e">
        <f>IF(#REF!,"AAAAAH999NM=",0)</f>
        <v>#REF!</v>
      </c>
      <c r="HE299" t="e">
        <f>IF(#REF!,"AAAAAH999NQ=",0)</f>
        <v>#REF!</v>
      </c>
      <c r="HF299" t="e">
        <f>IF(#REF!,"AAAAAH999NU=",0)</f>
        <v>#REF!</v>
      </c>
      <c r="HG299" t="e">
        <f>IF(#REF!,"AAAAAH999NY=",0)</f>
        <v>#REF!</v>
      </c>
      <c r="HH299" t="e">
        <f>IF(#REF!,"AAAAAH999Nc=",0)</f>
        <v>#REF!</v>
      </c>
      <c r="HI299" t="e">
        <f>IF(#REF!,"AAAAAH999Ng=",0)</f>
        <v>#REF!</v>
      </c>
      <c r="HJ299" t="e">
        <f>IF(#REF!,"AAAAAH999Nk=",0)</f>
        <v>#REF!</v>
      </c>
      <c r="HK299" t="e">
        <f>IF(#REF!,"AAAAAH999No=",0)</f>
        <v>#REF!</v>
      </c>
      <c r="HL299" t="e">
        <f>IF(#REF!,"AAAAAH999Ns=",0)</f>
        <v>#REF!</v>
      </c>
      <c r="HM299" t="e">
        <f>IF(#REF!,"AAAAAH999Nw=",0)</f>
        <v>#REF!</v>
      </c>
      <c r="HN299" t="e">
        <f>IF(#REF!,"AAAAAH999N0=",0)</f>
        <v>#REF!</v>
      </c>
      <c r="HO299" t="e">
        <f>IF(#REF!,"AAAAAH999N4=",0)</f>
        <v>#REF!</v>
      </c>
      <c r="HP299" t="e">
        <f>IF(#REF!,"AAAAAH999N8=",0)</f>
        <v>#REF!</v>
      </c>
      <c r="HQ299" t="e">
        <f>IF(#REF!,"AAAAAH999OA=",0)</f>
        <v>#REF!</v>
      </c>
      <c r="HR299" t="e">
        <f>IF(#REF!,"AAAAAH999OE=",0)</f>
        <v>#REF!</v>
      </c>
      <c r="HS299" t="e">
        <f>IF(#REF!,"AAAAAH999OI=",0)</f>
        <v>#REF!</v>
      </c>
      <c r="HT299" t="e">
        <f>IF(#REF!,"AAAAAH999OM=",0)</f>
        <v>#REF!</v>
      </c>
      <c r="HU299" t="e">
        <f>IF(#REF!,"AAAAAH999OQ=",0)</f>
        <v>#REF!</v>
      </c>
      <c r="HV299" t="e">
        <f>IF(#REF!,"AAAAAH999OU=",0)</f>
        <v>#REF!</v>
      </c>
      <c r="HW299" t="e">
        <f>IF(#REF!,"AAAAAH999OY=",0)</f>
        <v>#REF!</v>
      </c>
      <c r="HX299" t="e">
        <f>IF(#REF!,"AAAAAH999Oc=",0)</f>
        <v>#REF!</v>
      </c>
      <c r="HY299" t="e">
        <f>IF(#REF!,"AAAAAH999Og=",0)</f>
        <v>#REF!</v>
      </c>
      <c r="HZ299" t="e">
        <f>IF(#REF!,"AAAAAH999Ok=",0)</f>
        <v>#REF!</v>
      </c>
      <c r="IA299" t="e">
        <f>IF(#REF!,"AAAAAH999Oo=",0)</f>
        <v>#REF!</v>
      </c>
      <c r="IB299" t="e">
        <f>IF(#REF!,"AAAAAH999Os=",0)</f>
        <v>#REF!</v>
      </c>
      <c r="IC299" t="e">
        <f>IF(#REF!,"AAAAAH999Ow=",0)</f>
        <v>#REF!</v>
      </c>
      <c r="ID299" t="e">
        <f>IF(#REF!,"AAAAAH999O0=",0)</f>
        <v>#REF!</v>
      </c>
      <c r="IE299" t="e">
        <f>IF(#REF!,"AAAAAH999O4=",0)</f>
        <v>#REF!</v>
      </c>
      <c r="IF299" t="e">
        <f>IF(#REF!,"AAAAAH999O8=",0)</f>
        <v>#REF!</v>
      </c>
      <c r="IG299" t="e">
        <f>IF(#REF!,"AAAAAH999PA=",0)</f>
        <v>#REF!</v>
      </c>
      <c r="IH299" t="e">
        <f>IF(#REF!,"AAAAAH999PE=",0)</f>
        <v>#REF!</v>
      </c>
      <c r="II299" t="e">
        <f>IF(#REF!,"AAAAAH999PI=",0)</f>
        <v>#REF!</v>
      </c>
      <c r="IJ299" t="e">
        <f>IF(#REF!,"AAAAAH999PM=",0)</f>
        <v>#REF!</v>
      </c>
      <c r="IK299" t="e">
        <f>IF(#REF!,"AAAAAH999PQ=",0)</f>
        <v>#REF!</v>
      </c>
      <c r="IL299" t="e">
        <f>IF(#REF!,"AAAAAH999PU=",0)</f>
        <v>#REF!</v>
      </c>
      <c r="IM299" t="e">
        <f>IF(#REF!,"AAAAAH999PY=",0)</f>
        <v>#REF!</v>
      </c>
      <c r="IN299" t="e">
        <f>IF(#REF!,"AAAAAH999Pc=",0)</f>
        <v>#REF!</v>
      </c>
      <c r="IO299" t="e">
        <f>IF(#REF!,"AAAAAH999Pg=",0)</f>
        <v>#REF!</v>
      </c>
      <c r="IP299" t="e">
        <f>IF(#REF!,"AAAAAH999Pk=",0)</f>
        <v>#REF!</v>
      </c>
      <c r="IQ299" t="e">
        <f>IF(#REF!,"AAAAAH999Po=",0)</f>
        <v>#REF!</v>
      </c>
      <c r="IR299" t="e">
        <f>IF(#REF!,"AAAAAH999Ps=",0)</f>
        <v>#REF!</v>
      </c>
      <c r="IS299" t="e">
        <f>IF(#REF!,"AAAAAH999Pw=",0)</f>
        <v>#REF!</v>
      </c>
      <c r="IT299" t="e">
        <f>IF(#REF!,"AAAAAH999P0=",0)</f>
        <v>#REF!</v>
      </c>
      <c r="IU299" t="e">
        <f>IF(#REF!,"AAAAAH999P4=",0)</f>
        <v>#REF!</v>
      </c>
      <c r="IV299" t="e">
        <f>IF(#REF!,"AAAAAH999P8=",0)</f>
        <v>#REF!</v>
      </c>
    </row>
    <row r="300" spans="1:256">
      <c r="A300" t="e">
        <f>IF(#REF!,"AAAAAD/6PAA=",0)</f>
        <v>#REF!</v>
      </c>
      <c r="B300" t="e">
        <f>IF(#REF!,"AAAAAD/6PAE=",0)</f>
        <v>#REF!</v>
      </c>
      <c r="C300" t="e">
        <f>IF(#REF!,"AAAAAD/6PAI=",0)</f>
        <v>#REF!</v>
      </c>
      <c r="D300" t="e">
        <f>IF(#REF!,"AAAAAD/6PAM=",0)</f>
        <v>#REF!</v>
      </c>
      <c r="E300" t="e">
        <f>IF(#REF!,"AAAAAD/6PAQ=",0)</f>
        <v>#REF!</v>
      </c>
      <c r="F300" t="e">
        <f>IF(#REF!,"AAAAAD/6PAU=",0)</f>
        <v>#REF!</v>
      </c>
      <c r="G300" t="e">
        <f>IF(#REF!,"AAAAAD/6PAY=",0)</f>
        <v>#REF!</v>
      </c>
      <c r="H300" t="e">
        <f>IF(#REF!,"AAAAAD/6PAc=",0)</f>
        <v>#REF!</v>
      </c>
      <c r="I300" t="e">
        <f>IF(#REF!,"AAAAAD/6PAg=",0)</f>
        <v>#REF!</v>
      </c>
      <c r="J300" t="e">
        <f>IF(#REF!,"AAAAAD/6PAk=",0)</f>
        <v>#REF!</v>
      </c>
      <c r="K300" t="e">
        <f>IF(#REF!,"AAAAAD/6PAo=",0)</f>
        <v>#REF!</v>
      </c>
      <c r="L300" t="e">
        <f>IF(#REF!,"AAAAAD/6PAs=",0)</f>
        <v>#REF!</v>
      </c>
      <c r="M300" t="e">
        <f>IF(#REF!,"AAAAAD/6PAw=",0)</f>
        <v>#REF!</v>
      </c>
      <c r="N300" t="e">
        <f>IF(#REF!,"AAAAAD/6PA0=",0)</f>
        <v>#REF!</v>
      </c>
      <c r="O300" t="e">
        <f>IF(#REF!,"AAAAAD/6PA4=",0)</f>
        <v>#REF!</v>
      </c>
      <c r="P300" t="e">
        <f>IF(#REF!,"AAAAAD/6PA8=",0)</f>
        <v>#REF!</v>
      </c>
      <c r="Q300" t="e">
        <f>IF(#REF!,"AAAAAD/6PBA=",0)</f>
        <v>#REF!</v>
      </c>
      <c r="R300" t="e">
        <f>IF(#REF!,"AAAAAD/6PBE=",0)</f>
        <v>#REF!</v>
      </c>
      <c r="S300" t="e">
        <f>IF(#REF!,"AAAAAD/6PBI=",0)</f>
        <v>#REF!</v>
      </c>
      <c r="T300" t="e">
        <f>IF(#REF!,"AAAAAD/6PBM=",0)</f>
        <v>#REF!</v>
      </c>
      <c r="U300" t="e">
        <f>IF(#REF!,"AAAAAD/6PBQ=",0)</f>
        <v>#REF!</v>
      </c>
      <c r="V300" t="e">
        <f>IF(#REF!,"AAAAAD/6PBU=",0)</f>
        <v>#REF!</v>
      </c>
      <c r="W300" t="e">
        <f>IF(#REF!,"AAAAAD/6PBY=",0)</f>
        <v>#REF!</v>
      </c>
      <c r="X300" t="e">
        <f>IF(#REF!,"AAAAAD/6PBc=",0)</f>
        <v>#REF!</v>
      </c>
      <c r="Y300" t="e">
        <f>IF(#REF!,"AAAAAD/6PBg=",0)</f>
        <v>#REF!</v>
      </c>
      <c r="Z300" t="e">
        <f>IF(#REF!,"AAAAAD/6PBk=",0)</f>
        <v>#REF!</v>
      </c>
      <c r="AA300" t="e">
        <f>IF(#REF!,"AAAAAD/6PBo=",0)</f>
        <v>#REF!</v>
      </c>
      <c r="AB300" t="e">
        <f>IF(#REF!,"AAAAAD/6PBs=",0)</f>
        <v>#REF!</v>
      </c>
      <c r="AC300" t="e">
        <f>IF(#REF!,"AAAAAD/6PBw=",0)</f>
        <v>#REF!</v>
      </c>
      <c r="AD300" t="e">
        <f>IF(#REF!,"AAAAAD/6PB0=",0)</f>
        <v>#REF!</v>
      </c>
      <c r="AE300" t="e">
        <f>IF(#REF!,"AAAAAD/6PB4=",0)</f>
        <v>#REF!</v>
      </c>
      <c r="AF300" t="e">
        <f>IF(#REF!,"AAAAAD/6PB8=",0)</f>
        <v>#REF!</v>
      </c>
      <c r="AG300" t="e">
        <f>IF(#REF!,"AAAAAD/6PCA=",0)</f>
        <v>#REF!</v>
      </c>
      <c r="AH300" t="e">
        <f>IF(#REF!,"AAAAAD/6PCE=",0)</f>
        <v>#REF!</v>
      </c>
      <c r="AI300" t="e">
        <f>IF(#REF!,"AAAAAD/6PCI=",0)</f>
        <v>#REF!</v>
      </c>
      <c r="AJ300" t="e">
        <f>IF(#REF!,"AAAAAD/6PCM=",0)</f>
        <v>#REF!</v>
      </c>
      <c r="AK300" t="e">
        <f>IF(#REF!,"AAAAAD/6PCQ=",0)</f>
        <v>#REF!</v>
      </c>
      <c r="AL300" t="e">
        <f>IF(#REF!,"AAAAAD/6PCU=",0)</f>
        <v>#REF!</v>
      </c>
      <c r="AM300" t="e">
        <f>IF(#REF!,"AAAAAD/6PCY=",0)</f>
        <v>#REF!</v>
      </c>
      <c r="AN300" t="e">
        <f>IF(#REF!,"AAAAAD/6PCc=",0)</f>
        <v>#REF!</v>
      </c>
      <c r="AO300" t="e">
        <f>IF(#REF!,"AAAAAD/6PCg=",0)</f>
        <v>#REF!</v>
      </c>
      <c r="AP300" t="e">
        <f>IF(#REF!,"AAAAAD/6PCk=",0)</f>
        <v>#REF!</v>
      </c>
      <c r="AQ300" t="e">
        <f>IF(#REF!,"AAAAAD/6PCo=",0)</f>
        <v>#REF!</v>
      </c>
      <c r="AR300" t="e">
        <f>IF(#REF!,"AAAAAD/6PCs=",0)</f>
        <v>#REF!</v>
      </c>
      <c r="AS300" t="e">
        <f>IF(#REF!,"AAAAAD/6PCw=",0)</f>
        <v>#REF!</v>
      </c>
      <c r="AT300" t="e">
        <f>IF(#REF!,"AAAAAD/6PC0=",0)</f>
        <v>#REF!</v>
      </c>
      <c r="AU300" t="e">
        <f>IF(#REF!,"AAAAAD/6PC4=",0)</f>
        <v>#REF!</v>
      </c>
      <c r="AV300" t="e">
        <f>IF(#REF!,"AAAAAD/6PC8=",0)</f>
        <v>#REF!</v>
      </c>
      <c r="AW300" t="e">
        <f>IF(#REF!,"AAAAAD/6PDA=",0)</f>
        <v>#REF!</v>
      </c>
      <c r="AX300" t="e">
        <f>IF(#REF!,"AAAAAD/6PDE=",0)</f>
        <v>#REF!</v>
      </c>
      <c r="AY300" t="e">
        <f>IF(#REF!,"AAAAAD/6PDI=",0)</f>
        <v>#REF!</v>
      </c>
      <c r="AZ300" t="e">
        <f>IF(#REF!,"AAAAAD/6PDM=",0)</f>
        <v>#REF!</v>
      </c>
      <c r="BA300" t="e">
        <f>IF(#REF!,"AAAAAD/6PDQ=",0)</f>
        <v>#REF!</v>
      </c>
      <c r="BB300" t="e">
        <f>IF(#REF!,"AAAAAD/6PDU=",0)</f>
        <v>#REF!</v>
      </c>
      <c r="BC300" t="e">
        <f>IF(#REF!,"AAAAAD/6PDY=",0)</f>
        <v>#REF!</v>
      </c>
      <c r="BD300" t="e">
        <f>IF(#REF!,"AAAAAD/6PDc=",0)</f>
        <v>#REF!</v>
      </c>
      <c r="BE300" t="e">
        <f>IF(#REF!,"AAAAAD/6PDg=",0)</f>
        <v>#REF!</v>
      </c>
      <c r="BF300" t="e">
        <f>IF(#REF!,"AAAAAD/6PDk=",0)</f>
        <v>#REF!</v>
      </c>
      <c r="BG300" t="e">
        <f>IF(#REF!,"AAAAAD/6PDo=",0)</f>
        <v>#REF!</v>
      </c>
      <c r="BH300" t="e">
        <f>IF(#REF!,"AAAAAD/6PDs=",0)</f>
        <v>#REF!</v>
      </c>
      <c r="BI300" t="e">
        <f>IF(#REF!,"AAAAAD/6PDw=",0)</f>
        <v>#REF!</v>
      </c>
      <c r="BJ300" t="e">
        <f>IF(#REF!,"AAAAAD/6PD0=",0)</f>
        <v>#REF!</v>
      </c>
      <c r="BK300" t="e">
        <f>IF(#REF!,"AAAAAD/6PD4=",0)</f>
        <v>#REF!</v>
      </c>
      <c r="BL300" t="e">
        <f>IF(#REF!,"AAAAAD/6PD8=",0)</f>
        <v>#REF!</v>
      </c>
      <c r="BM300" t="e">
        <f>IF(#REF!,"AAAAAD/6PEA=",0)</f>
        <v>#REF!</v>
      </c>
      <c r="BN300" t="e">
        <f>IF(#REF!,"AAAAAD/6PEE=",0)</f>
        <v>#REF!</v>
      </c>
      <c r="BO300" t="e">
        <f>IF(#REF!,"AAAAAD/6PEI=",0)</f>
        <v>#REF!</v>
      </c>
      <c r="BP300" t="e">
        <f>IF(#REF!,"AAAAAD/6PEM=",0)</f>
        <v>#REF!</v>
      </c>
      <c r="BQ300" t="e">
        <f>IF(#REF!,"AAAAAD/6PEQ=",0)</f>
        <v>#REF!</v>
      </c>
      <c r="BR300" t="e">
        <f>IF(#REF!,"AAAAAD/6PEU=",0)</f>
        <v>#REF!</v>
      </c>
      <c r="BS300" t="e">
        <f>IF(#REF!,"AAAAAD/6PEY=",0)</f>
        <v>#REF!</v>
      </c>
      <c r="BT300" t="e">
        <f>IF(#REF!,"AAAAAD/6PEc=",0)</f>
        <v>#REF!</v>
      </c>
      <c r="BU300" t="e">
        <f>IF(#REF!,"AAAAAD/6PEg=",0)</f>
        <v>#REF!</v>
      </c>
      <c r="BV300" t="e">
        <f>IF(#REF!,"AAAAAD/6PEk=",0)</f>
        <v>#REF!</v>
      </c>
      <c r="BW300" t="e">
        <f>IF(#REF!,"AAAAAD/6PEo=",0)</f>
        <v>#REF!</v>
      </c>
      <c r="BX300" t="e">
        <f>IF(#REF!,"AAAAAD/6PEs=",0)</f>
        <v>#REF!</v>
      </c>
      <c r="BY300" t="e">
        <f>IF(#REF!,"AAAAAD/6PEw=",0)</f>
        <v>#REF!</v>
      </c>
      <c r="BZ300" t="e">
        <f>IF(#REF!,"AAAAAD/6PE0=",0)</f>
        <v>#REF!</v>
      </c>
      <c r="CA300" t="e">
        <f>IF(#REF!,"AAAAAD/6PE4=",0)</f>
        <v>#REF!</v>
      </c>
      <c r="CB300" t="e">
        <f>IF(#REF!,"AAAAAD/6PE8=",0)</f>
        <v>#REF!</v>
      </c>
      <c r="CC300" t="e">
        <f>IF(#REF!,"AAAAAD/6PFA=",0)</f>
        <v>#REF!</v>
      </c>
      <c r="CD300" t="e">
        <f>IF(#REF!,"AAAAAD/6PFE=",0)</f>
        <v>#REF!</v>
      </c>
      <c r="CE300" t="e">
        <f>IF(#REF!,"AAAAAD/6PFI=",0)</f>
        <v>#REF!</v>
      </c>
      <c r="CF300" t="e">
        <f>IF(#REF!,"AAAAAD/6PFM=",0)</f>
        <v>#REF!</v>
      </c>
      <c r="CG300" t="e">
        <f>IF(#REF!,"AAAAAD/6PFQ=",0)</f>
        <v>#REF!</v>
      </c>
      <c r="CH300" t="e">
        <f>IF(#REF!,"AAAAAD/6PFU=",0)</f>
        <v>#REF!</v>
      </c>
      <c r="CI300" t="e">
        <f>IF(#REF!,"AAAAAD/6PFY=",0)</f>
        <v>#REF!</v>
      </c>
      <c r="CJ300" t="e">
        <f>IF(#REF!,"AAAAAD/6PFc=",0)</f>
        <v>#REF!</v>
      </c>
      <c r="CK300" t="e">
        <f>IF(#REF!,"AAAAAD/6PFg=",0)</f>
        <v>#REF!</v>
      </c>
      <c r="CL300" t="e">
        <f>IF(#REF!,"AAAAAD/6PFk=",0)</f>
        <v>#REF!</v>
      </c>
      <c r="CM300" t="e">
        <f>IF(#REF!,"AAAAAD/6PFo=",0)</f>
        <v>#REF!</v>
      </c>
      <c r="CN300" t="e">
        <f>IF(#REF!,"AAAAAD/6PFs=",0)</f>
        <v>#REF!</v>
      </c>
      <c r="CO300" t="e">
        <f>IF(#REF!,"AAAAAD/6PFw=",0)</f>
        <v>#REF!</v>
      </c>
      <c r="CP300" t="e">
        <f>IF(#REF!,"AAAAAD/6PF0=",0)</f>
        <v>#REF!</v>
      </c>
      <c r="CQ300" t="e">
        <f>IF(#REF!,"AAAAAD/6PF4=",0)</f>
        <v>#REF!</v>
      </c>
      <c r="CR300" t="e">
        <f>IF(#REF!,"AAAAAD/6PF8=",0)</f>
        <v>#REF!</v>
      </c>
      <c r="CS300" t="e">
        <f>IF(#REF!,"AAAAAD/6PGA=",0)</f>
        <v>#REF!</v>
      </c>
      <c r="CT300" t="e">
        <f>IF(#REF!,"AAAAAD/6PGE=",0)</f>
        <v>#REF!</v>
      </c>
      <c r="CU300" t="e">
        <f>IF(#REF!,"AAAAAD/6PGI=",0)</f>
        <v>#REF!</v>
      </c>
      <c r="CV300" t="e">
        <f>IF(#REF!,"AAAAAD/6PGM=",0)</f>
        <v>#REF!</v>
      </c>
      <c r="CW300" t="e">
        <f>IF(#REF!,"AAAAAD/6PGQ=",0)</f>
        <v>#REF!</v>
      </c>
      <c r="CX300" t="e">
        <f>IF(#REF!,"AAAAAD/6PGU=",0)</f>
        <v>#REF!</v>
      </c>
      <c r="CY300" t="e">
        <f>IF(#REF!,"AAAAAD/6PGY=",0)</f>
        <v>#REF!</v>
      </c>
      <c r="CZ300" t="e">
        <f>IF(#REF!,"AAAAAD/6PGc=",0)</f>
        <v>#REF!</v>
      </c>
      <c r="DA300" t="e">
        <f>IF(#REF!,"AAAAAD/6PGg=",0)</f>
        <v>#REF!</v>
      </c>
      <c r="DB300" t="e">
        <f>IF(#REF!,"AAAAAD/6PGk=",0)</f>
        <v>#REF!</v>
      </c>
      <c r="DC300" t="e">
        <f>IF(#REF!,"AAAAAD/6PGo=",0)</f>
        <v>#REF!</v>
      </c>
      <c r="DD300" t="e">
        <f>IF(#REF!,"AAAAAD/6PGs=",0)</f>
        <v>#REF!</v>
      </c>
      <c r="DE300" t="e">
        <f>IF(#REF!,"AAAAAD/6PGw=",0)</f>
        <v>#REF!</v>
      </c>
      <c r="DF300" t="e">
        <f>IF(#REF!,"AAAAAD/6PG0=",0)</f>
        <v>#REF!</v>
      </c>
      <c r="DG300" t="e">
        <f>IF(#REF!,"AAAAAD/6PG4=",0)</f>
        <v>#REF!</v>
      </c>
      <c r="DH300" t="e">
        <f>IF(#REF!,"AAAAAD/6PG8=",0)</f>
        <v>#REF!</v>
      </c>
      <c r="DI300" t="e">
        <f>IF(#REF!,"AAAAAD/6PHA=",0)</f>
        <v>#REF!</v>
      </c>
      <c r="DJ300" t="e">
        <f>IF(#REF!,"AAAAAD/6PHE=",0)</f>
        <v>#REF!</v>
      </c>
      <c r="DK300" t="e">
        <f>IF(#REF!,"AAAAAD/6PHI=",0)</f>
        <v>#REF!</v>
      </c>
      <c r="DL300" t="e">
        <f>IF(#REF!,"AAAAAD/6PHM=",0)</f>
        <v>#REF!</v>
      </c>
      <c r="DM300" t="e">
        <f>IF(#REF!,"AAAAAD/6PHQ=",0)</f>
        <v>#REF!</v>
      </c>
      <c r="DN300" t="e">
        <f>IF(#REF!,"AAAAAD/6PHU=",0)</f>
        <v>#REF!</v>
      </c>
      <c r="DO300" t="e">
        <f>IF(#REF!,"AAAAAD/6PHY=",0)</f>
        <v>#REF!</v>
      </c>
      <c r="DP300" t="e">
        <f>IF(#REF!,"AAAAAD/6PHc=",0)</f>
        <v>#REF!</v>
      </c>
      <c r="DQ300" t="e">
        <f>IF(#REF!,"AAAAAD/6PHg=",0)</f>
        <v>#REF!</v>
      </c>
      <c r="DR300" t="e">
        <f>IF(#REF!,"AAAAAD/6PHk=",0)</f>
        <v>#REF!</v>
      </c>
      <c r="DS300" t="e">
        <f>IF(#REF!,"AAAAAD/6PHo=",0)</f>
        <v>#REF!</v>
      </c>
      <c r="DT300" t="e">
        <f>IF(#REF!,"AAAAAD/6PHs=",0)</f>
        <v>#REF!</v>
      </c>
      <c r="DU300" t="e">
        <f>IF(#REF!,"AAAAAD/6PHw=",0)</f>
        <v>#REF!</v>
      </c>
      <c r="DV300" t="e">
        <f>IF(#REF!,"AAAAAD/6PH0=",0)</f>
        <v>#REF!</v>
      </c>
      <c r="DW300" t="e">
        <f>IF(#REF!,"AAAAAD/6PH4=",0)</f>
        <v>#REF!</v>
      </c>
      <c r="DX300" t="e">
        <f>IF(#REF!,"AAAAAD/6PH8=",0)</f>
        <v>#REF!</v>
      </c>
      <c r="DY300" t="e">
        <f>IF(#REF!,"AAAAAD/6PIA=",0)</f>
        <v>#REF!</v>
      </c>
      <c r="DZ300" t="e">
        <f>IF(#REF!,"AAAAAD/6PIE=",0)</f>
        <v>#REF!</v>
      </c>
      <c r="EA300" t="e">
        <f>IF(#REF!,"AAAAAD/6PII=",0)</f>
        <v>#REF!</v>
      </c>
      <c r="EB300" t="e">
        <f>IF(#REF!,"AAAAAD/6PIM=",0)</f>
        <v>#REF!</v>
      </c>
      <c r="EC300" t="e">
        <f>IF(#REF!,"AAAAAD/6PIQ=",0)</f>
        <v>#REF!</v>
      </c>
      <c r="ED300" t="e">
        <f>IF(#REF!,"AAAAAD/6PIU=",0)</f>
        <v>#REF!</v>
      </c>
      <c r="EE300" t="e">
        <f>IF(#REF!,"AAAAAD/6PIY=",0)</f>
        <v>#REF!</v>
      </c>
      <c r="EF300" t="e">
        <f>IF(#REF!,"AAAAAD/6PIc=",0)</f>
        <v>#REF!</v>
      </c>
      <c r="EG300" t="e">
        <f>IF(#REF!,"AAAAAD/6PIg=",0)</f>
        <v>#REF!</v>
      </c>
      <c r="EH300" t="e">
        <f>IF(#REF!,"AAAAAD/6PIk=",0)</f>
        <v>#REF!</v>
      </c>
      <c r="EI300" t="e">
        <f>IF(#REF!,"AAAAAD/6PIo=",0)</f>
        <v>#REF!</v>
      </c>
      <c r="EJ300" t="e">
        <f>IF(#REF!,"AAAAAD/6PIs=",0)</f>
        <v>#REF!</v>
      </c>
      <c r="EK300" t="e">
        <f>IF(#REF!,"AAAAAD/6PIw=",0)</f>
        <v>#REF!</v>
      </c>
      <c r="EL300" t="e">
        <f>IF(#REF!,"AAAAAD/6PI0=",0)</f>
        <v>#REF!</v>
      </c>
      <c r="EM300" t="e">
        <f>IF(#REF!,"AAAAAD/6PI4=",0)</f>
        <v>#REF!</v>
      </c>
      <c r="EN300" t="e">
        <f>IF(#REF!,"AAAAAD/6PI8=",0)</f>
        <v>#REF!</v>
      </c>
      <c r="EO300" t="e">
        <f>IF(#REF!,"AAAAAD/6PJA=",0)</f>
        <v>#REF!</v>
      </c>
      <c r="EP300" t="e">
        <f>IF(#REF!,"AAAAAD/6PJE=",0)</f>
        <v>#REF!</v>
      </c>
      <c r="EQ300" t="e">
        <f>IF(#REF!,"AAAAAD/6PJI=",0)</f>
        <v>#REF!</v>
      </c>
      <c r="ER300" t="e">
        <f>IF(#REF!,"AAAAAD/6PJM=",0)</f>
        <v>#REF!</v>
      </c>
      <c r="ES300" t="e">
        <f>IF(#REF!,"AAAAAD/6PJQ=",0)</f>
        <v>#REF!</v>
      </c>
      <c r="ET300" t="e">
        <f>IF(#REF!,"AAAAAD/6PJU=",0)</f>
        <v>#REF!</v>
      </c>
      <c r="EU300" t="e">
        <f>IF(#REF!,"AAAAAD/6PJY=",0)</f>
        <v>#REF!</v>
      </c>
      <c r="EV300" t="e">
        <f>IF(#REF!,"AAAAAD/6PJc=",0)</f>
        <v>#REF!</v>
      </c>
      <c r="EW300" t="e">
        <f>IF(#REF!,"AAAAAD/6PJg=",0)</f>
        <v>#REF!</v>
      </c>
      <c r="EX300" t="e">
        <f>IF(#REF!,"AAAAAD/6PJk=",0)</f>
        <v>#REF!</v>
      </c>
      <c r="EY300" t="e">
        <f>IF(#REF!,"AAAAAD/6PJo=",0)</f>
        <v>#REF!</v>
      </c>
      <c r="EZ300" t="e">
        <f>IF(#REF!,"AAAAAD/6PJs=",0)</f>
        <v>#REF!</v>
      </c>
      <c r="FA300" t="e">
        <f>IF(#REF!,"AAAAAD/6PJw=",0)</f>
        <v>#REF!</v>
      </c>
      <c r="FB300" t="e">
        <f>IF(#REF!,"AAAAAD/6PJ0=",0)</f>
        <v>#REF!</v>
      </c>
      <c r="FC300" t="e">
        <f>IF(#REF!,"AAAAAD/6PJ4=",0)</f>
        <v>#REF!</v>
      </c>
      <c r="FD300" t="e">
        <f>IF(#REF!,"AAAAAD/6PJ8=",0)</f>
        <v>#REF!</v>
      </c>
      <c r="FE300" t="e">
        <f>IF(#REF!,"AAAAAD/6PKA=",0)</f>
        <v>#REF!</v>
      </c>
      <c r="FF300" t="e">
        <f>IF(#REF!,"AAAAAD/6PKE=",0)</f>
        <v>#REF!</v>
      </c>
      <c r="FG300" t="e">
        <f>IF(#REF!,"AAAAAD/6PKI=",0)</f>
        <v>#REF!</v>
      </c>
      <c r="FH300" t="e">
        <f>IF(#REF!,"AAAAAD/6PKM=",0)</f>
        <v>#REF!</v>
      </c>
      <c r="FI300" t="e">
        <f>IF(#REF!,"AAAAAD/6PKQ=",0)</f>
        <v>#REF!</v>
      </c>
      <c r="FJ300" t="e">
        <f>IF(#REF!,"AAAAAD/6PKU=",0)</f>
        <v>#REF!</v>
      </c>
      <c r="FK300" t="e">
        <f>IF(#REF!,"AAAAAD/6PKY=",0)</f>
        <v>#REF!</v>
      </c>
      <c r="FL300" t="e">
        <f>IF(#REF!,"AAAAAD/6PKc=",0)</f>
        <v>#REF!</v>
      </c>
      <c r="FM300" t="e">
        <f>IF(#REF!,"AAAAAD/6PKg=",0)</f>
        <v>#REF!</v>
      </c>
      <c r="FN300" t="e">
        <f>IF(#REF!,"AAAAAD/6PKk=",0)</f>
        <v>#REF!</v>
      </c>
      <c r="FO300" t="e">
        <f>IF(#REF!,"AAAAAD/6PKo=",0)</f>
        <v>#REF!</v>
      </c>
      <c r="FP300" t="e">
        <f>IF(#REF!,"AAAAAD/6PKs=",0)</f>
        <v>#REF!</v>
      </c>
      <c r="FQ300" t="e">
        <f>IF(#REF!,"AAAAAD/6PKw=",0)</f>
        <v>#REF!</v>
      </c>
      <c r="FR300" t="e">
        <f>IF(#REF!,"AAAAAD/6PK0=",0)</f>
        <v>#REF!</v>
      </c>
      <c r="FS300" t="e">
        <f>IF(#REF!,"AAAAAD/6PK4=",0)</f>
        <v>#REF!</v>
      </c>
      <c r="FT300" t="e">
        <f>IF(#REF!,"AAAAAD/6PK8=",0)</f>
        <v>#REF!</v>
      </c>
      <c r="FU300" t="e">
        <f>IF(#REF!,"AAAAAD/6PLA=",0)</f>
        <v>#REF!</v>
      </c>
      <c r="FV300" t="e">
        <f>IF(#REF!,"AAAAAD/6PLE=",0)</f>
        <v>#REF!</v>
      </c>
      <c r="FW300" t="e">
        <f>IF(#REF!,"AAAAAD/6PLI=",0)</f>
        <v>#REF!</v>
      </c>
      <c r="FX300" t="e">
        <f>IF(#REF!,"AAAAAD/6PLM=",0)</f>
        <v>#REF!</v>
      </c>
      <c r="FY300" t="e">
        <f>IF(#REF!,"AAAAAD/6PLQ=",0)</f>
        <v>#REF!</v>
      </c>
      <c r="FZ300" t="e">
        <f>IF(#REF!,"AAAAAD/6PLU=",0)</f>
        <v>#REF!</v>
      </c>
      <c r="GA300" t="e">
        <f>IF(#REF!,"AAAAAD/6PLY=",0)</f>
        <v>#REF!</v>
      </c>
      <c r="GB300" t="e">
        <f>IF(#REF!,"AAAAAD/6PLc=",0)</f>
        <v>#REF!</v>
      </c>
      <c r="GC300" t="e">
        <f>IF(#REF!,"AAAAAD/6PLg=",0)</f>
        <v>#REF!</v>
      </c>
      <c r="GD300" t="e">
        <f>IF(#REF!,"AAAAAD/6PLk=",0)</f>
        <v>#REF!</v>
      </c>
      <c r="GE300" t="e">
        <f>IF(#REF!,"AAAAAD/6PLo=",0)</f>
        <v>#REF!</v>
      </c>
      <c r="GF300" t="e">
        <f>IF(#REF!,"AAAAAD/6PLs=",0)</f>
        <v>#REF!</v>
      </c>
      <c r="GG300" t="e">
        <f>IF(#REF!,"AAAAAD/6PLw=",0)</f>
        <v>#REF!</v>
      </c>
      <c r="GH300" t="e">
        <f>IF(#REF!,"AAAAAD/6PL0=",0)</f>
        <v>#REF!</v>
      </c>
      <c r="GI300" t="e">
        <f>IF(#REF!,"AAAAAD/6PL4=",0)</f>
        <v>#REF!</v>
      </c>
      <c r="GJ300" t="e">
        <f>IF(#REF!,"AAAAAD/6PL8=",0)</f>
        <v>#REF!</v>
      </c>
      <c r="GK300" t="e">
        <f>IF(#REF!,"AAAAAD/6PMA=",0)</f>
        <v>#REF!</v>
      </c>
      <c r="GL300" t="e">
        <f>IF(#REF!,"AAAAAD/6PME=",0)</f>
        <v>#REF!</v>
      </c>
      <c r="GM300" t="e">
        <f>IF(#REF!,"AAAAAD/6PMI=",0)</f>
        <v>#REF!</v>
      </c>
      <c r="GN300" t="e">
        <f>IF(#REF!,"AAAAAD/6PMM=",0)</f>
        <v>#REF!</v>
      </c>
      <c r="GO300" t="e">
        <f>IF(#REF!,"AAAAAD/6PMQ=",0)</f>
        <v>#REF!</v>
      </c>
      <c r="GP300" t="e">
        <f>IF(#REF!,"AAAAAD/6PMU=",0)</f>
        <v>#REF!</v>
      </c>
      <c r="GQ300" t="e">
        <f>IF(#REF!,"AAAAAD/6PMY=",0)</f>
        <v>#REF!</v>
      </c>
      <c r="GR300" t="e">
        <f>IF(#REF!,"AAAAAD/6PMc=",0)</f>
        <v>#REF!</v>
      </c>
      <c r="GS300" t="e">
        <f>IF(#REF!,"AAAAAD/6PMg=",0)</f>
        <v>#REF!</v>
      </c>
      <c r="GT300" t="e">
        <f>IF(#REF!,"AAAAAD/6PMk=",0)</f>
        <v>#REF!</v>
      </c>
      <c r="GU300" t="e">
        <f>IF(#REF!,"AAAAAD/6PMo=",0)</f>
        <v>#REF!</v>
      </c>
      <c r="GV300" t="e">
        <f>IF(#REF!,"AAAAAD/6PMs=",0)</f>
        <v>#REF!</v>
      </c>
      <c r="GW300" t="e">
        <f>IF(#REF!,"AAAAAD/6PMw=",0)</f>
        <v>#REF!</v>
      </c>
      <c r="GX300" t="e">
        <f>IF(#REF!,"AAAAAD/6PM0=",0)</f>
        <v>#REF!</v>
      </c>
      <c r="GY300" t="e">
        <f>IF(#REF!,"AAAAAD/6PM4=",0)</f>
        <v>#REF!</v>
      </c>
      <c r="GZ300" t="e">
        <f>IF(#REF!,"AAAAAD/6PM8=",0)</f>
        <v>#REF!</v>
      </c>
      <c r="HA300" t="e">
        <f>IF(#REF!,"AAAAAD/6PNA=",0)</f>
        <v>#REF!</v>
      </c>
      <c r="HB300" t="e">
        <f>IF(#REF!,"AAAAAD/6PNE=",0)</f>
        <v>#REF!</v>
      </c>
      <c r="HC300" t="e">
        <f>IF(#REF!,"AAAAAD/6PNI=",0)</f>
        <v>#REF!</v>
      </c>
      <c r="HD300" t="e">
        <f>IF(#REF!,"AAAAAD/6PNM=",0)</f>
        <v>#REF!</v>
      </c>
      <c r="HE300" t="e">
        <f>IF(#REF!,"AAAAAD/6PNQ=",0)</f>
        <v>#REF!</v>
      </c>
      <c r="HF300" t="e">
        <f>IF(#REF!,"AAAAAD/6PNU=",0)</f>
        <v>#REF!</v>
      </c>
      <c r="HG300" t="e">
        <f>IF(#REF!,"AAAAAD/6PNY=",0)</f>
        <v>#REF!</v>
      </c>
      <c r="HH300" t="e">
        <f>IF(#REF!,"AAAAAD/6PNc=",0)</f>
        <v>#REF!</v>
      </c>
      <c r="HI300" t="e">
        <f>IF(#REF!,"AAAAAD/6PNg=",0)</f>
        <v>#REF!</v>
      </c>
      <c r="HJ300" t="e">
        <f>IF(#REF!,"AAAAAD/6PNk=",0)</f>
        <v>#REF!</v>
      </c>
      <c r="HK300" t="e">
        <f>IF(#REF!,"AAAAAD/6PNo=",0)</f>
        <v>#REF!</v>
      </c>
      <c r="HL300" t="e">
        <f>IF(#REF!,"AAAAAD/6PNs=",0)</f>
        <v>#REF!</v>
      </c>
      <c r="HM300" t="e">
        <f>IF(#REF!,"AAAAAD/6PNw=",0)</f>
        <v>#REF!</v>
      </c>
      <c r="HN300" t="e">
        <f>IF(#REF!,"AAAAAD/6PN0=",0)</f>
        <v>#REF!</v>
      </c>
      <c r="HO300" t="e">
        <f>IF(#REF!,"AAAAAD/6PN4=",0)</f>
        <v>#REF!</v>
      </c>
      <c r="HP300" t="e">
        <f>IF(#REF!,"AAAAAD/6PN8=",0)</f>
        <v>#REF!</v>
      </c>
      <c r="HQ300" t="e">
        <f>IF(#REF!,"AAAAAD/6POA=",0)</f>
        <v>#REF!</v>
      </c>
      <c r="HR300" t="e">
        <f>IF(#REF!,"AAAAAD/6POE=",0)</f>
        <v>#REF!</v>
      </c>
      <c r="HS300" t="e">
        <f>IF(#REF!,"AAAAAD/6POI=",0)</f>
        <v>#REF!</v>
      </c>
      <c r="HT300" t="e">
        <f>IF(#REF!,"AAAAAD/6POM=",0)</f>
        <v>#REF!</v>
      </c>
      <c r="HU300" t="e">
        <f>IF(#REF!,"AAAAAD/6POQ=",0)</f>
        <v>#REF!</v>
      </c>
      <c r="HV300" t="e">
        <f>IF(#REF!,"AAAAAD/6POU=",0)</f>
        <v>#REF!</v>
      </c>
      <c r="HW300" t="e">
        <f>IF(#REF!,"AAAAAD/6POY=",0)</f>
        <v>#REF!</v>
      </c>
      <c r="HX300" t="e">
        <f>IF(#REF!,"AAAAAD/6POc=",0)</f>
        <v>#REF!</v>
      </c>
      <c r="HY300" t="e">
        <f>IF(#REF!,"AAAAAD/6POg=",0)</f>
        <v>#REF!</v>
      </c>
      <c r="HZ300" t="e">
        <f>IF(#REF!,"AAAAAD/6POk=",0)</f>
        <v>#REF!</v>
      </c>
      <c r="IA300" t="e">
        <f>IF(#REF!,"AAAAAD/6POo=",0)</f>
        <v>#REF!</v>
      </c>
      <c r="IB300" t="e">
        <f>IF(#REF!,"AAAAAD/6POs=",0)</f>
        <v>#REF!</v>
      </c>
      <c r="IC300" t="e">
        <f>IF(#REF!,"AAAAAD/6POw=",0)</f>
        <v>#REF!</v>
      </c>
      <c r="ID300" t="e">
        <f>IF(#REF!,"AAAAAD/6PO0=",0)</f>
        <v>#REF!</v>
      </c>
      <c r="IE300" t="e">
        <f>IF(#REF!,"AAAAAD/6PO4=",0)</f>
        <v>#REF!</v>
      </c>
      <c r="IF300" t="e">
        <f>IF(#REF!,"AAAAAD/6PO8=",0)</f>
        <v>#REF!</v>
      </c>
      <c r="IG300" t="e">
        <f>IF(#REF!,"AAAAAD/6PPA=",0)</f>
        <v>#REF!</v>
      </c>
      <c r="IH300" t="e">
        <f>IF(#REF!,"AAAAAD/6PPE=",0)</f>
        <v>#REF!</v>
      </c>
      <c r="II300" t="e">
        <f>IF(#REF!,"AAAAAD/6PPI=",0)</f>
        <v>#REF!</v>
      </c>
      <c r="IJ300" t="e">
        <f>IF(#REF!,"AAAAAD/6PPM=",0)</f>
        <v>#REF!</v>
      </c>
      <c r="IK300" t="e">
        <f>IF(#REF!,"AAAAAD/6PPQ=",0)</f>
        <v>#REF!</v>
      </c>
      <c r="IL300" t="e">
        <f>IF(#REF!,"AAAAAD/6PPU=",0)</f>
        <v>#REF!</v>
      </c>
      <c r="IM300" t="e">
        <f>IF(#REF!,"AAAAAD/6PPY=",0)</f>
        <v>#REF!</v>
      </c>
      <c r="IN300" t="e">
        <f>IF(#REF!,"AAAAAD/6PPc=",0)</f>
        <v>#REF!</v>
      </c>
      <c r="IO300" t="e">
        <f>IF(#REF!,"AAAAAD/6PPg=",0)</f>
        <v>#REF!</v>
      </c>
      <c r="IP300" t="e">
        <f>IF(#REF!,"AAAAAD/6PPk=",0)</f>
        <v>#REF!</v>
      </c>
      <c r="IQ300" t="e">
        <f>IF(#REF!,"AAAAAD/6PPo=",0)</f>
        <v>#REF!</v>
      </c>
      <c r="IR300" t="e">
        <f>IF(#REF!,"AAAAAD/6PPs=",0)</f>
        <v>#REF!</v>
      </c>
      <c r="IS300" t="e">
        <f>IF(#REF!,"AAAAAD/6PPw=",0)</f>
        <v>#REF!</v>
      </c>
      <c r="IT300" t="e">
        <f>IF(#REF!,"AAAAAD/6PP0=",0)</f>
        <v>#REF!</v>
      </c>
      <c r="IU300" t="e">
        <f>IF(#REF!,"AAAAAD/6PP4=",0)</f>
        <v>#REF!</v>
      </c>
      <c r="IV300" t="e">
        <f>IF(#REF!,"AAAAAD/6PP8=",0)</f>
        <v>#REF!</v>
      </c>
    </row>
    <row r="301" spans="1:256">
      <c r="A301" t="e">
        <f>IF(#REF!,"AAAAAH773gA=",0)</f>
        <v>#REF!</v>
      </c>
      <c r="B301" t="e">
        <f>IF(#REF!,"AAAAAH773gE=",0)</f>
        <v>#REF!</v>
      </c>
      <c r="C301" t="e">
        <f>IF(#REF!,"AAAAAH773gI=",0)</f>
        <v>#REF!</v>
      </c>
      <c r="D301" t="e">
        <f>IF(#REF!,"AAAAAH773gM=",0)</f>
        <v>#REF!</v>
      </c>
      <c r="E301" t="e">
        <f>IF(#REF!,"AAAAAH773gQ=",0)</f>
        <v>#REF!</v>
      </c>
      <c r="F301" t="e">
        <f>IF(#REF!,"AAAAAH773gU=",0)</f>
        <v>#REF!</v>
      </c>
      <c r="G301" t="e">
        <f>IF(#REF!,"AAAAAH773gY=",0)</f>
        <v>#REF!</v>
      </c>
      <c r="H301" t="e">
        <f>IF(#REF!,"AAAAAH773gc=",0)</f>
        <v>#REF!</v>
      </c>
      <c r="I301" t="e">
        <f>IF(#REF!,"AAAAAH773gg=",0)</f>
        <v>#REF!</v>
      </c>
      <c r="J301" t="e">
        <f>IF(#REF!,"AAAAAH773gk=",0)</f>
        <v>#REF!</v>
      </c>
      <c r="K301" t="e">
        <f>IF(#REF!,"AAAAAH773go=",0)</f>
        <v>#REF!</v>
      </c>
      <c r="L301" t="e">
        <f>IF(#REF!,"AAAAAH773gs=",0)</f>
        <v>#REF!</v>
      </c>
      <c r="M301" t="e">
        <f>IF(#REF!,"AAAAAH773gw=",0)</f>
        <v>#REF!</v>
      </c>
      <c r="N301" t="e">
        <f>IF(#REF!,"AAAAAH773g0=",0)</f>
        <v>#REF!</v>
      </c>
      <c r="O301" t="e">
        <f>IF(#REF!,"AAAAAH773g4=",0)</f>
        <v>#REF!</v>
      </c>
      <c r="P301" t="e">
        <f>IF(#REF!,"AAAAAH773g8=",0)</f>
        <v>#REF!</v>
      </c>
      <c r="Q301" t="e">
        <f>IF(#REF!,"AAAAAH773hA=",0)</f>
        <v>#REF!</v>
      </c>
      <c r="R301" t="e">
        <f>IF(#REF!,"AAAAAH773hE=",0)</f>
        <v>#REF!</v>
      </c>
      <c r="S301" t="e">
        <f>IF(#REF!,"AAAAAH773hI=",0)</f>
        <v>#REF!</v>
      </c>
      <c r="T301" t="e">
        <f>IF(#REF!,"AAAAAH773hM=",0)</f>
        <v>#REF!</v>
      </c>
      <c r="U301" t="e">
        <f>IF(#REF!,"AAAAAH773hQ=",0)</f>
        <v>#REF!</v>
      </c>
      <c r="V301" t="e">
        <f>IF(#REF!,"AAAAAH773hU=",0)</f>
        <v>#REF!</v>
      </c>
      <c r="W301" t="e">
        <f>IF(#REF!,"AAAAAH773hY=",0)</f>
        <v>#REF!</v>
      </c>
      <c r="X301" t="e">
        <f>IF(#REF!,"AAAAAH773hc=",0)</f>
        <v>#REF!</v>
      </c>
      <c r="Y301" t="e">
        <f>IF(#REF!,"AAAAAH773hg=",0)</f>
        <v>#REF!</v>
      </c>
      <c r="Z301" t="e">
        <f>IF(#REF!,"AAAAAH773hk=",0)</f>
        <v>#REF!</v>
      </c>
      <c r="AA301" t="e">
        <f>IF(#REF!,"AAAAAH773ho=",0)</f>
        <v>#REF!</v>
      </c>
      <c r="AB301" t="e">
        <f>IF(#REF!,"AAAAAH773hs=",0)</f>
        <v>#REF!</v>
      </c>
      <c r="AC301" t="e">
        <f>IF(#REF!,"AAAAAH773hw=",0)</f>
        <v>#REF!</v>
      </c>
      <c r="AD301" t="e">
        <f>IF(#REF!,"AAAAAH773h0=",0)</f>
        <v>#REF!</v>
      </c>
      <c r="AE301" t="e">
        <f>IF(#REF!,"AAAAAH773h4=",0)</f>
        <v>#REF!</v>
      </c>
      <c r="AF301" t="e">
        <f>IF(#REF!,"AAAAAH773h8=",0)</f>
        <v>#REF!</v>
      </c>
      <c r="AG301" t="e">
        <f>IF(#REF!,"AAAAAH773iA=",0)</f>
        <v>#REF!</v>
      </c>
      <c r="AH301" t="e">
        <f>IF(#REF!,"AAAAAH773iE=",0)</f>
        <v>#REF!</v>
      </c>
      <c r="AI301" t="e">
        <f>IF(#REF!,"AAAAAH773iI=",0)</f>
        <v>#REF!</v>
      </c>
      <c r="AJ301" t="e">
        <f>IF(#REF!,"AAAAAH773iM=",0)</f>
        <v>#REF!</v>
      </c>
      <c r="AK301" t="e">
        <f>IF(#REF!,"AAAAAH773iQ=",0)</f>
        <v>#REF!</v>
      </c>
      <c r="AL301" t="e">
        <f>IF(#REF!,"AAAAAH773iU=",0)</f>
        <v>#REF!</v>
      </c>
      <c r="AM301" t="e">
        <f>IF(#REF!,"AAAAAH773iY=",0)</f>
        <v>#REF!</v>
      </c>
      <c r="AN301" t="e">
        <f>IF(#REF!,"AAAAAH773ic=",0)</f>
        <v>#REF!</v>
      </c>
      <c r="AO301" t="e">
        <f>IF(#REF!,"AAAAAH773ig=",0)</f>
        <v>#REF!</v>
      </c>
      <c r="AP301" t="e">
        <f>IF(#REF!,"AAAAAH773ik=",0)</f>
        <v>#REF!</v>
      </c>
      <c r="AQ301" t="e">
        <f>IF(#REF!,"AAAAAH773io=",0)</f>
        <v>#REF!</v>
      </c>
      <c r="AR301" t="e">
        <f>IF(#REF!,"AAAAAH773is=",0)</f>
        <v>#REF!</v>
      </c>
      <c r="AS301" t="e">
        <f>IF(#REF!,"AAAAAH773iw=",0)</f>
        <v>#REF!</v>
      </c>
      <c r="AT301" t="e">
        <f>IF(#REF!,"AAAAAH773i0=",0)</f>
        <v>#REF!</v>
      </c>
      <c r="AU301" t="e">
        <f>IF(#REF!,"AAAAAH773i4=",0)</f>
        <v>#REF!</v>
      </c>
      <c r="AV301" t="e">
        <f>IF(#REF!,"AAAAAH773i8=",0)</f>
        <v>#REF!</v>
      </c>
      <c r="AW301" t="e">
        <f>IF(#REF!,"AAAAAH773jA=",0)</f>
        <v>#REF!</v>
      </c>
      <c r="AX301" t="e">
        <f>IF(#REF!,"AAAAAH773jE=",0)</f>
        <v>#REF!</v>
      </c>
      <c r="AY301" t="e">
        <f>IF(#REF!,"AAAAAH773jI=",0)</f>
        <v>#REF!</v>
      </c>
      <c r="AZ301" t="e">
        <f>IF(#REF!,"AAAAAH773jM=",0)</f>
        <v>#REF!</v>
      </c>
      <c r="BA301" t="e">
        <f>IF(#REF!,"AAAAAH773jQ=",0)</f>
        <v>#REF!</v>
      </c>
      <c r="BB301" t="e">
        <f>IF(#REF!,"AAAAAH773jU=",0)</f>
        <v>#REF!</v>
      </c>
      <c r="BC301" t="e">
        <f>IF(#REF!,"AAAAAH773jY=",0)</f>
        <v>#REF!</v>
      </c>
      <c r="BD301" t="e">
        <f>IF(#REF!,"AAAAAH773jc=",0)</f>
        <v>#REF!</v>
      </c>
      <c r="BE301" t="e">
        <f>IF(#REF!,"AAAAAH773jg=",0)</f>
        <v>#REF!</v>
      </c>
      <c r="BF301" t="e">
        <f>IF(#REF!,"AAAAAH773jk=",0)</f>
        <v>#REF!</v>
      </c>
      <c r="BG301" t="e">
        <f>IF(#REF!,"AAAAAH773jo=",0)</f>
        <v>#REF!</v>
      </c>
      <c r="BH301" t="e">
        <f>IF(#REF!,"AAAAAH773js=",0)</f>
        <v>#REF!</v>
      </c>
      <c r="BI301" t="e">
        <f>IF(#REF!,"AAAAAH773jw=",0)</f>
        <v>#REF!</v>
      </c>
      <c r="BJ301" t="e">
        <f>IF(#REF!,"AAAAAH773j0=",0)</f>
        <v>#REF!</v>
      </c>
      <c r="BK301" t="e">
        <f>IF(#REF!,"AAAAAH773j4=",0)</f>
        <v>#REF!</v>
      </c>
      <c r="BL301" t="e">
        <f>IF(#REF!,"AAAAAH773j8=",0)</f>
        <v>#REF!</v>
      </c>
      <c r="BM301" t="e">
        <f>IF(#REF!,"AAAAAH773kA=",0)</f>
        <v>#REF!</v>
      </c>
      <c r="BN301" t="e">
        <f>IF(#REF!,"AAAAAH773kE=",0)</f>
        <v>#REF!</v>
      </c>
      <c r="BO301" t="e">
        <f>IF(#REF!,"AAAAAH773kI=",0)</f>
        <v>#REF!</v>
      </c>
      <c r="BP301" t="e">
        <f>IF(#REF!,"AAAAAH773kM=",0)</f>
        <v>#REF!</v>
      </c>
      <c r="BQ301" t="e">
        <f>IF(#REF!,"AAAAAH773kQ=",0)</f>
        <v>#REF!</v>
      </c>
      <c r="BR301" t="e">
        <f>IF(#REF!,"AAAAAH773kU=",0)</f>
        <v>#REF!</v>
      </c>
      <c r="BS301" t="e">
        <f>IF(#REF!,"AAAAAH773kY=",0)</f>
        <v>#REF!</v>
      </c>
      <c r="BT301" t="e">
        <f>IF(#REF!,"AAAAAH773kc=",0)</f>
        <v>#REF!</v>
      </c>
      <c r="BU301" t="e">
        <f>IF(#REF!,"AAAAAH773kg=",0)</f>
        <v>#REF!</v>
      </c>
      <c r="BV301" t="e">
        <f>IF(#REF!,"AAAAAH773kk=",0)</f>
        <v>#REF!</v>
      </c>
      <c r="BW301" t="e">
        <f>IF(#REF!,"AAAAAH773ko=",0)</f>
        <v>#REF!</v>
      </c>
      <c r="BX301" t="e">
        <f>IF(#REF!,"AAAAAH773ks=",0)</f>
        <v>#REF!</v>
      </c>
      <c r="BY301" t="e">
        <f>IF(#REF!,"AAAAAH773kw=",0)</f>
        <v>#REF!</v>
      </c>
      <c r="BZ301" t="e">
        <f>IF(#REF!,"AAAAAH773k0=",0)</f>
        <v>#REF!</v>
      </c>
      <c r="CA301" t="e">
        <f>IF(#REF!,"AAAAAH773k4=",0)</f>
        <v>#REF!</v>
      </c>
      <c r="CB301" t="e">
        <f>IF(#REF!,"AAAAAH773k8=",0)</f>
        <v>#REF!</v>
      </c>
      <c r="CC301" t="e">
        <f>IF(#REF!,"AAAAAH773lA=",0)</f>
        <v>#REF!</v>
      </c>
      <c r="CD301" t="e">
        <f>IF(#REF!,"AAAAAH773lE=",0)</f>
        <v>#REF!</v>
      </c>
      <c r="CE301" t="e">
        <f>IF(#REF!,"AAAAAH773lI=",0)</f>
        <v>#REF!</v>
      </c>
      <c r="CF301" t="e">
        <f>IF(#REF!,"AAAAAH773lM=",0)</f>
        <v>#REF!</v>
      </c>
      <c r="CG301" t="e">
        <f>IF(#REF!,"AAAAAH773lQ=",0)</f>
        <v>#REF!</v>
      </c>
      <c r="CH301" t="e">
        <f>IF(#REF!,"AAAAAH773lU=",0)</f>
        <v>#REF!</v>
      </c>
      <c r="CI301" t="e">
        <f>IF(#REF!,"AAAAAH773lY=",0)</f>
        <v>#REF!</v>
      </c>
      <c r="CJ301" t="e">
        <f>IF(#REF!,"AAAAAH773lc=",0)</f>
        <v>#REF!</v>
      </c>
      <c r="CK301" t="e">
        <f>IF(#REF!,"AAAAAH773lg=",0)</f>
        <v>#REF!</v>
      </c>
      <c r="CL301" t="e">
        <f>IF(#REF!,"AAAAAH773lk=",0)</f>
        <v>#REF!</v>
      </c>
      <c r="CM301" t="e">
        <f>IF(#REF!,"AAAAAH773lo=",0)</f>
        <v>#REF!</v>
      </c>
      <c r="CN301" t="e">
        <f>IF(#REF!,"AAAAAH773ls=",0)</f>
        <v>#REF!</v>
      </c>
      <c r="CO301" t="e">
        <f>IF(#REF!,"AAAAAH773lw=",0)</f>
        <v>#REF!</v>
      </c>
      <c r="CP301" t="e">
        <f>IF(#REF!,"AAAAAH773l0=",0)</f>
        <v>#REF!</v>
      </c>
      <c r="CQ301" t="e">
        <f>IF(#REF!,"AAAAAH773l4=",0)</f>
        <v>#REF!</v>
      </c>
      <c r="CR301" t="e">
        <f>IF(#REF!,"AAAAAH773l8=",0)</f>
        <v>#REF!</v>
      </c>
      <c r="CS301" t="e">
        <f>IF(#REF!,"AAAAAH773mA=",0)</f>
        <v>#REF!</v>
      </c>
      <c r="CT301" t="e">
        <f>IF(#REF!,"AAAAAH773mE=",0)</f>
        <v>#REF!</v>
      </c>
      <c r="CU301" t="e">
        <f>IF(#REF!,"AAAAAH773mI=",0)</f>
        <v>#REF!</v>
      </c>
      <c r="CV301" t="e">
        <f>IF(#REF!,"AAAAAH773mM=",0)</f>
        <v>#REF!</v>
      </c>
      <c r="CW301" t="e">
        <f>IF(#REF!,"AAAAAH773mQ=",0)</f>
        <v>#REF!</v>
      </c>
      <c r="CX301" t="e">
        <f>IF(#REF!,"AAAAAH773mU=",0)</f>
        <v>#REF!</v>
      </c>
      <c r="CY301" t="e">
        <f>IF(#REF!,"AAAAAH773mY=",0)</f>
        <v>#REF!</v>
      </c>
      <c r="CZ301" t="e">
        <f>IF(#REF!,"AAAAAH773mc=",0)</f>
        <v>#REF!</v>
      </c>
      <c r="DA301" t="e">
        <f>IF(#REF!,"AAAAAH773mg=",0)</f>
        <v>#REF!</v>
      </c>
      <c r="DB301" t="e">
        <f>IF(#REF!,"AAAAAH773mk=",0)</f>
        <v>#REF!</v>
      </c>
      <c r="DC301" t="e">
        <f>IF(#REF!,"AAAAAH773mo=",0)</f>
        <v>#REF!</v>
      </c>
      <c r="DD301" t="e">
        <f>IF(#REF!,"AAAAAH773ms=",0)</f>
        <v>#REF!</v>
      </c>
      <c r="DE301" t="e">
        <f>IF(#REF!,"AAAAAH773mw=",0)</f>
        <v>#REF!</v>
      </c>
      <c r="DF301" t="e">
        <f>IF(#REF!,"AAAAAH773m0=",0)</f>
        <v>#REF!</v>
      </c>
      <c r="DG301" t="e">
        <f>IF(#REF!,"AAAAAH773m4=",0)</f>
        <v>#REF!</v>
      </c>
      <c r="DH301" t="e">
        <f>IF(#REF!,"AAAAAH773m8=",0)</f>
        <v>#REF!</v>
      </c>
      <c r="DI301" t="e">
        <f>IF(#REF!,"AAAAAH773nA=",0)</f>
        <v>#REF!</v>
      </c>
      <c r="DJ301" t="e">
        <f>IF(#REF!,"AAAAAH773nE=",0)</f>
        <v>#REF!</v>
      </c>
      <c r="DK301" t="e">
        <f>IF(#REF!,"AAAAAH773nI=",0)</f>
        <v>#REF!</v>
      </c>
      <c r="DL301" t="e">
        <f>IF(#REF!,"AAAAAH773nM=",0)</f>
        <v>#REF!</v>
      </c>
      <c r="DM301" t="e">
        <f>IF(#REF!,"AAAAAH773nQ=",0)</f>
        <v>#REF!</v>
      </c>
      <c r="DN301" t="e">
        <f>IF(#REF!,"AAAAAH773nU=",0)</f>
        <v>#REF!</v>
      </c>
      <c r="DO301" t="e">
        <f>IF(#REF!,"AAAAAH773nY=",0)</f>
        <v>#REF!</v>
      </c>
      <c r="DP301" t="e">
        <f>IF(#REF!,"AAAAAH773nc=",0)</f>
        <v>#REF!</v>
      </c>
      <c r="DQ301" t="e">
        <f>IF(#REF!,"AAAAAH773ng=",0)</f>
        <v>#REF!</v>
      </c>
      <c r="DR301" t="e">
        <f>IF(#REF!,"AAAAAH773nk=",0)</f>
        <v>#REF!</v>
      </c>
      <c r="DS301" t="e">
        <f>IF(#REF!,"AAAAAH773no=",0)</f>
        <v>#REF!</v>
      </c>
      <c r="DT301" t="e">
        <f>IF(#REF!,"AAAAAH773ns=",0)</f>
        <v>#REF!</v>
      </c>
      <c r="DU301" t="e">
        <f>IF(#REF!,"AAAAAH773nw=",0)</f>
        <v>#REF!</v>
      </c>
      <c r="DV301" t="e">
        <f>IF(#REF!,"AAAAAH773n0=",0)</f>
        <v>#REF!</v>
      </c>
      <c r="DW301" t="e">
        <f>IF(#REF!,"AAAAAH773n4=",0)</f>
        <v>#REF!</v>
      </c>
      <c r="DX301" t="e">
        <f>IF(#REF!,"AAAAAH773n8=",0)</f>
        <v>#REF!</v>
      </c>
      <c r="DY301" t="e">
        <f>IF(#REF!,"AAAAAH773oA=",0)</f>
        <v>#REF!</v>
      </c>
      <c r="DZ301" t="e">
        <f>IF(#REF!,"AAAAAH773oE=",0)</f>
        <v>#REF!</v>
      </c>
      <c r="EA301" t="e">
        <f>IF(#REF!,"AAAAAH773oI=",0)</f>
        <v>#REF!</v>
      </c>
      <c r="EB301" t="e">
        <f>IF(#REF!,"AAAAAH773oM=",0)</f>
        <v>#REF!</v>
      </c>
      <c r="EC301" t="e">
        <f>IF(#REF!,"AAAAAH773oQ=",0)</f>
        <v>#REF!</v>
      </c>
      <c r="ED301" t="e">
        <f>IF(#REF!,"AAAAAH773oU=",0)</f>
        <v>#REF!</v>
      </c>
      <c r="EE301" t="e">
        <f>IF(#REF!,"AAAAAH773oY=",0)</f>
        <v>#REF!</v>
      </c>
      <c r="EF301" t="e">
        <f>IF(#REF!,"AAAAAH773oc=",0)</f>
        <v>#REF!</v>
      </c>
      <c r="EG301" t="e">
        <f>IF(#REF!,"AAAAAH773og=",0)</f>
        <v>#REF!</v>
      </c>
      <c r="EH301" t="e">
        <f>IF(#REF!,"AAAAAH773ok=",0)</f>
        <v>#REF!</v>
      </c>
      <c r="EI301" t="e">
        <f>IF(#REF!,"AAAAAH773oo=",0)</f>
        <v>#REF!</v>
      </c>
      <c r="EJ301" t="e">
        <f>IF(#REF!,"AAAAAH773os=",0)</f>
        <v>#REF!</v>
      </c>
      <c r="EK301" t="e">
        <f>IF(#REF!,"AAAAAH773ow=",0)</f>
        <v>#REF!</v>
      </c>
      <c r="EL301" t="e">
        <f>IF(#REF!,"AAAAAH773o0=",0)</f>
        <v>#REF!</v>
      </c>
      <c r="EM301" t="e">
        <f>IF(#REF!,"AAAAAH773o4=",0)</f>
        <v>#REF!</v>
      </c>
      <c r="EN301" t="e">
        <f>IF(#REF!,"AAAAAH773o8=",0)</f>
        <v>#REF!</v>
      </c>
      <c r="EO301" t="e">
        <f>IF(#REF!,"AAAAAH773pA=",0)</f>
        <v>#REF!</v>
      </c>
      <c r="EP301" t="e">
        <f>IF(#REF!,"AAAAAH773pE=",0)</f>
        <v>#REF!</v>
      </c>
      <c r="EQ301" t="e">
        <f>IF(#REF!,"AAAAAH773pI=",0)</f>
        <v>#REF!</v>
      </c>
      <c r="ER301" t="e">
        <f>IF(#REF!,"AAAAAH773pM=",0)</f>
        <v>#REF!</v>
      </c>
      <c r="ES301" t="e">
        <f>IF(#REF!,"AAAAAH773pQ=",0)</f>
        <v>#REF!</v>
      </c>
      <c r="ET301" t="e">
        <f>IF(#REF!,"AAAAAH773pU=",0)</f>
        <v>#REF!</v>
      </c>
      <c r="EU301" t="e">
        <f>IF(#REF!,"AAAAAH773pY=",0)</f>
        <v>#REF!</v>
      </c>
      <c r="EV301" t="e">
        <f>IF(#REF!,"AAAAAH773pc=",0)</f>
        <v>#REF!</v>
      </c>
      <c r="EW301" t="e">
        <f>IF(#REF!,"AAAAAH773pg=",0)</f>
        <v>#REF!</v>
      </c>
      <c r="EX301" t="e">
        <f>IF(#REF!,"AAAAAH773pk=",0)</f>
        <v>#REF!</v>
      </c>
      <c r="EY301" t="e">
        <f>IF(#REF!,"AAAAAH773po=",0)</f>
        <v>#REF!</v>
      </c>
      <c r="EZ301" t="e">
        <f>IF(#REF!,"AAAAAH773ps=",0)</f>
        <v>#REF!</v>
      </c>
      <c r="FA301" t="e">
        <f>IF(#REF!,"AAAAAH773pw=",0)</f>
        <v>#REF!</v>
      </c>
      <c r="FB301" t="e">
        <f>IF(#REF!,"AAAAAH773p0=",0)</f>
        <v>#REF!</v>
      </c>
      <c r="FC301" t="e">
        <f>IF(#REF!,"AAAAAH773p4=",0)</f>
        <v>#REF!</v>
      </c>
      <c r="FD301" t="e">
        <f>IF(#REF!,"AAAAAH773p8=",0)</f>
        <v>#REF!</v>
      </c>
      <c r="FE301" t="e">
        <f>IF(#REF!,"AAAAAH773qA=",0)</f>
        <v>#REF!</v>
      </c>
      <c r="FF301" t="e">
        <f>IF(#REF!,"AAAAAH773qE=",0)</f>
        <v>#REF!</v>
      </c>
      <c r="FG301" t="e">
        <f>IF(#REF!,"AAAAAH773qI=",0)</f>
        <v>#REF!</v>
      </c>
      <c r="FH301" t="e">
        <f>IF(#REF!,"AAAAAH773qM=",0)</f>
        <v>#REF!</v>
      </c>
      <c r="FI301" t="e">
        <f>IF(#REF!,"AAAAAH773qQ=",0)</f>
        <v>#REF!</v>
      </c>
      <c r="FJ301" t="e">
        <f>IF(#REF!,"AAAAAH773qU=",0)</f>
        <v>#REF!</v>
      </c>
      <c r="FK301" t="e">
        <f>IF(#REF!,"AAAAAH773qY=",0)</f>
        <v>#REF!</v>
      </c>
      <c r="FL301" t="e">
        <f>IF(#REF!,"AAAAAH773qc=",0)</f>
        <v>#REF!</v>
      </c>
      <c r="FM301" t="e">
        <f>IF(#REF!,"AAAAAH773qg=",0)</f>
        <v>#REF!</v>
      </c>
      <c r="FN301" t="e">
        <f>IF(#REF!,"AAAAAH773qk=",0)</f>
        <v>#REF!</v>
      </c>
      <c r="FO301" t="e">
        <f>IF(#REF!,"AAAAAH773qo=",0)</f>
        <v>#REF!</v>
      </c>
      <c r="FP301" t="e">
        <f>IF(#REF!,"AAAAAH773qs=",0)</f>
        <v>#REF!</v>
      </c>
      <c r="FQ301" t="e">
        <f>IF(#REF!,"AAAAAH773qw=",0)</f>
        <v>#REF!</v>
      </c>
      <c r="FR301" t="e">
        <f>IF(#REF!,"AAAAAH773q0=",0)</f>
        <v>#REF!</v>
      </c>
      <c r="FS301" t="e">
        <f>IF(#REF!,"AAAAAH773q4=",0)</f>
        <v>#REF!</v>
      </c>
      <c r="FT301" t="e">
        <f>IF(#REF!,"AAAAAH773q8=",0)</f>
        <v>#REF!</v>
      </c>
      <c r="FU301" t="e">
        <f>IF(#REF!,"AAAAAH773rA=",0)</f>
        <v>#REF!</v>
      </c>
      <c r="FV301" t="e">
        <f>IF(#REF!,"AAAAAH773rE=",0)</f>
        <v>#REF!</v>
      </c>
      <c r="FW301" t="e">
        <f>IF(#REF!,"AAAAAH773rI=",0)</f>
        <v>#REF!</v>
      </c>
      <c r="FX301" t="e">
        <f>IF(#REF!,"AAAAAH773rM=",0)</f>
        <v>#REF!</v>
      </c>
      <c r="FY301" t="e">
        <f>IF(#REF!,"AAAAAH773rQ=",0)</f>
        <v>#REF!</v>
      </c>
      <c r="FZ301" t="e">
        <f>IF(#REF!,"AAAAAH773rU=",0)</f>
        <v>#REF!</v>
      </c>
      <c r="GA301" t="e">
        <f>IF(#REF!,"AAAAAH773rY=",0)</f>
        <v>#REF!</v>
      </c>
      <c r="GB301" t="e">
        <f>IF(#REF!,"AAAAAH773rc=",0)</f>
        <v>#REF!</v>
      </c>
      <c r="GC301" t="e">
        <f>IF(#REF!,"AAAAAH773rg=",0)</f>
        <v>#REF!</v>
      </c>
      <c r="GD301" t="e">
        <f>IF(#REF!,"AAAAAH773rk=",0)</f>
        <v>#REF!</v>
      </c>
      <c r="GE301" t="e">
        <f>IF(#REF!,"AAAAAH773ro=",0)</f>
        <v>#REF!</v>
      </c>
      <c r="GF301" t="e">
        <f>IF(#REF!,"AAAAAH773rs=",0)</f>
        <v>#REF!</v>
      </c>
      <c r="GG301" t="e">
        <f>IF(#REF!,"AAAAAH773rw=",0)</f>
        <v>#REF!</v>
      </c>
      <c r="GH301" t="e">
        <f>IF(#REF!,"AAAAAH773r0=",0)</f>
        <v>#REF!</v>
      </c>
      <c r="GI301" t="e">
        <f>IF(#REF!,"AAAAAH773r4=",0)</f>
        <v>#REF!</v>
      </c>
      <c r="GJ301" t="e">
        <f>IF(#REF!,"AAAAAH773r8=",0)</f>
        <v>#REF!</v>
      </c>
      <c r="GK301" t="e">
        <f>IF(#REF!,"AAAAAH773sA=",0)</f>
        <v>#REF!</v>
      </c>
      <c r="GL301" t="e">
        <f>IF(#REF!,"AAAAAH773sE=",0)</f>
        <v>#REF!</v>
      </c>
      <c r="GM301" t="e">
        <f>IF(#REF!,"AAAAAH773sI=",0)</f>
        <v>#REF!</v>
      </c>
      <c r="GN301" t="e">
        <f>IF(#REF!,"AAAAAH773sM=",0)</f>
        <v>#REF!</v>
      </c>
      <c r="GO301" t="e">
        <f>IF(#REF!,"AAAAAH773sQ=",0)</f>
        <v>#REF!</v>
      </c>
      <c r="GP301" t="e">
        <f>IF(#REF!,"AAAAAH773sU=",0)</f>
        <v>#REF!</v>
      </c>
      <c r="GQ301" t="e">
        <f>IF(#REF!,"AAAAAH773sY=",0)</f>
        <v>#REF!</v>
      </c>
      <c r="GR301" t="e">
        <f>IF(#REF!,"AAAAAH773sc=",0)</f>
        <v>#REF!</v>
      </c>
      <c r="GS301" t="e">
        <f>IF(#REF!,"AAAAAH773sg=",0)</f>
        <v>#REF!</v>
      </c>
      <c r="GT301" t="e">
        <f>IF(#REF!,"AAAAAH773sk=",0)</f>
        <v>#REF!</v>
      </c>
      <c r="GU301" t="e">
        <f>IF(#REF!,"AAAAAH773so=",0)</f>
        <v>#REF!</v>
      </c>
      <c r="GV301" t="e">
        <f>IF(#REF!,"AAAAAH773ss=",0)</f>
        <v>#REF!</v>
      </c>
      <c r="GW301" t="e">
        <f>IF(#REF!,"AAAAAH773sw=",0)</f>
        <v>#REF!</v>
      </c>
      <c r="GX301" t="e">
        <f>IF(#REF!,"AAAAAH773s0=",0)</f>
        <v>#REF!</v>
      </c>
      <c r="GY301" t="e">
        <f>IF(#REF!,"AAAAAH773s4=",0)</f>
        <v>#REF!</v>
      </c>
      <c r="GZ301" t="e">
        <f>IF(#REF!,"AAAAAH773s8=",0)</f>
        <v>#REF!</v>
      </c>
      <c r="HA301" t="e">
        <f>IF(#REF!,"AAAAAH773tA=",0)</f>
        <v>#REF!</v>
      </c>
      <c r="HB301" t="e">
        <f>IF(#REF!,"AAAAAH773tE=",0)</f>
        <v>#REF!</v>
      </c>
      <c r="HC301" t="e">
        <f>IF(#REF!,"AAAAAH773tI=",0)</f>
        <v>#REF!</v>
      </c>
      <c r="HD301" t="e">
        <f>IF(#REF!,"AAAAAH773tM=",0)</f>
        <v>#REF!</v>
      </c>
      <c r="HE301" t="e">
        <f>IF(#REF!,"AAAAAH773tQ=",0)</f>
        <v>#REF!</v>
      </c>
      <c r="HF301" t="e">
        <f>IF(#REF!,"AAAAAH773tU=",0)</f>
        <v>#REF!</v>
      </c>
      <c r="HG301" t="e">
        <f>IF(#REF!,"AAAAAH773tY=",0)</f>
        <v>#REF!</v>
      </c>
      <c r="HH301" t="e">
        <f>IF(#REF!,"AAAAAH773tc=",0)</f>
        <v>#REF!</v>
      </c>
      <c r="HI301" t="e">
        <f>IF(#REF!,"AAAAAH773tg=",0)</f>
        <v>#REF!</v>
      </c>
      <c r="HJ301" t="e">
        <f>IF(#REF!,"AAAAAH773tk=",0)</f>
        <v>#REF!</v>
      </c>
      <c r="HK301" t="e">
        <f>IF(#REF!,"AAAAAH773to=",0)</f>
        <v>#REF!</v>
      </c>
      <c r="HL301" t="e">
        <f>IF(#REF!,"AAAAAH773ts=",0)</f>
        <v>#REF!</v>
      </c>
      <c r="HM301" t="e">
        <f>IF(#REF!,"AAAAAH773tw=",0)</f>
        <v>#REF!</v>
      </c>
      <c r="HN301" t="e">
        <f>IF(#REF!,"AAAAAH773t0=",0)</f>
        <v>#REF!</v>
      </c>
      <c r="HO301" t="e">
        <f>IF(#REF!,"AAAAAH773t4=",0)</f>
        <v>#REF!</v>
      </c>
      <c r="HP301" t="e">
        <f>IF(#REF!,"AAAAAH773t8=",0)</f>
        <v>#REF!</v>
      </c>
      <c r="HQ301" t="e">
        <f>IF(#REF!,"AAAAAH773uA=",0)</f>
        <v>#REF!</v>
      </c>
      <c r="HR301" t="e">
        <f>IF(#REF!,"AAAAAH773uE=",0)</f>
        <v>#REF!</v>
      </c>
      <c r="HS301" t="e">
        <f>IF(#REF!,"AAAAAH773uI=",0)</f>
        <v>#REF!</v>
      </c>
      <c r="HT301" t="e">
        <f>IF(#REF!,"AAAAAH773uM=",0)</f>
        <v>#REF!</v>
      </c>
      <c r="HU301" t="e">
        <f>IF(#REF!,"AAAAAH773uQ=",0)</f>
        <v>#REF!</v>
      </c>
      <c r="HV301" t="e">
        <f>IF(#REF!,"AAAAAH773uU=",0)</f>
        <v>#REF!</v>
      </c>
      <c r="HW301" t="e">
        <f>IF(#REF!,"AAAAAH773uY=",0)</f>
        <v>#REF!</v>
      </c>
      <c r="HX301" t="e">
        <f>IF(#REF!,"AAAAAH773uc=",0)</f>
        <v>#REF!</v>
      </c>
      <c r="HY301" t="e">
        <f>IF(#REF!,"AAAAAH773ug=",0)</f>
        <v>#REF!</v>
      </c>
      <c r="HZ301" t="e">
        <f>IF(#REF!,"AAAAAH773uk=",0)</f>
        <v>#REF!</v>
      </c>
      <c r="IA301" t="e">
        <f>IF(#REF!,"AAAAAH773uo=",0)</f>
        <v>#REF!</v>
      </c>
      <c r="IB301" t="e">
        <f>IF(#REF!,"AAAAAH773us=",0)</f>
        <v>#REF!</v>
      </c>
      <c r="IC301" t="e">
        <f>IF(#REF!,"AAAAAH773uw=",0)</f>
        <v>#REF!</v>
      </c>
      <c r="ID301" t="e">
        <f>IF(#REF!,"AAAAAH773u0=",0)</f>
        <v>#REF!</v>
      </c>
      <c r="IE301" t="e">
        <f>IF(#REF!,"AAAAAH773u4=",0)</f>
        <v>#REF!</v>
      </c>
      <c r="IF301" t="e">
        <f>IF(#REF!,"AAAAAH773u8=",0)</f>
        <v>#REF!</v>
      </c>
      <c r="IG301" t="e">
        <f>IF(#REF!,"AAAAAH773vA=",0)</f>
        <v>#REF!</v>
      </c>
      <c r="IH301" t="e">
        <f>IF(#REF!,"AAAAAH773vE=",0)</f>
        <v>#REF!</v>
      </c>
      <c r="II301" t="e">
        <f>IF(#REF!,"AAAAAH773vI=",0)</f>
        <v>#REF!</v>
      </c>
      <c r="IJ301" t="e">
        <f>IF(#REF!,"AAAAAH773vM=",0)</f>
        <v>#REF!</v>
      </c>
      <c r="IK301" t="e">
        <f>IF(#REF!,"AAAAAH773vQ=",0)</f>
        <v>#REF!</v>
      </c>
      <c r="IL301" t="e">
        <f>IF(#REF!,"AAAAAH773vU=",0)</f>
        <v>#REF!</v>
      </c>
      <c r="IM301" t="e">
        <f>IF(#REF!,"AAAAAH773vY=",0)</f>
        <v>#REF!</v>
      </c>
      <c r="IN301" t="e">
        <f>IF(#REF!,"AAAAAH773vc=",0)</f>
        <v>#REF!</v>
      </c>
      <c r="IO301" t="e">
        <f>IF(#REF!,"AAAAAH773vg=",0)</f>
        <v>#REF!</v>
      </c>
      <c r="IP301" t="e">
        <f>IF(#REF!,"AAAAAH773vk=",0)</f>
        <v>#REF!</v>
      </c>
      <c r="IQ301" t="e">
        <f>IF(#REF!,"AAAAAH773vo=",0)</f>
        <v>#REF!</v>
      </c>
      <c r="IR301" t="e">
        <f>IF(#REF!,"AAAAAH773vs=",0)</f>
        <v>#REF!</v>
      </c>
      <c r="IS301" t="e">
        <f>IF(#REF!,"AAAAAH773vw=",0)</f>
        <v>#REF!</v>
      </c>
      <c r="IT301" t="e">
        <f>IF(#REF!,"AAAAAH773v0=",0)</f>
        <v>#REF!</v>
      </c>
      <c r="IU301" t="e">
        <f>IF(#REF!,"AAAAAH773v4=",0)</f>
        <v>#REF!</v>
      </c>
      <c r="IV301" t="e">
        <f>IF(#REF!,"AAAAAH773v8=",0)</f>
        <v>#REF!</v>
      </c>
    </row>
    <row r="302" spans="1:256">
      <c r="A302" t="e">
        <f>IF(#REF!,"AAAAAHsyLgA=",0)</f>
        <v>#REF!</v>
      </c>
      <c r="B302" t="e">
        <f>IF(#REF!,"AAAAAHsyLgE=",0)</f>
        <v>#REF!</v>
      </c>
      <c r="C302" t="e">
        <f>IF(#REF!,"AAAAAHsyLgI=",0)</f>
        <v>#REF!</v>
      </c>
      <c r="D302" t="e">
        <f>IF(#REF!,"AAAAAHsyLgM=",0)</f>
        <v>#REF!</v>
      </c>
      <c r="E302" t="e">
        <f>IF(#REF!,"AAAAAHsyLgQ=",0)</f>
        <v>#REF!</v>
      </c>
      <c r="F302" t="e">
        <f>IF(#REF!,"AAAAAHsyLgU=",0)</f>
        <v>#REF!</v>
      </c>
      <c r="G302" t="e">
        <f>IF(#REF!,"AAAAAHsyLgY=",0)</f>
        <v>#REF!</v>
      </c>
      <c r="H302" t="e">
        <f>IF(#REF!,"AAAAAHsyLgc=",0)</f>
        <v>#REF!</v>
      </c>
      <c r="I302" t="e">
        <f>IF(#REF!,"AAAAAHsyLgg=",0)</f>
        <v>#REF!</v>
      </c>
      <c r="J302" t="e">
        <f>IF(#REF!,"AAAAAHsyLgk=",0)</f>
        <v>#REF!</v>
      </c>
      <c r="K302" t="e">
        <f>IF(#REF!,"AAAAAHsyLgo=",0)</f>
        <v>#REF!</v>
      </c>
      <c r="L302" t="e">
        <f>IF(#REF!,"AAAAAHsyLgs=",0)</f>
        <v>#REF!</v>
      </c>
      <c r="M302" t="e">
        <f>IF(#REF!,"AAAAAHsyLgw=",0)</f>
        <v>#REF!</v>
      </c>
      <c r="N302" t="e">
        <f>IF(#REF!,"AAAAAHsyLg0=",0)</f>
        <v>#REF!</v>
      </c>
      <c r="O302" t="e">
        <f>IF(#REF!,"AAAAAHsyLg4=",0)</f>
        <v>#REF!</v>
      </c>
      <c r="P302" t="e">
        <f>IF(#REF!,"AAAAAHsyLg8=",0)</f>
        <v>#REF!</v>
      </c>
      <c r="Q302" t="e">
        <f>IF(#REF!,"AAAAAHsyLhA=",0)</f>
        <v>#REF!</v>
      </c>
      <c r="R302" t="e">
        <f>IF(#REF!,"AAAAAHsyLhE=",0)</f>
        <v>#REF!</v>
      </c>
      <c r="S302" t="e">
        <f>IF(#REF!,"AAAAAHsyLhI=",0)</f>
        <v>#REF!</v>
      </c>
      <c r="T302" t="e">
        <f>IF(#REF!,"AAAAAHsyLhM=",0)</f>
        <v>#REF!</v>
      </c>
      <c r="U302" t="e">
        <f>IF(#REF!,"AAAAAHsyLhQ=",0)</f>
        <v>#REF!</v>
      </c>
      <c r="V302" t="e">
        <f>IF(#REF!,"AAAAAHsyLhU=",0)</f>
        <v>#REF!</v>
      </c>
      <c r="W302" t="e">
        <f>IF(#REF!,"AAAAAHsyLhY=",0)</f>
        <v>#REF!</v>
      </c>
      <c r="X302" t="e">
        <f>IF(#REF!,"AAAAAHsyLhc=",0)</f>
        <v>#REF!</v>
      </c>
      <c r="Y302" t="e">
        <f>IF(#REF!,"AAAAAHsyLhg=",0)</f>
        <v>#REF!</v>
      </c>
      <c r="Z302" t="e">
        <f>IF(#REF!,"AAAAAHsyLhk=",0)</f>
        <v>#REF!</v>
      </c>
      <c r="AA302" t="e">
        <f>IF(#REF!,"AAAAAHsyLho=",0)</f>
        <v>#REF!</v>
      </c>
      <c r="AB302" t="e">
        <f>IF(#REF!,"AAAAAHsyLhs=",0)</f>
        <v>#REF!</v>
      </c>
      <c r="AC302" t="e">
        <f>IF(#REF!,"AAAAAHsyLhw=",0)</f>
        <v>#REF!</v>
      </c>
      <c r="AD302" t="e">
        <f>IF(#REF!,"AAAAAHsyLh0=",0)</f>
        <v>#REF!</v>
      </c>
      <c r="AE302" t="e">
        <f>IF(#REF!,"AAAAAHsyLh4=",0)</f>
        <v>#REF!</v>
      </c>
      <c r="AF302" t="e">
        <f>IF(#REF!,"AAAAAHsyLh8=",0)</f>
        <v>#REF!</v>
      </c>
      <c r="AG302" t="e">
        <f>IF(#REF!,"AAAAAHsyLiA=",0)</f>
        <v>#REF!</v>
      </c>
      <c r="AH302" t="e">
        <f>IF(#REF!,"AAAAAHsyLiE=",0)</f>
        <v>#REF!</v>
      </c>
      <c r="AI302" t="e">
        <f>IF(#REF!,"AAAAAHsyLiI=",0)</f>
        <v>#REF!</v>
      </c>
      <c r="AJ302" t="e">
        <f>IF(#REF!,"AAAAAHsyLiM=",0)</f>
        <v>#REF!</v>
      </c>
      <c r="AK302" t="e">
        <f>IF(#REF!,"AAAAAHsyLiQ=",0)</f>
        <v>#REF!</v>
      </c>
      <c r="AL302" t="e">
        <f>IF(#REF!,"AAAAAHsyLiU=",0)</f>
        <v>#REF!</v>
      </c>
      <c r="AM302" t="e">
        <f>IF(#REF!,"AAAAAHsyLiY=",0)</f>
        <v>#REF!</v>
      </c>
      <c r="AN302" t="e">
        <f>IF(#REF!,"AAAAAHsyLic=",0)</f>
        <v>#REF!</v>
      </c>
      <c r="AO302" t="e">
        <f>IF(#REF!,"AAAAAHsyLig=",0)</f>
        <v>#REF!</v>
      </c>
      <c r="AP302" t="e">
        <f>IF(#REF!,"AAAAAHsyLik=",0)</f>
        <v>#REF!</v>
      </c>
      <c r="AQ302" t="e">
        <f>IF(#REF!,"AAAAAHsyLio=",0)</f>
        <v>#REF!</v>
      </c>
      <c r="AR302" t="e">
        <f>IF(#REF!,"AAAAAHsyLis=",0)</f>
        <v>#REF!</v>
      </c>
      <c r="AS302" t="e">
        <f>IF(#REF!,"AAAAAHsyLiw=",0)</f>
        <v>#REF!</v>
      </c>
      <c r="AT302" t="e">
        <f>IF(#REF!,"AAAAAHsyLi0=",0)</f>
        <v>#REF!</v>
      </c>
      <c r="AU302" t="e">
        <f>IF(#REF!,"AAAAAHsyLi4=",0)</f>
        <v>#REF!</v>
      </c>
      <c r="AV302" t="e">
        <f>IF(#REF!,"AAAAAHsyLi8=",0)</f>
        <v>#REF!</v>
      </c>
      <c r="AW302" t="e">
        <f>IF(#REF!,"AAAAAHsyLjA=",0)</f>
        <v>#REF!</v>
      </c>
      <c r="AX302" t="e">
        <f>IF(#REF!,"AAAAAHsyLjE=",0)</f>
        <v>#REF!</v>
      </c>
      <c r="AY302" t="e">
        <f>IF(#REF!,"AAAAAHsyLjI=",0)</f>
        <v>#REF!</v>
      </c>
      <c r="AZ302" t="e">
        <f>IF(#REF!,"AAAAAHsyLjM=",0)</f>
        <v>#REF!</v>
      </c>
      <c r="BA302" t="e">
        <f>IF(#REF!,"AAAAAHsyLjQ=",0)</f>
        <v>#REF!</v>
      </c>
      <c r="BB302" t="e">
        <f>IF(#REF!,"AAAAAHsyLjU=",0)</f>
        <v>#REF!</v>
      </c>
      <c r="BC302" t="e">
        <f>IF(#REF!,"AAAAAHsyLjY=",0)</f>
        <v>#REF!</v>
      </c>
      <c r="BD302" t="e">
        <f>IF(#REF!,"AAAAAHsyLjc=",0)</f>
        <v>#REF!</v>
      </c>
      <c r="BE302" t="e">
        <f>IF(#REF!,"AAAAAHsyLjg=",0)</f>
        <v>#REF!</v>
      </c>
      <c r="BF302" t="e">
        <f>IF(#REF!,"AAAAAHsyLjk=",0)</f>
        <v>#REF!</v>
      </c>
      <c r="BG302" t="e">
        <f>IF(#REF!,"AAAAAHsyLjo=",0)</f>
        <v>#REF!</v>
      </c>
      <c r="BH302" t="e">
        <f>IF(#REF!,"AAAAAHsyLjs=",0)</f>
        <v>#REF!</v>
      </c>
      <c r="BI302" t="e">
        <f>IF(#REF!,"AAAAAHsyLjw=",0)</f>
        <v>#REF!</v>
      </c>
      <c r="BJ302" t="e">
        <f>IF(#REF!,"AAAAAHsyLj0=",0)</f>
        <v>#REF!</v>
      </c>
      <c r="BK302" t="e">
        <f>IF(#REF!,"AAAAAHsyLj4=",0)</f>
        <v>#REF!</v>
      </c>
      <c r="BL302" t="e">
        <f>IF(#REF!,"AAAAAHsyLj8=",0)</f>
        <v>#REF!</v>
      </c>
      <c r="BM302" t="e">
        <f>IF(#REF!,"AAAAAHsyLkA=",0)</f>
        <v>#REF!</v>
      </c>
      <c r="BN302" t="e">
        <f>IF(#REF!,"AAAAAHsyLkE=",0)</f>
        <v>#REF!</v>
      </c>
      <c r="BO302" t="e">
        <f>IF(#REF!,"AAAAAHsyLkI=",0)</f>
        <v>#REF!</v>
      </c>
      <c r="BP302" t="e">
        <f>IF(#REF!,"AAAAAHsyLkM=",0)</f>
        <v>#REF!</v>
      </c>
      <c r="BQ302" t="e">
        <f>IF(#REF!,"AAAAAHsyLkQ=",0)</f>
        <v>#REF!</v>
      </c>
      <c r="BR302" t="e">
        <f>IF(#REF!,"AAAAAHsyLkU=",0)</f>
        <v>#REF!</v>
      </c>
      <c r="BS302" t="e">
        <f>IF(#REF!,"AAAAAHsyLkY=",0)</f>
        <v>#REF!</v>
      </c>
      <c r="BT302" t="e">
        <f>IF(#REF!,"AAAAAHsyLkc=",0)</f>
        <v>#REF!</v>
      </c>
      <c r="BU302" t="e">
        <f>IF(#REF!,"AAAAAHsyLkg=",0)</f>
        <v>#REF!</v>
      </c>
      <c r="BV302" t="e">
        <f>IF(#REF!,"AAAAAHsyLkk=",0)</f>
        <v>#REF!</v>
      </c>
      <c r="BW302" t="e">
        <f>IF(#REF!,"AAAAAHsyLko=",0)</f>
        <v>#REF!</v>
      </c>
      <c r="BX302" t="e">
        <f>IF(#REF!,"AAAAAHsyLks=",0)</f>
        <v>#REF!</v>
      </c>
      <c r="BY302" t="e">
        <f>IF(#REF!,"AAAAAHsyLkw=",0)</f>
        <v>#REF!</v>
      </c>
      <c r="BZ302" t="e">
        <f>IF(#REF!,"AAAAAHsyLk0=",0)</f>
        <v>#REF!</v>
      </c>
      <c r="CA302" t="e">
        <f>IF(#REF!,"AAAAAHsyLk4=",0)</f>
        <v>#REF!</v>
      </c>
      <c r="CB302" t="e">
        <f>IF(#REF!,"AAAAAHsyLk8=",0)</f>
        <v>#REF!</v>
      </c>
      <c r="CC302" t="e">
        <f>IF(#REF!,"AAAAAHsyLlA=",0)</f>
        <v>#REF!</v>
      </c>
      <c r="CD302" t="e">
        <f>IF(#REF!,"AAAAAHsyLlE=",0)</f>
        <v>#REF!</v>
      </c>
      <c r="CE302" t="e">
        <f>IF(#REF!,"AAAAAHsyLlI=",0)</f>
        <v>#REF!</v>
      </c>
      <c r="CF302" t="e">
        <f>IF(#REF!,"AAAAAHsyLlM=",0)</f>
        <v>#REF!</v>
      </c>
      <c r="CG302" t="e">
        <f>IF(#REF!,"AAAAAHsyLlQ=",0)</f>
        <v>#REF!</v>
      </c>
      <c r="CH302" t="e">
        <f>IF(#REF!,"AAAAAHsyLlU=",0)</f>
        <v>#REF!</v>
      </c>
      <c r="CI302" t="e">
        <f>IF(#REF!,"AAAAAHsyLlY=",0)</f>
        <v>#REF!</v>
      </c>
      <c r="CJ302" t="e">
        <f>IF(#REF!,"AAAAAHsyLlc=",0)</f>
        <v>#REF!</v>
      </c>
      <c r="CK302" t="e">
        <f>IF(#REF!,"AAAAAHsyLlg=",0)</f>
        <v>#REF!</v>
      </c>
      <c r="CL302" t="e">
        <f>IF(#REF!,"AAAAAHsyLlk=",0)</f>
        <v>#REF!</v>
      </c>
      <c r="CM302" t="e">
        <f>IF(#REF!,"AAAAAHsyLlo=",0)</f>
        <v>#REF!</v>
      </c>
      <c r="CN302" t="e">
        <f>IF(#REF!,"AAAAAHsyLls=",0)</f>
        <v>#REF!</v>
      </c>
      <c r="CO302" t="e">
        <f>IF(#REF!,"AAAAAHsyLlw=",0)</f>
        <v>#REF!</v>
      </c>
      <c r="CP302" t="e">
        <f>IF(#REF!,"AAAAAHsyLl0=",0)</f>
        <v>#REF!</v>
      </c>
      <c r="CQ302" t="e">
        <f>IF(#REF!,"AAAAAHsyLl4=",0)</f>
        <v>#REF!</v>
      </c>
      <c r="CR302" t="e">
        <f>IF(#REF!,"AAAAAHsyLl8=",0)</f>
        <v>#REF!</v>
      </c>
      <c r="CS302" t="e">
        <f>IF(#REF!,"AAAAAHsyLmA=",0)</f>
        <v>#REF!</v>
      </c>
      <c r="CT302" t="e">
        <f>IF(#REF!,"AAAAAHsyLmE=",0)</f>
        <v>#REF!</v>
      </c>
      <c r="CU302" t="e">
        <f>IF(#REF!,"AAAAAHsyLmI=",0)</f>
        <v>#REF!</v>
      </c>
      <c r="CV302" t="e">
        <f>IF(#REF!,"AAAAAHsyLmM=",0)</f>
        <v>#REF!</v>
      </c>
      <c r="CW302" t="e">
        <f>IF(#REF!,"AAAAAHsyLmQ=",0)</f>
        <v>#REF!</v>
      </c>
      <c r="CX302" t="e">
        <f>IF(#REF!,"AAAAAHsyLmU=",0)</f>
        <v>#REF!</v>
      </c>
      <c r="CY302" t="e">
        <f>IF(#REF!,"AAAAAHsyLmY=",0)</f>
        <v>#REF!</v>
      </c>
      <c r="CZ302" t="e">
        <f>IF(#REF!,"AAAAAHsyLmc=",0)</f>
        <v>#REF!</v>
      </c>
      <c r="DA302" t="e">
        <f>IF(#REF!,"AAAAAHsyLmg=",0)</f>
        <v>#REF!</v>
      </c>
      <c r="DB302" t="e">
        <f>IF(#REF!,"AAAAAHsyLmk=",0)</f>
        <v>#REF!</v>
      </c>
      <c r="DC302" t="e">
        <f>IF(#REF!,"AAAAAHsyLmo=",0)</f>
        <v>#REF!</v>
      </c>
      <c r="DD302" t="e">
        <f>IF(#REF!,"AAAAAHsyLms=",0)</f>
        <v>#REF!</v>
      </c>
      <c r="DE302" t="e">
        <f>IF(#REF!,"AAAAAHsyLmw=",0)</f>
        <v>#REF!</v>
      </c>
      <c r="DF302" t="e">
        <f>IF(#REF!,"AAAAAHsyLm0=",0)</f>
        <v>#REF!</v>
      </c>
      <c r="DG302" t="e">
        <f>IF(#REF!,"AAAAAHsyLm4=",0)</f>
        <v>#REF!</v>
      </c>
      <c r="DH302" t="e">
        <f>IF(#REF!,"AAAAAHsyLm8=",0)</f>
        <v>#REF!</v>
      </c>
      <c r="DI302" t="e">
        <f>IF(#REF!,"AAAAAHsyLnA=",0)</f>
        <v>#REF!</v>
      </c>
      <c r="DJ302" t="e">
        <f>IF(#REF!,"AAAAAHsyLnE=",0)</f>
        <v>#REF!</v>
      </c>
      <c r="DK302" t="e">
        <f>IF(#REF!,"AAAAAHsyLnI=",0)</f>
        <v>#REF!</v>
      </c>
      <c r="DL302" t="e">
        <f>IF(#REF!,"AAAAAHsyLnM=",0)</f>
        <v>#REF!</v>
      </c>
      <c r="DM302" t="e">
        <f>IF(#REF!,"AAAAAHsyLnQ=",0)</f>
        <v>#REF!</v>
      </c>
      <c r="DN302" t="e">
        <f>IF(#REF!,"AAAAAHsyLnU=",0)</f>
        <v>#REF!</v>
      </c>
      <c r="DO302" t="e">
        <f>IF(#REF!,"AAAAAHsyLnY=",0)</f>
        <v>#REF!</v>
      </c>
      <c r="DP302" t="e">
        <f>IF(#REF!,"AAAAAHsyLnc=",0)</f>
        <v>#REF!</v>
      </c>
      <c r="DQ302" t="e">
        <f>IF(#REF!,"AAAAAHsyLng=",0)</f>
        <v>#REF!</v>
      </c>
      <c r="DR302" t="e">
        <f>IF(#REF!,"AAAAAHsyLnk=",0)</f>
        <v>#REF!</v>
      </c>
      <c r="DS302" t="e">
        <f>IF(#REF!,"AAAAAHsyLno=",0)</f>
        <v>#REF!</v>
      </c>
      <c r="DT302" t="e">
        <f>IF(#REF!,"AAAAAHsyLns=",0)</f>
        <v>#REF!</v>
      </c>
      <c r="DU302" t="e">
        <f>IF(#REF!,"AAAAAHsyLnw=",0)</f>
        <v>#REF!</v>
      </c>
      <c r="DV302" t="e">
        <f>IF(#REF!,"AAAAAHsyLn0=",0)</f>
        <v>#REF!</v>
      </c>
      <c r="DW302" t="e">
        <f>IF(#REF!,"AAAAAHsyLn4=",0)</f>
        <v>#REF!</v>
      </c>
      <c r="DX302" t="e">
        <f>IF(#REF!,"AAAAAHsyLn8=",0)</f>
        <v>#REF!</v>
      </c>
      <c r="DY302" t="e">
        <f>IF(#REF!,"AAAAAHsyLoA=",0)</f>
        <v>#REF!</v>
      </c>
      <c r="DZ302" t="e">
        <f>IF(#REF!,"AAAAAHsyLoE=",0)</f>
        <v>#REF!</v>
      </c>
      <c r="EA302" t="e">
        <f>IF(#REF!,"AAAAAHsyLoI=",0)</f>
        <v>#REF!</v>
      </c>
      <c r="EB302" t="e">
        <f>IF(#REF!,"AAAAAHsyLoM=",0)</f>
        <v>#REF!</v>
      </c>
      <c r="EC302" t="e">
        <f>IF(#REF!,"AAAAAHsyLoQ=",0)</f>
        <v>#REF!</v>
      </c>
      <c r="ED302" t="e">
        <f>IF(#REF!,"AAAAAHsyLoU=",0)</f>
        <v>#REF!</v>
      </c>
      <c r="EE302" t="e">
        <f>IF(#REF!,"AAAAAHsyLoY=",0)</f>
        <v>#REF!</v>
      </c>
      <c r="EF302" t="e">
        <f>IF(#REF!,"AAAAAHsyLoc=",0)</f>
        <v>#REF!</v>
      </c>
      <c r="EG302" t="e">
        <f>IF(#REF!,"AAAAAHsyLog=",0)</f>
        <v>#REF!</v>
      </c>
      <c r="EH302" t="e">
        <f>IF(#REF!,"AAAAAHsyLok=",0)</f>
        <v>#REF!</v>
      </c>
      <c r="EI302" t="e">
        <f>IF(#REF!,"AAAAAHsyLoo=",0)</f>
        <v>#REF!</v>
      </c>
      <c r="EJ302" t="e">
        <f>IF(#REF!,"AAAAAHsyLos=",0)</f>
        <v>#REF!</v>
      </c>
      <c r="EK302" t="e">
        <f>IF(#REF!,"AAAAAHsyLow=",0)</f>
        <v>#REF!</v>
      </c>
      <c r="EL302" t="e">
        <f>IF(#REF!,"AAAAAHsyLo0=",0)</f>
        <v>#REF!</v>
      </c>
      <c r="EM302" t="e">
        <f>IF(#REF!,"AAAAAHsyLo4=",0)</f>
        <v>#REF!</v>
      </c>
      <c r="EN302" t="e">
        <f>IF(#REF!,"AAAAAHsyLo8=",0)</f>
        <v>#REF!</v>
      </c>
      <c r="EO302" t="e">
        <f>IF(#REF!,"AAAAAHsyLpA=",0)</f>
        <v>#REF!</v>
      </c>
      <c r="EP302" t="e">
        <f>IF(#REF!,"AAAAAHsyLpE=",0)</f>
        <v>#REF!</v>
      </c>
      <c r="EQ302" t="e">
        <f>IF(#REF!,"AAAAAHsyLpI=",0)</f>
        <v>#REF!</v>
      </c>
      <c r="ER302" t="e">
        <f>IF(#REF!,"AAAAAHsyLpM=",0)</f>
        <v>#REF!</v>
      </c>
      <c r="ES302" t="e">
        <f>IF(#REF!,"AAAAAHsyLpQ=",0)</f>
        <v>#REF!</v>
      </c>
      <c r="ET302" t="e">
        <f>IF(#REF!,"AAAAAHsyLpU=",0)</f>
        <v>#REF!</v>
      </c>
      <c r="EU302" t="e">
        <f>IF(#REF!,"AAAAAHsyLpY=",0)</f>
        <v>#REF!</v>
      </c>
      <c r="EV302" t="e">
        <f>IF(#REF!,"AAAAAHsyLpc=",0)</f>
        <v>#REF!</v>
      </c>
      <c r="EW302" t="e">
        <f>IF(#REF!,"AAAAAHsyLpg=",0)</f>
        <v>#REF!</v>
      </c>
      <c r="EX302" t="e">
        <f>IF(#REF!,"AAAAAHsyLpk=",0)</f>
        <v>#REF!</v>
      </c>
      <c r="EY302" t="e">
        <f>IF(#REF!,"AAAAAHsyLpo=",0)</f>
        <v>#REF!</v>
      </c>
      <c r="EZ302" t="e">
        <f>IF(#REF!,"AAAAAHsyLps=",0)</f>
        <v>#REF!</v>
      </c>
      <c r="FA302" t="e">
        <f>IF(#REF!,"AAAAAHsyLpw=",0)</f>
        <v>#REF!</v>
      </c>
      <c r="FB302" t="e">
        <f>IF(#REF!,"AAAAAHsyLp0=",0)</f>
        <v>#REF!</v>
      </c>
      <c r="FC302" t="e">
        <f>IF(#REF!,"AAAAAHsyLp4=",0)</f>
        <v>#REF!</v>
      </c>
      <c r="FD302" t="e">
        <f>IF(#REF!,"AAAAAHsyLp8=",0)</f>
        <v>#REF!</v>
      </c>
      <c r="FE302" t="e">
        <f>IF(#REF!,"AAAAAHsyLqA=",0)</f>
        <v>#REF!</v>
      </c>
      <c r="FF302" t="e">
        <f>IF(#REF!,"AAAAAHsyLqE=",0)</f>
        <v>#REF!</v>
      </c>
      <c r="FG302" t="e">
        <f>IF(#REF!,"AAAAAHsyLqI=",0)</f>
        <v>#REF!</v>
      </c>
      <c r="FH302" t="e">
        <f>IF(#REF!,"AAAAAHsyLqM=",0)</f>
        <v>#REF!</v>
      </c>
      <c r="FI302" t="e">
        <f>IF(#REF!,"AAAAAHsyLqQ=",0)</f>
        <v>#REF!</v>
      </c>
      <c r="FJ302" t="e">
        <f>IF(#REF!,"AAAAAHsyLqU=",0)</f>
        <v>#REF!</v>
      </c>
      <c r="FK302" t="e">
        <f>IF(#REF!,"AAAAAHsyLqY=",0)</f>
        <v>#REF!</v>
      </c>
      <c r="FL302" t="e">
        <f>IF(#REF!,"AAAAAHsyLqc=",0)</f>
        <v>#REF!</v>
      </c>
      <c r="FM302" t="e">
        <f>IF(#REF!,"AAAAAHsyLqg=",0)</f>
        <v>#REF!</v>
      </c>
      <c r="FN302" t="e">
        <f>IF(#REF!,"AAAAAHsyLqk=",0)</f>
        <v>#REF!</v>
      </c>
      <c r="FO302" t="e">
        <f>IF(#REF!,"AAAAAHsyLqo=",0)</f>
        <v>#REF!</v>
      </c>
      <c r="FP302" t="e">
        <f>IF(#REF!,"AAAAAHsyLqs=",0)</f>
        <v>#REF!</v>
      </c>
      <c r="FQ302" t="e">
        <f>IF(#REF!,"AAAAAHsyLqw=",0)</f>
        <v>#REF!</v>
      </c>
      <c r="FR302" t="e">
        <f>IF(#REF!,"AAAAAHsyLq0=",0)</f>
        <v>#REF!</v>
      </c>
      <c r="FS302" t="e">
        <f>IF(#REF!,"AAAAAHsyLq4=",0)</f>
        <v>#REF!</v>
      </c>
      <c r="FT302" t="e">
        <f>IF(#REF!,"AAAAAHsyLq8=",0)</f>
        <v>#REF!</v>
      </c>
      <c r="FU302" t="e">
        <f>IF(#REF!,"AAAAAHsyLrA=",0)</f>
        <v>#REF!</v>
      </c>
      <c r="FV302" t="e">
        <f>IF(#REF!,"AAAAAHsyLrE=",0)</f>
        <v>#REF!</v>
      </c>
      <c r="FW302" t="e">
        <f>IF(#REF!,"AAAAAHsyLrI=",0)</f>
        <v>#REF!</v>
      </c>
      <c r="FX302" t="e">
        <f>IF(#REF!,"AAAAAHsyLrM=",0)</f>
        <v>#REF!</v>
      </c>
      <c r="FY302" t="e">
        <f>IF(#REF!,"AAAAAHsyLrQ=",0)</f>
        <v>#REF!</v>
      </c>
      <c r="FZ302" t="e">
        <f>IF(#REF!,"AAAAAHsyLrU=",0)</f>
        <v>#REF!</v>
      </c>
      <c r="GA302" t="e">
        <f>IF(#REF!,"AAAAAHsyLrY=",0)</f>
        <v>#REF!</v>
      </c>
      <c r="GB302" t="e">
        <f>IF(#REF!,"AAAAAHsyLrc=",0)</f>
        <v>#REF!</v>
      </c>
      <c r="GC302" t="e">
        <f>IF(#REF!,"AAAAAHsyLrg=",0)</f>
        <v>#REF!</v>
      </c>
      <c r="GD302" t="e">
        <f>IF(#REF!,"AAAAAHsyLrk=",0)</f>
        <v>#REF!</v>
      </c>
      <c r="GE302" t="e">
        <f>IF(#REF!,"AAAAAHsyLro=",0)</f>
        <v>#REF!</v>
      </c>
      <c r="GF302" t="e">
        <f>IF(#REF!,"AAAAAHsyLrs=",0)</f>
        <v>#REF!</v>
      </c>
      <c r="GG302" t="e">
        <f>IF(#REF!,"AAAAAHsyLrw=",0)</f>
        <v>#REF!</v>
      </c>
      <c r="GH302" t="e">
        <f>IF(#REF!,"AAAAAHsyLr0=",0)</f>
        <v>#REF!</v>
      </c>
      <c r="GI302" t="e">
        <f>IF(#REF!,"AAAAAHsyLr4=",0)</f>
        <v>#REF!</v>
      </c>
      <c r="GJ302" t="e">
        <f>IF(#REF!,"AAAAAHsyLr8=",0)</f>
        <v>#REF!</v>
      </c>
      <c r="GK302" t="e">
        <f>IF(#REF!,"AAAAAHsyLsA=",0)</f>
        <v>#REF!</v>
      </c>
      <c r="GL302" t="e">
        <f>IF(#REF!,"AAAAAHsyLsE=",0)</f>
        <v>#REF!</v>
      </c>
      <c r="GM302" t="e">
        <f>IF(#REF!,"AAAAAHsyLsI=",0)</f>
        <v>#REF!</v>
      </c>
      <c r="GN302" t="e">
        <f>IF(#REF!,"AAAAAHsyLsM=",0)</f>
        <v>#REF!</v>
      </c>
      <c r="GO302" t="e">
        <f>IF(#REF!,"AAAAAHsyLsQ=",0)</f>
        <v>#REF!</v>
      </c>
      <c r="GP302" t="e">
        <f>IF(#REF!,"AAAAAHsyLsU=",0)</f>
        <v>#REF!</v>
      </c>
      <c r="GQ302" t="e">
        <f>IF(#REF!,"AAAAAHsyLsY=",0)</f>
        <v>#REF!</v>
      </c>
      <c r="GR302" t="e">
        <f>IF(#REF!,"AAAAAHsyLsc=",0)</f>
        <v>#REF!</v>
      </c>
      <c r="GS302" t="e">
        <f>IF(#REF!,"AAAAAHsyLsg=",0)</f>
        <v>#REF!</v>
      </c>
      <c r="GT302" t="e">
        <f>IF(#REF!,"AAAAAHsyLsk=",0)</f>
        <v>#REF!</v>
      </c>
      <c r="GU302" t="e">
        <f>IF(#REF!,"AAAAAHsyLso=",0)</f>
        <v>#REF!</v>
      </c>
      <c r="GV302" t="e">
        <f>IF(#REF!,"AAAAAHsyLss=",0)</f>
        <v>#REF!</v>
      </c>
      <c r="GW302" t="e">
        <f>IF(#REF!,"AAAAAHsyLsw=",0)</f>
        <v>#REF!</v>
      </c>
      <c r="GX302" t="e">
        <f>IF(#REF!,"AAAAAHsyLs0=",0)</f>
        <v>#REF!</v>
      </c>
      <c r="GY302" t="e">
        <f>IF(#REF!,"AAAAAHsyLs4=",0)</f>
        <v>#REF!</v>
      </c>
      <c r="GZ302" t="e">
        <f>IF(#REF!,"AAAAAHsyLs8=",0)</f>
        <v>#REF!</v>
      </c>
      <c r="HA302" t="e">
        <f>IF(#REF!,"AAAAAHsyLtA=",0)</f>
        <v>#REF!</v>
      </c>
      <c r="HB302" t="e">
        <f>IF(#REF!,"AAAAAHsyLtE=",0)</f>
        <v>#REF!</v>
      </c>
      <c r="HC302" t="e">
        <f>IF(#REF!,"AAAAAHsyLtI=",0)</f>
        <v>#REF!</v>
      </c>
      <c r="HD302" t="e">
        <f>IF(#REF!,"AAAAAHsyLtM=",0)</f>
        <v>#REF!</v>
      </c>
      <c r="HE302" t="e">
        <f>IF(#REF!,"AAAAAHsyLtQ=",0)</f>
        <v>#REF!</v>
      </c>
      <c r="HF302" t="e">
        <f>IF(#REF!,"AAAAAHsyLtU=",0)</f>
        <v>#REF!</v>
      </c>
      <c r="HG302" t="e">
        <f>IF(#REF!,"AAAAAHsyLtY=",0)</f>
        <v>#REF!</v>
      </c>
      <c r="HH302" t="e">
        <f>IF(#REF!,"AAAAAHsyLtc=",0)</f>
        <v>#REF!</v>
      </c>
      <c r="HI302" t="e">
        <f>IF(#REF!,"AAAAAHsyLtg=",0)</f>
        <v>#REF!</v>
      </c>
      <c r="HJ302" t="e">
        <f>IF(#REF!,"AAAAAHsyLtk=",0)</f>
        <v>#REF!</v>
      </c>
      <c r="HK302" t="e">
        <f>IF(#REF!,"AAAAAHsyLto=",0)</f>
        <v>#REF!</v>
      </c>
      <c r="HL302" t="e">
        <f>IF(#REF!,"AAAAAHsyLts=",0)</f>
        <v>#REF!</v>
      </c>
      <c r="HM302" t="e">
        <f>IF(#REF!,"AAAAAHsyLtw=",0)</f>
        <v>#REF!</v>
      </c>
      <c r="HN302" t="e">
        <f>IF(#REF!,"AAAAAHsyLt0=",0)</f>
        <v>#REF!</v>
      </c>
      <c r="HO302" t="e">
        <f>IF(#REF!,"AAAAAHsyLt4=",0)</f>
        <v>#REF!</v>
      </c>
      <c r="HP302" t="e">
        <f>IF(#REF!,"AAAAAHsyLt8=",0)</f>
        <v>#REF!</v>
      </c>
      <c r="HQ302" t="e">
        <f>IF(#REF!,"AAAAAHsyLuA=",0)</f>
        <v>#REF!</v>
      </c>
      <c r="HR302" t="e">
        <f>IF(#REF!,"AAAAAHsyLuE=",0)</f>
        <v>#REF!</v>
      </c>
      <c r="HS302" t="e">
        <f>IF(#REF!,"AAAAAHsyLuI=",0)</f>
        <v>#REF!</v>
      </c>
      <c r="HT302" t="e">
        <f>IF(#REF!,"AAAAAHsyLuM=",0)</f>
        <v>#REF!</v>
      </c>
      <c r="HU302" t="e">
        <f>IF(#REF!,"AAAAAHsyLuQ=",0)</f>
        <v>#REF!</v>
      </c>
      <c r="HV302" t="e">
        <f>IF(#REF!,"AAAAAHsyLuU=",0)</f>
        <v>#REF!</v>
      </c>
      <c r="HW302" t="e">
        <f>IF(#REF!,"AAAAAHsyLuY=",0)</f>
        <v>#REF!</v>
      </c>
      <c r="HX302" t="e">
        <f>IF(#REF!,"AAAAAHsyLuc=",0)</f>
        <v>#REF!</v>
      </c>
      <c r="HY302" t="e">
        <f>IF(#REF!,"AAAAAHsyLug=",0)</f>
        <v>#REF!</v>
      </c>
      <c r="HZ302" t="e">
        <f>IF(#REF!,"AAAAAHsyLuk=",0)</f>
        <v>#REF!</v>
      </c>
      <c r="IA302" t="e">
        <f>IF(#REF!,"AAAAAHsyLuo=",0)</f>
        <v>#REF!</v>
      </c>
      <c r="IB302" t="e">
        <f>IF(#REF!,"AAAAAHsyLus=",0)</f>
        <v>#REF!</v>
      </c>
      <c r="IC302" t="e">
        <f>IF(#REF!,"AAAAAHsyLuw=",0)</f>
        <v>#REF!</v>
      </c>
      <c r="ID302" t="e">
        <f>IF(#REF!,"AAAAAHsyLu0=",0)</f>
        <v>#REF!</v>
      </c>
      <c r="IE302" t="e">
        <f>IF(#REF!,"AAAAAHsyLu4=",0)</f>
        <v>#REF!</v>
      </c>
      <c r="IF302" t="e">
        <f>IF(#REF!,"AAAAAHsyLu8=",0)</f>
        <v>#REF!</v>
      </c>
      <c r="IG302" t="e">
        <f>IF(#REF!,"AAAAAHsyLvA=",0)</f>
        <v>#REF!</v>
      </c>
      <c r="IH302" t="e">
        <f>IF(#REF!,"AAAAAHsyLvE=",0)</f>
        <v>#REF!</v>
      </c>
      <c r="II302" t="e">
        <f>IF(#REF!,"AAAAAHsyLvI=",0)</f>
        <v>#REF!</v>
      </c>
      <c r="IJ302" t="e">
        <f>IF(#REF!,"AAAAAHsyLvM=",0)</f>
        <v>#REF!</v>
      </c>
      <c r="IK302" t="e">
        <f>IF(#REF!,"AAAAAHsyLvQ=",0)</f>
        <v>#REF!</v>
      </c>
      <c r="IL302" t="e">
        <f>IF(#REF!,"AAAAAHsyLvU=",0)</f>
        <v>#REF!</v>
      </c>
      <c r="IM302" t="e">
        <f>IF(#REF!,"AAAAAHsyLvY=",0)</f>
        <v>#REF!</v>
      </c>
      <c r="IN302" t="e">
        <f>IF(#REF!,"AAAAAHsyLvc=",0)</f>
        <v>#REF!</v>
      </c>
      <c r="IO302" t="e">
        <f>IF(#REF!,"AAAAAHsyLvg=",0)</f>
        <v>#REF!</v>
      </c>
      <c r="IP302" t="e">
        <f>IF(#REF!,"AAAAAHsyLvk=",0)</f>
        <v>#REF!</v>
      </c>
      <c r="IQ302" t="e">
        <f>IF(#REF!,"AAAAAHsyLvo=",0)</f>
        <v>#REF!</v>
      </c>
      <c r="IR302" t="e">
        <f>IF(#REF!,"AAAAAHsyLvs=",0)</f>
        <v>#REF!</v>
      </c>
      <c r="IS302" t="e">
        <f>IF(#REF!,"AAAAAHsyLvw=",0)</f>
        <v>#REF!</v>
      </c>
      <c r="IT302" t="e">
        <f>IF(#REF!,"AAAAAHsyLv0=",0)</f>
        <v>#REF!</v>
      </c>
      <c r="IU302" t="e">
        <f>IF(#REF!,"AAAAAHsyLv4=",0)</f>
        <v>#REF!</v>
      </c>
      <c r="IV302" t="e">
        <f>IF(#REF!,"AAAAAHsyLv8=",0)</f>
        <v>#REF!</v>
      </c>
    </row>
    <row r="303" spans="1:256">
      <c r="A303" t="e">
        <f>IF(#REF!,"AAAAAHnf3wA=",0)</f>
        <v>#REF!</v>
      </c>
      <c r="B303" t="e">
        <f>IF(#REF!,"AAAAAHnf3wE=",0)</f>
        <v>#REF!</v>
      </c>
      <c r="C303" t="e">
        <f>IF(#REF!,"AAAAAHnf3wI=",0)</f>
        <v>#REF!</v>
      </c>
      <c r="D303" t="e">
        <f>IF(#REF!,"AAAAAHnf3wM=",0)</f>
        <v>#REF!</v>
      </c>
      <c r="E303" t="e">
        <f>IF(#REF!,"AAAAAHnf3wQ=",0)</f>
        <v>#REF!</v>
      </c>
      <c r="F303" t="e">
        <f>IF(#REF!,"AAAAAHnf3wU=",0)</f>
        <v>#REF!</v>
      </c>
      <c r="G303" t="e">
        <f>IF(#REF!,"AAAAAHnf3wY=",0)</f>
        <v>#REF!</v>
      </c>
      <c r="H303" t="e">
        <f>IF(#REF!,"AAAAAHnf3wc=",0)</f>
        <v>#REF!</v>
      </c>
      <c r="I303" t="e">
        <f>IF(#REF!,"AAAAAHnf3wg=",0)</f>
        <v>#REF!</v>
      </c>
      <c r="J303" t="e">
        <f>IF(#REF!,"AAAAAHnf3wk=",0)</f>
        <v>#REF!</v>
      </c>
      <c r="K303" t="e">
        <f>IF(#REF!,"AAAAAHnf3wo=",0)</f>
        <v>#REF!</v>
      </c>
      <c r="L303" t="e">
        <f>IF(#REF!,"AAAAAHnf3ws=",0)</f>
        <v>#REF!</v>
      </c>
      <c r="M303" t="e">
        <f>IF(#REF!,"AAAAAHnf3ww=",0)</f>
        <v>#REF!</v>
      </c>
      <c r="N303" t="e">
        <f>IF(#REF!,"AAAAAHnf3w0=",0)</f>
        <v>#REF!</v>
      </c>
      <c r="O303" t="e">
        <f>IF(#REF!,"AAAAAHnf3w4=",0)</f>
        <v>#REF!</v>
      </c>
      <c r="P303" t="e">
        <f>IF(#REF!,"AAAAAHnf3w8=",0)</f>
        <v>#REF!</v>
      </c>
      <c r="Q303" t="e">
        <f>IF(#REF!,"AAAAAHnf3xA=",0)</f>
        <v>#REF!</v>
      </c>
      <c r="R303" t="e">
        <f>IF(#REF!,"AAAAAHnf3xE=",0)</f>
        <v>#REF!</v>
      </c>
      <c r="S303" t="e">
        <f>IF(#REF!,"AAAAAHnf3xI=",0)</f>
        <v>#REF!</v>
      </c>
      <c r="T303" t="e">
        <f>IF(#REF!,"AAAAAHnf3xM=",0)</f>
        <v>#REF!</v>
      </c>
      <c r="U303" t="e">
        <f>IF(#REF!,"AAAAAHnf3xQ=",0)</f>
        <v>#REF!</v>
      </c>
      <c r="V303" t="e">
        <f>IF(#REF!,"AAAAAHnf3xU=",0)</f>
        <v>#REF!</v>
      </c>
      <c r="W303" t="e">
        <f>IF(#REF!,"AAAAAHnf3xY=",0)</f>
        <v>#REF!</v>
      </c>
      <c r="X303" t="e">
        <f>IF(#REF!,"AAAAAHnf3xc=",0)</f>
        <v>#REF!</v>
      </c>
      <c r="Y303" t="e">
        <f>IF(#REF!,"AAAAAHnf3xg=",0)</f>
        <v>#REF!</v>
      </c>
      <c r="Z303" t="e">
        <f>IF(#REF!,"AAAAAHnf3xk=",0)</f>
        <v>#REF!</v>
      </c>
      <c r="AA303" t="e">
        <f>IF(#REF!,"AAAAAHnf3xo=",0)</f>
        <v>#REF!</v>
      </c>
      <c r="AB303" t="e">
        <f>IF(#REF!,"AAAAAHnf3xs=",0)</f>
        <v>#REF!</v>
      </c>
      <c r="AC303" t="e">
        <f>IF(#REF!,"AAAAAHnf3xw=",0)</f>
        <v>#REF!</v>
      </c>
      <c r="AD303" t="e">
        <f>IF(#REF!,"AAAAAHnf3x0=",0)</f>
        <v>#REF!</v>
      </c>
      <c r="AE303" t="e">
        <f>IF(#REF!,"AAAAAHnf3x4=",0)</f>
        <v>#REF!</v>
      </c>
      <c r="AF303" t="e">
        <f>IF(#REF!,"AAAAAHnf3x8=",0)</f>
        <v>#REF!</v>
      </c>
      <c r="AG303" t="e">
        <f>IF(#REF!,"AAAAAHnf3yA=",0)</f>
        <v>#REF!</v>
      </c>
      <c r="AH303" t="e">
        <f>IF(#REF!,"AAAAAHnf3yE=",0)</f>
        <v>#REF!</v>
      </c>
      <c r="AI303" t="e">
        <f>IF(#REF!,"AAAAAHnf3yI=",0)</f>
        <v>#REF!</v>
      </c>
      <c r="AJ303" t="e">
        <f>IF(#REF!,"AAAAAHnf3yM=",0)</f>
        <v>#REF!</v>
      </c>
      <c r="AK303" t="e">
        <f>IF(#REF!,"AAAAAHnf3yQ=",0)</f>
        <v>#REF!</v>
      </c>
      <c r="AL303" t="e">
        <f>IF(#REF!,"AAAAAHnf3yU=",0)</f>
        <v>#REF!</v>
      </c>
      <c r="AM303" t="e">
        <f>IF(#REF!,"AAAAAHnf3yY=",0)</f>
        <v>#REF!</v>
      </c>
      <c r="AN303" t="e">
        <f>IF(#REF!,"AAAAAHnf3yc=",0)</f>
        <v>#REF!</v>
      </c>
      <c r="AO303" t="e">
        <f>IF(#REF!,"AAAAAHnf3yg=",0)</f>
        <v>#REF!</v>
      </c>
      <c r="AP303" t="e">
        <f>IF(#REF!,"AAAAAHnf3yk=",0)</f>
        <v>#REF!</v>
      </c>
      <c r="AQ303" t="e">
        <f>IF(#REF!,"AAAAAHnf3yo=",0)</f>
        <v>#REF!</v>
      </c>
      <c r="AR303" t="e">
        <f>IF(#REF!,"AAAAAHnf3ys=",0)</f>
        <v>#REF!</v>
      </c>
      <c r="AS303" t="e">
        <f>IF(#REF!,"AAAAAHnf3yw=",0)</f>
        <v>#REF!</v>
      </c>
      <c r="AT303" t="e">
        <f>IF(#REF!,"AAAAAHnf3y0=",0)</f>
        <v>#REF!</v>
      </c>
      <c r="AU303" t="e">
        <f>IF(#REF!,"AAAAAHnf3y4=",0)</f>
        <v>#REF!</v>
      </c>
      <c r="AV303" t="e">
        <f>IF(#REF!,"AAAAAHnf3y8=",0)</f>
        <v>#REF!</v>
      </c>
      <c r="AW303" t="e">
        <f>IF(#REF!,"AAAAAHnf3zA=",0)</f>
        <v>#REF!</v>
      </c>
      <c r="AX303" t="e">
        <f>IF(#REF!,"AAAAAHnf3zE=",0)</f>
        <v>#REF!</v>
      </c>
      <c r="AY303" t="e">
        <f>IF(#REF!,"AAAAAHnf3zI=",0)</f>
        <v>#REF!</v>
      </c>
      <c r="AZ303" t="e">
        <f>IF(#REF!,"AAAAAHnf3zM=",0)</f>
        <v>#REF!</v>
      </c>
      <c r="BA303" t="e">
        <f>IF(#REF!,"AAAAAHnf3zQ=",0)</f>
        <v>#REF!</v>
      </c>
      <c r="BB303" t="e">
        <f>IF(#REF!,"AAAAAHnf3zU=",0)</f>
        <v>#REF!</v>
      </c>
      <c r="BC303" t="e">
        <f>IF(#REF!,"AAAAAHnf3zY=",0)</f>
        <v>#REF!</v>
      </c>
      <c r="BD303" t="e">
        <f>IF(#REF!,"AAAAAHnf3zc=",0)</f>
        <v>#REF!</v>
      </c>
      <c r="BE303" t="e">
        <f>IF(#REF!,"AAAAAHnf3zg=",0)</f>
        <v>#REF!</v>
      </c>
      <c r="BF303" t="e">
        <f>IF(#REF!,"AAAAAHnf3zk=",0)</f>
        <v>#REF!</v>
      </c>
      <c r="BG303" t="e">
        <f>IF(#REF!,"AAAAAHnf3zo=",0)</f>
        <v>#REF!</v>
      </c>
      <c r="BH303" t="e">
        <f>IF(#REF!,"AAAAAHnf3zs=",0)</f>
        <v>#REF!</v>
      </c>
      <c r="BI303" t="e">
        <f>IF(#REF!,"AAAAAHnf3zw=",0)</f>
        <v>#REF!</v>
      </c>
      <c r="BJ303" t="e">
        <f>IF(#REF!,"AAAAAHnf3z0=",0)</f>
        <v>#REF!</v>
      </c>
      <c r="BK303" t="e">
        <f>IF(#REF!,"AAAAAHnf3z4=",0)</f>
        <v>#REF!</v>
      </c>
      <c r="BL303" t="e">
        <f>IF(#REF!,"AAAAAHnf3z8=",0)</f>
        <v>#REF!</v>
      </c>
      <c r="BM303" t="e">
        <f>IF(#REF!,"AAAAAHnf30A=",0)</f>
        <v>#REF!</v>
      </c>
      <c r="BN303" t="e">
        <f>IF(#REF!,"AAAAAHnf30E=",0)</f>
        <v>#REF!</v>
      </c>
      <c r="BO303" t="e">
        <f>IF(#REF!,"AAAAAHnf30I=",0)</f>
        <v>#REF!</v>
      </c>
      <c r="BP303" t="e">
        <f>IF(#REF!,"AAAAAHnf30M=",0)</f>
        <v>#REF!</v>
      </c>
      <c r="BQ303" t="e">
        <f>IF(#REF!,"AAAAAHnf30Q=",0)</f>
        <v>#REF!</v>
      </c>
      <c r="BR303" t="e">
        <f>IF(#REF!,"AAAAAHnf30U=",0)</f>
        <v>#REF!</v>
      </c>
      <c r="BS303" t="e">
        <f>IF(#REF!,"AAAAAHnf30Y=",0)</f>
        <v>#REF!</v>
      </c>
      <c r="BT303" t="e">
        <f>IF(#REF!,"AAAAAHnf30c=",0)</f>
        <v>#REF!</v>
      </c>
      <c r="BU303" t="e">
        <f>IF(#REF!,"AAAAAHnf30g=",0)</f>
        <v>#REF!</v>
      </c>
      <c r="BV303" t="e">
        <f>IF(#REF!,"AAAAAHnf30k=",0)</f>
        <v>#REF!</v>
      </c>
      <c r="BW303" t="e">
        <f>IF(#REF!,"AAAAAHnf30o=",0)</f>
        <v>#REF!</v>
      </c>
      <c r="BX303" t="e">
        <f>IF(#REF!,"AAAAAHnf30s=",0)</f>
        <v>#REF!</v>
      </c>
      <c r="BY303" t="e">
        <f>IF(#REF!,"AAAAAHnf30w=",0)</f>
        <v>#REF!</v>
      </c>
      <c r="BZ303" t="e">
        <f>IF(#REF!,"AAAAAHnf300=",0)</f>
        <v>#REF!</v>
      </c>
      <c r="CA303" t="e">
        <f>IF(#REF!,"AAAAAHnf304=",0)</f>
        <v>#REF!</v>
      </c>
      <c r="CB303" t="e">
        <f>IF(#REF!,"AAAAAHnf308=",0)</f>
        <v>#REF!</v>
      </c>
      <c r="CC303" t="e">
        <f>IF(#REF!,"AAAAAHnf31A=",0)</f>
        <v>#REF!</v>
      </c>
      <c r="CD303" t="e">
        <f>IF(#REF!,"AAAAAHnf31E=",0)</f>
        <v>#REF!</v>
      </c>
      <c r="CE303" t="e">
        <f>IF(#REF!,"AAAAAHnf31I=",0)</f>
        <v>#REF!</v>
      </c>
      <c r="CF303" t="e">
        <f>IF(#REF!,"AAAAAHnf31M=",0)</f>
        <v>#REF!</v>
      </c>
      <c r="CG303" t="e">
        <f>IF(#REF!,"AAAAAHnf31Q=",0)</f>
        <v>#REF!</v>
      </c>
      <c r="CH303" t="e">
        <f>IF(#REF!,"AAAAAHnf31U=",0)</f>
        <v>#REF!</v>
      </c>
      <c r="CI303" t="e">
        <f>IF(#REF!,"AAAAAHnf31Y=",0)</f>
        <v>#REF!</v>
      </c>
      <c r="CJ303" t="e">
        <f>IF(#REF!,"AAAAAHnf31c=",0)</f>
        <v>#REF!</v>
      </c>
      <c r="CK303" t="e">
        <f>IF(#REF!,"AAAAAHnf31g=",0)</f>
        <v>#REF!</v>
      </c>
      <c r="CL303" t="e">
        <f>IF(#REF!,"AAAAAHnf31k=",0)</f>
        <v>#REF!</v>
      </c>
      <c r="CM303" t="e">
        <f>IF(#REF!,"AAAAAHnf31o=",0)</f>
        <v>#REF!</v>
      </c>
      <c r="CN303" t="e">
        <f>IF(#REF!,"AAAAAHnf31s=",0)</f>
        <v>#REF!</v>
      </c>
      <c r="CO303" t="e">
        <f>IF(#REF!,"AAAAAHnf31w=",0)</f>
        <v>#REF!</v>
      </c>
      <c r="CP303" t="e">
        <f>IF(#REF!,"AAAAAHnf310=",0)</f>
        <v>#REF!</v>
      </c>
      <c r="CQ303" t="e">
        <f>IF(#REF!,"AAAAAHnf314=",0)</f>
        <v>#REF!</v>
      </c>
      <c r="CR303" t="e">
        <f>IF(#REF!,"AAAAAHnf318=",0)</f>
        <v>#REF!</v>
      </c>
      <c r="CS303" t="e">
        <f>IF(#REF!,"AAAAAHnf32A=",0)</f>
        <v>#REF!</v>
      </c>
      <c r="CT303" t="e">
        <f>IF(#REF!,"AAAAAHnf32E=",0)</f>
        <v>#REF!</v>
      </c>
      <c r="CU303" t="e">
        <f>IF(#REF!,"AAAAAHnf32I=",0)</f>
        <v>#REF!</v>
      </c>
      <c r="CV303" t="e">
        <f>IF(#REF!,"AAAAAHnf32M=",0)</f>
        <v>#REF!</v>
      </c>
      <c r="CW303" t="e">
        <f>IF(#REF!,"AAAAAHnf32Q=",0)</f>
        <v>#REF!</v>
      </c>
      <c r="CX303" t="e">
        <f>IF(#REF!,"AAAAAHnf32U=",0)</f>
        <v>#REF!</v>
      </c>
      <c r="CY303" t="e">
        <f>IF(#REF!,"AAAAAHnf32Y=",0)</f>
        <v>#REF!</v>
      </c>
      <c r="CZ303" t="e">
        <f>IF(#REF!,"AAAAAHnf32c=",0)</f>
        <v>#REF!</v>
      </c>
      <c r="DA303" t="e">
        <f>IF(#REF!,"AAAAAHnf32g=",0)</f>
        <v>#REF!</v>
      </c>
      <c r="DB303" t="e">
        <f>IF(#REF!,"AAAAAHnf32k=",0)</f>
        <v>#REF!</v>
      </c>
      <c r="DC303" t="e">
        <f>IF(#REF!,"AAAAAHnf32o=",0)</f>
        <v>#REF!</v>
      </c>
      <c r="DD303" t="e">
        <f>IF(#REF!,"AAAAAHnf32s=",0)</f>
        <v>#REF!</v>
      </c>
      <c r="DE303" t="e">
        <f>IF(#REF!,"AAAAAHnf32w=",0)</f>
        <v>#REF!</v>
      </c>
      <c r="DF303" t="e">
        <f>IF(#REF!,"AAAAAHnf320=",0)</f>
        <v>#REF!</v>
      </c>
      <c r="DG303" t="e">
        <f>IF(#REF!,"AAAAAHnf324=",0)</f>
        <v>#REF!</v>
      </c>
      <c r="DH303" t="e">
        <f>IF(#REF!,"AAAAAHnf328=",0)</f>
        <v>#REF!</v>
      </c>
      <c r="DI303" t="e">
        <f>IF(#REF!,"AAAAAHnf33A=",0)</f>
        <v>#REF!</v>
      </c>
      <c r="DJ303" t="e">
        <f>IF(#REF!,"AAAAAHnf33E=",0)</f>
        <v>#REF!</v>
      </c>
      <c r="DK303" t="e">
        <f>IF(#REF!,"AAAAAHnf33I=",0)</f>
        <v>#REF!</v>
      </c>
      <c r="DL303" t="e">
        <f>IF(#REF!,"AAAAAHnf33M=",0)</f>
        <v>#REF!</v>
      </c>
      <c r="DM303" t="e">
        <f>IF(#REF!,"AAAAAHnf33Q=",0)</f>
        <v>#REF!</v>
      </c>
      <c r="DN303" t="e">
        <f>IF(#REF!,"AAAAAHnf33U=",0)</f>
        <v>#REF!</v>
      </c>
      <c r="DO303" t="e">
        <f>IF(#REF!,"AAAAAHnf33Y=",0)</f>
        <v>#REF!</v>
      </c>
      <c r="DP303" t="e">
        <f>IF(#REF!,"AAAAAHnf33c=",0)</f>
        <v>#REF!</v>
      </c>
      <c r="DQ303" t="e">
        <f>IF(#REF!,"AAAAAHnf33g=",0)</f>
        <v>#REF!</v>
      </c>
      <c r="DR303" t="e">
        <f>IF(#REF!,"AAAAAHnf33k=",0)</f>
        <v>#REF!</v>
      </c>
      <c r="DS303" t="e">
        <f>IF(#REF!,"AAAAAHnf33o=",0)</f>
        <v>#REF!</v>
      </c>
      <c r="DT303" t="e">
        <f>IF(#REF!,"AAAAAHnf33s=",0)</f>
        <v>#REF!</v>
      </c>
      <c r="DU303" t="e">
        <f>IF(#REF!,"AAAAAHnf33w=",0)</f>
        <v>#REF!</v>
      </c>
      <c r="DV303" t="e">
        <f>IF(#REF!,"AAAAAHnf330=",0)</f>
        <v>#REF!</v>
      </c>
      <c r="DW303" t="e">
        <f>IF(#REF!,"AAAAAHnf334=",0)</f>
        <v>#REF!</v>
      </c>
      <c r="DX303" t="e">
        <f>IF(#REF!,"AAAAAHnf338=",0)</f>
        <v>#REF!</v>
      </c>
      <c r="DY303" t="e">
        <f>IF(#REF!,"AAAAAHnf34A=",0)</f>
        <v>#REF!</v>
      </c>
      <c r="DZ303" t="e">
        <f>IF(#REF!,"AAAAAHnf34E=",0)</f>
        <v>#REF!</v>
      </c>
      <c r="EA303" t="e">
        <f>IF(#REF!,"AAAAAHnf34I=",0)</f>
        <v>#REF!</v>
      </c>
      <c r="EB303" t="e">
        <f>IF(#REF!,"AAAAAHnf34M=",0)</f>
        <v>#REF!</v>
      </c>
      <c r="EC303" t="e">
        <f>IF(#REF!,"AAAAAHnf34Q=",0)</f>
        <v>#REF!</v>
      </c>
      <c r="ED303" t="e">
        <f>IF(#REF!,"AAAAAHnf34U=",0)</f>
        <v>#REF!</v>
      </c>
      <c r="EE303" t="e">
        <f>IF(#REF!,"AAAAAHnf34Y=",0)</f>
        <v>#REF!</v>
      </c>
      <c r="EF303" t="e">
        <f>IF(#REF!,"AAAAAHnf34c=",0)</f>
        <v>#REF!</v>
      </c>
      <c r="EG303" t="e">
        <f>IF(#REF!,"AAAAAHnf34g=",0)</f>
        <v>#REF!</v>
      </c>
      <c r="EH303" t="e">
        <f>IF(#REF!,"AAAAAHnf34k=",0)</f>
        <v>#REF!</v>
      </c>
      <c r="EI303" t="e">
        <f>IF(#REF!,"AAAAAHnf34o=",0)</f>
        <v>#REF!</v>
      </c>
      <c r="EJ303" t="e">
        <f>IF(#REF!,"AAAAAHnf34s=",0)</f>
        <v>#REF!</v>
      </c>
      <c r="EK303" t="e">
        <f>IF(#REF!,"AAAAAHnf34w=",0)</f>
        <v>#REF!</v>
      </c>
      <c r="EL303" t="e">
        <f>IF(#REF!,"AAAAAHnf340=",0)</f>
        <v>#REF!</v>
      </c>
      <c r="EM303" t="e">
        <f>IF(#REF!,"AAAAAHnf344=",0)</f>
        <v>#REF!</v>
      </c>
      <c r="EN303" t="e">
        <f>IF(#REF!,"AAAAAHnf348=",0)</f>
        <v>#REF!</v>
      </c>
      <c r="EO303" t="e">
        <f>IF(#REF!,"AAAAAHnf35A=",0)</f>
        <v>#REF!</v>
      </c>
      <c r="EP303" t="e">
        <f>IF(#REF!,"AAAAAHnf35E=",0)</f>
        <v>#REF!</v>
      </c>
      <c r="EQ303" t="e">
        <f>IF(#REF!,"AAAAAHnf35I=",0)</f>
        <v>#REF!</v>
      </c>
      <c r="ER303" t="e">
        <f>IF(#REF!,"AAAAAHnf35M=",0)</f>
        <v>#REF!</v>
      </c>
      <c r="ES303" t="e">
        <f>IF(#REF!,"AAAAAHnf35Q=",0)</f>
        <v>#REF!</v>
      </c>
      <c r="ET303" t="e">
        <f>IF(#REF!,"AAAAAHnf35U=",0)</f>
        <v>#REF!</v>
      </c>
      <c r="EU303" t="e">
        <f>IF(#REF!,"AAAAAHnf35Y=",0)</f>
        <v>#REF!</v>
      </c>
      <c r="EV303" t="e">
        <f>IF(#REF!,"AAAAAHnf35c=",0)</f>
        <v>#REF!</v>
      </c>
      <c r="EW303" t="e">
        <f>IF(#REF!,"AAAAAHnf35g=",0)</f>
        <v>#REF!</v>
      </c>
      <c r="EX303" t="e">
        <f>IF(#REF!,"AAAAAHnf35k=",0)</f>
        <v>#REF!</v>
      </c>
      <c r="EY303" t="e">
        <f>IF(#REF!,"AAAAAHnf35o=",0)</f>
        <v>#REF!</v>
      </c>
      <c r="EZ303" t="e">
        <f>IF(#REF!,"AAAAAHnf35s=",0)</f>
        <v>#REF!</v>
      </c>
      <c r="FA303" t="e">
        <f>IF(#REF!,"AAAAAHnf35w=",0)</f>
        <v>#REF!</v>
      </c>
      <c r="FB303" t="e">
        <f>IF(#REF!,"AAAAAHnf350=",0)</f>
        <v>#REF!</v>
      </c>
      <c r="FC303" t="e">
        <f>IF(#REF!,"AAAAAHnf354=",0)</f>
        <v>#REF!</v>
      </c>
      <c r="FD303" t="e">
        <f>IF(#REF!,"AAAAAHnf358=",0)</f>
        <v>#REF!</v>
      </c>
      <c r="FE303" t="e">
        <f>IF(#REF!,"AAAAAHnf36A=",0)</f>
        <v>#REF!</v>
      </c>
      <c r="FF303" t="e">
        <f>IF(#REF!,"AAAAAHnf36E=",0)</f>
        <v>#REF!</v>
      </c>
      <c r="FG303" t="e">
        <f>IF(#REF!,"AAAAAHnf36I=",0)</f>
        <v>#REF!</v>
      </c>
      <c r="FH303" t="e">
        <f>IF(#REF!,"AAAAAHnf36M=",0)</f>
        <v>#REF!</v>
      </c>
      <c r="FI303" t="e">
        <f>IF(#REF!,"AAAAAHnf36Q=",0)</f>
        <v>#REF!</v>
      </c>
      <c r="FJ303" t="e">
        <f>IF(#REF!,"AAAAAHnf36U=",0)</f>
        <v>#REF!</v>
      </c>
      <c r="FK303" t="e">
        <f>IF(#REF!,"AAAAAHnf36Y=",0)</f>
        <v>#REF!</v>
      </c>
      <c r="FL303" t="e">
        <f>IF(#REF!,"AAAAAHnf36c=",0)</f>
        <v>#REF!</v>
      </c>
      <c r="FM303" t="e">
        <f>IF(#REF!,"AAAAAHnf36g=",0)</f>
        <v>#REF!</v>
      </c>
      <c r="FN303" t="e">
        <f>IF(#REF!,"AAAAAHnf36k=",0)</f>
        <v>#REF!</v>
      </c>
      <c r="FO303" t="e">
        <f>IF(#REF!,"AAAAAHnf36o=",0)</f>
        <v>#REF!</v>
      </c>
      <c r="FP303" t="e">
        <f>IF(#REF!,"AAAAAHnf36s=",0)</f>
        <v>#REF!</v>
      </c>
      <c r="FQ303" t="e">
        <f>IF(#REF!,"AAAAAHnf36w=",0)</f>
        <v>#REF!</v>
      </c>
      <c r="FR303" t="e">
        <f>IF(#REF!,"AAAAAHnf360=",0)</f>
        <v>#REF!</v>
      </c>
      <c r="FS303" t="e">
        <f>IF(#REF!,"AAAAAHnf364=",0)</f>
        <v>#REF!</v>
      </c>
      <c r="FT303" t="e">
        <f>IF(#REF!,"AAAAAHnf368=",0)</f>
        <v>#REF!</v>
      </c>
      <c r="FU303" t="e">
        <f>IF(#REF!,"AAAAAHnf37A=",0)</f>
        <v>#REF!</v>
      </c>
      <c r="FV303" t="e">
        <f>IF(#REF!,"AAAAAHnf37E=",0)</f>
        <v>#REF!</v>
      </c>
      <c r="FW303" t="e">
        <f>IF(#REF!,"AAAAAHnf37I=",0)</f>
        <v>#REF!</v>
      </c>
      <c r="FX303" t="e">
        <f>IF(#REF!,"AAAAAHnf37M=",0)</f>
        <v>#REF!</v>
      </c>
      <c r="FY303" t="e">
        <f>IF(#REF!,"AAAAAHnf37Q=",0)</f>
        <v>#REF!</v>
      </c>
      <c r="FZ303" t="e">
        <f>IF(#REF!,"AAAAAHnf37U=",0)</f>
        <v>#REF!</v>
      </c>
      <c r="GA303" t="e">
        <f>IF(#REF!,"AAAAAHnf37Y=",0)</f>
        <v>#REF!</v>
      </c>
      <c r="GB303" t="e">
        <f>IF(#REF!,"AAAAAHnf37c=",0)</f>
        <v>#REF!</v>
      </c>
      <c r="GC303" t="e">
        <f>IF(#REF!,"AAAAAHnf37g=",0)</f>
        <v>#REF!</v>
      </c>
      <c r="GD303" t="e">
        <f>IF(#REF!,"AAAAAHnf37k=",0)</f>
        <v>#REF!</v>
      </c>
      <c r="GE303" t="e">
        <f>IF(#REF!,"AAAAAHnf37o=",0)</f>
        <v>#REF!</v>
      </c>
      <c r="GF303" t="e">
        <f>IF(#REF!,"AAAAAHnf37s=",0)</f>
        <v>#REF!</v>
      </c>
      <c r="GG303" t="e">
        <f>IF(#REF!,"AAAAAHnf37w=",0)</f>
        <v>#REF!</v>
      </c>
      <c r="GH303" t="e">
        <f>IF(#REF!,"AAAAAHnf370=",0)</f>
        <v>#REF!</v>
      </c>
      <c r="GI303" t="e">
        <f>IF(#REF!,"AAAAAHnf374=",0)</f>
        <v>#REF!</v>
      </c>
      <c r="GJ303" t="e">
        <f>IF(#REF!,"AAAAAHnf378=",0)</f>
        <v>#REF!</v>
      </c>
      <c r="GK303" t="e">
        <f>IF(#REF!,"AAAAAHnf38A=",0)</f>
        <v>#REF!</v>
      </c>
      <c r="GL303" t="e">
        <f>IF(#REF!,"AAAAAHnf38E=",0)</f>
        <v>#REF!</v>
      </c>
      <c r="GM303" t="e">
        <f>IF(#REF!,"AAAAAHnf38I=",0)</f>
        <v>#REF!</v>
      </c>
      <c r="GN303" t="e">
        <f>IF(#REF!,"AAAAAHnf38M=",0)</f>
        <v>#REF!</v>
      </c>
      <c r="GO303" t="e">
        <f>IF(#REF!,"AAAAAHnf38Q=",0)</f>
        <v>#REF!</v>
      </c>
      <c r="GP303" t="e">
        <f>IF(#REF!,"AAAAAHnf38U=",0)</f>
        <v>#REF!</v>
      </c>
      <c r="GQ303" t="e">
        <f>IF(#REF!,"AAAAAHnf38Y=",0)</f>
        <v>#REF!</v>
      </c>
      <c r="GR303" t="e">
        <f>IF(#REF!,"AAAAAHnf38c=",0)</f>
        <v>#REF!</v>
      </c>
      <c r="GS303" t="e">
        <f>IF(#REF!,"AAAAAHnf38g=",0)</f>
        <v>#REF!</v>
      </c>
      <c r="GT303" t="e">
        <f>IF(#REF!,"AAAAAHnf38k=",0)</f>
        <v>#REF!</v>
      </c>
      <c r="GU303" t="e">
        <f>IF(#REF!,"AAAAAHnf38o=",0)</f>
        <v>#REF!</v>
      </c>
      <c r="GV303" t="e">
        <f>IF(#REF!,"AAAAAHnf38s=",0)</f>
        <v>#REF!</v>
      </c>
      <c r="GW303" t="e">
        <f>IF(#REF!,"AAAAAHnf38w=",0)</f>
        <v>#REF!</v>
      </c>
      <c r="GX303" t="e">
        <f>IF(#REF!,"AAAAAHnf380=",0)</f>
        <v>#REF!</v>
      </c>
      <c r="GY303" t="e">
        <f>IF(#REF!,"AAAAAHnf384=",0)</f>
        <v>#REF!</v>
      </c>
      <c r="GZ303" t="e">
        <f>IF(#REF!,"AAAAAHnf388=",0)</f>
        <v>#REF!</v>
      </c>
      <c r="HA303" t="e">
        <f>IF(#REF!,"AAAAAHnf39A=",0)</f>
        <v>#REF!</v>
      </c>
      <c r="HB303" t="e">
        <f>IF(#REF!,"AAAAAHnf39E=",0)</f>
        <v>#REF!</v>
      </c>
      <c r="HC303" t="e">
        <f>IF(#REF!,"AAAAAHnf39I=",0)</f>
        <v>#REF!</v>
      </c>
      <c r="HD303" t="e">
        <f>IF(#REF!,"AAAAAHnf39M=",0)</f>
        <v>#REF!</v>
      </c>
      <c r="HE303" t="e">
        <f>IF(#REF!,"AAAAAHnf39Q=",0)</f>
        <v>#REF!</v>
      </c>
      <c r="HF303" t="e">
        <f>IF(#REF!,"AAAAAHnf39U=",0)</f>
        <v>#REF!</v>
      </c>
      <c r="HG303" t="e">
        <f>IF(#REF!,"AAAAAHnf39Y=",0)</f>
        <v>#REF!</v>
      </c>
      <c r="HH303" t="e">
        <f>IF(#REF!,"AAAAAHnf39c=",0)</f>
        <v>#REF!</v>
      </c>
      <c r="HI303" t="e">
        <f>IF(#REF!,"AAAAAHnf39g=",0)</f>
        <v>#REF!</v>
      </c>
      <c r="HJ303" t="e">
        <f>IF(#REF!,"AAAAAHnf39k=",0)</f>
        <v>#REF!</v>
      </c>
      <c r="HK303" t="e">
        <f>IF(#REF!,"AAAAAHnf39o=",0)</f>
        <v>#REF!</v>
      </c>
      <c r="HL303" t="e">
        <f>IF(#REF!,"AAAAAHnf39s=",0)</f>
        <v>#REF!</v>
      </c>
      <c r="HM303" t="e">
        <f>IF(#REF!,"AAAAAHnf39w=",0)</f>
        <v>#REF!</v>
      </c>
      <c r="HN303" t="e">
        <f>IF(#REF!,"AAAAAHnf390=",0)</f>
        <v>#REF!</v>
      </c>
      <c r="HO303" t="e">
        <f>IF(#REF!,"AAAAAHnf394=",0)</f>
        <v>#REF!</v>
      </c>
      <c r="HP303" t="e">
        <f>IF(#REF!,"AAAAAHnf398=",0)</f>
        <v>#REF!</v>
      </c>
      <c r="HQ303" t="e">
        <f>IF(#REF!,"AAAAAHnf3+A=",0)</f>
        <v>#REF!</v>
      </c>
      <c r="HR303" t="e">
        <f>IF(#REF!,"AAAAAHnf3+E=",0)</f>
        <v>#REF!</v>
      </c>
      <c r="HS303" t="e">
        <f>IF(#REF!,"AAAAAHnf3+I=",0)</f>
        <v>#REF!</v>
      </c>
      <c r="HT303" t="e">
        <f>IF(#REF!,"AAAAAHnf3+M=",0)</f>
        <v>#REF!</v>
      </c>
      <c r="HU303" t="e">
        <f>IF(#REF!,"AAAAAHnf3+Q=",0)</f>
        <v>#REF!</v>
      </c>
      <c r="HV303" t="e">
        <f>IF(#REF!,"AAAAAHnf3+U=",0)</f>
        <v>#REF!</v>
      </c>
      <c r="HW303" t="e">
        <f>IF(#REF!,"AAAAAHnf3+Y=",0)</f>
        <v>#REF!</v>
      </c>
      <c r="HX303" t="e">
        <f>IF(#REF!,"AAAAAHnf3+c=",0)</f>
        <v>#REF!</v>
      </c>
      <c r="HY303" t="e">
        <f>IF(#REF!,"AAAAAHnf3+g=",0)</f>
        <v>#REF!</v>
      </c>
      <c r="HZ303" t="e">
        <f>IF(#REF!,"AAAAAHnf3+k=",0)</f>
        <v>#REF!</v>
      </c>
      <c r="IA303" t="e">
        <f>IF(#REF!,"AAAAAHnf3+o=",0)</f>
        <v>#REF!</v>
      </c>
      <c r="IB303" t="e">
        <f>IF(#REF!,"AAAAAHnf3+s=",0)</f>
        <v>#REF!</v>
      </c>
      <c r="IC303" t="e">
        <f>IF(#REF!,"AAAAAHnf3+w=",0)</f>
        <v>#REF!</v>
      </c>
      <c r="ID303" t="e">
        <f>IF(#REF!,"AAAAAHnf3+0=",0)</f>
        <v>#REF!</v>
      </c>
      <c r="IE303" t="e">
        <f>IF(#REF!,"AAAAAHnf3+4=",0)</f>
        <v>#REF!</v>
      </c>
      <c r="IF303" t="e">
        <f>IF(#REF!,"AAAAAHnf3+8=",0)</f>
        <v>#REF!</v>
      </c>
      <c r="IG303" t="e">
        <f>IF(#REF!,"AAAAAHnf3/A=",0)</f>
        <v>#REF!</v>
      </c>
      <c r="IH303" t="e">
        <f>IF(#REF!,"AAAAAHnf3/E=",0)</f>
        <v>#REF!</v>
      </c>
      <c r="II303" t="e">
        <f>IF(#REF!,"AAAAAHnf3/I=",0)</f>
        <v>#REF!</v>
      </c>
      <c r="IJ303" t="e">
        <f>IF(#REF!,"AAAAAHnf3/M=",0)</f>
        <v>#REF!</v>
      </c>
      <c r="IK303" t="e">
        <f>IF(#REF!,"AAAAAHnf3/Q=",0)</f>
        <v>#REF!</v>
      </c>
      <c r="IL303" t="e">
        <f>IF(#REF!,"AAAAAHnf3/U=",0)</f>
        <v>#REF!</v>
      </c>
      <c r="IM303" t="e">
        <f>IF(#REF!,"AAAAAHnf3/Y=",0)</f>
        <v>#REF!</v>
      </c>
      <c r="IN303" t="e">
        <f>IF(#REF!,"AAAAAHnf3/c=",0)</f>
        <v>#REF!</v>
      </c>
      <c r="IO303" t="e">
        <f>IF(#REF!,"AAAAAHnf3/g=",0)</f>
        <v>#REF!</v>
      </c>
      <c r="IP303" t="e">
        <f>IF(#REF!,"AAAAAHnf3/k=",0)</f>
        <v>#REF!</v>
      </c>
      <c r="IQ303" t="e">
        <f>IF(#REF!,"AAAAAHnf3/o=",0)</f>
        <v>#REF!</v>
      </c>
      <c r="IR303" t="e">
        <f>IF(#REF!,"AAAAAHnf3/s=",0)</f>
        <v>#REF!</v>
      </c>
      <c r="IS303" t="e">
        <f>IF(#REF!,"AAAAAHnf3/w=",0)</f>
        <v>#REF!</v>
      </c>
      <c r="IT303" t="e">
        <f>IF(#REF!,"AAAAAHnf3/0=",0)</f>
        <v>#REF!</v>
      </c>
      <c r="IU303" t="e">
        <f>IF(#REF!,"AAAAAHnf3/4=",0)</f>
        <v>#REF!</v>
      </c>
      <c r="IV303" t="e">
        <f>IF(#REF!,"AAAAAHnf3/8=",0)</f>
        <v>#REF!</v>
      </c>
    </row>
    <row r="304" spans="1:256">
      <c r="A304" t="e">
        <f>IF(#REF!,"AAAAAH/z9QA=",0)</f>
        <v>#REF!</v>
      </c>
      <c r="B304" t="e">
        <f>IF(#REF!,"AAAAAH/z9QE=",0)</f>
        <v>#REF!</v>
      </c>
      <c r="C304" t="e">
        <f>IF(#REF!,"AAAAAH/z9QI=",0)</f>
        <v>#REF!</v>
      </c>
      <c r="D304" t="e">
        <f>IF(#REF!,"AAAAAH/z9QM=",0)</f>
        <v>#REF!</v>
      </c>
      <c r="E304" t="e">
        <f>IF(#REF!,"AAAAAH/z9QQ=",0)</f>
        <v>#REF!</v>
      </c>
      <c r="F304" t="e">
        <f>IF(#REF!,"AAAAAH/z9QU=",0)</f>
        <v>#REF!</v>
      </c>
      <c r="G304" t="e">
        <f>IF(#REF!,"AAAAAH/z9QY=",0)</f>
        <v>#REF!</v>
      </c>
      <c r="H304" t="e">
        <f>IF(#REF!,"AAAAAH/z9Qc=",0)</f>
        <v>#REF!</v>
      </c>
      <c r="I304" t="e">
        <f>IF(#REF!,"AAAAAH/z9Qg=",0)</f>
        <v>#REF!</v>
      </c>
      <c r="J304" t="e">
        <f>IF(#REF!,"AAAAAH/z9Qk=",0)</f>
        <v>#REF!</v>
      </c>
      <c r="K304" t="e">
        <f>IF(#REF!,"AAAAAH/z9Qo=",0)</f>
        <v>#REF!</v>
      </c>
      <c r="L304" t="e">
        <f>IF(#REF!,"AAAAAH/z9Qs=",0)</f>
        <v>#REF!</v>
      </c>
      <c r="M304" t="e">
        <f>IF(#REF!,"AAAAAH/z9Qw=",0)</f>
        <v>#REF!</v>
      </c>
      <c r="N304" t="e">
        <f>IF(#REF!,"AAAAAH/z9Q0=",0)</f>
        <v>#REF!</v>
      </c>
      <c r="O304" t="e">
        <f>IF(#REF!,"AAAAAH/z9Q4=",0)</f>
        <v>#REF!</v>
      </c>
      <c r="P304" t="e">
        <f>IF(#REF!,"AAAAAH/z9Q8=",0)</f>
        <v>#REF!</v>
      </c>
      <c r="Q304" t="e">
        <f>IF(#REF!,"AAAAAH/z9RA=",0)</f>
        <v>#REF!</v>
      </c>
      <c r="R304" t="e">
        <f>IF(#REF!,"AAAAAH/z9RE=",0)</f>
        <v>#REF!</v>
      </c>
      <c r="S304" t="e">
        <f>IF(#REF!,"AAAAAH/z9RI=",0)</f>
        <v>#REF!</v>
      </c>
      <c r="T304" t="e">
        <f>IF(#REF!,"AAAAAH/z9RM=",0)</f>
        <v>#REF!</v>
      </c>
      <c r="U304" t="e">
        <f>IF(#REF!,"AAAAAH/z9RQ=",0)</f>
        <v>#REF!</v>
      </c>
      <c r="V304" t="e">
        <f>IF(#REF!,"AAAAAH/z9RU=",0)</f>
        <v>#REF!</v>
      </c>
      <c r="W304" t="e">
        <f>IF(#REF!,"AAAAAH/z9RY=",0)</f>
        <v>#REF!</v>
      </c>
      <c r="X304" t="e">
        <f>IF(#REF!,"AAAAAH/z9Rc=",0)</f>
        <v>#REF!</v>
      </c>
      <c r="Y304" t="e">
        <f>IF(#REF!,"AAAAAH/z9Rg=",0)</f>
        <v>#REF!</v>
      </c>
      <c r="Z304" t="e">
        <f>IF(#REF!,"AAAAAH/z9Rk=",0)</f>
        <v>#REF!</v>
      </c>
      <c r="AA304" t="e">
        <f>IF(#REF!,"AAAAAH/z9Ro=",0)</f>
        <v>#REF!</v>
      </c>
      <c r="AB304" t="e">
        <f>IF(#REF!,"AAAAAH/z9Rs=",0)</f>
        <v>#REF!</v>
      </c>
      <c r="AC304" t="e">
        <f>IF(#REF!,"AAAAAH/z9Rw=",0)</f>
        <v>#REF!</v>
      </c>
      <c r="AD304" t="e">
        <f>IF(#REF!,"AAAAAH/z9R0=",0)</f>
        <v>#REF!</v>
      </c>
      <c r="AE304" t="e">
        <f>IF(#REF!,"AAAAAH/z9R4=",0)</f>
        <v>#REF!</v>
      </c>
      <c r="AF304" t="e">
        <f>IF(#REF!,"AAAAAH/z9R8=",0)</f>
        <v>#REF!</v>
      </c>
      <c r="AG304" t="e">
        <f>IF(#REF!,"AAAAAH/z9SA=",0)</f>
        <v>#REF!</v>
      </c>
      <c r="AH304" t="e">
        <f>IF(#REF!,"AAAAAH/z9SE=",0)</f>
        <v>#REF!</v>
      </c>
      <c r="AI304" t="e">
        <f>IF(#REF!,"AAAAAH/z9SI=",0)</f>
        <v>#REF!</v>
      </c>
      <c r="AJ304" t="e">
        <f>IF(#REF!,"AAAAAH/z9SM=",0)</f>
        <v>#REF!</v>
      </c>
      <c r="AK304" t="e">
        <f>IF(#REF!,"AAAAAH/z9SQ=",0)</f>
        <v>#REF!</v>
      </c>
      <c r="AL304" t="e">
        <f>IF(#REF!,"AAAAAH/z9SU=",0)</f>
        <v>#REF!</v>
      </c>
      <c r="AM304" t="e">
        <f>IF(#REF!,"AAAAAH/z9SY=",0)</f>
        <v>#REF!</v>
      </c>
      <c r="AN304" t="e">
        <f>IF(#REF!,"AAAAAH/z9Sc=",0)</f>
        <v>#REF!</v>
      </c>
      <c r="AO304" t="e">
        <f>IF(#REF!,"AAAAAH/z9Sg=",0)</f>
        <v>#REF!</v>
      </c>
      <c r="AP304" t="e">
        <f>IF(#REF!,"AAAAAH/z9Sk=",0)</f>
        <v>#REF!</v>
      </c>
      <c r="AQ304" t="e">
        <f>IF(#REF!,"AAAAAH/z9So=",0)</f>
        <v>#REF!</v>
      </c>
      <c r="AR304" t="e">
        <f>IF(#REF!,"AAAAAH/z9Ss=",0)</f>
        <v>#REF!</v>
      </c>
      <c r="AS304" t="e">
        <f>IF(#REF!,"AAAAAH/z9Sw=",0)</f>
        <v>#REF!</v>
      </c>
      <c r="AT304" t="e">
        <f>IF(#REF!,"AAAAAH/z9S0=",0)</f>
        <v>#REF!</v>
      </c>
      <c r="AU304" t="e">
        <f>IF(#REF!,"AAAAAH/z9S4=",0)</f>
        <v>#REF!</v>
      </c>
      <c r="AV304" t="e">
        <f>IF(#REF!,"AAAAAH/z9S8=",0)</f>
        <v>#REF!</v>
      </c>
      <c r="AW304" t="e">
        <f>IF(#REF!,"AAAAAH/z9TA=",0)</f>
        <v>#REF!</v>
      </c>
      <c r="AX304" t="e">
        <f>IF(#REF!,"AAAAAH/z9TE=",0)</f>
        <v>#REF!</v>
      </c>
      <c r="AY304" t="e">
        <f>IF(#REF!,"AAAAAH/z9TI=",0)</f>
        <v>#REF!</v>
      </c>
      <c r="AZ304" t="e">
        <f>IF(#REF!,"AAAAAH/z9TM=",0)</f>
        <v>#REF!</v>
      </c>
      <c r="BA304" t="e">
        <f>IF(#REF!,"AAAAAH/z9TQ=",0)</f>
        <v>#REF!</v>
      </c>
      <c r="BB304" t="e">
        <f>IF(#REF!,"AAAAAH/z9TU=",0)</f>
        <v>#REF!</v>
      </c>
      <c r="BC304" t="e">
        <f>IF(#REF!,"AAAAAH/z9TY=",0)</f>
        <v>#REF!</v>
      </c>
      <c r="BD304" t="e">
        <f>IF(#REF!,"AAAAAH/z9Tc=",0)</f>
        <v>#REF!</v>
      </c>
      <c r="BE304" t="e">
        <f>IF(#REF!,"AAAAAH/z9Tg=",0)</f>
        <v>#REF!</v>
      </c>
      <c r="BF304" t="e">
        <f>IF(#REF!,"AAAAAH/z9Tk=",0)</f>
        <v>#REF!</v>
      </c>
      <c r="BG304" t="e">
        <f>IF(#REF!,"AAAAAH/z9To=",0)</f>
        <v>#REF!</v>
      </c>
      <c r="BH304" t="e">
        <f>IF(#REF!,"AAAAAH/z9Ts=",0)</f>
        <v>#REF!</v>
      </c>
      <c r="BI304" t="e">
        <f>IF(#REF!,"AAAAAH/z9Tw=",0)</f>
        <v>#REF!</v>
      </c>
      <c r="BJ304" t="e">
        <f>IF(#REF!,"AAAAAH/z9T0=",0)</f>
        <v>#REF!</v>
      </c>
      <c r="BK304" t="e">
        <f>IF(#REF!,"AAAAAH/z9T4=",0)</f>
        <v>#REF!</v>
      </c>
      <c r="BL304" t="e">
        <f>IF(#REF!,"AAAAAH/z9T8=",0)</f>
        <v>#REF!</v>
      </c>
      <c r="BM304" t="e">
        <f>IF(#REF!,"AAAAAH/z9UA=",0)</f>
        <v>#REF!</v>
      </c>
      <c r="BN304" t="e">
        <f>IF(#REF!,"AAAAAH/z9UE=",0)</f>
        <v>#REF!</v>
      </c>
      <c r="BO304" t="e">
        <f>IF(#REF!,"AAAAAH/z9UI=",0)</f>
        <v>#REF!</v>
      </c>
      <c r="BP304" t="e">
        <f>IF(#REF!,"AAAAAH/z9UM=",0)</f>
        <v>#REF!</v>
      </c>
      <c r="BQ304" t="e">
        <f>IF(#REF!,"AAAAAH/z9UQ=",0)</f>
        <v>#REF!</v>
      </c>
      <c r="BR304" t="e">
        <f>IF(#REF!,"AAAAAH/z9UU=",0)</f>
        <v>#REF!</v>
      </c>
      <c r="BS304" t="e">
        <f>IF(#REF!,"AAAAAH/z9UY=",0)</f>
        <v>#REF!</v>
      </c>
      <c r="BT304" t="e">
        <f>IF(#REF!,"AAAAAH/z9Uc=",0)</f>
        <v>#REF!</v>
      </c>
      <c r="BU304" t="e">
        <f>IF(#REF!,"AAAAAH/z9Ug=",0)</f>
        <v>#REF!</v>
      </c>
      <c r="BV304" t="e">
        <f>IF(#REF!,"AAAAAH/z9Uk=",0)</f>
        <v>#REF!</v>
      </c>
      <c r="BW304" t="e">
        <f>IF(#REF!,"AAAAAH/z9Uo=",0)</f>
        <v>#REF!</v>
      </c>
      <c r="BX304" t="e">
        <f>IF(#REF!,"AAAAAH/z9Us=",0)</f>
        <v>#REF!</v>
      </c>
      <c r="BY304" t="e">
        <f>IF(#REF!,"AAAAAH/z9Uw=",0)</f>
        <v>#REF!</v>
      </c>
      <c r="BZ304" t="e">
        <f>IF(#REF!,"AAAAAH/z9U0=",0)</f>
        <v>#REF!</v>
      </c>
      <c r="CA304" t="e">
        <f>IF(#REF!,"AAAAAH/z9U4=",0)</f>
        <v>#REF!</v>
      </c>
      <c r="CB304" t="e">
        <f>IF(#REF!,"AAAAAH/z9U8=",0)</f>
        <v>#REF!</v>
      </c>
      <c r="CC304" t="e">
        <f>IF(#REF!,"AAAAAH/z9VA=",0)</f>
        <v>#REF!</v>
      </c>
      <c r="CD304" t="e">
        <f>IF(#REF!,"AAAAAH/z9VE=",0)</f>
        <v>#REF!</v>
      </c>
      <c r="CE304" t="e">
        <f>IF(#REF!,"AAAAAH/z9VI=",0)</f>
        <v>#REF!</v>
      </c>
      <c r="CF304" t="e">
        <f>IF(#REF!,"AAAAAH/z9VM=",0)</f>
        <v>#REF!</v>
      </c>
      <c r="CG304" t="e">
        <f>IF(#REF!,"AAAAAH/z9VQ=",0)</f>
        <v>#REF!</v>
      </c>
      <c r="CH304" t="e">
        <f>IF(#REF!,"AAAAAH/z9VU=",0)</f>
        <v>#REF!</v>
      </c>
      <c r="CI304" t="e">
        <f>IF(#REF!,"AAAAAH/z9VY=",0)</f>
        <v>#REF!</v>
      </c>
      <c r="CJ304" t="e">
        <f>IF(#REF!,"AAAAAH/z9Vc=",0)</f>
        <v>#REF!</v>
      </c>
      <c r="CK304" t="e">
        <f>IF(#REF!,"AAAAAH/z9Vg=",0)</f>
        <v>#REF!</v>
      </c>
      <c r="CL304" t="e">
        <f>IF(#REF!,"AAAAAH/z9Vk=",0)</f>
        <v>#REF!</v>
      </c>
      <c r="CM304" t="e">
        <f>IF(#REF!,"AAAAAH/z9Vo=",0)</f>
        <v>#REF!</v>
      </c>
      <c r="CN304" t="e">
        <f>IF(#REF!,"AAAAAH/z9Vs=",0)</f>
        <v>#REF!</v>
      </c>
      <c r="CO304" t="e">
        <f>IF(#REF!,"AAAAAH/z9Vw=",0)</f>
        <v>#REF!</v>
      </c>
      <c r="CP304" t="e">
        <f>IF(#REF!,"AAAAAH/z9V0=",0)</f>
        <v>#REF!</v>
      </c>
      <c r="CQ304" t="e">
        <f>IF(#REF!,"AAAAAH/z9V4=",0)</f>
        <v>#REF!</v>
      </c>
      <c r="CR304" t="e">
        <f>IF(#REF!,"AAAAAH/z9V8=",0)</f>
        <v>#REF!</v>
      </c>
      <c r="CS304" t="e">
        <f>IF(#REF!,"AAAAAH/z9WA=",0)</f>
        <v>#REF!</v>
      </c>
      <c r="CT304" t="e">
        <f>IF(#REF!,"AAAAAH/z9WE=",0)</f>
        <v>#REF!</v>
      </c>
      <c r="CU304" t="e">
        <f>IF(#REF!,"AAAAAH/z9WI=",0)</f>
        <v>#REF!</v>
      </c>
      <c r="CV304" t="e">
        <f>IF(#REF!,"AAAAAH/z9WM=",0)</f>
        <v>#REF!</v>
      </c>
      <c r="CW304" t="e">
        <f>IF(#REF!,"AAAAAH/z9WQ=",0)</f>
        <v>#REF!</v>
      </c>
      <c r="CX304" t="e">
        <f>IF(#REF!,"AAAAAH/z9WU=",0)</f>
        <v>#REF!</v>
      </c>
      <c r="CY304" t="e">
        <f>IF(#REF!,"AAAAAH/z9WY=",0)</f>
        <v>#REF!</v>
      </c>
      <c r="CZ304" t="e">
        <f>IF(#REF!,"AAAAAH/z9Wc=",0)</f>
        <v>#REF!</v>
      </c>
      <c r="DA304" t="e">
        <f>IF(#REF!,"AAAAAH/z9Wg=",0)</f>
        <v>#REF!</v>
      </c>
      <c r="DB304" t="e">
        <f>IF(#REF!,"AAAAAH/z9Wk=",0)</f>
        <v>#REF!</v>
      </c>
      <c r="DC304" t="e">
        <f>IF(#REF!,"AAAAAH/z9Wo=",0)</f>
        <v>#REF!</v>
      </c>
      <c r="DD304" t="e">
        <f>IF(#REF!,"AAAAAH/z9Ws=",0)</f>
        <v>#REF!</v>
      </c>
      <c r="DE304" t="e">
        <f>IF(#REF!,"AAAAAH/z9Ww=",0)</f>
        <v>#REF!</v>
      </c>
      <c r="DF304" t="e">
        <f>IF(#REF!,"AAAAAH/z9W0=",0)</f>
        <v>#REF!</v>
      </c>
      <c r="DG304" t="e">
        <f>IF(#REF!,"AAAAAH/z9W4=",0)</f>
        <v>#REF!</v>
      </c>
      <c r="DH304" t="e">
        <f>IF(#REF!,"AAAAAH/z9W8=",0)</f>
        <v>#REF!</v>
      </c>
      <c r="DI304" t="e">
        <f>IF(#REF!,"AAAAAH/z9XA=",0)</f>
        <v>#REF!</v>
      </c>
      <c r="DJ304" t="e">
        <f>IF(#REF!,"AAAAAH/z9XE=",0)</f>
        <v>#REF!</v>
      </c>
      <c r="DK304" t="e">
        <f>IF(#REF!,"AAAAAH/z9XI=",0)</f>
        <v>#REF!</v>
      </c>
      <c r="DL304" t="e">
        <f>IF(#REF!,"AAAAAH/z9XM=",0)</f>
        <v>#REF!</v>
      </c>
      <c r="DM304" t="e">
        <f>IF(#REF!,"AAAAAH/z9XQ=",0)</f>
        <v>#REF!</v>
      </c>
      <c r="DN304" t="e">
        <f>IF(#REF!,"AAAAAH/z9XU=",0)</f>
        <v>#REF!</v>
      </c>
      <c r="DO304" t="e">
        <f>IF(#REF!,"AAAAAH/z9XY=",0)</f>
        <v>#REF!</v>
      </c>
      <c r="DP304" t="e">
        <f>IF(#REF!,"AAAAAH/z9Xc=",0)</f>
        <v>#REF!</v>
      </c>
      <c r="DQ304" t="e">
        <f>IF(#REF!,"AAAAAH/z9Xg=",0)</f>
        <v>#REF!</v>
      </c>
      <c r="DR304" t="e">
        <f>IF(#REF!,"AAAAAH/z9Xk=",0)</f>
        <v>#REF!</v>
      </c>
      <c r="DS304" t="e">
        <f>IF(#REF!,"AAAAAH/z9Xo=",0)</f>
        <v>#REF!</v>
      </c>
      <c r="DT304" t="e">
        <f>IF(#REF!,"AAAAAH/z9Xs=",0)</f>
        <v>#REF!</v>
      </c>
      <c r="DU304" t="e">
        <f>IF(#REF!,"AAAAAH/z9Xw=",0)</f>
        <v>#REF!</v>
      </c>
      <c r="DV304" t="e">
        <f>IF(#REF!,"AAAAAH/z9X0=",0)</f>
        <v>#REF!</v>
      </c>
      <c r="DW304" t="e">
        <f>IF(#REF!,"AAAAAH/z9X4=",0)</f>
        <v>#REF!</v>
      </c>
      <c r="DX304" t="e">
        <f>IF(#REF!,"AAAAAH/z9X8=",0)</f>
        <v>#REF!</v>
      </c>
      <c r="DY304" t="e">
        <f>IF(#REF!,"AAAAAH/z9YA=",0)</f>
        <v>#REF!</v>
      </c>
      <c r="DZ304" t="e">
        <f>IF(#REF!,"AAAAAH/z9YE=",0)</f>
        <v>#REF!</v>
      </c>
      <c r="EA304" t="e">
        <f>IF(#REF!,"AAAAAH/z9YI=",0)</f>
        <v>#REF!</v>
      </c>
      <c r="EB304" t="e">
        <f>IF(#REF!,"AAAAAH/z9YM=",0)</f>
        <v>#REF!</v>
      </c>
      <c r="EC304" t="e">
        <f>IF(#REF!,"AAAAAH/z9YQ=",0)</f>
        <v>#REF!</v>
      </c>
      <c r="ED304" t="e">
        <f>IF(#REF!,"AAAAAH/z9YU=",0)</f>
        <v>#REF!</v>
      </c>
      <c r="EE304" t="e">
        <f>IF(#REF!,"AAAAAH/z9YY=",0)</f>
        <v>#REF!</v>
      </c>
      <c r="EF304" t="e">
        <f>IF(#REF!,"AAAAAH/z9Yc=",0)</f>
        <v>#REF!</v>
      </c>
      <c r="EG304" t="e">
        <f>IF(#REF!,"AAAAAH/z9Yg=",0)</f>
        <v>#REF!</v>
      </c>
      <c r="EH304" t="e">
        <f>IF(#REF!,"AAAAAH/z9Yk=",0)</f>
        <v>#REF!</v>
      </c>
      <c r="EI304" t="e">
        <f>IF(#REF!,"AAAAAH/z9Yo=",0)</f>
        <v>#REF!</v>
      </c>
      <c r="EJ304" t="e">
        <f>IF(#REF!,"AAAAAH/z9Ys=",0)</f>
        <v>#REF!</v>
      </c>
      <c r="EK304" t="e">
        <f>IF(#REF!,"AAAAAH/z9Yw=",0)</f>
        <v>#REF!</v>
      </c>
      <c r="EL304" t="e">
        <f>IF(#REF!,"AAAAAH/z9Y0=",0)</f>
        <v>#REF!</v>
      </c>
      <c r="EM304" t="e">
        <f>IF(#REF!,"AAAAAH/z9Y4=",0)</f>
        <v>#REF!</v>
      </c>
      <c r="EN304" t="e">
        <f>IF(#REF!,"AAAAAH/z9Y8=",0)</f>
        <v>#REF!</v>
      </c>
      <c r="EO304" t="e">
        <f>IF(#REF!,"AAAAAH/z9ZA=",0)</f>
        <v>#REF!</v>
      </c>
      <c r="EP304" t="e">
        <f>IF(#REF!,"AAAAAH/z9ZE=",0)</f>
        <v>#REF!</v>
      </c>
      <c r="EQ304" t="e">
        <f>IF(#REF!,"AAAAAH/z9ZI=",0)</f>
        <v>#REF!</v>
      </c>
      <c r="ER304" t="e">
        <f>IF(#REF!,"AAAAAH/z9ZM=",0)</f>
        <v>#REF!</v>
      </c>
      <c r="ES304" t="e">
        <f>IF(#REF!,"AAAAAH/z9ZQ=",0)</f>
        <v>#REF!</v>
      </c>
      <c r="ET304" t="e">
        <f>IF(#REF!,"AAAAAH/z9ZU=",0)</f>
        <v>#REF!</v>
      </c>
      <c r="EU304" t="e">
        <f>IF(#REF!,"AAAAAH/z9ZY=",0)</f>
        <v>#REF!</v>
      </c>
      <c r="EV304" t="e">
        <f>IF(#REF!,"AAAAAH/z9Zc=",0)</f>
        <v>#REF!</v>
      </c>
      <c r="EW304" t="e">
        <f>IF(#REF!,"AAAAAH/z9Zg=",0)</f>
        <v>#REF!</v>
      </c>
      <c r="EX304" t="e">
        <f>IF(#REF!,"AAAAAH/z9Zk=",0)</f>
        <v>#REF!</v>
      </c>
      <c r="EY304" t="e">
        <f>IF(#REF!,"AAAAAH/z9Zo=",0)</f>
        <v>#REF!</v>
      </c>
      <c r="EZ304" t="e">
        <f>IF(#REF!,"AAAAAH/z9Zs=",0)</f>
        <v>#REF!</v>
      </c>
      <c r="FA304" t="e">
        <f>IF(#REF!,"AAAAAH/z9Zw=",0)</f>
        <v>#REF!</v>
      </c>
      <c r="FB304" t="e">
        <f>IF(#REF!,"AAAAAH/z9Z0=",0)</f>
        <v>#REF!</v>
      </c>
      <c r="FC304" t="e">
        <f>IF(#REF!,"AAAAAH/z9Z4=",0)</f>
        <v>#REF!</v>
      </c>
      <c r="FD304" t="e">
        <f>IF(#REF!,"AAAAAH/z9Z8=",0)</f>
        <v>#REF!</v>
      </c>
      <c r="FE304" t="e">
        <f>IF(#REF!,"AAAAAH/z9aA=",0)</f>
        <v>#REF!</v>
      </c>
      <c r="FF304" t="e">
        <f>IF(#REF!,"AAAAAH/z9aE=",0)</f>
        <v>#REF!</v>
      </c>
      <c r="FG304" t="e">
        <f>IF(#REF!,"AAAAAH/z9aI=",0)</f>
        <v>#REF!</v>
      </c>
      <c r="FH304" t="e">
        <f>IF(#REF!,"AAAAAH/z9aM=",0)</f>
        <v>#REF!</v>
      </c>
      <c r="FI304" t="e">
        <f>IF(#REF!,"AAAAAH/z9aQ=",0)</f>
        <v>#REF!</v>
      </c>
      <c r="FJ304" t="e">
        <f>IF(#REF!,"AAAAAH/z9aU=",0)</f>
        <v>#REF!</v>
      </c>
      <c r="FK304" t="e">
        <f>IF(#REF!,"AAAAAH/z9aY=",0)</f>
        <v>#REF!</v>
      </c>
      <c r="FL304" t="e">
        <f>IF(#REF!,"AAAAAH/z9ac=",0)</f>
        <v>#REF!</v>
      </c>
      <c r="FM304" t="e">
        <f>IF(#REF!,"AAAAAH/z9ag=",0)</f>
        <v>#REF!</v>
      </c>
      <c r="FN304" t="e">
        <f>IF(#REF!,"AAAAAH/z9ak=",0)</f>
        <v>#REF!</v>
      </c>
      <c r="FO304" t="e">
        <f>IF(#REF!,"AAAAAH/z9ao=",0)</f>
        <v>#REF!</v>
      </c>
      <c r="FP304" t="e">
        <f>IF(#REF!,"AAAAAH/z9as=",0)</f>
        <v>#REF!</v>
      </c>
      <c r="FQ304" t="e">
        <f>IF(#REF!,"AAAAAH/z9aw=",0)</f>
        <v>#REF!</v>
      </c>
      <c r="FR304" t="e">
        <f>IF(#REF!,"AAAAAH/z9a0=",0)</f>
        <v>#REF!</v>
      </c>
      <c r="FS304" t="e">
        <f>IF(#REF!,"AAAAAH/z9a4=",0)</f>
        <v>#REF!</v>
      </c>
      <c r="FT304" t="e">
        <f>IF(#REF!,"AAAAAH/z9a8=",0)</f>
        <v>#REF!</v>
      </c>
      <c r="FU304" t="e">
        <f>IF(#REF!,"AAAAAH/z9bA=",0)</f>
        <v>#REF!</v>
      </c>
      <c r="FV304" t="e">
        <f>IF(#REF!,"AAAAAH/z9bE=",0)</f>
        <v>#REF!</v>
      </c>
      <c r="FW304" t="e">
        <f>IF(#REF!,"AAAAAH/z9bI=",0)</f>
        <v>#REF!</v>
      </c>
      <c r="FX304" t="e">
        <f>IF(#REF!,"AAAAAH/z9bM=",0)</f>
        <v>#REF!</v>
      </c>
      <c r="FY304" t="e">
        <f>IF(#REF!,"AAAAAH/z9bQ=",0)</f>
        <v>#REF!</v>
      </c>
      <c r="FZ304" t="e">
        <f>IF(#REF!,"AAAAAH/z9bU=",0)</f>
        <v>#REF!</v>
      </c>
      <c r="GA304" t="e">
        <f>IF(#REF!,"AAAAAH/z9bY=",0)</f>
        <v>#REF!</v>
      </c>
      <c r="GB304" t="e">
        <f>IF(#REF!,"AAAAAH/z9bc=",0)</f>
        <v>#REF!</v>
      </c>
      <c r="GC304" t="e">
        <f>IF(#REF!,"AAAAAH/z9bg=",0)</f>
        <v>#REF!</v>
      </c>
      <c r="GD304" t="e">
        <f>IF(#REF!,"AAAAAH/z9bk=",0)</f>
        <v>#REF!</v>
      </c>
      <c r="GE304" t="e">
        <f>IF(#REF!,"AAAAAH/z9bo=",0)</f>
        <v>#REF!</v>
      </c>
      <c r="GF304" t="e">
        <f>IF(#REF!,"AAAAAH/z9bs=",0)</f>
        <v>#REF!</v>
      </c>
      <c r="GG304" t="e">
        <f>IF(#REF!,"AAAAAH/z9bw=",0)</f>
        <v>#REF!</v>
      </c>
      <c r="GH304" t="e">
        <f>IF(#REF!,"AAAAAH/z9b0=",0)</f>
        <v>#REF!</v>
      </c>
      <c r="GI304" t="e">
        <f>IF(#REF!,"AAAAAH/z9b4=",0)</f>
        <v>#REF!</v>
      </c>
      <c r="GJ304" t="e">
        <f>IF(#REF!,"AAAAAH/z9b8=",0)</f>
        <v>#REF!</v>
      </c>
      <c r="GK304" t="e">
        <f>IF(#REF!,"AAAAAH/z9cA=",0)</f>
        <v>#REF!</v>
      </c>
      <c r="GL304" t="e">
        <f>IF(#REF!,"AAAAAH/z9cE=",0)</f>
        <v>#REF!</v>
      </c>
      <c r="GM304" t="e">
        <f>IF(#REF!,"AAAAAH/z9cI=",0)</f>
        <v>#REF!</v>
      </c>
      <c r="GN304" t="e">
        <f>IF(#REF!,"AAAAAH/z9cM=",0)</f>
        <v>#REF!</v>
      </c>
      <c r="GO304" t="e">
        <f>IF(#REF!,"AAAAAH/z9cQ=",0)</f>
        <v>#REF!</v>
      </c>
      <c r="GP304" t="e">
        <f>IF(#REF!,"AAAAAH/z9cU=",0)</f>
        <v>#REF!</v>
      </c>
      <c r="GQ304" t="e">
        <f>IF(#REF!,"AAAAAH/z9cY=",0)</f>
        <v>#REF!</v>
      </c>
      <c r="GR304" t="e">
        <f>IF(#REF!,"AAAAAH/z9cc=",0)</f>
        <v>#REF!</v>
      </c>
      <c r="GS304" t="e">
        <f>IF(#REF!,"AAAAAH/z9cg=",0)</f>
        <v>#REF!</v>
      </c>
      <c r="GT304" t="e">
        <f>IF(#REF!,"AAAAAH/z9ck=",0)</f>
        <v>#REF!</v>
      </c>
      <c r="GU304" t="e">
        <f>IF(#REF!,"AAAAAH/z9co=",0)</f>
        <v>#REF!</v>
      </c>
      <c r="GV304" t="e">
        <f>IF(#REF!,"AAAAAH/z9cs=",0)</f>
        <v>#REF!</v>
      </c>
      <c r="GW304" t="e">
        <f>IF(#REF!,"AAAAAH/z9cw=",0)</f>
        <v>#REF!</v>
      </c>
      <c r="GX304" t="e">
        <f>IF(#REF!,"AAAAAH/z9c0=",0)</f>
        <v>#REF!</v>
      </c>
      <c r="GY304" t="e">
        <f>IF(#REF!,"AAAAAH/z9c4=",0)</f>
        <v>#REF!</v>
      </c>
      <c r="GZ304" t="e">
        <f>IF(#REF!,"AAAAAH/z9c8=",0)</f>
        <v>#REF!</v>
      </c>
      <c r="HA304" t="e">
        <f>IF(#REF!,"AAAAAH/z9dA=",0)</f>
        <v>#REF!</v>
      </c>
      <c r="HB304" t="e">
        <f>IF(#REF!,"AAAAAH/z9dE=",0)</f>
        <v>#REF!</v>
      </c>
      <c r="HC304" t="e">
        <f>IF(#REF!,"AAAAAH/z9dI=",0)</f>
        <v>#REF!</v>
      </c>
      <c r="HD304" t="e">
        <f>IF(#REF!,"AAAAAH/z9dM=",0)</f>
        <v>#REF!</v>
      </c>
      <c r="HE304" t="e">
        <f>IF(#REF!,"AAAAAH/z9dQ=",0)</f>
        <v>#REF!</v>
      </c>
      <c r="HF304" t="e">
        <f>IF(#REF!,"AAAAAH/z9dU=",0)</f>
        <v>#REF!</v>
      </c>
      <c r="HG304" t="e">
        <f>IF(#REF!,"AAAAAH/z9dY=",0)</f>
        <v>#REF!</v>
      </c>
      <c r="HH304" t="e">
        <f>IF(#REF!,"AAAAAH/z9dc=",0)</f>
        <v>#REF!</v>
      </c>
      <c r="HI304" t="e">
        <f>IF(#REF!,"AAAAAH/z9dg=",0)</f>
        <v>#REF!</v>
      </c>
      <c r="HJ304" t="e">
        <f>IF(#REF!,"AAAAAH/z9dk=",0)</f>
        <v>#REF!</v>
      </c>
      <c r="HK304" t="e">
        <f>IF(#REF!,"AAAAAH/z9do=",0)</f>
        <v>#REF!</v>
      </c>
      <c r="HL304" t="e">
        <f>IF(#REF!,"AAAAAH/z9ds=",0)</f>
        <v>#REF!</v>
      </c>
      <c r="HM304" t="e">
        <f>IF(#REF!,"AAAAAH/z9dw=",0)</f>
        <v>#REF!</v>
      </c>
      <c r="HN304" t="e">
        <f>IF(#REF!,"AAAAAH/z9d0=",0)</f>
        <v>#REF!</v>
      </c>
      <c r="HO304" t="e">
        <f>IF(#REF!,"AAAAAH/z9d4=",0)</f>
        <v>#REF!</v>
      </c>
      <c r="HP304" t="e">
        <f>IF(#REF!,"AAAAAH/z9d8=",0)</f>
        <v>#REF!</v>
      </c>
      <c r="HQ304" t="e">
        <f>IF(#REF!,"AAAAAH/z9eA=",0)</f>
        <v>#REF!</v>
      </c>
      <c r="HR304" t="e">
        <f>IF(#REF!,"AAAAAH/z9eE=",0)</f>
        <v>#REF!</v>
      </c>
      <c r="HS304" t="e">
        <f>IF(#REF!,"AAAAAH/z9eI=",0)</f>
        <v>#REF!</v>
      </c>
      <c r="HT304" t="e">
        <f>IF(#REF!,"AAAAAH/z9eM=",0)</f>
        <v>#REF!</v>
      </c>
      <c r="HU304" t="e">
        <f>IF(#REF!,"AAAAAH/z9eQ=",0)</f>
        <v>#REF!</v>
      </c>
      <c r="HV304" t="e">
        <f>IF(#REF!,"AAAAAH/z9eU=",0)</f>
        <v>#REF!</v>
      </c>
      <c r="HW304" t="e">
        <f>IF(#REF!,"AAAAAH/z9eY=",0)</f>
        <v>#REF!</v>
      </c>
      <c r="HX304" t="e">
        <f>IF(#REF!,"AAAAAH/z9ec=",0)</f>
        <v>#REF!</v>
      </c>
      <c r="HY304" t="e">
        <f>IF(#REF!,"AAAAAH/z9eg=",0)</f>
        <v>#REF!</v>
      </c>
      <c r="HZ304" t="e">
        <f>IF(#REF!,"AAAAAH/z9ek=",0)</f>
        <v>#REF!</v>
      </c>
      <c r="IA304" t="e">
        <f>IF(#REF!,"AAAAAH/z9eo=",0)</f>
        <v>#REF!</v>
      </c>
      <c r="IB304" t="e">
        <f>IF(#REF!,"AAAAAH/z9es=",0)</f>
        <v>#REF!</v>
      </c>
      <c r="IC304" t="e">
        <f>IF(#REF!,"AAAAAH/z9ew=",0)</f>
        <v>#REF!</v>
      </c>
      <c r="ID304" t="e">
        <f>IF(#REF!,"AAAAAH/z9e0=",0)</f>
        <v>#REF!</v>
      </c>
      <c r="IE304" t="e">
        <f>IF(#REF!,"AAAAAH/z9e4=",0)</f>
        <v>#REF!</v>
      </c>
      <c r="IF304" t="e">
        <f>IF(#REF!,"AAAAAH/z9e8=",0)</f>
        <v>#REF!</v>
      </c>
      <c r="IG304" t="e">
        <f>IF(#REF!,"AAAAAH/z9fA=",0)</f>
        <v>#REF!</v>
      </c>
      <c r="IH304" t="e">
        <f>IF(#REF!,"AAAAAH/z9fE=",0)</f>
        <v>#REF!</v>
      </c>
      <c r="II304" t="e">
        <f>IF(#REF!,"AAAAAH/z9fI=",0)</f>
        <v>#REF!</v>
      </c>
      <c r="IJ304" t="e">
        <f>IF(#REF!,"AAAAAH/z9fM=",0)</f>
        <v>#REF!</v>
      </c>
      <c r="IK304" t="e">
        <f>IF(#REF!,"AAAAAH/z9fQ=",0)</f>
        <v>#REF!</v>
      </c>
      <c r="IL304" t="e">
        <f>IF(#REF!,"AAAAAH/z9fU=",0)</f>
        <v>#REF!</v>
      </c>
      <c r="IM304" t="e">
        <f>IF(#REF!,"AAAAAH/z9fY=",0)</f>
        <v>#REF!</v>
      </c>
      <c r="IN304" t="e">
        <f>IF(#REF!,"AAAAAH/z9fc=",0)</f>
        <v>#REF!</v>
      </c>
      <c r="IO304" t="e">
        <f>IF(#REF!,"AAAAAH/z9fg=",0)</f>
        <v>#REF!</v>
      </c>
      <c r="IP304" t="e">
        <f>IF(#REF!,"AAAAAH/z9fk=",0)</f>
        <v>#REF!</v>
      </c>
      <c r="IQ304" t="e">
        <f>IF(#REF!,"AAAAAH/z9fo=",0)</f>
        <v>#REF!</v>
      </c>
      <c r="IR304" t="e">
        <f>IF(#REF!,"AAAAAH/z9fs=",0)</f>
        <v>#REF!</v>
      </c>
      <c r="IS304" t="e">
        <f>IF(#REF!,"AAAAAH/z9fw=",0)</f>
        <v>#REF!</v>
      </c>
      <c r="IT304" t="e">
        <f>IF(#REF!,"AAAAAH/z9f0=",0)</f>
        <v>#REF!</v>
      </c>
      <c r="IU304" t="e">
        <f>IF(#REF!,"AAAAAH/z9f4=",0)</f>
        <v>#REF!</v>
      </c>
      <c r="IV304" t="e">
        <f>IF(#REF!,"AAAAAH/z9f8=",0)</f>
        <v>#REF!</v>
      </c>
    </row>
    <row r="305" spans="1:256">
      <c r="A305" t="e">
        <f>IF(#REF!,"AAAAAHe99wA=",0)</f>
        <v>#REF!</v>
      </c>
      <c r="B305" t="e">
        <f>IF(#REF!,"AAAAAHe99wE=",0)</f>
        <v>#REF!</v>
      </c>
      <c r="C305" t="e">
        <f>IF(#REF!,"AAAAAHe99wI=",0)</f>
        <v>#REF!</v>
      </c>
      <c r="D305" t="e">
        <f>IF(#REF!,"AAAAAHe99wM=",0)</f>
        <v>#REF!</v>
      </c>
      <c r="E305" t="e">
        <f>IF(#REF!,"AAAAAHe99wQ=",0)</f>
        <v>#REF!</v>
      </c>
      <c r="F305" t="e">
        <f>IF(#REF!,"AAAAAHe99wU=",0)</f>
        <v>#REF!</v>
      </c>
      <c r="G305" t="e">
        <f>IF(#REF!,"AAAAAHe99wY=",0)</f>
        <v>#REF!</v>
      </c>
      <c r="H305" t="e">
        <f>IF(#REF!,"AAAAAHe99wc=",0)</f>
        <v>#REF!</v>
      </c>
      <c r="I305" t="e">
        <f>IF(#REF!,"AAAAAHe99wg=",0)</f>
        <v>#REF!</v>
      </c>
      <c r="J305" t="e">
        <f>IF(#REF!,"AAAAAHe99wk=",0)</f>
        <v>#REF!</v>
      </c>
      <c r="K305" t="e">
        <f>IF(#REF!,"AAAAAHe99wo=",0)</f>
        <v>#REF!</v>
      </c>
      <c r="L305" t="e">
        <f>IF(#REF!,"AAAAAHe99ws=",0)</f>
        <v>#REF!</v>
      </c>
      <c r="M305" t="e">
        <f>IF(#REF!,"AAAAAHe99ww=",0)</f>
        <v>#REF!</v>
      </c>
      <c r="N305" t="e">
        <f>IF(#REF!,"AAAAAHe99w0=",0)</f>
        <v>#REF!</v>
      </c>
      <c r="O305" t="e">
        <f>IF(#REF!,"AAAAAHe99w4=",0)</f>
        <v>#REF!</v>
      </c>
      <c r="P305" t="e">
        <f>IF(#REF!,"AAAAAHe99w8=",0)</f>
        <v>#REF!</v>
      </c>
      <c r="Q305" t="e">
        <f>IF(#REF!,"AAAAAHe99xA=",0)</f>
        <v>#REF!</v>
      </c>
      <c r="R305" t="e">
        <f>IF(#REF!,"AAAAAHe99xE=",0)</f>
        <v>#REF!</v>
      </c>
      <c r="S305" t="e">
        <f>IF(#REF!,"AAAAAHe99xI=",0)</f>
        <v>#REF!</v>
      </c>
      <c r="T305" t="e">
        <f>IF(#REF!,"AAAAAHe99xM=",0)</f>
        <v>#REF!</v>
      </c>
      <c r="U305" t="e">
        <f>IF(#REF!,"AAAAAHe99xQ=",0)</f>
        <v>#REF!</v>
      </c>
      <c r="V305" t="e">
        <f>IF(#REF!,"AAAAAHe99xU=",0)</f>
        <v>#REF!</v>
      </c>
      <c r="W305" t="e">
        <f>IF(#REF!,"AAAAAHe99xY=",0)</f>
        <v>#REF!</v>
      </c>
      <c r="X305" t="e">
        <f>IF(#REF!,"AAAAAHe99xc=",0)</f>
        <v>#REF!</v>
      </c>
      <c r="Y305" t="e">
        <f>IF(#REF!,"AAAAAHe99xg=",0)</f>
        <v>#REF!</v>
      </c>
      <c r="Z305" t="e">
        <f>IF(#REF!,"AAAAAHe99xk=",0)</f>
        <v>#REF!</v>
      </c>
      <c r="AA305" t="e">
        <f>IF(#REF!,"AAAAAHe99xo=",0)</f>
        <v>#REF!</v>
      </c>
      <c r="AB305" t="e">
        <f>IF(#REF!,"AAAAAHe99xs=",0)</f>
        <v>#REF!</v>
      </c>
      <c r="AC305" t="e">
        <f>IF(#REF!,"AAAAAHe99xw=",0)</f>
        <v>#REF!</v>
      </c>
      <c r="AD305" t="e">
        <f>IF(#REF!,"AAAAAHe99x0=",0)</f>
        <v>#REF!</v>
      </c>
      <c r="AE305" t="e">
        <f>IF(#REF!,"AAAAAHe99x4=",0)</f>
        <v>#REF!</v>
      </c>
      <c r="AF305" t="e">
        <f>IF(#REF!,"AAAAAHe99x8=",0)</f>
        <v>#REF!</v>
      </c>
      <c r="AG305" t="e">
        <f>IF(#REF!,"AAAAAHe99yA=",0)</f>
        <v>#REF!</v>
      </c>
      <c r="AH305" t="e">
        <f>IF(#REF!,"AAAAAHe99yE=",0)</f>
        <v>#REF!</v>
      </c>
      <c r="AI305" t="e">
        <f>IF(#REF!,"AAAAAHe99yI=",0)</f>
        <v>#REF!</v>
      </c>
      <c r="AJ305" t="e">
        <f>IF(#REF!,"AAAAAHe99yM=",0)</f>
        <v>#REF!</v>
      </c>
      <c r="AK305" t="e">
        <f>IF(#REF!,"AAAAAHe99yQ=",0)</f>
        <v>#REF!</v>
      </c>
      <c r="AL305" t="e">
        <f>IF(#REF!,"AAAAAHe99yU=",0)</f>
        <v>#REF!</v>
      </c>
      <c r="AM305" t="e">
        <f>IF(#REF!,"AAAAAHe99yY=",0)</f>
        <v>#REF!</v>
      </c>
      <c r="AN305" t="e">
        <f>IF(#REF!,"AAAAAHe99yc=",0)</f>
        <v>#REF!</v>
      </c>
      <c r="AO305" t="e">
        <f>IF(#REF!,"AAAAAHe99yg=",0)</f>
        <v>#REF!</v>
      </c>
      <c r="AP305" t="e">
        <f>IF(#REF!,"AAAAAHe99yk=",0)</f>
        <v>#REF!</v>
      </c>
      <c r="AQ305" t="e">
        <f>IF(#REF!,"AAAAAHe99yo=",0)</f>
        <v>#REF!</v>
      </c>
      <c r="AR305" t="e">
        <f>IF(#REF!,"AAAAAHe99ys=",0)</f>
        <v>#REF!</v>
      </c>
      <c r="AS305" t="e">
        <f>IF(#REF!,"AAAAAHe99yw=",0)</f>
        <v>#REF!</v>
      </c>
      <c r="AT305" t="e">
        <f>IF(#REF!,"AAAAAHe99y0=",0)</f>
        <v>#REF!</v>
      </c>
      <c r="AU305" t="e">
        <f>IF(#REF!,"AAAAAHe99y4=",0)</f>
        <v>#REF!</v>
      </c>
      <c r="AV305" t="e">
        <f>IF(#REF!,"AAAAAHe99y8=",0)</f>
        <v>#REF!</v>
      </c>
      <c r="AW305" t="e">
        <f>IF(#REF!,"AAAAAHe99zA=",0)</f>
        <v>#REF!</v>
      </c>
      <c r="AX305" t="e">
        <f>IF(#REF!,"AAAAAHe99zE=",0)</f>
        <v>#REF!</v>
      </c>
      <c r="AY305" t="e">
        <f>IF(#REF!,"AAAAAHe99zI=",0)</f>
        <v>#REF!</v>
      </c>
      <c r="AZ305" t="e">
        <f>IF(#REF!,"AAAAAHe99zM=",0)</f>
        <v>#REF!</v>
      </c>
      <c r="BA305" t="e">
        <f>IF(#REF!,"AAAAAHe99zQ=",0)</f>
        <v>#REF!</v>
      </c>
      <c r="BB305" t="e">
        <f>IF(#REF!,"AAAAAHe99zU=",0)</f>
        <v>#REF!</v>
      </c>
      <c r="BC305" t="e">
        <f>IF(#REF!,"AAAAAHe99zY=",0)</f>
        <v>#REF!</v>
      </c>
      <c r="BD305" t="e">
        <f>IF(#REF!,"AAAAAHe99zc=",0)</f>
        <v>#REF!</v>
      </c>
      <c r="BE305" t="e">
        <f>IF(#REF!,"AAAAAHe99zg=",0)</f>
        <v>#REF!</v>
      </c>
      <c r="BF305" t="e">
        <f>IF(#REF!,"AAAAAHe99zk=",0)</f>
        <v>#REF!</v>
      </c>
      <c r="BG305" t="e">
        <f>IF(#REF!,"AAAAAHe99zo=",0)</f>
        <v>#REF!</v>
      </c>
      <c r="BH305" t="e">
        <f>IF(#REF!,"AAAAAHe99zs=",0)</f>
        <v>#REF!</v>
      </c>
      <c r="BI305" t="e">
        <f>IF(#REF!,"AAAAAHe99zw=",0)</f>
        <v>#REF!</v>
      </c>
      <c r="BJ305" t="e">
        <f>IF(#REF!,"AAAAAHe99z0=",0)</f>
        <v>#REF!</v>
      </c>
      <c r="BK305" t="e">
        <f>IF(#REF!,"AAAAAHe99z4=",0)</f>
        <v>#REF!</v>
      </c>
      <c r="BL305" t="e">
        <f>IF(#REF!,"AAAAAHe99z8=",0)</f>
        <v>#REF!</v>
      </c>
      <c r="BM305" t="e">
        <f>IF(#REF!,"AAAAAHe990A=",0)</f>
        <v>#REF!</v>
      </c>
      <c r="BN305" t="e">
        <f>IF(#REF!,"AAAAAHe990E=",0)</f>
        <v>#REF!</v>
      </c>
      <c r="BO305" t="e">
        <f>IF(#REF!,"AAAAAHe990I=",0)</f>
        <v>#REF!</v>
      </c>
      <c r="BP305" t="e">
        <f>IF(#REF!,"AAAAAHe990M=",0)</f>
        <v>#REF!</v>
      </c>
      <c r="BQ305" t="e">
        <f>IF(#REF!,"AAAAAHe990Q=",0)</f>
        <v>#REF!</v>
      </c>
      <c r="BR305" t="e">
        <f>IF(#REF!,"AAAAAHe990U=",0)</f>
        <v>#REF!</v>
      </c>
      <c r="BS305" t="e">
        <f>IF(#REF!,"AAAAAHe990Y=",0)</f>
        <v>#REF!</v>
      </c>
      <c r="BT305" t="e">
        <f>IF(#REF!,"AAAAAHe990c=",0)</f>
        <v>#REF!</v>
      </c>
      <c r="BU305" t="e">
        <f>IF(#REF!,"AAAAAHe990g=",0)</f>
        <v>#REF!</v>
      </c>
      <c r="BV305" t="e">
        <f>IF(#REF!,"AAAAAHe990k=",0)</f>
        <v>#REF!</v>
      </c>
      <c r="BW305" t="e">
        <f>IF(#REF!,"AAAAAHe990o=",0)</f>
        <v>#REF!</v>
      </c>
      <c r="BX305" t="e">
        <f>IF(#REF!,"AAAAAHe990s=",0)</f>
        <v>#REF!</v>
      </c>
      <c r="BY305" t="e">
        <f>IF(#REF!,"AAAAAHe990w=",0)</f>
        <v>#REF!</v>
      </c>
      <c r="BZ305" t="e">
        <f>IF(#REF!,"AAAAAHe9900=",0)</f>
        <v>#REF!</v>
      </c>
      <c r="CA305" t="e">
        <f>IF(#REF!,"AAAAAHe9904=",0)</f>
        <v>#REF!</v>
      </c>
      <c r="CB305" t="e">
        <f>IF(#REF!,"AAAAAHe9908=",0)</f>
        <v>#REF!</v>
      </c>
      <c r="CC305" t="e">
        <f>IF(#REF!,"AAAAAHe991A=",0)</f>
        <v>#REF!</v>
      </c>
      <c r="CD305" t="e">
        <f>IF(#REF!,"AAAAAHe991E=",0)</f>
        <v>#REF!</v>
      </c>
      <c r="CE305" t="e">
        <f>IF(#REF!,"AAAAAHe991I=",0)</f>
        <v>#REF!</v>
      </c>
      <c r="CF305" t="e">
        <f>IF(#REF!,"AAAAAHe991M=",0)</f>
        <v>#REF!</v>
      </c>
      <c r="CG305" t="e">
        <f>IF(#REF!,"AAAAAHe991Q=",0)</f>
        <v>#REF!</v>
      </c>
      <c r="CH305" t="e">
        <f>IF(#REF!,"AAAAAHe991U=",0)</f>
        <v>#REF!</v>
      </c>
      <c r="CI305" t="e">
        <f>IF(#REF!,"AAAAAHe991Y=",0)</f>
        <v>#REF!</v>
      </c>
      <c r="CJ305" t="e">
        <f>IF(#REF!,"AAAAAHe991c=",0)</f>
        <v>#REF!</v>
      </c>
      <c r="CK305" t="e">
        <f>IF(#REF!,"AAAAAHe991g=",0)</f>
        <v>#REF!</v>
      </c>
      <c r="CL305" t="e">
        <f>IF(#REF!,"AAAAAHe991k=",0)</f>
        <v>#REF!</v>
      </c>
      <c r="CM305" t="e">
        <f>IF(#REF!,"AAAAAHe991o=",0)</f>
        <v>#REF!</v>
      </c>
      <c r="CN305" t="e">
        <f>IF(#REF!,"AAAAAHe991s=",0)</f>
        <v>#REF!</v>
      </c>
      <c r="CO305" t="e">
        <f>IF(#REF!,"AAAAAHe991w=",0)</f>
        <v>#REF!</v>
      </c>
      <c r="CP305" t="e">
        <f>IF(#REF!,"AAAAAHe9910=",0)</f>
        <v>#REF!</v>
      </c>
      <c r="CQ305" t="e">
        <f>IF(#REF!,"AAAAAHe9914=",0)</f>
        <v>#REF!</v>
      </c>
      <c r="CR305" t="e">
        <f>IF(#REF!,"AAAAAHe9918=",0)</f>
        <v>#REF!</v>
      </c>
      <c r="CS305" t="e">
        <f>IF(#REF!,"AAAAAHe992A=",0)</f>
        <v>#REF!</v>
      </c>
      <c r="CT305" t="e">
        <f>IF(#REF!,"AAAAAHe992E=",0)</f>
        <v>#REF!</v>
      </c>
      <c r="CU305" t="e">
        <f>IF(#REF!,"AAAAAHe992I=",0)</f>
        <v>#REF!</v>
      </c>
      <c r="CV305" t="e">
        <f>IF(#REF!,"AAAAAHe992M=",0)</f>
        <v>#REF!</v>
      </c>
      <c r="CW305" t="e">
        <f>IF(#REF!,"AAAAAHe992Q=",0)</f>
        <v>#REF!</v>
      </c>
      <c r="CX305" t="e">
        <f>IF(#REF!,"AAAAAHe992U=",0)</f>
        <v>#REF!</v>
      </c>
      <c r="CY305" t="e">
        <f>IF(#REF!,"AAAAAHe992Y=",0)</f>
        <v>#REF!</v>
      </c>
      <c r="CZ305" t="e">
        <f>IF(#REF!,"AAAAAHe992c=",0)</f>
        <v>#REF!</v>
      </c>
      <c r="DA305" t="e">
        <f>IF(#REF!,"AAAAAHe992g=",0)</f>
        <v>#REF!</v>
      </c>
      <c r="DB305" t="e">
        <f>IF(#REF!,"AAAAAHe992k=",0)</f>
        <v>#REF!</v>
      </c>
      <c r="DC305" t="e">
        <f>IF(#REF!,"AAAAAHe992o=",0)</f>
        <v>#REF!</v>
      </c>
      <c r="DD305" t="e">
        <f>IF(#REF!,"AAAAAHe992s=",0)</f>
        <v>#REF!</v>
      </c>
      <c r="DE305" t="e">
        <f>IF(#REF!,"AAAAAHe992w=",0)</f>
        <v>#REF!</v>
      </c>
      <c r="DF305" t="e">
        <f>IF(#REF!,"AAAAAHe9920=",0)</f>
        <v>#REF!</v>
      </c>
      <c r="DG305" t="e">
        <f>IF(#REF!,"AAAAAHe9924=",0)</f>
        <v>#REF!</v>
      </c>
      <c r="DH305" t="e">
        <f>IF(#REF!,"AAAAAHe9928=",0)</f>
        <v>#REF!</v>
      </c>
      <c r="DI305" t="e">
        <f>IF(#REF!,"AAAAAHe993A=",0)</f>
        <v>#REF!</v>
      </c>
      <c r="DJ305" t="e">
        <f>IF(#REF!,"AAAAAHe993E=",0)</f>
        <v>#REF!</v>
      </c>
      <c r="DK305" t="e">
        <f>IF(#REF!,"AAAAAHe993I=",0)</f>
        <v>#REF!</v>
      </c>
      <c r="DL305" t="e">
        <f>IF(#REF!,"AAAAAHe993M=",0)</f>
        <v>#REF!</v>
      </c>
      <c r="DM305" t="e">
        <f>IF(#REF!,"AAAAAHe993Q=",0)</f>
        <v>#REF!</v>
      </c>
      <c r="DN305" t="e">
        <f>IF(#REF!,"AAAAAHe993U=",0)</f>
        <v>#REF!</v>
      </c>
      <c r="DO305" t="e">
        <f>IF(#REF!,"AAAAAHe993Y=",0)</f>
        <v>#REF!</v>
      </c>
      <c r="DP305" t="e">
        <f>IF(#REF!,"AAAAAHe993c=",0)</f>
        <v>#REF!</v>
      </c>
      <c r="DQ305" t="e">
        <f>IF(#REF!,"AAAAAHe993g=",0)</f>
        <v>#REF!</v>
      </c>
      <c r="DR305" t="e">
        <f>IF(#REF!,"AAAAAHe993k=",0)</f>
        <v>#REF!</v>
      </c>
      <c r="DS305" t="e">
        <f>IF(#REF!,"AAAAAHe993o=",0)</f>
        <v>#REF!</v>
      </c>
      <c r="DT305" t="e">
        <f>IF(#REF!,"AAAAAHe993s=",0)</f>
        <v>#REF!</v>
      </c>
      <c r="DU305" t="e">
        <f>IF(#REF!,"AAAAAHe993w=",0)</f>
        <v>#REF!</v>
      </c>
      <c r="DV305" t="e">
        <f>IF(#REF!,"AAAAAHe9930=",0)</f>
        <v>#REF!</v>
      </c>
      <c r="DW305" t="e">
        <f>IF(#REF!,"AAAAAHe9934=",0)</f>
        <v>#REF!</v>
      </c>
      <c r="DX305" t="e">
        <f>IF(#REF!,"AAAAAHe9938=",0)</f>
        <v>#REF!</v>
      </c>
      <c r="DY305" t="e">
        <f>IF(#REF!,"AAAAAHe994A=",0)</f>
        <v>#REF!</v>
      </c>
      <c r="DZ305" t="e">
        <f>IF(#REF!,"AAAAAHe994E=",0)</f>
        <v>#REF!</v>
      </c>
      <c r="EA305" t="e">
        <f>IF(#REF!,"AAAAAHe994I=",0)</f>
        <v>#REF!</v>
      </c>
      <c r="EB305" t="e">
        <f>IF(#REF!,"AAAAAHe994M=",0)</f>
        <v>#REF!</v>
      </c>
      <c r="EC305" t="e">
        <f>IF(#REF!,"AAAAAHe994Q=",0)</f>
        <v>#REF!</v>
      </c>
      <c r="ED305" t="e">
        <f>IF(#REF!,"AAAAAHe994U=",0)</f>
        <v>#REF!</v>
      </c>
      <c r="EE305" t="e">
        <f>IF(#REF!,"AAAAAHe994Y=",0)</f>
        <v>#REF!</v>
      </c>
      <c r="EF305" t="e">
        <f>IF(#REF!,"AAAAAHe994c=",0)</f>
        <v>#REF!</v>
      </c>
      <c r="EG305" t="e">
        <f>IF(#REF!,"AAAAAHe994g=",0)</f>
        <v>#REF!</v>
      </c>
      <c r="EH305" t="e">
        <f>IF(#REF!,"AAAAAHe994k=",0)</f>
        <v>#REF!</v>
      </c>
      <c r="EI305" t="e">
        <f>IF(#REF!,"AAAAAHe994o=",0)</f>
        <v>#REF!</v>
      </c>
      <c r="EJ305" t="e">
        <f>IF(#REF!,"AAAAAHe994s=",0)</f>
        <v>#REF!</v>
      </c>
      <c r="EK305" t="e">
        <f>IF(#REF!,"AAAAAHe994w=",0)</f>
        <v>#REF!</v>
      </c>
      <c r="EL305" t="e">
        <f>IF(#REF!,"AAAAAHe9940=",0)</f>
        <v>#REF!</v>
      </c>
      <c r="EM305" t="e">
        <f>IF(#REF!,"AAAAAHe9944=",0)</f>
        <v>#REF!</v>
      </c>
      <c r="EN305" t="e">
        <f>IF(#REF!,"AAAAAHe9948=",0)</f>
        <v>#REF!</v>
      </c>
      <c r="EO305" t="e">
        <f>IF(#REF!,"AAAAAHe995A=",0)</f>
        <v>#REF!</v>
      </c>
      <c r="EP305" t="e">
        <f>IF(#REF!,"AAAAAHe995E=",0)</f>
        <v>#REF!</v>
      </c>
      <c r="EQ305" t="e">
        <f>IF(#REF!,"AAAAAHe995I=",0)</f>
        <v>#REF!</v>
      </c>
      <c r="ER305" t="e">
        <f>IF(#REF!,"AAAAAHe995M=",0)</f>
        <v>#REF!</v>
      </c>
      <c r="ES305" t="e">
        <f>IF(#REF!,"AAAAAHe995Q=",0)</f>
        <v>#REF!</v>
      </c>
      <c r="ET305" t="e">
        <f>IF(#REF!,"AAAAAHe995U=",0)</f>
        <v>#REF!</v>
      </c>
      <c r="EU305" t="e">
        <f>IF(#REF!,"AAAAAHe995Y=",0)</f>
        <v>#REF!</v>
      </c>
      <c r="EV305" t="e">
        <f>IF(#REF!,"AAAAAHe995c=",0)</f>
        <v>#REF!</v>
      </c>
      <c r="EW305" t="e">
        <f>IF(#REF!,"AAAAAHe995g=",0)</f>
        <v>#REF!</v>
      </c>
      <c r="EX305" t="e">
        <f>IF(#REF!,"AAAAAHe995k=",0)</f>
        <v>#REF!</v>
      </c>
      <c r="EY305" t="e">
        <f>IF(#REF!,"AAAAAHe995o=",0)</f>
        <v>#REF!</v>
      </c>
      <c r="EZ305" t="e">
        <f>IF(#REF!,"AAAAAHe995s=",0)</f>
        <v>#REF!</v>
      </c>
      <c r="FA305" t="e">
        <f>IF(#REF!,"AAAAAHe995w=",0)</f>
        <v>#REF!</v>
      </c>
      <c r="FB305" t="e">
        <f>IF(#REF!,"AAAAAHe9950=",0)</f>
        <v>#REF!</v>
      </c>
      <c r="FC305" t="e">
        <f>IF(#REF!,"AAAAAHe9954=",0)</f>
        <v>#REF!</v>
      </c>
      <c r="FD305" t="e">
        <f>IF(#REF!,"AAAAAHe9958=",0)</f>
        <v>#REF!</v>
      </c>
      <c r="FE305" t="e">
        <f>IF(#REF!,"AAAAAHe996A=",0)</f>
        <v>#REF!</v>
      </c>
      <c r="FF305" t="e">
        <f>IF(#REF!,"AAAAAHe996E=",0)</f>
        <v>#REF!</v>
      </c>
      <c r="FG305" t="e">
        <f>IF(#REF!,"AAAAAHe996I=",0)</f>
        <v>#REF!</v>
      </c>
      <c r="FH305" t="e">
        <f>IF(#REF!,"AAAAAHe996M=",0)</f>
        <v>#REF!</v>
      </c>
      <c r="FI305" t="e">
        <f>IF(#REF!,"AAAAAHe996Q=",0)</f>
        <v>#REF!</v>
      </c>
      <c r="FJ305" t="e">
        <f>IF(#REF!,"AAAAAHe996U=",0)</f>
        <v>#REF!</v>
      </c>
      <c r="FK305" t="e">
        <f>IF(#REF!,"AAAAAHe996Y=",0)</f>
        <v>#REF!</v>
      </c>
      <c r="FL305" t="e">
        <f>IF(#REF!,"AAAAAHe996c=",0)</f>
        <v>#REF!</v>
      </c>
      <c r="FM305" t="e">
        <f>IF(#REF!,"AAAAAHe996g=",0)</f>
        <v>#REF!</v>
      </c>
      <c r="FN305" t="e">
        <f>IF(#REF!,"AAAAAHe996k=",0)</f>
        <v>#REF!</v>
      </c>
      <c r="FO305" t="e">
        <f>IF(#REF!,"AAAAAHe996o=",0)</f>
        <v>#REF!</v>
      </c>
      <c r="FP305" t="e">
        <f>IF(#REF!,"AAAAAHe996s=",0)</f>
        <v>#REF!</v>
      </c>
      <c r="FQ305" t="e">
        <f>IF(#REF!,"AAAAAHe996w=",0)</f>
        <v>#REF!</v>
      </c>
      <c r="FR305" t="e">
        <f>IF(#REF!,"AAAAAHe9960=",0)</f>
        <v>#REF!</v>
      </c>
      <c r="FS305" t="e">
        <f>IF(#REF!,"AAAAAHe9964=",0)</f>
        <v>#REF!</v>
      </c>
      <c r="FT305" t="e">
        <f>IF(#REF!,"AAAAAHe9968=",0)</f>
        <v>#REF!</v>
      </c>
      <c r="FU305" t="e">
        <f>IF(#REF!,"AAAAAHe997A=",0)</f>
        <v>#REF!</v>
      </c>
      <c r="FV305" t="e">
        <f>IF(#REF!,"AAAAAHe997E=",0)</f>
        <v>#REF!</v>
      </c>
      <c r="FW305" t="e">
        <f>IF(#REF!,"AAAAAHe997I=",0)</f>
        <v>#REF!</v>
      </c>
      <c r="FX305" t="e">
        <f>IF(#REF!,"AAAAAHe997M=",0)</f>
        <v>#REF!</v>
      </c>
      <c r="FY305" t="e">
        <f>IF(#REF!,"AAAAAHe997Q=",0)</f>
        <v>#REF!</v>
      </c>
      <c r="FZ305" t="e">
        <f>IF(#REF!,"AAAAAHe997U=",0)</f>
        <v>#REF!</v>
      </c>
      <c r="GA305" t="e">
        <f>IF(#REF!,"AAAAAHe997Y=",0)</f>
        <v>#REF!</v>
      </c>
      <c r="GB305" t="e">
        <f>IF(#REF!,"AAAAAHe997c=",0)</f>
        <v>#REF!</v>
      </c>
      <c r="GC305" t="e">
        <f>IF(#REF!,"AAAAAHe997g=",0)</f>
        <v>#REF!</v>
      </c>
      <c r="GD305" t="e">
        <f>IF(#REF!,"AAAAAHe997k=",0)</f>
        <v>#REF!</v>
      </c>
      <c r="GE305" t="e">
        <f>IF(#REF!,"AAAAAHe997o=",0)</f>
        <v>#REF!</v>
      </c>
      <c r="GF305" t="e">
        <f>IF(#REF!,"AAAAAHe997s=",0)</f>
        <v>#REF!</v>
      </c>
      <c r="GG305" t="e">
        <f>IF(#REF!,"AAAAAHe997w=",0)</f>
        <v>#REF!</v>
      </c>
      <c r="GH305" t="e">
        <f>IF(#REF!,"AAAAAHe9970=",0)</f>
        <v>#REF!</v>
      </c>
      <c r="GI305" t="e">
        <f>IF(#REF!,"AAAAAHe9974=",0)</f>
        <v>#REF!</v>
      </c>
      <c r="GJ305" t="e">
        <f>IF(#REF!,"AAAAAHe9978=",0)</f>
        <v>#REF!</v>
      </c>
      <c r="GK305" t="e">
        <f>IF(#REF!,"AAAAAHe998A=",0)</f>
        <v>#REF!</v>
      </c>
      <c r="GL305" t="e">
        <f>IF(#REF!,"AAAAAHe998E=",0)</f>
        <v>#REF!</v>
      </c>
      <c r="GM305" t="e">
        <f>IF(#REF!,"AAAAAHe998I=",0)</f>
        <v>#REF!</v>
      </c>
      <c r="GN305" t="e">
        <f>IF(#REF!,"AAAAAHe998M=",0)</f>
        <v>#REF!</v>
      </c>
      <c r="GO305" t="e">
        <f>IF(#REF!,"AAAAAHe998Q=",0)</f>
        <v>#REF!</v>
      </c>
      <c r="GP305" t="e">
        <f>IF(#REF!,"AAAAAHe998U=",0)</f>
        <v>#REF!</v>
      </c>
      <c r="GQ305" t="e">
        <f>IF(#REF!,"AAAAAHe998Y=",0)</f>
        <v>#REF!</v>
      </c>
      <c r="GR305" t="e">
        <f>IF(#REF!,"AAAAAHe998c=",0)</f>
        <v>#REF!</v>
      </c>
      <c r="GS305" t="e">
        <f>IF(#REF!,"AAAAAHe998g=",0)</f>
        <v>#REF!</v>
      </c>
      <c r="GT305" t="e">
        <f>IF(#REF!,"AAAAAHe998k=",0)</f>
        <v>#REF!</v>
      </c>
      <c r="GU305" t="e">
        <f>IF(#REF!,"AAAAAHe998o=",0)</f>
        <v>#REF!</v>
      </c>
      <c r="GV305" t="e">
        <f>IF(#REF!,"AAAAAHe998s=",0)</f>
        <v>#REF!</v>
      </c>
      <c r="GW305" t="e">
        <f>IF(#REF!,"AAAAAHe998w=",0)</f>
        <v>#REF!</v>
      </c>
      <c r="GX305" t="e">
        <f>IF(#REF!,"AAAAAHe9980=",0)</f>
        <v>#REF!</v>
      </c>
      <c r="GY305" t="e">
        <f>IF(#REF!,"AAAAAHe9984=",0)</f>
        <v>#REF!</v>
      </c>
      <c r="GZ305" t="e">
        <f>IF(#REF!,"AAAAAHe9988=",0)</f>
        <v>#REF!</v>
      </c>
      <c r="HA305" t="e">
        <f>IF(#REF!,"AAAAAHe999A=",0)</f>
        <v>#REF!</v>
      </c>
      <c r="HB305" t="e">
        <f>IF(#REF!,"AAAAAHe999E=",0)</f>
        <v>#REF!</v>
      </c>
      <c r="HC305" t="e">
        <f>IF(#REF!,"AAAAAHe999I=",0)</f>
        <v>#REF!</v>
      </c>
      <c r="HD305" t="e">
        <f>IF(#REF!,"AAAAAHe999M=",0)</f>
        <v>#REF!</v>
      </c>
      <c r="HE305" t="e">
        <f>IF(#REF!,"AAAAAHe999Q=",0)</f>
        <v>#REF!</v>
      </c>
      <c r="HF305" t="e">
        <f>IF(#REF!,"AAAAAHe999U=",0)</f>
        <v>#REF!</v>
      </c>
      <c r="HG305" t="e">
        <f>IF(#REF!,"AAAAAHe999Y=",0)</f>
        <v>#REF!</v>
      </c>
      <c r="HH305" t="e">
        <f>IF(#REF!,"AAAAAHe999c=",0)</f>
        <v>#REF!</v>
      </c>
      <c r="HI305" t="e">
        <f>IF(#REF!,"AAAAAHe999g=",0)</f>
        <v>#REF!</v>
      </c>
      <c r="HJ305" t="e">
        <f>IF(#REF!,"AAAAAHe999k=",0)</f>
        <v>#REF!</v>
      </c>
      <c r="HK305" t="e">
        <f>IF(#REF!,"AAAAAHe999o=",0)</f>
        <v>#REF!</v>
      </c>
      <c r="HL305" t="e">
        <f>IF(#REF!,"AAAAAHe999s=",0)</f>
        <v>#REF!</v>
      </c>
      <c r="HM305" t="e">
        <f>IF(#REF!,"AAAAAHe999w=",0)</f>
        <v>#REF!</v>
      </c>
      <c r="HN305" t="e">
        <f>IF(#REF!,"AAAAAHe9990=",0)</f>
        <v>#REF!</v>
      </c>
      <c r="HO305" t="e">
        <f>IF(#REF!,"AAAAAHe9994=",0)</f>
        <v>#REF!</v>
      </c>
      <c r="HP305" t="e">
        <f>IF(#REF!,"AAAAAHe9998=",0)</f>
        <v>#REF!</v>
      </c>
      <c r="HQ305" t="e">
        <f>IF(#REF!,"AAAAAHe99+A=",0)</f>
        <v>#REF!</v>
      </c>
      <c r="HR305" t="e">
        <f>IF(#REF!,"AAAAAHe99+E=",0)</f>
        <v>#REF!</v>
      </c>
      <c r="HS305" t="e">
        <f>IF(#REF!,"AAAAAHe99+I=",0)</f>
        <v>#REF!</v>
      </c>
      <c r="HT305" t="e">
        <f>IF(#REF!,"AAAAAHe99+M=",0)</f>
        <v>#REF!</v>
      </c>
      <c r="HU305" t="e">
        <f>IF(#REF!,"AAAAAHe99+Q=",0)</f>
        <v>#REF!</v>
      </c>
      <c r="HV305" t="e">
        <f>IF(#REF!,"AAAAAHe99+U=",0)</f>
        <v>#REF!</v>
      </c>
      <c r="HW305" t="e">
        <f>IF(#REF!,"AAAAAHe99+Y=",0)</f>
        <v>#REF!</v>
      </c>
      <c r="HX305" t="e">
        <f>IF(#REF!,"AAAAAHe99+c=",0)</f>
        <v>#REF!</v>
      </c>
      <c r="HY305" t="e">
        <f>IF(#REF!,"AAAAAHe99+g=",0)</f>
        <v>#REF!</v>
      </c>
      <c r="HZ305" t="e">
        <f>IF(#REF!,"AAAAAHe99+k=",0)</f>
        <v>#REF!</v>
      </c>
      <c r="IA305" t="e">
        <f>IF(#REF!,"AAAAAHe99+o=",0)</f>
        <v>#REF!</v>
      </c>
      <c r="IB305" t="e">
        <f>IF(#REF!,"AAAAAHe99+s=",0)</f>
        <v>#REF!</v>
      </c>
      <c r="IC305" t="e">
        <f>IF(#REF!,"AAAAAHe99+w=",0)</f>
        <v>#REF!</v>
      </c>
      <c r="ID305" t="e">
        <f>IF(#REF!,"AAAAAHe99+0=",0)</f>
        <v>#REF!</v>
      </c>
      <c r="IE305" t="e">
        <f>IF(#REF!,"AAAAAHe99+4=",0)</f>
        <v>#REF!</v>
      </c>
      <c r="IF305" t="e">
        <f>IF(#REF!,"AAAAAHe99+8=",0)</f>
        <v>#REF!</v>
      </c>
      <c r="IG305" t="e">
        <f>IF(#REF!,"AAAAAHe99/A=",0)</f>
        <v>#REF!</v>
      </c>
      <c r="IH305" t="e">
        <f>IF(#REF!,"AAAAAHe99/E=",0)</f>
        <v>#REF!</v>
      </c>
      <c r="II305" t="e">
        <f>IF(#REF!,"AAAAAHe99/I=",0)</f>
        <v>#REF!</v>
      </c>
      <c r="IJ305" t="e">
        <f>IF(#REF!,"AAAAAHe99/M=",0)</f>
        <v>#REF!</v>
      </c>
      <c r="IK305" t="e">
        <f>IF(#REF!,"AAAAAHe99/Q=",0)</f>
        <v>#REF!</v>
      </c>
      <c r="IL305" t="e">
        <f>IF(#REF!,"AAAAAHe99/U=",0)</f>
        <v>#REF!</v>
      </c>
      <c r="IM305" t="e">
        <f>IF(#REF!,"AAAAAHe99/Y=",0)</f>
        <v>#REF!</v>
      </c>
      <c r="IN305" t="e">
        <f>IF(#REF!,"AAAAAHe99/c=",0)</f>
        <v>#REF!</v>
      </c>
      <c r="IO305" t="e">
        <f>IF(#REF!,"AAAAAHe99/g=",0)</f>
        <v>#REF!</v>
      </c>
      <c r="IP305" t="e">
        <f>IF(#REF!,"AAAAAHe99/k=",0)</f>
        <v>#REF!</v>
      </c>
      <c r="IQ305" t="e">
        <f>IF(#REF!,"AAAAAHe99/o=",0)</f>
        <v>#REF!</v>
      </c>
      <c r="IR305" t="e">
        <f>IF(#REF!,"AAAAAHe99/s=",0)</f>
        <v>#REF!</v>
      </c>
      <c r="IS305" t="e">
        <f>IF(#REF!,"AAAAAHe99/w=",0)</f>
        <v>#REF!</v>
      </c>
      <c r="IT305" t="e">
        <f>IF(#REF!,"AAAAAHe99/0=",0)</f>
        <v>#REF!</v>
      </c>
      <c r="IU305" t="e">
        <f>IF(#REF!,"AAAAAHe99/4=",0)</f>
        <v>#REF!</v>
      </c>
      <c r="IV305" t="e">
        <f>IF(#REF!,"AAAAAHe99/8=",0)</f>
        <v>#REF!</v>
      </c>
    </row>
    <row r="306" spans="1:256">
      <c r="A306" t="e">
        <f>IF(#REF!,"AAAAAHv4/QA=",0)</f>
        <v>#REF!</v>
      </c>
      <c r="B306" t="e">
        <f>IF(#REF!,"AAAAAHv4/QE=",0)</f>
        <v>#REF!</v>
      </c>
      <c r="C306" t="e">
        <f>IF(#REF!,"AAAAAHv4/QI=",0)</f>
        <v>#REF!</v>
      </c>
      <c r="D306" t="e">
        <f>IF(#REF!,"AAAAAHv4/QM=",0)</f>
        <v>#REF!</v>
      </c>
      <c r="E306" t="e">
        <f>IF(#REF!,"AAAAAHv4/QQ=",0)</f>
        <v>#REF!</v>
      </c>
      <c r="F306" t="e">
        <f>IF(#REF!,"AAAAAHv4/QU=",0)</f>
        <v>#REF!</v>
      </c>
      <c r="G306" t="e">
        <f>IF(#REF!,"AAAAAHv4/QY=",0)</f>
        <v>#REF!</v>
      </c>
      <c r="H306" t="e">
        <f>IF(#REF!,"AAAAAHv4/Qc=",0)</f>
        <v>#REF!</v>
      </c>
      <c r="I306" t="e">
        <f>IF(#REF!,"AAAAAHv4/Qg=",0)</f>
        <v>#REF!</v>
      </c>
      <c r="J306" t="e">
        <f>IF(#REF!,"AAAAAHv4/Qk=",0)</f>
        <v>#REF!</v>
      </c>
      <c r="K306" t="e">
        <f>IF(#REF!,"AAAAAHv4/Qo=",0)</f>
        <v>#REF!</v>
      </c>
      <c r="L306" t="e">
        <f>IF(#REF!,"AAAAAHv4/Qs=",0)</f>
        <v>#REF!</v>
      </c>
      <c r="M306" t="e">
        <f>IF(#REF!,"AAAAAHv4/Qw=",0)</f>
        <v>#REF!</v>
      </c>
      <c r="N306" t="e">
        <f>IF(#REF!,"AAAAAHv4/Q0=",0)</f>
        <v>#REF!</v>
      </c>
      <c r="O306" t="e">
        <f>IF(#REF!,"AAAAAHv4/Q4=",0)</f>
        <v>#REF!</v>
      </c>
      <c r="P306" t="e">
        <f>IF(#REF!,"AAAAAHv4/Q8=",0)</f>
        <v>#REF!</v>
      </c>
      <c r="Q306" t="e">
        <f>IF(#REF!,"AAAAAHv4/RA=",0)</f>
        <v>#REF!</v>
      </c>
      <c r="R306" t="e">
        <f>IF(#REF!,"AAAAAHv4/RE=",0)</f>
        <v>#REF!</v>
      </c>
      <c r="S306" t="e">
        <f>IF(#REF!,"AAAAAHv4/RI=",0)</f>
        <v>#REF!</v>
      </c>
      <c r="T306" t="e">
        <f>IF(#REF!,"AAAAAHv4/RM=",0)</f>
        <v>#REF!</v>
      </c>
      <c r="U306" t="e">
        <f>IF(#REF!,"AAAAAHv4/RQ=",0)</f>
        <v>#REF!</v>
      </c>
      <c r="V306" t="e">
        <f>IF(#REF!,"AAAAAHv4/RU=",0)</f>
        <v>#REF!</v>
      </c>
      <c r="W306" t="e">
        <f>IF(#REF!,"AAAAAHv4/RY=",0)</f>
        <v>#REF!</v>
      </c>
      <c r="X306" t="e">
        <f>IF(#REF!,"AAAAAHv4/Rc=",0)</f>
        <v>#REF!</v>
      </c>
      <c r="Y306" t="e">
        <f>IF(#REF!,"AAAAAHv4/Rg=",0)</f>
        <v>#REF!</v>
      </c>
      <c r="Z306" t="e">
        <f>IF(#REF!,"AAAAAHv4/Rk=",0)</f>
        <v>#REF!</v>
      </c>
      <c r="AA306" t="e">
        <f>IF(#REF!,"AAAAAHv4/Ro=",0)</f>
        <v>#REF!</v>
      </c>
      <c r="AB306" t="e">
        <f>IF(#REF!,"AAAAAHv4/Rs=",0)</f>
        <v>#REF!</v>
      </c>
      <c r="AC306" t="e">
        <f>IF(#REF!,"AAAAAHv4/Rw=",0)</f>
        <v>#REF!</v>
      </c>
      <c r="AD306" t="e">
        <f>IF(#REF!,"AAAAAHv4/R0=",0)</f>
        <v>#REF!</v>
      </c>
      <c r="AE306" t="e">
        <f>IF(#REF!,"AAAAAHv4/R4=",0)</f>
        <v>#REF!</v>
      </c>
      <c r="AF306" t="e">
        <f>IF(#REF!,"AAAAAHv4/R8=",0)</f>
        <v>#REF!</v>
      </c>
      <c r="AG306" t="e">
        <f>IF(#REF!,"AAAAAHv4/SA=",0)</f>
        <v>#REF!</v>
      </c>
      <c r="AH306" t="e">
        <f>IF(#REF!,"AAAAAHv4/SE=",0)</f>
        <v>#REF!</v>
      </c>
      <c r="AI306" t="e">
        <f>IF(#REF!,"AAAAAHv4/SI=",0)</f>
        <v>#REF!</v>
      </c>
      <c r="AJ306" t="e">
        <f>IF(#REF!,"AAAAAHv4/SM=",0)</f>
        <v>#REF!</v>
      </c>
      <c r="AK306" t="e">
        <f>IF(#REF!,"AAAAAHv4/SQ=",0)</f>
        <v>#REF!</v>
      </c>
      <c r="AL306" t="e">
        <f>IF(#REF!,"AAAAAHv4/SU=",0)</f>
        <v>#REF!</v>
      </c>
      <c r="AM306" t="e">
        <f>IF(#REF!,"AAAAAHv4/SY=",0)</f>
        <v>#REF!</v>
      </c>
      <c r="AN306" t="e">
        <f>IF(#REF!,"AAAAAHv4/Sc=",0)</f>
        <v>#REF!</v>
      </c>
      <c r="AO306" t="e">
        <f>IF(#REF!,"AAAAAHv4/Sg=",0)</f>
        <v>#REF!</v>
      </c>
      <c r="AP306" t="e">
        <f>IF(#REF!,"AAAAAHv4/Sk=",0)</f>
        <v>#REF!</v>
      </c>
      <c r="AQ306" t="e">
        <f>IF(#REF!,"AAAAAHv4/So=",0)</f>
        <v>#REF!</v>
      </c>
      <c r="AR306" t="e">
        <f>IF(#REF!,"AAAAAHv4/Ss=",0)</f>
        <v>#REF!</v>
      </c>
      <c r="AS306" t="e">
        <f>IF(#REF!,"AAAAAHv4/Sw=",0)</f>
        <v>#REF!</v>
      </c>
      <c r="AT306" t="e">
        <f>IF(#REF!,"AAAAAHv4/S0=",0)</f>
        <v>#REF!</v>
      </c>
      <c r="AU306" t="e">
        <f>IF(#REF!,"AAAAAHv4/S4=",0)</f>
        <v>#REF!</v>
      </c>
      <c r="AV306" t="e">
        <f>IF(#REF!,"AAAAAHv4/S8=",0)</f>
        <v>#REF!</v>
      </c>
      <c r="AW306" t="e">
        <f>IF(#REF!,"AAAAAHv4/TA=",0)</f>
        <v>#REF!</v>
      </c>
      <c r="AX306" t="e">
        <f>IF(#REF!,"AAAAAHv4/TE=",0)</f>
        <v>#REF!</v>
      </c>
      <c r="AY306" t="e">
        <f>IF(#REF!,"AAAAAHv4/TI=",0)</f>
        <v>#REF!</v>
      </c>
      <c r="AZ306" t="e">
        <f>IF(#REF!,"AAAAAHv4/TM=",0)</f>
        <v>#REF!</v>
      </c>
      <c r="BA306" t="e">
        <f>IF(#REF!,"AAAAAHv4/TQ=",0)</f>
        <v>#REF!</v>
      </c>
      <c r="BB306" t="e">
        <f>IF(#REF!,"AAAAAHv4/TU=",0)</f>
        <v>#REF!</v>
      </c>
      <c r="BC306" t="e">
        <f>IF(#REF!,"AAAAAHv4/TY=",0)</f>
        <v>#REF!</v>
      </c>
      <c r="BD306" t="e">
        <f>IF(#REF!,"AAAAAHv4/Tc=",0)</f>
        <v>#REF!</v>
      </c>
      <c r="BE306" t="e">
        <f>IF(#REF!,"AAAAAHv4/Tg=",0)</f>
        <v>#REF!</v>
      </c>
      <c r="BF306" t="e">
        <f>IF(#REF!,"AAAAAHv4/Tk=",0)</f>
        <v>#REF!</v>
      </c>
      <c r="BG306" t="e">
        <f>IF(#REF!,"AAAAAHv4/To=",0)</f>
        <v>#REF!</v>
      </c>
      <c r="BH306" t="e">
        <f>IF(#REF!,"AAAAAHv4/Ts=",0)</f>
        <v>#REF!</v>
      </c>
      <c r="BI306" t="e">
        <f>IF(#REF!,"AAAAAHv4/Tw=",0)</f>
        <v>#REF!</v>
      </c>
      <c r="BJ306" t="e">
        <f>IF(#REF!,"AAAAAHv4/T0=",0)</f>
        <v>#REF!</v>
      </c>
      <c r="BK306" t="e">
        <f>IF(#REF!,"AAAAAHv4/T4=",0)</f>
        <v>#REF!</v>
      </c>
      <c r="BL306" t="e">
        <f>IF(#REF!,"AAAAAHv4/T8=",0)</f>
        <v>#REF!</v>
      </c>
      <c r="BM306" t="e">
        <f>IF(#REF!,"AAAAAHv4/UA=",0)</f>
        <v>#REF!</v>
      </c>
      <c r="BN306" t="e">
        <f>IF(#REF!,"AAAAAHv4/UE=",0)</f>
        <v>#REF!</v>
      </c>
      <c r="BO306" t="e">
        <f>IF(#REF!,"AAAAAHv4/UI=",0)</f>
        <v>#REF!</v>
      </c>
      <c r="BP306" t="e">
        <f>IF(#REF!,"AAAAAHv4/UM=",0)</f>
        <v>#REF!</v>
      </c>
      <c r="BQ306" t="e">
        <f>IF(#REF!,"AAAAAHv4/UQ=",0)</f>
        <v>#REF!</v>
      </c>
      <c r="BR306" t="e">
        <f>IF(#REF!,"AAAAAHv4/UU=",0)</f>
        <v>#REF!</v>
      </c>
      <c r="BS306" t="e">
        <f>IF(#REF!,"AAAAAHv4/UY=",0)</f>
        <v>#REF!</v>
      </c>
      <c r="BT306" t="e">
        <f>IF(#REF!,"AAAAAHv4/Uc=",0)</f>
        <v>#REF!</v>
      </c>
      <c r="BU306" t="e">
        <f>IF(#REF!,"AAAAAHv4/Ug=",0)</f>
        <v>#REF!</v>
      </c>
      <c r="BV306" t="e">
        <f>IF(#REF!,"AAAAAHv4/Uk=",0)</f>
        <v>#REF!</v>
      </c>
      <c r="BW306" t="e">
        <f>IF(#REF!,"AAAAAHv4/Uo=",0)</f>
        <v>#REF!</v>
      </c>
      <c r="BX306" t="e">
        <f>IF(#REF!,"AAAAAHv4/Us=",0)</f>
        <v>#REF!</v>
      </c>
      <c r="BY306" t="e">
        <f>IF(#REF!,"AAAAAHv4/Uw=",0)</f>
        <v>#REF!</v>
      </c>
      <c r="BZ306" t="e">
        <f>IF(#REF!,"AAAAAHv4/U0=",0)</f>
        <v>#REF!</v>
      </c>
      <c r="CA306" t="e">
        <f>IF(#REF!,"AAAAAHv4/U4=",0)</f>
        <v>#REF!</v>
      </c>
      <c r="CB306" t="e">
        <f>IF(#REF!,"AAAAAHv4/U8=",0)</f>
        <v>#REF!</v>
      </c>
      <c r="CC306" t="e">
        <f>IF(#REF!,"AAAAAHv4/VA=",0)</f>
        <v>#REF!</v>
      </c>
      <c r="CD306" t="e">
        <f>IF(#REF!,"AAAAAHv4/VE=",0)</f>
        <v>#REF!</v>
      </c>
      <c r="CE306" t="e">
        <f>IF(#REF!,"AAAAAHv4/VI=",0)</f>
        <v>#REF!</v>
      </c>
      <c r="CF306" t="e">
        <f>IF(#REF!,"AAAAAHv4/VM=",0)</f>
        <v>#REF!</v>
      </c>
      <c r="CG306" t="e">
        <f>IF(#REF!,"AAAAAHv4/VQ=",0)</f>
        <v>#REF!</v>
      </c>
      <c r="CH306" t="e">
        <f>IF(#REF!,"AAAAAHv4/VU=",0)</f>
        <v>#REF!</v>
      </c>
      <c r="CI306" t="e">
        <f>IF(#REF!,"AAAAAHv4/VY=",0)</f>
        <v>#REF!</v>
      </c>
      <c r="CJ306" t="e">
        <f>IF(#REF!,"AAAAAHv4/Vc=",0)</f>
        <v>#REF!</v>
      </c>
      <c r="CK306" t="e">
        <f>IF(#REF!,"AAAAAHv4/Vg=",0)</f>
        <v>#REF!</v>
      </c>
      <c r="CL306" t="e">
        <f>IF(#REF!,"AAAAAHv4/Vk=",0)</f>
        <v>#REF!</v>
      </c>
      <c r="CM306" t="e">
        <f>IF(#REF!,"AAAAAHv4/Vo=",0)</f>
        <v>#REF!</v>
      </c>
      <c r="CN306" t="e">
        <f>IF(#REF!,"AAAAAHv4/Vs=",0)</f>
        <v>#REF!</v>
      </c>
      <c r="CO306" t="e">
        <f>IF(#REF!,"AAAAAHv4/Vw=",0)</f>
        <v>#REF!</v>
      </c>
      <c r="CP306" t="e">
        <f>IF(#REF!,"AAAAAHv4/V0=",0)</f>
        <v>#REF!</v>
      </c>
      <c r="CQ306" t="e">
        <f>IF(#REF!,"AAAAAHv4/V4=",0)</f>
        <v>#REF!</v>
      </c>
      <c r="CR306" t="e">
        <f>IF(#REF!,"AAAAAHv4/V8=",0)</f>
        <v>#REF!</v>
      </c>
      <c r="CS306" t="e">
        <f>IF(#REF!,"AAAAAHv4/WA=",0)</f>
        <v>#REF!</v>
      </c>
      <c r="CT306" t="e">
        <f>IF(#REF!,"AAAAAHv4/WE=",0)</f>
        <v>#REF!</v>
      </c>
      <c r="CU306" t="e">
        <f>IF(#REF!,"AAAAAHv4/WI=",0)</f>
        <v>#REF!</v>
      </c>
      <c r="CV306" t="e">
        <f>IF(#REF!,"AAAAAHv4/WM=",0)</f>
        <v>#REF!</v>
      </c>
      <c r="CW306" t="e">
        <f>IF(#REF!,"AAAAAHv4/WQ=",0)</f>
        <v>#REF!</v>
      </c>
      <c r="CX306" t="e">
        <f>IF(#REF!,"AAAAAHv4/WU=",0)</f>
        <v>#REF!</v>
      </c>
      <c r="CY306" t="e">
        <f>IF(#REF!,"AAAAAHv4/WY=",0)</f>
        <v>#REF!</v>
      </c>
      <c r="CZ306" t="e">
        <f>IF(#REF!,"AAAAAHv4/Wc=",0)</f>
        <v>#REF!</v>
      </c>
      <c r="DA306" t="e">
        <f>IF(#REF!,"AAAAAHv4/Wg=",0)</f>
        <v>#REF!</v>
      </c>
      <c r="DB306" t="e">
        <f>IF(#REF!,"AAAAAHv4/Wk=",0)</f>
        <v>#REF!</v>
      </c>
      <c r="DC306" t="e">
        <f>IF(#REF!,"AAAAAHv4/Wo=",0)</f>
        <v>#REF!</v>
      </c>
      <c r="DD306" t="e">
        <f>IF(#REF!,"AAAAAHv4/Ws=",0)</f>
        <v>#REF!</v>
      </c>
      <c r="DE306" t="e">
        <f>IF(#REF!,"AAAAAHv4/Ww=",0)</f>
        <v>#REF!</v>
      </c>
      <c r="DF306" t="e">
        <f>IF(#REF!,"AAAAAHv4/W0=",0)</f>
        <v>#REF!</v>
      </c>
      <c r="DG306" t="e">
        <f>IF(#REF!,"AAAAAHv4/W4=",0)</f>
        <v>#REF!</v>
      </c>
      <c r="DH306" t="e">
        <f>IF(#REF!,"AAAAAHv4/W8=",0)</f>
        <v>#REF!</v>
      </c>
      <c r="DI306" t="e">
        <f>IF(#REF!,"AAAAAHv4/XA=",0)</f>
        <v>#REF!</v>
      </c>
      <c r="DJ306" t="e">
        <f>IF(#REF!,"AAAAAHv4/XE=",0)</f>
        <v>#REF!</v>
      </c>
      <c r="DK306" t="e">
        <f>IF(#REF!,"AAAAAHv4/XI=",0)</f>
        <v>#REF!</v>
      </c>
      <c r="DL306" t="e">
        <f>IF(#REF!,"AAAAAHv4/XM=",0)</f>
        <v>#REF!</v>
      </c>
      <c r="DM306" t="e">
        <f>IF(#REF!,"AAAAAHv4/XQ=",0)</f>
        <v>#REF!</v>
      </c>
      <c r="DN306" t="e">
        <f>IF(#REF!,"AAAAAHv4/XU=",0)</f>
        <v>#REF!</v>
      </c>
      <c r="DO306" t="e">
        <f>IF(#REF!,"AAAAAHv4/XY=",0)</f>
        <v>#REF!</v>
      </c>
      <c r="DP306" t="e">
        <f>IF(#REF!,"AAAAAHv4/Xc=",0)</f>
        <v>#REF!</v>
      </c>
      <c r="DQ306" t="e">
        <f>IF(#REF!,"AAAAAHv4/Xg=",0)</f>
        <v>#REF!</v>
      </c>
      <c r="DR306" t="e">
        <f>IF(#REF!,"AAAAAHv4/Xk=",0)</f>
        <v>#REF!</v>
      </c>
      <c r="DS306" t="e">
        <f>IF(#REF!,"AAAAAHv4/Xo=",0)</f>
        <v>#REF!</v>
      </c>
      <c r="DT306" t="e">
        <f>IF(#REF!,"AAAAAHv4/Xs=",0)</f>
        <v>#REF!</v>
      </c>
      <c r="DU306" t="e">
        <f>IF(#REF!,"AAAAAHv4/Xw=",0)</f>
        <v>#REF!</v>
      </c>
      <c r="DV306" t="e">
        <f>IF(#REF!,"AAAAAHv4/X0=",0)</f>
        <v>#REF!</v>
      </c>
      <c r="DW306" t="e">
        <f>IF(#REF!,"AAAAAHv4/X4=",0)</f>
        <v>#REF!</v>
      </c>
      <c r="DX306" t="e">
        <f>IF(#REF!,"AAAAAHv4/X8=",0)</f>
        <v>#REF!</v>
      </c>
      <c r="DY306" t="e">
        <f>IF(#REF!,"AAAAAHv4/YA=",0)</f>
        <v>#REF!</v>
      </c>
      <c r="DZ306" t="e">
        <f>IF(#REF!,"AAAAAHv4/YE=",0)</f>
        <v>#REF!</v>
      </c>
      <c r="EA306" t="e">
        <f>IF(#REF!,"AAAAAHv4/YI=",0)</f>
        <v>#REF!</v>
      </c>
      <c r="EB306" t="e">
        <f>IF(#REF!,"AAAAAHv4/YM=",0)</f>
        <v>#REF!</v>
      </c>
      <c r="EC306" t="e">
        <f>IF(#REF!,"AAAAAHv4/YQ=",0)</f>
        <v>#REF!</v>
      </c>
      <c r="ED306" t="e">
        <f>IF(#REF!,"AAAAAHv4/YU=",0)</f>
        <v>#REF!</v>
      </c>
      <c r="EE306" t="e">
        <f>IF(#REF!,"AAAAAHv4/YY=",0)</f>
        <v>#REF!</v>
      </c>
      <c r="EF306" t="e">
        <f>IF(#REF!,"AAAAAHv4/Yc=",0)</f>
        <v>#REF!</v>
      </c>
      <c r="EG306" t="e">
        <f>IF(#REF!,"AAAAAHv4/Yg=",0)</f>
        <v>#REF!</v>
      </c>
      <c r="EH306" t="e">
        <f>IF(#REF!,"AAAAAHv4/Yk=",0)</f>
        <v>#REF!</v>
      </c>
      <c r="EI306" t="e">
        <f>IF(#REF!,"AAAAAHv4/Yo=",0)</f>
        <v>#REF!</v>
      </c>
      <c r="EJ306" t="e">
        <f>IF(#REF!,"AAAAAHv4/Ys=",0)</f>
        <v>#REF!</v>
      </c>
      <c r="EK306" t="e">
        <f>IF(#REF!,"AAAAAHv4/Yw=",0)</f>
        <v>#REF!</v>
      </c>
      <c r="EL306" t="e">
        <f>IF(#REF!,"AAAAAHv4/Y0=",0)</f>
        <v>#REF!</v>
      </c>
      <c r="EM306" t="e">
        <f>IF(#REF!,"AAAAAHv4/Y4=",0)</f>
        <v>#REF!</v>
      </c>
      <c r="EN306" t="e">
        <f>IF(#REF!,"AAAAAHv4/Y8=",0)</f>
        <v>#REF!</v>
      </c>
      <c r="EO306" t="e">
        <f>IF(#REF!,"AAAAAHv4/ZA=",0)</f>
        <v>#REF!</v>
      </c>
      <c r="EP306" t="e">
        <f>IF(#REF!,"AAAAAHv4/ZE=",0)</f>
        <v>#REF!</v>
      </c>
      <c r="EQ306" t="e">
        <f>IF(#REF!,"AAAAAHv4/ZI=",0)</f>
        <v>#REF!</v>
      </c>
      <c r="ER306" t="e">
        <f>IF(#REF!,"AAAAAHv4/ZM=",0)</f>
        <v>#REF!</v>
      </c>
      <c r="ES306" t="e">
        <f>IF(#REF!,"AAAAAHv4/ZQ=",0)</f>
        <v>#REF!</v>
      </c>
      <c r="ET306" t="e">
        <f>IF(#REF!,"AAAAAHv4/ZU=",0)</f>
        <v>#REF!</v>
      </c>
      <c r="EU306" t="e">
        <f>IF(#REF!,"AAAAAHv4/ZY=",0)</f>
        <v>#REF!</v>
      </c>
      <c r="EV306" t="e">
        <f>IF(#REF!,"AAAAAHv4/Zc=",0)</f>
        <v>#REF!</v>
      </c>
      <c r="EW306" t="e">
        <f>IF(#REF!,"AAAAAHv4/Zg=",0)</f>
        <v>#REF!</v>
      </c>
      <c r="EX306" t="e">
        <f>IF(#REF!,"AAAAAHv4/Zk=",0)</f>
        <v>#REF!</v>
      </c>
      <c r="EY306" t="e">
        <f>IF(#REF!,"AAAAAHv4/Zo=",0)</f>
        <v>#REF!</v>
      </c>
      <c r="EZ306" t="e">
        <f>IF(#REF!,"AAAAAHv4/Zs=",0)</f>
        <v>#REF!</v>
      </c>
      <c r="FA306" t="e">
        <f>IF(#REF!,"AAAAAHv4/Zw=",0)</f>
        <v>#REF!</v>
      </c>
      <c r="FB306" t="e">
        <f>IF(#REF!,"AAAAAHv4/Z0=",0)</f>
        <v>#REF!</v>
      </c>
      <c r="FC306" t="e">
        <f>IF(#REF!,"AAAAAHv4/Z4=",0)</f>
        <v>#REF!</v>
      </c>
      <c r="FD306" t="e">
        <f>IF(#REF!,"AAAAAHv4/Z8=",0)</f>
        <v>#REF!</v>
      </c>
      <c r="FE306" t="e">
        <f>IF(#REF!,"AAAAAHv4/aA=",0)</f>
        <v>#REF!</v>
      </c>
      <c r="FF306" t="e">
        <f>IF(#REF!,"AAAAAHv4/aE=",0)</f>
        <v>#REF!</v>
      </c>
      <c r="FG306" t="e">
        <f>IF(#REF!,"AAAAAHv4/aI=",0)</f>
        <v>#REF!</v>
      </c>
      <c r="FH306" t="e">
        <f>IF(#REF!,"AAAAAHv4/aM=",0)</f>
        <v>#REF!</v>
      </c>
      <c r="FI306" t="e">
        <f>IF(#REF!,"AAAAAHv4/aQ=",0)</f>
        <v>#REF!</v>
      </c>
      <c r="FJ306" t="e">
        <f>IF(#REF!,"AAAAAHv4/aU=",0)</f>
        <v>#REF!</v>
      </c>
      <c r="FK306" t="e">
        <f>IF(#REF!,"AAAAAHv4/aY=",0)</f>
        <v>#REF!</v>
      </c>
      <c r="FL306" t="e">
        <f>IF(#REF!,"AAAAAHv4/ac=",0)</f>
        <v>#REF!</v>
      </c>
      <c r="FM306" t="e">
        <f>IF(#REF!,"AAAAAHv4/ag=",0)</f>
        <v>#REF!</v>
      </c>
      <c r="FN306" t="e">
        <f>IF(#REF!,"AAAAAHv4/ak=",0)</f>
        <v>#REF!</v>
      </c>
      <c r="FO306" t="e">
        <f>IF(#REF!,"AAAAAHv4/ao=",0)</f>
        <v>#REF!</v>
      </c>
      <c r="FP306" t="e">
        <f>IF(#REF!,"AAAAAHv4/as=",0)</f>
        <v>#REF!</v>
      </c>
      <c r="FQ306" t="e">
        <f>IF(#REF!,"AAAAAHv4/aw=",0)</f>
        <v>#REF!</v>
      </c>
      <c r="FR306" t="e">
        <f>IF(#REF!,"AAAAAHv4/a0=",0)</f>
        <v>#REF!</v>
      </c>
      <c r="FS306" t="e">
        <f>IF(#REF!,"AAAAAHv4/a4=",0)</f>
        <v>#REF!</v>
      </c>
      <c r="FT306" t="e">
        <f>IF(#REF!,"AAAAAHv4/a8=",0)</f>
        <v>#REF!</v>
      </c>
      <c r="FU306" t="e">
        <f>IF(#REF!,"AAAAAHv4/bA=",0)</f>
        <v>#REF!</v>
      </c>
      <c r="FV306" t="e">
        <f>IF(#REF!,"AAAAAHv4/bE=",0)</f>
        <v>#REF!</v>
      </c>
      <c r="FW306" t="e">
        <f>IF(#REF!,"AAAAAHv4/bI=",0)</f>
        <v>#REF!</v>
      </c>
      <c r="FX306" t="e">
        <f>IF(#REF!,"AAAAAHv4/bM=",0)</f>
        <v>#REF!</v>
      </c>
      <c r="FY306" t="e">
        <f>IF(#REF!,"AAAAAHv4/bQ=",0)</f>
        <v>#REF!</v>
      </c>
      <c r="FZ306" t="e">
        <f>IF(#REF!,"AAAAAHv4/bU=",0)</f>
        <v>#REF!</v>
      </c>
      <c r="GA306" t="e">
        <f>IF(#REF!,"AAAAAHv4/bY=",0)</f>
        <v>#REF!</v>
      </c>
      <c r="GB306" t="e">
        <f>IF(#REF!,"AAAAAHv4/bc=",0)</f>
        <v>#REF!</v>
      </c>
      <c r="GC306" t="e">
        <f>IF(#REF!,"AAAAAHv4/bg=",0)</f>
        <v>#REF!</v>
      </c>
      <c r="GD306" t="e">
        <f>IF(#REF!,"AAAAAHv4/bk=",0)</f>
        <v>#REF!</v>
      </c>
      <c r="GE306" t="e">
        <f>IF(#REF!,"AAAAAHv4/bo=",0)</f>
        <v>#REF!</v>
      </c>
      <c r="GF306" t="e">
        <f>IF(#REF!,"AAAAAHv4/bs=",0)</f>
        <v>#REF!</v>
      </c>
      <c r="GG306" t="e">
        <f>IF(#REF!,"AAAAAHv4/bw=",0)</f>
        <v>#REF!</v>
      </c>
      <c r="GH306" t="e">
        <f>IF(#REF!,"AAAAAHv4/b0=",0)</f>
        <v>#REF!</v>
      </c>
      <c r="GI306" t="e">
        <f>IF(#REF!,"AAAAAHv4/b4=",0)</f>
        <v>#REF!</v>
      </c>
      <c r="GJ306" t="e">
        <f>IF(#REF!,"AAAAAHv4/b8=",0)</f>
        <v>#REF!</v>
      </c>
      <c r="GK306" t="e">
        <f>IF(#REF!,"AAAAAHv4/cA=",0)</f>
        <v>#REF!</v>
      </c>
      <c r="GL306" t="e">
        <f>IF(#REF!,"AAAAAHv4/cE=",0)</f>
        <v>#REF!</v>
      </c>
      <c r="GM306" t="e">
        <f>IF(#REF!,"AAAAAHv4/cI=",0)</f>
        <v>#REF!</v>
      </c>
      <c r="GN306" t="e">
        <f>IF(#REF!,"AAAAAHv4/cM=",0)</f>
        <v>#REF!</v>
      </c>
      <c r="GO306" t="e">
        <f>IF(#REF!,"AAAAAHv4/cQ=",0)</f>
        <v>#REF!</v>
      </c>
      <c r="GP306" t="e">
        <f>IF(#REF!,"AAAAAHv4/cU=",0)</f>
        <v>#REF!</v>
      </c>
      <c r="GQ306" t="e">
        <f>IF(#REF!,"AAAAAHv4/cY=",0)</f>
        <v>#REF!</v>
      </c>
      <c r="GR306" t="e">
        <f>IF(#REF!,"AAAAAHv4/cc=",0)</f>
        <v>#REF!</v>
      </c>
      <c r="GS306" t="e">
        <f>IF(#REF!,"AAAAAHv4/cg=",0)</f>
        <v>#REF!</v>
      </c>
      <c r="GT306" t="e">
        <f>IF(#REF!,"AAAAAHv4/ck=",0)</f>
        <v>#REF!</v>
      </c>
      <c r="GU306" t="e">
        <f>IF(#REF!,"AAAAAHv4/co=",0)</f>
        <v>#REF!</v>
      </c>
      <c r="GV306" t="e">
        <f>IF(#REF!,"AAAAAHv4/cs=",0)</f>
        <v>#REF!</v>
      </c>
      <c r="GW306" t="e">
        <f>IF(#REF!,"AAAAAHv4/cw=",0)</f>
        <v>#REF!</v>
      </c>
      <c r="GX306" t="e">
        <f>IF(#REF!,"AAAAAHv4/c0=",0)</f>
        <v>#REF!</v>
      </c>
      <c r="GY306" t="e">
        <f>IF(#REF!,"AAAAAHv4/c4=",0)</f>
        <v>#REF!</v>
      </c>
      <c r="GZ306" t="e">
        <f>IF(#REF!,"AAAAAHv4/c8=",0)</f>
        <v>#REF!</v>
      </c>
      <c r="HA306" t="e">
        <f>IF(#REF!,"AAAAAHv4/dA=",0)</f>
        <v>#REF!</v>
      </c>
      <c r="HB306" t="e">
        <f>IF(#REF!,"AAAAAHv4/dE=",0)</f>
        <v>#REF!</v>
      </c>
      <c r="HC306" t="e">
        <f>IF(#REF!,"AAAAAHv4/dI=",0)</f>
        <v>#REF!</v>
      </c>
      <c r="HD306" t="e">
        <f>IF(#REF!,"AAAAAHv4/dM=",0)</f>
        <v>#REF!</v>
      </c>
      <c r="HE306" t="e">
        <f>IF(#REF!,"AAAAAHv4/dQ=",0)</f>
        <v>#REF!</v>
      </c>
      <c r="HF306" t="e">
        <f>IF(#REF!,"AAAAAHv4/dU=",0)</f>
        <v>#REF!</v>
      </c>
      <c r="HG306" t="e">
        <f>IF(#REF!,"AAAAAHv4/dY=",0)</f>
        <v>#REF!</v>
      </c>
      <c r="HH306" t="e">
        <f>IF(#REF!,"AAAAAHv4/dc=",0)</f>
        <v>#REF!</v>
      </c>
      <c r="HI306" t="e">
        <f>IF(#REF!,"AAAAAHv4/dg=",0)</f>
        <v>#REF!</v>
      </c>
      <c r="HJ306" t="e">
        <f>IF(#REF!,"AAAAAHv4/dk=",0)</f>
        <v>#REF!</v>
      </c>
      <c r="HK306" t="e">
        <f>IF(#REF!,"AAAAAHv4/do=",0)</f>
        <v>#REF!</v>
      </c>
      <c r="HL306" t="e">
        <f>IF(#REF!,"AAAAAHv4/ds=",0)</f>
        <v>#REF!</v>
      </c>
      <c r="HM306" t="e">
        <f>IF(#REF!,"AAAAAHv4/dw=",0)</f>
        <v>#REF!</v>
      </c>
      <c r="HN306" t="e">
        <f>IF(#REF!,"AAAAAHv4/d0=",0)</f>
        <v>#REF!</v>
      </c>
      <c r="HO306" t="e">
        <f>IF(#REF!,"AAAAAHv4/d4=",0)</f>
        <v>#REF!</v>
      </c>
      <c r="HP306" t="e">
        <f>IF(#REF!,"AAAAAHv4/d8=",0)</f>
        <v>#REF!</v>
      </c>
      <c r="HQ306" t="e">
        <f>IF(#REF!,"AAAAAHv4/eA=",0)</f>
        <v>#REF!</v>
      </c>
      <c r="HR306" t="e">
        <f>IF(#REF!,"AAAAAHv4/eE=",0)</f>
        <v>#REF!</v>
      </c>
      <c r="HS306" t="e">
        <f>IF(#REF!,"AAAAAHv4/eI=",0)</f>
        <v>#REF!</v>
      </c>
      <c r="HT306" t="e">
        <f>IF(#REF!,"AAAAAHv4/eM=",0)</f>
        <v>#REF!</v>
      </c>
      <c r="HU306" t="e">
        <f>IF(#REF!,"AAAAAHv4/eQ=",0)</f>
        <v>#REF!</v>
      </c>
      <c r="HV306" t="e">
        <f>IF(#REF!,"AAAAAHv4/eU=",0)</f>
        <v>#REF!</v>
      </c>
      <c r="HW306" t="e">
        <f>IF(#REF!,"AAAAAHv4/eY=",0)</f>
        <v>#REF!</v>
      </c>
      <c r="HX306" t="e">
        <f>IF(#REF!,"AAAAAHv4/ec=",0)</f>
        <v>#REF!</v>
      </c>
      <c r="HY306" t="e">
        <f>IF(#REF!,"AAAAAHv4/eg=",0)</f>
        <v>#REF!</v>
      </c>
      <c r="HZ306" t="e">
        <f>IF(#REF!,"AAAAAHv4/ek=",0)</f>
        <v>#REF!</v>
      </c>
      <c r="IA306" t="e">
        <f>IF(#REF!,"AAAAAHv4/eo=",0)</f>
        <v>#REF!</v>
      </c>
      <c r="IB306" t="e">
        <f>IF(#REF!,"AAAAAHv4/es=",0)</f>
        <v>#REF!</v>
      </c>
      <c r="IC306" t="e">
        <f>IF(#REF!,"AAAAAHv4/ew=",0)</f>
        <v>#REF!</v>
      </c>
      <c r="ID306" t="e">
        <f>IF(#REF!,"AAAAAHv4/e0=",0)</f>
        <v>#REF!</v>
      </c>
      <c r="IE306" t="e">
        <f>IF(#REF!,"AAAAAHv4/e4=",0)</f>
        <v>#REF!</v>
      </c>
      <c r="IF306" t="e">
        <f>IF(#REF!,"AAAAAHv4/e8=",0)</f>
        <v>#REF!</v>
      </c>
      <c r="IG306" t="e">
        <f>IF(#REF!,"AAAAAHv4/fA=",0)</f>
        <v>#REF!</v>
      </c>
      <c r="IH306" t="e">
        <f>IF(#REF!,"AAAAAHv4/fE=",0)</f>
        <v>#REF!</v>
      </c>
      <c r="II306" t="e">
        <f>IF(#REF!,"AAAAAHv4/fI=",0)</f>
        <v>#REF!</v>
      </c>
      <c r="IJ306" t="e">
        <f>IF(#REF!,"AAAAAHv4/fM=",0)</f>
        <v>#REF!</v>
      </c>
      <c r="IK306" t="e">
        <f>IF(#REF!,"AAAAAHv4/fQ=",0)</f>
        <v>#REF!</v>
      </c>
      <c r="IL306" t="e">
        <f>IF(#REF!,"AAAAAHv4/fU=",0)</f>
        <v>#REF!</v>
      </c>
      <c r="IM306" t="e">
        <f>IF(#REF!,"AAAAAHv4/fY=",0)</f>
        <v>#REF!</v>
      </c>
      <c r="IN306" t="e">
        <f>IF(#REF!,"AAAAAHv4/fc=",0)</f>
        <v>#REF!</v>
      </c>
      <c r="IO306" t="e">
        <f>IF(#REF!,"AAAAAHv4/fg=",0)</f>
        <v>#REF!</v>
      </c>
      <c r="IP306" t="e">
        <f>IF(#REF!,"AAAAAHv4/fk=",0)</f>
        <v>#REF!</v>
      </c>
      <c r="IQ306" t="e">
        <f>IF(#REF!,"AAAAAHv4/fo=",0)</f>
        <v>#REF!</v>
      </c>
      <c r="IR306" t="e">
        <f>IF(#REF!,"AAAAAHv4/fs=",0)</f>
        <v>#REF!</v>
      </c>
      <c r="IS306" t="e">
        <f>IF(#REF!,"AAAAAHv4/fw=",0)</f>
        <v>#REF!</v>
      </c>
      <c r="IT306" t="e">
        <f>IF(#REF!,"AAAAAHv4/f0=",0)</f>
        <v>#REF!</v>
      </c>
      <c r="IU306" t="e">
        <f>IF(#REF!,"AAAAAHv4/f4=",0)</f>
        <v>#REF!</v>
      </c>
      <c r="IV306" t="e">
        <f>IF(#REF!,"AAAAAHv4/f8=",0)</f>
        <v>#REF!</v>
      </c>
    </row>
    <row r="307" spans="1:256">
      <c r="A307" t="e">
        <f>IF(#REF!,"AAAAAHrXfgA=",0)</f>
        <v>#REF!</v>
      </c>
      <c r="B307" t="e">
        <f>IF(#REF!,"AAAAAHrXfgE=",0)</f>
        <v>#REF!</v>
      </c>
      <c r="C307" t="e">
        <f>IF(#REF!,"AAAAAHrXfgI=",0)</f>
        <v>#REF!</v>
      </c>
      <c r="D307" t="e">
        <f>IF(#REF!,"AAAAAHrXfgM=",0)</f>
        <v>#REF!</v>
      </c>
      <c r="E307" t="e">
        <f>IF(#REF!,"AAAAAHrXfgQ=",0)</f>
        <v>#REF!</v>
      </c>
      <c r="F307" t="e">
        <f>IF(#REF!,"AAAAAHrXfgU=",0)</f>
        <v>#REF!</v>
      </c>
      <c r="G307" t="e">
        <f>IF(#REF!,"AAAAAHrXfgY=",0)</f>
        <v>#REF!</v>
      </c>
      <c r="H307" t="e">
        <f>IF(#REF!,"AAAAAHrXfgc=",0)</f>
        <v>#REF!</v>
      </c>
      <c r="I307" t="e">
        <f>IF(#REF!,"AAAAAHrXfgg=",0)</f>
        <v>#REF!</v>
      </c>
      <c r="J307" t="e">
        <f>IF(#REF!,"AAAAAHrXfgk=",0)</f>
        <v>#REF!</v>
      </c>
      <c r="K307" t="e">
        <f>IF(#REF!,"AAAAAHrXfgo=",0)</f>
        <v>#REF!</v>
      </c>
      <c r="L307" t="e">
        <f>IF(#REF!,"AAAAAHrXfgs=",0)</f>
        <v>#REF!</v>
      </c>
      <c r="M307" t="e">
        <f>IF(#REF!,"AAAAAHrXfgw=",0)</f>
        <v>#REF!</v>
      </c>
      <c r="N307" t="e">
        <f>IF(#REF!,"AAAAAHrXfg0=",0)</f>
        <v>#REF!</v>
      </c>
      <c r="O307" t="e">
        <f>IF(#REF!,"AAAAAHrXfg4=",0)</f>
        <v>#REF!</v>
      </c>
      <c r="P307" t="e">
        <f>IF(#REF!,"AAAAAHrXfg8=",0)</f>
        <v>#REF!</v>
      </c>
      <c r="Q307" t="e">
        <f>IF(#REF!,"AAAAAHrXfhA=",0)</f>
        <v>#REF!</v>
      </c>
      <c r="R307" t="e">
        <f>IF(#REF!,"AAAAAHrXfhE=",0)</f>
        <v>#REF!</v>
      </c>
      <c r="S307" t="e">
        <f>IF(#REF!,"AAAAAHrXfhI=",0)</f>
        <v>#REF!</v>
      </c>
      <c r="T307" t="e">
        <f>IF(#REF!,"AAAAAHrXfhM=",0)</f>
        <v>#REF!</v>
      </c>
      <c r="U307" t="e">
        <f>IF(#REF!,"AAAAAHrXfhQ=",0)</f>
        <v>#REF!</v>
      </c>
      <c r="V307" t="e">
        <f>IF(#REF!,"AAAAAHrXfhU=",0)</f>
        <v>#REF!</v>
      </c>
      <c r="W307" t="e">
        <f>IF(#REF!,"AAAAAHrXfhY=",0)</f>
        <v>#REF!</v>
      </c>
      <c r="X307" t="e">
        <f>IF(#REF!,"AAAAAHrXfhc=",0)</f>
        <v>#REF!</v>
      </c>
      <c r="Y307" t="e">
        <f>IF(#REF!,"AAAAAHrXfhg=",0)</f>
        <v>#REF!</v>
      </c>
      <c r="Z307" t="e">
        <f>IF(#REF!,"AAAAAHrXfhk=",0)</f>
        <v>#REF!</v>
      </c>
      <c r="AA307" t="e">
        <f>IF(#REF!,"AAAAAHrXfho=",0)</f>
        <v>#REF!</v>
      </c>
      <c r="AB307" t="e">
        <f>IF(#REF!,"AAAAAHrXfhs=",0)</f>
        <v>#REF!</v>
      </c>
      <c r="AC307" t="e">
        <f>IF(#REF!,"AAAAAHrXfhw=",0)</f>
        <v>#REF!</v>
      </c>
      <c r="AD307" t="e">
        <f>IF(#REF!,"AAAAAHrXfh0=",0)</f>
        <v>#REF!</v>
      </c>
      <c r="AE307" t="e">
        <f>IF(#REF!,"AAAAAHrXfh4=",0)</f>
        <v>#REF!</v>
      </c>
      <c r="AF307" t="e">
        <f>IF(#REF!,"AAAAAHrXfh8=",0)</f>
        <v>#REF!</v>
      </c>
      <c r="AG307" t="e">
        <f>IF(#REF!,"AAAAAHrXfiA=",0)</f>
        <v>#REF!</v>
      </c>
      <c r="AH307" t="e">
        <f>IF(#REF!,"AAAAAHrXfiE=",0)</f>
        <v>#REF!</v>
      </c>
      <c r="AI307" t="e">
        <f>IF(#REF!,"AAAAAHrXfiI=",0)</f>
        <v>#REF!</v>
      </c>
      <c r="AJ307" t="e">
        <f>IF(#REF!,"AAAAAHrXfiM=",0)</f>
        <v>#REF!</v>
      </c>
      <c r="AK307" t="e">
        <f>IF(#REF!,"AAAAAHrXfiQ=",0)</f>
        <v>#REF!</v>
      </c>
      <c r="AL307" t="e">
        <f>IF(#REF!,"AAAAAHrXfiU=",0)</f>
        <v>#REF!</v>
      </c>
      <c r="AM307" t="e">
        <f>IF(#REF!,"AAAAAHrXfiY=",0)</f>
        <v>#REF!</v>
      </c>
      <c r="AN307" t="e">
        <f>IF(#REF!,"AAAAAHrXfic=",0)</f>
        <v>#REF!</v>
      </c>
      <c r="AO307" t="e">
        <f>IF(#REF!,"AAAAAHrXfig=",0)</f>
        <v>#REF!</v>
      </c>
      <c r="AP307" t="e">
        <f>IF(#REF!,"AAAAAHrXfik=",0)</f>
        <v>#REF!</v>
      </c>
      <c r="AQ307" t="e">
        <f>IF(#REF!,"AAAAAHrXfio=",0)</f>
        <v>#REF!</v>
      </c>
      <c r="AR307" t="e">
        <f>IF(#REF!,"AAAAAHrXfis=",0)</f>
        <v>#REF!</v>
      </c>
      <c r="AS307" t="e">
        <f>IF(#REF!,"AAAAAHrXfiw=",0)</f>
        <v>#REF!</v>
      </c>
      <c r="AT307" t="e">
        <f>IF(#REF!,"AAAAAHrXfi0=",0)</f>
        <v>#REF!</v>
      </c>
      <c r="AU307" t="e">
        <f>IF(#REF!,"AAAAAHrXfi4=",0)</f>
        <v>#REF!</v>
      </c>
      <c r="AV307" t="e">
        <f>IF(#REF!,"AAAAAHrXfi8=",0)</f>
        <v>#REF!</v>
      </c>
      <c r="AW307" t="e">
        <f>IF(#REF!,"AAAAAHrXfjA=",0)</f>
        <v>#REF!</v>
      </c>
      <c r="AX307" t="e">
        <f>IF(#REF!,"AAAAAHrXfjE=",0)</f>
        <v>#REF!</v>
      </c>
      <c r="AY307" t="e">
        <f>IF(#REF!,"AAAAAHrXfjI=",0)</f>
        <v>#REF!</v>
      </c>
      <c r="AZ307" t="e">
        <f>IF(#REF!,"AAAAAHrXfjM=",0)</f>
        <v>#REF!</v>
      </c>
      <c r="BA307" t="e">
        <f>IF(#REF!,"AAAAAHrXfjQ=",0)</f>
        <v>#REF!</v>
      </c>
      <c r="BB307" t="e">
        <f>IF(#REF!,"AAAAAHrXfjU=",0)</f>
        <v>#REF!</v>
      </c>
      <c r="BC307" t="e">
        <f>IF(#REF!,"AAAAAHrXfjY=",0)</f>
        <v>#REF!</v>
      </c>
      <c r="BD307" t="e">
        <f>IF(#REF!,"AAAAAHrXfjc=",0)</f>
        <v>#REF!</v>
      </c>
      <c r="BE307" t="e">
        <f>IF(#REF!,"AAAAAHrXfjg=",0)</f>
        <v>#REF!</v>
      </c>
      <c r="BF307" t="e">
        <f>IF(#REF!,"AAAAAHrXfjk=",0)</f>
        <v>#REF!</v>
      </c>
      <c r="BG307" t="e">
        <f>IF(#REF!,"AAAAAHrXfjo=",0)</f>
        <v>#REF!</v>
      </c>
      <c r="BH307" t="e">
        <f>IF(#REF!,"AAAAAHrXfjs=",0)</f>
        <v>#REF!</v>
      </c>
      <c r="BI307" t="e">
        <f>IF(#REF!,"AAAAAHrXfjw=",0)</f>
        <v>#REF!</v>
      </c>
      <c r="BJ307" t="e">
        <f>IF(#REF!,"AAAAAHrXfj0=",0)</f>
        <v>#REF!</v>
      </c>
      <c r="BK307" t="e">
        <f>IF(#REF!,"AAAAAHrXfj4=",0)</f>
        <v>#REF!</v>
      </c>
      <c r="BL307" t="e">
        <f>IF(#REF!,"AAAAAHrXfj8=",0)</f>
        <v>#REF!</v>
      </c>
      <c r="BM307" t="e">
        <f>IF(#REF!,"AAAAAHrXfkA=",0)</f>
        <v>#REF!</v>
      </c>
      <c r="BN307" t="e">
        <f>IF(#REF!,"AAAAAHrXfkE=",0)</f>
        <v>#REF!</v>
      </c>
      <c r="BO307" t="e">
        <f>IF(#REF!,"AAAAAHrXfkI=",0)</f>
        <v>#REF!</v>
      </c>
      <c r="BP307" t="e">
        <f>IF(#REF!,"AAAAAHrXfkM=",0)</f>
        <v>#REF!</v>
      </c>
      <c r="BQ307" t="e">
        <f>IF(#REF!,"AAAAAHrXfkQ=",0)</f>
        <v>#REF!</v>
      </c>
      <c r="BR307" t="e">
        <f>IF(#REF!,"AAAAAHrXfkU=",0)</f>
        <v>#REF!</v>
      </c>
      <c r="BS307" t="e">
        <f>IF(#REF!,"AAAAAHrXfkY=",0)</f>
        <v>#REF!</v>
      </c>
      <c r="BT307" t="e">
        <f>IF(#REF!,"AAAAAHrXfkc=",0)</f>
        <v>#REF!</v>
      </c>
      <c r="BU307" t="e">
        <f>IF(#REF!,"AAAAAHrXfkg=",0)</f>
        <v>#REF!</v>
      </c>
      <c r="BV307" t="e">
        <f>IF(#REF!,"AAAAAHrXfkk=",0)</f>
        <v>#REF!</v>
      </c>
      <c r="BW307" t="e">
        <f>IF(#REF!,"AAAAAHrXfko=",0)</f>
        <v>#REF!</v>
      </c>
      <c r="BX307" t="e">
        <f>IF(#REF!,"AAAAAHrXfks=",0)</f>
        <v>#REF!</v>
      </c>
      <c r="BY307" t="e">
        <f>IF(#REF!,"AAAAAHrXfkw=",0)</f>
        <v>#REF!</v>
      </c>
      <c r="BZ307" t="e">
        <f>IF(#REF!,"AAAAAHrXfk0=",0)</f>
        <v>#REF!</v>
      </c>
      <c r="CA307" t="e">
        <f>IF(#REF!,"AAAAAHrXfk4=",0)</f>
        <v>#REF!</v>
      </c>
      <c r="CB307" t="e">
        <f>IF(#REF!,"AAAAAHrXfk8=",0)</f>
        <v>#REF!</v>
      </c>
      <c r="CC307" t="e">
        <f>IF(#REF!,"AAAAAHrXflA=",0)</f>
        <v>#REF!</v>
      </c>
      <c r="CD307" t="e">
        <f>IF(#REF!,"AAAAAHrXflE=",0)</f>
        <v>#REF!</v>
      </c>
      <c r="CE307" t="e">
        <f>IF(#REF!,"AAAAAHrXflI=",0)</f>
        <v>#REF!</v>
      </c>
      <c r="CF307" t="e">
        <f>IF(#REF!,"AAAAAHrXflM=",0)</f>
        <v>#REF!</v>
      </c>
      <c r="CG307" t="e">
        <f>IF(#REF!,"AAAAAHrXflQ=",0)</f>
        <v>#REF!</v>
      </c>
      <c r="CH307" t="e">
        <f>IF(#REF!,"AAAAAHrXflU=",0)</f>
        <v>#REF!</v>
      </c>
      <c r="CI307" t="e">
        <f>IF(#REF!,"AAAAAHrXflY=",0)</f>
        <v>#REF!</v>
      </c>
      <c r="CJ307" t="e">
        <f>IF(#REF!,"AAAAAHrXflc=",0)</f>
        <v>#REF!</v>
      </c>
      <c r="CK307" t="e">
        <f>IF(#REF!,"AAAAAHrXflg=",0)</f>
        <v>#REF!</v>
      </c>
      <c r="CL307" t="e">
        <f>IF(#REF!,"AAAAAHrXflk=",0)</f>
        <v>#REF!</v>
      </c>
      <c r="CM307" t="e">
        <f>IF(#REF!,"AAAAAHrXflo=",0)</f>
        <v>#REF!</v>
      </c>
      <c r="CN307" t="e">
        <f>IF(#REF!,"AAAAAHrXfls=",0)</f>
        <v>#REF!</v>
      </c>
      <c r="CO307" t="e">
        <f>IF(#REF!,"AAAAAHrXflw=",0)</f>
        <v>#REF!</v>
      </c>
      <c r="CP307" t="e">
        <f>IF(#REF!,"AAAAAHrXfl0=",0)</f>
        <v>#REF!</v>
      </c>
      <c r="CQ307" t="e">
        <f>IF(#REF!,"AAAAAHrXfl4=",0)</f>
        <v>#REF!</v>
      </c>
      <c r="CR307" t="e">
        <f>IF(#REF!,"AAAAAHrXfl8=",0)</f>
        <v>#REF!</v>
      </c>
      <c r="CS307" t="e">
        <f>IF(#REF!,"AAAAAHrXfmA=",0)</f>
        <v>#REF!</v>
      </c>
      <c r="CT307" t="e">
        <f>IF(#REF!,"AAAAAHrXfmE=",0)</f>
        <v>#REF!</v>
      </c>
      <c r="CU307" t="e">
        <f>IF(#REF!,"AAAAAHrXfmI=",0)</f>
        <v>#REF!</v>
      </c>
      <c r="CV307" t="e">
        <f>IF(#REF!,"AAAAAHrXfmM=",0)</f>
        <v>#REF!</v>
      </c>
      <c r="CW307" t="e">
        <f>IF(#REF!,"AAAAAHrXfmQ=",0)</f>
        <v>#REF!</v>
      </c>
      <c r="CX307" t="e">
        <f>IF(#REF!,"AAAAAHrXfmU=",0)</f>
        <v>#REF!</v>
      </c>
      <c r="CY307" t="e">
        <f>IF(#REF!,"AAAAAHrXfmY=",0)</f>
        <v>#REF!</v>
      </c>
      <c r="CZ307" t="e">
        <f>IF(#REF!,"AAAAAHrXfmc=",0)</f>
        <v>#REF!</v>
      </c>
      <c r="DA307" t="e">
        <f>IF(#REF!,"AAAAAHrXfmg=",0)</f>
        <v>#REF!</v>
      </c>
      <c r="DB307" t="e">
        <f>IF(#REF!,"AAAAAHrXfmk=",0)</f>
        <v>#REF!</v>
      </c>
      <c r="DC307" t="e">
        <f>IF(#REF!,"AAAAAHrXfmo=",0)</f>
        <v>#REF!</v>
      </c>
      <c r="DD307" t="e">
        <f>IF(#REF!,"AAAAAHrXfms=",0)</f>
        <v>#REF!</v>
      </c>
      <c r="DE307" t="e">
        <f>IF(#REF!,"AAAAAHrXfmw=",0)</f>
        <v>#REF!</v>
      </c>
      <c r="DF307" t="e">
        <f>IF(#REF!,"AAAAAHrXfm0=",0)</f>
        <v>#REF!</v>
      </c>
      <c r="DG307" t="e">
        <f>IF(#REF!,"AAAAAHrXfm4=",0)</f>
        <v>#REF!</v>
      </c>
      <c r="DH307" t="e">
        <f>IF(#REF!,"AAAAAHrXfm8=",0)</f>
        <v>#REF!</v>
      </c>
      <c r="DI307" t="e">
        <f>IF(#REF!,"AAAAAHrXfnA=",0)</f>
        <v>#REF!</v>
      </c>
      <c r="DJ307" t="e">
        <f>IF(#REF!,"AAAAAHrXfnE=",0)</f>
        <v>#REF!</v>
      </c>
      <c r="DK307" t="e">
        <f>IF(#REF!,"AAAAAHrXfnI=",0)</f>
        <v>#REF!</v>
      </c>
      <c r="DL307" t="e">
        <f>IF(#REF!,"AAAAAHrXfnM=",0)</f>
        <v>#REF!</v>
      </c>
      <c r="DM307" t="e">
        <f>IF(#REF!,"AAAAAHrXfnQ=",0)</f>
        <v>#REF!</v>
      </c>
      <c r="DN307" t="e">
        <f>IF(#REF!,"AAAAAHrXfnU=",0)</f>
        <v>#REF!</v>
      </c>
      <c r="DO307" t="e">
        <f>IF(#REF!,"AAAAAHrXfnY=",0)</f>
        <v>#REF!</v>
      </c>
      <c r="DP307" t="e">
        <f>IF(#REF!,"AAAAAHrXfnc=",0)</f>
        <v>#REF!</v>
      </c>
      <c r="DQ307" t="e">
        <f>IF(#REF!,"AAAAAHrXfng=",0)</f>
        <v>#REF!</v>
      </c>
      <c r="DR307" t="e">
        <f>IF(#REF!,"AAAAAHrXfnk=",0)</f>
        <v>#REF!</v>
      </c>
      <c r="DS307" t="e">
        <f>IF(#REF!,"AAAAAHrXfno=",0)</f>
        <v>#REF!</v>
      </c>
      <c r="DT307" t="e">
        <f>IF(#REF!,"AAAAAHrXfns=",0)</f>
        <v>#REF!</v>
      </c>
      <c r="DU307" t="e">
        <f>IF(#REF!,"AAAAAHrXfnw=",0)</f>
        <v>#REF!</v>
      </c>
      <c r="DV307" t="e">
        <f>IF(#REF!,"AAAAAHrXfn0=",0)</f>
        <v>#REF!</v>
      </c>
      <c r="DW307" t="e">
        <f>IF(#REF!,"AAAAAHrXfn4=",0)</f>
        <v>#REF!</v>
      </c>
      <c r="DX307" t="e">
        <f>IF(#REF!,"AAAAAHrXfn8=",0)</f>
        <v>#REF!</v>
      </c>
      <c r="DY307" t="e">
        <f>IF(#REF!,"AAAAAHrXfoA=",0)</f>
        <v>#REF!</v>
      </c>
      <c r="DZ307" t="e">
        <f>IF(#REF!,"AAAAAHrXfoE=",0)</f>
        <v>#REF!</v>
      </c>
      <c r="EA307" t="e">
        <f>IF(#REF!,"AAAAAHrXfoI=",0)</f>
        <v>#REF!</v>
      </c>
      <c r="EB307" t="e">
        <f>IF(#REF!,"AAAAAHrXfoM=",0)</f>
        <v>#REF!</v>
      </c>
      <c r="EC307" t="e">
        <f>IF(#REF!,"AAAAAHrXfoQ=",0)</f>
        <v>#REF!</v>
      </c>
      <c r="ED307" t="e">
        <f>IF(#REF!,"AAAAAHrXfoU=",0)</f>
        <v>#REF!</v>
      </c>
      <c r="EE307" t="e">
        <f>IF(#REF!,"AAAAAHrXfoY=",0)</f>
        <v>#REF!</v>
      </c>
      <c r="EF307" t="e">
        <f>IF(#REF!,"AAAAAHrXfoc=",0)</f>
        <v>#REF!</v>
      </c>
      <c r="EG307" t="e">
        <f>IF(#REF!,"AAAAAHrXfog=",0)</f>
        <v>#REF!</v>
      </c>
      <c r="EH307" t="e">
        <f>IF(#REF!,"AAAAAHrXfok=",0)</f>
        <v>#REF!</v>
      </c>
      <c r="EI307" t="e">
        <f>IF(#REF!,"AAAAAHrXfoo=",0)</f>
        <v>#REF!</v>
      </c>
      <c r="EJ307" t="e">
        <f>IF(#REF!,"AAAAAHrXfos=",0)</f>
        <v>#REF!</v>
      </c>
      <c r="EK307" t="e">
        <f>IF(#REF!,"AAAAAHrXfow=",0)</f>
        <v>#REF!</v>
      </c>
      <c r="EL307" t="e">
        <f>IF(#REF!,"AAAAAHrXfo0=",0)</f>
        <v>#REF!</v>
      </c>
      <c r="EM307" t="e">
        <f>IF(#REF!,"AAAAAHrXfo4=",0)</f>
        <v>#REF!</v>
      </c>
      <c r="EN307" t="e">
        <f>IF(#REF!,"AAAAAHrXfo8=",0)</f>
        <v>#REF!</v>
      </c>
      <c r="EO307" t="e">
        <f>IF(#REF!,"AAAAAHrXfpA=",0)</f>
        <v>#REF!</v>
      </c>
      <c r="EP307" t="e">
        <f>IF(#REF!,"AAAAAHrXfpE=",0)</f>
        <v>#REF!</v>
      </c>
      <c r="EQ307" t="e">
        <f>IF(#REF!,"AAAAAHrXfpI=",0)</f>
        <v>#REF!</v>
      </c>
      <c r="ER307" t="e">
        <f>IF(#REF!,"AAAAAHrXfpM=",0)</f>
        <v>#REF!</v>
      </c>
      <c r="ES307" t="e">
        <f>IF(#REF!,"AAAAAHrXfpQ=",0)</f>
        <v>#REF!</v>
      </c>
      <c r="ET307" t="e">
        <f>IF(#REF!,"AAAAAHrXfpU=",0)</f>
        <v>#REF!</v>
      </c>
      <c r="EU307" t="e">
        <f>IF(#REF!,"AAAAAHrXfpY=",0)</f>
        <v>#REF!</v>
      </c>
      <c r="EV307" t="e">
        <f>IF(#REF!,"AAAAAHrXfpc=",0)</f>
        <v>#REF!</v>
      </c>
      <c r="EW307" t="e">
        <f>IF(#REF!,"AAAAAHrXfpg=",0)</f>
        <v>#REF!</v>
      </c>
      <c r="EX307" t="e">
        <f>IF(#REF!,"AAAAAHrXfpk=",0)</f>
        <v>#REF!</v>
      </c>
      <c r="EY307" t="e">
        <f>IF(#REF!,"AAAAAHrXfpo=",0)</f>
        <v>#REF!</v>
      </c>
      <c r="EZ307" t="e">
        <f>IF(#REF!,"AAAAAHrXfps=",0)</f>
        <v>#REF!</v>
      </c>
      <c r="FA307" t="e">
        <f>IF(#REF!,"AAAAAHrXfpw=",0)</f>
        <v>#REF!</v>
      </c>
      <c r="FB307" t="e">
        <f>IF(#REF!,"AAAAAHrXfp0=",0)</f>
        <v>#REF!</v>
      </c>
      <c r="FC307" t="e">
        <f>IF(#REF!,"AAAAAHrXfp4=",0)</f>
        <v>#REF!</v>
      </c>
      <c r="FD307" t="e">
        <f>IF(#REF!,"AAAAAHrXfp8=",0)</f>
        <v>#REF!</v>
      </c>
      <c r="FE307" t="e">
        <f>IF(#REF!,"AAAAAHrXfqA=",0)</f>
        <v>#REF!</v>
      </c>
      <c r="FF307" t="e">
        <f>IF(#REF!,"AAAAAHrXfqE=",0)</f>
        <v>#REF!</v>
      </c>
      <c r="FG307" t="e">
        <f>IF(#REF!,"AAAAAHrXfqI=",0)</f>
        <v>#REF!</v>
      </c>
      <c r="FH307" t="e">
        <f>IF(#REF!,"AAAAAHrXfqM=",0)</f>
        <v>#REF!</v>
      </c>
      <c r="FI307" t="e">
        <f>IF(#REF!,"AAAAAHrXfqQ=",0)</f>
        <v>#REF!</v>
      </c>
      <c r="FJ307" t="e">
        <f>IF(#REF!,"AAAAAHrXfqU=",0)</f>
        <v>#REF!</v>
      </c>
      <c r="FK307" t="e">
        <f>IF(#REF!,"AAAAAHrXfqY=",0)</f>
        <v>#REF!</v>
      </c>
      <c r="FL307" t="e">
        <f>IF(#REF!,"AAAAAHrXfqc=",0)</f>
        <v>#REF!</v>
      </c>
      <c r="FM307" t="e">
        <f>IF(#REF!,"AAAAAHrXfqg=",0)</f>
        <v>#REF!</v>
      </c>
      <c r="FN307" t="e">
        <f>IF(#REF!,"AAAAAHrXfqk=",0)</f>
        <v>#REF!</v>
      </c>
      <c r="FO307" t="e">
        <f>IF(#REF!,"AAAAAHrXfqo=",0)</f>
        <v>#REF!</v>
      </c>
      <c r="FP307" t="e">
        <f>IF(#REF!,"AAAAAHrXfqs=",0)</f>
        <v>#REF!</v>
      </c>
      <c r="FQ307" t="e">
        <f>IF(#REF!,"AAAAAHrXfqw=",0)</f>
        <v>#REF!</v>
      </c>
      <c r="FR307" t="e">
        <f>IF(#REF!,"AAAAAHrXfq0=",0)</f>
        <v>#REF!</v>
      </c>
      <c r="FS307" t="e">
        <f>IF(#REF!,"AAAAAHrXfq4=",0)</f>
        <v>#REF!</v>
      </c>
      <c r="FT307" t="e">
        <f>IF(#REF!,"AAAAAHrXfq8=",0)</f>
        <v>#REF!</v>
      </c>
      <c r="FU307" t="e">
        <f>IF(#REF!,"AAAAAHrXfrA=",0)</f>
        <v>#REF!</v>
      </c>
      <c r="FV307" t="e">
        <f>IF(#REF!,"AAAAAHrXfrE=",0)</f>
        <v>#REF!</v>
      </c>
      <c r="FW307" t="e">
        <f>IF(#REF!,"AAAAAHrXfrI=",0)</f>
        <v>#REF!</v>
      </c>
      <c r="FX307" t="e">
        <f>IF(#REF!,"AAAAAHrXfrM=",0)</f>
        <v>#REF!</v>
      </c>
      <c r="FY307" t="e">
        <f>IF(#REF!,"AAAAAHrXfrQ=",0)</f>
        <v>#REF!</v>
      </c>
      <c r="FZ307" t="e">
        <f>IF(#REF!,"AAAAAHrXfrU=",0)</f>
        <v>#REF!</v>
      </c>
      <c r="GA307" t="e">
        <f>IF(#REF!,"AAAAAHrXfrY=",0)</f>
        <v>#REF!</v>
      </c>
      <c r="GB307" t="e">
        <f>IF(#REF!,"AAAAAHrXfrc=",0)</f>
        <v>#REF!</v>
      </c>
      <c r="GC307" t="e">
        <f>IF(#REF!,"AAAAAHrXfrg=",0)</f>
        <v>#REF!</v>
      </c>
      <c r="GD307" t="e">
        <f>IF(#REF!,"AAAAAHrXfrk=",0)</f>
        <v>#REF!</v>
      </c>
      <c r="GE307" t="e">
        <f>IF(#REF!,"AAAAAHrXfro=",0)</f>
        <v>#REF!</v>
      </c>
      <c r="GF307" t="e">
        <f>IF(#REF!,"AAAAAHrXfrs=",0)</f>
        <v>#REF!</v>
      </c>
      <c r="GG307" t="e">
        <f>IF(#REF!,"AAAAAHrXfrw=",0)</f>
        <v>#REF!</v>
      </c>
      <c r="GH307" t="e">
        <f>IF(#REF!,"AAAAAHrXfr0=",0)</f>
        <v>#REF!</v>
      </c>
      <c r="GI307" t="e">
        <f>IF(#REF!,"AAAAAHrXfr4=",0)</f>
        <v>#REF!</v>
      </c>
      <c r="GJ307" t="e">
        <f>IF(#REF!,"AAAAAHrXfr8=",0)</f>
        <v>#REF!</v>
      </c>
      <c r="GK307" t="e">
        <f>IF(#REF!,"AAAAAHrXfsA=",0)</f>
        <v>#REF!</v>
      </c>
      <c r="GL307" t="e">
        <f>IF(#REF!,"AAAAAHrXfsE=",0)</f>
        <v>#REF!</v>
      </c>
      <c r="GM307" t="e">
        <f>IF(#REF!,"AAAAAHrXfsI=",0)</f>
        <v>#REF!</v>
      </c>
      <c r="GN307" t="e">
        <f>IF(#REF!,"AAAAAHrXfsM=",0)</f>
        <v>#REF!</v>
      </c>
      <c r="GO307" t="e">
        <f>IF(#REF!,"AAAAAHrXfsQ=",0)</f>
        <v>#REF!</v>
      </c>
      <c r="GP307" t="e">
        <f>IF(#REF!,"AAAAAHrXfsU=",0)</f>
        <v>#REF!</v>
      </c>
      <c r="GQ307" t="e">
        <f>IF(#REF!,"AAAAAHrXfsY=",0)</f>
        <v>#REF!</v>
      </c>
      <c r="GR307" t="e">
        <f>IF(#REF!,"AAAAAHrXfsc=",0)</f>
        <v>#REF!</v>
      </c>
      <c r="GS307" t="e">
        <f>IF(#REF!,"AAAAAHrXfsg=",0)</f>
        <v>#REF!</v>
      </c>
      <c r="GT307" t="e">
        <f>IF(#REF!,"AAAAAHrXfsk=",0)</f>
        <v>#REF!</v>
      </c>
      <c r="GU307" t="e">
        <f>IF(#REF!,"AAAAAHrXfso=",0)</f>
        <v>#REF!</v>
      </c>
      <c r="GV307" t="e">
        <f>IF(#REF!,"AAAAAHrXfss=",0)</f>
        <v>#REF!</v>
      </c>
      <c r="GW307" t="e">
        <f>IF(#REF!,"AAAAAHrXfsw=",0)</f>
        <v>#REF!</v>
      </c>
      <c r="GX307" t="e">
        <f>IF(#REF!,"AAAAAHrXfs0=",0)</f>
        <v>#REF!</v>
      </c>
      <c r="GY307" t="e">
        <f>IF(#REF!,"AAAAAHrXfs4=",0)</f>
        <v>#REF!</v>
      </c>
      <c r="GZ307" t="e">
        <f>IF(#REF!,"AAAAAHrXfs8=",0)</f>
        <v>#REF!</v>
      </c>
      <c r="HA307" t="e">
        <f>IF(#REF!,"AAAAAHrXftA=",0)</f>
        <v>#REF!</v>
      </c>
      <c r="HB307" t="e">
        <f>IF(#REF!,"AAAAAHrXftE=",0)</f>
        <v>#REF!</v>
      </c>
      <c r="HC307" t="e">
        <f>IF(#REF!,"AAAAAHrXftI=",0)</f>
        <v>#REF!</v>
      </c>
      <c r="HD307" t="e">
        <f>IF(#REF!,"AAAAAHrXftM=",0)</f>
        <v>#REF!</v>
      </c>
      <c r="HE307" t="e">
        <f>IF(#REF!,"AAAAAHrXftQ=",0)</f>
        <v>#REF!</v>
      </c>
      <c r="HF307" t="e">
        <f>IF(#REF!,"AAAAAHrXftU=",0)</f>
        <v>#REF!</v>
      </c>
      <c r="HG307" t="e">
        <f>IF(#REF!,"AAAAAHrXftY=",0)</f>
        <v>#REF!</v>
      </c>
      <c r="HH307" t="e">
        <f>IF(#REF!,"AAAAAHrXftc=",0)</f>
        <v>#REF!</v>
      </c>
      <c r="HI307" t="e">
        <f>IF(#REF!,"AAAAAHrXftg=",0)</f>
        <v>#REF!</v>
      </c>
      <c r="HJ307" t="e">
        <f>IF(#REF!,"AAAAAHrXftk=",0)</f>
        <v>#REF!</v>
      </c>
      <c r="HK307" t="e">
        <f>IF(#REF!,"AAAAAHrXfto=",0)</f>
        <v>#REF!</v>
      </c>
      <c r="HL307" t="e">
        <f>IF(#REF!,"AAAAAHrXfts=",0)</f>
        <v>#REF!</v>
      </c>
      <c r="HM307" t="e">
        <f>IF(#REF!,"AAAAAHrXftw=",0)</f>
        <v>#REF!</v>
      </c>
      <c r="HN307" t="e">
        <f>IF(#REF!,"AAAAAHrXft0=",0)</f>
        <v>#REF!</v>
      </c>
      <c r="HO307" t="e">
        <f>IF(#REF!,"AAAAAHrXft4=",0)</f>
        <v>#REF!</v>
      </c>
      <c r="HP307" t="e">
        <f>IF(#REF!,"AAAAAHrXft8=",0)</f>
        <v>#REF!</v>
      </c>
      <c r="HQ307" t="e">
        <f>IF(#REF!,"AAAAAHrXfuA=",0)</f>
        <v>#REF!</v>
      </c>
      <c r="HR307" t="e">
        <f>IF(#REF!,"AAAAAHrXfuE=",0)</f>
        <v>#REF!</v>
      </c>
      <c r="HS307" t="e">
        <f>IF(#REF!,"AAAAAHrXfuI=",0)</f>
        <v>#REF!</v>
      </c>
      <c r="HT307" t="e">
        <f>IF(#REF!,"AAAAAHrXfuM=",0)</f>
        <v>#REF!</v>
      </c>
      <c r="HU307" t="e">
        <f>IF(#REF!,"AAAAAHrXfuQ=",0)</f>
        <v>#REF!</v>
      </c>
      <c r="HV307" t="e">
        <f>IF(#REF!,"AAAAAHrXfuU=",0)</f>
        <v>#REF!</v>
      </c>
      <c r="HW307" t="e">
        <f>IF(#REF!,"AAAAAHrXfuY=",0)</f>
        <v>#REF!</v>
      </c>
      <c r="HX307" t="e">
        <f>IF(#REF!,"AAAAAHrXfuc=",0)</f>
        <v>#REF!</v>
      </c>
      <c r="HY307" t="e">
        <f>IF(#REF!,"AAAAAHrXfug=",0)</f>
        <v>#REF!</v>
      </c>
      <c r="HZ307" t="e">
        <f>IF(#REF!,"AAAAAHrXfuk=",0)</f>
        <v>#REF!</v>
      </c>
      <c r="IA307" t="e">
        <f>IF(#REF!,"AAAAAHrXfuo=",0)</f>
        <v>#REF!</v>
      </c>
      <c r="IB307" t="e">
        <f>IF(#REF!,"AAAAAHrXfus=",0)</f>
        <v>#REF!</v>
      </c>
      <c r="IC307" t="e">
        <f>IF(#REF!,"AAAAAHrXfuw=",0)</f>
        <v>#REF!</v>
      </c>
      <c r="ID307" t="e">
        <f>IF(#REF!,"AAAAAHrXfu0=",0)</f>
        <v>#REF!</v>
      </c>
      <c r="IE307" t="e">
        <f>IF(#REF!,"AAAAAHrXfu4=",0)</f>
        <v>#REF!</v>
      </c>
      <c r="IF307" t="e">
        <f>IF(#REF!,"AAAAAHrXfu8=",0)</f>
        <v>#REF!</v>
      </c>
      <c r="IG307" t="e">
        <f>IF(#REF!,"AAAAAHrXfvA=",0)</f>
        <v>#REF!</v>
      </c>
      <c r="IH307" t="e">
        <f>IF(#REF!,"AAAAAHrXfvE=",0)</f>
        <v>#REF!</v>
      </c>
      <c r="II307" t="e">
        <f>IF(#REF!,"AAAAAHrXfvI=",0)</f>
        <v>#REF!</v>
      </c>
      <c r="IJ307" t="e">
        <f>IF(#REF!,"AAAAAHrXfvM=",0)</f>
        <v>#REF!</v>
      </c>
      <c r="IK307" t="e">
        <f>IF(#REF!,"AAAAAHrXfvQ=",0)</f>
        <v>#REF!</v>
      </c>
      <c r="IL307" t="e">
        <f>IF(#REF!,"AAAAAHrXfvU=",0)</f>
        <v>#REF!</v>
      </c>
      <c r="IM307" t="e">
        <f>IF(#REF!,"AAAAAHrXfvY=",0)</f>
        <v>#REF!</v>
      </c>
      <c r="IN307" t="e">
        <f>IF(#REF!,"AAAAAHrXfvc=",0)</f>
        <v>#REF!</v>
      </c>
      <c r="IO307" t="e">
        <f>IF(#REF!,"AAAAAHrXfvg=",0)</f>
        <v>#REF!</v>
      </c>
      <c r="IP307" t="e">
        <f>IF(#REF!,"AAAAAHrXfvk=",0)</f>
        <v>#REF!</v>
      </c>
      <c r="IQ307" t="e">
        <f>IF(#REF!,"AAAAAHrXfvo=",0)</f>
        <v>#REF!</v>
      </c>
      <c r="IR307" t="e">
        <f>IF(#REF!,"AAAAAHrXfvs=",0)</f>
        <v>#REF!</v>
      </c>
      <c r="IS307" t="e">
        <f>IF(#REF!,"AAAAAHrXfvw=",0)</f>
        <v>#REF!</v>
      </c>
      <c r="IT307" t="e">
        <f>IF(#REF!,"AAAAAHrXfv0=",0)</f>
        <v>#REF!</v>
      </c>
      <c r="IU307" t="e">
        <f>IF(#REF!,"AAAAAHrXfv4=",0)</f>
        <v>#REF!</v>
      </c>
      <c r="IV307" t="e">
        <f>IF(#REF!,"AAAAAHrXfv8=",0)</f>
        <v>#REF!</v>
      </c>
    </row>
    <row r="308" spans="1:256">
      <c r="A308" t="e">
        <f>IF(#REF!,"AAAAADTr+gA=",0)</f>
        <v>#REF!</v>
      </c>
      <c r="B308" t="e">
        <f>IF(#REF!,"AAAAADTr+gE=",0)</f>
        <v>#REF!</v>
      </c>
      <c r="C308" t="e">
        <f>IF(#REF!,"AAAAADTr+gI=",0)</f>
        <v>#REF!</v>
      </c>
      <c r="D308" t="e">
        <f>IF(#REF!,"AAAAADTr+gM=",0)</f>
        <v>#REF!</v>
      </c>
      <c r="E308" t="e">
        <f>IF(#REF!,"AAAAADTr+gQ=",0)</f>
        <v>#REF!</v>
      </c>
      <c r="F308" t="e">
        <f>IF(#REF!,"AAAAADTr+gU=",0)</f>
        <v>#REF!</v>
      </c>
      <c r="G308" t="e">
        <f>IF(#REF!,"AAAAADTr+gY=",0)</f>
        <v>#REF!</v>
      </c>
      <c r="H308" t="e">
        <f>IF(#REF!,"AAAAADTr+gc=",0)</f>
        <v>#REF!</v>
      </c>
      <c r="I308" t="e">
        <f>IF(#REF!,"AAAAADTr+gg=",0)</f>
        <v>#REF!</v>
      </c>
      <c r="J308" t="e">
        <f>IF(#REF!,"AAAAADTr+gk=",0)</f>
        <v>#REF!</v>
      </c>
      <c r="K308" t="e">
        <f>IF(#REF!,"AAAAADTr+go=",0)</f>
        <v>#REF!</v>
      </c>
      <c r="L308" t="e">
        <f>IF(#REF!,"AAAAADTr+gs=",0)</f>
        <v>#REF!</v>
      </c>
      <c r="M308" t="e">
        <f>IF(#REF!,"AAAAADTr+gw=",0)</f>
        <v>#REF!</v>
      </c>
      <c r="N308" t="e">
        <f>IF(#REF!,"AAAAADTr+g0=",0)</f>
        <v>#REF!</v>
      </c>
      <c r="O308" t="e">
        <f>IF(#REF!,"AAAAADTr+g4=",0)</f>
        <v>#REF!</v>
      </c>
      <c r="P308" t="e">
        <f>IF(#REF!,"AAAAADTr+g8=",0)</f>
        <v>#REF!</v>
      </c>
      <c r="Q308" t="e">
        <f>IF(#REF!,"AAAAADTr+hA=",0)</f>
        <v>#REF!</v>
      </c>
      <c r="R308" t="e">
        <f>IF(#REF!,"AAAAADTr+hE=",0)</f>
        <v>#REF!</v>
      </c>
      <c r="S308" t="e">
        <f>IF(#REF!,"AAAAADTr+hI=",0)</f>
        <v>#REF!</v>
      </c>
      <c r="T308" t="e">
        <f>IF(#REF!,"AAAAADTr+hM=",0)</f>
        <v>#REF!</v>
      </c>
      <c r="U308" t="e">
        <f>IF(#REF!,"AAAAADTr+hQ=",0)</f>
        <v>#REF!</v>
      </c>
      <c r="V308" t="e">
        <f>IF(#REF!,"AAAAADTr+hU=",0)</f>
        <v>#REF!</v>
      </c>
      <c r="W308" t="e">
        <f>IF(#REF!,"AAAAADTr+hY=",0)</f>
        <v>#REF!</v>
      </c>
      <c r="X308" t="e">
        <f>IF(#REF!,"AAAAADTr+hc=",0)</f>
        <v>#REF!</v>
      </c>
      <c r="Y308" t="e">
        <f>IF(#REF!,"AAAAADTr+hg=",0)</f>
        <v>#REF!</v>
      </c>
      <c r="Z308" t="e">
        <f>IF(#REF!,"AAAAADTr+hk=",0)</f>
        <v>#REF!</v>
      </c>
      <c r="AA308" t="e">
        <f>IF(#REF!,"AAAAADTr+ho=",0)</f>
        <v>#REF!</v>
      </c>
      <c r="AB308" t="e">
        <f>IF(#REF!,"AAAAADTr+hs=",0)</f>
        <v>#REF!</v>
      </c>
      <c r="AC308" t="e">
        <f>IF(#REF!,"AAAAADTr+hw=",0)</f>
        <v>#REF!</v>
      </c>
      <c r="AD308" t="e">
        <f>IF(#REF!,"AAAAADTr+h0=",0)</f>
        <v>#REF!</v>
      </c>
      <c r="AE308" t="e">
        <f>IF(#REF!,"AAAAADTr+h4=",0)</f>
        <v>#REF!</v>
      </c>
      <c r="AF308" t="e">
        <f>IF(#REF!,"AAAAADTr+h8=",0)</f>
        <v>#REF!</v>
      </c>
      <c r="AG308" t="e">
        <f>IF(#REF!,"AAAAADTr+iA=",0)</f>
        <v>#REF!</v>
      </c>
      <c r="AH308" t="e">
        <f>IF(#REF!,"AAAAADTr+iE=",0)</f>
        <v>#REF!</v>
      </c>
      <c r="AI308" t="e">
        <f>IF(#REF!,"AAAAADTr+iI=",0)</f>
        <v>#REF!</v>
      </c>
      <c r="AJ308" t="e">
        <f>IF(#REF!,"AAAAADTr+iM=",0)</f>
        <v>#REF!</v>
      </c>
      <c r="AK308" t="e">
        <f>IF(#REF!,"AAAAADTr+iQ=",0)</f>
        <v>#REF!</v>
      </c>
      <c r="AL308" t="e">
        <f>IF(#REF!,"AAAAADTr+iU=",0)</f>
        <v>#REF!</v>
      </c>
      <c r="AM308" t="e">
        <f>IF(#REF!,"AAAAADTr+iY=",0)</f>
        <v>#REF!</v>
      </c>
      <c r="AN308" t="e">
        <f>IF(#REF!,"AAAAADTr+ic=",0)</f>
        <v>#REF!</v>
      </c>
      <c r="AO308" t="e">
        <f>IF(#REF!,"AAAAADTr+ig=",0)</f>
        <v>#REF!</v>
      </c>
      <c r="AP308" t="e">
        <f>IF(#REF!,"AAAAADTr+ik=",0)</f>
        <v>#REF!</v>
      </c>
      <c r="AQ308" t="e">
        <f>IF(#REF!,"AAAAADTr+io=",0)</f>
        <v>#REF!</v>
      </c>
      <c r="AR308" t="e">
        <f>IF(#REF!,"AAAAADTr+is=",0)</f>
        <v>#REF!</v>
      </c>
      <c r="AS308" t="e">
        <f>IF(#REF!,"AAAAADTr+iw=",0)</f>
        <v>#REF!</v>
      </c>
      <c r="AT308" t="e">
        <f>IF(#REF!,"AAAAADTr+i0=",0)</f>
        <v>#REF!</v>
      </c>
      <c r="AU308" t="e">
        <f>IF(#REF!,"AAAAADTr+i4=",0)</f>
        <v>#REF!</v>
      </c>
      <c r="AV308" t="e">
        <f>IF(#REF!,"AAAAADTr+i8=",0)</f>
        <v>#REF!</v>
      </c>
      <c r="AW308" t="e">
        <f>IF(#REF!,"AAAAADTr+jA=",0)</f>
        <v>#REF!</v>
      </c>
      <c r="AX308" t="e">
        <f>IF(#REF!,"AAAAADTr+jE=",0)</f>
        <v>#REF!</v>
      </c>
      <c r="AY308" t="e">
        <f>IF(#REF!,"AAAAADTr+jI=",0)</f>
        <v>#REF!</v>
      </c>
      <c r="AZ308" t="e">
        <f>IF(#REF!,"AAAAADTr+jM=",0)</f>
        <v>#REF!</v>
      </c>
      <c r="BA308" t="e">
        <f>IF(#REF!,"AAAAADTr+jQ=",0)</f>
        <v>#REF!</v>
      </c>
      <c r="BB308" t="e">
        <f>IF(#REF!,"AAAAADTr+jU=",0)</f>
        <v>#REF!</v>
      </c>
      <c r="BC308" t="e">
        <f>IF(#REF!,"AAAAADTr+jY=",0)</f>
        <v>#REF!</v>
      </c>
      <c r="BD308" t="e">
        <f>IF(#REF!,"AAAAADTr+jc=",0)</f>
        <v>#REF!</v>
      </c>
      <c r="BE308" t="e">
        <f>IF(#REF!,"AAAAADTr+jg=",0)</f>
        <v>#REF!</v>
      </c>
      <c r="BF308" t="e">
        <f>IF(#REF!,"AAAAADTr+jk=",0)</f>
        <v>#REF!</v>
      </c>
      <c r="BG308" t="e">
        <f>IF(#REF!,"AAAAADTr+jo=",0)</f>
        <v>#REF!</v>
      </c>
      <c r="BH308" t="e">
        <f>IF(#REF!,"AAAAADTr+js=",0)</f>
        <v>#REF!</v>
      </c>
      <c r="BI308" t="e">
        <f>IF(#REF!,"AAAAADTr+jw=",0)</f>
        <v>#REF!</v>
      </c>
      <c r="BJ308" t="e">
        <f>IF(#REF!,"AAAAADTr+j0=",0)</f>
        <v>#REF!</v>
      </c>
      <c r="BK308" t="e">
        <f>IF(#REF!,"AAAAADTr+j4=",0)</f>
        <v>#REF!</v>
      </c>
      <c r="BL308" t="e">
        <f>IF(#REF!,"AAAAADTr+j8=",0)</f>
        <v>#REF!</v>
      </c>
      <c r="BM308" t="e">
        <f>IF(#REF!,"AAAAADTr+kA=",0)</f>
        <v>#REF!</v>
      </c>
      <c r="BN308" t="e">
        <f>IF(#REF!,"AAAAADTr+kE=",0)</f>
        <v>#REF!</v>
      </c>
      <c r="BO308" t="e">
        <f>IF(#REF!,"AAAAADTr+kI=",0)</f>
        <v>#REF!</v>
      </c>
      <c r="BP308" t="e">
        <f>IF(#REF!,"AAAAADTr+kM=",0)</f>
        <v>#REF!</v>
      </c>
      <c r="BQ308" t="e">
        <f>IF(#REF!,"AAAAADTr+kQ=",0)</f>
        <v>#REF!</v>
      </c>
      <c r="BR308" t="e">
        <f>IF(#REF!,"AAAAADTr+kU=",0)</f>
        <v>#REF!</v>
      </c>
      <c r="BS308" t="e">
        <f>IF(#REF!,"AAAAADTr+kY=",0)</f>
        <v>#REF!</v>
      </c>
      <c r="BT308" t="e">
        <f>IF(#REF!,"AAAAADTr+kc=",0)</f>
        <v>#REF!</v>
      </c>
      <c r="BU308" t="e">
        <f>IF(#REF!,"AAAAADTr+kg=",0)</f>
        <v>#REF!</v>
      </c>
      <c r="BV308" t="e">
        <f>IF(#REF!,"AAAAADTr+kk=",0)</f>
        <v>#REF!</v>
      </c>
      <c r="BW308" t="e">
        <f>IF(#REF!,"AAAAADTr+ko=",0)</f>
        <v>#REF!</v>
      </c>
      <c r="BX308" t="e">
        <f>IF(#REF!,"AAAAADTr+ks=",0)</f>
        <v>#REF!</v>
      </c>
      <c r="BY308" t="e">
        <f>IF(#REF!,"AAAAADTr+kw=",0)</f>
        <v>#REF!</v>
      </c>
      <c r="BZ308" t="e">
        <f>IF(#REF!,"AAAAADTr+k0=",0)</f>
        <v>#REF!</v>
      </c>
      <c r="CA308" t="e">
        <f>IF(#REF!,"AAAAADTr+k4=",0)</f>
        <v>#REF!</v>
      </c>
      <c r="CB308" t="e">
        <f>IF(#REF!,"AAAAADTr+k8=",0)</f>
        <v>#REF!</v>
      </c>
      <c r="CC308" t="e">
        <f>IF(#REF!,"AAAAADTr+lA=",0)</f>
        <v>#REF!</v>
      </c>
      <c r="CD308" t="e">
        <f>IF(#REF!,"AAAAADTr+lE=",0)</f>
        <v>#REF!</v>
      </c>
      <c r="CE308" t="e">
        <f>IF(#REF!,"AAAAADTr+lI=",0)</f>
        <v>#REF!</v>
      </c>
      <c r="CF308" t="e">
        <f>IF(#REF!,"AAAAADTr+lM=",0)</f>
        <v>#REF!</v>
      </c>
      <c r="CG308" t="e">
        <f>IF(#REF!,"AAAAADTr+lQ=",0)</f>
        <v>#REF!</v>
      </c>
      <c r="CH308" t="e">
        <f>IF(#REF!,"AAAAADTr+lU=",0)</f>
        <v>#REF!</v>
      </c>
      <c r="CI308" t="e">
        <f>IF(#REF!,"AAAAADTr+lY=",0)</f>
        <v>#REF!</v>
      </c>
      <c r="CJ308" t="e">
        <f>IF(#REF!,"AAAAADTr+lc=",0)</f>
        <v>#REF!</v>
      </c>
      <c r="CK308" t="e">
        <f>IF(#REF!,"AAAAADTr+lg=",0)</f>
        <v>#REF!</v>
      </c>
      <c r="CL308" t="e">
        <f>IF(#REF!,"AAAAADTr+lk=",0)</f>
        <v>#REF!</v>
      </c>
      <c r="CM308" t="e">
        <f>IF(#REF!,"AAAAADTr+lo=",0)</f>
        <v>#REF!</v>
      </c>
      <c r="CN308" t="e">
        <f>IF(#REF!,"AAAAADTr+ls=",0)</f>
        <v>#REF!</v>
      </c>
      <c r="CO308" t="e">
        <f>IF(#REF!,"AAAAADTr+lw=",0)</f>
        <v>#REF!</v>
      </c>
      <c r="CP308" t="e">
        <f>IF(#REF!,"AAAAADTr+l0=",0)</f>
        <v>#REF!</v>
      </c>
      <c r="CQ308" t="e">
        <f>IF(#REF!,"AAAAADTr+l4=",0)</f>
        <v>#REF!</v>
      </c>
      <c r="CR308" t="e">
        <f>IF(#REF!,"AAAAADTr+l8=",0)</f>
        <v>#REF!</v>
      </c>
      <c r="CS308" t="e">
        <f>IF(#REF!,"AAAAADTr+mA=",0)</f>
        <v>#REF!</v>
      </c>
      <c r="CT308" t="e">
        <f>IF(#REF!,"AAAAADTr+mE=",0)</f>
        <v>#REF!</v>
      </c>
      <c r="CU308" t="e">
        <f>IF(#REF!,"AAAAADTr+mI=",0)</f>
        <v>#REF!</v>
      </c>
      <c r="CV308" t="e">
        <f>IF(#REF!,"AAAAADTr+mM=",0)</f>
        <v>#REF!</v>
      </c>
      <c r="CW308" t="e">
        <f>IF(#REF!,"AAAAADTr+mQ=",0)</f>
        <v>#REF!</v>
      </c>
      <c r="CX308" t="e">
        <f>IF(#REF!,"AAAAADTr+mU=",0)</f>
        <v>#REF!</v>
      </c>
      <c r="CY308" t="e">
        <f>IF(#REF!,"AAAAADTr+mY=",0)</f>
        <v>#REF!</v>
      </c>
      <c r="CZ308" t="e">
        <f>IF(#REF!,"AAAAADTr+mc=",0)</f>
        <v>#REF!</v>
      </c>
      <c r="DA308" t="e">
        <f>IF(#REF!,"AAAAADTr+mg=",0)</f>
        <v>#REF!</v>
      </c>
      <c r="DB308" t="e">
        <f>IF(#REF!,"AAAAADTr+mk=",0)</f>
        <v>#REF!</v>
      </c>
      <c r="DC308" t="e">
        <f>IF(#REF!,"AAAAADTr+mo=",0)</f>
        <v>#REF!</v>
      </c>
      <c r="DD308" t="e">
        <f>IF(#REF!,"AAAAADTr+ms=",0)</f>
        <v>#REF!</v>
      </c>
      <c r="DE308" t="e">
        <f>IF(#REF!,"AAAAADTr+mw=",0)</f>
        <v>#REF!</v>
      </c>
      <c r="DF308" t="e">
        <f>IF(#REF!,"AAAAADTr+m0=",0)</f>
        <v>#REF!</v>
      </c>
      <c r="DG308" t="e">
        <f>IF(#REF!,"AAAAADTr+m4=",0)</f>
        <v>#REF!</v>
      </c>
      <c r="DH308" t="e">
        <f>IF(#REF!,"AAAAADTr+m8=",0)</f>
        <v>#REF!</v>
      </c>
      <c r="DI308" t="e">
        <f>IF(#REF!,"AAAAADTr+nA=",0)</f>
        <v>#REF!</v>
      </c>
      <c r="DJ308" t="e">
        <f>IF(#REF!,"AAAAADTr+nE=",0)</f>
        <v>#REF!</v>
      </c>
      <c r="DK308" t="e">
        <f>IF(#REF!,"AAAAADTr+nI=",0)</f>
        <v>#REF!</v>
      </c>
      <c r="DL308" t="e">
        <f>IF(#REF!,"AAAAADTr+nM=",0)</f>
        <v>#REF!</v>
      </c>
      <c r="DM308" t="e">
        <f>IF(#REF!,"AAAAADTr+nQ=",0)</f>
        <v>#REF!</v>
      </c>
      <c r="DN308" t="e">
        <f>IF(#REF!,"AAAAADTr+nU=",0)</f>
        <v>#REF!</v>
      </c>
      <c r="DO308" t="e">
        <f>IF(#REF!,"AAAAADTr+nY=",0)</f>
        <v>#REF!</v>
      </c>
      <c r="DP308" t="e">
        <f>IF(#REF!,"AAAAADTr+nc=",0)</f>
        <v>#REF!</v>
      </c>
      <c r="DQ308" t="e">
        <f>IF(#REF!,"AAAAADTr+ng=",0)</f>
        <v>#REF!</v>
      </c>
      <c r="DR308" t="e">
        <f>IF(#REF!,"AAAAADTr+nk=",0)</f>
        <v>#REF!</v>
      </c>
      <c r="DS308" t="e">
        <f>IF(#REF!,"AAAAADTr+no=",0)</f>
        <v>#REF!</v>
      </c>
      <c r="DT308" t="e">
        <f>IF(#REF!,"AAAAADTr+ns=",0)</f>
        <v>#REF!</v>
      </c>
      <c r="DU308" t="e">
        <f>IF(#REF!,"AAAAADTr+nw=",0)</f>
        <v>#REF!</v>
      </c>
      <c r="DV308" t="e">
        <f>IF(#REF!,"AAAAADTr+n0=",0)</f>
        <v>#REF!</v>
      </c>
      <c r="DW308" t="e">
        <f>IF(#REF!,"AAAAADTr+n4=",0)</f>
        <v>#REF!</v>
      </c>
      <c r="DX308" t="e">
        <f>IF(#REF!,"AAAAADTr+n8=",0)</f>
        <v>#REF!</v>
      </c>
      <c r="DY308" t="e">
        <f>IF(#REF!,"AAAAADTr+oA=",0)</f>
        <v>#REF!</v>
      </c>
      <c r="DZ308" t="e">
        <f>IF(#REF!,"AAAAADTr+oE=",0)</f>
        <v>#REF!</v>
      </c>
      <c r="EA308" t="e">
        <f>IF(#REF!,"AAAAADTr+oI=",0)</f>
        <v>#REF!</v>
      </c>
      <c r="EB308" t="e">
        <f>IF(#REF!,"AAAAADTr+oM=",0)</f>
        <v>#REF!</v>
      </c>
      <c r="EC308" t="e">
        <f>IF(#REF!,"AAAAADTr+oQ=",0)</f>
        <v>#REF!</v>
      </c>
      <c r="ED308" t="e">
        <f>IF(#REF!,"AAAAADTr+oU=",0)</f>
        <v>#REF!</v>
      </c>
      <c r="EE308" t="e">
        <f>IF(#REF!,"AAAAADTr+oY=",0)</f>
        <v>#REF!</v>
      </c>
      <c r="EF308" t="e">
        <f>IF(#REF!,"AAAAADTr+oc=",0)</f>
        <v>#REF!</v>
      </c>
      <c r="EG308" t="e">
        <f>IF(#REF!,"AAAAADTr+og=",0)</f>
        <v>#REF!</v>
      </c>
      <c r="EH308" t="e">
        <f>IF(#REF!,"AAAAADTr+ok=",0)</f>
        <v>#REF!</v>
      </c>
      <c r="EI308" t="e">
        <f>IF(#REF!,"AAAAADTr+oo=",0)</f>
        <v>#REF!</v>
      </c>
      <c r="EJ308" t="e">
        <f>IF(#REF!,"AAAAADTr+os=",0)</f>
        <v>#REF!</v>
      </c>
      <c r="EK308" t="e">
        <f>IF(#REF!,"AAAAADTr+ow=",0)</f>
        <v>#REF!</v>
      </c>
      <c r="EL308" t="e">
        <f>IF(#REF!,"AAAAADTr+o0=",0)</f>
        <v>#REF!</v>
      </c>
      <c r="EM308" t="e">
        <f>IF(#REF!,"AAAAADTr+o4=",0)</f>
        <v>#REF!</v>
      </c>
      <c r="EN308" t="e">
        <f>IF(#REF!,"AAAAADTr+o8=",0)</f>
        <v>#REF!</v>
      </c>
      <c r="EO308" t="e">
        <f>IF(#REF!,"AAAAADTr+pA=",0)</f>
        <v>#REF!</v>
      </c>
      <c r="EP308" t="e">
        <f>IF(#REF!,"AAAAADTr+pE=",0)</f>
        <v>#REF!</v>
      </c>
      <c r="EQ308" t="e">
        <f>IF(#REF!,"AAAAADTr+pI=",0)</f>
        <v>#REF!</v>
      </c>
      <c r="ER308" t="e">
        <f>IF(#REF!,"AAAAADTr+pM=",0)</f>
        <v>#REF!</v>
      </c>
      <c r="ES308" t="e">
        <f>IF(#REF!,"AAAAADTr+pQ=",0)</f>
        <v>#REF!</v>
      </c>
      <c r="ET308" t="e">
        <f>IF(#REF!,"AAAAADTr+pU=",0)</f>
        <v>#REF!</v>
      </c>
      <c r="EU308" t="e">
        <f>IF(#REF!,"AAAAADTr+pY=",0)</f>
        <v>#REF!</v>
      </c>
      <c r="EV308" t="e">
        <f>IF(#REF!,"AAAAADTr+pc=",0)</f>
        <v>#REF!</v>
      </c>
      <c r="EW308" t="e">
        <f>IF(#REF!,"AAAAADTr+pg=",0)</f>
        <v>#REF!</v>
      </c>
      <c r="EX308" t="e">
        <f>IF(#REF!,"AAAAADTr+pk=",0)</f>
        <v>#REF!</v>
      </c>
      <c r="EY308" t="e">
        <f>IF(#REF!,"AAAAADTr+po=",0)</f>
        <v>#REF!</v>
      </c>
      <c r="EZ308" t="e">
        <f>IF(#REF!,"AAAAADTr+ps=",0)</f>
        <v>#REF!</v>
      </c>
      <c r="FA308" t="e">
        <f>IF(#REF!,"AAAAADTr+pw=",0)</f>
        <v>#REF!</v>
      </c>
      <c r="FB308" t="e">
        <f>IF(#REF!,"AAAAADTr+p0=",0)</f>
        <v>#REF!</v>
      </c>
      <c r="FC308" t="e">
        <f>IF(#REF!,"AAAAADTr+p4=",0)</f>
        <v>#REF!</v>
      </c>
      <c r="FD308" t="e">
        <f>IF(#REF!,"AAAAADTr+p8=",0)</f>
        <v>#REF!</v>
      </c>
      <c r="FE308" t="e">
        <f>IF(#REF!,"AAAAADTr+qA=",0)</f>
        <v>#REF!</v>
      </c>
      <c r="FF308" t="e">
        <f>IF(#REF!,"AAAAADTr+qE=",0)</f>
        <v>#REF!</v>
      </c>
      <c r="FG308" t="e">
        <f>IF(#REF!,"AAAAADTr+qI=",0)</f>
        <v>#REF!</v>
      </c>
      <c r="FH308" t="e">
        <f>IF(#REF!,"AAAAADTr+qM=",0)</f>
        <v>#REF!</v>
      </c>
      <c r="FI308" t="e">
        <f>IF(#REF!,"AAAAADTr+qQ=",0)</f>
        <v>#REF!</v>
      </c>
      <c r="FJ308" t="e">
        <f>IF(#REF!,"AAAAADTr+qU=",0)</f>
        <v>#REF!</v>
      </c>
      <c r="FK308" t="e">
        <f>IF(#REF!,"AAAAADTr+qY=",0)</f>
        <v>#REF!</v>
      </c>
      <c r="FL308" t="e">
        <f>IF(#REF!,"AAAAADTr+qc=",0)</f>
        <v>#REF!</v>
      </c>
      <c r="FM308" t="e">
        <f>IF(#REF!,"AAAAADTr+qg=",0)</f>
        <v>#REF!</v>
      </c>
      <c r="FN308" t="e">
        <f>IF(#REF!,"AAAAADTr+qk=",0)</f>
        <v>#REF!</v>
      </c>
      <c r="FO308" t="e">
        <f>IF(#REF!,"AAAAADTr+qo=",0)</f>
        <v>#REF!</v>
      </c>
      <c r="FP308" t="e">
        <f>IF(#REF!,"AAAAADTr+qs=",0)</f>
        <v>#REF!</v>
      </c>
      <c r="FQ308" t="e">
        <f>IF(#REF!,"AAAAADTr+qw=",0)</f>
        <v>#REF!</v>
      </c>
      <c r="FR308" t="e">
        <f>IF(#REF!,"AAAAADTr+q0=",0)</f>
        <v>#REF!</v>
      </c>
      <c r="FS308" t="e">
        <f>IF(#REF!,"AAAAADTr+q4=",0)</f>
        <v>#REF!</v>
      </c>
      <c r="FT308" t="e">
        <f>IF(#REF!,"AAAAADTr+q8=",0)</f>
        <v>#REF!</v>
      </c>
      <c r="FU308" t="e">
        <f>IF(#REF!,"AAAAADTr+rA=",0)</f>
        <v>#REF!</v>
      </c>
      <c r="FV308" t="e">
        <f>IF(#REF!,"AAAAADTr+rE=",0)</f>
        <v>#REF!</v>
      </c>
      <c r="FW308" t="e">
        <f>IF(#REF!,"AAAAADTr+rI=",0)</f>
        <v>#REF!</v>
      </c>
      <c r="FX308" t="e">
        <f>IF(#REF!,"AAAAADTr+rM=",0)</f>
        <v>#REF!</v>
      </c>
      <c r="FY308" t="e">
        <f>IF(#REF!,"AAAAADTr+rQ=",0)</f>
        <v>#REF!</v>
      </c>
      <c r="FZ308" t="e">
        <f>IF(#REF!,"AAAAADTr+rU=",0)</f>
        <v>#REF!</v>
      </c>
      <c r="GA308" t="e">
        <f>IF(#REF!,"AAAAADTr+rY=",0)</f>
        <v>#REF!</v>
      </c>
      <c r="GB308" t="e">
        <f>IF(#REF!,"AAAAADTr+rc=",0)</f>
        <v>#REF!</v>
      </c>
      <c r="GC308" t="e">
        <f>IF(#REF!,"AAAAADTr+rg=",0)</f>
        <v>#REF!</v>
      </c>
      <c r="GD308" t="e">
        <f>IF(#REF!,"AAAAADTr+rk=",0)</f>
        <v>#REF!</v>
      </c>
      <c r="GE308" t="e">
        <f>IF(#REF!,"AAAAADTr+ro=",0)</f>
        <v>#REF!</v>
      </c>
      <c r="GF308" t="e">
        <f>IF(#REF!,"AAAAADTr+rs=",0)</f>
        <v>#REF!</v>
      </c>
      <c r="GG308" t="e">
        <f>IF(#REF!,"AAAAADTr+rw=",0)</f>
        <v>#REF!</v>
      </c>
      <c r="GH308" t="e">
        <f>IF(#REF!,"AAAAADTr+r0=",0)</f>
        <v>#REF!</v>
      </c>
      <c r="GI308" t="e">
        <f>IF(#REF!,"AAAAADTr+r4=",0)</f>
        <v>#REF!</v>
      </c>
      <c r="GJ308" t="e">
        <f>IF(#REF!,"AAAAADTr+r8=",0)</f>
        <v>#REF!</v>
      </c>
      <c r="GK308" t="e">
        <f>IF(#REF!,"AAAAADTr+sA=",0)</f>
        <v>#REF!</v>
      </c>
      <c r="GL308" t="e">
        <f>IF(#REF!,"AAAAADTr+sE=",0)</f>
        <v>#REF!</v>
      </c>
      <c r="GM308" t="e">
        <f>IF(#REF!,"AAAAADTr+sI=",0)</f>
        <v>#REF!</v>
      </c>
      <c r="GN308" t="e">
        <f>IF(#REF!,"AAAAADTr+sM=",0)</f>
        <v>#REF!</v>
      </c>
      <c r="GO308" t="e">
        <f>IF(#REF!,"AAAAADTr+sQ=",0)</f>
        <v>#REF!</v>
      </c>
      <c r="GP308" t="e">
        <f>IF(#REF!,"AAAAADTr+sU=",0)</f>
        <v>#REF!</v>
      </c>
      <c r="GQ308" t="e">
        <f>IF(#REF!,"AAAAADTr+sY=",0)</f>
        <v>#REF!</v>
      </c>
      <c r="GR308" t="e">
        <f>IF(#REF!,"AAAAADTr+sc=",0)</f>
        <v>#REF!</v>
      </c>
      <c r="GS308" t="e">
        <f>IF(#REF!,"AAAAADTr+sg=",0)</f>
        <v>#REF!</v>
      </c>
      <c r="GT308" t="e">
        <f>IF(#REF!,"AAAAADTr+sk=",0)</f>
        <v>#REF!</v>
      </c>
      <c r="GU308" t="e">
        <f>IF(#REF!,"AAAAADTr+so=",0)</f>
        <v>#REF!</v>
      </c>
      <c r="GV308" t="e">
        <f>IF(#REF!,"AAAAADTr+ss=",0)</f>
        <v>#REF!</v>
      </c>
      <c r="GW308" t="e">
        <f>IF(#REF!,"AAAAADTr+sw=",0)</f>
        <v>#REF!</v>
      </c>
      <c r="GX308" t="e">
        <f>IF(#REF!,"AAAAADTr+s0=",0)</f>
        <v>#REF!</v>
      </c>
      <c r="GY308" t="e">
        <f>IF(#REF!,"AAAAADTr+s4=",0)</f>
        <v>#REF!</v>
      </c>
      <c r="GZ308" t="e">
        <f>IF(#REF!,"AAAAADTr+s8=",0)</f>
        <v>#REF!</v>
      </c>
      <c r="HA308" t="e">
        <f>IF(#REF!,"AAAAADTr+tA=",0)</f>
        <v>#REF!</v>
      </c>
      <c r="HB308" t="e">
        <f>IF(#REF!,"AAAAADTr+tE=",0)</f>
        <v>#REF!</v>
      </c>
      <c r="HC308" t="e">
        <f>IF(#REF!,"AAAAADTr+tI=",0)</f>
        <v>#REF!</v>
      </c>
      <c r="HD308" t="e">
        <f>IF(#REF!,"AAAAADTr+tM=",0)</f>
        <v>#REF!</v>
      </c>
      <c r="HE308" t="e">
        <f>IF(#REF!,"AAAAADTr+tQ=",0)</f>
        <v>#REF!</v>
      </c>
      <c r="HF308" t="e">
        <f>IF(#REF!,"AAAAADTr+tU=",0)</f>
        <v>#REF!</v>
      </c>
      <c r="HG308" t="e">
        <f>IF(#REF!,"AAAAADTr+tY=",0)</f>
        <v>#REF!</v>
      </c>
      <c r="HH308" t="e">
        <f>IF(#REF!,"AAAAADTr+tc=",0)</f>
        <v>#REF!</v>
      </c>
      <c r="HI308" t="e">
        <f>IF(#REF!,"AAAAADTr+tg=",0)</f>
        <v>#REF!</v>
      </c>
      <c r="HJ308" t="e">
        <f>IF(#REF!,"AAAAADTr+tk=",0)</f>
        <v>#REF!</v>
      </c>
      <c r="HK308" t="e">
        <f>IF(#REF!,"AAAAADTr+to=",0)</f>
        <v>#REF!</v>
      </c>
      <c r="HL308" t="e">
        <f>IF(#REF!,"AAAAADTr+ts=",0)</f>
        <v>#REF!</v>
      </c>
      <c r="HM308" t="e">
        <f>IF(#REF!,"AAAAADTr+tw=",0)</f>
        <v>#REF!</v>
      </c>
      <c r="HN308" t="e">
        <f>IF(#REF!,"AAAAADTr+t0=",0)</f>
        <v>#REF!</v>
      </c>
      <c r="HO308" t="e">
        <f>IF(#REF!,"AAAAADTr+t4=",0)</f>
        <v>#REF!</v>
      </c>
      <c r="HP308" t="e">
        <f>IF(#REF!,"AAAAADTr+t8=",0)</f>
        <v>#REF!</v>
      </c>
      <c r="HQ308" t="e">
        <f>IF(#REF!,"AAAAADTr+uA=",0)</f>
        <v>#REF!</v>
      </c>
      <c r="HR308" t="e">
        <f>IF(#REF!,"AAAAADTr+uE=",0)</f>
        <v>#REF!</v>
      </c>
      <c r="HS308" t="e">
        <f>IF(#REF!,"AAAAADTr+uI=",0)</f>
        <v>#REF!</v>
      </c>
      <c r="HT308" t="e">
        <f>IF(#REF!,"AAAAADTr+uM=",0)</f>
        <v>#REF!</v>
      </c>
      <c r="HU308" t="e">
        <f>IF(#REF!,"AAAAADTr+uQ=",0)</f>
        <v>#REF!</v>
      </c>
      <c r="HV308" t="e">
        <f>IF(#REF!,"AAAAADTr+uU=",0)</f>
        <v>#REF!</v>
      </c>
      <c r="HW308" t="e">
        <f>IF(#REF!,"AAAAADTr+uY=",0)</f>
        <v>#REF!</v>
      </c>
      <c r="HX308" t="e">
        <f>IF(#REF!,"AAAAADTr+uc=",0)</f>
        <v>#REF!</v>
      </c>
      <c r="HY308" t="e">
        <f>IF(#REF!,"AAAAADTr+ug=",0)</f>
        <v>#REF!</v>
      </c>
      <c r="HZ308" t="e">
        <f>IF(#REF!,"AAAAADTr+uk=",0)</f>
        <v>#REF!</v>
      </c>
      <c r="IA308" t="e">
        <f>IF(#REF!,"AAAAADTr+uo=",0)</f>
        <v>#REF!</v>
      </c>
      <c r="IB308" t="e">
        <f>IF(#REF!,"AAAAADTr+us=",0)</f>
        <v>#REF!</v>
      </c>
      <c r="IC308" t="e">
        <f>IF(#REF!,"AAAAADTr+uw=",0)</f>
        <v>#REF!</v>
      </c>
      <c r="ID308" t="e">
        <f>IF(#REF!,"AAAAADTr+u0=",0)</f>
        <v>#REF!</v>
      </c>
      <c r="IE308" t="e">
        <f>IF(#REF!,"AAAAADTr+u4=",0)</f>
        <v>#REF!</v>
      </c>
      <c r="IF308" t="e">
        <f>IF(#REF!,"AAAAADTr+u8=",0)</f>
        <v>#REF!</v>
      </c>
      <c r="IG308" t="e">
        <f>IF(#REF!,"AAAAADTr+vA=",0)</f>
        <v>#REF!</v>
      </c>
      <c r="IH308" t="e">
        <f>IF(#REF!,"AAAAADTr+vE=",0)</f>
        <v>#REF!</v>
      </c>
      <c r="II308" t="e">
        <f>IF(#REF!,"AAAAADTr+vI=",0)</f>
        <v>#REF!</v>
      </c>
      <c r="IJ308" t="e">
        <f>IF(#REF!,"AAAAADTr+vM=",0)</f>
        <v>#REF!</v>
      </c>
      <c r="IK308" t="e">
        <f>IF(#REF!,"AAAAADTr+vQ=",0)</f>
        <v>#REF!</v>
      </c>
      <c r="IL308" t="e">
        <f>IF(#REF!,"AAAAADTr+vU=",0)</f>
        <v>#REF!</v>
      </c>
      <c r="IM308" t="e">
        <f>IF(#REF!,"AAAAADTr+vY=",0)</f>
        <v>#REF!</v>
      </c>
      <c r="IN308" t="e">
        <f>IF(#REF!,"AAAAADTr+vc=",0)</f>
        <v>#REF!</v>
      </c>
      <c r="IO308" t="e">
        <f>IF(#REF!,"AAAAADTr+vg=",0)</f>
        <v>#REF!</v>
      </c>
      <c r="IP308" t="e">
        <f>IF(#REF!,"AAAAADTr+vk=",0)</f>
        <v>#REF!</v>
      </c>
      <c r="IQ308" t="e">
        <f>IF(#REF!,"AAAAADTr+vo=",0)</f>
        <v>#REF!</v>
      </c>
      <c r="IR308" t="e">
        <f>IF(#REF!,"AAAAADTr+vs=",0)</f>
        <v>#REF!</v>
      </c>
      <c r="IS308" t="e">
        <f>IF(#REF!,"AAAAADTr+vw=",0)</f>
        <v>#REF!</v>
      </c>
      <c r="IT308" t="e">
        <f>IF(#REF!,"AAAAADTr+v0=",0)</f>
        <v>#REF!</v>
      </c>
      <c r="IU308" t="e">
        <f>IF(#REF!,"AAAAADTr+v4=",0)</f>
        <v>#REF!</v>
      </c>
      <c r="IV308" t="e">
        <f>IF(#REF!,"AAAAADTr+v8=",0)</f>
        <v>#REF!</v>
      </c>
    </row>
    <row r="309" spans="1:256">
      <c r="A309" t="e">
        <f>IF(#REF!,"AAAAABe8rgA=",0)</f>
        <v>#REF!</v>
      </c>
      <c r="B309" t="e">
        <f>IF(#REF!,"AAAAABe8rgE=",0)</f>
        <v>#REF!</v>
      </c>
      <c r="C309" t="e">
        <f>IF(#REF!,"AAAAABe8rgI=",0)</f>
        <v>#REF!</v>
      </c>
      <c r="D309" t="e">
        <f>IF(#REF!,"AAAAABe8rgM=",0)</f>
        <v>#REF!</v>
      </c>
      <c r="E309" t="e">
        <f>IF(#REF!,"AAAAABe8rgQ=",0)</f>
        <v>#REF!</v>
      </c>
      <c r="F309" t="e">
        <f>IF(#REF!,"AAAAABe8rgU=",0)</f>
        <v>#REF!</v>
      </c>
      <c r="G309" t="e">
        <f>IF(#REF!,"AAAAABe8rgY=",0)</f>
        <v>#REF!</v>
      </c>
      <c r="H309" t="e">
        <f>IF(#REF!,"AAAAABe8rgc=",0)</f>
        <v>#REF!</v>
      </c>
      <c r="I309" t="e">
        <f>IF(#REF!,"AAAAABe8rgg=",0)</f>
        <v>#REF!</v>
      </c>
      <c r="J309" t="e">
        <f>IF(#REF!,"AAAAABe8rgk=",0)</f>
        <v>#REF!</v>
      </c>
      <c r="K309" t="e">
        <f>IF(#REF!,"AAAAABe8rgo=",0)</f>
        <v>#REF!</v>
      </c>
      <c r="L309" t="e">
        <f>IF(#REF!,"AAAAABe8rgs=",0)</f>
        <v>#REF!</v>
      </c>
      <c r="M309" t="e">
        <f>IF(#REF!,"AAAAABe8rgw=",0)</f>
        <v>#REF!</v>
      </c>
      <c r="N309" t="e">
        <f>IF(#REF!,"AAAAABe8rg0=",0)</f>
        <v>#REF!</v>
      </c>
      <c r="O309" t="e">
        <f>IF(#REF!,"AAAAABe8rg4=",0)</f>
        <v>#REF!</v>
      </c>
      <c r="P309" t="e">
        <f>IF(#REF!,"AAAAABe8rg8=",0)</f>
        <v>#REF!</v>
      </c>
      <c r="Q309" t="e">
        <f>IF(#REF!,"AAAAABe8rhA=",0)</f>
        <v>#REF!</v>
      </c>
      <c r="R309" t="e">
        <f>IF(#REF!,"AAAAABe8rhE=",0)</f>
        <v>#REF!</v>
      </c>
      <c r="S309" t="e">
        <f>IF(#REF!,"AAAAABe8rhI=",0)</f>
        <v>#REF!</v>
      </c>
      <c r="T309" t="e">
        <f>IF(#REF!,"AAAAABe8rhM=",0)</f>
        <v>#REF!</v>
      </c>
      <c r="U309" t="e">
        <f>IF(#REF!,"AAAAABe8rhQ=",0)</f>
        <v>#REF!</v>
      </c>
      <c r="V309" t="e">
        <f>IF(#REF!,"AAAAABe8rhU=",0)</f>
        <v>#REF!</v>
      </c>
      <c r="W309" t="e">
        <f>IF(#REF!,"AAAAABe8rhY=",0)</f>
        <v>#REF!</v>
      </c>
      <c r="X309" t="e">
        <f>IF(#REF!,"AAAAABe8rhc=",0)</f>
        <v>#REF!</v>
      </c>
      <c r="Y309" t="e">
        <f>IF(#REF!,"AAAAABe8rhg=",0)</f>
        <v>#REF!</v>
      </c>
      <c r="Z309" t="e">
        <f>IF(#REF!,"AAAAABe8rhk=",0)</f>
        <v>#REF!</v>
      </c>
      <c r="AA309" t="e">
        <f>IF(#REF!,"AAAAABe8rho=",0)</f>
        <v>#REF!</v>
      </c>
      <c r="AB309" t="e">
        <f>IF(#REF!,"AAAAABe8rhs=",0)</f>
        <v>#REF!</v>
      </c>
      <c r="AC309" t="e">
        <f>IF(#REF!,"AAAAABe8rhw=",0)</f>
        <v>#REF!</v>
      </c>
      <c r="AD309" t="e">
        <f>IF(#REF!,"AAAAABe8rh0=",0)</f>
        <v>#REF!</v>
      </c>
      <c r="AE309" t="e">
        <f>IF(#REF!,"AAAAABe8rh4=",0)</f>
        <v>#REF!</v>
      </c>
      <c r="AF309" t="e">
        <f>IF(#REF!,"AAAAABe8rh8=",0)</f>
        <v>#REF!</v>
      </c>
      <c r="AG309" t="e">
        <f>IF(#REF!,"AAAAABe8riA=",0)</f>
        <v>#REF!</v>
      </c>
      <c r="AH309" t="e">
        <f>IF(#REF!,"AAAAABe8riE=",0)</f>
        <v>#REF!</v>
      </c>
      <c r="AI309" t="e">
        <f>IF(#REF!,"AAAAABe8riI=",0)</f>
        <v>#REF!</v>
      </c>
      <c r="AJ309" t="e">
        <f>IF(#REF!,"AAAAABe8riM=",0)</f>
        <v>#REF!</v>
      </c>
      <c r="AK309" t="e">
        <f>IF(#REF!,"AAAAABe8riQ=",0)</f>
        <v>#REF!</v>
      </c>
      <c r="AL309" t="e">
        <f>IF(#REF!,"AAAAABe8riU=",0)</f>
        <v>#REF!</v>
      </c>
      <c r="AM309" t="e">
        <f>IF(#REF!,"AAAAABe8riY=",0)</f>
        <v>#REF!</v>
      </c>
      <c r="AN309" t="e">
        <f>IF(#REF!,"AAAAABe8ric=",0)</f>
        <v>#REF!</v>
      </c>
      <c r="AO309" t="e">
        <f>IF(#REF!,"AAAAABe8rig=",0)</f>
        <v>#REF!</v>
      </c>
      <c r="AP309" t="e">
        <f>IF(#REF!,"AAAAABe8rik=",0)</f>
        <v>#REF!</v>
      </c>
      <c r="AQ309" t="e">
        <f>IF(#REF!,"AAAAABe8rio=",0)</f>
        <v>#REF!</v>
      </c>
      <c r="AR309" t="e">
        <f>IF(#REF!,"AAAAABe8ris=",0)</f>
        <v>#REF!</v>
      </c>
      <c r="AS309" t="e">
        <f>IF(#REF!,"AAAAABe8riw=",0)</f>
        <v>#REF!</v>
      </c>
      <c r="AT309" t="e">
        <f>IF(#REF!,"AAAAABe8ri0=",0)</f>
        <v>#REF!</v>
      </c>
      <c r="AU309" t="e">
        <f>IF(#REF!,"AAAAABe8ri4=",0)</f>
        <v>#REF!</v>
      </c>
      <c r="AV309" t="e">
        <f>IF(#REF!,"AAAAABe8ri8=",0)</f>
        <v>#REF!</v>
      </c>
      <c r="AW309" t="e">
        <f>IF(#REF!,"AAAAABe8rjA=",0)</f>
        <v>#REF!</v>
      </c>
      <c r="AX309" t="e">
        <f>IF(#REF!,"AAAAABe8rjE=",0)</f>
        <v>#REF!</v>
      </c>
      <c r="AY309" t="e">
        <f>IF(#REF!,"AAAAABe8rjI=",0)</f>
        <v>#REF!</v>
      </c>
      <c r="AZ309" t="e">
        <f>IF(#REF!,"AAAAABe8rjM=",0)</f>
        <v>#REF!</v>
      </c>
      <c r="BA309" t="e">
        <f>IF(#REF!,"AAAAABe8rjQ=",0)</f>
        <v>#REF!</v>
      </c>
      <c r="BB309" t="e">
        <f>IF(#REF!,"AAAAABe8rjU=",0)</f>
        <v>#REF!</v>
      </c>
      <c r="BC309" t="e">
        <f>IF(#REF!,"AAAAABe8rjY=",0)</f>
        <v>#REF!</v>
      </c>
      <c r="BD309" t="e">
        <f>IF(#REF!,"AAAAABe8rjc=",0)</f>
        <v>#REF!</v>
      </c>
      <c r="BE309" t="e">
        <f>IF(#REF!,"AAAAABe8rjg=",0)</f>
        <v>#REF!</v>
      </c>
      <c r="BF309" t="e">
        <f>IF(#REF!,"AAAAABe8rjk=",0)</f>
        <v>#REF!</v>
      </c>
      <c r="BG309" t="e">
        <f>IF(#REF!,"AAAAABe8rjo=",0)</f>
        <v>#REF!</v>
      </c>
      <c r="BH309" t="e">
        <f>IF(#REF!,"AAAAABe8rjs=",0)</f>
        <v>#REF!</v>
      </c>
      <c r="BI309" t="e">
        <f>IF(#REF!,"AAAAABe8rjw=",0)</f>
        <v>#REF!</v>
      </c>
      <c r="BJ309" t="e">
        <f>IF(#REF!,"AAAAABe8rj0=",0)</f>
        <v>#REF!</v>
      </c>
      <c r="BK309" t="e">
        <f>IF(#REF!,"AAAAABe8rj4=",0)</f>
        <v>#REF!</v>
      </c>
      <c r="BL309" t="e">
        <f>IF(#REF!,"AAAAABe8rj8=",0)</f>
        <v>#REF!</v>
      </c>
      <c r="BM309" t="e">
        <f>IF(#REF!,"AAAAABe8rkA=",0)</f>
        <v>#REF!</v>
      </c>
      <c r="BN309" t="e">
        <f>IF(#REF!,"AAAAABe8rkE=",0)</f>
        <v>#REF!</v>
      </c>
      <c r="BO309" t="e">
        <f>IF(#REF!,"AAAAABe8rkI=",0)</f>
        <v>#REF!</v>
      </c>
      <c r="BP309" t="e">
        <f>IF(#REF!,"AAAAABe8rkM=",0)</f>
        <v>#REF!</v>
      </c>
      <c r="BQ309" t="e">
        <f>IF(#REF!,"AAAAABe8rkQ=",0)</f>
        <v>#REF!</v>
      </c>
      <c r="BR309" t="e">
        <f>IF(#REF!,"AAAAABe8rkU=",0)</f>
        <v>#REF!</v>
      </c>
      <c r="BS309" t="e">
        <f>IF(#REF!,"AAAAABe8rkY=",0)</f>
        <v>#REF!</v>
      </c>
      <c r="BT309" t="e">
        <f>IF(#REF!,"AAAAABe8rkc=",0)</f>
        <v>#REF!</v>
      </c>
      <c r="BU309" t="e">
        <f>IF(#REF!,"AAAAABe8rkg=",0)</f>
        <v>#REF!</v>
      </c>
      <c r="BV309" t="e">
        <f>IF(#REF!,"AAAAABe8rkk=",0)</f>
        <v>#REF!</v>
      </c>
      <c r="BW309" t="e">
        <f>IF(#REF!,"AAAAABe8rko=",0)</f>
        <v>#REF!</v>
      </c>
      <c r="BX309" t="e">
        <f>IF(#REF!,"AAAAABe8rks=",0)</f>
        <v>#REF!</v>
      </c>
      <c r="BY309" t="e">
        <f>IF(#REF!,"AAAAABe8rkw=",0)</f>
        <v>#REF!</v>
      </c>
      <c r="BZ309" t="e">
        <f>IF(#REF!,"AAAAABe8rk0=",0)</f>
        <v>#REF!</v>
      </c>
      <c r="CA309" t="e">
        <f>IF(#REF!,"AAAAABe8rk4=",0)</f>
        <v>#REF!</v>
      </c>
      <c r="CB309" t="e">
        <f>IF(#REF!,"AAAAABe8rk8=",0)</f>
        <v>#REF!</v>
      </c>
      <c r="CC309" t="e">
        <f>IF(#REF!,"AAAAABe8rlA=",0)</f>
        <v>#REF!</v>
      </c>
      <c r="CD309" t="e">
        <f>IF(#REF!,"AAAAABe8rlE=",0)</f>
        <v>#REF!</v>
      </c>
      <c r="CE309" t="e">
        <f>IF(#REF!,"AAAAABe8rlI=",0)</f>
        <v>#REF!</v>
      </c>
      <c r="CF309" t="e">
        <f>IF(#REF!,"AAAAABe8rlM=",0)</f>
        <v>#REF!</v>
      </c>
      <c r="CG309" t="e">
        <f>IF(#REF!,"AAAAABe8rlQ=",0)</f>
        <v>#REF!</v>
      </c>
      <c r="CH309" t="e">
        <f>IF(#REF!,"AAAAABe8rlU=",0)</f>
        <v>#REF!</v>
      </c>
      <c r="CI309" t="e">
        <f>IF(#REF!,"AAAAABe8rlY=",0)</f>
        <v>#REF!</v>
      </c>
      <c r="CJ309" t="e">
        <f>IF(#REF!,"AAAAABe8rlc=",0)</f>
        <v>#REF!</v>
      </c>
      <c r="CK309" t="e">
        <f>IF(#REF!,"AAAAABe8rlg=",0)</f>
        <v>#REF!</v>
      </c>
      <c r="CL309" t="e">
        <f>IF(#REF!,"AAAAABe8rlk=",0)</f>
        <v>#REF!</v>
      </c>
      <c r="CM309" t="e">
        <f>IF(#REF!,"AAAAABe8rlo=",0)</f>
        <v>#REF!</v>
      </c>
      <c r="CN309" t="e">
        <f>IF(#REF!,"AAAAABe8rls=",0)</f>
        <v>#REF!</v>
      </c>
      <c r="CO309" t="e">
        <f>IF(#REF!,"AAAAABe8rlw=",0)</f>
        <v>#REF!</v>
      </c>
      <c r="CP309" t="e">
        <f>IF(#REF!,"AAAAABe8rl0=",0)</f>
        <v>#REF!</v>
      </c>
      <c r="CQ309" t="e">
        <f>IF(#REF!,"AAAAABe8rl4=",0)</f>
        <v>#REF!</v>
      </c>
      <c r="CR309" t="e">
        <f>IF(#REF!,"AAAAABe8rl8=",0)</f>
        <v>#REF!</v>
      </c>
      <c r="CS309" t="e">
        <f>IF(#REF!,"AAAAABe8rmA=",0)</f>
        <v>#REF!</v>
      </c>
      <c r="CT309" t="e">
        <f>IF(#REF!,"AAAAABe8rmE=",0)</f>
        <v>#REF!</v>
      </c>
      <c r="CU309" t="e">
        <f>IF(#REF!,"AAAAABe8rmI=",0)</f>
        <v>#REF!</v>
      </c>
      <c r="CV309" t="e">
        <f>IF(#REF!,"AAAAABe8rmM=",0)</f>
        <v>#REF!</v>
      </c>
      <c r="CW309" t="e">
        <f>IF(#REF!,"AAAAABe8rmQ=",0)</f>
        <v>#REF!</v>
      </c>
      <c r="CX309" t="e">
        <f>IF(#REF!,"AAAAABe8rmU=",0)</f>
        <v>#REF!</v>
      </c>
      <c r="CY309" t="e">
        <f>IF(#REF!,"AAAAABe8rmY=",0)</f>
        <v>#REF!</v>
      </c>
      <c r="CZ309" t="e">
        <f>IF(#REF!,"AAAAABe8rmc=",0)</f>
        <v>#REF!</v>
      </c>
      <c r="DA309" t="e">
        <f>IF(#REF!,"AAAAABe8rmg=",0)</f>
        <v>#REF!</v>
      </c>
      <c r="DB309" t="e">
        <f>IF(#REF!,"AAAAABe8rmk=",0)</f>
        <v>#REF!</v>
      </c>
      <c r="DC309" t="e">
        <f>IF(#REF!,"AAAAABe8rmo=",0)</f>
        <v>#REF!</v>
      </c>
      <c r="DD309" t="e">
        <f>IF(#REF!,"AAAAABe8rms=",0)</f>
        <v>#REF!</v>
      </c>
      <c r="DE309" t="e">
        <f>IF(#REF!,"AAAAABe8rmw=",0)</f>
        <v>#REF!</v>
      </c>
      <c r="DF309" t="e">
        <f>IF(#REF!,"AAAAABe8rm0=",0)</f>
        <v>#REF!</v>
      </c>
      <c r="DG309" t="e">
        <f>IF(#REF!,"AAAAABe8rm4=",0)</f>
        <v>#REF!</v>
      </c>
      <c r="DH309" t="e">
        <f>IF(#REF!,"AAAAABe8rm8=",0)</f>
        <v>#REF!</v>
      </c>
      <c r="DI309" t="e">
        <f>IF(#REF!,"AAAAABe8rnA=",0)</f>
        <v>#REF!</v>
      </c>
      <c r="DJ309" t="e">
        <f>IF(#REF!,"AAAAABe8rnE=",0)</f>
        <v>#REF!</v>
      </c>
      <c r="DK309" t="e">
        <f>IF(#REF!,"AAAAABe8rnI=",0)</f>
        <v>#REF!</v>
      </c>
      <c r="DL309" t="e">
        <f>IF(#REF!,"AAAAABe8rnM=",0)</f>
        <v>#REF!</v>
      </c>
      <c r="DM309" t="e">
        <f>IF(#REF!,"AAAAABe8rnQ=",0)</f>
        <v>#REF!</v>
      </c>
      <c r="DN309" t="e">
        <f>IF(#REF!,"AAAAABe8rnU=",0)</f>
        <v>#REF!</v>
      </c>
      <c r="DO309" t="e">
        <f>IF(#REF!,"AAAAABe8rnY=",0)</f>
        <v>#REF!</v>
      </c>
      <c r="DP309" t="e">
        <f>IF(#REF!,"AAAAABe8rnc=",0)</f>
        <v>#REF!</v>
      </c>
      <c r="DQ309" t="e">
        <f>IF(#REF!,"AAAAABe8rng=",0)</f>
        <v>#REF!</v>
      </c>
      <c r="DR309" t="e">
        <f>IF(#REF!,"AAAAABe8rnk=",0)</f>
        <v>#REF!</v>
      </c>
      <c r="DS309" t="e">
        <f>IF(#REF!,"AAAAABe8rno=",0)</f>
        <v>#REF!</v>
      </c>
      <c r="DT309" t="e">
        <f>IF(#REF!,"AAAAABe8rns=",0)</f>
        <v>#REF!</v>
      </c>
      <c r="DU309" t="e">
        <f>IF(#REF!,"AAAAABe8rnw=",0)</f>
        <v>#REF!</v>
      </c>
      <c r="DV309" t="e">
        <f>IF(#REF!,"AAAAABe8rn0=",0)</f>
        <v>#REF!</v>
      </c>
      <c r="DW309" t="e">
        <f>IF(#REF!,"AAAAABe8rn4=",0)</f>
        <v>#REF!</v>
      </c>
      <c r="DX309" t="e">
        <f>IF(#REF!,"AAAAABe8rn8=",0)</f>
        <v>#REF!</v>
      </c>
      <c r="DY309" t="e">
        <f>IF(#REF!,"AAAAABe8roA=",0)</f>
        <v>#REF!</v>
      </c>
      <c r="DZ309" t="e">
        <f>IF(#REF!,"AAAAABe8roE=",0)</f>
        <v>#REF!</v>
      </c>
      <c r="EA309" t="e">
        <f>IF(#REF!,"AAAAABe8roI=",0)</f>
        <v>#REF!</v>
      </c>
      <c r="EB309" t="e">
        <f>IF(#REF!,"AAAAABe8roM=",0)</f>
        <v>#REF!</v>
      </c>
      <c r="EC309" t="e">
        <f>IF(#REF!,"AAAAABe8roQ=",0)</f>
        <v>#REF!</v>
      </c>
      <c r="ED309" t="e">
        <f>IF(#REF!,"AAAAABe8roU=",0)</f>
        <v>#REF!</v>
      </c>
      <c r="EE309" t="e">
        <f>IF(#REF!,"AAAAABe8roY=",0)</f>
        <v>#REF!</v>
      </c>
      <c r="EF309" t="e">
        <f>IF(#REF!,"AAAAABe8roc=",0)</f>
        <v>#REF!</v>
      </c>
      <c r="EG309" t="e">
        <f>IF(#REF!,"AAAAABe8rog=",0)</f>
        <v>#REF!</v>
      </c>
      <c r="EH309" t="e">
        <f>IF(#REF!,"AAAAABe8rok=",0)</f>
        <v>#REF!</v>
      </c>
      <c r="EI309" t="e">
        <f>IF(#REF!,"AAAAABe8roo=",0)</f>
        <v>#REF!</v>
      </c>
      <c r="EJ309" t="e">
        <f>IF(#REF!,"AAAAABe8ros=",0)</f>
        <v>#REF!</v>
      </c>
      <c r="EK309" t="e">
        <f>IF(#REF!,"AAAAABe8row=",0)</f>
        <v>#REF!</v>
      </c>
      <c r="EL309" t="e">
        <f>IF(#REF!,"AAAAABe8ro0=",0)</f>
        <v>#REF!</v>
      </c>
      <c r="EM309" t="e">
        <f>IF(#REF!,"AAAAABe8ro4=",0)</f>
        <v>#REF!</v>
      </c>
      <c r="EN309" t="e">
        <f>IF(#REF!,"AAAAABe8ro8=",0)</f>
        <v>#REF!</v>
      </c>
      <c r="EO309" t="e">
        <f>IF(#REF!,"AAAAABe8rpA=",0)</f>
        <v>#REF!</v>
      </c>
      <c r="EP309" t="e">
        <f>IF(#REF!,"AAAAABe8rpE=",0)</f>
        <v>#REF!</v>
      </c>
      <c r="EQ309" t="e">
        <f>IF(#REF!,"AAAAABe8rpI=",0)</f>
        <v>#REF!</v>
      </c>
      <c r="ER309" t="e">
        <f>IF(#REF!,"AAAAABe8rpM=",0)</f>
        <v>#REF!</v>
      </c>
      <c r="ES309" t="e">
        <f>IF(#REF!,"AAAAABe8rpQ=",0)</f>
        <v>#REF!</v>
      </c>
      <c r="ET309" t="e">
        <f>IF(#REF!,"AAAAABe8rpU=",0)</f>
        <v>#REF!</v>
      </c>
      <c r="EU309" t="e">
        <f>IF(#REF!,"AAAAABe8rpY=",0)</f>
        <v>#REF!</v>
      </c>
      <c r="EV309" t="e">
        <f>IF(#REF!,"AAAAABe8rpc=",0)</f>
        <v>#REF!</v>
      </c>
      <c r="EW309" t="e">
        <f>IF(#REF!,"AAAAABe8rpg=",0)</f>
        <v>#REF!</v>
      </c>
      <c r="EX309" t="e">
        <f>IF(#REF!,"AAAAABe8rpk=",0)</f>
        <v>#REF!</v>
      </c>
      <c r="EY309" t="e">
        <f>IF(#REF!,"AAAAABe8rpo=",0)</f>
        <v>#REF!</v>
      </c>
      <c r="EZ309" t="e">
        <f>IF(#REF!,"AAAAABe8rps=",0)</f>
        <v>#REF!</v>
      </c>
      <c r="FA309" t="e">
        <f>IF(#REF!,"AAAAABe8rpw=",0)</f>
        <v>#REF!</v>
      </c>
      <c r="FB309" t="e">
        <f>IF(#REF!,"AAAAABe8rp0=",0)</f>
        <v>#REF!</v>
      </c>
      <c r="FC309" t="e">
        <f>IF(#REF!,"AAAAABe8rp4=",0)</f>
        <v>#REF!</v>
      </c>
      <c r="FD309" t="e">
        <f>IF(#REF!,"AAAAABe8rp8=",0)</f>
        <v>#REF!</v>
      </c>
      <c r="FE309" t="e">
        <f>IF(#REF!,"AAAAABe8rqA=",0)</f>
        <v>#REF!</v>
      </c>
      <c r="FF309" t="e">
        <f>IF(#REF!,"AAAAABe8rqE=",0)</f>
        <v>#REF!</v>
      </c>
      <c r="FG309" t="e">
        <f>IF(#REF!,"AAAAABe8rqI=",0)</f>
        <v>#REF!</v>
      </c>
      <c r="FH309" t="e">
        <f>IF(#REF!,"AAAAABe8rqM=",0)</f>
        <v>#REF!</v>
      </c>
      <c r="FI309" t="e">
        <f>IF(#REF!,"AAAAABe8rqQ=",0)</f>
        <v>#REF!</v>
      </c>
      <c r="FJ309" t="e">
        <f>IF(#REF!,"AAAAABe8rqU=",0)</f>
        <v>#REF!</v>
      </c>
      <c r="FK309" t="e">
        <f>IF(#REF!,"AAAAABe8rqY=",0)</f>
        <v>#REF!</v>
      </c>
      <c r="FL309" t="e">
        <f>IF(#REF!,"AAAAABe8rqc=",0)</f>
        <v>#REF!</v>
      </c>
      <c r="FM309" t="e">
        <f>IF(#REF!,"AAAAABe8rqg=",0)</f>
        <v>#REF!</v>
      </c>
      <c r="FN309" t="e">
        <f>IF(#REF!,"AAAAABe8rqk=",0)</f>
        <v>#REF!</v>
      </c>
      <c r="FO309" t="e">
        <f>IF(#REF!,"AAAAABe8rqo=",0)</f>
        <v>#REF!</v>
      </c>
      <c r="FP309" t="e">
        <f>IF(#REF!,"AAAAABe8rqs=",0)</f>
        <v>#REF!</v>
      </c>
      <c r="FQ309" t="e">
        <f>IF(#REF!,"AAAAABe8rqw=",0)</f>
        <v>#REF!</v>
      </c>
      <c r="FR309" t="e">
        <f>IF(#REF!,"AAAAABe8rq0=",0)</f>
        <v>#REF!</v>
      </c>
      <c r="FS309" t="e">
        <f>IF(#REF!,"AAAAABe8rq4=",0)</f>
        <v>#REF!</v>
      </c>
      <c r="FT309" t="e">
        <f>IF(#REF!,"AAAAABe8rq8=",0)</f>
        <v>#REF!</v>
      </c>
      <c r="FU309" t="e">
        <f>IF(#REF!,"AAAAABe8rrA=",0)</f>
        <v>#REF!</v>
      </c>
      <c r="FV309" t="e">
        <f>IF(#REF!,"AAAAABe8rrE=",0)</f>
        <v>#REF!</v>
      </c>
      <c r="FW309" t="e">
        <f>IF(#REF!,"AAAAABe8rrI=",0)</f>
        <v>#REF!</v>
      </c>
      <c r="FX309" t="e">
        <f>IF(#REF!,"AAAAABe8rrM=",0)</f>
        <v>#REF!</v>
      </c>
      <c r="FY309" t="e">
        <f>IF(#REF!,"AAAAABe8rrQ=",0)</f>
        <v>#REF!</v>
      </c>
      <c r="FZ309" t="e">
        <f>IF(#REF!,"AAAAABe8rrU=",0)</f>
        <v>#REF!</v>
      </c>
      <c r="GA309" t="e">
        <f>IF(#REF!,"AAAAABe8rrY=",0)</f>
        <v>#REF!</v>
      </c>
      <c r="GB309" t="e">
        <f>IF(#REF!,"AAAAABe8rrc=",0)</f>
        <v>#REF!</v>
      </c>
      <c r="GC309" t="e">
        <f>IF(#REF!,"AAAAABe8rrg=",0)</f>
        <v>#REF!</v>
      </c>
      <c r="GD309" t="e">
        <f>IF(#REF!,"AAAAABe8rrk=",0)</f>
        <v>#REF!</v>
      </c>
      <c r="GE309" t="e">
        <f>IF(#REF!,"AAAAABe8rro=",0)</f>
        <v>#REF!</v>
      </c>
      <c r="GF309" t="e">
        <f>IF(#REF!,"AAAAABe8rrs=",0)</f>
        <v>#REF!</v>
      </c>
      <c r="GG309" t="e">
        <f>IF(#REF!,"AAAAABe8rrw=",0)</f>
        <v>#REF!</v>
      </c>
      <c r="GH309" t="e">
        <f>IF(#REF!,"AAAAABe8rr0=",0)</f>
        <v>#REF!</v>
      </c>
      <c r="GI309" t="e">
        <f>IF(#REF!,"AAAAABe8rr4=",0)</f>
        <v>#REF!</v>
      </c>
      <c r="GJ309" t="e">
        <f>IF(#REF!,"AAAAABe8rr8=",0)</f>
        <v>#REF!</v>
      </c>
      <c r="GK309" t="e">
        <f>IF(#REF!,"AAAAABe8rsA=",0)</f>
        <v>#REF!</v>
      </c>
      <c r="GL309" t="e">
        <f>IF(#REF!,"AAAAABe8rsE=",0)</f>
        <v>#REF!</v>
      </c>
      <c r="GM309" t="e">
        <f>IF(#REF!,"AAAAABe8rsI=",0)</f>
        <v>#REF!</v>
      </c>
      <c r="GN309" t="e">
        <f>IF(#REF!,"AAAAABe8rsM=",0)</f>
        <v>#REF!</v>
      </c>
      <c r="GO309" t="e">
        <f>IF(#REF!,"AAAAABe8rsQ=",0)</f>
        <v>#REF!</v>
      </c>
      <c r="GP309" t="e">
        <f>IF(#REF!,"AAAAABe8rsU=",0)</f>
        <v>#REF!</v>
      </c>
      <c r="GQ309" t="e">
        <f>IF(#REF!,"AAAAABe8rsY=",0)</f>
        <v>#REF!</v>
      </c>
      <c r="GR309" t="e">
        <f>IF(#REF!,"AAAAABe8rsc=",0)</f>
        <v>#REF!</v>
      </c>
      <c r="GS309" t="e">
        <f>IF(#REF!,"AAAAABe8rsg=",0)</f>
        <v>#REF!</v>
      </c>
      <c r="GT309" t="e">
        <f>IF(#REF!,"AAAAABe8rsk=",0)</f>
        <v>#REF!</v>
      </c>
      <c r="GU309" t="e">
        <f>IF(#REF!,"AAAAABe8rso=",0)</f>
        <v>#REF!</v>
      </c>
      <c r="GV309" t="e">
        <f>IF(#REF!,"AAAAABe8rss=",0)</f>
        <v>#REF!</v>
      </c>
      <c r="GW309" t="e">
        <f>IF(#REF!,"AAAAABe8rsw=",0)</f>
        <v>#REF!</v>
      </c>
      <c r="GX309" t="e">
        <f>IF(#REF!,"AAAAABe8rs0=",0)</f>
        <v>#REF!</v>
      </c>
      <c r="GY309" t="e">
        <f>IF(#REF!,"AAAAABe8rs4=",0)</f>
        <v>#REF!</v>
      </c>
      <c r="GZ309" t="e">
        <f>IF(#REF!,"AAAAABe8rs8=",0)</f>
        <v>#REF!</v>
      </c>
      <c r="HA309" t="e">
        <f>IF(#REF!,"AAAAABe8rtA=",0)</f>
        <v>#REF!</v>
      </c>
      <c r="HB309" t="e">
        <f>IF(#REF!,"AAAAABe8rtE=",0)</f>
        <v>#REF!</v>
      </c>
      <c r="HC309" t="e">
        <f>IF(#REF!,"AAAAABe8rtI=",0)</f>
        <v>#REF!</v>
      </c>
      <c r="HD309" t="e">
        <f>IF(#REF!,"AAAAABe8rtM=",0)</f>
        <v>#REF!</v>
      </c>
      <c r="HE309" t="e">
        <f>IF(#REF!,"AAAAABe8rtQ=",0)</f>
        <v>#REF!</v>
      </c>
      <c r="HF309" t="e">
        <f>IF(#REF!,"AAAAABe8rtU=",0)</f>
        <v>#REF!</v>
      </c>
      <c r="HG309" t="e">
        <f>IF(#REF!,"AAAAABe8rtY=",0)</f>
        <v>#REF!</v>
      </c>
      <c r="HH309" t="e">
        <f>IF(#REF!,"AAAAABe8rtc=",0)</f>
        <v>#REF!</v>
      </c>
      <c r="HI309" t="e">
        <f>IF(#REF!,"AAAAABe8rtg=",0)</f>
        <v>#REF!</v>
      </c>
      <c r="HJ309" t="e">
        <f>IF(#REF!,"AAAAABe8rtk=",0)</f>
        <v>#REF!</v>
      </c>
      <c r="HK309" t="e">
        <f>IF(#REF!,"AAAAABe8rto=",0)</f>
        <v>#REF!</v>
      </c>
      <c r="HL309" t="e">
        <f>IF(#REF!,"AAAAABe8rts=",0)</f>
        <v>#REF!</v>
      </c>
      <c r="HM309" t="e">
        <f>IF(#REF!,"AAAAABe8rtw=",0)</f>
        <v>#REF!</v>
      </c>
      <c r="HN309" t="e">
        <f>IF(#REF!,"AAAAABe8rt0=",0)</f>
        <v>#REF!</v>
      </c>
      <c r="HO309" t="e">
        <f>IF(#REF!,"AAAAABe8rt4=",0)</f>
        <v>#REF!</v>
      </c>
      <c r="HP309" t="e">
        <f>IF(#REF!,"AAAAABe8rt8=",0)</f>
        <v>#REF!</v>
      </c>
      <c r="HQ309" t="e">
        <f>IF(#REF!,"AAAAABe8ruA=",0)</f>
        <v>#REF!</v>
      </c>
      <c r="HR309" t="e">
        <f>IF(#REF!,"AAAAABe8ruE=",0)</f>
        <v>#REF!</v>
      </c>
      <c r="HS309" t="e">
        <f>IF(#REF!,"AAAAABe8ruI=",0)</f>
        <v>#REF!</v>
      </c>
      <c r="HT309" t="e">
        <f>IF(#REF!,"AAAAABe8ruM=",0)</f>
        <v>#REF!</v>
      </c>
      <c r="HU309" t="e">
        <f>IF(#REF!,"AAAAABe8ruQ=",0)</f>
        <v>#REF!</v>
      </c>
      <c r="HV309" t="e">
        <f>IF(#REF!,"AAAAABe8ruU=",0)</f>
        <v>#REF!</v>
      </c>
      <c r="HW309" t="e">
        <f>IF(#REF!,"AAAAABe8ruY=",0)</f>
        <v>#REF!</v>
      </c>
      <c r="HX309" t="e">
        <f>IF(#REF!,"AAAAABe8ruc=",0)</f>
        <v>#REF!</v>
      </c>
      <c r="HY309" t="e">
        <f>IF(#REF!,"AAAAABe8rug=",0)</f>
        <v>#REF!</v>
      </c>
      <c r="HZ309" t="e">
        <f>IF(#REF!,"AAAAABe8ruk=",0)</f>
        <v>#REF!</v>
      </c>
      <c r="IA309" t="e">
        <f>IF(#REF!,"AAAAABe8ruo=",0)</f>
        <v>#REF!</v>
      </c>
      <c r="IB309" t="e">
        <f>IF(#REF!,"AAAAABe8rus=",0)</f>
        <v>#REF!</v>
      </c>
      <c r="IC309" t="e">
        <f>IF(#REF!,"AAAAABe8ruw=",0)</f>
        <v>#REF!</v>
      </c>
      <c r="ID309" t="e">
        <f>IF(#REF!,"AAAAABe8ru0=",0)</f>
        <v>#REF!</v>
      </c>
      <c r="IE309" t="e">
        <f>IF(#REF!,"AAAAABe8ru4=",0)</f>
        <v>#REF!</v>
      </c>
      <c r="IF309" t="e">
        <f>IF(#REF!,"AAAAABe8ru8=",0)</f>
        <v>#REF!</v>
      </c>
      <c r="IG309" t="e">
        <f>IF(#REF!,"AAAAABe8rvA=",0)</f>
        <v>#REF!</v>
      </c>
      <c r="IH309" t="e">
        <f>IF(#REF!,"AAAAABe8rvE=",0)</f>
        <v>#REF!</v>
      </c>
      <c r="II309" t="e">
        <f>IF(#REF!,"AAAAABe8rvI=",0)</f>
        <v>#REF!</v>
      </c>
      <c r="IJ309" t="e">
        <f>IF(#REF!,"AAAAABe8rvM=",0)</f>
        <v>#REF!</v>
      </c>
      <c r="IK309" t="e">
        <f>IF(#REF!,"AAAAABe8rvQ=",0)</f>
        <v>#REF!</v>
      </c>
      <c r="IL309" t="e">
        <f>IF(#REF!,"AAAAABe8rvU=",0)</f>
        <v>#REF!</v>
      </c>
      <c r="IM309" t="e">
        <f>IF(#REF!,"AAAAABe8rvY=",0)</f>
        <v>#REF!</v>
      </c>
      <c r="IN309" t="e">
        <f>IF(#REF!,"AAAAABe8rvc=",0)</f>
        <v>#REF!</v>
      </c>
      <c r="IO309" t="e">
        <f>IF(#REF!,"AAAAABe8rvg=",0)</f>
        <v>#REF!</v>
      </c>
      <c r="IP309" t="e">
        <f>IF(#REF!,"AAAAABe8rvk=",0)</f>
        <v>#REF!</v>
      </c>
      <c r="IQ309" t="e">
        <f>IF(#REF!,"AAAAABe8rvo=",0)</f>
        <v>#REF!</v>
      </c>
      <c r="IR309" t="e">
        <f>IF(#REF!,"AAAAABe8rvs=",0)</f>
        <v>#REF!</v>
      </c>
      <c r="IS309" t="e">
        <f>IF(#REF!,"AAAAABe8rvw=",0)</f>
        <v>#REF!</v>
      </c>
      <c r="IT309" t="e">
        <f>IF(#REF!,"AAAAABe8rv0=",0)</f>
        <v>#REF!</v>
      </c>
      <c r="IU309" t="e">
        <f>IF(#REF!,"AAAAABe8rv4=",0)</f>
        <v>#REF!</v>
      </c>
      <c r="IV309" t="e">
        <f>IF(#REF!,"AAAAABe8rv8=",0)</f>
        <v>#REF!</v>
      </c>
    </row>
    <row r="310" spans="1:256">
      <c r="A310" t="e">
        <f>IF(#REF!,"AAAAAHPZNwA=",0)</f>
        <v>#REF!</v>
      </c>
      <c r="B310" t="e">
        <f>IF(#REF!,"AAAAAHPZNwE=",0)</f>
        <v>#REF!</v>
      </c>
      <c r="C310" t="e">
        <f>IF(#REF!,"AAAAAHPZNwI=",0)</f>
        <v>#REF!</v>
      </c>
      <c r="D310" t="e">
        <f>IF(#REF!,"AAAAAHPZNwM=",0)</f>
        <v>#REF!</v>
      </c>
      <c r="E310" t="e">
        <f>IF(#REF!,"AAAAAHPZNwQ=",0)</f>
        <v>#REF!</v>
      </c>
      <c r="F310" t="e">
        <f>IF(#REF!,"AAAAAHPZNwU=",0)</f>
        <v>#REF!</v>
      </c>
      <c r="G310" t="e">
        <f>IF(#REF!,"AAAAAHPZNwY=",0)</f>
        <v>#REF!</v>
      </c>
      <c r="H310" t="e">
        <f>IF(#REF!,"AAAAAHPZNwc=",0)</f>
        <v>#REF!</v>
      </c>
      <c r="I310" t="e">
        <f>IF(#REF!,"AAAAAHPZNwg=",0)</f>
        <v>#REF!</v>
      </c>
      <c r="J310" t="e">
        <f>IF(#REF!,"AAAAAHPZNwk=",0)</f>
        <v>#REF!</v>
      </c>
      <c r="K310" t="e">
        <f>IF(#REF!,"AAAAAHPZNwo=",0)</f>
        <v>#REF!</v>
      </c>
      <c r="L310" t="e">
        <f>IF(#REF!,"AAAAAHPZNws=",0)</f>
        <v>#REF!</v>
      </c>
      <c r="M310" t="e">
        <f>IF(#REF!,"AAAAAHPZNww=",0)</f>
        <v>#REF!</v>
      </c>
      <c r="N310" t="e">
        <f>IF(#REF!,"AAAAAHPZNw0=",0)</f>
        <v>#REF!</v>
      </c>
      <c r="O310" t="e">
        <f>IF(#REF!,"AAAAAHPZNw4=",0)</f>
        <v>#REF!</v>
      </c>
      <c r="P310" t="e">
        <f>IF(#REF!,"AAAAAHPZNw8=",0)</f>
        <v>#REF!</v>
      </c>
      <c r="Q310" t="e">
        <f>IF(#REF!,"AAAAAHPZNxA=",0)</f>
        <v>#REF!</v>
      </c>
      <c r="R310" t="e">
        <f>IF(#REF!,"AAAAAHPZNxE=",0)</f>
        <v>#REF!</v>
      </c>
      <c r="S310" t="e">
        <f>IF(#REF!,"AAAAAHPZNxI=",0)</f>
        <v>#REF!</v>
      </c>
      <c r="T310" t="e">
        <f>IF(#REF!,"AAAAAHPZNxM=",0)</f>
        <v>#REF!</v>
      </c>
      <c r="U310" t="e">
        <f>IF(#REF!,"AAAAAHPZNxQ=",0)</f>
        <v>#REF!</v>
      </c>
      <c r="V310" t="e">
        <f>IF(#REF!,"AAAAAHPZNxU=",0)</f>
        <v>#REF!</v>
      </c>
      <c r="W310" t="e">
        <f>IF(#REF!,"AAAAAHPZNxY=",0)</f>
        <v>#REF!</v>
      </c>
      <c r="X310" t="e">
        <f>IF(#REF!,"AAAAAHPZNxc=",0)</f>
        <v>#REF!</v>
      </c>
      <c r="Y310" t="e">
        <f>IF(#REF!,"AAAAAHPZNxg=",0)</f>
        <v>#REF!</v>
      </c>
      <c r="Z310" t="e">
        <f>IF(#REF!,"AAAAAHPZNxk=",0)</f>
        <v>#REF!</v>
      </c>
      <c r="AA310" t="e">
        <f>IF(#REF!,"AAAAAHPZNxo=",0)</f>
        <v>#REF!</v>
      </c>
      <c r="AB310" t="e">
        <f>IF(#REF!,"AAAAAHPZNxs=",0)</f>
        <v>#REF!</v>
      </c>
      <c r="AC310" t="e">
        <f>IF(#REF!,"AAAAAHPZNxw=",0)</f>
        <v>#REF!</v>
      </c>
      <c r="AD310" t="e">
        <f>IF(#REF!,"AAAAAHPZNx0=",0)</f>
        <v>#REF!</v>
      </c>
      <c r="AE310" t="e">
        <f>IF(#REF!,"AAAAAHPZNx4=",0)</f>
        <v>#REF!</v>
      </c>
      <c r="AF310" t="e">
        <f>IF(#REF!,"AAAAAHPZNx8=",0)</f>
        <v>#REF!</v>
      </c>
      <c r="AG310" t="e">
        <f>IF(#REF!,"AAAAAHPZNyA=",0)</f>
        <v>#REF!</v>
      </c>
      <c r="AH310" t="e">
        <f>IF(#REF!,"AAAAAHPZNyE=",0)</f>
        <v>#REF!</v>
      </c>
      <c r="AI310" t="e">
        <f>IF(#REF!,"AAAAAHPZNyI=",0)</f>
        <v>#REF!</v>
      </c>
      <c r="AJ310" t="e">
        <f>IF(#REF!,"AAAAAHPZNyM=",0)</f>
        <v>#REF!</v>
      </c>
      <c r="AK310" t="e">
        <f>IF(#REF!,"AAAAAHPZNyQ=",0)</f>
        <v>#REF!</v>
      </c>
      <c r="AL310" t="e">
        <f>IF(#REF!,"AAAAAHPZNyU=",0)</f>
        <v>#REF!</v>
      </c>
      <c r="AM310" t="e">
        <f>IF(#REF!,"AAAAAHPZNyY=",0)</f>
        <v>#REF!</v>
      </c>
      <c r="AN310" t="e">
        <f>IF(#REF!,"AAAAAHPZNyc=",0)</f>
        <v>#REF!</v>
      </c>
      <c r="AO310" t="e">
        <f>IF(#REF!,"AAAAAHPZNyg=",0)</f>
        <v>#REF!</v>
      </c>
      <c r="AP310" t="e">
        <f>IF(#REF!,"AAAAAHPZNyk=",0)</f>
        <v>#REF!</v>
      </c>
      <c r="AQ310" t="e">
        <f>IF(#REF!,"AAAAAHPZNyo=",0)</f>
        <v>#REF!</v>
      </c>
      <c r="AR310" t="e">
        <f>IF(#REF!,"AAAAAHPZNys=",0)</f>
        <v>#REF!</v>
      </c>
      <c r="AS310" t="e">
        <f>IF(#REF!,"AAAAAHPZNyw=",0)</f>
        <v>#REF!</v>
      </c>
      <c r="AT310" t="e">
        <f>IF(#REF!,"AAAAAHPZNy0=",0)</f>
        <v>#REF!</v>
      </c>
      <c r="AU310" t="e">
        <f>IF(#REF!,"AAAAAHPZNy4=",0)</f>
        <v>#REF!</v>
      </c>
      <c r="AV310" t="e">
        <f>IF(#REF!,"AAAAAHPZNy8=",0)</f>
        <v>#REF!</v>
      </c>
      <c r="AW310" t="e">
        <f>IF(#REF!,"AAAAAHPZNzA=",0)</f>
        <v>#REF!</v>
      </c>
      <c r="AX310" t="e">
        <f>IF(#REF!,"AAAAAHPZNzE=",0)</f>
        <v>#REF!</v>
      </c>
      <c r="AY310" t="e">
        <f>IF(#REF!,"AAAAAHPZNzI=",0)</f>
        <v>#REF!</v>
      </c>
      <c r="AZ310" t="e">
        <f>IF(#REF!,"AAAAAHPZNzM=",0)</f>
        <v>#REF!</v>
      </c>
      <c r="BA310" t="e">
        <f>IF(#REF!,"AAAAAHPZNzQ=",0)</f>
        <v>#REF!</v>
      </c>
      <c r="BB310" t="e">
        <f>IF(#REF!,"AAAAAHPZNzU=",0)</f>
        <v>#REF!</v>
      </c>
      <c r="BC310" t="e">
        <f>IF(#REF!,"AAAAAHPZNzY=",0)</f>
        <v>#REF!</v>
      </c>
      <c r="BD310" t="e">
        <f>IF(#REF!,"AAAAAHPZNzc=",0)</f>
        <v>#REF!</v>
      </c>
      <c r="BE310" t="e">
        <f>IF(#REF!,"AAAAAHPZNzg=",0)</f>
        <v>#REF!</v>
      </c>
      <c r="BF310" t="e">
        <f>IF(#REF!,"AAAAAHPZNzk=",0)</f>
        <v>#REF!</v>
      </c>
      <c r="BG310" t="e">
        <f>IF(#REF!,"AAAAAHPZNzo=",0)</f>
        <v>#REF!</v>
      </c>
      <c r="BH310" t="e">
        <f>IF(#REF!,"AAAAAHPZNzs=",0)</f>
        <v>#REF!</v>
      </c>
      <c r="BI310" t="e">
        <f>IF(#REF!,"AAAAAHPZNzw=",0)</f>
        <v>#REF!</v>
      </c>
      <c r="BJ310" t="e">
        <f>IF(#REF!,"AAAAAHPZNz0=",0)</f>
        <v>#REF!</v>
      </c>
      <c r="BK310" t="e">
        <f>IF(#REF!,"AAAAAHPZNz4=",0)</f>
        <v>#REF!</v>
      </c>
      <c r="BL310" t="e">
        <f>IF(#REF!,"AAAAAHPZNz8=",0)</f>
        <v>#REF!</v>
      </c>
      <c r="BM310" t="e">
        <f>IF(#REF!,"AAAAAHPZN0A=",0)</f>
        <v>#REF!</v>
      </c>
      <c r="BN310" t="e">
        <f>IF(#REF!,"AAAAAHPZN0E=",0)</f>
        <v>#REF!</v>
      </c>
      <c r="BO310" t="e">
        <f>IF(#REF!,"AAAAAHPZN0I=",0)</f>
        <v>#REF!</v>
      </c>
      <c r="BP310" t="e">
        <f>IF(#REF!,"AAAAAHPZN0M=",0)</f>
        <v>#REF!</v>
      </c>
      <c r="BQ310" t="e">
        <f>IF(#REF!,"AAAAAHPZN0Q=",0)</f>
        <v>#REF!</v>
      </c>
      <c r="BR310" t="e">
        <f>IF(#REF!,"AAAAAHPZN0U=",0)</f>
        <v>#REF!</v>
      </c>
      <c r="BS310" t="e">
        <f>IF(#REF!,"AAAAAHPZN0Y=",0)</f>
        <v>#REF!</v>
      </c>
      <c r="BT310" t="e">
        <f>IF(#REF!,"AAAAAHPZN0c=",0)</f>
        <v>#REF!</v>
      </c>
      <c r="BU310" t="e">
        <f>IF(#REF!,"AAAAAHPZN0g=",0)</f>
        <v>#REF!</v>
      </c>
      <c r="BV310" t="e">
        <f>IF(#REF!,"AAAAAHPZN0k=",0)</f>
        <v>#REF!</v>
      </c>
      <c r="BW310" t="e">
        <f>IF(#REF!,"AAAAAHPZN0o=",0)</f>
        <v>#REF!</v>
      </c>
      <c r="BX310" t="e">
        <f>IF(#REF!,"AAAAAHPZN0s=",0)</f>
        <v>#REF!</v>
      </c>
      <c r="BY310" t="e">
        <f>IF(#REF!,"AAAAAHPZN0w=",0)</f>
        <v>#REF!</v>
      </c>
      <c r="BZ310" t="e">
        <f>IF(#REF!,"AAAAAHPZN00=",0)</f>
        <v>#REF!</v>
      </c>
      <c r="CA310" t="e">
        <f>IF(#REF!,"AAAAAHPZN04=",0)</f>
        <v>#REF!</v>
      </c>
      <c r="CB310" t="e">
        <f>IF(#REF!,"AAAAAHPZN08=",0)</f>
        <v>#REF!</v>
      </c>
      <c r="CC310" t="e">
        <f>IF(#REF!,"AAAAAHPZN1A=",0)</f>
        <v>#REF!</v>
      </c>
      <c r="CD310" t="e">
        <f>IF(#REF!,"AAAAAHPZN1E=",0)</f>
        <v>#REF!</v>
      </c>
      <c r="CE310" t="e">
        <f>IF(#REF!,"AAAAAHPZN1I=",0)</f>
        <v>#REF!</v>
      </c>
      <c r="CF310" t="e">
        <f>IF(#REF!,"AAAAAHPZN1M=",0)</f>
        <v>#REF!</v>
      </c>
      <c r="CG310" t="e">
        <f>IF(#REF!,"AAAAAHPZN1Q=",0)</f>
        <v>#REF!</v>
      </c>
      <c r="CH310" t="e">
        <f>IF(#REF!,"AAAAAHPZN1U=",0)</f>
        <v>#REF!</v>
      </c>
      <c r="CI310" t="e">
        <f>IF(#REF!,"AAAAAHPZN1Y=",0)</f>
        <v>#REF!</v>
      </c>
      <c r="CJ310" t="e">
        <f>IF(#REF!,"AAAAAHPZN1c=",0)</f>
        <v>#REF!</v>
      </c>
      <c r="CK310" t="e">
        <f>IF(#REF!,"AAAAAHPZN1g=",0)</f>
        <v>#REF!</v>
      </c>
      <c r="CL310" t="e">
        <f>IF(#REF!,"AAAAAHPZN1k=",0)</f>
        <v>#REF!</v>
      </c>
      <c r="CM310" t="e">
        <f>IF(#REF!,"AAAAAHPZN1o=",0)</f>
        <v>#REF!</v>
      </c>
      <c r="CN310" t="e">
        <f>IF(#REF!,"AAAAAHPZN1s=",0)</f>
        <v>#REF!</v>
      </c>
      <c r="CO310" t="e">
        <f>IF(#REF!,"AAAAAHPZN1w=",0)</f>
        <v>#REF!</v>
      </c>
      <c r="CP310" t="e">
        <f>IF(#REF!,"AAAAAHPZN10=",0)</f>
        <v>#REF!</v>
      </c>
      <c r="CQ310" t="e">
        <f>IF(#REF!,"AAAAAHPZN14=",0)</f>
        <v>#REF!</v>
      </c>
      <c r="CR310" t="e">
        <f>IF(#REF!,"AAAAAHPZN18=",0)</f>
        <v>#REF!</v>
      </c>
      <c r="CS310" t="e">
        <f>IF(#REF!,"AAAAAHPZN2A=",0)</f>
        <v>#REF!</v>
      </c>
      <c r="CT310" t="e">
        <f>IF(#REF!,"AAAAAHPZN2E=",0)</f>
        <v>#REF!</v>
      </c>
      <c r="CU310" t="e">
        <f>IF(#REF!,"AAAAAHPZN2I=",0)</f>
        <v>#REF!</v>
      </c>
      <c r="CV310" t="e">
        <f>IF(#REF!,"AAAAAHPZN2M=",0)</f>
        <v>#REF!</v>
      </c>
      <c r="CW310" t="e">
        <f>IF(#REF!,"AAAAAHPZN2Q=",0)</f>
        <v>#REF!</v>
      </c>
      <c r="CX310" t="e">
        <f>IF(#REF!,"AAAAAHPZN2U=",0)</f>
        <v>#REF!</v>
      </c>
      <c r="CY310" t="e">
        <f>IF(#REF!,"AAAAAHPZN2Y=",0)</f>
        <v>#REF!</v>
      </c>
      <c r="CZ310" t="e">
        <f>IF(#REF!,"AAAAAHPZN2c=",0)</f>
        <v>#REF!</v>
      </c>
      <c r="DA310" t="e">
        <f>IF(#REF!,"AAAAAHPZN2g=",0)</f>
        <v>#REF!</v>
      </c>
      <c r="DB310" t="e">
        <f>IF(#REF!,"AAAAAHPZN2k=",0)</f>
        <v>#REF!</v>
      </c>
      <c r="DC310" t="e">
        <f>IF(#REF!,"AAAAAHPZN2o=",0)</f>
        <v>#REF!</v>
      </c>
      <c r="DD310" t="e">
        <f>IF(#REF!,"AAAAAHPZN2s=",0)</f>
        <v>#REF!</v>
      </c>
      <c r="DE310" t="e">
        <f>IF(#REF!,"AAAAAHPZN2w=",0)</f>
        <v>#REF!</v>
      </c>
      <c r="DF310" t="e">
        <f>IF(#REF!,"AAAAAHPZN20=",0)</f>
        <v>#REF!</v>
      </c>
      <c r="DG310" t="e">
        <f>IF(#REF!,"AAAAAHPZN24=",0)</f>
        <v>#REF!</v>
      </c>
      <c r="DH310" t="e">
        <f>IF(#REF!,"AAAAAHPZN28=",0)</f>
        <v>#REF!</v>
      </c>
      <c r="DI310" t="e">
        <f>IF(#REF!,"AAAAAHPZN3A=",0)</f>
        <v>#REF!</v>
      </c>
      <c r="DJ310" t="e">
        <f>IF(#REF!,"AAAAAHPZN3E=",0)</f>
        <v>#REF!</v>
      </c>
      <c r="DK310" t="e">
        <f>IF(#REF!,"AAAAAHPZN3I=",0)</f>
        <v>#REF!</v>
      </c>
      <c r="DL310" t="e">
        <f>IF(#REF!,"AAAAAHPZN3M=",0)</f>
        <v>#REF!</v>
      </c>
      <c r="DM310" t="e">
        <f>IF(#REF!,"AAAAAHPZN3Q=",0)</f>
        <v>#REF!</v>
      </c>
      <c r="DN310" t="e">
        <f>IF(#REF!,"AAAAAHPZN3U=",0)</f>
        <v>#REF!</v>
      </c>
      <c r="DO310" t="e">
        <f>IF(#REF!,"AAAAAHPZN3Y=",0)</f>
        <v>#REF!</v>
      </c>
      <c r="DP310" t="e">
        <f>IF(#REF!,"AAAAAHPZN3c=",0)</f>
        <v>#REF!</v>
      </c>
      <c r="DQ310" t="e">
        <f>IF(#REF!,"AAAAAHPZN3g=",0)</f>
        <v>#REF!</v>
      </c>
      <c r="DR310" t="e">
        <f>IF(#REF!,"AAAAAHPZN3k=",0)</f>
        <v>#REF!</v>
      </c>
      <c r="DS310" t="e">
        <f>IF(#REF!,"AAAAAHPZN3o=",0)</f>
        <v>#REF!</v>
      </c>
      <c r="DT310" t="e">
        <f>IF(#REF!,"AAAAAHPZN3s=",0)</f>
        <v>#REF!</v>
      </c>
      <c r="DU310" t="e">
        <f>IF(#REF!,"AAAAAHPZN3w=",0)</f>
        <v>#REF!</v>
      </c>
      <c r="DV310" t="e">
        <f>IF(#REF!,"AAAAAHPZN30=",0)</f>
        <v>#REF!</v>
      </c>
      <c r="DW310" t="e">
        <f>IF(#REF!,"AAAAAHPZN34=",0)</f>
        <v>#REF!</v>
      </c>
      <c r="DX310" t="e">
        <f>IF(#REF!,"AAAAAHPZN38=",0)</f>
        <v>#REF!</v>
      </c>
      <c r="DY310" t="e">
        <f>IF(#REF!,"AAAAAHPZN4A=",0)</f>
        <v>#REF!</v>
      </c>
      <c r="DZ310" t="e">
        <f>IF(#REF!,"AAAAAHPZN4E=",0)</f>
        <v>#REF!</v>
      </c>
      <c r="EA310" t="e">
        <f>IF(#REF!,"AAAAAHPZN4I=",0)</f>
        <v>#REF!</v>
      </c>
      <c r="EB310" t="e">
        <f>IF(#REF!,"AAAAAHPZN4M=",0)</f>
        <v>#REF!</v>
      </c>
      <c r="EC310" t="e">
        <f>IF(#REF!,"AAAAAHPZN4Q=",0)</f>
        <v>#REF!</v>
      </c>
      <c r="ED310" t="e">
        <f>IF(#REF!,"AAAAAHPZN4U=",0)</f>
        <v>#REF!</v>
      </c>
      <c r="EE310" t="e">
        <f>IF(#REF!,"AAAAAHPZN4Y=",0)</f>
        <v>#REF!</v>
      </c>
      <c r="EF310" t="e">
        <f>IF(#REF!,"AAAAAHPZN4c=",0)</f>
        <v>#REF!</v>
      </c>
      <c r="EG310" t="e">
        <f>IF(#REF!,"AAAAAHPZN4g=",0)</f>
        <v>#REF!</v>
      </c>
      <c r="EH310" t="e">
        <f>IF(#REF!,"AAAAAHPZN4k=",0)</f>
        <v>#REF!</v>
      </c>
      <c r="EI310" t="e">
        <f>IF(#REF!,"AAAAAHPZN4o=",0)</f>
        <v>#REF!</v>
      </c>
      <c r="EJ310" t="e">
        <f>IF(#REF!,"AAAAAHPZN4s=",0)</f>
        <v>#REF!</v>
      </c>
      <c r="EK310" t="e">
        <f>IF(#REF!,"AAAAAHPZN4w=",0)</f>
        <v>#REF!</v>
      </c>
      <c r="EL310" t="e">
        <f>IF(#REF!,"AAAAAHPZN40=",0)</f>
        <v>#REF!</v>
      </c>
      <c r="EM310" t="e">
        <f>IF(#REF!,"AAAAAHPZN44=",0)</f>
        <v>#REF!</v>
      </c>
      <c r="EN310" t="e">
        <f>IF(#REF!,"AAAAAHPZN48=",0)</f>
        <v>#REF!</v>
      </c>
      <c r="EO310" t="e">
        <f>IF(#REF!,"AAAAAHPZN5A=",0)</f>
        <v>#REF!</v>
      </c>
      <c r="EP310" t="e">
        <f>IF(#REF!,"AAAAAHPZN5E=",0)</f>
        <v>#REF!</v>
      </c>
      <c r="EQ310" t="e">
        <f>IF(#REF!,"AAAAAHPZN5I=",0)</f>
        <v>#REF!</v>
      </c>
      <c r="ER310" t="e">
        <f>IF(#REF!,"AAAAAHPZN5M=",0)</f>
        <v>#REF!</v>
      </c>
      <c r="ES310" t="e">
        <f>IF(#REF!,"AAAAAHPZN5Q=",0)</f>
        <v>#REF!</v>
      </c>
      <c r="ET310" t="e">
        <f>IF(#REF!,"AAAAAHPZN5U=",0)</f>
        <v>#REF!</v>
      </c>
      <c r="EU310" t="e">
        <f>IF(#REF!,"AAAAAHPZN5Y=",0)</f>
        <v>#REF!</v>
      </c>
      <c r="EV310" t="e">
        <f>IF(#REF!,"AAAAAHPZN5c=",0)</f>
        <v>#REF!</v>
      </c>
      <c r="EW310" t="e">
        <f>IF(#REF!,"AAAAAHPZN5g=",0)</f>
        <v>#REF!</v>
      </c>
      <c r="EX310" t="e">
        <f>IF(#REF!,"AAAAAHPZN5k=",0)</f>
        <v>#REF!</v>
      </c>
      <c r="EY310" t="e">
        <f>IF(#REF!,"AAAAAHPZN5o=",0)</f>
        <v>#REF!</v>
      </c>
      <c r="EZ310" t="e">
        <f>IF(#REF!,"AAAAAHPZN5s=",0)</f>
        <v>#REF!</v>
      </c>
      <c r="FA310" t="e">
        <f>IF(#REF!,"AAAAAHPZN5w=",0)</f>
        <v>#REF!</v>
      </c>
      <c r="FB310" t="e">
        <f>IF(#REF!,"AAAAAHPZN50=",0)</f>
        <v>#REF!</v>
      </c>
      <c r="FC310" t="e">
        <f>IF(#REF!,"AAAAAHPZN54=",0)</f>
        <v>#REF!</v>
      </c>
      <c r="FD310" t="e">
        <f>IF(#REF!,"AAAAAHPZN58=",0)</f>
        <v>#REF!</v>
      </c>
      <c r="FE310" t="e">
        <f>IF(#REF!,"AAAAAHPZN6A=",0)</f>
        <v>#REF!</v>
      </c>
      <c r="FF310" t="e">
        <f>IF(#REF!,"AAAAAHPZN6E=",0)</f>
        <v>#REF!</v>
      </c>
      <c r="FG310" t="e">
        <f>IF(#REF!,"AAAAAHPZN6I=",0)</f>
        <v>#REF!</v>
      </c>
      <c r="FH310" t="e">
        <f>IF(#REF!,"AAAAAHPZN6M=",0)</f>
        <v>#REF!</v>
      </c>
      <c r="FI310" t="e">
        <f>IF(#REF!,"AAAAAHPZN6Q=",0)</f>
        <v>#REF!</v>
      </c>
      <c r="FJ310" t="e">
        <f>IF(#REF!,"AAAAAHPZN6U=",0)</f>
        <v>#REF!</v>
      </c>
      <c r="FK310" t="e">
        <f>IF(#REF!,"AAAAAHPZN6Y=",0)</f>
        <v>#REF!</v>
      </c>
      <c r="FL310" t="e">
        <f>IF(#REF!,"AAAAAHPZN6c=",0)</f>
        <v>#REF!</v>
      </c>
      <c r="FM310" t="e">
        <f>IF(#REF!,"AAAAAHPZN6g=",0)</f>
        <v>#REF!</v>
      </c>
      <c r="FN310" t="e">
        <f>IF(#REF!,"AAAAAHPZN6k=",0)</f>
        <v>#REF!</v>
      </c>
      <c r="FO310" t="e">
        <f>IF(#REF!,"AAAAAHPZN6o=",0)</f>
        <v>#REF!</v>
      </c>
      <c r="FP310" t="e">
        <f>IF(#REF!,"AAAAAHPZN6s=",0)</f>
        <v>#REF!</v>
      </c>
      <c r="FQ310" t="e">
        <f>IF(#REF!,"AAAAAHPZN6w=",0)</f>
        <v>#REF!</v>
      </c>
      <c r="FR310" t="e">
        <f>IF(#REF!,"AAAAAHPZN60=",0)</f>
        <v>#REF!</v>
      </c>
      <c r="FS310" t="e">
        <f>IF(#REF!,"AAAAAHPZN64=",0)</f>
        <v>#REF!</v>
      </c>
      <c r="FT310" t="e">
        <f>IF(#REF!,"AAAAAHPZN68=",0)</f>
        <v>#REF!</v>
      </c>
      <c r="FU310" t="e">
        <f>IF(#REF!,"AAAAAHPZN7A=",0)</f>
        <v>#REF!</v>
      </c>
      <c r="FV310" t="e">
        <f>IF(#REF!,"AAAAAHPZN7E=",0)</f>
        <v>#REF!</v>
      </c>
      <c r="FW310" t="e">
        <f>IF(#REF!,"AAAAAHPZN7I=",0)</f>
        <v>#REF!</v>
      </c>
      <c r="FX310" t="e">
        <f>IF(#REF!,"AAAAAHPZN7M=",0)</f>
        <v>#REF!</v>
      </c>
      <c r="FY310" t="e">
        <f>IF(#REF!,"AAAAAHPZN7Q=",0)</f>
        <v>#REF!</v>
      </c>
      <c r="FZ310" t="e">
        <f>IF(#REF!,"AAAAAHPZN7U=",0)</f>
        <v>#REF!</v>
      </c>
      <c r="GA310" t="e">
        <f>IF(#REF!,"AAAAAHPZN7Y=",0)</f>
        <v>#REF!</v>
      </c>
      <c r="GB310" t="e">
        <f>IF(#REF!,"AAAAAHPZN7c=",0)</f>
        <v>#REF!</v>
      </c>
      <c r="GC310" t="e">
        <f>IF(#REF!,"AAAAAHPZN7g=",0)</f>
        <v>#REF!</v>
      </c>
      <c r="GD310" t="e">
        <f>IF(#REF!,"AAAAAHPZN7k=",0)</f>
        <v>#REF!</v>
      </c>
      <c r="GE310" t="e">
        <f>IF(#REF!,"AAAAAHPZN7o=",0)</f>
        <v>#REF!</v>
      </c>
      <c r="GF310" t="e">
        <f>IF(#REF!,"AAAAAHPZN7s=",0)</f>
        <v>#REF!</v>
      </c>
      <c r="GG310" t="e">
        <f>IF(#REF!,"AAAAAHPZN7w=",0)</f>
        <v>#REF!</v>
      </c>
      <c r="GH310" t="e">
        <f>IF(#REF!,"AAAAAHPZN70=",0)</f>
        <v>#REF!</v>
      </c>
      <c r="GI310" t="e">
        <f>IF(#REF!,"AAAAAHPZN74=",0)</f>
        <v>#REF!</v>
      </c>
      <c r="GJ310" t="e">
        <f>IF(#REF!,"AAAAAHPZN78=",0)</f>
        <v>#REF!</v>
      </c>
      <c r="GK310" t="e">
        <f>IF(#REF!,"AAAAAHPZN8A=",0)</f>
        <v>#REF!</v>
      </c>
      <c r="GL310" t="e">
        <f>IF(#REF!,"AAAAAHPZN8E=",0)</f>
        <v>#REF!</v>
      </c>
      <c r="GM310" t="e">
        <f>IF(#REF!,"AAAAAHPZN8I=",0)</f>
        <v>#REF!</v>
      </c>
      <c r="GN310" t="e">
        <f>IF(#REF!,"AAAAAHPZN8M=",0)</f>
        <v>#REF!</v>
      </c>
      <c r="GO310" t="e">
        <f>IF(#REF!,"AAAAAHPZN8Q=",0)</f>
        <v>#REF!</v>
      </c>
      <c r="GP310" t="e">
        <f>IF(#REF!,"AAAAAHPZN8U=",0)</f>
        <v>#REF!</v>
      </c>
      <c r="GQ310" t="e">
        <f>IF(#REF!,"AAAAAHPZN8Y=",0)</f>
        <v>#REF!</v>
      </c>
      <c r="GR310" t="e">
        <f>IF(#REF!,"AAAAAHPZN8c=",0)</f>
        <v>#REF!</v>
      </c>
      <c r="GS310" t="e">
        <f>IF(#REF!,"AAAAAHPZN8g=",0)</f>
        <v>#REF!</v>
      </c>
      <c r="GT310" t="e">
        <f>IF(#REF!,"AAAAAHPZN8k=",0)</f>
        <v>#REF!</v>
      </c>
      <c r="GU310" t="e">
        <f>IF(#REF!,"AAAAAHPZN8o=",0)</f>
        <v>#REF!</v>
      </c>
      <c r="GV310" t="e">
        <f>IF(#REF!,"AAAAAHPZN8s=",0)</f>
        <v>#REF!</v>
      </c>
      <c r="GW310" t="e">
        <f>IF(#REF!,"AAAAAHPZN8w=",0)</f>
        <v>#REF!</v>
      </c>
      <c r="GX310" t="e">
        <f>IF(#REF!,"AAAAAHPZN80=",0)</f>
        <v>#REF!</v>
      </c>
      <c r="GY310" t="e">
        <f>IF(#REF!,"AAAAAHPZN84=",0)</f>
        <v>#REF!</v>
      </c>
      <c r="GZ310" t="e">
        <f>IF(#REF!,"AAAAAHPZN88=",0)</f>
        <v>#REF!</v>
      </c>
      <c r="HA310" t="e">
        <f>IF(#REF!,"AAAAAHPZN9A=",0)</f>
        <v>#REF!</v>
      </c>
      <c r="HB310" t="e">
        <f>IF(#REF!,"AAAAAHPZN9E=",0)</f>
        <v>#REF!</v>
      </c>
      <c r="HC310" t="e">
        <f>IF(#REF!,"AAAAAHPZN9I=",0)</f>
        <v>#REF!</v>
      </c>
      <c r="HD310" t="e">
        <f>IF(#REF!,"AAAAAHPZN9M=",0)</f>
        <v>#REF!</v>
      </c>
      <c r="HE310" t="e">
        <f>IF(#REF!,"AAAAAHPZN9Q=",0)</f>
        <v>#REF!</v>
      </c>
      <c r="HF310" t="e">
        <f>IF(#REF!,"AAAAAHPZN9U=",0)</f>
        <v>#REF!</v>
      </c>
      <c r="HG310" t="e">
        <f>IF(#REF!,"AAAAAHPZN9Y=",0)</f>
        <v>#REF!</v>
      </c>
      <c r="HH310" t="e">
        <f>IF(#REF!,"AAAAAHPZN9c=",0)</f>
        <v>#REF!</v>
      </c>
      <c r="HI310" t="e">
        <f>IF(#REF!,"AAAAAHPZN9g=",0)</f>
        <v>#REF!</v>
      </c>
      <c r="HJ310" t="e">
        <f>IF(#REF!,"AAAAAHPZN9k=",0)</f>
        <v>#REF!</v>
      </c>
      <c r="HK310" t="e">
        <f>IF(#REF!,"AAAAAHPZN9o=",0)</f>
        <v>#REF!</v>
      </c>
      <c r="HL310" t="e">
        <f>IF(#REF!,"AAAAAHPZN9s=",0)</f>
        <v>#REF!</v>
      </c>
      <c r="HM310" t="e">
        <f>IF(#REF!,"AAAAAHPZN9w=",0)</f>
        <v>#REF!</v>
      </c>
      <c r="HN310" t="e">
        <f>IF(#REF!,"AAAAAHPZN90=",0)</f>
        <v>#REF!</v>
      </c>
      <c r="HO310" t="e">
        <f>IF(#REF!,"AAAAAHPZN94=",0)</f>
        <v>#REF!</v>
      </c>
      <c r="HP310" t="e">
        <f>IF(#REF!,"AAAAAHPZN98=",0)</f>
        <v>#REF!</v>
      </c>
      <c r="HQ310" t="e">
        <f>IF(#REF!,"AAAAAHPZN+A=",0)</f>
        <v>#REF!</v>
      </c>
      <c r="HR310" t="e">
        <f>IF(#REF!,"AAAAAHPZN+E=",0)</f>
        <v>#REF!</v>
      </c>
      <c r="HS310" t="e">
        <f>IF(#REF!,"AAAAAHPZN+I=",0)</f>
        <v>#REF!</v>
      </c>
      <c r="HT310" t="e">
        <f>IF(#REF!,"AAAAAHPZN+M=",0)</f>
        <v>#REF!</v>
      </c>
      <c r="HU310" t="e">
        <f>IF(#REF!,"AAAAAHPZN+Q=",0)</f>
        <v>#REF!</v>
      </c>
      <c r="HV310" t="e">
        <f>IF(#REF!,"AAAAAHPZN+U=",0)</f>
        <v>#REF!</v>
      </c>
      <c r="HW310" t="e">
        <f>IF(#REF!,"AAAAAHPZN+Y=",0)</f>
        <v>#REF!</v>
      </c>
      <c r="HX310" t="e">
        <f>IF(#REF!,"AAAAAHPZN+c=",0)</f>
        <v>#REF!</v>
      </c>
      <c r="HY310" t="e">
        <f>IF(#REF!,"AAAAAHPZN+g=",0)</f>
        <v>#REF!</v>
      </c>
      <c r="HZ310" t="e">
        <f>IF(#REF!,"AAAAAHPZN+k=",0)</f>
        <v>#REF!</v>
      </c>
      <c r="IA310" t="e">
        <f>IF(#REF!,"AAAAAHPZN+o=",0)</f>
        <v>#REF!</v>
      </c>
      <c r="IB310" t="e">
        <f>IF(#REF!,"AAAAAHPZN+s=",0)</f>
        <v>#REF!</v>
      </c>
      <c r="IC310" t="e">
        <f>IF(#REF!,"AAAAAHPZN+w=",0)</f>
        <v>#REF!</v>
      </c>
      <c r="ID310" t="e">
        <f>IF(#REF!,"AAAAAHPZN+0=",0)</f>
        <v>#REF!</v>
      </c>
      <c r="IE310" t="e">
        <f>IF(#REF!,"AAAAAHPZN+4=",0)</f>
        <v>#REF!</v>
      </c>
      <c r="IF310" t="e">
        <f>IF(#REF!,"AAAAAHPZN+8=",0)</f>
        <v>#REF!</v>
      </c>
      <c r="IG310" t="e">
        <f>IF(#REF!,"AAAAAHPZN/A=",0)</f>
        <v>#REF!</v>
      </c>
      <c r="IH310" t="e">
        <f>IF(#REF!,"AAAAAHPZN/E=",0)</f>
        <v>#REF!</v>
      </c>
      <c r="II310" t="e">
        <f>IF(#REF!,"AAAAAHPZN/I=",0)</f>
        <v>#REF!</v>
      </c>
      <c r="IJ310" t="e">
        <f>IF(#REF!,"AAAAAHPZN/M=",0)</f>
        <v>#REF!</v>
      </c>
      <c r="IK310" t="e">
        <f>IF(#REF!,"AAAAAHPZN/Q=",0)</f>
        <v>#REF!</v>
      </c>
      <c r="IL310" t="e">
        <f>IF(#REF!,"AAAAAHPZN/U=",0)</f>
        <v>#REF!</v>
      </c>
      <c r="IM310" t="e">
        <f>IF(#REF!,"AAAAAHPZN/Y=",0)</f>
        <v>#REF!</v>
      </c>
      <c r="IN310" t="e">
        <f>IF(#REF!,"AAAAAHPZN/c=",0)</f>
        <v>#REF!</v>
      </c>
      <c r="IO310" t="e">
        <f>IF(#REF!,"AAAAAHPZN/g=",0)</f>
        <v>#REF!</v>
      </c>
      <c r="IP310" t="e">
        <f>IF(#REF!,"AAAAAHPZN/k=",0)</f>
        <v>#REF!</v>
      </c>
      <c r="IQ310" t="e">
        <f>IF(#REF!,"AAAAAHPZN/o=",0)</f>
        <v>#REF!</v>
      </c>
      <c r="IR310" t="e">
        <f>IF(#REF!,"AAAAAHPZN/s=",0)</f>
        <v>#REF!</v>
      </c>
      <c r="IS310" t="e">
        <f>IF(#REF!,"AAAAAHPZN/w=",0)</f>
        <v>#REF!</v>
      </c>
      <c r="IT310" t="e">
        <f>IF(#REF!,"AAAAAHPZN/0=",0)</f>
        <v>#REF!</v>
      </c>
      <c r="IU310" t="e">
        <f>IF(#REF!,"AAAAAHPZN/4=",0)</f>
        <v>#REF!</v>
      </c>
      <c r="IV310" t="e">
        <f>IF(#REF!,"AAAAAHPZN/8=",0)</f>
        <v>#REF!</v>
      </c>
    </row>
    <row r="311" spans="1:256">
      <c r="A311" t="e">
        <f>IF(#REF!,"AAAAAHn/uwA=",0)</f>
        <v>#REF!</v>
      </c>
      <c r="B311" t="e">
        <f>IF(#REF!,"AAAAAHn/uwE=",0)</f>
        <v>#REF!</v>
      </c>
      <c r="C311" t="e">
        <f>IF(#REF!,"AAAAAHn/uwI=",0)</f>
        <v>#REF!</v>
      </c>
      <c r="D311" t="e">
        <f>IF(#REF!,"AAAAAHn/uwM=",0)</f>
        <v>#REF!</v>
      </c>
      <c r="E311" t="e">
        <f>IF(#REF!,"AAAAAHn/uwQ=",0)</f>
        <v>#REF!</v>
      </c>
      <c r="F311" t="e">
        <f>IF(#REF!,"AAAAAHn/uwU=",0)</f>
        <v>#REF!</v>
      </c>
      <c r="G311" t="e">
        <f>IF(#REF!,"AAAAAHn/uwY=",0)</f>
        <v>#REF!</v>
      </c>
      <c r="H311" t="e">
        <f>IF(#REF!,"AAAAAHn/uwc=",0)</f>
        <v>#REF!</v>
      </c>
      <c r="I311" t="e">
        <f>IF(#REF!,"AAAAAHn/uwg=",0)</f>
        <v>#REF!</v>
      </c>
      <c r="J311" t="e">
        <f>IF(#REF!,"AAAAAHn/uwk=",0)</f>
        <v>#REF!</v>
      </c>
      <c r="K311" t="e">
        <f>IF(#REF!,"AAAAAHn/uwo=",0)</f>
        <v>#REF!</v>
      </c>
      <c r="L311" t="e">
        <f>IF(#REF!,"AAAAAHn/uws=",0)</f>
        <v>#REF!</v>
      </c>
      <c r="M311" t="e">
        <f>IF(#REF!,"AAAAAHn/uww=",0)</f>
        <v>#REF!</v>
      </c>
      <c r="N311" t="e">
        <f>IF(#REF!,"AAAAAHn/uw0=",0)</f>
        <v>#REF!</v>
      </c>
      <c r="O311" t="e">
        <f>IF(#REF!,"AAAAAHn/uw4=",0)</f>
        <v>#REF!</v>
      </c>
      <c r="P311" t="e">
        <f>IF(#REF!,"AAAAAHn/uw8=",0)</f>
        <v>#REF!</v>
      </c>
      <c r="Q311" t="e">
        <f>IF(#REF!,"AAAAAHn/uxA=",0)</f>
        <v>#REF!</v>
      </c>
      <c r="R311" t="e">
        <f>IF(#REF!,"AAAAAHn/uxE=",0)</f>
        <v>#REF!</v>
      </c>
      <c r="S311" t="e">
        <f>IF(#REF!,"AAAAAHn/uxI=",0)</f>
        <v>#REF!</v>
      </c>
      <c r="T311" t="e">
        <f>IF(#REF!,"AAAAAHn/uxM=",0)</f>
        <v>#REF!</v>
      </c>
      <c r="U311" t="e">
        <f>IF(#REF!,"AAAAAHn/uxQ=",0)</f>
        <v>#REF!</v>
      </c>
      <c r="V311" t="e">
        <f>IF(#REF!,"AAAAAHn/uxU=",0)</f>
        <v>#REF!</v>
      </c>
      <c r="W311" t="e">
        <f>IF(#REF!,"AAAAAHn/uxY=",0)</f>
        <v>#REF!</v>
      </c>
      <c r="X311" t="e">
        <f>IF(#REF!,"AAAAAHn/uxc=",0)</f>
        <v>#REF!</v>
      </c>
      <c r="Y311" t="e">
        <f>IF(#REF!,"AAAAAHn/uxg=",0)</f>
        <v>#REF!</v>
      </c>
      <c r="Z311" t="e">
        <f>IF(#REF!,"AAAAAHn/uxk=",0)</f>
        <v>#REF!</v>
      </c>
      <c r="AA311" t="e">
        <f>IF(#REF!,"AAAAAHn/uxo=",0)</f>
        <v>#REF!</v>
      </c>
      <c r="AB311" t="e">
        <f>IF(#REF!,"AAAAAHn/uxs=",0)</f>
        <v>#REF!</v>
      </c>
      <c r="AC311" t="e">
        <f>IF(#REF!,"AAAAAHn/uxw=",0)</f>
        <v>#REF!</v>
      </c>
      <c r="AD311" t="e">
        <f>IF(#REF!,"AAAAAHn/ux0=",0)</f>
        <v>#REF!</v>
      </c>
      <c r="AE311" t="e">
        <f>IF(#REF!,"AAAAAHn/ux4=",0)</f>
        <v>#REF!</v>
      </c>
      <c r="AF311" t="e">
        <f>IF(#REF!,"AAAAAHn/ux8=",0)</f>
        <v>#REF!</v>
      </c>
      <c r="AG311" t="e">
        <f>IF(#REF!,"AAAAAHn/uyA=",0)</f>
        <v>#REF!</v>
      </c>
      <c r="AH311" t="e">
        <f>IF(#REF!,"AAAAAHn/uyE=",0)</f>
        <v>#REF!</v>
      </c>
      <c r="AI311" t="e">
        <f>IF(#REF!,"AAAAAHn/uyI=",0)</f>
        <v>#REF!</v>
      </c>
      <c r="AJ311" t="e">
        <f>IF(#REF!,"AAAAAHn/uyM=",0)</f>
        <v>#REF!</v>
      </c>
      <c r="AK311" t="e">
        <f>IF(#REF!,"AAAAAHn/uyQ=",0)</f>
        <v>#REF!</v>
      </c>
      <c r="AL311" t="e">
        <f>IF(#REF!,"AAAAAHn/uyU=",0)</f>
        <v>#REF!</v>
      </c>
      <c r="AM311" t="e">
        <f>IF(#REF!,"AAAAAHn/uyY=",0)</f>
        <v>#REF!</v>
      </c>
      <c r="AN311" t="e">
        <f>IF(#REF!,"AAAAAHn/uyc=",0)</f>
        <v>#REF!</v>
      </c>
      <c r="AO311" t="e">
        <f>IF(#REF!,"AAAAAHn/uyg=",0)</f>
        <v>#REF!</v>
      </c>
      <c r="AP311" t="e">
        <f>IF(#REF!,"AAAAAHn/uyk=",0)</f>
        <v>#REF!</v>
      </c>
      <c r="AQ311" t="e">
        <f>IF(#REF!,"AAAAAHn/uyo=",0)</f>
        <v>#REF!</v>
      </c>
      <c r="AR311" t="e">
        <f>IF(#REF!,"AAAAAHn/uys=",0)</f>
        <v>#REF!</v>
      </c>
      <c r="AS311" t="e">
        <f>IF(#REF!,"AAAAAHn/uyw=",0)</f>
        <v>#REF!</v>
      </c>
      <c r="AT311" t="e">
        <f>IF(#REF!,"AAAAAHn/uy0=",0)</f>
        <v>#REF!</v>
      </c>
      <c r="AU311" t="e">
        <f>IF(#REF!,"AAAAAHn/uy4=",0)</f>
        <v>#REF!</v>
      </c>
      <c r="AV311" t="e">
        <f>IF(#REF!,"AAAAAHn/uy8=",0)</f>
        <v>#REF!</v>
      </c>
      <c r="AW311" t="e">
        <f>IF(#REF!,"AAAAAHn/uzA=",0)</f>
        <v>#REF!</v>
      </c>
      <c r="AX311" t="e">
        <f>IF(#REF!,"AAAAAHn/uzE=",0)</f>
        <v>#REF!</v>
      </c>
      <c r="AY311" t="e">
        <f>IF(#REF!,"AAAAAHn/uzI=",0)</f>
        <v>#REF!</v>
      </c>
      <c r="AZ311" t="e">
        <f>IF(#REF!,"AAAAAHn/uzM=",0)</f>
        <v>#REF!</v>
      </c>
      <c r="BA311" t="e">
        <f>IF(#REF!,"AAAAAHn/uzQ=",0)</f>
        <v>#REF!</v>
      </c>
      <c r="BB311" t="e">
        <f>IF(#REF!,"AAAAAHn/uzU=",0)</f>
        <v>#REF!</v>
      </c>
      <c r="BC311" t="e">
        <f>IF(#REF!,"AAAAAHn/uzY=",0)</f>
        <v>#REF!</v>
      </c>
      <c r="BD311" t="e">
        <f>IF(#REF!,"AAAAAHn/uzc=",0)</f>
        <v>#REF!</v>
      </c>
      <c r="BE311" t="e">
        <f>IF(#REF!,"AAAAAHn/uzg=",0)</f>
        <v>#REF!</v>
      </c>
      <c r="BF311" t="e">
        <f>IF(#REF!,"AAAAAHn/uzk=",0)</f>
        <v>#REF!</v>
      </c>
      <c r="BG311" t="e">
        <f>IF(#REF!,"AAAAAHn/uzo=",0)</f>
        <v>#REF!</v>
      </c>
      <c r="BH311" t="e">
        <f>IF(#REF!,"AAAAAHn/uzs=",0)</f>
        <v>#REF!</v>
      </c>
      <c r="BI311" t="e">
        <f>IF(#REF!,"AAAAAHn/uzw=",0)</f>
        <v>#REF!</v>
      </c>
      <c r="BJ311" t="e">
        <f>IF(#REF!,"AAAAAHn/uz0=",0)</f>
        <v>#REF!</v>
      </c>
      <c r="BK311" t="e">
        <f>IF(#REF!,"AAAAAHn/uz4=",0)</f>
        <v>#REF!</v>
      </c>
      <c r="BL311" t="e">
        <f>IF(#REF!,"AAAAAHn/uz8=",0)</f>
        <v>#REF!</v>
      </c>
      <c r="BM311" t="e">
        <f>IF(#REF!,"AAAAAHn/u0A=",0)</f>
        <v>#REF!</v>
      </c>
      <c r="BN311" t="e">
        <f>IF(#REF!,"AAAAAHn/u0E=",0)</f>
        <v>#REF!</v>
      </c>
      <c r="BO311" t="e">
        <f>IF(#REF!,"AAAAAHn/u0I=",0)</f>
        <v>#REF!</v>
      </c>
      <c r="BP311" t="e">
        <f>IF(#REF!,"AAAAAHn/u0M=",0)</f>
        <v>#REF!</v>
      </c>
      <c r="BQ311" t="e">
        <f>IF(#REF!,"AAAAAHn/u0Q=",0)</f>
        <v>#REF!</v>
      </c>
      <c r="BR311" t="e">
        <f>IF(#REF!,"AAAAAHn/u0U=",0)</f>
        <v>#REF!</v>
      </c>
      <c r="BS311" t="e">
        <f>IF(#REF!,"AAAAAHn/u0Y=",0)</f>
        <v>#REF!</v>
      </c>
      <c r="BT311" t="e">
        <f>IF(#REF!,"AAAAAHn/u0c=",0)</f>
        <v>#REF!</v>
      </c>
      <c r="BU311" t="e">
        <f>IF(#REF!,"AAAAAHn/u0g=",0)</f>
        <v>#REF!</v>
      </c>
      <c r="BV311" t="e">
        <f>IF(#REF!,"AAAAAHn/u0k=",0)</f>
        <v>#REF!</v>
      </c>
      <c r="BW311" t="e">
        <f>IF(#REF!,"AAAAAHn/u0o=",0)</f>
        <v>#REF!</v>
      </c>
      <c r="BX311" t="e">
        <f>IF(#REF!,"AAAAAHn/u0s=",0)</f>
        <v>#REF!</v>
      </c>
      <c r="BY311" t="e">
        <f>IF(#REF!,"AAAAAHn/u0w=",0)</f>
        <v>#REF!</v>
      </c>
      <c r="BZ311" t="e">
        <f>IF(#REF!,"AAAAAHn/u00=",0)</f>
        <v>#REF!</v>
      </c>
      <c r="CA311" t="e">
        <f>IF(#REF!,"AAAAAHn/u04=",0)</f>
        <v>#REF!</v>
      </c>
      <c r="CB311" t="e">
        <f>IF(#REF!,"AAAAAHn/u08=",0)</f>
        <v>#REF!</v>
      </c>
      <c r="CC311" t="e">
        <f>IF(#REF!,"AAAAAHn/u1A=",0)</f>
        <v>#REF!</v>
      </c>
      <c r="CD311" t="e">
        <f>IF(#REF!,"AAAAAHn/u1E=",0)</f>
        <v>#REF!</v>
      </c>
      <c r="CE311" t="e">
        <f>IF(#REF!,"AAAAAHn/u1I=",0)</f>
        <v>#REF!</v>
      </c>
      <c r="CF311" t="e">
        <f>IF(#REF!,"AAAAAHn/u1M=",0)</f>
        <v>#REF!</v>
      </c>
      <c r="CG311" t="e">
        <f>IF(#REF!,"AAAAAHn/u1Q=",0)</f>
        <v>#REF!</v>
      </c>
      <c r="CH311" t="e">
        <f>IF(#REF!,"AAAAAHn/u1U=",0)</f>
        <v>#REF!</v>
      </c>
      <c r="CI311" t="e">
        <f>IF(#REF!,"AAAAAHn/u1Y=",0)</f>
        <v>#REF!</v>
      </c>
      <c r="CJ311" t="e">
        <f>IF(#REF!,"AAAAAHn/u1c=",0)</f>
        <v>#REF!</v>
      </c>
      <c r="CK311" t="e">
        <f>IF(#REF!,"AAAAAHn/u1g=",0)</f>
        <v>#REF!</v>
      </c>
      <c r="CL311" t="e">
        <f>IF(#REF!,"AAAAAHn/u1k=",0)</f>
        <v>#REF!</v>
      </c>
      <c r="CM311" t="e">
        <f>IF(#REF!,"AAAAAHn/u1o=",0)</f>
        <v>#REF!</v>
      </c>
      <c r="CN311" t="e">
        <f>IF(#REF!,"AAAAAHn/u1s=",0)</f>
        <v>#REF!</v>
      </c>
      <c r="CO311" t="e">
        <f>IF(#REF!,"AAAAAHn/u1w=",0)</f>
        <v>#REF!</v>
      </c>
      <c r="CP311" t="e">
        <f>IF(#REF!,"AAAAAHn/u10=",0)</f>
        <v>#REF!</v>
      </c>
      <c r="CQ311" t="e">
        <f>IF(#REF!,"AAAAAHn/u14=",0)</f>
        <v>#REF!</v>
      </c>
      <c r="CR311" t="e">
        <f>IF(#REF!,"AAAAAHn/u18=",0)</f>
        <v>#REF!</v>
      </c>
      <c r="CS311" t="e">
        <f>IF(#REF!,"AAAAAHn/u2A=",0)</f>
        <v>#REF!</v>
      </c>
      <c r="CT311" t="e">
        <f>IF(#REF!,"AAAAAHn/u2E=",0)</f>
        <v>#REF!</v>
      </c>
      <c r="CU311" t="e">
        <f>IF(#REF!,"AAAAAHn/u2I=",0)</f>
        <v>#REF!</v>
      </c>
      <c r="CV311" t="e">
        <f>IF(#REF!,"AAAAAHn/u2M=",0)</f>
        <v>#REF!</v>
      </c>
      <c r="CW311" t="e">
        <f>IF(#REF!,"AAAAAHn/u2Q=",0)</f>
        <v>#REF!</v>
      </c>
      <c r="CX311" t="e">
        <f>IF(#REF!,"AAAAAHn/u2U=",0)</f>
        <v>#REF!</v>
      </c>
      <c r="CY311" t="e">
        <f>IF(#REF!,"AAAAAHn/u2Y=",0)</f>
        <v>#REF!</v>
      </c>
      <c r="CZ311" t="e">
        <f>IF(#REF!,"AAAAAHn/u2c=",0)</f>
        <v>#REF!</v>
      </c>
      <c r="DA311" t="e">
        <f>IF(#REF!,"AAAAAHn/u2g=",0)</f>
        <v>#REF!</v>
      </c>
      <c r="DB311" t="e">
        <f>IF(#REF!,"AAAAAHn/u2k=",0)</f>
        <v>#REF!</v>
      </c>
      <c r="DC311" t="e">
        <f>IF(#REF!,"AAAAAHn/u2o=",0)</f>
        <v>#REF!</v>
      </c>
      <c r="DD311" t="e">
        <f>IF(#REF!,"AAAAAHn/u2s=",0)</f>
        <v>#REF!</v>
      </c>
      <c r="DE311" t="e">
        <f>IF(#REF!,"AAAAAHn/u2w=",0)</f>
        <v>#REF!</v>
      </c>
      <c r="DF311" t="e">
        <f>IF(#REF!,"AAAAAHn/u20=",0)</f>
        <v>#REF!</v>
      </c>
      <c r="DG311" t="e">
        <f>IF(#REF!,"AAAAAHn/u24=",0)</f>
        <v>#REF!</v>
      </c>
      <c r="DH311" t="e">
        <f>IF(#REF!,"AAAAAHn/u28=",0)</f>
        <v>#REF!</v>
      </c>
      <c r="DI311" t="e">
        <f>IF(#REF!,"AAAAAHn/u3A=",0)</f>
        <v>#REF!</v>
      </c>
      <c r="DJ311" t="e">
        <f>IF(#REF!,"AAAAAHn/u3E=",0)</f>
        <v>#REF!</v>
      </c>
      <c r="DK311" t="e">
        <f>IF(#REF!,"AAAAAHn/u3I=",0)</f>
        <v>#REF!</v>
      </c>
      <c r="DL311" t="e">
        <f>IF(#REF!,"AAAAAHn/u3M=",0)</f>
        <v>#REF!</v>
      </c>
      <c r="DM311" t="e">
        <f>IF(#REF!,"AAAAAHn/u3Q=",0)</f>
        <v>#REF!</v>
      </c>
      <c r="DN311" t="e">
        <f>IF(#REF!,"AAAAAHn/u3U=",0)</f>
        <v>#REF!</v>
      </c>
      <c r="DO311" t="e">
        <f>IF(#REF!,"AAAAAHn/u3Y=",0)</f>
        <v>#REF!</v>
      </c>
      <c r="DP311" t="e">
        <f>IF(#REF!,"AAAAAHn/u3c=",0)</f>
        <v>#REF!</v>
      </c>
      <c r="DQ311" t="e">
        <f>IF(#REF!,"AAAAAHn/u3g=",0)</f>
        <v>#REF!</v>
      </c>
      <c r="DR311" t="e">
        <f>IF(#REF!,"AAAAAHn/u3k=",0)</f>
        <v>#REF!</v>
      </c>
      <c r="DS311" t="e">
        <f>IF(#REF!,"AAAAAHn/u3o=",0)</f>
        <v>#REF!</v>
      </c>
      <c r="DT311" t="e">
        <f>IF(#REF!,"AAAAAHn/u3s=",0)</f>
        <v>#REF!</v>
      </c>
      <c r="DU311" t="e">
        <f>IF(#REF!,"AAAAAHn/u3w=",0)</f>
        <v>#REF!</v>
      </c>
      <c r="DV311" t="e">
        <f>IF(#REF!,"AAAAAHn/u30=",0)</f>
        <v>#REF!</v>
      </c>
      <c r="DW311" t="e">
        <f>IF(#REF!,"AAAAAHn/u34=",0)</f>
        <v>#REF!</v>
      </c>
      <c r="DX311" t="e">
        <f>IF(#REF!,"AAAAAHn/u38=",0)</f>
        <v>#REF!</v>
      </c>
      <c r="DY311" t="e">
        <f>IF(#REF!,"AAAAAHn/u4A=",0)</f>
        <v>#REF!</v>
      </c>
      <c r="DZ311" t="e">
        <f>IF(#REF!,"AAAAAHn/u4E=",0)</f>
        <v>#REF!</v>
      </c>
      <c r="EA311" t="e">
        <f>IF(#REF!,"AAAAAHn/u4I=",0)</f>
        <v>#REF!</v>
      </c>
      <c r="EB311" t="e">
        <f>IF(#REF!,"AAAAAHn/u4M=",0)</f>
        <v>#REF!</v>
      </c>
      <c r="EC311" t="e">
        <f>IF(#REF!,"AAAAAHn/u4Q=",0)</f>
        <v>#REF!</v>
      </c>
      <c r="ED311" t="e">
        <f>IF(#REF!,"AAAAAHn/u4U=",0)</f>
        <v>#REF!</v>
      </c>
      <c r="EE311" t="e">
        <f>IF(#REF!,"AAAAAHn/u4Y=",0)</f>
        <v>#REF!</v>
      </c>
      <c r="EF311" t="e">
        <f>IF(#REF!,"AAAAAHn/u4c=",0)</f>
        <v>#REF!</v>
      </c>
      <c r="EG311" t="e">
        <f>IF(#REF!,"AAAAAHn/u4g=",0)</f>
        <v>#REF!</v>
      </c>
      <c r="EH311" t="e">
        <f>IF(#REF!,"AAAAAHn/u4k=",0)</f>
        <v>#REF!</v>
      </c>
      <c r="EI311" t="e">
        <f>IF(#REF!,"AAAAAHn/u4o=",0)</f>
        <v>#REF!</v>
      </c>
      <c r="EJ311" t="e">
        <f>IF(#REF!,"AAAAAHn/u4s=",0)</f>
        <v>#REF!</v>
      </c>
      <c r="EK311" t="e">
        <f>IF(#REF!,"AAAAAHn/u4w=",0)</f>
        <v>#REF!</v>
      </c>
      <c r="EL311" t="e">
        <f>IF(#REF!,"AAAAAHn/u40=",0)</f>
        <v>#REF!</v>
      </c>
      <c r="EM311" t="e">
        <f>IF(#REF!,"AAAAAHn/u44=",0)</f>
        <v>#REF!</v>
      </c>
      <c r="EN311" t="e">
        <f>IF(#REF!,"AAAAAHn/u48=",0)</f>
        <v>#REF!</v>
      </c>
      <c r="EO311" t="e">
        <f>IF(#REF!,"AAAAAHn/u5A=",0)</f>
        <v>#REF!</v>
      </c>
      <c r="EP311" t="e">
        <f>IF(#REF!,"AAAAAHn/u5E=",0)</f>
        <v>#REF!</v>
      </c>
      <c r="EQ311" t="e">
        <f>IF(#REF!,"AAAAAHn/u5I=",0)</f>
        <v>#REF!</v>
      </c>
      <c r="ER311" t="e">
        <f>IF(#REF!,"AAAAAHn/u5M=",0)</f>
        <v>#REF!</v>
      </c>
      <c r="ES311" t="e">
        <f>IF(#REF!,"AAAAAHn/u5Q=",0)</f>
        <v>#REF!</v>
      </c>
      <c r="ET311" t="e">
        <f>IF(#REF!,"AAAAAHn/u5U=",0)</f>
        <v>#REF!</v>
      </c>
      <c r="EU311" t="e">
        <f>IF(#REF!,"AAAAAHn/u5Y=",0)</f>
        <v>#REF!</v>
      </c>
      <c r="EV311" t="e">
        <f>IF(#REF!,"AAAAAHn/u5c=",0)</f>
        <v>#REF!</v>
      </c>
      <c r="EW311" t="e">
        <f>IF(#REF!,"AAAAAHn/u5g=",0)</f>
        <v>#REF!</v>
      </c>
      <c r="EX311" t="e">
        <f>IF(#REF!,"AAAAAHn/u5k=",0)</f>
        <v>#REF!</v>
      </c>
      <c r="EY311" t="e">
        <f>IF(#REF!,"AAAAAHn/u5o=",0)</f>
        <v>#REF!</v>
      </c>
      <c r="EZ311" t="e">
        <f>IF(#REF!,"AAAAAHn/u5s=",0)</f>
        <v>#REF!</v>
      </c>
      <c r="FA311" t="e">
        <f>IF(#REF!,"AAAAAHn/u5w=",0)</f>
        <v>#REF!</v>
      </c>
      <c r="FB311" t="e">
        <f>IF(#REF!,"AAAAAHn/u50=",0)</f>
        <v>#REF!</v>
      </c>
      <c r="FC311" t="e">
        <f>IF(#REF!,"AAAAAHn/u54=",0)</f>
        <v>#REF!</v>
      </c>
      <c r="FD311" t="e">
        <f>IF(#REF!,"AAAAAHn/u58=",0)</f>
        <v>#REF!</v>
      </c>
      <c r="FE311" t="e">
        <f>IF(#REF!,"AAAAAHn/u6A=",0)</f>
        <v>#REF!</v>
      </c>
      <c r="FF311" t="e">
        <f>IF(#REF!,"AAAAAHn/u6E=",0)</f>
        <v>#REF!</v>
      </c>
      <c r="FG311" t="e">
        <f>IF(#REF!,"AAAAAHn/u6I=",0)</f>
        <v>#REF!</v>
      </c>
      <c r="FH311" t="e">
        <f>IF(#REF!,"AAAAAHn/u6M=",0)</f>
        <v>#REF!</v>
      </c>
      <c r="FI311" t="e">
        <f>IF(#REF!,"AAAAAHn/u6Q=",0)</f>
        <v>#REF!</v>
      </c>
      <c r="FJ311" t="e">
        <f>IF(#REF!,"AAAAAHn/u6U=",0)</f>
        <v>#REF!</v>
      </c>
      <c r="FK311" t="e">
        <f>IF(#REF!,"AAAAAHn/u6Y=",0)</f>
        <v>#REF!</v>
      </c>
      <c r="FL311" t="e">
        <f>IF(#REF!,"AAAAAHn/u6c=",0)</f>
        <v>#REF!</v>
      </c>
      <c r="FM311" t="e">
        <f>IF(#REF!,"AAAAAHn/u6g=",0)</f>
        <v>#REF!</v>
      </c>
      <c r="FN311" t="e">
        <f>IF(#REF!,"AAAAAHn/u6k=",0)</f>
        <v>#REF!</v>
      </c>
      <c r="FO311" t="e">
        <f>IF(#REF!,"AAAAAHn/u6o=",0)</f>
        <v>#REF!</v>
      </c>
      <c r="FP311" t="e">
        <f>IF(#REF!,"AAAAAHn/u6s=",0)</f>
        <v>#REF!</v>
      </c>
      <c r="FQ311" t="e">
        <f>IF(#REF!,"AAAAAHn/u6w=",0)</f>
        <v>#REF!</v>
      </c>
      <c r="FR311" t="e">
        <f>IF(#REF!,"AAAAAHn/u60=",0)</f>
        <v>#REF!</v>
      </c>
      <c r="FS311" t="e">
        <f>IF(#REF!,"AAAAAHn/u64=",0)</f>
        <v>#REF!</v>
      </c>
      <c r="FT311" t="e">
        <f>IF(#REF!,"AAAAAHn/u68=",0)</f>
        <v>#REF!</v>
      </c>
      <c r="FU311" t="e">
        <f>IF(#REF!,"AAAAAHn/u7A=",0)</f>
        <v>#REF!</v>
      </c>
      <c r="FV311" t="e">
        <f>IF(#REF!,"AAAAAHn/u7E=",0)</f>
        <v>#REF!</v>
      </c>
      <c r="FW311" t="e">
        <f>IF(#REF!,"AAAAAHn/u7I=",0)</f>
        <v>#REF!</v>
      </c>
      <c r="FX311" t="e">
        <f>IF(#REF!,"AAAAAHn/u7M=",0)</f>
        <v>#REF!</v>
      </c>
      <c r="FY311" t="e">
        <f>IF(#REF!,"AAAAAHn/u7Q=",0)</f>
        <v>#REF!</v>
      </c>
      <c r="FZ311" t="e">
        <f>IF(#REF!,"AAAAAHn/u7U=",0)</f>
        <v>#REF!</v>
      </c>
      <c r="GA311" t="e">
        <f>IF(#REF!,"AAAAAHn/u7Y=",0)</f>
        <v>#REF!</v>
      </c>
      <c r="GB311" t="e">
        <f>IF(#REF!,"AAAAAHn/u7c=",0)</f>
        <v>#REF!</v>
      </c>
      <c r="GC311" t="e">
        <f>IF(#REF!,"AAAAAHn/u7g=",0)</f>
        <v>#REF!</v>
      </c>
      <c r="GD311" t="e">
        <f>IF(#REF!,"AAAAAHn/u7k=",0)</f>
        <v>#REF!</v>
      </c>
      <c r="GE311" t="e">
        <f>IF(#REF!,"AAAAAHn/u7o=",0)</f>
        <v>#REF!</v>
      </c>
      <c r="GF311" t="e">
        <f>IF(#REF!,"AAAAAHn/u7s=",0)</f>
        <v>#REF!</v>
      </c>
      <c r="GG311" t="e">
        <f>IF(#REF!,"AAAAAHn/u7w=",0)</f>
        <v>#REF!</v>
      </c>
      <c r="GH311" t="e">
        <f>IF(#REF!,"AAAAAHn/u70=",0)</f>
        <v>#REF!</v>
      </c>
      <c r="GI311" t="e">
        <f>IF(#REF!,"AAAAAHn/u74=",0)</f>
        <v>#REF!</v>
      </c>
      <c r="GJ311" t="e">
        <f>IF(#REF!,"AAAAAHn/u78=",0)</f>
        <v>#REF!</v>
      </c>
      <c r="GK311" t="e">
        <f>IF(#REF!,"AAAAAHn/u8A=",0)</f>
        <v>#REF!</v>
      </c>
      <c r="GL311" t="e">
        <f>IF(#REF!,"AAAAAHn/u8E=",0)</f>
        <v>#REF!</v>
      </c>
      <c r="GM311" t="e">
        <f>IF(#REF!,"AAAAAHn/u8I=",0)</f>
        <v>#REF!</v>
      </c>
      <c r="GN311" t="e">
        <f>IF(#REF!,"AAAAAHn/u8M=",0)</f>
        <v>#REF!</v>
      </c>
      <c r="GO311" t="e">
        <f>IF(#REF!,"AAAAAHn/u8Q=",0)</f>
        <v>#REF!</v>
      </c>
      <c r="GP311" t="e">
        <f>IF(#REF!,"AAAAAHn/u8U=",0)</f>
        <v>#REF!</v>
      </c>
      <c r="GQ311" t="e">
        <f>IF(#REF!,"AAAAAHn/u8Y=",0)</f>
        <v>#REF!</v>
      </c>
      <c r="GR311" t="e">
        <f>IF(#REF!,"AAAAAHn/u8c=",0)</f>
        <v>#REF!</v>
      </c>
      <c r="GS311" t="e">
        <f>IF(#REF!,"AAAAAHn/u8g=",0)</f>
        <v>#REF!</v>
      </c>
      <c r="GT311" t="e">
        <f>IF(#REF!,"AAAAAHn/u8k=",0)</f>
        <v>#REF!</v>
      </c>
      <c r="GU311" t="e">
        <f>IF(#REF!,"AAAAAHn/u8o=",0)</f>
        <v>#REF!</v>
      </c>
      <c r="GV311" t="e">
        <f>IF(#REF!,"AAAAAHn/u8s=",0)</f>
        <v>#REF!</v>
      </c>
      <c r="GW311" t="e">
        <f>IF(#REF!,"AAAAAHn/u8w=",0)</f>
        <v>#REF!</v>
      </c>
      <c r="GX311" t="e">
        <f>IF(#REF!,"AAAAAHn/u80=",0)</f>
        <v>#REF!</v>
      </c>
      <c r="GY311" t="e">
        <f>IF(#REF!,"AAAAAHn/u84=",0)</f>
        <v>#REF!</v>
      </c>
      <c r="GZ311" t="e">
        <f>IF(#REF!,"AAAAAHn/u88=",0)</f>
        <v>#REF!</v>
      </c>
      <c r="HA311" t="e">
        <f>IF(#REF!,"AAAAAHn/u9A=",0)</f>
        <v>#REF!</v>
      </c>
      <c r="HB311" t="e">
        <f>IF(#REF!,"AAAAAHn/u9E=",0)</f>
        <v>#REF!</v>
      </c>
      <c r="HC311" t="e">
        <f>IF(#REF!,"AAAAAHn/u9I=",0)</f>
        <v>#REF!</v>
      </c>
      <c r="HD311" t="e">
        <f>IF(#REF!,"AAAAAHn/u9M=",0)</f>
        <v>#REF!</v>
      </c>
      <c r="HE311" t="e">
        <f>IF(#REF!,"AAAAAHn/u9Q=",0)</f>
        <v>#REF!</v>
      </c>
      <c r="HF311" t="e">
        <f>IF(#REF!,"AAAAAHn/u9U=",0)</f>
        <v>#REF!</v>
      </c>
      <c r="HG311" t="e">
        <f>IF(#REF!,"AAAAAHn/u9Y=",0)</f>
        <v>#REF!</v>
      </c>
      <c r="HH311" t="e">
        <f>IF(#REF!,"AAAAAHn/u9c=",0)</f>
        <v>#REF!</v>
      </c>
      <c r="HI311" t="e">
        <f>IF(#REF!,"AAAAAHn/u9g=",0)</f>
        <v>#REF!</v>
      </c>
      <c r="HJ311" t="e">
        <f>IF(#REF!,"AAAAAHn/u9k=",0)</f>
        <v>#REF!</v>
      </c>
      <c r="HK311" t="e">
        <f>IF(#REF!,"AAAAAHn/u9o=",0)</f>
        <v>#REF!</v>
      </c>
      <c r="HL311" t="e">
        <f>IF(#REF!,"AAAAAHn/u9s=",0)</f>
        <v>#REF!</v>
      </c>
      <c r="HM311" t="e">
        <f>IF(#REF!,"AAAAAHn/u9w=",0)</f>
        <v>#REF!</v>
      </c>
      <c r="HN311" t="e">
        <f>IF(#REF!,"AAAAAHn/u90=",0)</f>
        <v>#REF!</v>
      </c>
      <c r="HO311" t="e">
        <f>IF(#REF!,"AAAAAHn/u94=",0)</f>
        <v>#REF!</v>
      </c>
      <c r="HP311" t="e">
        <f>IF(#REF!,"AAAAAHn/u98=",0)</f>
        <v>#REF!</v>
      </c>
      <c r="HQ311" t="e">
        <f>IF(#REF!,"AAAAAHn/u+A=",0)</f>
        <v>#REF!</v>
      </c>
      <c r="HR311" t="e">
        <f>IF(#REF!,"AAAAAHn/u+E=",0)</f>
        <v>#REF!</v>
      </c>
      <c r="HS311" t="e">
        <f>IF(#REF!,"AAAAAHn/u+I=",0)</f>
        <v>#REF!</v>
      </c>
      <c r="HT311" t="e">
        <f>IF(#REF!,"AAAAAHn/u+M=",0)</f>
        <v>#REF!</v>
      </c>
      <c r="HU311" t="e">
        <f>IF(#REF!,"AAAAAHn/u+Q=",0)</f>
        <v>#REF!</v>
      </c>
      <c r="HV311" t="e">
        <f>IF(#REF!,"AAAAAHn/u+U=",0)</f>
        <v>#REF!</v>
      </c>
      <c r="HW311" t="e">
        <f>IF(#REF!,"AAAAAHn/u+Y=",0)</f>
        <v>#REF!</v>
      </c>
      <c r="HX311" t="e">
        <f>IF(#REF!,"AAAAAHn/u+c=",0)</f>
        <v>#REF!</v>
      </c>
      <c r="HY311" t="e">
        <f>IF(#REF!,"AAAAAHn/u+g=",0)</f>
        <v>#REF!</v>
      </c>
      <c r="HZ311" t="e">
        <f>IF(#REF!,"AAAAAHn/u+k=",0)</f>
        <v>#REF!</v>
      </c>
      <c r="IA311" t="e">
        <f>IF(#REF!,"AAAAAHn/u+o=",0)</f>
        <v>#REF!</v>
      </c>
      <c r="IB311" t="e">
        <f>IF(#REF!,"AAAAAHn/u+s=",0)</f>
        <v>#REF!</v>
      </c>
      <c r="IC311" t="e">
        <f>IF(#REF!,"AAAAAHn/u+w=",0)</f>
        <v>#REF!</v>
      </c>
      <c r="ID311" t="e">
        <f>IF(#REF!,"AAAAAHn/u+0=",0)</f>
        <v>#REF!</v>
      </c>
      <c r="IE311" t="e">
        <f>IF(#REF!,"AAAAAHn/u+4=",0)</f>
        <v>#REF!</v>
      </c>
      <c r="IF311" t="e">
        <f>IF(#REF!,"AAAAAHn/u+8=",0)</f>
        <v>#REF!</v>
      </c>
      <c r="IG311" t="e">
        <f>IF(#REF!,"AAAAAHn/u/A=",0)</f>
        <v>#REF!</v>
      </c>
      <c r="IH311" t="e">
        <f>IF(#REF!,"AAAAAHn/u/E=",0)</f>
        <v>#REF!</v>
      </c>
      <c r="II311" t="e">
        <f>IF(#REF!,"AAAAAHn/u/I=",0)</f>
        <v>#REF!</v>
      </c>
      <c r="IJ311" t="e">
        <f>IF(#REF!,"AAAAAHn/u/M=",0)</f>
        <v>#REF!</v>
      </c>
      <c r="IK311" t="e">
        <f>IF(#REF!,"AAAAAHn/u/Q=",0)</f>
        <v>#REF!</v>
      </c>
      <c r="IL311" t="e">
        <f>IF(#REF!,"AAAAAHn/u/U=",0)</f>
        <v>#REF!</v>
      </c>
      <c r="IM311" t="e">
        <f>IF(#REF!,"AAAAAHn/u/Y=",0)</f>
        <v>#REF!</v>
      </c>
      <c r="IN311" t="e">
        <f>IF(#REF!,"AAAAAHn/u/c=",0)</f>
        <v>#REF!</v>
      </c>
      <c r="IO311" t="e">
        <f>IF(#REF!,"AAAAAHn/u/g=",0)</f>
        <v>#REF!</v>
      </c>
      <c r="IP311" t="e">
        <f>IF(#REF!,"AAAAAHn/u/k=",0)</f>
        <v>#REF!</v>
      </c>
      <c r="IQ311" t="e">
        <f>IF(#REF!,"AAAAAHn/u/o=",0)</f>
        <v>#REF!</v>
      </c>
      <c r="IR311" t="e">
        <f>IF(#REF!,"AAAAAHn/u/s=",0)</f>
        <v>#REF!</v>
      </c>
      <c r="IS311" t="e">
        <f>IF(#REF!,"AAAAAHn/u/w=",0)</f>
        <v>#REF!</v>
      </c>
      <c r="IT311" t="e">
        <f>IF(#REF!,"AAAAAHn/u/0=",0)</f>
        <v>#REF!</v>
      </c>
      <c r="IU311" t="e">
        <f>IF(#REF!,"AAAAAHn/u/4=",0)</f>
        <v>#REF!</v>
      </c>
      <c r="IV311" t="e">
        <f>IF(#REF!,"AAAAAHn/u/8=",0)</f>
        <v>#REF!</v>
      </c>
    </row>
    <row r="312" spans="1:256">
      <c r="A312" t="e">
        <f>IF(#REF!,"AAAAAH/+/wA=",0)</f>
        <v>#REF!</v>
      </c>
      <c r="B312" t="e">
        <f>IF(#REF!,"AAAAAH/+/wE=",0)</f>
        <v>#REF!</v>
      </c>
      <c r="C312" t="e">
        <f>IF(#REF!,"AAAAAH/+/wI=",0)</f>
        <v>#REF!</v>
      </c>
      <c r="D312" t="e">
        <f>IF(#REF!,"AAAAAH/+/wM=",0)</f>
        <v>#REF!</v>
      </c>
      <c r="E312" t="e">
        <f>IF(#REF!,"AAAAAH/+/wQ=",0)</f>
        <v>#REF!</v>
      </c>
      <c r="F312" t="e">
        <f>IF(#REF!,"AAAAAH/+/wU=",0)</f>
        <v>#REF!</v>
      </c>
      <c r="G312" t="e">
        <f>IF(#REF!,"AAAAAH/+/wY=",0)</f>
        <v>#REF!</v>
      </c>
      <c r="H312" t="e">
        <f>IF(#REF!,"AAAAAH/+/wc=",0)</f>
        <v>#REF!</v>
      </c>
      <c r="I312" t="e">
        <f>IF(#REF!,"AAAAAH/+/wg=",0)</f>
        <v>#REF!</v>
      </c>
      <c r="J312" t="e">
        <f>IF(#REF!,"AAAAAH/+/wk=",0)</f>
        <v>#REF!</v>
      </c>
      <c r="K312" t="e">
        <f>IF(#REF!,"AAAAAH/+/wo=",0)</f>
        <v>#REF!</v>
      </c>
      <c r="L312" t="e">
        <f>IF(#REF!,"AAAAAH/+/ws=",0)</f>
        <v>#REF!</v>
      </c>
      <c r="M312" t="e">
        <f>IF(#REF!,"AAAAAH/+/ww=",0)</f>
        <v>#REF!</v>
      </c>
      <c r="N312" t="e">
        <f>IF(#REF!,"AAAAAH/+/w0=",0)</f>
        <v>#REF!</v>
      </c>
      <c r="O312" t="e">
        <f>IF(#REF!,"AAAAAH/+/w4=",0)</f>
        <v>#REF!</v>
      </c>
      <c r="P312" t="e">
        <f>IF(#REF!,"AAAAAH/+/w8=",0)</f>
        <v>#REF!</v>
      </c>
      <c r="Q312" t="e">
        <f>IF(#REF!,"AAAAAH/+/xA=",0)</f>
        <v>#REF!</v>
      </c>
      <c r="R312" t="e">
        <f>IF(#REF!,"AAAAAH/+/xE=",0)</f>
        <v>#REF!</v>
      </c>
      <c r="S312" t="e">
        <f>IF(#REF!,"AAAAAH/+/xI=",0)</f>
        <v>#REF!</v>
      </c>
      <c r="T312" t="e">
        <f>IF(#REF!,"AAAAAH/+/xM=",0)</f>
        <v>#REF!</v>
      </c>
      <c r="U312" t="e">
        <f>IF(#REF!,"AAAAAH/+/xQ=",0)</f>
        <v>#REF!</v>
      </c>
      <c r="V312" t="e">
        <f>IF(#REF!,"AAAAAH/+/xU=",0)</f>
        <v>#REF!</v>
      </c>
      <c r="W312" t="e">
        <f>IF(#REF!,"AAAAAH/+/xY=",0)</f>
        <v>#REF!</v>
      </c>
      <c r="X312" t="e">
        <f>IF(#REF!,"AAAAAH/+/xc=",0)</f>
        <v>#REF!</v>
      </c>
      <c r="Y312" t="e">
        <f>IF(#REF!,"AAAAAH/+/xg=",0)</f>
        <v>#REF!</v>
      </c>
      <c r="Z312" t="e">
        <f>IF(#REF!,"AAAAAH/+/xk=",0)</f>
        <v>#REF!</v>
      </c>
      <c r="AA312" t="e">
        <f>IF(#REF!,"AAAAAH/+/xo=",0)</f>
        <v>#REF!</v>
      </c>
      <c r="AB312" t="e">
        <f>IF(#REF!,"AAAAAH/+/xs=",0)</f>
        <v>#REF!</v>
      </c>
      <c r="AC312" t="e">
        <f>IF(#REF!,"AAAAAH/+/xw=",0)</f>
        <v>#REF!</v>
      </c>
      <c r="AD312" t="e">
        <f>IF(#REF!,"AAAAAH/+/x0=",0)</f>
        <v>#REF!</v>
      </c>
      <c r="AE312" t="e">
        <f>IF(#REF!,"AAAAAH/+/x4=",0)</f>
        <v>#REF!</v>
      </c>
      <c r="AF312" t="e">
        <f>IF(#REF!,"AAAAAH/+/x8=",0)</f>
        <v>#REF!</v>
      </c>
      <c r="AG312" t="e">
        <f>IF(#REF!,"AAAAAH/+/yA=",0)</f>
        <v>#REF!</v>
      </c>
      <c r="AH312" t="e">
        <f>IF(#REF!,"AAAAAH/+/yE=",0)</f>
        <v>#REF!</v>
      </c>
      <c r="AI312" t="e">
        <f>IF(#REF!,"AAAAAH/+/yI=",0)</f>
        <v>#REF!</v>
      </c>
      <c r="AJ312" t="e">
        <f>IF(#REF!,"AAAAAH/+/yM=",0)</f>
        <v>#REF!</v>
      </c>
      <c r="AK312" t="e">
        <f>IF(#REF!,"AAAAAH/+/yQ=",0)</f>
        <v>#REF!</v>
      </c>
      <c r="AL312" t="e">
        <f>IF(#REF!,"AAAAAH/+/yU=",0)</f>
        <v>#REF!</v>
      </c>
      <c r="AM312" t="e">
        <f>IF(#REF!,"AAAAAH/+/yY=",0)</f>
        <v>#REF!</v>
      </c>
      <c r="AN312" t="e">
        <f>IF(#REF!,"AAAAAH/+/yc=",0)</f>
        <v>#REF!</v>
      </c>
      <c r="AO312" t="e">
        <f>IF(#REF!,"AAAAAH/+/yg=",0)</f>
        <v>#REF!</v>
      </c>
      <c r="AP312" t="e">
        <f>IF(#REF!,"AAAAAH/+/yk=",0)</f>
        <v>#REF!</v>
      </c>
      <c r="AQ312" t="e">
        <f>IF(#REF!,"AAAAAH/+/yo=",0)</f>
        <v>#REF!</v>
      </c>
      <c r="AR312" t="e">
        <f>IF(#REF!,"AAAAAH/+/ys=",0)</f>
        <v>#REF!</v>
      </c>
      <c r="AS312" t="e">
        <f>IF(#REF!,"AAAAAH/+/yw=",0)</f>
        <v>#REF!</v>
      </c>
      <c r="AT312" t="e">
        <f>IF(#REF!,"AAAAAH/+/y0=",0)</f>
        <v>#REF!</v>
      </c>
      <c r="AU312" t="e">
        <f>IF(#REF!,"AAAAAH/+/y4=",0)</f>
        <v>#REF!</v>
      </c>
      <c r="AV312" t="e">
        <f>IF(#REF!,"AAAAAH/+/y8=",0)</f>
        <v>#REF!</v>
      </c>
      <c r="AW312" t="e">
        <f>IF(#REF!,"AAAAAH/+/zA=",0)</f>
        <v>#REF!</v>
      </c>
      <c r="AX312" t="e">
        <f>IF(#REF!,"AAAAAH/+/zE=",0)</f>
        <v>#REF!</v>
      </c>
      <c r="AY312" t="e">
        <f>IF(#REF!,"AAAAAH/+/zI=",0)</f>
        <v>#REF!</v>
      </c>
      <c r="AZ312" t="e">
        <f>IF(#REF!,"AAAAAH/+/zM=",0)</f>
        <v>#REF!</v>
      </c>
      <c r="BA312" t="e">
        <f>IF(#REF!,"AAAAAH/+/zQ=",0)</f>
        <v>#REF!</v>
      </c>
      <c r="BB312" t="e">
        <f>IF(#REF!,"AAAAAH/+/zU=",0)</f>
        <v>#REF!</v>
      </c>
      <c r="BC312" t="e">
        <f>IF(#REF!,"AAAAAH/+/zY=",0)</f>
        <v>#REF!</v>
      </c>
      <c r="BD312" t="e">
        <f>IF(#REF!,"AAAAAH/+/zc=",0)</f>
        <v>#REF!</v>
      </c>
      <c r="BE312" t="e">
        <f>IF(#REF!,"AAAAAH/+/zg=",0)</f>
        <v>#REF!</v>
      </c>
      <c r="BF312" t="e">
        <f>IF(#REF!,"AAAAAH/+/zk=",0)</f>
        <v>#REF!</v>
      </c>
      <c r="BG312" t="e">
        <f>IF(#REF!,"AAAAAH/+/zo=",0)</f>
        <v>#REF!</v>
      </c>
      <c r="BH312" t="e">
        <f>IF(#REF!,"AAAAAH/+/zs=",0)</f>
        <v>#REF!</v>
      </c>
      <c r="BI312" t="e">
        <f>IF(#REF!,"AAAAAH/+/zw=",0)</f>
        <v>#REF!</v>
      </c>
      <c r="BJ312" t="e">
        <f>IF(#REF!,"AAAAAH/+/z0=",0)</f>
        <v>#REF!</v>
      </c>
      <c r="BK312" t="e">
        <f>IF(#REF!,"AAAAAH/+/z4=",0)</f>
        <v>#REF!</v>
      </c>
      <c r="BL312" t="e">
        <f>IF(#REF!,"AAAAAH/+/z8=",0)</f>
        <v>#REF!</v>
      </c>
      <c r="BM312" t="e">
        <f>IF(#REF!,"AAAAAH/+/0A=",0)</f>
        <v>#REF!</v>
      </c>
      <c r="BN312" t="e">
        <f>IF(#REF!,"AAAAAH/+/0E=",0)</f>
        <v>#REF!</v>
      </c>
      <c r="BO312" t="e">
        <f>IF(#REF!,"AAAAAH/+/0I=",0)</f>
        <v>#REF!</v>
      </c>
      <c r="BP312" t="e">
        <f>IF(#REF!,"AAAAAH/+/0M=",0)</f>
        <v>#REF!</v>
      </c>
      <c r="BQ312" t="e">
        <f>IF(#REF!,"AAAAAH/+/0Q=",0)</f>
        <v>#REF!</v>
      </c>
      <c r="BR312" t="e">
        <f>IF(#REF!,"AAAAAH/+/0U=",0)</f>
        <v>#REF!</v>
      </c>
      <c r="BS312" t="e">
        <f>IF(#REF!,"AAAAAH/+/0Y=",0)</f>
        <v>#REF!</v>
      </c>
      <c r="BT312" t="e">
        <f>IF(#REF!,"AAAAAH/+/0c=",0)</f>
        <v>#REF!</v>
      </c>
      <c r="BU312" t="e">
        <f>IF(#REF!,"AAAAAH/+/0g=",0)</f>
        <v>#REF!</v>
      </c>
      <c r="BV312" t="e">
        <f>IF(#REF!,"AAAAAH/+/0k=",0)</f>
        <v>#REF!</v>
      </c>
      <c r="BW312" t="e">
        <f>IF(#REF!,"AAAAAH/+/0o=",0)</f>
        <v>#REF!</v>
      </c>
      <c r="BX312" t="e">
        <f>IF(#REF!,"AAAAAH/+/0s=",0)</f>
        <v>#REF!</v>
      </c>
      <c r="BY312" t="e">
        <f>IF(#REF!,"AAAAAH/+/0w=",0)</f>
        <v>#REF!</v>
      </c>
      <c r="BZ312" t="e">
        <f>IF(#REF!,"AAAAAH/+/00=",0)</f>
        <v>#REF!</v>
      </c>
      <c r="CA312" t="e">
        <f>IF(#REF!,"AAAAAH/+/04=",0)</f>
        <v>#REF!</v>
      </c>
      <c r="CB312" t="e">
        <f>IF(#REF!,"AAAAAH/+/08=",0)</f>
        <v>#REF!</v>
      </c>
      <c r="CC312" t="e">
        <f>IF(#REF!,"AAAAAH/+/1A=",0)</f>
        <v>#REF!</v>
      </c>
      <c r="CD312" t="e">
        <f>IF(#REF!,"AAAAAH/+/1E=",0)</f>
        <v>#REF!</v>
      </c>
      <c r="CE312" t="e">
        <f>IF(#REF!,"AAAAAH/+/1I=",0)</f>
        <v>#REF!</v>
      </c>
      <c r="CF312" t="e">
        <f>IF(#REF!,"AAAAAH/+/1M=",0)</f>
        <v>#REF!</v>
      </c>
      <c r="CG312" t="e">
        <f>IF(#REF!,"AAAAAH/+/1Q=",0)</f>
        <v>#REF!</v>
      </c>
      <c r="CH312" t="e">
        <f>IF(#REF!,"AAAAAH/+/1U=",0)</f>
        <v>#REF!</v>
      </c>
      <c r="CI312" t="e">
        <f>IF(#REF!,"AAAAAH/+/1Y=",0)</f>
        <v>#REF!</v>
      </c>
      <c r="CJ312" t="e">
        <f>IF(#REF!,"AAAAAH/+/1c=",0)</f>
        <v>#REF!</v>
      </c>
      <c r="CK312" t="e">
        <f>IF(#REF!,"AAAAAH/+/1g=",0)</f>
        <v>#REF!</v>
      </c>
      <c r="CL312" t="e">
        <f>IF(#REF!,"AAAAAH/+/1k=",0)</f>
        <v>#REF!</v>
      </c>
      <c r="CM312" t="e">
        <f>IF(#REF!,"AAAAAH/+/1o=",0)</f>
        <v>#REF!</v>
      </c>
      <c r="CN312" t="e">
        <f>IF(#REF!,"AAAAAH/+/1s=",0)</f>
        <v>#REF!</v>
      </c>
      <c r="CO312" t="e">
        <f>IF(#REF!,"AAAAAH/+/1w=",0)</f>
        <v>#REF!</v>
      </c>
      <c r="CP312" t="e">
        <f>IF(#REF!,"AAAAAH/+/10=",0)</f>
        <v>#REF!</v>
      </c>
      <c r="CQ312" t="e">
        <f>IF(#REF!,"AAAAAH/+/14=",0)</f>
        <v>#REF!</v>
      </c>
      <c r="CR312" t="e">
        <f>IF(#REF!,"AAAAAH/+/18=",0)</f>
        <v>#REF!</v>
      </c>
      <c r="CS312" t="e">
        <f>IF(#REF!,"AAAAAH/+/2A=",0)</f>
        <v>#REF!</v>
      </c>
      <c r="CT312" t="e">
        <f>IF(#REF!,"AAAAAH/+/2E=",0)</f>
        <v>#REF!</v>
      </c>
      <c r="CU312" t="e">
        <f>IF(#REF!,"AAAAAH/+/2I=",0)</f>
        <v>#REF!</v>
      </c>
      <c r="CV312" t="e">
        <f>IF(#REF!,"AAAAAH/+/2M=",0)</f>
        <v>#REF!</v>
      </c>
      <c r="CW312" t="e">
        <f>IF(#REF!,"AAAAAH/+/2Q=",0)</f>
        <v>#REF!</v>
      </c>
      <c r="CX312" t="e">
        <f>IF(#REF!,"AAAAAH/+/2U=",0)</f>
        <v>#REF!</v>
      </c>
      <c r="CY312" t="e">
        <f>IF(#REF!,"AAAAAH/+/2Y=",0)</f>
        <v>#REF!</v>
      </c>
      <c r="CZ312" t="e">
        <f>IF(#REF!,"AAAAAH/+/2c=",0)</f>
        <v>#REF!</v>
      </c>
      <c r="DA312" t="e">
        <f>IF(#REF!,"AAAAAH/+/2g=",0)</f>
        <v>#REF!</v>
      </c>
      <c r="DB312" t="e">
        <f>IF(#REF!,"AAAAAH/+/2k=",0)</f>
        <v>#REF!</v>
      </c>
      <c r="DC312" t="e">
        <f>IF(#REF!,"AAAAAH/+/2o=",0)</f>
        <v>#REF!</v>
      </c>
      <c r="DD312" t="e">
        <f>IF(#REF!,"AAAAAH/+/2s=",0)</f>
        <v>#REF!</v>
      </c>
      <c r="DE312" t="e">
        <f>IF(#REF!,"AAAAAH/+/2w=",0)</f>
        <v>#REF!</v>
      </c>
      <c r="DF312" t="e">
        <f>IF(#REF!,"AAAAAH/+/20=",0)</f>
        <v>#REF!</v>
      </c>
      <c r="DG312" t="e">
        <f>IF(#REF!,"AAAAAH/+/24=",0)</f>
        <v>#REF!</v>
      </c>
      <c r="DH312" t="e">
        <f>IF(#REF!,"AAAAAH/+/28=",0)</f>
        <v>#REF!</v>
      </c>
      <c r="DI312" t="e">
        <f>IF(#REF!,"AAAAAH/+/3A=",0)</f>
        <v>#REF!</v>
      </c>
      <c r="DJ312" t="e">
        <f>IF(#REF!,"AAAAAH/+/3E=",0)</f>
        <v>#REF!</v>
      </c>
      <c r="DK312" t="e">
        <f>IF(#REF!,"AAAAAH/+/3I=",0)</f>
        <v>#REF!</v>
      </c>
      <c r="DL312" t="e">
        <f>IF(#REF!,"AAAAAH/+/3M=",0)</f>
        <v>#REF!</v>
      </c>
      <c r="DM312" t="e">
        <f>IF(#REF!,"AAAAAH/+/3Q=",0)</f>
        <v>#REF!</v>
      </c>
      <c r="DN312" t="e">
        <f>IF(#REF!,"AAAAAH/+/3U=",0)</f>
        <v>#REF!</v>
      </c>
      <c r="DO312" t="e">
        <f>IF(#REF!,"AAAAAH/+/3Y=",0)</f>
        <v>#REF!</v>
      </c>
      <c r="DP312" t="e">
        <f>IF(#REF!,"AAAAAH/+/3c=",0)</f>
        <v>#REF!</v>
      </c>
      <c r="DQ312" t="e">
        <f>IF(#REF!,"AAAAAH/+/3g=",0)</f>
        <v>#REF!</v>
      </c>
      <c r="DR312" t="e">
        <f>IF(#REF!,"AAAAAH/+/3k=",0)</f>
        <v>#REF!</v>
      </c>
      <c r="DS312" t="e">
        <f>IF(#REF!,"AAAAAH/+/3o=",0)</f>
        <v>#REF!</v>
      </c>
      <c r="DT312" t="e">
        <f>IF(#REF!,"AAAAAH/+/3s=",0)</f>
        <v>#REF!</v>
      </c>
      <c r="DU312" t="e">
        <f>IF(#REF!,"AAAAAH/+/3w=",0)</f>
        <v>#REF!</v>
      </c>
      <c r="DV312" t="e">
        <f>IF(#REF!,"AAAAAH/+/30=",0)</f>
        <v>#REF!</v>
      </c>
      <c r="DW312" t="e">
        <f>IF(#REF!,"AAAAAH/+/34=",0)</f>
        <v>#REF!</v>
      </c>
      <c r="DX312" t="e">
        <f>IF(#REF!,"AAAAAH/+/38=",0)</f>
        <v>#REF!</v>
      </c>
      <c r="DY312" t="e">
        <f>IF(#REF!,"AAAAAH/+/4A=",0)</f>
        <v>#REF!</v>
      </c>
      <c r="DZ312" t="e">
        <f>IF(#REF!,"AAAAAH/+/4E=",0)</f>
        <v>#REF!</v>
      </c>
      <c r="EA312" t="e">
        <f>IF(#REF!,"AAAAAH/+/4I=",0)</f>
        <v>#REF!</v>
      </c>
      <c r="EB312" t="e">
        <f>IF(#REF!,"AAAAAH/+/4M=",0)</f>
        <v>#REF!</v>
      </c>
      <c r="EC312" t="e">
        <f>IF(#REF!,"AAAAAH/+/4Q=",0)</f>
        <v>#REF!</v>
      </c>
      <c r="ED312" t="e">
        <f>IF(#REF!,"AAAAAH/+/4U=",0)</f>
        <v>#REF!</v>
      </c>
      <c r="EE312" t="e">
        <f>IF(#REF!,"AAAAAH/+/4Y=",0)</f>
        <v>#REF!</v>
      </c>
      <c r="EF312" t="e">
        <f>IF(#REF!,"AAAAAH/+/4c=",0)</f>
        <v>#REF!</v>
      </c>
      <c r="EG312" t="e">
        <f>IF(#REF!,"AAAAAH/+/4g=",0)</f>
        <v>#REF!</v>
      </c>
      <c r="EH312" t="e">
        <f>IF(#REF!,"AAAAAH/+/4k=",0)</f>
        <v>#REF!</v>
      </c>
      <c r="EI312" t="e">
        <f>IF(#REF!,"AAAAAH/+/4o=",0)</f>
        <v>#REF!</v>
      </c>
      <c r="EJ312" t="e">
        <f>IF(#REF!,"AAAAAH/+/4s=",0)</f>
        <v>#REF!</v>
      </c>
      <c r="EK312" t="e">
        <f>IF(#REF!,"AAAAAH/+/4w=",0)</f>
        <v>#REF!</v>
      </c>
      <c r="EL312" t="e">
        <f>IF(#REF!,"AAAAAH/+/40=",0)</f>
        <v>#REF!</v>
      </c>
      <c r="EM312" t="e">
        <f>IF(#REF!,"AAAAAH/+/44=",0)</f>
        <v>#REF!</v>
      </c>
      <c r="EN312" t="e">
        <f>IF(#REF!,"AAAAAH/+/48=",0)</f>
        <v>#REF!</v>
      </c>
      <c r="EO312" t="e">
        <f>IF(#REF!,"AAAAAH/+/5A=",0)</f>
        <v>#REF!</v>
      </c>
      <c r="EP312" t="e">
        <f>IF(#REF!,"AAAAAH/+/5E=",0)</f>
        <v>#REF!</v>
      </c>
      <c r="EQ312" t="e">
        <f>IF(#REF!,"AAAAAH/+/5I=",0)</f>
        <v>#REF!</v>
      </c>
      <c r="ER312" t="e">
        <f>IF(#REF!,"AAAAAH/+/5M=",0)</f>
        <v>#REF!</v>
      </c>
      <c r="ES312" t="e">
        <f>IF(#REF!,"AAAAAH/+/5Q=",0)</f>
        <v>#REF!</v>
      </c>
      <c r="ET312" t="e">
        <f>IF(#REF!,"AAAAAH/+/5U=",0)</f>
        <v>#REF!</v>
      </c>
      <c r="EU312" t="e">
        <f>IF(#REF!,"AAAAAH/+/5Y=",0)</f>
        <v>#REF!</v>
      </c>
      <c r="EV312" t="e">
        <f>IF(#REF!,"AAAAAH/+/5c=",0)</f>
        <v>#REF!</v>
      </c>
      <c r="EW312" t="e">
        <f>IF(#REF!,"AAAAAH/+/5g=",0)</f>
        <v>#REF!</v>
      </c>
      <c r="EX312" t="e">
        <f>IF(#REF!,"AAAAAH/+/5k=",0)</f>
        <v>#REF!</v>
      </c>
      <c r="EY312" t="e">
        <f>IF(#REF!,"AAAAAH/+/5o=",0)</f>
        <v>#REF!</v>
      </c>
      <c r="EZ312" t="e">
        <f>IF(#REF!,"AAAAAH/+/5s=",0)</f>
        <v>#REF!</v>
      </c>
      <c r="FA312" t="e">
        <f>IF(#REF!,"AAAAAH/+/5w=",0)</f>
        <v>#REF!</v>
      </c>
      <c r="FB312" t="e">
        <f>IF(#REF!,"AAAAAH/+/50=",0)</f>
        <v>#REF!</v>
      </c>
      <c r="FC312" t="e">
        <f>IF(#REF!,"AAAAAH/+/54=",0)</f>
        <v>#REF!</v>
      </c>
      <c r="FD312" t="e">
        <f>IF(#REF!,"AAAAAH/+/58=",0)</f>
        <v>#REF!</v>
      </c>
      <c r="FE312" t="e">
        <f>IF(#REF!,"AAAAAH/+/6A=",0)</f>
        <v>#REF!</v>
      </c>
      <c r="FF312" t="e">
        <f>IF(#REF!,"AAAAAH/+/6E=",0)</f>
        <v>#REF!</v>
      </c>
      <c r="FG312" t="e">
        <f>IF(#REF!,"AAAAAH/+/6I=",0)</f>
        <v>#REF!</v>
      </c>
      <c r="FH312" t="e">
        <f>IF(#REF!,"AAAAAH/+/6M=",0)</f>
        <v>#REF!</v>
      </c>
      <c r="FI312" t="e">
        <f>IF(#REF!,"AAAAAH/+/6Q=",0)</f>
        <v>#REF!</v>
      </c>
      <c r="FJ312" t="e">
        <f>IF(#REF!,"AAAAAH/+/6U=",0)</f>
        <v>#REF!</v>
      </c>
      <c r="FK312" t="e">
        <f>IF(#REF!,"AAAAAH/+/6Y=",0)</f>
        <v>#REF!</v>
      </c>
      <c r="FL312" t="e">
        <f>IF(#REF!,"AAAAAH/+/6c=",0)</f>
        <v>#REF!</v>
      </c>
      <c r="FM312" t="e">
        <f>IF(#REF!,"AAAAAH/+/6g=",0)</f>
        <v>#REF!</v>
      </c>
      <c r="FN312" t="e">
        <f>IF(#REF!,"AAAAAH/+/6k=",0)</f>
        <v>#REF!</v>
      </c>
      <c r="FO312" t="e">
        <f>IF(#REF!,"AAAAAH/+/6o=",0)</f>
        <v>#REF!</v>
      </c>
      <c r="FP312" t="e">
        <f>IF(#REF!,"AAAAAH/+/6s=",0)</f>
        <v>#REF!</v>
      </c>
      <c r="FQ312" t="e">
        <f>IF(#REF!,"AAAAAH/+/6w=",0)</f>
        <v>#REF!</v>
      </c>
      <c r="FR312" t="e">
        <f>IF(#REF!,"AAAAAH/+/60=",0)</f>
        <v>#REF!</v>
      </c>
      <c r="FS312" t="e">
        <f>IF(#REF!,"AAAAAH/+/64=",0)</f>
        <v>#REF!</v>
      </c>
      <c r="FT312" t="e">
        <f>IF(#REF!,"AAAAAH/+/68=",0)</f>
        <v>#REF!</v>
      </c>
      <c r="FU312" t="e">
        <f>IF(#REF!,"AAAAAH/+/7A=",0)</f>
        <v>#REF!</v>
      </c>
      <c r="FV312" t="e">
        <f>IF(#REF!,"AAAAAH/+/7E=",0)</f>
        <v>#REF!</v>
      </c>
      <c r="FW312" t="e">
        <f>IF(#REF!,"AAAAAH/+/7I=",0)</f>
        <v>#REF!</v>
      </c>
      <c r="FX312" t="e">
        <f>IF(#REF!,"AAAAAH/+/7M=",0)</f>
        <v>#REF!</v>
      </c>
      <c r="FY312" t="e">
        <f>IF(#REF!,"AAAAAH/+/7Q=",0)</f>
        <v>#REF!</v>
      </c>
      <c r="FZ312" t="e">
        <f>IF(#REF!,"AAAAAH/+/7U=",0)</f>
        <v>#REF!</v>
      </c>
      <c r="GA312" t="e">
        <f>IF(#REF!,"AAAAAH/+/7Y=",0)</f>
        <v>#REF!</v>
      </c>
      <c r="GB312" t="e">
        <f>IF(#REF!,"AAAAAH/+/7c=",0)</f>
        <v>#REF!</v>
      </c>
      <c r="GC312" t="e">
        <f>IF(#REF!,"AAAAAH/+/7g=",0)</f>
        <v>#REF!</v>
      </c>
      <c r="GD312" t="e">
        <f>IF(#REF!,"AAAAAH/+/7k=",0)</f>
        <v>#REF!</v>
      </c>
      <c r="GE312" t="e">
        <f>IF(#REF!,"AAAAAH/+/7o=",0)</f>
        <v>#REF!</v>
      </c>
      <c r="GF312" t="e">
        <f>IF(#REF!,"AAAAAH/+/7s=",0)</f>
        <v>#REF!</v>
      </c>
      <c r="GG312" t="e">
        <f>IF(#REF!,"AAAAAH/+/7w=",0)</f>
        <v>#REF!</v>
      </c>
      <c r="GH312" t="e">
        <f>IF(#REF!,"AAAAAH/+/70=",0)</f>
        <v>#REF!</v>
      </c>
      <c r="GI312" t="e">
        <f>IF(#REF!,"AAAAAH/+/74=",0)</f>
        <v>#REF!</v>
      </c>
      <c r="GJ312" t="e">
        <f>IF(#REF!,"AAAAAH/+/78=",0)</f>
        <v>#REF!</v>
      </c>
      <c r="GK312" t="e">
        <f>IF(#REF!,"AAAAAH/+/8A=",0)</f>
        <v>#REF!</v>
      </c>
      <c r="GL312" t="e">
        <f>IF(#REF!,"AAAAAH/+/8E=",0)</f>
        <v>#REF!</v>
      </c>
      <c r="GM312" t="e">
        <f>IF(#REF!,"AAAAAH/+/8I=",0)</f>
        <v>#REF!</v>
      </c>
      <c r="GN312" t="e">
        <f>IF(#REF!,"AAAAAH/+/8M=",0)</f>
        <v>#REF!</v>
      </c>
      <c r="GO312" t="e">
        <f>IF(#REF!,"AAAAAH/+/8Q=",0)</f>
        <v>#REF!</v>
      </c>
      <c r="GP312" t="e">
        <f>IF(#REF!,"AAAAAH/+/8U=",0)</f>
        <v>#REF!</v>
      </c>
      <c r="GQ312" t="e">
        <f>IF(#REF!,"AAAAAH/+/8Y=",0)</f>
        <v>#REF!</v>
      </c>
      <c r="GR312" t="e">
        <f>IF(#REF!,"AAAAAH/+/8c=",0)</f>
        <v>#REF!</v>
      </c>
      <c r="GS312" t="e">
        <f>IF(#REF!,"AAAAAH/+/8g=",0)</f>
        <v>#REF!</v>
      </c>
      <c r="GT312" t="e">
        <f>IF(#REF!,"AAAAAH/+/8k=",0)</f>
        <v>#REF!</v>
      </c>
      <c r="GU312" t="e">
        <f>IF(#REF!,"AAAAAH/+/8o=",0)</f>
        <v>#REF!</v>
      </c>
      <c r="GV312" t="e">
        <f>IF(#REF!,"AAAAAH/+/8s=",0)</f>
        <v>#REF!</v>
      </c>
      <c r="GW312" t="e">
        <f>IF(#REF!,"AAAAAH/+/8w=",0)</f>
        <v>#REF!</v>
      </c>
      <c r="GX312" t="e">
        <f>IF(#REF!,"AAAAAH/+/80=",0)</f>
        <v>#REF!</v>
      </c>
      <c r="GY312" t="e">
        <f>IF(#REF!,"AAAAAH/+/84=",0)</f>
        <v>#REF!</v>
      </c>
      <c r="GZ312" t="e">
        <f>IF(#REF!,"AAAAAH/+/88=",0)</f>
        <v>#REF!</v>
      </c>
      <c r="HA312" t="e">
        <f>IF(#REF!,"AAAAAH/+/9A=",0)</f>
        <v>#REF!</v>
      </c>
      <c r="HB312" t="e">
        <f>IF(#REF!,"AAAAAH/+/9E=",0)</f>
        <v>#REF!</v>
      </c>
      <c r="HC312" t="e">
        <f>IF(#REF!,"AAAAAH/+/9I=",0)</f>
        <v>#REF!</v>
      </c>
      <c r="HD312" t="e">
        <f>IF(#REF!,"AAAAAH/+/9M=",0)</f>
        <v>#REF!</v>
      </c>
      <c r="HE312" t="e">
        <f>IF(#REF!,"AAAAAH/+/9Q=",0)</f>
        <v>#REF!</v>
      </c>
      <c r="HF312" t="e">
        <f>IF(#REF!,"AAAAAH/+/9U=",0)</f>
        <v>#REF!</v>
      </c>
      <c r="HG312" t="e">
        <f>IF(#REF!,"AAAAAH/+/9Y=",0)</f>
        <v>#REF!</v>
      </c>
      <c r="HH312" t="e">
        <f>IF(#REF!,"AAAAAH/+/9c=",0)</f>
        <v>#REF!</v>
      </c>
      <c r="HI312" t="e">
        <f>IF(#REF!,"AAAAAH/+/9g=",0)</f>
        <v>#REF!</v>
      </c>
      <c r="HJ312" t="e">
        <f>IF(#REF!,"AAAAAH/+/9k=",0)</f>
        <v>#REF!</v>
      </c>
      <c r="HK312" t="e">
        <f>IF(#REF!,"AAAAAH/+/9o=",0)</f>
        <v>#REF!</v>
      </c>
      <c r="HL312" t="e">
        <f>IF(#REF!,"AAAAAH/+/9s=",0)</f>
        <v>#REF!</v>
      </c>
      <c r="HM312" t="e">
        <f>IF(#REF!,"AAAAAH/+/9w=",0)</f>
        <v>#REF!</v>
      </c>
      <c r="HN312" t="e">
        <f>IF(#REF!,"AAAAAH/+/90=",0)</f>
        <v>#REF!</v>
      </c>
      <c r="HO312" t="e">
        <f>IF(#REF!,"AAAAAH/+/94=",0)</f>
        <v>#REF!</v>
      </c>
      <c r="HP312" t="e">
        <f>IF(#REF!,"AAAAAH/+/98=",0)</f>
        <v>#REF!</v>
      </c>
      <c r="HQ312" t="e">
        <f>IF(#REF!,"AAAAAH/+/+A=",0)</f>
        <v>#REF!</v>
      </c>
      <c r="HR312" t="e">
        <f>IF(#REF!,"AAAAAH/+/+E=",0)</f>
        <v>#REF!</v>
      </c>
      <c r="HS312" t="e">
        <f>IF(#REF!,"AAAAAH/+/+I=",0)</f>
        <v>#REF!</v>
      </c>
      <c r="HT312" t="e">
        <f>IF(#REF!,"AAAAAH/+/+M=",0)</f>
        <v>#REF!</v>
      </c>
      <c r="HU312" t="e">
        <f>IF(#REF!,"AAAAAH/+/+Q=",0)</f>
        <v>#REF!</v>
      </c>
      <c r="HV312" t="e">
        <f>IF(#REF!,"AAAAAH/+/+U=",0)</f>
        <v>#REF!</v>
      </c>
      <c r="HW312" t="e">
        <f>IF(#REF!,"AAAAAH/+/+Y=",0)</f>
        <v>#REF!</v>
      </c>
      <c r="HX312" t="e">
        <f>IF(#REF!,"AAAAAH/+/+c=",0)</f>
        <v>#REF!</v>
      </c>
      <c r="HY312" t="e">
        <f>IF(#REF!,"AAAAAH/+/+g=",0)</f>
        <v>#REF!</v>
      </c>
      <c r="HZ312" t="e">
        <f>IF(#REF!,"AAAAAH/+/+k=",0)</f>
        <v>#REF!</v>
      </c>
      <c r="IA312" t="e">
        <f>IF(#REF!,"AAAAAH/+/+o=",0)</f>
        <v>#REF!</v>
      </c>
      <c r="IB312" t="e">
        <f>IF(#REF!,"AAAAAH/+/+s=",0)</f>
        <v>#REF!</v>
      </c>
      <c r="IC312" t="e">
        <f>IF(#REF!,"AAAAAH/+/+w=",0)</f>
        <v>#REF!</v>
      </c>
      <c r="ID312" t="e">
        <f>IF(#REF!,"AAAAAH/+/+0=",0)</f>
        <v>#REF!</v>
      </c>
      <c r="IE312" t="e">
        <f>IF(#REF!,"AAAAAH/+/+4=",0)</f>
        <v>#REF!</v>
      </c>
      <c r="IF312" t="e">
        <f>IF(#REF!,"AAAAAH/+/+8=",0)</f>
        <v>#REF!</v>
      </c>
      <c r="IG312" t="e">
        <f>IF(#REF!,"AAAAAH/+//A=",0)</f>
        <v>#REF!</v>
      </c>
      <c r="IH312" t="e">
        <f>IF(#REF!,"AAAAAH/+//E=",0)</f>
        <v>#REF!</v>
      </c>
      <c r="II312" t="e">
        <f>IF(#REF!,"AAAAAH/+//I=",0)</f>
        <v>#REF!</v>
      </c>
      <c r="IJ312" t="e">
        <f>IF(#REF!,"AAAAAH/+//M=",0)</f>
        <v>#REF!</v>
      </c>
      <c r="IK312" t="e">
        <f>IF(#REF!,"AAAAAH/+//Q=",0)</f>
        <v>#REF!</v>
      </c>
      <c r="IL312" t="e">
        <f>IF(#REF!,"AAAAAH/+//U=",0)</f>
        <v>#REF!</v>
      </c>
      <c r="IM312" t="e">
        <f>IF(#REF!,"AAAAAH/+//Y=",0)</f>
        <v>#REF!</v>
      </c>
      <c r="IN312" t="e">
        <f>IF(#REF!,"AAAAAH/+//c=",0)</f>
        <v>#REF!</v>
      </c>
      <c r="IO312" t="e">
        <f>IF(#REF!,"AAAAAH/+//g=",0)</f>
        <v>#REF!</v>
      </c>
      <c r="IP312" t="e">
        <f>IF(#REF!,"AAAAAH/+//k=",0)</f>
        <v>#REF!</v>
      </c>
      <c r="IQ312" t="e">
        <f>IF(#REF!,"AAAAAH/+//o=",0)</f>
        <v>#REF!</v>
      </c>
      <c r="IR312" t="e">
        <f>IF(#REF!,"AAAAAH/+//s=",0)</f>
        <v>#REF!</v>
      </c>
      <c r="IS312" t="e">
        <f>IF(#REF!,"AAAAAH/+//w=",0)</f>
        <v>#REF!</v>
      </c>
      <c r="IT312" t="e">
        <f>IF(#REF!,"AAAAAH/+//0=",0)</f>
        <v>#REF!</v>
      </c>
      <c r="IU312" t="e">
        <f>IF(#REF!,"AAAAAH/+//4=",0)</f>
        <v>#REF!</v>
      </c>
      <c r="IV312" t="e">
        <f>IF(#REF!,"AAAAAH/+//8=",0)</f>
        <v>#REF!</v>
      </c>
    </row>
    <row r="313" spans="1:256">
      <c r="A313" t="e">
        <f>IF(#REF!,"AAAAAFh6XwA=",0)</f>
        <v>#REF!</v>
      </c>
      <c r="B313" t="e">
        <f>IF(#REF!,"AAAAAFh6XwE=",0)</f>
        <v>#REF!</v>
      </c>
      <c r="C313" t="e">
        <f>IF(#REF!,"AAAAAFh6XwI=",0)</f>
        <v>#REF!</v>
      </c>
      <c r="D313" t="e">
        <f>IF(#REF!,"AAAAAFh6XwM=",0)</f>
        <v>#REF!</v>
      </c>
      <c r="E313" t="e">
        <f>IF(#REF!,"AAAAAFh6XwQ=",0)</f>
        <v>#REF!</v>
      </c>
      <c r="F313" t="e">
        <f>IF(#REF!,"AAAAAFh6XwU=",0)</f>
        <v>#REF!</v>
      </c>
      <c r="G313" t="e">
        <f>IF(#REF!,"AAAAAFh6XwY=",0)</f>
        <v>#REF!</v>
      </c>
      <c r="H313" t="e">
        <f>IF(#REF!,"AAAAAFh6Xwc=",0)</f>
        <v>#REF!</v>
      </c>
      <c r="I313" t="e">
        <f>IF(#REF!,"AAAAAFh6Xwg=",0)</f>
        <v>#REF!</v>
      </c>
      <c r="J313" t="e">
        <f>IF(#REF!,"AAAAAFh6Xwk=",0)</f>
        <v>#REF!</v>
      </c>
      <c r="K313" t="e">
        <f>IF(#REF!,"AAAAAFh6Xwo=",0)</f>
        <v>#REF!</v>
      </c>
      <c r="L313" t="e">
        <f>IF(#REF!,"AAAAAFh6Xws=",0)</f>
        <v>#REF!</v>
      </c>
      <c r="M313" t="e">
        <f>IF(#REF!,"AAAAAFh6Xww=",0)</f>
        <v>#REF!</v>
      </c>
      <c r="N313" t="e">
        <f>IF(#REF!,"AAAAAFh6Xw0=",0)</f>
        <v>#REF!</v>
      </c>
      <c r="O313" t="e">
        <f>IF(#REF!,"AAAAAFh6Xw4=",0)</f>
        <v>#REF!</v>
      </c>
      <c r="P313" t="e">
        <f>IF(#REF!,"AAAAAFh6Xw8=",0)</f>
        <v>#REF!</v>
      </c>
      <c r="Q313" t="e">
        <f>IF(#REF!,"AAAAAFh6XxA=",0)</f>
        <v>#REF!</v>
      </c>
      <c r="R313" t="e">
        <f>IF(#REF!,"AAAAAFh6XxE=",0)</f>
        <v>#REF!</v>
      </c>
      <c r="S313" t="e">
        <f>IF(#REF!,"AAAAAFh6XxI=",0)</f>
        <v>#REF!</v>
      </c>
      <c r="T313" t="e">
        <f>IF(#REF!,"AAAAAFh6XxM=",0)</f>
        <v>#REF!</v>
      </c>
      <c r="U313" t="e">
        <f>IF(#REF!,"AAAAAFh6XxQ=",0)</f>
        <v>#REF!</v>
      </c>
      <c r="V313" t="e">
        <f>IF(#REF!,"AAAAAFh6XxU=",0)</f>
        <v>#REF!</v>
      </c>
      <c r="W313" t="e">
        <f>IF(#REF!,"AAAAAFh6XxY=",0)</f>
        <v>#REF!</v>
      </c>
      <c r="X313" t="e">
        <f>IF(#REF!,"AAAAAFh6Xxc=",0)</f>
        <v>#REF!</v>
      </c>
      <c r="Y313" t="e">
        <f>IF(#REF!,"AAAAAFh6Xxg=",0)</f>
        <v>#REF!</v>
      </c>
      <c r="Z313" t="e">
        <f>IF(#REF!,"AAAAAFh6Xxk=",0)</f>
        <v>#REF!</v>
      </c>
      <c r="AA313" t="e">
        <f>IF(#REF!,"AAAAAFh6Xxo=",0)</f>
        <v>#REF!</v>
      </c>
      <c r="AB313" t="e">
        <f>IF(#REF!,"AAAAAFh6Xxs=",0)</f>
        <v>#REF!</v>
      </c>
      <c r="AC313" t="e">
        <f>IF(#REF!,"AAAAAFh6Xxw=",0)</f>
        <v>#REF!</v>
      </c>
      <c r="AD313" t="e">
        <f>IF(#REF!,"AAAAAFh6Xx0=",0)</f>
        <v>#REF!</v>
      </c>
      <c r="AE313" t="e">
        <f>IF(#REF!,"AAAAAFh6Xx4=",0)</f>
        <v>#REF!</v>
      </c>
      <c r="AF313" t="e">
        <f>IF(#REF!,"AAAAAFh6Xx8=",0)</f>
        <v>#REF!</v>
      </c>
      <c r="AG313" t="e">
        <f>IF(#REF!,"AAAAAFh6XyA=",0)</f>
        <v>#REF!</v>
      </c>
      <c r="AH313" t="e">
        <f>IF(#REF!,"AAAAAFh6XyE=",0)</f>
        <v>#REF!</v>
      </c>
      <c r="AI313" t="e">
        <f>IF(#REF!,"AAAAAFh6XyI=",0)</f>
        <v>#REF!</v>
      </c>
      <c r="AJ313" t="e">
        <f>IF(#REF!,"AAAAAFh6XyM=",0)</f>
        <v>#REF!</v>
      </c>
      <c r="AK313" t="e">
        <f>IF(#REF!,"AAAAAFh6XyQ=",0)</f>
        <v>#REF!</v>
      </c>
      <c r="AL313" t="e">
        <f>IF(#REF!,"AAAAAFh6XyU=",0)</f>
        <v>#REF!</v>
      </c>
      <c r="AM313" t="e">
        <f>IF(#REF!,"AAAAAFh6XyY=",0)</f>
        <v>#REF!</v>
      </c>
      <c r="AN313" t="e">
        <f>IF(#REF!,"AAAAAFh6Xyc=",0)</f>
        <v>#REF!</v>
      </c>
      <c r="AO313" t="e">
        <f>IF(#REF!,"AAAAAFh6Xyg=",0)</f>
        <v>#REF!</v>
      </c>
      <c r="AP313" t="e">
        <f>IF(#REF!,"AAAAAFh6Xyk=",0)</f>
        <v>#REF!</v>
      </c>
      <c r="AQ313" t="e">
        <f>IF(#REF!,"AAAAAFh6Xyo=",0)</f>
        <v>#REF!</v>
      </c>
      <c r="AR313" t="e">
        <f>IF(#REF!,"AAAAAFh6Xys=",0)</f>
        <v>#REF!</v>
      </c>
      <c r="AS313" t="e">
        <f>IF(#REF!,"AAAAAFh6Xyw=",0)</f>
        <v>#REF!</v>
      </c>
      <c r="AT313" t="e">
        <f>IF(#REF!,"AAAAAFh6Xy0=",0)</f>
        <v>#REF!</v>
      </c>
      <c r="AU313" t="e">
        <f>IF(#REF!,"AAAAAFh6Xy4=",0)</f>
        <v>#REF!</v>
      </c>
      <c r="AV313" t="e">
        <f>IF(#REF!,"AAAAAFh6Xy8=",0)</f>
        <v>#REF!</v>
      </c>
      <c r="AW313" t="e">
        <f>IF(#REF!,"AAAAAFh6XzA=",0)</f>
        <v>#REF!</v>
      </c>
      <c r="AX313" t="e">
        <f>IF(#REF!,"AAAAAFh6XzE=",0)</f>
        <v>#REF!</v>
      </c>
      <c r="AY313" t="e">
        <f>IF(#REF!,"AAAAAFh6XzI=",0)</f>
        <v>#REF!</v>
      </c>
      <c r="AZ313" t="e">
        <f>IF(#REF!,"AAAAAFh6XzM=",0)</f>
        <v>#REF!</v>
      </c>
      <c r="BA313" t="e">
        <f>IF(#REF!,"AAAAAFh6XzQ=",0)</f>
        <v>#REF!</v>
      </c>
      <c r="BB313" t="e">
        <f>IF(#REF!,"AAAAAFh6XzU=",0)</f>
        <v>#REF!</v>
      </c>
      <c r="BC313" t="e">
        <f>IF(#REF!,"AAAAAFh6XzY=",0)</f>
        <v>#REF!</v>
      </c>
      <c r="BD313" t="e">
        <f>IF(#REF!,"AAAAAFh6Xzc=",0)</f>
        <v>#REF!</v>
      </c>
      <c r="BE313" t="e">
        <f>IF(#REF!,"AAAAAFh6Xzg=",0)</f>
        <v>#REF!</v>
      </c>
      <c r="BF313" t="e">
        <f>IF(#REF!,"AAAAAFh6Xzk=",0)</f>
        <v>#REF!</v>
      </c>
      <c r="BG313" t="e">
        <f>IF(#REF!,"AAAAAFh6Xzo=",0)</f>
        <v>#REF!</v>
      </c>
      <c r="BH313" t="e">
        <f>IF(#REF!,"AAAAAFh6Xzs=",0)</f>
        <v>#REF!</v>
      </c>
      <c r="BI313" t="e">
        <f>IF(#REF!,"AAAAAFh6Xzw=",0)</f>
        <v>#REF!</v>
      </c>
      <c r="BJ313" t="e">
        <f>IF(#REF!,"AAAAAFh6Xz0=",0)</f>
        <v>#REF!</v>
      </c>
      <c r="BK313" t="e">
        <f>IF(#REF!,"AAAAAFh6Xz4=",0)</f>
        <v>#REF!</v>
      </c>
      <c r="BL313" t="e">
        <f>IF(#REF!,"AAAAAFh6Xz8=",0)</f>
        <v>#REF!</v>
      </c>
      <c r="BM313" t="e">
        <f>IF(#REF!,"AAAAAFh6X0A=",0)</f>
        <v>#REF!</v>
      </c>
      <c r="BN313" t="e">
        <f>IF(#REF!,"AAAAAFh6X0E=",0)</f>
        <v>#REF!</v>
      </c>
      <c r="BO313" t="e">
        <f>IF(#REF!,"AAAAAFh6X0I=",0)</f>
        <v>#REF!</v>
      </c>
      <c r="BP313" t="e">
        <f>IF(#REF!,"AAAAAFh6X0M=",0)</f>
        <v>#REF!</v>
      </c>
      <c r="BQ313" t="e">
        <f>IF(#REF!,"AAAAAFh6X0Q=",0)</f>
        <v>#REF!</v>
      </c>
      <c r="BR313" t="e">
        <f>IF(#REF!,"AAAAAFh6X0U=",0)</f>
        <v>#REF!</v>
      </c>
      <c r="BS313" t="e">
        <f>IF(#REF!,"AAAAAFh6X0Y=",0)</f>
        <v>#REF!</v>
      </c>
      <c r="BT313" t="e">
        <f>IF(#REF!,"AAAAAFh6X0c=",0)</f>
        <v>#REF!</v>
      </c>
      <c r="BU313" t="e">
        <f>IF(#REF!,"AAAAAFh6X0g=",0)</f>
        <v>#REF!</v>
      </c>
      <c r="BV313" t="e">
        <f>IF(#REF!,"AAAAAFh6X0k=",0)</f>
        <v>#REF!</v>
      </c>
      <c r="BW313" t="e">
        <f>IF(#REF!,"AAAAAFh6X0o=",0)</f>
        <v>#REF!</v>
      </c>
      <c r="BX313" t="e">
        <f>IF(#REF!,"AAAAAFh6X0s=",0)</f>
        <v>#REF!</v>
      </c>
      <c r="BY313" t="e">
        <f>IF(#REF!,"AAAAAFh6X0w=",0)</f>
        <v>#REF!</v>
      </c>
      <c r="BZ313" t="e">
        <f>IF(#REF!,"AAAAAFh6X00=",0)</f>
        <v>#REF!</v>
      </c>
      <c r="CA313" t="e">
        <f>IF(#REF!,"AAAAAFh6X04=",0)</f>
        <v>#REF!</v>
      </c>
      <c r="CB313" t="e">
        <f>IF(#REF!,"AAAAAFh6X08=",0)</f>
        <v>#REF!</v>
      </c>
      <c r="CC313" t="e">
        <f>IF(#REF!,"AAAAAFh6X1A=",0)</f>
        <v>#REF!</v>
      </c>
      <c r="CD313" t="e">
        <f>IF(#REF!,"AAAAAFh6X1E=",0)</f>
        <v>#REF!</v>
      </c>
      <c r="CE313" t="e">
        <f>IF(#REF!,"AAAAAFh6X1I=",0)</f>
        <v>#REF!</v>
      </c>
      <c r="CF313" t="e">
        <f>IF(#REF!,"AAAAAFh6X1M=",0)</f>
        <v>#REF!</v>
      </c>
      <c r="CG313" t="e">
        <f>IF(#REF!,"AAAAAFh6X1Q=",0)</f>
        <v>#REF!</v>
      </c>
      <c r="CH313" t="e">
        <f>IF(#REF!,"AAAAAFh6X1U=",0)</f>
        <v>#REF!</v>
      </c>
      <c r="CI313" t="e">
        <f>IF(#REF!,"AAAAAFh6X1Y=",0)</f>
        <v>#REF!</v>
      </c>
      <c r="CJ313" t="e">
        <f>IF(#REF!,"AAAAAFh6X1c=",0)</f>
        <v>#REF!</v>
      </c>
      <c r="CK313" t="e">
        <f>IF(#REF!,"AAAAAFh6X1g=",0)</f>
        <v>#REF!</v>
      </c>
      <c r="CL313" t="e">
        <f>IF(#REF!,"AAAAAFh6X1k=",0)</f>
        <v>#REF!</v>
      </c>
      <c r="CM313" t="e">
        <f>IF(#REF!,"AAAAAFh6X1o=",0)</f>
        <v>#REF!</v>
      </c>
      <c r="CN313" t="e">
        <f>IF(#REF!,"AAAAAFh6X1s=",0)</f>
        <v>#REF!</v>
      </c>
      <c r="CO313" t="e">
        <f>IF(#REF!,"AAAAAFh6X1w=",0)</f>
        <v>#REF!</v>
      </c>
      <c r="CP313" t="e">
        <f>IF(#REF!,"AAAAAFh6X10=",0)</f>
        <v>#REF!</v>
      </c>
      <c r="CQ313" t="e">
        <f>IF(#REF!,"AAAAAFh6X14=",0)</f>
        <v>#REF!</v>
      </c>
      <c r="CR313" t="e">
        <f>IF(#REF!,"AAAAAFh6X18=",0)</f>
        <v>#REF!</v>
      </c>
      <c r="CS313" t="e">
        <f>IF(#REF!,"AAAAAFh6X2A=",0)</f>
        <v>#REF!</v>
      </c>
      <c r="CT313" t="e">
        <f>IF(#REF!,"AAAAAFh6X2E=",0)</f>
        <v>#REF!</v>
      </c>
      <c r="CU313" t="e">
        <f>IF(#REF!,"AAAAAFh6X2I=",0)</f>
        <v>#REF!</v>
      </c>
      <c r="CV313" t="e">
        <f>IF(#REF!,"AAAAAFh6X2M=",0)</f>
        <v>#REF!</v>
      </c>
      <c r="CW313" t="e">
        <f>IF(#REF!,"AAAAAFh6X2Q=",0)</f>
        <v>#REF!</v>
      </c>
      <c r="CX313" t="e">
        <f>IF(#REF!,"AAAAAFh6X2U=",0)</f>
        <v>#REF!</v>
      </c>
      <c r="CY313" t="e">
        <f>IF(#REF!,"AAAAAFh6X2Y=",0)</f>
        <v>#REF!</v>
      </c>
      <c r="CZ313" t="e">
        <f>IF(#REF!,"AAAAAFh6X2c=",0)</f>
        <v>#REF!</v>
      </c>
      <c r="DA313" t="e">
        <f>IF(#REF!,"AAAAAFh6X2g=",0)</f>
        <v>#REF!</v>
      </c>
      <c r="DB313" t="e">
        <f>IF(#REF!,"AAAAAFh6X2k=",0)</f>
        <v>#REF!</v>
      </c>
      <c r="DC313" t="e">
        <f>IF(#REF!,"AAAAAFh6X2o=",0)</f>
        <v>#REF!</v>
      </c>
      <c r="DD313" t="e">
        <f>IF(#REF!,"AAAAAFh6X2s=",0)</f>
        <v>#REF!</v>
      </c>
      <c r="DE313" t="e">
        <f>IF(#REF!,"AAAAAFh6X2w=",0)</f>
        <v>#REF!</v>
      </c>
      <c r="DF313" t="e">
        <f>IF(#REF!,"AAAAAFh6X20=",0)</f>
        <v>#REF!</v>
      </c>
      <c r="DG313" t="e">
        <f>IF(#REF!,"AAAAAFh6X24=",0)</f>
        <v>#REF!</v>
      </c>
      <c r="DH313" t="e">
        <f>IF(#REF!,"AAAAAFh6X28=",0)</f>
        <v>#REF!</v>
      </c>
      <c r="DI313" t="e">
        <f>IF(#REF!,"AAAAAFh6X3A=",0)</f>
        <v>#REF!</v>
      </c>
      <c r="DJ313" t="e">
        <f>IF(#REF!,"AAAAAFh6X3E=",0)</f>
        <v>#REF!</v>
      </c>
      <c r="DK313" t="e">
        <f>IF(#REF!,"AAAAAFh6X3I=",0)</f>
        <v>#REF!</v>
      </c>
      <c r="DL313" t="e">
        <f>IF(#REF!,"AAAAAFh6X3M=",0)</f>
        <v>#REF!</v>
      </c>
      <c r="DM313" t="e">
        <f>IF(#REF!,"AAAAAFh6X3Q=",0)</f>
        <v>#REF!</v>
      </c>
      <c r="DN313" t="e">
        <f>IF(#REF!,"AAAAAFh6X3U=",0)</f>
        <v>#REF!</v>
      </c>
      <c r="DO313" t="e">
        <f>IF(#REF!,"AAAAAFh6X3Y=",0)</f>
        <v>#REF!</v>
      </c>
      <c r="DP313" t="e">
        <f>IF(#REF!,"AAAAAFh6X3c=",0)</f>
        <v>#REF!</v>
      </c>
      <c r="DQ313" t="e">
        <f>IF(#REF!,"AAAAAFh6X3g=",0)</f>
        <v>#REF!</v>
      </c>
      <c r="DR313" t="e">
        <f>IF(#REF!,"AAAAAFh6X3k=",0)</f>
        <v>#REF!</v>
      </c>
      <c r="DS313" t="e">
        <f>IF(#REF!,"AAAAAFh6X3o=",0)</f>
        <v>#REF!</v>
      </c>
      <c r="DT313" t="e">
        <f>IF(#REF!,"AAAAAFh6X3s=",0)</f>
        <v>#REF!</v>
      </c>
      <c r="DU313" t="e">
        <f>IF(#REF!,"AAAAAFh6X3w=",0)</f>
        <v>#REF!</v>
      </c>
      <c r="DV313" t="e">
        <f>IF(#REF!,"AAAAAFh6X30=",0)</f>
        <v>#REF!</v>
      </c>
      <c r="DW313" t="e">
        <f>IF(#REF!,"AAAAAFh6X34=",0)</f>
        <v>#REF!</v>
      </c>
      <c r="DX313" t="e">
        <f>IF(#REF!,"AAAAAFh6X38=",0)</f>
        <v>#REF!</v>
      </c>
      <c r="DY313" t="e">
        <f>IF(#REF!,"AAAAAFh6X4A=",0)</f>
        <v>#REF!</v>
      </c>
      <c r="DZ313" t="e">
        <f>IF(#REF!,"AAAAAFh6X4E=",0)</f>
        <v>#REF!</v>
      </c>
      <c r="EA313" t="e">
        <f>IF(#REF!,"AAAAAFh6X4I=",0)</f>
        <v>#REF!</v>
      </c>
      <c r="EB313" t="e">
        <f>IF(#REF!,"AAAAAFh6X4M=",0)</f>
        <v>#REF!</v>
      </c>
      <c r="EC313" t="e">
        <f>IF(#REF!,"AAAAAFh6X4Q=",0)</f>
        <v>#REF!</v>
      </c>
      <c r="ED313" t="e">
        <f>IF(#REF!,"AAAAAFh6X4U=",0)</f>
        <v>#REF!</v>
      </c>
      <c r="EE313" t="e">
        <f>IF(#REF!,"AAAAAFh6X4Y=",0)</f>
        <v>#REF!</v>
      </c>
      <c r="EF313" t="e">
        <f>IF(#REF!,"AAAAAFh6X4c=",0)</f>
        <v>#REF!</v>
      </c>
      <c r="EG313" t="e">
        <f>IF(#REF!,"AAAAAFh6X4g=",0)</f>
        <v>#REF!</v>
      </c>
      <c r="EH313" t="e">
        <f>IF(#REF!,"AAAAAFh6X4k=",0)</f>
        <v>#REF!</v>
      </c>
      <c r="EI313" t="e">
        <f>IF(#REF!,"AAAAAFh6X4o=",0)</f>
        <v>#REF!</v>
      </c>
      <c r="EJ313" t="e">
        <f>IF(#REF!,"AAAAAFh6X4s=",0)</f>
        <v>#REF!</v>
      </c>
      <c r="EK313" t="e">
        <f>IF(#REF!,"AAAAAFh6X4w=",0)</f>
        <v>#REF!</v>
      </c>
      <c r="EL313" t="e">
        <f>IF(#REF!,"AAAAAFh6X40=",0)</f>
        <v>#REF!</v>
      </c>
      <c r="EM313" t="e">
        <f>IF(#REF!,"AAAAAFh6X44=",0)</f>
        <v>#REF!</v>
      </c>
      <c r="EN313" t="e">
        <f>IF(#REF!,"AAAAAFh6X48=",0)</f>
        <v>#REF!</v>
      </c>
      <c r="EO313" t="e">
        <f>IF(#REF!,"AAAAAFh6X5A=",0)</f>
        <v>#REF!</v>
      </c>
      <c r="EP313" t="e">
        <f>IF(#REF!,"AAAAAFh6X5E=",0)</f>
        <v>#REF!</v>
      </c>
      <c r="EQ313" t="e">
        <f>IF(#REF!,"AAAAAFh6X5I=",0)</f>
        <v>#REF!</v>
      </c>
      <c r="ER313" t="e">
        <f>IF(#REF!,"AAAAAFh6X5M=",0)</f>
        <v>#REF!</v>
      </c>
      <c r="ES313" t="e">
        <f>IF(#REF!,"AAAAAFh6X5Q=",0)</f>
        <v>#REF!</v>
      </c>
      <c r="ET313" t="e">
        <f>IF(#REF!,"AAAAAFh6X5U=",0)</f>
        <v>#REF!</v>
      </c>
      <c r="EU313" t="e">
        <f>IF(#REF!,"AAAAAFh6X5Y=",0)</f>
        <v>#REF!</v>
      </c>
      <c r="EV313" t="e">
        <f>IF(#REF!,"AAAAAFh6X5c=",0)</f>
        <v>#REF!</v>
      </c>
      <c r="EW313" t="e">
        <f>IF(#REF!,"AAAAAFh6X5g=",0)</f>
        <v>#REF!</v>
      </c>
      <c r="EX313" t="e">
        <f>IF(#REF!,"AAAAAFh6X5k=",0)</f>
        <v>#REF!</v>
      </c>
      <c r="EY313" t="e">
        <f>IF(#REF!,"AAAAAFh6X5o=",0)</f>
        <v>#REF!</v>
      </c>
      <c r="EZ313" t="e">
        <f>IF(#REF!,"AAAAAFh6X5s=",0)</f>
        <v>#REF!</v>
      </c>
      <c r="FA313" t="e">
        <f>IF(#REF!,"AAAAAFh6X5w=",0)</f>
        <v>#REF!</v>
      </c>
      <c r="FB313" t="e">
        <f>IF(#REF!,"AAAAAFh6X50=",0)</f>
        <v>#REF!</v>
      </c>
      <c r="FC313" t="e">
        <f>IF(#REF!,"AAAAAFh6X54=",0)</f>
        <v>#REF!</v>
      </c>
      <c r="FD313" t="e">
        <f>IF(#REF!,"AAAAAFh6X58=",0)</f>
        <v>#REF!</v>
      </c>
      <c r="FE313" t="e">
        <f>IF(#REF!,"AAAAAFh6X6A=",0)</f>
        <v>#REF!</v>
      </c>
      <c r="FF313" t="e">
        <f>IF(#REF!,"AAAAAFh6X6E=",0)</f>
        <v>#REF!</v>
      </c>
      <c r="FG313" t="e">
        <f>IF(#REF!,"AAAAAFh6X6I=",0)</f>
        <v>#REF!</v>
      </c>
      <c r="FH313" t="e">
        <f>IF(#REF!,"AAAAAFh6X6M=",0)</f>
        <v>#REF!</v>
      </c>
      <c r="FI313" t="e">
        <f>IF(#REF!,"AAAAAFh6X6Q=",0)</f>
        <v>#REF!</v>
      </c>
      <c r="FJ313" t="e">
        <f>IF(#REF!,"AAAAAFh6X6U=",0)</f>
        <v>#REF!</v>
      </c>
      <c r="FK313" t="e">
        <f>IF(#REF!,"AAAAAFh6X6Y=",0)</f>
        <v>#REF!</v>
      </c>
      <c r="FL313" t="e">
        <f>IF(#REF!,"AAAAAFh6X6c=",0)</f>
        <v>#REF!</v>
      </c>
      <c r="FM313" t="e">
        <f>IF(#REF!,"AAAAAFh6X6g=",0)</f>
        <v>#REF!</v>
      </c>
      <c r="FN313" t="e">
        <f>IF(#REF!,"AAAAAFh6X6k=",0)</f>
        <v>#REF!</v>
      </c>
      <c r="FO313" t="e">
        <f>IF(#REF!,"AAAAAFh6X6o=",0)</f>
        <v>#REF!</v>
      </c>
      <c r="FP313" t="e">
        <f>IF(#REF!,"AAAAAFh6X6s=",0)</f>
        <v>#REF!</v>
      </c>
      <c r="FQ313" t="e">
        <f>IF(#REF!,"AAAAAFh6X6w=",0)</f>
        <v>#REF!</v>
      </c>
      <c r="FR313" t="e">
        <f>IF(#REF!,"AAAAAFh6X60=",0)</f>
        <v>#REF!</v>
      </c>
      <c r="FS313" t="e">
        <f>IF(#REF!,"AAAAAFh6X64=",0)</f>
        <v>#REF!</v>
      </c>
      <c r="FT313" t="e">
        <f>IF(#REF!,"AAAAAFh6X68=",0)</f>
        <v>#REF!</v>
      </c>
      <c r="FU313" t="e">
        <f>IF(#REF!,"AAAAAFh6X7A=",0)</f>
        <v>#REF!</v>
      </c>
      <c r="FV313" t="e">
        <f>IF(#REF!,"AAAAAFh6X7E=",0)</f>
        <v>#REF!</v>
      </c>
      <c r="FW313" t="e">
        <f>IF(#REF!,"AAAAAFh6X7I=",0)</f>
        <v>#REF!</v>
      </c>
      <c r="FX313" t="e">
        <f>IF(#REF!,"AAAAAFh6X7M=",0)</f>
        <v>#REF!</v>
      </c>
      <c r="FY313" t="e">
        <f>IF(#REF!,"AAAAAFh6X7Q=",0)</f>
        <v>#REF!</v>
      </c>
      <c r="FZ313" t="e">
        <f>IF(#REF!,"AAAAAFh6X7U=",0)</f>
        <v>#REF!</v>
      </c>
      <c r="GA313" t="e">
        <f>IF(#REF!,"AAAAAFh6X7Y=",0)</f>
        <v>#REF!</v>
      </c>
      <c r="GB313" t="e">
        <f>IF(#REF!,"AAAAAFh6X7c=",0)</f>
        <v>#REF!</v>
      </c>
      <c r="GC313" t="e">
        <f>IF(#REF!,"AAAAAFh6X7g=",0)</f>
        <v>#REF!</v>
      </c>
      <c r="GD313" t="e">
        <f>IF(#REF!,"AAAAAFh6X7k=",0)</f>
        <v>#REF!</v>
      </c>
      <c r="GE313" t="e">
        <f>IF(#REF!,"AAAAAFh6X7o=",0)</f>
        <v>#REF!</v>
      </c>
      <c r="GF313" t="e">
        <f>IF(#REF!,"AAAAAFh6X7s=",0)</f>
        <v>#REF!</v>
      </c>
      <c r="GG313" t="e">
        <f>IF(#REF!,"AAAAAFh6X7w=",0)</f>
        <v>#REF!</v>
      </c>
      <c r="GH313" t="e">
        <f>IF(#REF!,"AAAAAFh6X70=",0)</f>
        <v>#REF!</v>
      </c>
      <c r="GI313" t="e">
        <f>IF(#REF!,"AAAAAFh6X74=",0)</f>
        <v>#REF!</v>
      </c>
      <c r="GJ313" t="e">
        <f>IF(#REF!,"AAAAAFh6X78=",0)</f>
        <v>#REF!</v>
      </c>
      <c r="GK313" t="e">
        <f>IF(#REF!,"AAAAAFh6X8A=",0)</f>
        <v>#REF!</v>
      </c>
      <c r="GL313" t="e">
        <f>IF(#REF!,"AAAAAFh6X8E=",0)</f>
        <v>#REF!</v>
      </c>
      <c r="GM313" t="e">
        <f>IF(#REF!,"AAAAAFh6X8I=",0)</f>
        <v>#REF!</v>
      </c>
      <c r="GN313" t="e">
        <f>IF(#REF!,"AAAAAFh6X8M=",0)</f>
        <v>#REF!</v>
      </c>
      <c r="GO313" t="e">
        <f>IF(#REF!,"AAAAAFh6X8Q=",0)</f>
        <v>#REF!</v>
      </c>
      <c r="GP313" t="e">
        <f>IF(#REF!,"AAAAAFh6X8U=",0)</f>
        <v>#REF!</v>
      </c>
      <c r="GQ313" t="e">
        <f>IF(#REF!,"AAAAAFh6X8Y=",0)</f>
        <v>#REF!</v>
      </c>
      <c r="GR313" t="e">
        <f>IF(#REF!,"AAAAAFh6X8c=",0)</f>
        <v>#REF!</v>
      </c>
      <c r="GS313" t="e">
        <f>IF(#REF!,"AAAAAFh6X8g=",0)</f>
        <v>#REF!</v>
      </c>
      <c r="GT313" t="e">
        <f>IF(#REF!,"AAAAAFh6X8k=",0)</f>
        <v>#REF!</v>
      </c>
      <c r="GU313" t="e">
        <f>IF(#REF!,"AAAAAFh6X8o=",0)</f>
        <v>#REF!</v>
      </c>
      <c r="GV313" t="e">
        <f>IF(#REF!,"AAAAAFh6X8s=",0)</f>
        <v>#REF!</v>
      </c>
      <c r="GW313" t="e">
        <f>IF(#REF!,"AAAAAFh6X8w=",0)</f>
        <v>#REF!</v>
      </c>
      <c r="GX313" t="e">
        <f>IF(#REF!,"AAAAAFh6X80=",0)</f>
        <v>#REF!</v>
      </c>
      <c r="GY313" t="e">
        <f>IF(#REF!,"AAAAAFh6X84=",0)</f>
        <v>#REF!</v>
      </c>
      <c r="GZ313" t="e">
        <f>IF(#REF!,"AAAAAFh6X88=",0)</f>
        <v>#REF!</v>
      </c>
      <c r="HA313" t="e">
        <f>IF(#REF!,"AAAAAFh6X9A=",0)</f>
        <v>#REF!</v>
      </c>
      <c r="HB313" t="e">
        <f>IF(#REF!,"AAAAAFh6X9E=",0)</f>
        <v>#REF!</v>
      </c>
      <c r="HC313" t="e">
        <f>IF(#REF!,"AAAAAFh6X9I=",0)</f>
        <v>#REF!</v>
      </c>
      <c r="HD313" t="e">
        <f>IF(#REF!,"AAAAAFh6X9M=",0)</f>
        <v>#REF!</v>
      </c>
      <c r="HE313" t="e">
        <f>IF(#REF!,"AAAAAFh6X9Q=",0)</f>
        <v>#REF!</v>
      </c>
      <c r="HF313" t="e">
        <f>IF(#REF!,"AAAAAFh6X9U=",0)</f>
        <v>#REF!</v>
      </c>
      <c r="HG313" t="e">
        <f>IF(#REF!,"AAAAAFh6X9Y=",0)</f>
        <v>#REF!</v>
      </c>
      <c r="HH313" t="e">
        <f>IF(#REF!,"AAAAAFh6X9c=",0)</f>
        <v>#REF!</v>
      </c>
      <c r="HI313" t="e">
        <f>IF(#REF!,"AAAAAFh6X9g=",0)</f>
        <v>#REF!</v>
      </c>
      <c r="HJ313" t="e">
        <f>IF(#REF!,"AAAAAFh6X9k=",0)</f>
        <v>#REF!</v>
      </c>
      <c r="HK313" t="e">
        <f>IF(#REF!,"AAAAAFh6X9o=",0)</f>
        <v>#REF!</v>
      </c>
      <c r="HL313" t="e">
        <f>IF(#REF!,"AAAAAFh6X9s=",0)</f>
        <v>#REF!</v>
      </c>
      <c r="HM313" t="e">
        <f>IF(#REF!,"AAAAAFh6X9w=",0)</f>
        <v>#REF!</v>
      </c>
      <c r="HN313" t="e">
        <f>IF(#REF!,"AAAAAFh6X90=",0)</f>
        <v>#REF!</v>
      </c>
      <c r="HO313" t="e">
        <f>IF(#REF!,"AAAAAFh6X94=",0)</f>
        <v>#REF!</v>
      </c>
      <c r="HP313" t="e">
        <f>IF(#REF!,"AAAAAFh6X98=",0)</f>
        <v>#REF!</v>
      </c>
      <c r="HQ313" t="e">
        <f>IF(#REF!,"AAAAAFh6X+A=",0)</f>
        <v>#REF!</v>
      </c>
      <c r="HR313" t="e">
        <f>IF(#REF!,"AAAAAFh6X+E=",0)</f>
        <v>#REF!</v>
      </c>
      <c r="HS313" t="e">
        <f>IF(#REF!,"AAAAAFh6X+I=",0)</f>
        <v>#REF!</v>
      </c>
      <c r="HT313" t="e">
        <f>IF(#REF!,"AAAAAFh6X+M=",0)</f>
        <v>#REF!</v>
      </c>
      <c r="HU313" t="e">
        <f>IF(#REF!,"AAAAAFh6X+Q=",0)</f>
        <v>#REF!</v>
      </c>
      <c r="HV313" t="e">
        <f>IF(#REF!,"AAAAAFh6X+U=",0)</f>
        <v>#REF!</v>
      </c>
      <c r="HW313" t="e">
        <f>IF(#REF!,"AAAAAFh6X+Y=",0)</f>
        <v>#REF!</v>
      </c>
      <c r="HX313" t="e">
        <f>IF(#REF!,"AAAAAFh6X+c=",0)</f>
        <v>#REF!</v>
      </c>
      <c r="HY313" t="e">
        <f>IF(#REF!,"AAAAAFh6X+g=",0)</f>
        <v>#REF!</v>
      </c>
      <c r="HZ313" t="e">
        <f>IF(#REF!,"AAAAAFh6X+k=",0)</f>
        <v>#REF!</v>
      </c>
      <c r="IA313" t="e">
        <f>IF(#REF!,"AAAAAFh6X+o=",0)</f>
        <v>#REF!</v>
      </c>
      <c r="IB313" t="e">
        <f>IF(#REF!,"AAAAAFh6X+s=",0)</f>
        <v>#REF!</v>
      </c>
      <c r="IC313" t="e">
        <f>IF(#REF!,"AAAAAFh6X+w=",0)</f>
        <v>#REF!</v>
      </c>
      <c r="ID313" t="e">
        <f>IF(#REF!,"AAAAAFh6X+0=",0)</f>
        <v>#REF!</v>
      </c>
      <c r="IE313" t="e">
        <f>IF(#REF!,"AAAAAFh6X+4=",0)</f>
        <v>#REF!</v>
      </c>
      <c r="IF313" t="e">
        <f>IF(#REF!,"AAAAAFh6X+8=",0)</f>
        <v>#REF!</v>
      </c>
      <c r="IG313" t="e">
        <f>IF(#REF!,"AAAAAFh6X/A=",0)</f>
        <v>#REF!</v>
      </c>
      <c r="IH313" t="e">
        <f>IF(#REF!,"AAAAAFh6X/E=",0)</f>
        <v>#REF!</v>
      </c>
      <c r="II313" t="e">
        <f>IF(#REF!,"AAAAAFh6X/I=",0)</f>
        <v>#REF!</v>
      </c>
      <c r="IJ313" t="e">
        <f>IF(#REF!,"AAAAAFh6X/M=",0)</f>
        <v>#REF!</v>
      </c>
      <c r="IK313" t="e">
        <f>IF(#REF!,"AAAAAFh6X/Q=",0)</f>
        <v>#REF!</v>
      </c>
      <c r="IL313" t="e">
        <f>IF(#REF!,"AAAAAFh6X/U=",0)</f>
        <v>#REF!</v>
      </c>
      <c r="IM313" t="e">
        <f>IF(#REF!,"AAAAAFh6X/Y=",0)</f>
        <v>#REF!</v>
      </c>
      <c r="IN313" t="e">
        <f>IF(#REF!,"AAAAAFh6X/c=",0)</f>
        <v>#REF!</v>
      </c>
      <c r="IO313" t="e">
        <f>IF(#REF!,"AAAAAFh6X/g=",0)</f>
        <v>#REF!</v>
      </c>
      <c r="IP313" t="e">
        <f>IF(#REF!,"AAAAAFh6X/k=",0)</f>
        <v>#REF!</v>
      </c>
      <c r="IQ313" t="e">
        <f>IF(#REF!,"AAAAAFh6X/o=",0)</f>
        <v>#REF!</v>
      </c>
      <c r="IR313" t="e">
        <f>IF(#REF!,"AAAAAFh6X/s=",0)</f>
        <v>#REF!</v>
      </c>
      <c r="IS313" t="e">
        <f>IF(#REF!,"AAAAAFh6X/w=",0)</f>
        <v>#REF!</v>
      </c>
      <c r="IT313" t="e">
        <f>IF(#REF!,"AAAAAFh6X/0=",0)</f>
        <v>#REF!</v>
      </c>
      <c r="IU313" t="e">
        <f>IF(#REF!,"AAAAAFh6X/4=",0)</f>
        <v>#REF!</v>
      </c>
      <c r="IV313" t="e">
        <f>IF(#REF!,"AAAAAFh6X/8=",0)</f>
        <v>#REF!</v>
      </c>
    </row>
    <row r="314" spans="1:256">
      <c r="A314" t="e">
        <f>IF(#REF!,"AAAAAC787QA=",0)</f>
        <v>#REF!</v>
      </c>
      <c r="B314" t="e">
        <f>IF(#REF!,"AAAAAC787QE=",0)</f>
        <v>#REF!</v>
      </c>
      <c r="C314" t="e">
        <f>IF(#REF!,"AAAAAC787QI=",0)</f>
        <v>#REF!</v>
      </c>
      <c r="D314" t="e">
        <f>IF(#REF!,"AAAAAC787QM=",0)</f>
        <v>#REF!</v>
      </c>
      <c r="E314" t="e">
        <f>IF(#REF!,"AAAAAC787QQ=",0)</f>
        <v>#REF!</v>
      </c>
      <c r="F314" t="e">
        <f>IF(#REF!,"AAAAAC787QU=",0)</f>
        <v>#REF!</v>
      </c>
      <c r="G314" t="e">
        <f>IF(#REF!,"AAAAAC787QY=",0)</f>
        <v>#REF!</v>
      </c>
      <c r="H314" t="e">
        <f>IF(#REF!,"AAAAAC787Qc=",0)</f>
        <v>#REF!</v>
      </c>
      <c r="I314" t="e">
        <f>IF(#REF!,"AAAAAC787Qg=",0)</f>
        <v>#REF!</v>
      </c>
      <c r="J314" t="e">
        <f>IF(#REF!,"AAAAAC787Qk=",0)</f>
        <v>#REF!</v>
      </c>
      <c r="K314" t="e">
        <f>IF(#REF!,"AAAAAC787Qo=",0)</f>
        <v>#REF!</v>
      </c>
      <c r="L314" t="e">
        <f>IF(#REF!,"AAAAAC787Qs=",0)</f>
        <v>#REF!</v>
      </c>
      <c r="M314" t="e">
        <f>IF(#REF!,"AAAAAC787Qw=",0)</f>
        <v>#REF!</v>
      </c>
      <c r="N314" t="e">
        <f>IF(#REF!,"AAAAAC787Q0=",0)</f>
        <v>#REF!</v>
      </c>
      <c r="O314" t="e">
        <f>IF(#REF!,"AAAAAC787Q4=",0)</f>
        <v>#REF!</v>
      </c>
      <c r="P314" t="e">
        <f>IF(#REF!,"AAAAAC787Q8=",0)</f>
        <v>#REF!</v>
      </c>
      <c r="Q314" t="e">
        <f>IF(#REF!,"AAAAAC787RA=",0)</f>
        <v>#REF!</v>
      </c>
      <c r="R314" t="e">
        <f>IF(#REF!,"AAAAAC787RE=",0)</f>
        <v>#REF!</v>
      </c>
      <c r="S314" t="e">
        <f>IF(#REF!,"AAAAAC787RI=",0)</f>
        <v>#REF!</v>
      </c>
      <c r="T314" t="e">
        <f>IF(#REF!,"AAAAAC787RM=",0)</f>
        <v>#REF!</v>
      </c>
      <c r="U314" t="e">
        <f>IF(#REF!,"AAAAAC787RQ=",0)</f>
        <v>#REF!</v>
      </c>
      <c r="V314" t="e">
        <f>IF(#REF!,"AAAAAC787RU=",0)</f>
        <v>#REF!</v>
      </c>
      <c r="W314" t="e">
        <f>IF(#REF!,"AAAAAC787RY=",0)</f>
        <v>#REF!</v>
      </c>
      <c r="X314" t="e">
        <f>IF(#REF!,"AAAAAC787Rc=",0)</f>
        <v>#REF!</v>
      </c>
      <c r="Y314" t="e">
        <f>IF(#REF!,"AAAAAC787Rg=",0)</f>
        <v>#REF!</v>
      </c>
      <c r="Z314" t="e">
        <f>IF(#REF!,"AAAAAC787Rk=",0)</f>
        <v>#REF!</v>
      </c>
      <c r="AA314" t="e">
        <f>IF(#REF!,"AAAAAC787Ro=",0)</f>
        <v>#REF!</v>
      </c>
      <c r="AB314" t="e">
        <f>IF(#REF!,"AAAAAC787Rs=",0)</f>
        <v>#REF!</v>
      </c>
      <c r="AC314" t="e">
        <f>IF(#REF!,"AAAAAC787Rw=",0)</f>
        <v>#REF!</v>
      </c>
      <c r="AD314" t="e">
        <f>IF(#REF!,"AAAAAC787R0=",0)</f>
        <v>#REF!</v>
      </c>
      <c r="AE314" t="e">
        <f>IF(#REF!,"AAAAAC787R4=",0)</f>
        <v>#REF!</v>
      </c>
      <c r="AF314" t="e">
        <f>IF(#REF!,"AAAAAC787R8=",0)</f>
        <v>#REF!</v>
      </c>
      <c r="AG314" t="e">
        <f>IF(#REF!,"AAAAAC787SA=",0)</f>
        <v>#REF!</v>
      </c>
      <c r="AH314" t="e">
        <f>IF(#REF!,"AAAAAC787SE=",0)</f>
        <v>#REF!</v>
      </c>
      <c r="AI314" t="e">
        <f>IF(#REF!,"AAAAAC787SI=",0)</f>
        <v>#REF!</v>
      </c>
      <c r="AJ314" t="e">
        <f>IF(#REF!,"AAAAAC787SM=",0)</f>
        <v>#REF!</v>
      </c>
      <c r="AK314" t="e">
        <f>IF(#REF!,"AAAAAC787SQ=",0)</f>
        <v>#REF!</v>
      </c>
      <c r="AL314" t="e">
        <f>IF(#REF!,"AAAAAC787SU=",0)</f>
        <v>#REF!</v>
      </c>
      <c r="AM314" t="e">
        <f>IF(#REF!,"AAAAAC787SY=",0)</f>
        <v>#REF!</v>
      </c>
      <c r="AN314" t="e">
        <f>IF(#REF!,"AAAAAC787Sc=",0)</f>
        <v>#REF!</v>
      </c>
      <c r="AO314" t="e">
        <f>IF(#REF!,"AAAAAC787Sg=",0)</f>
        <v>#REF!</v>
      </c>
      <c r="AP314" t="e">
        <f>IF(#REF!,"AAAAAC787Sk=",0)</f>
        <v>#REF!</v>
      </c>
      <c r="AQ314" t="e">
        <f>IF(#REF!,"AAAAAC787So=",0)</f>
        <v>#REF!</v>
      </c>
      <c r="AR314" t="e">
        <f>IF(#REF!,"AAAAAC787Ss=",0)</f>
        <v>#REF!</v>
      </c>
      <c r="AS314" t="e">
        <f>IF(#REF!,"AAAAAC787Sw=",0)</f>
        <v>#REF!</v>
      </c>
      <c r="AT314" t="e">
        <f>IF(#REF!,"AAAAAC787S0=",0)</f>
        <v>#REF!</v>
      </c>
      <c r="AU314" t="e">
        <f>IF(#REF!,"AAAAAC787S4=",0)</f>
        <v>#REF!</v>
      </c>
      <c r="AV314" t="e">
        <f>IF(#REF!,"AAAAAC787S8=",0)</f>
        <v>#REF!</v>
      </c>
      <c r="AW314" t="e">
        <f>IF(#REF!,"AAAAAC787TA=",0)</f>
        <v>#REF!</v>
      </c>
      <c r="AX314" t="e">
        <f>IF(#REF!,"AAAAAC787TE=",0)</f>
        <v>#REF!</v>
      </c>
      <c r="AY314" t="e">
        <f>IF(#REF!,"AAAAAC787TI=",0)</f>
        <v>#REF!</v>
      </c>
      <c r="AZ314" t="e">
        <f>IF(#REF!,"AAAAAC787TM=",0)</f>
        <v>#REF!</v>
      </c>
      <c r="BA314" t="e">
        <f>IF(#REF!,"AAAAAC787TQ=",0)</f>
        <v>#REF!</v>
      </c>
      <c r="BB314" t="e">
        <f>IF(#REF!,"AAAAAC787TU=",0)</f>
        <v>#REF!</v>
      </c>
      <c r="BC314" t="e">
        <f>IF(#REF!,"AAAAAC787TY=",0)</f>
        <v>#REF!</v>
      </c>
      <c r="BD314" t="e">
        <f>IF(#REF!,"AAAAAC787Tc=",0)</f>
        <v>#REF!</v>
      </c>
      <c r="BE314" t="e">
        <f>IF(#REF!,"AAAAAC787Tg=",0)</f>
        <v>#REF!</v>
      </c>
      <c r="BF314" t="e">
        <f>IF(#REF!,"AAAAAC787Tk=",0)</f>
        <v>#REF!</v>
      </c>
      <c r="BG314" t="e">
        <f>IF(#REF!,"AAAAAC787To=",0)</f>
        <v>#REF!</v>
      </c>
      <c r="BH314" t="e">
        <f>IF(#REF!,"AAAAAC787Ts=",0)</f>
        <v>#REF!</v>
      </c>
      <c r="BI314" t="e">
        <f>IF(#REF!,"AAAAAC787Tw=",0)</f>
        <v>#REF!</v>
      </c>
      <c r="BJ314" t="e">
        <f>IF(#REF!,"AAAAAC787T0=",0)</f>
        <v>#REF!</v>
      </c>
      <c r="BK314" t="e">
        <f>IF(#REF!,"AAAAAC787T4=",0)</f>
        <v>#REF!</v>
      </c>
      <c r="BL314" t="e">
        <f>IF(#REF!,"AAAAAC787T8=",0)</f>
        <v>#REF!</v>
      </c>
      <c r="BM314" t="e">
        <f>IF(#REF!,"AAAAAC787UA=",0)</f>
        <v>#REF!</v>
      </c>
      <c r="BN314" t="e">
        <f>IF(#REF!,"AAAAAC787UE=",0)</f>
        <v>#REF!</v>
      </c>
      <c r="BO314" t="e">
        <f>IF(#REF!,"AAAAAC787UI=",0)</f>
        <v>#REF!</v>
      </c>
      <c r="BP314" t="e">
        <f>IF(#REF!,"AAAAAC787UM=",0)</f>
        <v>#REF!</v>
      </c>
      <c r="BQ314" t="e">
        <f>IF(#REF!,"AAAAAC787UQ=",0)</f>
        <v>#REF!</v>
      </c>
      <c r="BR314" t="e">
        <f>IF(#REF!,"AAAAAC787UU=",0)</f>
        <v>#REF!</v>
      </c>
      <c r="BS314" t="e">
        <f>IF(#REF!,"AAAAAC787UY=",0)</f>
        <v>#REF!</v>
      </c>
      <c r="BT314" t="e">
        <f>IF(#REF!,"AAAAAC787Uc=",0)</f>
        <v>#REF!</v>
      </c>
      <c r="BU314" t="e">
        <f>IF(#REF!,"AAAAAC787Ug=",0)</f>
        <v>#REF!</v>
      </c>
      <c r="BV314" t="e">
        <f>IF(#REF!,"AAAAAC787Uk=",0)</f>
        <v>#REF!</v>
      </c>
      <c r="BW314" t="e">
        <f>IF(#REF!,"AAAAAC787Uo=",0)</f>
        <v>#REF!</v>
      </c>
      <c r="BX314" t="e">
        <f>IF(#REF!,"AAAAAC787Us=",0)</f>
        <v>#REF!</v>
      </c>
      <c r="BY314" t="e">
        <f>IF(#REF!,"AAAAAC787Uw=",0)</f>
        <v>#REF!</v>
      </c>
      <c r="BZ314" t="e">
        <f>IF(#REF!,"AAAAAC787U0=",0)</f>
        <v>#REF!</v>
      </c>
      <c r="CA314" t="e">
        <f>IF(#REF!,"AAAAAC787U4=",0)</f>
        <v>#REF!</v>
      </c>
      <c r="CB314" t="e">
        <f>IF(#REF!,"AAAAAC787U8=",0)</f>
        <v>#REF!</v>
      </c>
      <c r="CC314" t="e">
        <f>IF(#REF!,"AAAAAC787VA=",0)</f>
        <v>#REF!</v>
      </c>
      <c r="CD314" t="e">
        <f>IF(#REF!,"AAAAAC787VE=",0)</f>
        <v>#REF!</v>
      </c>
      <c r="CE314" t="e">
        <f>IF(#REF!,"AAAAAC787VI=",0)</f>
        <v>#REF!</v>
      </c>
      <c r="CF314" t="e">
        <f>IF(#REF!,"AAAAAC787VM=",0)</f>
        <v>#REF!</v>
      </c>
      <c r="CG314" t="e">
        <f>IF(#REF!,"AAAAAC787VQ=",0)</f>
        <v>#REF!</v>
      </c>
      <c r="CH314" t="e">
        <f>IF(#REF!,"AAAAAC787VU=",0)</f>
        <v>#REF!</v>
      </c>
      <c r="CI314" t="e">
        <f>IF(#REF!,"AAAAAC787VY=",0)</f>
        <v>#REF!</v>
      </c>
      <c r="CJ314" t="e">
        <f>IF(#REF!,"AAAAAC787Vc=",0)</f>
        <v>#REF!</v>
      </c>
      <c r="CK314" t="e">
        <f>IF(#REF!,"AAAAAC787Vg=",0)</f>
        <v>#REF!</v>
      </c>
      <c r="CL314" t="e">
        <f>IF(#REF!,"AAAAAC787Vk=",0)</f>
        <v>#REF!</v>
      </c>
      <c r="CM314" t="e">
        <f>IF(#REF!,"AAAAAC787Vo=",0)</f>
        <v>#REF!</v>
      </c>
      <c r="CN314" t="e">
        <f>IF(#REF!,"AAAAAC787Vs=",0)</f>
        <v>#REF!</v>
      </c>
      <c r="CO314" t="e">
        <f>IF(#REF!,"AAAAAC787Vw=",0)</f>
        <v>#REF!</v>
      </c>
      <c r="CP314" t="e">
        <f>IF(#REF!,"AAAAAC787V0=",0)</f>
        <v>#REF!</v>
      </c>
      <c r="CQ314" t="e">
        <f>IF(#REF!,"AAAAAC787V4=",0)</f>
        <v>#REF!</v>
      </c>
      <c r="CR314" t="e">
        <f>IF(#REF!,"AAAAAC787V8=",0)</f>
        <v>#REF!</v>
      </c>
      <c r="CS314" t="e">
        <f>IF(#REF!,"AAAAAC787WA=",0)</f>
        <v>#REF!</v>
      </c>
      <c r="CT314" t="e">
        <f>IF(#REF!,"AAAAAC787WE=",0)</f>
        <v>#REF!</v>
      </c>
      <c r="CU314" t="e">
        <f>IF(#REF!,"AAAAAC787WI=",0)</f>
        <v>#REF!</v>
      </c>
      <c r="CV314" t="e">
        <f>IF(#REF!,"AAAAAC787WM=",0)</f>
        <v>#REF!</v>
      </c>
      <c r="CW314" t="e">
        <f>IF(#REF!,"AAAAAC787WQ=",0)</f>
        <v>#REF!</v>
      </c>
      <c r="CX314" t="e">
        <f>IF(#REF!,"AAAAAC787WU=",0)</f>
        <v>#REF!</v>
      </c>
      <c r="CY314" t="e">
        <f>IF(#REF!,"AAAAAC787WY=",0)</f>
        <v>#REF!</v>
      </c>
      <c r="CZ314" t="e">
        <f>IF(#REF!,"AAAAAC787Wc=",0)</f>
        <v>#REF!</v>
      </c>
      <c r="DA314" t="e">
        <f>IF(#REF!,"AAAAAC787Wg=",0)</f>
        <v>#REF!</v>
      </c>
      <c r="DB314" t="e">
        <f>IF(#REF!,"AAAAAC787Wk=",0)</f>
        <v>#REF!</v>
      </c>
      <c r="DC314" t="e">
        <f>IF(#REF!,"AAAAAC787Wo=",0)</f>
        <v>#REF!</v>
      </c>
      <c r="DD314" t="e">
        <f>IF(#REF!,"AAAAAC787Ws=",0)</f>
        <v>#REF!</v>
      </c>
      <c r="DE314" t="e">
        <f>IF(#REF!,"AAAAAC787Ww=",0)</f>
        <v>#REF!</v>
      </c>
      <c r="DF314" t="e">
        <f>IF(#REF!,"AAAAAC787W0=",0)</f>
        <v>#REF!</v>
      </c>
      <c r="DG314" t="e">
        <f>IF(#REF!,"AAAAAC787W4=",0)</f>
        <v>#REF!</v>
      </c>
      <c r="DH314" t="e">
        <f>IF(#REF!,"AAAAAC787W8=",0)</f>
        <v>#REF!</v>
      </c>
      <c r="DI314" t="e">
        <f>IF(#REF!,"AAAAAC787XA=",0)</f>
        <v>#REF!</v>
      </c>
      <c r="DJ314" t="e">
        <f>IF(#REF!,"AAAAAC787XE=",0)</f>
        <v>#REF!</v>
      </c>
      <c r="DK314" t="e">
        <f>IF(#REF!,"AAAAAC787XI=",0)</f>
        <v>#REF!</v>
      </c>
      <c r="DL314" t="e">
        <f>IF(#REF!,"AAAAAC787XM=",0)</f>
        <v>#REF!</v>
      </c>
      <c r="DM314" t="e">
        <f>IF(#REF!,"AAAAAC787XQ=",0)</f>
        <v>#REF!</v>
      </c>
      <c r="DN314" t="e">
        <f>IF(#REF!,"AAAAAC787XU=",0)</f>
        <v>#REF!</v>
      </c>
      <c r="DO314" t="e">
        <f>IF(#REF!,"AAAAAC787XY=",0)</f>
        <v>#REF!</v>
      </c>
      <c r="DP314" t="e">
        <f>IF(#REF!,"AAAAAC787Xc=",0)</f>
        <v>#REF!</v>
      </c>
      <c r="DQ314" t="e">
        <f>IF(#REF!,"AAAAAC787Xg=",0)</f>
        <v>#REF!</v>
      </c>
      <c r="DR314" t="e">
        <f>IF(#REF!,"AAAAAC787Xk=",0)</f>
        <v>#REF!</v>
      </c>
      <c r="DS314" t="e">
        <f>IF(#REF!,"AAAAAC787Xo=",0)</f>
        <v>#REF!</v>
      </c>
      <c r="DT314" t="e">
        <f>IF(#REF!,"AAAAAC787Xs=",0)</f>
        <v>#REF!</v>
      </c>
      <c r="DU314" t="e">
        <f>IF(#REF!,"AAAAAC787Xw=",0)</f>
        <v>#REF!</v>
      </c>
      <c r="DV314" t="e">
        <f>IF(#REF!,"AAAAAC787X0=",0)</f>
        <v>#REF!</v>
      </c>
      <c r="DW314" t="e">
        <f>IF(#REF!,"AAAAAC787X4=",0)</f>
        <v>#REF!</v>
      </c>
      <c r="DX314" t="e">
        <f>IF(#REF!,"AAAAAC787X8=",0)</f>
        <v>#REF!</v>
      </c>
      <c r="DY314" t="e">
        <f>IF(#REF!,"AAAAAC787YA=",0)</f>
        <v>#REF!</v>
      </c>
      <c r="DZ314" t="e">
        <f>IF(#REF!,"AAAAAC787YE=",0)</f>
        <v>#REF!</v>
      </c>
      <c r="EA314" t="e">
        <f>IF(#REF!,"AAAAAC787YI=",0)</f>
        <v>#REF!</v>
      </c>
      <c r="EB314" t="e">
        <f>IF(#REF!,"AAAAAC787YM=",0)</f>
        <v>#REF!</v>
      </c>
      <c r="EC314" t="e">
        <f>IF(#REF!,"AAAAAC787YQ=",0)</f>
        <v>#REF!</v>
      </c>
      <c r="ED314" t="e">
        <f>IF(#REF!,"AAAAAC787YU=",0)</f>
        <v>#REF!</v>
      </c>
      <c r="EE314" t="e">
        <f>IF(#REF!,"AAAAAC787YY=",0)</f>
        <v>#REF!</v>
      </c>
      <c r="EF314" t="e">
        <f>IF(#REF!,"AAAAAC787Yc=",0)</f>
        <v>#REF!</v>
      </c>
      <c r="EG314" t="e">
        <f>IF(#REF!,"AAAAAC787Yg=",0)</f>
        <v>#REF!</v>
      </c>
      <c r="EH314" t="e">
        <f>IF(#REF!,"AAAAAC787Yk=",0)</f>
        <v>#REF!</v>
      </c>
      <c r="EI314" t="e">
        <f>IF(#REF!,"AAAAAC787Yo=",0)</f>
        <v>#REF!</v>
      </c>
      <c r="EJ314" t="e">
        <f>IF(#REF!,"AAAAAC787Ys=",0)</f>
        <v>#REF!</v>
      </c>
      <c r="EK314" t="e">
        <f>IF(#REF!,"AAAAAC787Yw=",0)</f>
        <v>#REF!</v>
      </c>
      <c r="EL314" t="e">
        <f>IF(#REF!,"AAAAAC787Y0=",0)</f>
        <v>#REF!</v>
      </c>
      <c r="EM314" t="e">
        <f>IF(#REF!,"AAAAAC787Y4=",0)</f>
        <v>#REF!</v>
      </c>
      <c r="EN314" t="e">
        <f>IF(#REF!,"AAAAAC787Y8=",0)</f>
        <v>#REF!</v>
      </c>
      <c r="EO314" t="e">
        <f>IF(#REF!,"AAAAAC787ZA=",0)</f>
        <v>#REF!</v>
      </c>
      <c r="EP314" t="e">
        <f>IF(#REF!,"AAAAAC787ZE=",0)</f>
        <v>#REF!</v>
      </c>
      <c r="EQ314" t="e">
        <f>IF(#REF!,"AAAAAC787ZI=",0)</f>
        <v>#REF!</v>
      </c>
      <c r="ER314" t="e">
        <f>IF(#REF!,"AAAAAC787ZM=",0)</f>
        <v>#REF!</v>
      </c>
      <c r="ES314" t="e">
        <f>IF(#REF!,"AAAAAC787ZQ=",0)</f>
        <v>#REF!</v>
      </c>
      <c r="ET314" t="e">
        <f>IF(#REF!,"AAAAAC787ZU=",0)</f>
        <v>#REF!</v>
      </c>
      <c r="EU314" t="e">
        <f>IF(#REF!,"AAAAAC787ZY=",0)</f>
        <v>#REF!</v>
      </c>
      <c r="EV314" t="e">
        <f>IF(#REF!,"AAAAAC787Zc=",0)</f>
        <v>#REF!</v>
      </c>
      <c r="EW314" t="e">
        <f>IF(#REF!,"AAAAAC787Zg=",0)</f>
        <v>#REF!</v>
      </c>
      <c r="EX314" t="e">
        <f>IF(#REF!,"AAAAAC787Zk=",0)</f>
        <v>#REF!</v>
      </c>
      <c r="EY314" t="e">
        <f>IF(#REF!,"AAAAAC787Zo=",0)</f>
        <v>#REF!</v>
      </c>
      <c r="EZ314" t="e">
        <f>IF(#REF!,"AAAAAC787Zs=",0)</f>
        <v>#REF!</v>
      </c>
      <c r="FA314" t="e">
        <f>IF(#REF!,"AAAAAC787Zw=",0)</f>
        <v>#REF!</v>
      </c>
      <c r="FB314" t="e">
        <f>IF(#REF!,"AAAAAC787Z0=",0)</f>
        <v>#REF!</v>
      </c>
      <c r="FC314" t="e">
        <f>IF(#REF!,"AAAAAC787Z4=",0)</f>
        <v>#REF!</v>
      </c>
      <c r="FD314" t="e">
        <f>IF(#REF!,"AAAAAC787Z8=",0)</f>
        <v>#REF!</v>
      </c>
      <c r="FE314" t="e">
        <f>IF(#REF!,"AAAAAC787aA=",0)</f>
        <v>#REF!</v>
      </c>
      <c r="FF314" t="e">
        <f>IF(#REF!,"AAAAAC787aE=",0)</f>
        <v>#REF!</v>
      </c>
      <c r="FG314" t="e">
        <f>IF(#REF!,"AAAAAC787aI=",0)</f>
        <v>#REF!</v>
      </c>
      <c r="FH314" t="e">
        <f>IF(#REF!,"AAAAAC787aM=",0)</f>
        <v>#REF!</v>
      </c>
      <c r="FI314" t="e">
        <f>IF(#REF!,"AAAAAC787aQ=",0)</f>
        <v>#REF!</v>
      </c>
      <c r="FJ314" t="e">
        <f>IF(#REF!,"AAAAAC787aU=",0)</f>
        <v>#REF!</v>
      </c>
      <c r="FK314" t="e">
        <f>IF(#REF!,"AAAAAC787aY=",0)</f>
        <v>#REF!</v>
      </c>
      <c r="FL314" t="e">
        <f>IF(#REF!,"AAAAAC787ac=",0)</f>
        <v>#REF!</v>
      </c>
      <c r="FM314" t="e">
        <f>IF(#REF!,"AAAAAC787ag=",0)</f>
        <v>#REF!</v>
      </c>
      <c r="FN314" t="e">
        <f>IF(#REF!,"AAAAAC787ak=",0)</f>
        <v>#REF!</v>
      </c>
      <c r="FO314" t="e">
        <f>IF(#REF!,"AAAAAC787ao=",0)</f>
        <v>#REF!</v>
      </c>
      <c r="FP314" t="e">
        <f>IF(#REF!,"AAAAAC787as=",0)</f>
        <v>#REF!</v>
      </c>
      <c r="FQ314" t="e">
        <f>IF(#REF!,"AAAAAC787aw=",0)</f>
        <v>#REF!</v>
      </c>
      <c r="FR314" t="e">
        <f>IF(#REF!,"AAAAAC787a0=",0)</f>
        <v>#REF!</v>
      </c>
      <c r="FS314" t="e">
        <f>IF(#REF!,"AAAAAC787a4=",0)</f>
        <v>#REF!</v>
      </c>
      <c r="FT314" t="e">
        <f>IF(#REF!,"AAAAAC787a8=",0)</f>
        <v>#REF!</v>
      </c>
      <c r="FU314" t="e">
        <f>IF(#REF!,"AAAAAC787bA=",0)</f>
        <v>#REF!</v>
      </c>
      <c r="FV314" t="e">
        <f>IF(#REF!,"AAAAAC787bE=",0)</f>
        <v>#REF!</v>
      </c>
      <c r="FW314" t="e">
        <f>IF(#REF!,"AAAAAC787bI=",0)</f>
        <v>#REF!</v>
      </c>
      <c r="FX314" t="e">
        <f>IF(#REF!,"AAAAAC787bM=",0)</f>
        <v>#REF!</v>
      </c>
      <c r="FY314" t="e">
        <f>IF(#REF!,"AAAAAC787bQ=",0)</f>
        <v>#REF!</v>
      </c>
      <c r="FZ314" t="e">
        <f>IF(#REF!,"AAAAAC787bU=",0)</f>
        <v>#REF!</v>
      </c>
      <c r="GA314" t="e">
        <f>IF(#REF!,"AAAAAC787bY=",0)</f>
        <v>#REF!</v>
      </c>
      <c r="GB314" t="e">
        <f>IF(#REF!,"AAAAAC787bc=",0)</f>
        <v>#REF!</v>
      </c>
      <c r="GC314" t="e">
        <f>IF(#REF!,"AAAAAC787bg=",0)</f>
        <v>#REF!</v>
      </c>
      <c r="GD314" t="e">
        <f>IF(#REF!,"AAAAAC787bk=",0)</f>
        <v>#REF!</v>
      </c>
      <c r="GE314" t="e">
        <f>IF(#REF!,"AAAAAC787bo=",0)</f>
        <v>#REF!</v>
      </c>
      <c r="GF314" t="e">
        <f>IF(#REF!,"AAAAAC787bs=",0)</f>
        <v>#REF!</v>
      </c>
      <c r="GG314" t="e">
        <f>IF(#REF!,"AAAAAC787bw=",0)</f>
        <v>#REF!</v>
      </c>
      <c r="GH314" t="e">
        <f>IF(#REF!,"AAAAAC787b0=",0)</f>
        <v>#REF!</v>
      </c>
      <c r="GI314" t="e">
        <f>IF(#REF!,"AAAAAC787b4=",0)</f>
        <v>#REF!</v>
      </c>
      <c r="GJ314" t="e">
        <f>IF(#REF!,"AAAAAC787b8=",0)</f>
        <v>#REF!</v>
      </c>
      <c r="GK314" t="e">
        <f>IF(#REF!,"AAAAAC787cA=",0)</f>
        <v>#REF!</v>
      </c>
      <c r="GL314" t="e">
        <f>IF(#REF!,"AAAAAC787cE=",0)</f>
        <v>#REF!</v>
      </c>
      <c r="GM314" t="e">
        <f>IF(#REF!,"AAAAAC787cI=",0)</f>
        <v>#REF!</v>
      </c>
      <c r="GN314" t="e">
        <f>IF(#REF!,"AAAAAC787cM=",0)</f>
        <v>#REF!</v>
      </c>
      <c r="GO314" t="e">
        <f>IF(#REF!,"AAAAAC787cQ=",0)</f>
        <v>#REF!</v>
      </c>
      <c r="GP314" t="e">
        <f>IF(#REF!,"AAAAAC787cU=",0)</f>
        <v>#REF!</v>
      </c>
      <c r="GQ314" t="e">
        <f>IF(#REF!,"AAAAAC787cY=",0)</f>
        <v>#REF!</v>
      </c>
      <c r="GR314" t="e">
        <f>IF(#REF!,"AAAAAC787cc=",0)</f>
        <v>#REF!</v>
      </c>
      <c r="GS314" t="e">
        <f>IF(#REF!,"AAAAAC787cg=",0)</f>
        <v>#REF!</v>
      </c>
      <c r="GT314" t="e">
        <f>IF(#REF!,"AAAAAC787ck=",0)</f>
        <v>#REF!</v>
      </c>
      <c r="GU314" t="e">
        <f>IF(#REF!,"AAAAAC787co=",0)</f>
        <v>#REF!</v>
      </c>
      <c r="GV314" t="e">
        <f>IF(#REF!,"AAAAAC787cs=",0)</f>
        <v>#REF!</v>
      </c>
      <c r="GW314" t="e">
        <f>IF(#REF!,"AAAAAC787cw=",0)</f>
        <v>#REF!</v>
      </c>
      <c r="GX314" t="e">
        <f>IF(#REF!,"AAAAAC787c0=",0)</f>
        <v>#REF!</v>
      </c>
      <c r="GY314" t="e">
        <f>IF(#REF!,"AAAAAC787c4=",0)</f>
        <v>#REF!</v>
      </c>
      <c r="GZ314" t="e">
        <f>IF(#REF!,"AAAAAC787c8=",0)</f>
        <v>#REF!</v>
      </c>
      <c r="HA314" t="e">
        <f>IF(#REF!,"AAAAAC787dA=",0)</f>
        <v>#REF!</v>
      </c>
      <c r="HB314" t="e">
        <f>IF(#REF!,"AAAAAC787dE=",0)</f>
        <v>#REF!</v>
      </c>
      <c r="HC314" t="e">
        <f>IF(#REF!,"AAAAAC787dI=",0)</f>
        <v>#REF!</v>
      </c>
      <c r="HD314" t="e">
        <f>IF(#REF!,"AAAAAC787dM=",0)</f>
        <v>#REF!</v>
      </c>
      <c r="HE314" t="e">
        <f>IF(#REF!,"AAAAAC787dQ=",0)</f>
        <v>#REF!</v>
      </c>
      <c r="HF314" t="e">
        <f>IF(#REF!,"AAAAAC787dU=",0)</f>
        <v>#REF!</v>
      </c>
      <c r="HG314" t="e">
        <f>IF(#REF!,"AAAAAC787dY=",0)</f>
        <v>#REF!</v>
      </c>
      <c r="HH314" t="e">
        <f>IF(#REF!,"AAAAAC787dc=",0)</f>
        <v>#REF!</v>
      </c>
      <c r="HI314" t="e">
        <f>IF(#REF!,"AAAAAC787dg=",0)</f>
        <v>#REF!</v>
      </c>
      <c r="HJ314" t="e">
        <f>IF(#REF!,"AAAAAC787dk=",0)</f>
        <v>#REF!</v>
      </c>
      <c r="HK314" t="e">
        <f>IF(#REF!,"AAAAAC787do=",0)</f>
        <v>#REF!</v>
      </c>
      <c r="HL314" t="e">
        <f>IF(#REF!,"AAAAAC787ds=",0)</f>
        <v>#REF!</v>
      </c>
      <c r="HM314" t="e">
        <f>IF(#REF!,"AAAAAC787dw=",0)</f>
        <v>#REF!</v>
      </c>
      <c r="HN314" t="e">
        <f>IF(#REF!,"AAAAAC787d0=",0)</f>
        <v>#REF!</v>
      </c>
      <c r="HO314" t="e">
        <f>IF(#REF!,"AAAAAC787d4=",0)</f>
        <v>#REF!</v>
      </c>
      <c r="HP314" t="e">
        <f>IF(#REF!,"AAAAAC787d8=",0)</f>
        <v>#REF!</v>
      </c>
      <c r="HQ314" t="e">
        <f>IF(#REF!,"AAAAAC787eA=",0)</f>
        <v>#REF!</v>
      </c>
      <c r="HR314" t="e">
        <f>IF(#REF!,"AAAAAC787eE=",0)</f>
        <v>#REF!</v>
      </c>
      <c r="HS314" t="e">
        <f>IF(#REF!,"AAAAAC787eI=",0)</f>
        <v>#REF!</v>
      </c>
      <c r="HT314" t="e">
        <f>IF(#REF!,"AAAAAC787eM=",0)</f>
        <v>#REF!</v>
      </c>
      <c r="HU314" t="e">
        <f>IF(#REF!,"AAAAAC787eQ=",0)</f>
        <v>#REF!</v>
      </c>
      <c r="HV314" t="e">
        <f>IF(#REF!,"AAAAAC787eU=",0)</f>
        <v>#REF!</v>
      </c>
      <c r="HW314" t="e">
        <f>IF(#REF!,"AAAAAC787eY=",0)</f>
        <v>#REF!</v>
      </c>
      <c r="HX314" t="e">
        <f>IF(#REF!,"AAAAAC787ec=",0)</f>
        <v>#REF!</v>
      </c>
      <c r="HY314" t="e">
        <f>IF(#REF!,"AAAAAC787eg=",0)</f>
        <v>#REF!</v>
      </c>
      <c r="HZ314" t="e">
        <f>IF(#REF!,"AAAAAC787ek=",0)</f>
        <v>#REF!</v>
      </c>
      <c r="IA314" t="e">
        <f>IF(#REF!,"AAAAAC787eo=",0)</f>
        <v>#REF!</v>
      </c>
      <c r="IB314" t="e">
        <f>IF(#REF!,"AAAAAC787es=",0)</f>
        <v>#REF!</v>
      </c>
      <c r="IC314" t="e">
        <f>IF(#REF!,"AAAAAC787ew=",0)</f>
        <v>#REF!</v>
      </c>
      <c r="ID314" t="e">
        <f>IF(#REF!,"AAAAAC787e0=",0)</f>
        <v>#REF!</v>
      </c>
      <c r="IE314" t="e">
        <f>IF(#REF!,"AAAAAC787e4=",0)</f>
        <v>#REF!</v>
      </c>
      <c r="IF314" t="e">
        <f>IF(#REF!,"AAAAAC787e8=",0)</f>
        <v>#REF!</v>
      </c>
      <c r="IG314" t="e">
        <f>IF(#REF!,"AAAAAC787fA=",0)</f>
        <v>#REF!</v>
      </c>
      <c r="IH314" t="e">
        <f>IF(#REF!,"AAAAAC787fE=",0)</f>
        <v>#REF!</v>
      </c>
      <c r="II314" t="e">
        <f>IF(#REF!,"AAAAAC787fI=",0)</f>
        <v>#REF!</v>
      </c>
      <c r="IJ314" t="e">
        <f>IF(#REF!,"AAAAAC787fM=",0)</f>
        <v>#REF!</v>
      </c>
      <c r="IK314" t="e">
        <f>IF(#REF!,"AAAAAC787fQ=",0)</f>
        <v>#REF!</v>
      </c>
      <c r="IL314" t="e">
        <f>IF(#REF!,"AAAAAC787fU=",0)</f>
        <v>#REF!</v>
      </c>
      <c r="IM314" t="e">
        <f>IF(#REF!,"AAAAAC787fY=",0)</f>
        <v>#REF!</v>
      </c>
      <c r="IN314" t="e">
        <f>IF(#REF!,"AAAAAC787fc=",0)</f>
        <v>#REF!</v>
      </c>
      <c r="IO314" t="e">
        <f>IF(#REF!,"AAAAAC787fg=",0)</f>
        <v>#REF!</v>
      </c>
      <c r="IP314" t="e">
        <f>IF(#REF!,"AAAAAC787fk=",0)</f>
        <v>#REF!</v>
      </c>
      <c r="IQ314" t="e">
        <f>IF(#REF!,"AAAAAC787fo=",0)</f>
        <v>#REF!</v>
      </c>
      <c r="IR314" t="e">
        <f>IF(#REF!,"AAAAAC787fs=",0)</f>
        <v>#REF!</v>
      </c>
      <c r="IS314" t="e">
        <f>IF(#REF!,"AAAAAC787fw=",0)</f>
        <v>#REF!</v>
      </c>
      <c r="IT314" t="e">
        <f>IF(#REF!,"AAAAAC787f0=",0)</f>
        <v>#REF!</v>
      </c>
      <c r="IU314" t="e">
        <f>IF(#REF!,"AAAAAC787f4=",0)</f>
        <v>#REF!</v>
      </c>
      <c r="IV314" t="e">
        <f>IF(#REF!,"AAAAAC787f8=",0)</f>
        <v>#REF!</v>
      </c>
    </row>
    <row r="315" spans="1:256">
      <c r="A315" t="e">
        <f>IF(#REF!,"AAAAABl6ZwA=",0)</f>
        <v>#REF!</v>
      </c>
      <c r="B315" t="e">
        <f>IF(#REF!,"AAAAABl6ZwE=",0)</f>
        <v>#REF!</v>
      </c>
      <c r="C315" t="e">
        <f>IF(#REF!,"AAAAABl6ZwI=",0)</f>
        <v>#REF!</v>
      </c>
      <c r="D315" t="e">
        <f>IF(#REF!,"AAAAABl6ZwM=",0)</f>
        <v>#REF!</v>
      </c>
      <c r="E315" t="e">
        <f>IF(#REF!,"AAAAABl6ZwQ=",0)</f>
        <v>#REF!</v>
      </c>
      <c r="F315" t="e">
        <f>IF(#REF!,"AAAAABl6ZwU=",0)</f>
        <v>#REF!</v>
      </c>
      <c r="G315" t="e">
        <f>IF(#REF!,"AAAAABl6ZwY=",0)</f>
        <v>#REF!</v>
      </c>
      <c r="H315" t="e">
        <f>IF(#REF!,"AAAAABl6Zwc=",0)</f>
        <v>#REF!</v>
      </c>
      <c r="I315" t="e">
        <f>IF(#REF!,"AAAAABl6Zwg=",0)</f>
        <v>#REF!</v>
      </c>
      <c r="J315" t="e">
        <f>IF(#REF!,"AAAAABl6Zwk=",0)</f>
        <v>#REF!</v>
      </c>
      <c r="K315" t="e">
        <f>IF(#REF!,"AAAAABl6Zwo=",0)</f>
        <v>#REF!</v>
      </c>
      <c r="L315" t="e">
        <f>IF(#REF!,"AAAAABl6Zws=",0)</f>
        <v>#REF!</v>
      </c>
      <c r="M315" t="e">
        <f>IF(#REF!,"AAAAABl6Zww=",0)</f>
        <v>#REF!</v>
      </c>
      <c r="N315" t="e">
        <f>IF(#REF!,"AAAAABl6Zw0=",0)</f>
        <v>#REF!</v>
      </c>
      <c r="O315" t="e">
        <f>IF(#REF!,"AAAAABl6Zw4=",0)</f>
        <v>#REF!</v>
      </c>
      <c r="P315" t="e">
        <f>IF(#REF!,"AAAAABl6Zw8=",0)</f>
        <v>#REF!</v>
      </c>
      <c r="Q315" t="e">
        <f>IF(#REF!,"AAAAABl6ZxA=",0)</f>
        <v>#REF!</v>
      </c>
      <c r="R315" t="e">
        <f>IF(#REF!,"AAAAABl6ZxE=",0)</f>
        <v>#REF!</v>
      </c>
      <c r="S315" t="e">
        <f>IF(#REF!,"AAAAABl6ZxI=",0)</f>
        <v>#REF!</v>
      </c>
      <c r="T315" t="e">
        <f>IF(#REF!,"AAAAABl6ZxM=",0)</f>
        <v>#REF!</v>
      </c>
      <c r="U315" t="e">
        <f>IF(#REF!,"AAAAABl6ZxQ=",0)</f>
        <v>#REF!</v>
      </c>
      <c r="V315" t="e">
        <f>IF(#REF!,"AAAAABl6ZxU=",0)</f>
        <v>#REF!</v>
      </c>
      <c r="W315" t="e">
        <f>IF(#REF!,"AAAAABl6ZxY=",0)</f>
        <v>#REF!</v>
      </c>
      <c r="X315" t="e">
        <f>IF(#REF!,"AAAAABl6Zxc=",0)</f>
        <v>#REF!</v>
      </c>
      <c r="Y315" t="e">
        <f>IF(#REF!,"AAAAABl6Zxg=",0)</f>
        <v>#REF!</v>
      </c>
      <c r="Z315" t="e">
        <f>IF(#REF!,"AAAAABl6Zxk=",0)</f>
        <v>#REF!</v>
      </c>
      <c r="AA315" t="e">
        <f>IF(#REF!,"AAAAABl6Zxo=",0)</f>
        <v>#REF!</v>
      </c>
      <c r="AB315" t="e">
        <f>IF(#REF!,"AAAAABl6Zxs=",0)</f>
        <v>#REF!</v>
      </c>
      <c r="AC315" t="e">
        <f>IF(#REF!,"AAAAABl6Zxw=",0)</f>
        <v>#REF!</v>
      </c>
      <c r="AD315" t="e">
        <f>IF(#REF!,"AAAAABl6Zx0=",0)</f>
        <v>#REF!</v>
      </c>
      <c r="AE315" t="e">
        <f>IF(#REF!,"AAAAABl6Zx4=",0)</f>
        <v>#REF!</v>
      </c>
      <c r="AF315" t="e">
        <f>IF(#REF!,"AAAAABl6Zx8=",0)</f>
        <v>#REF!</v>
      </c>
      <c r="AG315" t="e">
        <f>IF(#REF!,"AAAAABl6ZyA=",0)</f>
        <v>#REF!</v>
      </c>
      <c r="AH315" t="e">
        <f>IF(#REF!,"AAAAABl6ZyE=",0)</f>
        <v>#REF!</v>
      </c>
      <c r="AI315" t="e">
        <f>IF(#REF!,"AAAAABl6ZyI=",0)</f>
        <v>#REF!</v>
      </c>
      <c r="AJ315" t="e">
        <f>IF(#REF!,"AAAAABl6ZyM=",0)</f>
        <v>#REF!</v>
      </c>
      <c r="AK315" t="e">
        <f>IF(#REF!,"AAAAABl6ZyQ=",0)</f>
        <v>#REF!</v>
      </c>
      <c r="AL315" t="e">
        <f>IF(#REF!,"AAAAABl6ZyU=",0)</f>
        <v>#REF!</v>
      </c>
      <c r="AM315" t="e">
        <f>IF(#REF!,"AAAAABl6ZyY=",0)</f>
        <v>#REF!</v>
      </c>
      <c r="AN315" t="e">
        <f>IF(#REF!,"AAAAABl6Zyc=",0)</f>
        <v>#REF!</v>
      </c>
      <c r="AO315" t="e">
        <f>IF(#REF!,"AAAAABl6Zyg=",0)</f>
        <v>#REF!</v>
      </c>
      <c r="AP315" t="e">
        <f>IF(#REF!,"AAAAABl6Zyk=",0)</f>
        <v>#REF!</v>
      </c>
      <c r="AQ315" t="e">
        <f>IF(#REF!,"AAAAABl6Zyo=",0)</f>
        <v>#REF!</v>
      </c>
      <c r="AR315" t="e">
        <f>IF(#REF!,"AAAAABl6Zys=",0)</f>
        <v>#REF!</v>
      </c>
      <c r="AS315" t="e">
        <f>IF(#REF!,"AAAAABl6Zyw=",0)</f>
        <v>#REF!</v>
      </c>
      <c r="AT315" t="e">
        <f>IF(#REF!,"AAAAABl6Zy0=",0)</f>
        <v>#REF!</v>
      </c>
      <c r="AU315" t="e">
        <f>IF(#REF!,"AAAAABl6Zy4=",0)</f>
        <v>#REF!</v>
      </c>
      <c r="AV315" t="e">
        <f>IF(#REF!,"AAAAABl6Zy8=",0)</f>
        <v>#REF!</v>
      </c>
      <c r="AW315" t="e">
        <f>IF(#REF!,"AAAAABl6ZzA=",0)</f>
        <v>#REF!</v>
      </c>
      <c r="AX315" t="e">
        <f>IF(#REF!,"AAAAABl6ZzE=",0)</f>
        <v>#REF!</v>
      </c>
      <c r="AY315" t="e">
        <f>IF(#REF!,"AAAAABl6ZzI=",0)</f>
        <v>#REF!</v>
      </c>
      <c r="AZ315" t="e">
        <f>IF(#REF!,"AAAAABl6ZzM=",0)</f>
        <v>#REF!</v>
      </c>
      <c r="BA315" t="e">
        <f>IF(#REF!,"AAAAABl6ZzQ=",0)</f>
        <v>#REF!</v>
      </c>
      <c r="BB315" t="e">
        <f>IF(#REF!,"AAAAABl6ZzU=",0)</f>
        <v>#REF!</v>
      </c>
      <c r="BC315" t="e">
        <f>IF(#REF!,"AAAAABl6ZzY=",0)</f>
        <v>#REF!</v>
      </c>
      <c r="BD315" t="e">
        <f>IF(#REF!,"AAAAABl6Zzc=",0)</f>
        <v>#REF!</v>
      </c>
      <c r="BE315" t="e">
        <f>IF(#REF!,"AAAAABl6Zzg=",0)</f>
        <v>#REF!</v>
      </c>
      <c r="BF315" t="e">
        <f>IF(#REF!,"AAAAABl6Zzk=",0)</f>
        <v>#REF!</v>
      </c>
      <c r="BG315" t="e">
        <f>IF(#REF!,"AAAAABl6Zzo=",0)</f>
        <v>#REF!</v>
      </c>
      <c r="BH315" t="e">
        <f>IF(#REF!,"AAAAABl6Zzs=",0)</f>
        <v>#REF!</v>
      </c>
      <c r="BI315" t="e">
        <f>IF(#REF!,"AAAAABl6Zzw=",0)</f>
        <v>#REF!</v>
      </c>
      <c r="BJ315" t="e">
        <f>IF(#REF!,"AAAAABl6Zz0=",0)</f>
        <v>#REF!</v>
      </c>
      <c r="BK315" t="e">
        <f>IF(#REF!,"AAAAABl6Zz4=",0)</f>
        <v>#REF!</v>
      </c>
      <c r="BL315" t="e">
        <f>IF(#REF!,"AAAAABl6Zz8=",0)</f>
        <v>#REF!</v>
      </c>
      <c r="BM315" t="e">
        <f>IF(#REF!,"AAAAABl6Z0A=",0)</f>
        <v>#REF!</v>
      </c>
      <c r="BN315" t="e">
        <f>IF(#REF!,"AAAAABl6Z0E=",0)</f>
        <v>#REF!</v>
      </c>
      <c r="BO315" t="e">
        <f>IF(#REF!,"AAAAABl6Z0I=",0)</f>
        <v>#REF!</v>
      </c>
      <c r="BP315" t="e">
        <f>IF(#REF!,"AAAAABl6Z0M=",0)</f>
        <v>#REF!</v>
      </c>
      <c r="BQ315" t="e">
        <f>IF(#REF!,"AAAAABl6Z0Q=",0)</f>
        <v>#REF!</v>
      </c>
      <c r="BR315" t="e">
        <f>IF(#REF!,"AAAAABl6Z0U=",0)</f>
        <v>#REF!</v>
      </c>
      <c r="BS315" t="e">
        <f>IF(#REF!,"AAAAABl6Z0Y=",0)</f>
        <v>#REF!</v>
      </c>
      <c r="BT315" t="e">
        <f>IF(#REF!,"AAAAABl6Z0c=",0)</f>
        <v>#REF!</v>
      </c>
      <c r="BU315" t="e">
        <f>IF(#REF!,"AAAAABl6Z0g=",0)</f>
        <v>#REF!</v>
      </c>
      <c r="BV315" t="e">
        <f>IF(#REF!,"AAAAABl6Z0k=",0)</f>
        <v>#REF!</v>
      </c>
      <c r="BW315" t="e">
        <f>IF(#REF!,"AAAAABl6Z0o=",0)</f>
        <v>#REF!</v>
      </c>
      <c r="BX315" t="e">
        <f>IF(#REF!,"AAAAABl6Z0s=",0)</f>
        <v>#REF!</v>
      </c>
      <c r="BY315" t="e">
        <f>IF(#REF!,"AAAAABl6Z0w=",0)</f>
        <v>#REF!</v>
      </c>
      <c r="BZ315" t="e">
        <f>IF(#REF!,"AAAAABl6Z00=",0)</f>
        <v>#REF!</v>
      </c>
      <c r="CA315" t="e">
        <f>IF(#REF!,"AAAAABl6Z04=",0)</f>
        <v>#REF!</v>
      </c>
      <c r="CB315" t="e">
        <f>IF(#REF!,"AAAAABl6Z08=",0)</f>
        <v>#REF!</v>
      </c>
      <c r="CC315" t="e">
        <f>IF(#REF!,"AAAAABl6Z1A=",0)</f>
        <v>#REF!</v>
      </c>
      <c r="CD315" t="e">
        <f>IF(#REF!,"AAAAABl6Z1E=",0)</f>
        <v>#REF!</v>
      </c>
      <c r="CE315" t="e">
        <f>IF(#REF!,"AAAAABl6Z1I=",0)</f>
        <v>#REF!</v>
      </c>
      <c r="CF315" t="e">
        <f>IF(#REF!,"AAAAABl6Z1M=",0)</f>
        <v>#REF!</v>
      </c>
      <c r="CG315" t="e">
        <f>IF(#REF!,"AAAAABl6Z1Q=",0)</f>
        <v>#REF!</v>
      </c>
      <c r="CH315" t="e">
        <f>IF(#REF!,"AAAAABl6Z1U=",0)</f>
        <v>#REF!</v>
      </c>
      <c r="CI315" t="e">
        <f>IF(#REF!,"AAAAABl6Z1Y=",0)</f>
        <v>#REF!</v>
      </c>
      <c r="CJ315" t="e">
        <f>IF(#REF!,"AAAAABl6Z1c=",0)</f>
        <v>#REF!</v>
      </c>
      <c r="CK315" t="e">
        <f>IF(#REF!,"AAAAABl6Z1g=",0)</f>
        <v>#REF!</v>
      </c>
      <c r="CL315" t="e">
        <f>IF(#REF!,"AAAAABl6Z1k=",0)</f>
        <v>#REF!</v>
      </c>
      <c r="CM315" t="e">
        <f>IF(#REF!,"AAAAABl6Z1o=",0)</f>
        <v>#REF!</v>
      </c>
      <c r="CN315" t="e">
        <f>IF(#REF!,"AAAAABl6Z1s=",0)</f>
        <v>#REF!</v>
      </c>
      <c r="CO315" t="e">
        <f>IF(#REF!,"AAAAABl6Z1w=",0)</f>
        <v>#REF!</v>
      </c>
      <c r="CP315" t="e">
        <f>IF(#REF!,"AAAAABl6Z10=",0)</f>
        <v>#REF!</v>
      </c>
      <c r="CQ315" t="e">
        <f>IF(#REF!,"AAAAABl6Z14=",0)</f>
        <v>#REF!</v>
      </c>
      <c r="CR315" t="e">
        <f>IF(#REF!,"AAAAABl6Z18=",0)</f>
        <v>#REF!</v>
      </c>
      <c r="CS315" t="e">
        <f>IF(#REF!,"AAAAABl6Z2A=",0)</f>
        <v>#REF!</v>
      </c>
      <c r="CT315" t="e">
        <f>IF(#REF!,"AAAAABl6Z2E=",0)</f>
        <v>#REF!</v>
      </c>
      <c r="CU315" t="e">
        <f>IF(#REF!,"AAAAABl6Z2I=",0)</f>
        <v>#REF!</v>
      </c>
      <c r="CV315" t="e">
        <f>IF(#REF!,"AAAAABl6Z2M=",0)</f>
        <v>#REF!</v>
      </c>
      <c r="CW315" t="e">
        <f>IF(#REF!,"AAAAABl6Z2Q=",0)</f>
        <v>#REF!</v>
      </c>
      <c r="CX315" t="e">
        <f>IF(#REF!,"AAAAABl6Z2U=",0)</f>
        <v>#REF!</v>
      </c>
      <c r="CY315" t="e">
        <f>IF(#REF!,"AAAAABl6Z2Y=",0)</f>
        <v>#REF!</v>
      </c>
      <c r="CZ315" t="e">
        <f>IF(#REF!,"AAAAABl6Z2c=",0)</f>
        <v>#REF!</v>
      </c>
      <c r="DA315" t="e">
        <f>IF(#REF!,"AAAAABl6Z2g=",0)</f>
        <v>#REF!</v>
      </c>
      <c r="DB315" t="e">
        <f>IF(#REF!,"AAAAABl6Z2k=",0)</f>
        <v>#REF!</v>
      </c>
      <c r="DC315" t="e">
        <f>IF(#REF!,"AAAAABl6Z2o=",0)</f>
        <v>#REF!</v>
      </c>
      <c r="DD315" t="e">
        <f>IF(#REF!,"AAAAABl6Z2s=",0)</f>
        <v>#REF!</v>
      </c>
      <c r="DE315" t="e">
        <f>IF(#REF!,"AAAAABl6Z2w=",0)</f>
        <v>#REF!</v>
      </c>
      <c r="DF315" t="e">
        <f>IF(#REF!,"AAAAABl6Z20=",0)</f>
        <v>#REF!</v>
      </c>
      <c r="DG315" t="e">
        <f>IF(#REF!,"AAAAABl6Z24=",0)</f>
        <v>#REF!</v>
      </c>
      <c r="DH315" t="e">
        <f>IF(#REF!,"AAAAABl6Z28=",0)</f>
        <v>#REF!</v>
      </c>
      <c r="DI315" t="e">
        <f>IF(#REF!,"AAAAABl6Z3A=",0)</f>
        <v>#REF!</v>
      </c>
      <c r="DJ315" t="e">
        <f>IF(#REF!,"AAAAABl6Z3E=",0)</f>
        <v>#REF!</v>
      </c>
      <c r="DK315" t="e">
        <f>IF(#REF!,"AAAAABl6Z3I=",0)</f>
        <v>#REF!</v>
      </c>
      <c r="DL315" t="e">
        <f>IF(#REF!,"AAAAABl6Z3M=",0)</f>
        <v>#REF!</v>
      </c>
      <c r="DM315" t="e">
        <f>IF(#REF!,"AAAAABl6Z3Q=",0)</f>
        <v>#REF!</v>
      </c>
      <c r="DN315" t="e">
        <f>IF(#REF!,"AAAAABl6Z3U=",0)</f>
        <v>#REF!</v>
      </c>
      <c r="DO315" t="e">
        <f>IF(#REF!,"AAAAABl6Z3Y=",0)</f>
        <v>#REF!</v>
      </c>
      <c r="DP315" t="e">
        <f>IF(#REF!,"AAAAABl6Z3c=",0)</f>
        <v>#REF!</v>
      </c>
      <c r="DQ315" t="e">
        <f>IF(#REF!,"AAAAABl6Z3g=",0)</f>
        <v>#REF!</v>
      </c>
      <c r="DR315" t="e">
        <f>IF(#REF!,"AAAAABl6Z3k=",0)</f>
        <v>#REF!</v>
      </c>
      <c r="DS315" t="e">
        <f>IF(#REF!,"AAAAABl6Z3o=",0)</f>
        <v>#REF!</v>
      </c>
      <c r="DT315" t="e">
        <f>IF(#REF!,"AAAAABl6Z3s=",0)</f>
        <v>#REF!</v>
      </c>
      <c r="DU315" t="e">
        <f>IF(#REF!,"AAAAABl6Z3w=",0)</f>
        <v>#REF!</v>
      </c>
      <c r="DV315" t="e">
        <f>IF(#REF!,"AAAAABl6Z30=",0)</f>
        <v>#REF!</v>
      </c>
      <c r="DW315" t="e">
        <f>IF(#REF!,"AAAAABl6Z34=",0)</f>
        <v>#REF!</v>
      </c>
      <c r="DX315" t="e">
        <f>IF(#REF!,"AAAAABl6Z38=",0)</f>
        <v>#REF!</v>
      </c>
      <c r="DY315" t="e">
        <f>IF(#REF!,"AAAAABl6Z4A=",0)</f>
        <v>#REF!</v>
      </c>
      <c r="DZ315" t="e">
        <f>IF(#REF!,"AAAAABl6Z4E=",0)</f>
        <v>#REF!</v>
      </c>
      <c r="EA315" t="e">
        <f>IF(#REF!,"AAAAABl6Z4I=",0)</f>
        <v>#REF!</v>
      </c>
      <c r="EB315" t="e">
        <f>IF(#REF!,"AAAAABl6Z4M=",0)</f>
        <v>#REF!</v>
      </c>
      <c r="EC315" t="e">
        <f>IF(#REF!,"AAAAABl6Z4Q=",0)</f>
        <v>#REF!</v>
      </c>
      <c r="ED315" t="e">
        <f>IF(#REF!,"AAAAABl6Z4U=",0)</f>
        <v>#REF!</v>
      </c>
      <c r="EE315" t="e">
        <f>IF(#REF!,"AAAAABl6Z4Y=",0)</f>
        <v>#REF!</v>
      </c>
      <c r="EF315" t="e">
        <f>IF(#REF!,"AAAAABl6Z4c=",0)</f>
        <v>#REF!</v>
      </c>
      <c r="EG315" t="e">
        <f>IF(#REF!,"AAAAABl6Z4g=",0)</f>
        <v>#REF!</v>
      </c>
      <c r="EH315" t="e">
        <f>IF(#REF!,"AAAAABl6Z4k=",0)</f>
        <v>#REF!</v>
      </c>
      <c r="EI315" t="e">
        <f>IF(#REF!,"AAAAABl6Z4o=",0)</f>
        <v>#REF!</v>
      </c>
      <c r="EJ315" t="e">
        <f>IF(#REF!,"AAAAABl6Z4s=",0)</f>
        <v>#REF!</v>
      </c>
      <c r="EK315" t="e">
        <f>IF(#REF!,"AAAAABl6Z4w=",0)</f>
        <v>#REF!</v>
      </c>
      <c r="EL315" t="e">
        <f>IF(#REF!,"AAAAABl6Z40=",0)</f>
        <v>#REF!</v>
      </c>
      <c r="EM315" t="e">
        <f>IF(#REF!,"AAAAABl6Z44=",0)</f>
        <v>#REF!</v>
      </c>
      <c r="EN315" t="e">
        <f>IF(#REF!,"AAAAABl6Z48=",0)</f>
        <v>#REF!</v>
      </c>
      <c r="EO315" t="e">
        <f>IF(#REF!,"AAAAABl6Z5A=",0)</f>
        <v>#REF!</v>
      </c>
      <c r="EP315" t="e">
        <f>IF(#REF!,"AAAAABl6Z5E=",0)</f>
        <v>#REF!</v>
      </c>
      <c r="EQ315" t="e">
        <f>IF(#REF!,"AAAAABl6Z5I=",0)</f>
        <v>#REF!</v>
      </c>
      <c r="ER315" t="e">
        <f>IF(#REF!,"AAAAABl6Z5M=",0)</f>
        <v>#REF!</v>
      </c>
      <c r="ES315" t="e">
        <f>IF(#REF!,"AAAAABl6Z5Q=",0)</f>
        <v>#REF!</v>
      </c>
      <c r="ET315" t="e">
        <f>IF(#REF!,"AAAAABl6Z5U=",0)</f>
        <v>#REF!</v>
      </c>
      <c r="EU315" t="e">
        <f>IF(#REF!,"AAAAABl6Z5Y=",0)</f>
        <v>#REF!</v>
      </c>
      <c r="EV315" t="e">
        <f>IF(#REF!,"AAAAABl6Z5c=",0)</f>
        <v>#REF!</v>
      </c>
      <c r="EW315" t="e">
        <f>IF(#REF!,"AAAAABl6Z5g=",0)</f>
        <v>#REF!</v>
      </c>
      <c r="EX315" t="e">
        <f>IF(#REF!,"AAAAABl6Z5k=",0)</f>
        <v>#REF!</v>
      </c>
      <c r="EY315" t="e">
        <f>IF(#REF!,"AAAAABl6Z5o=",0)</f>
        <v>#REF!</v>
      </c>
      <c r="EZ315" t="e">
        <f>IF(#REF!,"AAAAABl6Z5s=",0)</f>
        <v>#REF!</v>
      </c>
      <c r="FA315" t="e">
        <f>IF(#REF!,"AAAAABl6Z5w=",0)</f>
        <v>#REF!</v>
      </c>
      <c r="FB315" t="e">
        <f>IF(#REF!,"AAAAABl6Z50=",0)</f>
        <v>#REF!</v>
      </c>
      <c r="FC315" t="e">
        <f>IF(#REF!,"AAAAABl6Z54=",0)</f>
        <v>#REF!</v>
      </c>
      <c r="FD315" t="e">
        <f>IF(#REF!,"AAAAABl6Z58=",0)</f>
        <v>#REF!</v>
      </c>
      <c r="FE315" t="e">
        <f>IF(#REF!,"AAAAABl6Z6A=",0)</f>
        <v>#REF!</v>
      </c>
      <c r="FF315" t="e">
        <f>IF(#REF!,"AAAAABl6Z6E=",0)</f>
        <v>#REF!</v>
      </c>
      <c r="FG315" t="e">
        <f>IF(#REF!,"AAAAABl6Z6I=",0)</f>
        <v>#REF!</v>
      </c>
      <c r="FH315" t="e">
        <f>IF(#REF!,"AAAAABl6Z6M=",0)</f>
        <v>#REF!</v>
      </c>
      <c r="FI315" t="e">
        <f>IF(#REF!,"AAAAABl6Z6Q=",0)</f>
        <v>#REF!</v>
      </c>
      <c r="FJ315" t="e">
        <f>IF(#REF!,"AAAAABl6Z6U=",0)</f>
        <v>#REF!</v>
      </c>
      <c r="FK315" t="e">
        <f>IF(#REF!,"AAAAABl6Z6Y=",0)</f>
        <v>#REF!</v>
      </c>
      <c r="FL315" t="e">
        <f>IF(#REF!,"AAAAABl6Z6c=",0)</f>
        <v>#REF!</v>
      </c>
      <c r="FM315" t="e">
        <f>IF(#REF!,"AAAAABl6Z6g=",0)</f>
        <v>#REF!</v>
      </c>
      <c r="FN315" t="e">
        <f>IF(#REF!,"AAAAABl6Z6k=",0)</f>
        <v>#REF!</v>
      </c>
      <c r="FO315" t="e">
        <f>IF(#REF!,"AAAAABl6Z6o=",0)</f>
        <v>#REF!</v>
      </c>
      <c r="FP315" t="e">
        <f>IF(#REF!,"AAAAABl6Z6s=",0)</f>
        <v>#REF!</v>
      </c>
      <c r="FQ315" t="e">
        <f>IF(#REF!,"AAAAABl6Z6w=",0)</f>
        <v>#REF!</v>
      </c>
      <c r="FR315" t="e">
        <f>IF(#REF!,"AAAAABl6Z60=",0)</f>
        <v>#REF!</v>
      </c>
      <c r="FS315" t="e">
        <f>IF(#REF!,"AAAAABl6Z64=",0)</f>
        <v>#REF!</v>
      </c>
      <c r="FT315" t="e">
        <f>IF(#REF!,"AAAAABl6Z68=",0)</f>
        <v>#REF!</v>
      </c>
      <c r="FU315" t="e">
        <f>IF(#REF!,"AAAAABl6Z7A=",0)</f>
        <v>#REF!</v>
      </c>
      <c r="FV315" t="e">
        <f>IF(#REF!,"AAAAABl6Z7E=",0)</f>
        <v>#REF!</v>
      </c>
      <c r="FW315" t="e">
        <f>IF(#REF!,"AAAAABl6Z7I=",0)</f>
        <v>#REF!</v>
      </c>
      <c r="FX315" t="e">
        <f>IF(#REF!,"AAAAABl6Z7M=",0)</f>
        <v>#REF!</v>
      </c>
      <c r="FY315" t="e">
        <f>IF(#REF!,"AAAAABl6Z7Q=",0)</f>
        <v>#REF!</v>
      </c>
      <c r="FZ315" t="e">
        <f>IF(#REF!,"AAAAABl6Z7U=",0)</f>
        <v>#REF!</v>
      </c>
      <c r="GA315" t="e">
        <f>IF(#REF!,"AAAAABl6Z7Y=",0)</f>
        <v>#REF!</v>
      </c>
      <c r="GB315" t="e">
        <f>IF(#REF!,"AAAAABl6Z7c=",0)</f>
        <v>#REF!</v>
      </c>
      <c r="GC315" t="e">
        <f>IF(#REF!,"AAAAABl6Z7g=",0)</f>
        <v>#REF!</v>
      </c>
      <c r="GD315" t="e">
        <f>IF(#REF!,"AAAAABl6Z7k=",0)</f>
        <v>#REF!</v>
      </c>
      <c r="GE315" t="e">
        <f>IF(#REF!,"AAAAABl6Z7o=",0)</f>
        <v>#REF!</v>
      </c>
      <c r="GF315" t="e">
        <f>IF(#REF!,"AAAAABl6Z7s=",0)</f>
        <v>#REF!</v>
      </c>
      <c r="GG315" t="e">
        <f>IF(#REF!,"AAAAABl6Z7w=",0)</f>
        <v>#REF!</v>
      </c>
      <c r="GH315" t="e">
        <f>IF(#REF!,"AAAAABl6Z70=",0)</f>
        <v>#REF!</v>
      </c>
      <c r="GI315" t="e">
        <f>IF(#REF!,"AAAAABl6Z74=",0)</f>
        <v>#REF!</v>
      </c>
      <c r="GJ315" t="e">
        <f>IF(#REF!,"AAAAABl6Z78=",0)</f>
        <v>#REF!</v>
      </c>
      <c r="GK315" t="e">
        <f>IF(#REF!,"AAAAABl6Z8A=",0)</f>
        <v>#REF!</v>
      </c>
      <c r="GL315" t="e">
        <f>IF(#REF!,"AAAAABl6Z8E=",0)</f>
        <v>#REF!</v>
      </c>
      <c r="GM315" t="e">
        <f>IF(#REF!,"AAAAABl6Z8I=",0)</f>
        <v>#REF!</v>
      </c>
      <c r="GN315" t="e">
        <f>IF(#REF!,"AAAAABl6Z8M=",0)</f>
        <v>#REF!</v>
      </c>
      <c r="GO315" t="e">
        <f>IF(#REF!,"AAAAABl6Z8Q=",0)</f>
        <v>#REF!</v>
      </c>
      <c r="GP315" t="e">
        <f>IF(#REF!,"AAAAABl6Z8U=",0)</f>
        <v>#REF!</v>
      </c>
      <c r="GQ315" t="e">
        <f>IF(#REF!,"AAAAABl6Z8Y=",0)</f>
        <v>#REF!</v>
      </c>
      <c r="GR315" t="e">
        <f>IF(#REF!,"AAAAABl6Z8c=",0)</f>
        <v>#REF!</v>
      </c>
      <c r="GS315" t="e">
        <f>IF(#REF!,"AAAAABl6Z8g=",0)</f>
        <v>#REF!</v>
      </c>
      <c r="GT315" t="e">
        <f>IF(#REF!,"AAAAABl6Z8k=",0)</f>
        <v>#REF!</v>
      </c>
      <c r="GU315" t="e">
        <f>IF(#REF!,"AAAAABl6Z8o=",0)</f>
        <v>#REF!</v>
      </c>
      <c r="GV315" t="e">
        <f>IF(#REF!,"AAAAABl6Z8s=",0)</f>
        <v>#REF!</v>
      </c>
      <c r="GW315" t="e">
        <f>IF(#REF!,"AAAAABl6Z8w=",0)</f>
        <v>#REF!</v>
      </c>
      <c r="GX315" t="e">
        <f>IF(#REF!,"AAAAABl6Z80=",0)</f>
        <v>#REF!</v>
      </c>
      <c r="GY315" t="e">
        <f>IF(#REF!,"AAAAABl6Z84=",0)</f>
        <v>#REF!</v>
      </c>
      <c r="GZ315" t="e">
        <f>IF(#REF!,"AAAAABl6Z88=",0)</f>
        <v>#REF!</v>
      </c>
      <c r="HA315" t="e">
        <f>IF(#REF!,"AAAAABl6Z9A=",0)</f>
        <v>#REF!</v>
      </c>
      <c r="HB315" t="e">
        <f>IF(#REF!,"AAAAABl6Z9E=",0)</f>
        <v>#REF!</v>
      </c>
      <c r="HC315" t="e">
        <f>IF(#REF!,"AAAAABl6Z9I=",0)</f>
        <v>#REF!</v>
      </c>
      <c r="HD315" t="e">
        <f>IF(#REF!,"AAAAABl6Z9M=",0)</f>
        <v>#REF!</v>
      </c>
      <c r="HE315" t="e">
        <f>IF(#REF!,"AAAAABl6Z9Q=",0)</f>
        <v>#REF!</v>
      </c>
      <c r="HF315" t="e">
        <f>IF(#REF!,"AAAAABl6Z9U=",0)</f>
        <v>#REF!</v>
      </c>
      <c r="HG315" t="e">
        <f>IF(#REF!,"AAAAABl6Z9Y=",0)</f>
        <v>#REF!</v>
      </c>
      <c r="HH315" t="e">
        <f>IF(#REF!,"AAAAABl6Z9c=",0)</f>
        <v>#REF!</v>
      </c>
      <c r="HI315" t="e">
        <f>IF(#REF!,"AAAAABl6Z9g=",0)</f>
        <v>#REF!</v>
      </c>
      <c r="HJ315" t="e">
        <f>IF(#REF!,"AAAAABl6Z9k=",0)</f>
        <v>#REF!</v>
      </c>
      <c r="HK315" t="e">
        <f>IF(#REF!,"AAAAABl6Z9o=",0)</f>
        <v>#REF!</v>
      </c>
      <c r="HL315" t="e">
        <f>IF(#REF!,"AAAAABl6Z9s=",0)</f>
        <v>#REF!</v>
      </c>
      <c r="HM315" t="e">
        <f>IF(#REF!,"AAAAABl6Z9w=",0)</f>
        <v>#REF!</v>
      </c>
      <c r="HN315" t="e">
        <f>IF(#REF!,"AAAAABl6Z90=",0)</f>
        <v>#REF!</v>
      </c>
      <c r="HO315" t="e">
        <f>IF(#REF!,"AAAAABl6Z94=",0)</f>
        <v>#REF!</v>
      </c>
      <c r="HP315" t="e">
        <f>IF(#REF!,"AAAAABl6Z98=",0)</f>
        <v>#REF!</v>
      </c>
      <c r="HQ315" t="e">
        <f>IF(#REF!,"AAAAABl6Z+A=",0)</f>
        <v>#REF!</v>
      </c>
      <c r="HR315" t="e">
        <f>IF(#REF!,"AAAAABl6Z+E=",0)</f>
        <v>#REF!</v>
      </c>
      <c r="HS315" t="e">
        <f>IF(#REF!,"AAAAABl6Z+I=",0)</f>
        <v>#REF!</v>
      </c>
      <c r="HT315" t="e">
        <f>IF(#REF!,"AAAAABl6Z+M=",0)</f>
        <v>#REF!</v>
      </c>
      <c r="HU315" t="e">
        <f>IF(#REF!,"AAAAABl6Z+Q=",0)</f>
        <v>#REF!</v>
      </c>
      <c r="HV315" t="e">
        <f>IF(#REF!,"AAAAABl6Z+U=",0)</f>
        <v>#REF!</v>
      </c>
      <c r="HW315" t="e">
        <f>IF(#REF!,"AAAAABl6Z+Y=",0)</f>
        <v>#REF!</v>
      </c>
      <c r="HX315" t="e">
        <f>IF(#REF!,"AAAAABl6Z+c=",0)</f>
        <v>#REF!</v>
      </c>
      <c r="HY315" t="e">
        <f>IF(#REF!,"AAAAABl6Z+g=",0)</f>
        <v>#REF!</v>
      </c>
      <c r="HZ315" t="e">
        <f>IF(#REF!,"AAAAABl6Z+k=",0)</f>
        <v>#REF!</v>
      </c>
      <c r="IA315" t="e">
        <f>IF(#REF!,"AAAAABl6Z+o=",0)</f>
        <v>#REF!</v>
      </c>
      <c r="IB315" t="e">
        <f>IF(#REF!,"AAAAABl6Z+s=",0)</f>
        <v>#REF!</v>
      </c>
      <c r="IC315" t="e">
        <f>IF(#REF!,"AAAAABl6Z+w=",0)</f>
        <v>#REF!</v>
      </c>
      <c r="ID315" t="e">
        <f>IF(#REF!,"AAAAABl6Z+0=",0)</f>
        <v>#REF!</v>
      </c>
      <c r="IE315" t="e">
        <f>IF(#REF!,"AAAAABl6Z+4=",0)</f>
        <v>#REF!</v>
      </c>
      <c r="IF315" t="e">
        <f>IF(#REF!,"AAAAABl6Z+8=",0)</f>
        <v>#REF!</v>
      </c>
      <c r="IG315" t="e">
        <f>IF(#REF!,"AAAAABl6Z/A=",0)</f>
        <v>#REF!</v>
      </c>
      <c r="IH315" t="e">
        <f>IF(#REF!,"AAAAABl6Z/E=",0)</f>
        <v>#REF!</v>
      </c>
      <c r="II315" t="e">
        <f>IF(#REF!,"AAAAABl6Z/I=",0)</f>
        <v>#REF!</v>
      </c>
      <c r="IJ315" t="e">
        <f>IF(#REF!,"AAAAABl6Z/M=",0)</f>
        <v>#REF!</v>
      </c>
      <c r="IK315" t="e">
        <f>IF(#REF!,"AAAAABl6Z/Q=",0)</f>
        <v>#REF!</v>
      </c>
      <c r="IL315" t="e">
        <f>IF(#REF!,"AAAAABl6Z/U=",0)</f>
        <v>#REF!</v>
      </c>
      <c r="IM315" t="e">
        <f>IF(#REF!,"AAAAABl6Z/Y=",0)</f>
        <v>#REF!</v>
      </c>
      <c r="IN315" t="e">
        <f>IF(#REF!,"AAAAABl6Z/c=",0)</f>
        <v>#REF!</v>
      </c>
      <c r="IO315" t="e">
        <f>IF(#REF!,"AAAAABl6Z/g=",0)</f>
        <v>#REF!</v>
      </c>
      <c r="IP315" t="e">
        <f>IF(#REF!,"AAAAABl6Z/k=",0)</f>
        <v>#REF!</v>
      </c>
      <c r="IQ315" t="e">
        <f>IF(#REF!,"AAAAABl6Z/o=",0)</f>
        <v>#REF!</v>
      </c>
      <c r="IR315" t="e">
        <f>IF(#REF!,"AAAAABl6Z/s=",0)</f>
        <v>#REF!</v>
      </c>
      <c r="IS315" t="e">
        <f>IF(#REF!,"AAAAABl6Z/w=",0)</f>
        <v>#REF!</v>
      </c>
      <c r="IT315" t="e">
        <f>IF(#REF!,"AAAAABl6Z/0=",0)</f>
        <v>#REF!</v>
      </c>
      <c r="IU315" t="e">
        <f>IF(#REF!,"AAAAABl6Z/4=",0)</f>
        <v>#REF!</v>
      </c>
      <c r="IV315" t="e">
        <f>IF(#REF!,"AAAAABl6Z/8=",0)</f>
        <v>#REF!</v>
      </c>
    </row>
    <row r="316" spans="1:256">
      <c r="A316" t="e">
        <f>IF(#REF!,"AAAAAC+3ZwA=",0)</f>
        <v>#REF!</v>
      </c>
      <c r="B316" t="e">
        <f>IF(#REF!,"AAAAAC+3ZwE=",0)</f>
        <v>#REF!</v>
      </c>
      <c r="C316" t="e">
        <f>IF(#REF!,"AAAAAC+3ZwI=",0)</f>
        <v>#REF!</v>
      </c>
      <c r="D316" t="e">
        <f>IF(#REF!,"AAAAAC+3ZwM=",0)</f>
        <v>#REF!</v>
      </c>
      <c r="E316" t="e">
        <f>IF(#REF!,"AAAAAC+3ZwQ=",0)</f>
        <v>#REF!</v>
      </c>
      <c r="F316" t="e">
        <f>IF(#REF!,"AAAAAC+3ZwU=",0)</f>
        <v>#REF!</v>
      </c>
      <c r="G316" t="e">
        <f>IF(#REF!,"AAAAAC+3ZwY=",0)</f>
        <v>#REF!</v>
      </c>
      <c r="H316" t="e">
        <f>IF(#REF!,"AAAAAC+3Zwc=",0)</f>
        <v>#REF!</v>
      </c>
      <c r="I316" t="e">
        <f>IF(#REF!,"AAAAAC+3Zwg=",0)</f>
        <v>#REF!</v>
      </c>
      <c r="J316" t="e">
        <f>IF(#REF!,"AAAAAC+3Zwk=",0)</f>
        <v>#REF!</v>
      </c>
      <c r="K316" t="e">
        <f>IF(#REF!,"AAAAAC+3Zwo=",0)</f>
        <v>#REF!</v>
      </c>
      <c r="L316" t="e">
        <f>IF(#REF!,"AAAAAC+3Zws=",0)</f>
        <v>#REF!</v>
      </c>
      <c r="M316" t="e">
        <f>IF(#REF!,"AAAAAC+3Zww=",0)</f>
        <v>#REF!</v>
      </c>
      <c r="N316" t="e">
        <f>IF(#REF!,"AAAAAC+3Zw0=",0)</f>
        <v>#REF!</v>
      </c>
      <c r="O316" t="e">
        <f>IF(#REF!,"AAAAAC+3Zw4=",0)</f>
        <v>#REF!</v>
      </c>
      <c r="P316" t="e">
        <f>IF(#REF!,"AAAAAC+3Zw8=",0)</f>
        <v>#REF!</v>
      </c>
      <c r="Q316" t="e">
        <f>IF(#REF!,"AAAAAC+3ZxA=",0)</f>
        <v>#REF!</v>
      </c>
      <c r="R316" t="e">
        <f>IF(#REF!,"AAAAAC+3ZxE=",0)</f>
        <v>#REF!</v>
      </c>
      <c r="S316" t="e">
        <f>IF(#REF!,"AAAAAC+3ZxI=",0)</f>
        <v>#REF!</v>
      </c>
      <c r="T316" t="e">
        <f>IF(#REF!,"AAAAAC+3ZxM=",0)</f>
        <v>#REF!</v>
      </c>
      <c r="U316" t="e">
        <f>IF(#REF!,"AAAAAC+3ZxQ=",0)</f>
        <v>#REF!</v>
      </c>
      <c r="V316" t="e">
        <f>IF(#REF!,"AAAAAC+3ZxU=",0)</f>
        <v>#REF!</v>
      </c>
      <c r="W316" t="e">
        <f>IF(#REF!,"AAAAAC+3ZxY=",0)</f>
        <v>#REF!</v>
      </c>
      <c r="X316" t="e">
        <f>IF(#REF!,"AAAAAC+3Zxc=",0)</f>
        <v>#REF!</v>
      </c>
      <c r="Y316" t="e">
        <f>IF(#REF!,"AAAAAC+3Zxg=",0)</f>
        <v>#REF!</v>
      </c>
      <c r="Z316" t="e">
        <f>IF(#REF!,"AAAAAC+3Zxk=",0)</f>
        <v>#REF!</v>
      </c>
      <c r="AA316" t="e">
        <f>IF(#REF!,"AAAAAC+3Zxo=",0)</f>
        <v>#REF!</v>
      </c>
      <c r="AB316" t="e">
        <f>IF(#REF!,"AAAAAC+3Zxs=",0)</f>
        <v>#REF!</v>
      </c>
      <c r="AC316" t="e">
        <f>IF(#REF!,"AAAAAC+3Zxw=",0)</f>
        <v>#REF!</v>
      </c>
      <c r="AD316" t="e">
        <f>IF(#REF!,"AAAAAC+3Zx0=",0)</f>
        <v>#REF!</v>
      </c>
      <c r="AE316" t="e">
        <f>IF(#REF!,"AAAAAC+3Zx4=",0)</f>
        <v>#REF!</v>
      </c>
      <c r="AF316" t="e">
        <f>IF(#REF!,"AAAAAC+3Zx8=",0)</f>
        <v>#REF!</v>
      </c>
      <c r="AG316" t="e">
        <f>IF(#REF!,"AAAAAC+3ZyA=",0)</f>
        <v>#REF!</v>
      </c>
      <c r="AH316" t="e">
        <f>IF(#REF!,"AAAAAC+3ZyE=",0)</f>
        <v>#REF!</v>
      </c>
      <c r="AI316" t="e">
        <f>IF(#REF!,"AAAAAC+3ZyI=",0)</f>
        <v>#REF!</v>
      </c>
      <c r="AJ316" t="e">
        <f>IF(#REF!,"AAAAAC+3ZyM=",0)</f>
        <v>#REF!</v>
      </c>
      <c r="AK316" t="e">
        <f>IF(#REF!,"AAAAAC+3ZyQ=",0)</f>
        <v>#REF!</v>
      </c>
      <c r="AL316" t="e">
        <f>IF(#REF!,"AAAAAC+3ZyU=",0)</f>
        <v>#REF!</v>
      </c>
      <c r="AM316" t="e">
        <f>IF(#REF!,"AAAAAC+3ZyY=",0)</f>
        <v>#REF!</v>
      </c>
      <c r="AN316" t="e">
        <f>IF(#REF!,"AAAAAC+3Zyc=",0)</f>
        <v>#REF!</v>
      </c>
      <c r="AO316" t="e">
        <f>IF(#REF!,"AAAAAC+3Zyg=",0)</f>
        <v>#REF!</v>
      </c>
      <c r="AP316" t="e">
        <f>IF(#REF!,"AAAAAC+3Zyk=",0)</f>
        <v>#REF!</v>
      </c>
      <c r="AQ316" t="e">
        <f>IF(#REF!,"AAAAAC+3Zyo=",0)</f>
        <v>#REF!</v>
      </c>
      <c r="AR316" t="e">
        <f>IF(#REF!,"AAAAAC+3Zys=",0)</f>
        <v>#REF!</v>
      </c>
      <c r="AS316" t="e">
        <f>IF(#REF!,"AAAAAC+3Zyw=",0)</f>
        <v>#REF!</v>
      </c>
      <c r="AT316" t="e">
        <f>IF(#REF!,"AAAAAC+3Zy0=",0)</f>
        <v>#REF!</v>
      </c>
      <c r="AU316" t="e">
        <f>IF(#REF!,"AAAAAC+3Zy4=",0)</f>
        <v>#REF!</v>
      </c>
      <c r="AV316" t="e">
        <f>IF(#REF!,"AAAAAC+3Zy8=",0)</f>
        <v>#REF!</v>
      </c>
      <c r="AW316" t="e">
        <f>IF(#REF!,"AAAAAC+3ZzA=",0)</f>
        <v>#REF!</v>
      </c>
      <c r="AX316" t="e">
        <f>IF(#REF!,"AAAAAC+3ZzE=",0)</f>
        <v>#REF!</v>
      </c>
      <c r="AY316" t="e">
        <f>IF(#REF!,"AAAAAC+3ZzI=",0)</f>
        <v>#REF!</v>
      </c>
      <c r="AZ316" t="e">
        <f>IF(#REF!,"AAAAAC+3ZzM=",0)</f>
        <v>#REF!</v>
      </c>
      <c r="BA316" t="e">
        <f>IF(#REF!,"AAAAAC+3ZzQ=",0)</f>
        <v>#REF!</v>
      </c>
      <c r="BB316" t="e">
        <f>IF(#REF!,"AAAAAC+3ZzU=",0)</f>
        <v>#REF!</v>
      </c>
      <c r="BC316" t="e">
        <f>IF(#REF!,"AAAAAC+3ZzY=",0)</f>
        <v>#REF!</v>
      </c>
      <c r="BD316" t="e">
        <f>IF(#REF!,"AAAAAC+3Zzc=",0)</f>
        <v>#REF!</v>
      </c>
      <c r="BE316" t="e">
        <f>IF(#REF!,"AAAAAC+3Zzg=",0)</f>
        <v>#REF!</v>
      </c>
      <c r="BF316" t="e">
        <f>IF(#REF!,"AAAAAC+3Zzk=",0)</f>
        <v>#REF!</v>
      </c>
      <c r="BG316" t="e">
        <f>IF(#REF!,"AAAAAC+3Zzo=",0)</f>
        <v>#REF!</v>
      </c>
      <c r="BH316" t="e">
        <f>IF(#REF!,"AAAAAC+3Zzs=",0)</f>
        <v>#REF!</v>
      </c>
      <c r="BI316" t="e">
        <f>IF(#REF!,"AAAAAC+3Zzw=",0)</f>
        <v>#REF!</v>
      </c>
      <c r="BJ316" t="e">
        <f>IF(#REF!,"AAAAAC+3Zz0=",0)</f>
        <v>#REF!</v>
      </c>
      <c r="BK316" t="e">
        <f>IF(#REF!,"AAAAAC+3Zz4=",0)</f>
        <v>#REF!</v>
      </c>
      <c r="BL316" t="e">
        <f>IF(#REF!,"AAAAAC+3Zz8=",0)</f>
        <v>#REF!</v>
      </c>
      <c r="BM316" t="e">
        <f>IF(#REF!,"AAAAAC+3Z0A=",0)</f>
        <v>#REF!</v>
      </c>
      <c r="BN316" t="e">
        <f>IF(#REF!,"AAAAAC+3Z0E=",0)</f>
        <v>#REF!</v>
      </c>
      <c r="BO316" t="e">
        <f>IF(#REF!,"AAAAAC+3Z0I=",0)</f>
        <v>#REF!</v>
      </c>
      <c r="BP316" t="e">
        <f>IF(#REF!,"AAAAAC+3Z0M=",0)</f>
        <v>#REF!</v>
      </c>
      <c r="BQ316" t="e">
        <f>IF(#REF!,"AAAAAC+3Z0Q=",0)</f>
        <v>#REF!</v>
      </c>
      <c r="BR316" t="e">
        <f>IF(#REF!,"AAAAAC+3Z0U=",0)</f>
        <v>#REF!</v>
      </c>
      <c r="BS316" t="e">
        <f>IF(#REF!,"AAAAAC+3Z0Y=",0)</f>
        <v>#REF!</v>
      </c>
      <c r="BT316" t="e">
        <f>IF(#REF!,"AAAAAC+3Z0c=",0)</f>
        <v>#REF!</v>
      </c>
      <c r="BU316" t="e">
        <f>IF(#REF!,"AAAAAC+3Z0g=",0)</f>
        <v>#REF!</v>
      </c>
      <c r="BV316" t="e">
        <f>IF(#REF!,"AAAAAC+3Z0k=",0)</f>
        <v>#REF!</v>
      </c>
      <c r="BW316" t="e">
        <f>IF(#REF!,"AAAAAC+3Z0o=",0)</f>
        <v>#REF!</v>
      </c>
      <c r="BX316" t="e">
        <f>IF(#REF!,"AAAAAC+3Z0s=",0)</f>
        <v>#REF!</v>
      </c>
      <c r="BY316" t="e">
        <f>IF(#REF!,"AAAAAC+3Z0w=",0)</f>
        <v>#REF!</v>
      </c>
      <c r="BZ316" t="e">
        <f>IF(#REF!,"AAAAAC+3Z00=",0)</f>
        <v>#REF!</v>
      </c>
      <c r="CA316" t="e">
        <f>IF(#REF!,"AAAAAC+3Z04=",0)</f>
        <v>#REF!</v>
      </c>
      <c r="CB316" t="e">
        <f>IF(#REF!,"AAAAAC+3Z08=",0)</f>
        <v>#REF!</v>
      </c>
      <c r="CC316" t="e">
        <f>IF(#REF!,"AAAAAC+3Z1A=",0)</f>
        <v>#REF!</v>
      </c>
      <c r="CD316" t="e">
        <f>IF(#REF!,"AAAAAC+3Z1E=",0)</f>
        <v>#REF!</v>
      </c>
      <c r="CE316" t="e">
        <f>IF(#REF!,"AAAAAC+3Z1I=",0)</f>
        <v>#REF!</v>
      </c>
      <c r="CF316" t="e">
        <f>IF(#REF!,"AAAAAC+3Z1M=",0)</f>
        <v>#REF!</v>
      </c>
      <c r="CG316" t="e">
        <f>IF(#REF!,"AAAAAC+3Z1Q=",0)</f>
        <v>#REF!</v>
      </c>
      <c r="CH316" t="e">
        <f>IF(#REF!,"AAAAAC+3Z1U=",0)</f>
        <v>#REF!</v>
      </c>
      <c r="CI316" t="e">
        <f>IF(#REF!,"AAAAAC+3Z1Y=",0)</f>
        <v>#REF!</v>
      </c>
      <c r="CJ316" t="e">
        <f>IF(#REF!,"AAAAAC+3Z1c=",0)</f>
        <v>#REF!</v>
      </c>
      <c r="CK316" t="e">
        <f>IF(#REF!,"AAAAAC+3Z1g=",0)</f>
        <v>#REF!</v>
      </c>
      <c r="CL316" t="e">
        <f>IF(#REF!,"AAAAAC+3Z1k=",0)</f>
        <v>#REF!</v>
      </c>
      <c r="CM316" t="e">
        <f>IF(#REF!,"AAAAAC+3Z1o=",0)</f>
        <v>#REF!</v>
      </c>
      <c r="CN316" t="e">
        <f>IF(#REF!,"AAAAAC+3Z1s=",0)</f>
        <v>#REF!</v>
      </c>
      <c r="CO316" t="e">
        <f>IF(#REF!,"AAAAAC+3Z1w=",0)</f>
        <v>#REF!</v>
      </c>
      <c r="CP316" t="e">
        <f>IF(#REF!,"AAAAAC+3Z10=",0)</f>
        <v>#REF!</v>
      </c>
      <c r="CQ316" t="e">
        <f>IF(#REF!,"AAAAAC+3Z14=",0)</f>
        <v>#REF!</v>
      </c>
      <c r="CR316" t="e">
        <f>IF(#REF!,"AAAAAC+3Z18=",0)</f>
        <v>#REF!</v>
      </c>
      <c r="CS316" t="e">
        <f>IF(#REF!,"AAAAAC+3Z2A=",0)</f>
        <v>#REF!</v>
      </c>
      <c r="CT316" t="e">
        <f>IF(#REF!,"AAAAAC+3Z2E=",0)</f>
        <v>#REF!</v>
      </c>
      <c r="CU316" t="e">
        <f>IF(#REF!,"AAAAAC+3Z2I=",0)</f>
        <v>#REF!</v>
      </c>
      <c r="CV316" t="e">
        <f>IF(#REF!,"AAAAAC+3Z2M=",0)</f>
        <v>#REF!</v>
      </c>
      <c r="CW316" t="e">
        <f>IF(#REF!,"AAAAAC+3Z2Q=",0)</f>
        <v>#REF!</v>
      </c>
      <c r="CX316" t="e">
        <f>IF(#REF!,"AAAAAC+3Z2U=",0)</f>
        <v>#REF!</v>
      </c>
      <c r="CY316" t="e">
        <f>IF(#REF!,"AAAAAC+3Z2Y=",0)</f>
        <v>#REF!</v>
      </c>
      <c r="CZ316" t="e">
        <f>IF(#REF!,"AAAAAC+3Z2c=",0)</f>
        <v>#REF!</v>
      </c>
      <c r="DA316" t="e">
        <f>IF(#REF!,"AAAAAC+3Z2g=",0)</f>
        <v>#REF!</v>
      </c>
      <c r="DB316" t="e">
        <f>IF(#REF!,"AAAAAC+3Z2k=",0)</f>
        <v>#REF!</v>
      </c>
      <c r="DC316" t="e">
        <f>IF(#REF!,"AAAAAC+3Z2o=",0)</f>
        <v>#REF!</v>
      </c>
      <c r="DD316" t="e">
        <f>IF(#REF!,"AAAAAC+3Z2s=",0)</f>
        <v>#REF!</v>
      </c>
      <c r="DE316" t="e">
        <f>IF(#REF!,"AAAAAC+3Z2w=",0)</f>
        <v>#REF!</v>
      </c>
      <c r="DF316" t="e">
        <f>IF(#REF!,"AAAAAC+3Z20=",0)</f>
        <v>#REF!</v>
      </c>
      <c r="DG316" t="e">
        <f>IF(#REF!,"AAAAAC+3Z24=",0)</f>
        <v>#REF!</v>
      </c>
      <c r="DH316" t="e">
        <f>IF(#REF!,"AAAAAC+3Z28=",0)</f>
        <v>#REF!</v>
      </c>
      <c r="DI316" t="e">
        <f>IF(#REF!,"AAAAAC+3Z3A=",0)</f>
        <v>#REF!</v>
      </c>
      <c r="DJ316" t="e">
        <f>IF(#REF!,"AAAAAC+3Z3E=",0)</f>
        <v>#REF!</v>
      </c>
      <c r="DK316" t="e">
        <f>IF(#REF!,"AAAAAC+3Z3I=",0)</f>
        <v>#REF!</v>
      </c>
      <c r="DL316" t="e">
        <f>IF(#REF!,"AAAAAC+3Z3M=",0)</f>
        <v>#REF!</v>
      </c>
      <c r="DM316" t="e">
        <f>IF(#REF!,"AAAAAC+3Z3Q=",0)</f>
        <v>#REF!</v>
      </c>
      <c r="DN316" t="e">
        <f>IF(#REF!,"AAAAAC+3Z3U=",0)</f>
        <v>#REF!</v>
      </c>
      <c r="DO316" t="e">
        <f>IF(#REF!,"AAAAAC+3Z3Y=",0)</f>
        <v>#REF!</v>
      </c>
      <c r="DP316" t="e">
        <f>IF(#REF!,"AAAAAC+3Z3c=",0)</f>
        <v>#REF!</v>
      </c>
      <c r="DQ316" t="e">
        <f>IF(#REF!,"AAAAAC+3Z3g=",0)</f>
        <v>#REF!</v>
      </c>
      <c r="DR316" t="e">
        <f>IF(#REF!,"AAAAAC+3Z3k=",0)</f>
        <v>#REF!</v>
      </c>
      <c r="DS316" t="e">
        <f>IF(#REF!,"AAAAAC+3Z3o=",0)</f>
        <v>#REF!</v>
      </c>
      <c r="DT316" t="e">
        <f>IF(#REF!,"AAAAAC+3Z3s=",0)</f>
        <v>#REF!</v>
      </c>
      <c r="DU316" t="e">
        <f>IF(#REF!,"AAAAAC+3Z3w=",0)</f>
        <v>#REF!</v>
      </c>
      <c r="DV316" t="e">
        <f>IF(#REF!,"AAAAAC+3Z30=",0)</f>
        <v>#REF!</v>
      </c>
      <c r="DW316" t="e">
        <f>IF(#REF!,"AAAAAC+3Z34=",0)</f>
        <v>#REF!</v>
      </c>
      <c r="DX316" t="e">
        <f>IF(#REF!,"AAAAAC+3Z38=",0)</f>
        <v>#REF!</v>
      </c>
      <c r="DY316" t="e">
        <f>IF(#REF!,"AAAAAC+3Z4A=",0)</f>
        <v>#REF!</v>
      </c>
      <c r="DZ316" t="e">
        <f>IF(#REF!,"AAAAAC+3Z4E=",0)</f>
        <v>#REF!</v>
      </c>
      <c r="EA316" t="e">
        <f>IF(#REF!,"AAAAAC+3Z4I=",0)</f>
        <v>#REF!</v>
      </c>
      <c r="EB316" t="e">
        <f>IF(#REF!,"AAAAAC+3Z4M=",0)</f>
        <v>#REF!</v>
      </c>
      <c r="EC316" t="e">
        <f>IF(#REF!,"AAAAAC+3Z4Q=",0)</f>
        <v>#REF!</v>
      </c>
      <c r="ED316" t="e">
        <f>IF(#REF!,"AAAAAC+3Z4U=",0)</f>
        <v>#REF!</v>
      </c>
      <c r="EE316" t="e">
        <f>IF(#REF!,"AAAAAC+3Z4Y=",0)</f>
        <v>#REF!</v>
      </c>
      <c r="EF316" t="e">
        <f>IF(#REF!,"AAAAAC+3Z4c=",0)</f>
        <v>#REF!</v>
      </c>
      <c r="EG316" t="e">
        <f>IF(#REF!,"AAAAAC+3Z4g=",0)</f>
        <v>#REF!</v>
      </c>
      <c r="EH316" t="e">
        <f>IF(#REF!,"AAAAAC+3Z4k=",0)</f>
        <v>#REF!</v>
      </c>
      <c r="EI316" t="e">
        <f>IF(#REF!,"AAAAAC+3Z4o=",0)</f>
        <v>#REF!</v>
      </c>
      <c r="EJ316" t="e">
        <f>IF(#REF!,"AAAAAC+3Z4s=",0)</f>
        <v>#REF!</v>
      </c>
      <c r="EK316" t="e">
        <f>IF(#REF!,"AAAAAC+3Z4w=",0)</f>
        <v>#REF!</v>
      </c>
      <c r="EL316" t="e">
        <f>IF(#REF!,"AAAAAC+3Z40=",0)</f>
        <v>#REF!</v>
      </c>
      <c r="EM316" t="e">
        <f>IF(#REF!,"AAAAAC+3Z44=",0)</f>
        <v>#REF!</v>
      </c>
      <c r="EN316" t="e">
        <f>IF(#REF!,"AAAAAC+3Z48=",0)</f>
        <v>#REF!</v>
      </c>
      <c r="EO316" t="e">
        <f>IF(#REF!,"AAAAAC+3Z5A=",0)</f>
        <v>#REF!</v>
      </c>
      <c r="EP316" t="e">
        <f>IF(#REF!,"AAAAAC+3Z5E=",0)</f>
        <v>#REF!</v>
      </c>
      <c r="EQ316" t="e">
        <f>IF(#REF!,"AAAAAC+3Z5I=",0)</f>
        <v>#REF!</v>
      </c>
      <c r="ER316" t="e">
        <f>IF(#REF!,"AAAAAC+3Z5M=",0)</f>
        <v>#REF!</v>
      </c>
      <c r="ES316" t="e">
        <f>IF(#REF!,"AAAAAC+3Z5Q=",0)</f>
        <v>#REF!</v>
      </c>
      <c r="ET316" t="e">
        <f>IF(#REF!,"AAAAAC+3Z5U=",0)</f>
        <v>#REF!</v>
      </c>
      <c r="EU316" t="e">
        <f>IF(#REF!,"AAAAAC+3Z5Y=",0)</f>
        <v>#REF!</v>
      </c>
      <c r="EV316" t="e">
        <f>IF(#REF!,"AAAAAC+3Z5c=",0)</f>
        <v>#REF!</v>
      </c>
      <c r="EW316" t="e">
        <f>IF(#REF!,"AAAAAC+3Z5g=",0)</f>
        <v>#REF!</v>
      </c>
      <c r="EX316" t="e">
        <f>IF(#REF!,"AAAAAC+3Z5k=",0)</f>
        <v>#REF!</v>
      </c>
      <c r="EY316" t="e">
        <f>IF(#REF!,"AAAAAC+3Z5o=",0)</f>
        <v>#REF!</v>
      </c>
      <c r="EZ316" t="e">
        <f>IF(#REF!,"AAAAAC+3Z5s=",0)</f>
        <v>#REF!</v>
      </c>
      <c r="FA316" t="e">
        <f>IF(#REF!,"AAAAAC+3Z5w=",0)</f>
        <v>#REF!</v>
      </c>
      <c r="FB316" t="e">
        <f>IF(#REF!,"AAAAAC+3Z50=",0)</f>
        <v>#REF!</v>
      </c>
      <c r="FC316" t="e">
        <f>IF(#REF!,"AAAAAC+3Z54=",0)</f>
        <v>#REF!</v>
      </c>
      <c r="FD316" t="e">
        <f>IF(#REF!,"AAAAAC+3Z58=",0)</f>
        <v>#REF!</v>
      </c>
      <c r="FE316" t="e">
        <f>IF(#REF!,"AAAAAC+3Z6A=",0)</f>
        <v>#REF!</v>
      </c>
      <c r="FF316" t="e">
        <f>IF(#REF!,"AAAAAC+3Z6E=",0)</f>
        <v>#REF!</v>
      </c>
      <c r="FG316" t="e">
        <f>IF(#REF!,"AAAAAC+3Z6I=",0)</f>
        <v>#REF!</v>
      </c>
      <c r="FH316" t="e">
        <f>IF(#REF!,"AAAAAC+3Z6M=",0)</f>
        <v>#REF!</v>
      </c>
      <c r="FI316" t="e">
        <f>IF(#REF!,"AAAAAC+3Z6Q=",0)</f>
        <v>#REF!</v>
      </c>
      <c r="FJ316" t="e">
        <f>IF(#REF!,"AAAAAC+3Z6U=",0)</f>
        <v>#REF!</v>
      </c>
      <c r="FK316" t="e">
        <f>IF(#REF!,"AAAAAC+3Z6Y=",0)</f>
        <v>#REF!</v>
      </c>
      <c r="FL316" t="e">
        <f>IF(#REF!,"AAAAAC+3Z6c=",0)</f>
        <v>#REF!</v>
      </c>
      <c r="FM316" t="e">
        <f>IF(#REF!,"AAAAAC+3Z6g=",0)</f>
        <v>#REF!</v>
      </c>
      <c r="FN316" t="e">
        <f>IF(#REF!,"AAAAAC+3Z6k=",0)</f>
        <v>#REF!</v>
      </c>
      <c r="FO316" t="e">
        <f>IF(#REF!,"AAAAAC+3Z6o=",0)</f>
        <v>#REF!</v>
      </c>
      <c r="FP316" t="e">
        <f>IF(#REF!,"AAAAAC+3Z6s=",0)</f>
        <v>#REF!</v>
      </c>
      <c r="FQ316" t="e">
        <f>IF(#REF!,"AAAAAC+3Z6w=",0)</f>
        <v>#REF!</v>
      </c>
      <c r="FR316" t="e">
        <f>IF(#REF!,"AAAAAC+3Z60=",0)</f>
        <v>#REF!</v>
      </c>
      <c r="FS316" t="e">
        <f>IF(#REF!,"AAAAAC+3Z64=",0)</f>
        <v>#REF!</v>
      </c>
      <c r="FT316" t="e">
        <f>IF(#REF!,"AAAAAC+3Z68=",0)</f>
        <v>#REF!</v>
      </c>
      <c r="FU316" t="e">
        <f>IF(#REF!,"AAAAAC+3Z7A=",0)</f>
        <v>#REF!</v>
      </c>
      <c r="FV316" t="e">
        <f>IF(#REF!,"AAAAAC+3Z7E=",0)</f>
        <v>#REF!</v>
      </c>
      <c r="FW316" t="e">
        <f>IF(#REF!,"AAAAAC+3Z7I=",0)</f>
        <v>#REF!</v>
      </c>
      <c r="FX316" t="e">
        <f>IF(#REF!,"AAAAAC+3Z7M=",0)</f>
        <v>#REF!</v>
      </c>
      <c r="FY316" t="e">
        <f>IF(#REF!,"AAAAAC+3Z7Q=",0)</f>
        <v>#REF!</v>
      </c>
      <c r="FZ316" t="e">
        <f>IF(#REF!,"AAAAAC+3Z7U=",0)</f>
        <v>#REF!</v>
      </c>
      <c r="GA316" t="e">
        <f>IF(#REF!,"AAAAAC+3Z7Y=",0)</f>
        <v>#REF!</v>
      </c>
      <c r="GB316" t="e">
        <f>IF(#REF!,"AAAAAC+3Z7c=",0)</f>
        <v>#REF!</v>
      </c>
      <c r="GC316" t="e">
        <f>IF(#REF!,"AAAAAC+3Z7g=",0)</f>
        <v>#REF!</v>
      </c>
      <c r="GD316" t="e">
        <f>IF(#REF!,"AAAAAC+3Z7k=",0)</f>
        <v>#REF!</v>
      </c>
      <c r="GE316" t="e">
        <f>IF(#REF!,"AAAAAC+3Z7o=",0)</f>
        <v>#REF!</v>
      </c>
      <c r="GF316" t="e">
        <f>IF(#REF!,"AAAAAC+3Z7s=",0)</f>
        <v>#REF!</v>
      </c>
      <c r="GG316" t="e">
        <f>IF(#REF!,"AAAAAC+3Z7w=",0)</f>
        <v>#REF!</v>
      </c>
      <c r="GH316" t="e">
        <f>IF(#REF!,"AAAAAC+3Z70=",0)</f>
        <v>#REF!</v>
      </c>
      <c r="GI316" t="e">
        <f>IF(#REF!,"AAAAAC+3Z74=",0)</f>
        <v>#REF!</v>
      </c>
      <c r="GJ316" t="e">
        <f>IF(#REF!,"AAAAAC+3Z78=",0)</f>
        <v>#REF!</v>
      </c>
      <c r="GK316" t="e">
        <f>IF(#REF!,"AAAAAC+3Z8A=",0)</f>
        <v>#REF!</v>
      </c>
      <c r="GL316" t="e">
        <f>IF(#REF!,"AAAAAC+3Z8E=",0)</f>
        <v>#REF!</v>
      </c>
      <c r="GM316" t="e">
        <f>IF(#REF!,"AAAAAC+3Z8I=",0)</f>
        <v>#REF!</v>
      </c>
      <c r="GN316" t="e">
        <f>IF(#REF!,"AAAAAC+3Z8M=",0)</f>
        <v>#REF!</v>
      </c>
      <c r="GO316" t="e">
        <f>IF(#REF!,"AAAAAC+3Z8Q=",0)</f>
        <v>#REF!</v>
      </c>
      <c r="GP316" t="e">
        <f>IF(#REF!,"AAAAAC+3Z8U=",0)</f>
        <v>#REF!</v>
      </c>
      <c r="GQ316" t="e">
        <f>IF(#REF!,"AAAAAC+3Z8Y=",0)</f>
        <v>#REF!</v>
      </c>
      <c r="GR316" t="e">
        <f>IF(#REF!,"AAAAAC+3Z8c=",0)</f>
        <v>#REF!</v>
      </c>
      <c r="GS316" t="e">
        <f>IF(#REF!,"AAAAAC+3Z8g=",0)</f>
        <v>#REF!</v>
      </c>
      <c r="GT316" t="e">
        <f>IF(#REF!,"AAAAAC+3Z8k=",0)</f>
        <v>#REF!</v>
      </c>
      <c r="GU316" t="e">
        <f>IF(#REF!,"AAAAAC+3Z8o=",0)</f>
        <v>#REF!</v>
      </c>
      <c r="GV316" t="e">
        <f>IF(#REF!,"AAAAAC+3Z8s=",0)</f>
        <v>#REF!</v>
      </c>
      <c r="GW316" t="e">
        <f>IF(#REF!,"AAAAAC+3Z8w=",0)</f>
        <v>#REF!</v>
      </c>
      <c r="GX316" t="e">
        <f>IF(#REF!,"AAAAAC+3Z80=",0)</f>
        <v>#REF!</v>
      </c>
      <c r="GY316" t="e">
        <f>IF(#REF!,"AAAAAC+3Z84=",0)</f>
        <v>#REF!</v>
      </c>
      <c r="GZ316" t="e">
        <f>IF(#REF!,"AAAAAC+3Z88=",0)</f>
        <v>#REF!</v>
      </c>
      <c r="HA316" t="e">
        <f>IF(#REF!,"AAAAAC+3Z9A=",0)</f>
        <v>#REF!</v>
      </c>
      <c r="HB316" t="e">
        <f>IF(#REF!,"AAAAAC+3Z9E=",0)</f>
        <v>#REF!</v>
      </c>
      <c r="HC316" t="e">
        <f>IF(#REF!,"AAAAAC+3Z9I=",0)</f>
        <v>#REF!</v>
      </c>
      <c r="HD316" t="e">
        <f>IF(#REF!,"AAAAAC+3Z9M=",0)</f>
        <v>#REF!</v>
      </c>
      <c r="HE316" t="e">
        <f>IF(#REF!,"AAAAAC+3Z9Q=",0)</f>
        <v>#REF!</v>
      </c>
      <c r="HF316" t="e">
        <f>IF(#REF!,"AAAAAC+3Z9U=",0)</f>
        <v>#REF!</v>
      </c>
      <c r="HG316" t="e">
        <f>IF(#REF!,"AAAAAC+3Z9Y=",0)</f>
        <v>#REF!</v>
      </c>
      <c r="HH316" t="e">
        <f>IF(#REF!,"AAAAAC+3Z9c=",0)</f>
        <v>#REF!</v>
      </c>
      <c r="HI316" t="e">
        <f>IF(#REF!,"AAAAAC+3Z9g=",0)</f>
        <v>#REF!</v>
      </c>
      <c r="HJ316" t="e">
        <f>IF(#REF!,"AAAAAC+3Z9k=",0)</f>
        <v>#REF!</v>
      </c>
      <c r="HK316" t="e">
        <f>IF(#REF!,"AAAAAC+3Z9o=",0)</f>
        <v>#REF!</v>
      </c>
      <c r="HL316" t="e">
        <f>IF(#REF!,"AAAAAC+3Z9s=",0)</f>
        <v>#REF!</v>
      </c>
      <c r="HM316" t="e">
        <f>IF(#REF!,"AAAAAC+3Z9w=",0)</f>
        <v>#REF!</v>
      </c>
      <c r="HN316" t="e">
        <f>IF(#REF!,"AAAAAC+3Z90=",0)</f>
        <v>#REF!</v>
      </c>
      <c r="HO316" t="e">
        <f>IF(#REF!,"AAAAAC+3Z94=",0)</f>
        <v>#REF!</v>
      </c>
      <c r="HP316" t="e">
        <f>IF(#REF!,"AAAAAC+3Z98=",0)</f>
        <v>#REF!</v>
      </c>
      <c r="HQ316" t="e">
        <f>IF(#REF!,"AAAAAC+3Z+A=",0)</f>
        <v>#REF!</v>
      </c>
      <c r="HR316" t="e">
        <f>IF(#REF!,"AAAAAC+3Z+E=",0)</f>
        <v>#REF!</v>
      </c>
      <c r="HS316" t="e">
        <f>IF(#REF!,"AAAAAC+3Z+I=",0)</f>
        <v>#REF!</v>
      </c>
      <c r="HT316" t="e">
        <f>IF(#REF!,"AAAAAC+3Z+M=",0)</f>
        <v>#REF!</v>
      </c>
      <c r="HU316" t="e">
        <f>IF(#REF!,"AAAAAC+3Z+Q=",0)</f>
        <v>#REF!</v>
      </c>
      <c r="HV316" t="e">
        <f>IF(#REF!,"AAAAAC+3Z+U=",0)</f>
        <v>#REF!</v>
      </c>
      <c r="HW316" t="e">
        <f>IF(#REF!,"AAAAAC+3Z+Y=",0)</f>
        <v>#REF!</v>
      </c>
      <c r="HX316" t="e">
        <f>IF(#REF!,"AAAAAC+3Z+c=",0)</f>
        <v>#REF!</v>
      </c>
      <c r="HY316" t="e">
        <f>IF(#REF!,"AAAAAC+3Z+g=",0)</f>
        <v>#REF!</v>
      </c>
      <c r="HZ316" t="e">
        <f>IF(#REF!,"AAAAAC+3Z+k=",0)</f>
        <v>#REF!</v>
      </c>
      <c r="IA316" t="e">
        <f>IF(#REF!,"AAAAAC+3Z+o=",0)</f>
        <v>#REF!</v>
      </c>
      <c r="IB316" t="e">
        <f>IF(#REF!,"AAAAAC+3Z+s=",0)</f>
        <v>#REF!</v>
      </c>
      <c r="IC316" t="e">
        <f>IF(#REF!,"AAAAAC+3Z+w=",0)</f>
        <v>#REF!</v>
      </c>
      <c r="ID316" t="e">
        <f>IF(#REF!,"AAAAAC+3Z+0=",0)</f>
        <v>#REF!</v>
      </c>
      <c r="IE316" t="e">
        <f>IF(#REF!,"AAAAAC+3Z+4=",0)</f>
        <v>#REF!</v>
      </c>
      <c r="IF316" t="e">
        <f>IF(#REF!,"AAAAAC+3Z+8=",0)</f>
        <v>#REF!</v>
      </c>
      <c r="IG316" t="e">
        <f>IF(#REF!,"AAAAAC+3Z/A=",0)</f>
        <v>#REF!</v>
      </c>
      <c r="IH316" t="e">
        <f>IF(#REF!,"AAAAAC+3Z/E=",0)</f>
        <v>#REF!</v>
      </c>
      <c r="II316" t="e">
        <f>IF(#REF!,"AAAAAC+3Z/I=",0)</f>
        <v>#REF!</v>
      </c>
      <c r="IJ316" t="e">
        <f>IF(#REF!,"AAAAAC+3Z/M=",0)</f>
        <v>#REF!</v>
      </c>
      <c r="IK316" t="e">
        <f>IF(#REF!,"AAAAAC+3Z/Q=",0)</f>
        <v>#REF!</v>
      </c>
      <c r="IL316" t="e">
        <f>IF(#REF!,"AAAAAC+3Z/U=",0)</f>
        <v>#REF!</v>
      </c>
      <c r="IM316" t="e">
        <f>IF(#REF!,"AAAAAC+3Z/Y=",0)</f>
        <v>#REF!</v>
      </c>
      <c r="IN316" t="e">
        <f>IF(#REF!,"AAAAAC+3Z/c=",0)</f>
        <v>#REF!</v>
      </c>
      <c r="IO316" t="e">
        <f>IF(#REF!,"AAAAAC+3Z/g=",0)</f>
        <v>#REF!</v>
      </c>
      <c r="IP316" t="e">
        <f>IF(#REF!,"AAAAAC+3Z/k=",0)</f>
        <v>#REF!</v>
      </c>
      <c r="IQ316" t="e">
        <f>IF(#REF!,"AAAAAC+3Z/o=",0)</f>
        <v>#REF!</v>
      </c>
      <c r="IR316" t="e">
        <f>IF(#REF!,"AAAAAC+3Z/s=",0)</f>
        <v>#REF!</v>
      </c>
      <c r="IS316" t="e">
        <f>IF(#REF!,"AAAAAC+3Z/w=",0)</f>
        <v>#REF!</v>
      </c>
      <c r="IT316" t="e">
        <f>IF(#REF!,"AAAAAC+3Z/0=",0)</f>
        <v>#REF!</v>
      </c>
      <c r="IU316" t="e">
        <f>IF(#REF!,"AAAAAC+3Z/4=",0)</f>
        <v>#REF!</v>
      </c>
      <c r="IV316" t="e">
        <f>IF(#REF!,"AAAAAC+3Z/8=",0)</f>
        <v>#REF!</v>
      </c>
    </row>
    <row r="317" spans="1:256">
      <c r="A317" t="e">
        <f>IF(#REF!,"AAAAAH3+4wA=",0)</f>
        <v>#REF!</v>
      </c>
      <c r="B317" t="e">
        <f>IF(#REF!,"AAAAAH3+4wE=",0)</f>
        <v>#REF!</v>
      </c>
      <c r="C317" t="e">
        <f>IF(#REF!,"AAAAAH3+4wI=",0)</f>
        <v>#REF!</v>
      </c>
      <c r="D317" t="e">
        <f>IF(#REF!,"AAAAAH3+4wM=",0)</f>
        <v>#REF!</v>
      </c>
      <c r="E317" t="e">
        <f>IF(#REF!,"AAAAAH3+4wQ=",0)</f>
        <v>#REF!</v>
      </c>
      <c r="F317" t="e">
        <f>IF(#REF!,"AAAAAH3+4wU=",0)</f>
        <v>#REF!</v>
      </c>
      <c r="G317" t="e">
        <f>IF(#REF!,"AAAAAH3+4wY=",0)</f>
        <v>#REF!</v>
      </c>
      <c r="H317" t="e">
        <f>IF(#REF!,"AAAAAH3+4wc=",0)</f>
        <v>#REF!</v>
      </c>
      <c r="I317" t="e">
        <f>IF(#REF!,"AAAAAH3+4wg=",0)</f>
        <v>#REF!</v>
      </c>
      <c r="J317" t="e">
        <f>IF(#REF!,"AAAAAH3+4wk=",0)</f>
        <v>#REF!</v>
      </c>
      <c r="K317" t="e">
        <f>IF(#REF!,"AAAAAH3+4wo=",0)</f>
        <v>#REF!</v>
      </c>
      <c r="L317" t="e">
        <f>IF(#REF!,"AAAAAH3+4ws=",0)</f>
        <v>#REF!</v>
      </c>
      <c r="M317" t="e">
        <f>IF(#REF!,"AAAAAH3+4ww=",0)</f>
        <v>#REF!</v>
      </c>
      <c r="N317" t="e">
        <f>IF(#REF!,"AAAAAH3+4w0=",0)</f>
        <v>#REF!</v>
      </c>
      <c r="O317" t="e">
        <f>IF(#REF!,"AAAAAH3+4w4=",0)</f>
        <v>#REF!</v>
      </c>
      <c r="P317" t="e">
        <f>IF(#REF!,"AAAAAH3+4w8=",0)</f>
        <v>#REF!</v>
      </c>
      <c r="Q317" t="e">
        <f>IF(#REF!,"AAAAAH3+4xA=",0)</f>
        <v>#REF!</v>
      </c>
      <c r="R317" t="e">
        <f>IF(#REF!,"AAAAAH3+4xE=",0)</f>
        <v>#REF!</v>
      </c>
      <c r="S317" t="e">
        <f>IF(#REF!,"AAAAAH3+4xI=",0)</f>
        <v>#REF!</v>
      </c>
      <c r="T317" t="e">
        <f>IF(#REF!,"AAAAAH3+4xM=",0)</f>
        <v>#REF!</v>
      </c>
      <c r="U317" t="e">
        <f>IF(#REF!,"AAAAAH3+4xQ=",0)</f>
        <v>#REF!</v>
      </c>
      <c r="V317" t="e">
        <f>IF(#REF!,"AAAAAH3+4xU=",0)</f>
        <v>#REF!</v>
      </c>
      <c r="W317" t="e">
        <f>IF(#REF!,"AAAAAH3+4xY=",0)</f>
        <v>#REF!</v>
      </c>
      <c r="X317" t="e">
        <f>IF(#REF!,"AAAAAH3+4xc=",0)</f>
        <v>#REF!</v>
      </c>
      <c r="Y317" t="e">
        <f>IF(#REF!,"AAAAAH3+4xg=",0)</f>
        <v>#REF!</v>
      </c>
      <c r="Z317" t="e">
        <f>IF(#REF!,"AAAAAH3+4xk=",0)</f>
        <v>#REF!</v>
      </c>
      <c r="AA317" t="e">
        <f>IF(#REF!,"AAAAAH3+4xo=",0)</f>
        <v>#REF!</v>
      </c>
      <c r="AB317" t="e">
        <f>IF(#REF!,"AAAAAH3+4xs=",0)</f>
        <v>#REF!</v>
      </c>
      <c r="AC317" t="e">
        <f>IF(#REF!,"AAAAAH3+4xw=",0)</f>
        <v>#REF!</v>
      </c>
      <c r="AD317" t="e">
        <f>IF(#REF!,"AAAAAH3+4x0=",0)</f>
        <v>#REF!</v>
      </c>
      <c r="AE317" t="e">
        <f>IF(#REF!,"AAAAAH3+4x4=",0)</f>
        <v>#REF!</v>
      </c>
      <c r="AF317" t="e">
        <f>IF(#REF!,"AAAAAH3+4x8=",0)</f>
        <v>#REF!</v>
      </c>
      <c r="AG317" t="e">
        <f>IF(#REF!,"AAAAAH3+4yA=",0)</f>
        <v>#REF!</v>
      </c>
      <c r="AH317" t="e">
        <f>IF(#REF!,"AAAAAH3+4yE=",0)</f>
        <v>#REF!</v>
      </c>
      <c r="AI317" t="e">
        <f>IF(#REF!,"AAAAAH3+4yI=",0)</f>
        <v>#REF!</v>
      </c>
      <c r="AJ317" t="e">
        <f>IF(#REF!,"AAAAAH3+4yM=",0)</f>
        <v>#REF!</v>
      </c>
      <c r="AK317" t="e">
        <f>IF(#REF!,"AAAAAH3+4yQ=",0)</f>
        <v>#REF!</v>
      </c>
      <c r="AL317" t="e">
        <f>IF(#REF!,"AAAAAH3+4yU=",0)</f>
        <v>#REF!</v>
      </c>
      <c r="AM317" t="e">
        <f>IF(#REF!,"AAAAAH3+4yY=",0)</f>
        <v>#REF!</v>
      </c>
      <c r="AN317" t="e">
        <f>IF(#REF!,"AAAAAH3+4yc=",0)</f>
        <v>#REF!</v>
      </c>
      <c r="AO317" t="e">
        <f>IF(#REF!,"AAAAAH3+4yg=",0)</f>
        <v>#REF!</v>
      </c>
      <c r="AP317" t="e">
        <f>IF(#REF!,"AAAAAH3+4yk=",0)</f>
        <v>#REF!</v>
      </c>
      <c r="AQ317" t="e">
        <f>IF(#REF!,"AAAAAH3+4yo=",0)</f>
        <v>#REF!</v>
      </c>
      <c r="AR317" t="e">
        <f>IF(#REF!,"AAAAAH3+4ys=",0)</f>
        <v>#REF!</v>
      </c>
      <c r="AS317" t="e">
        <f>IF(#REF!,"AAAAAH3+4yw=",0)</f>
        <v>#REF!</v>
      </c>
      <c r="AT317" t="e">
        <f>IF(#REF!,"AAAAAH3+4y0=",0)</f>
        <v>#REF!</v>
      </c>
      <c r="AU317" t="e">
        <f>IF(#REF!,"AAAAAH3+4y4=",0)</f>
        <v>#REF!</v>
      </c>
      <c r="AV317" t="e">
        <f>IF(#REF!,"AAAAAH3+4y8=",0)</f>
        <v>#REF!</v>
      </c>
      <c r="AW317" t="e">
        <f>IF(#REF!,"AAAAAH3+4zA=",0)</f>
        <v>#REF!</v>
      </c>
      <c r="AX317" t="e">
        <f>IF(#REF!,"AAAAAH3+4zE=",0)</f>
        <v>#REF!</v>
      </c>
      <c r="AY317" t="e">
        <f>IF(#REF!,"AAAAAH3+4zI=",0)</f>
        <v>#REF!</v>
      </c>
      <c r="AZ317" t="e">
        <f>IF(#REF!,"AAAAAH3+4zM=",0)</f>
        <v>#REF!</v>
      </c>
      <c r="BA317" t="e">
        <f>IF(#REF!,"AAAAAH3+4zQ=",0)</f>
        <v>#REF!</v>
      </c>
      <c r="BB317" t="e">
        <f>IF(#REF!,"AAAAAH3+4zU=",0)</f>
        <v>#REF!</v>
      </c>
      <c r="BC317" t="e">
        <f>IF(#REF!,"AAAAAH3+4zY=",0)</f>
        <v>#REF!</v>
      </c>
      <c r="BD317" t="e">
        <f>IF(#REF!,"AAAAAH3+4zc=",0)</f>
        <v>#REF!</v>
      </c>
      <c r="BE317" t="e">
        <f>IF(#REF!,"AAAAAH3+4zg=",0)</f>
        <v>#REF!</v>
      </c>
      <c r="BF317" t="e">
        <f>IF(#REF!,"AAAAAH3+4zk=",0)</f>
        <v>#REF!</v>
      </c>
      <c r="BG317" t="e">
        <f>IF(#REF!,"AAAAAH3+4zo=",0)</f>
        <v>#REF!</v>
      </c>
      <c r="BH317" t="e">
        <f>IF(#REF!,"AAAAAH3+4zs=",0)</f>
        <v>#REF!</v>
      </c>
      <c r="BI317" t="e">
        <f>IF(#REF!,"AAAAAH3+4zw=",0)</f>
        <v>#REF!</v>
      </c>
      <c r="BJ317" t="e">
        <f>IF(#REF!,"AAAAAH3+4z0=",0)</f>
        <v>#REF!</v>
      </c>
      <c r="BK317" t="e">
        <f>IF(#REF!,"AAAAAH3+4z4=",0)</f>
        <v>#REF!</v>
      </c>
      <c r="BL317" t="e">
        <f>IF(#REF!,"AAAAAH3+4z8=",0)</f>
        <v>#REF!</v>
      </c>
      <c r="BM317" t="e">
        <f>IF(#REF!,"AAAAAH3+40A=",0)</f>
        <v>#REF!</v>
      </c>
      <c r="BN317" t="e">
        <f>IF(#REF!,"AAAAAH3+40E=",0)</f>
        <v>#REF!</v>
      </c>
      <c r="BO317" t="e">
        <f>IF(#REF!,"AAAAAH3+40I=",0)</f>
        <v>#REF!</v>
      </c>
      <c r="BP317" t="e">
        <f>IF(#REF!,"AAAAAH3+40M=",0)</f>
        <v>#REF!</v>
      </c>
      <c r="BQ317" t="e">
        <f>IF(#REF!,"AAAAAH3+40Q=",0)</f>
        <v>#REF!</v>
      </c>
      <c r="BR317" t="e">
        <f>IF(#REF!,"AAAAAH3+40U=",0)</f>
        <v>#REF!</v>
      </c>
      <c r="BS317" t="e">
        <f>IF(#REF!,"AAAAAH3+40Y=",0)</f>
        <v>#REF!</v>
      </c>
      <c r="BT317" t="e">
        <f>IF(#REF!,"AAAAAH3+40c=",0)</f>
        <v>#REF!</v>
      </c>
      <c r="BU317" t="e">
        <f>IF(#REF!,"AAAAAH3+40g=",0)</f>
        <v>#REF!</v>
      </c>
      <c r="BV317" t="e">
        <f>IF(#REF!,"AAAAAH3+40k=",0)</f>
        <v>#REF!</v>
      </c>
      <c r="BW317" t="e">
        <f>IF(#REF!,"AAAAAH3+40o=",0)</f>
        <v>#REF!</v>
      </c>
      <c r="BX317" t="e">
        <f>IF(#REF!,"AAAAAH3+40s=",0)</f>
        <v>#REF!</v>
      </c>
      <c r="BY317" t="e">
        <f>IF(#REF!,"AAAAAH3+40w=",0)</f>
        <v>#REF!</v>
      </c>
      <c r="BZ317" t="e">
        <f>IF(#REF!,"AAAAAH3+400=",0)</f>
        <v>#REF!</v>
      </c>
      <c r="CA317" t="e">
        <f>IF(#REF!,"AAAAAH3+404=",0)</f>
        <v>#REF!</v>
      </c>
      <c r="CB317" t="e">
        <f>IF(#REF!,"AAAAAH3+408=",0)</f>
        <v>#REF!</v>
      </c>
      <c r="CC317" t="e">
        <f>IF(#REF!,"AAAAAH3+41A=",0)</f>
        <v>#REF!</v>
      </c>
      <c r="CD317" t="e">
        <f>IF(#REF!,"AAAAAH3+41E=",0)</f>
        <v>#REF!</v>
      </c>
      <c r="CE317" t="e">
        <f>IF(#REF!,"AAAAAH3+41I=",0)</f>
        <v>#REF!</v>
      </c>
      <c r="CF317" t="e">
        <f>IF(#REF!,"AAAAAH3+41M=",0)</f>
        <v>#REF!</v>
      </c>
      <c r="CG317" t="e">
        <f>IF(#REF!,"AAAAAH3+41Q=",0)</f>
        <v>#REF!</v>
      </c>
      <c r="CH317" t="e">
        <f>IF(#REF!,"AAAAAH3+41U=",0)</f>
        <v>#REF!</v>
      </c>
      <c r="CI317" t="e">
        <f>IF(#REF!,"AAAAAH3+41Y=",0)</f>
        <v>#REF!</v>
      </c>
      <c r="CJ317" t="e">
        <f>IF(#REF!,"AAAAAH3+41c=",0)</f>
        <v>#REF!</v>
      </c>
      <c r="CK317" t="e">
        <f>IF(#REF!,"AAAAAH3+41g=",0)</f>
        <v>#REF!</v>
      </c>
      <c r="CL317" t="e">
        <f>IF(#REF!,"AAAAAH3+41k=",0)</f>
        <v>#REF!</v>
      </c>
      <c r="CM317" t="e">
        <f>IF(#REF!,"AAAAAH3+41o=",0)</f>
        <v>#REF!</v>
      </c>
      <c r="CN317" t="e">
        <f>IF(#REF!,"AAAAAH3+41s=",0)</f>
        <v>#REF!</v>
      </c>
      <c r="CO317" t="e">
        <f>IF(#REF!,"AAAAAH3+41w=",0)</f>
        <v>#REF!</v>
      </c>
      <c r="CP317" t="e">
        <f>IF(#REF!,"AAAAAH3+410=",0)</f>
        <v>#REF!</v>
      </c>
      <c r="CQ317" t="e">
        <f>IF(#REF!,"AAAAAH3+414=",0)</f>
        <v>#REF!</v>
      </c>
      <c r="CR317" t="e">
        <f>IF(#REF!,"AAAAAH3+418=",0)</f>
        <v>#REF!</v>
      </c>
      <c r="CS317" t="e">
        <f>IF(#REF!,"AAAAAH3+42A=",0)</f>
        <v>#REF!</v>
      </c>
      <c r="CT317" t="e">
        <f>IF(#REF!,"AAAAAH3+42E=",0)</f>
        <v>#REF!</v>
      </c>
      <c r="CU317" t="e">
        <f>IF(#REF!,"AAAAAH3+42I=",0)</f>
        <v>#REF!</v>
      </c>
      <c r="CV317" t="e">
        <f>IF(#REF!,"AAAAAH3+42M=",0)</f>
        <v>#REF!</v>
      </c>
      <c r="CW317" t="e">
        <f>IF(#REF!,"AAAAAH3+42Q=",0)</f>
        <v>#REF!</v>
      </c>
      <c r="CX317" t="e">
        <f>IF(#REF!,"AAAAAH3+42U=",0)</f>
        <v>#REF!</v>
      </c>
      <c r="CY317" t="e">
        <f>IF(#REF!,"AAAAAH3+42Y=",0)</f>
        <v>#REF!</v>
      </c>
      <c r="CZ317" t="e">
        <f>IF(#REF!,"AAAAAH3+42c=",0)</f>
        <v>#REF!</v>
      </c>
      <c r="DA317" t="e">
        <f>IF(#REF!,"AAAAAH3+42g=",0)</f>
        <v>#REF!</v>
      </c>
      <c r="DB317" t="e">
        <f>IF(#REF!,"AAAAAH3+42k=",0)</f>
        <v>#REF!</v>
      </c>
      <c r="DC317" t="e">
        <f>IF(#REF!,"AAAAAH3+42o=",0)</f>
        <v>#REF!</v>
      </c>
      <c r="DD317" t="e">
        <f>IF(#REF!,"AAAAAH3+42s=",0)</f>
        <v>#REF!</v>
      </c>
      <c r="DE317" t="e">
        <f>IF(#REF!,"AAAAAH3+42w=",0)</f>
        <v>#REF!</v>
      </c>
      <c r="DF317" t="e">
        <f>IF(#REF!,"AAAAAH3+420=",0)</f>
        <v>#REF!</v>
      </c>
      <c r="DG317" t="e">
        <f>IF(#REF!,"AAAAAH3+424=",0)</f>
        <v>#REF!</v>
      </c>
      <c r="DH317" t="e">
        <f>IF(#REF!,"AAAAAH3+428=",0)</f>
        <v>#REF!</v>
      </c>
      <c r="DI317" t="e">
        <f>IF(#REF!,"AAAAAH3+43A=",0)</f>
        <v>#REF!</v>
      </c>
      <c r="DJ317" t="e">
        <f>IF(#REF!,"AAAAAH3+43E=",0)</f>
        <v>#REF!</v>
      </c>
      <c r="DK317" t="e">
        <f>IF(#REF!,"AAAAAH3+43I=",0)</f>
        <v>#REF!</v>
      </c>
      <c r="DL317" t="e">
        <f>IF(#REF!,"AAAAAH3+43M=",0)</f>
        <v>#REF!</v>
      </c>
      <c r="DM317" t="e">
        <f>IF(#REF!,"AAAAAH3+43Q=",0)</f>
        <v>#REF!</v>
      </c>
      <c r="DN317" t="e">
        <f>IF(#REF!,"AAAAAH3+43U=",0)</f>
        <v>#REF!</v>
      </c>
      <c r="DO317" t="e">
        <f>IF(#REF!,"AAAAAH3+43Y=",0)</f>
        <v>#REF!</v>
      </c>
      <c r="DP317" t="e">
        <f>IF(#REF!,"AAAAAH3+43c=",0)</f>
        <v>#REF!</v>
      </c>
      <c r="DQ317" t="e">
        <f>IF(#REF!,"AAAAAH3+43g=",0)</f>
        <v>#REF!</v>
      </c>
      <c r="DR317" t="e">
        <f>IF(#REF!,"AAAAAH3+43k=",0)</f>
        <v>#REF!</v>
      </c>
      <c r="DS317" t="e">
        <f>IF(#REF!,"AAAAAH3+43o=",0)</f>
        <v>#REF!</v>
      </c>
      <c r="DT317" t="e">
        <f>IF(#REF!,"AAAAAH3+43s=",0)</f>
        <v>#REF!</v>
      </c>
      <c r="DU317" t="e">
        <f>IF(#REF!,"AAAAAH3+43w=",0)</f>
        <v>#REF!</v>
      </c>
      <c r="DV317" t="e">
        <f>IF(#REF!,"AAAAAH3+430=",0)</f>
        <v>#REF!</v>
      </c>
      <c r="DW317" t="e">
        <f>IF(#REF!,"AAAAAH3+434=",0)</f>
        <v>#REF!</v>
      </c>
      <c r="DX317" t="e">
        <f>IF(#REF!,"AAAAAH3+438=",0)</f>
        <v>#REF!</v>
      </c>
      <c r="DY317" t="e">
        <f>IF(#REF!,"AAAAAH3+44A=",0)</f>
        <v>#REF!</v>
      </c>
      <c r="DZ317" t="e">
        <f>IF(#REF!,"AAAAAH3+44E=",0)</f>
        <v>#REF!</v>
      </c>
      <c r="EA317" t="e">
        <f>IF(#REF!,"AAAAAH3+44I=",0)</f>
        <v>#REF!</v>
      </c>
      <c r="EB317" t="e">
        <f>IF(#REF!,"AAAAAH3+44M=",0)</f>
        <v>#REF!</v>
      </c>
      <c r="EC317" t="e">
        <f>IF(#REF!,"AAAAAH3+44Q=",0)</f>
        <v>#REF!</v>
      </c>
      <c r="ED317" t="e">
        <f>IF(#REF!,"AAAAAH3+44U=",0)</f>
        <v>#REF!</v>
      </c>
      <c r="EE317" t="e">
        <f>IF(#REF!,"AAAAAH3+44Y=",0)</f>
        <v>#REF!</v>
      </c>
      <c r="EF317" t="e">
        <f>IF(#REF!,"AAAAAH3+44c=",0)</f>
        <v>#REF!</v>
      </c>
      <c r="EG317" t="e">
        <f>IF(#REF!,"AAAAAH3+44g=",0)</f>
        <v>#REF!</v>
      </c>
      <c r="EH317" t="e">
        <f>IF(#REF!,"AAAAAH3+44k=",0)</f>
        <v>#REF!</v>
      </c>
      <c r="EI317" t="e">
        <f>IF(#REF!,"AAAAAH3+44o=",0)</f>
        <v>#REF!</v>
      </c>
      <c r="EJ317" t="e">
        <f>IF(#REF!,"AAAAAH3+44s=",0)</f>
        <v>#REF!</v>
      </c>
      <c r="EK317" t="e">
        <f>IF(#REF!,"AAAAAH3+44w=",0)</f>
        <v>#REF!</v>
      </c>
      <c r="EL317" t="e">
        <f>IF(#REF!,"AAAAAH3+440=",0)</f>
        <v>#REF!</v>
      </c>
      <c r="EM317" t="e">
        <f>IF(#REF!,"AAAAAH3+444=",0)</f>
        <v>#REF!</v>
      </c>
      <c r="EN317" t="e">
        <f>IF(#REF!,"AAAAAH3+448=",0)</f>
        <v>#REF!</v>
      </c>
      <c r="EO317" t="e">
        <f>IF(#REF!,"AAAAAH3+45A=",0)</f>
        <v>#REF!</v>
      </c>
      <c r="EP317" t="e">
        <f>IF(#REF!,"AAAAAH3+45E=",0)</f>
        <v>#REF!</v>
      </c>
      <c r="EQ317" t="e">
        <f>IF(#REF!,"AAAAAH3+45I=",0)</f>
        <v>#REF!</v>
      </c>
      <c r="ER317" t="e">
        <f>IF(#REF!,"AAAAAH3+45M=",0)</f>
        <v>#REF!</v>
      </c>
      <c r="ES317" t="e">
        <f>IF(#REF!,"AAAAAH3+45Q=",0)</f>
        <v>#REF!</v>
      </c>
      <c r="ET317" t="e">
        <f>IF(#REF!,"AAAAAH3+45U=",0)</f>
        <v>#REF!</v>
      </c>
      <c r="EU317" t="e">
        <f>IF(#REF!,"AAAAAH3+45Y=",0)</f>
        <v>#REF!</v>
      </c>
      <c r="EV317" t="e">
        <f>IF(#REF!,"AAAAAH3+45c=",0)</f>
        <v>#REF!</v>
      </c>
      <c r="EW317" t="e">
        <f>IF(#REF!,"AAAAAH3+45g=",0)</f>
        <v>#REF!</v>
      </c>
      <c r="EX317" t="e">
        <f>IF(#REF!,"AAAAAH3+45k=",0)</f>
        <v>#REF!</v>
      </c>
      <c r="EY317" t="e">
        <f>IF(#REF!,"AAAAAH3+45o=",0)</f>
        <v>#REF!</v>
      </c>
      <c r="EZ317" t="e">
        <f>IF(#REF!,"AAAAAH3+45s=",0)</f>
        <v>#REF!</v>
      </c>
      <c r="FA317" t="e">
        <f>IF(#REF!,"AAAAAH3+45w=",0)</f>
        <v>#REF!</v>
      </c>
      <c r="FB317" t="e">
        <f>IF(#REF!,"AAAAAH3+450=",0)</f>
        <v>#REF!</v>
      </c>
      <c r="FC317" t="e">
        <f>IF(#REF!,"AAAAAH3+454=",0)</f>
        <v>#REF!</v>
      </c>
      <c r="FD317" t="e">
        <f>IF(#REF!,"AAAAAH3+458=",0)</f>
        <v>#REF!</v>
      </c>
      <c r="FE317" t="e">
        <f>IF(#REF!,"AAAAAH3+46A=",0)</f>
        <v>#REF!</v>
      </c>
      <c r="FF317" t="e">
        <f>IF(#REF!,"AAAAAH3+46E=",0)</f>
        <v>#REF!</v>
      </c>
      <c r="FG317" t="e">
        <f>IF(#REF!,"AAAAAH3+46I=",0)</f>
        <v>#REF!</v>
      </c>
      <c r="FH317" t="e">
        <f>IF(#REF!,"AAAAAH3+46M=",0)</f>
        <v>#REF!</v>
      </c>
      <c r="FI317" t="e">
        <f>IF(#REF!,"AAAAAH3+46Q=",0)</f>
        <v>#REF!</v>
      </c>
      <c r="FJ317" t="e">
        <f>IF(#REF!,"AAAAAH3+46U=",0)</f>
        <v>#REF!</v>
      </c>
      <c r="FK317" t="e">
        <f>IF(#REF!,"AAAAAH3+46Y=",0)</f>
        <v>#REF!</v>
      </c>
      <c r="FL317" t="e">
        <f>IF(#REF!,"AAAAAH3+46c=",0)</f>
        <v>#REF!</v>
      </c>
      <c r="FM317" t="e">
        <f>IF(#REF!,"AAAAAH3+46g=",0)</f>
        <v>#REF!</v>
      </c>
      <c r="FN317" t="e">
        <f>IF(#REF!,"AAAAAH3+46k=",0)</f>
        <v>#REF!</v>
      </c>
      <c r="FO317" t="e">
        <f>IF(#REF!,"AAAAAH3+46o=",0)</f>
        <v>#REF!</v>
      </c>
      <c r="FP317" t="e">
        <f>IF(#REF!,"AAAAAH3+46s=",0)</f>
        <v>#REF!</v>
      </c>
      <c r="FQ317" t="e">
        <f>IF(#REF!,"AAAAAH3+46w=",0)</f>
        <v>#REF!</v>
      </c>
      <c r="FR317" t="e">
        <f>IF(#REF!,"AAAAAH3+460=",0)</f>
        <v>#REF!</v>
      </c>
      <c r="FS317" t="e">
        <f>IF(#REF!,"AAAAAH3+464=",0)</f>
        <v>#REF!</v>
      </c>
      <c r="FT317" t="e">
        <f>IF(#REF!,"AAAAAH3+468=",0)</f>
        <v>#REF!</v>
      </c>
      <c r="FU317" t="e">
        <f>IF(#REF!,"AAAAAH3+47A=",0)</f>
        <v>#REF!</v>
      </c>
      <c r="FV317" t="e">
        <f>IF(#REF!,"AAAAAH3+47E=",0)</f>
        <v>#REF!</v>
      </c>
      <c r="FW317" t="e">
        <f>IF(#REF!,"AAAAAH3+47I=",0)</f>
        <v>#REF!</v>
      </c>
      <c r="FX317" t="e">
        <f>IF(#REF!,"AAAAAH3+47M=",0)</f>
        <v>#REF!</v>
      </c>
      <c r="FY317" t="e">
        <f>IF(#REF!,"AAAAAH3+47Q=",0)</f>
        <v>#REF!</v>
      </c>
      <c r="FZ317" t="e">
        <f>IF(#REF!,"AAAAAH3+47U=",0)</f>
        <v>#REF!</v>
      </c>
      <c r="GA317" t="e">
        <f>IF(#REF!,"AAAAAH3+47Y=",0)</f>
        <v>#REF!</v>
      </c>
      <c r="GB317" t="e">
        <f>IF(#REF!,"AAAAAH3+47c=",0)</f>
        <v>#REF!</v>
      </c>
      <c r="GC317" t="e">
        <f>IF(#REF!,"AAAAAH3+47g=",0)</f>
        <v>#REF!</v>
      </c>
      <c r="GD317" t="e">
        <f>IF(#REF!,"AAAAAH3+47k=",0)</f>
        <v>#REF!</v>
      </c>
      <c r="GE317" t="e">
        <f>IF(#REF!,"AAAAAH3+47o=",0)</f>
        <v>#REF!</v>
      </c>
      <c r="GF317" t="e">
        <f>IF(#REF!,"AAAAAH3+47s=",0)</f>
        <v>#REF!</v>
      </c>
      <c r="GG317" t="e">
        <f>IF(#REF!,"AAAAAH3+47w=",0)</f>
        <v>#REF!</v>
      </c>
      <c r="GH317" t="e">
        <f>IF(#REF!,"AAAAAH3+470=",0)</f>
        <v>#REF!</v>
      </c>
      <c r="GI317" t="e">
        <f>IF(#REF!,"AAAAAH3+474=",0)</f>
        <v>#REF!</v>
      </c>
      <c r="GJ317" t="e">
        <f>IF(#REF!,"AAAAAH3+478=",0)</f>
        <v>#REF!</v>
      </c>
      <c r="GK317" t="e">
        <f>IF(#REF!,"AAAAAH3+48A=",0)</f>
        <v>#REF!</v>
      </c>
      <c r="GL317" t="e">
        <f>IF(#REF!,"AAAAAH3+48E=",0)</f>
        <v>#REF!</v>
      </c>
      <c r="GM317" t="e">
        <f>IF(#REF!,"AAAAAH3+48I=",0)</f>
        <v>#REF!</v>
      </c>
      <c r="GN317" t="e">
        <f>IF(#REF!,"AAAAAH3+48M=",0)</f>
        <v>#REF!</v>
      </c>
      <c r="GO317" t="e">
        <f>IF(#REF!,"AAAAAH3+48Q=",0)</f>
        <v>#REF!</v>
      </c>
      <c r="GP317" t="e">
        <f>IF(#REF!,"AAAAAH3+48U=",0)</f>
        <v>#REF!</v>
      </c>
      <c r="GQ317" t="e">
        <f>IF(#REF!,"AAAAAH3+48Y=",0)</f>
        <v>#REF!</v>
      </c>
      <c r="GR317" t="e">
        <f>IF(#REF!,"AAAAAH3+48c=",0)</f>
        <v>#REF!</v>
      </c>
      <c r="GS317" t="e">
        <f>IF(#REF!,"AAAAAH3+48g=",0)</f>
        <v>#REF!</v>
      </c>
      <c r="GT317" t="e">
        <f>IF(#REF!,"AAAAAH3+48k=",0)</f>
        <v>#REF!</v>
      </c>
      <c r="GU317" t="e">
        <f>IF(#REF!,"AAAAAH3+48o=",0)</f>
        <v>#REF!</v>
      </c>
      <c r="GV317" t="e">
        <f>IF(#REF!,"AAAAAH3+48s=",0)</f>
        <v>#REF!</v>
      </c>
      <c r="GW317" t="e">
        <f>IF(#REF!,"AAAAAH3+48w=",0)</f>
        <v>#REF!</v>
      </c>
      <c r="GX317" t="e">
        <f>IF(#REF!,"AAAAAH3+480=",0)</f>
        <v>#REF!</v>
      </c>
      <c r="GY317" t="e">
        <f>IF(#REF!,"AAAAAH3+484=",0)</f>
        <v>#REF!</v>
      </c>
      <c r="GZ317" t="e">
        <f>IF(#REF!,"AAAAAH3+488=",0)</f>
        <v>#REF!</v>
      </c>
      <c r="HA317" t="e">
        <f>IF(#REF!,"AAAAAH3+49A=",0)</f>
        <v>#REF!</v>
      </c>
      <c r="HB317" t="e">
        <f>IF(#REF!,"AAAAAH3+49E=",0)</f>
        <v>#REF!</v>
      </c>
      <c r="HC317" t="e">
        <f>IF(#REF!,"AAAAAH3+49I=",0)</f>
        <v>#REF!</v>
      </c>
      <c r="HD317" t="e">
        <f>IF(#REF!,"AAAAAH3+49M=",0)</f>
        <v>#REF!</v>
      </c>
      <c r="HE317" t="e">
        <f>IF(#REF!,"AAAAAH3+49Q=",0)</f>
        <v>#REF!</v>
      </c>
      <c r="HF317" t="e">
        <f>IF(#REF!,"AAAAAH3+49U=",0)</f>
        <v>#REF!</v>
      </c>
      <c r="HG317" t="e">
        <f>IF(#REF!,"AAAAAH3+49Y=",0)</f>
        <v>#REF!</v>
      </c>
      <c r="HH317" t="e">
        <f>IF(#REF!,"AAAAAH3+49c=",0)</f>
        <v>#REF!</v>
      </c>
      <c r="HI317" t="e">
        <f>IF(#REF!,"AAAAAH3+49g=",0)</f>
        <v>#REF!</v>
      </c>
      <c r="HJ317" t="e">
        <f>IF(#REF!,"AAAAAH3+49k=",0)</f>
        <v>#REF!</v>
      </c>
      <c r="HK317" t="e">
        <f>IF(#REF!,"AAAAAH3+49o=",0)</f>
        <v>#REF!</v>
      </c>
      <c r="HL317" t="e">
        <f>IF(#REF!,"AAAAAH3+49s=",0)</f>
        <v>#REF!</v>
      </c>
      <c r="HM317" t="e">
        <f>IF(#REF!,"AAAAAH3+49w=",0)</f>
        <v>#REF!</v>
      </c>
      <c r="HN317" t="e">
        <f>IF(#REF!,"AAAAAH3+490=",0)</f>
        <v>#REF!</v>
      </c>
      <c r="HO317" t="e">
        <f>IF(#REF!,"AAAAAH3+494=",0)</f>
        <v>#REF!</v>
      </c>
      <c r="HP317" t="e">
        <f>IF(#REF!,"AAAAAH3+498=",0)</f>
        <v>#REF!</v>
      </c>
      <c r="HQ317" t="e">
        <f>IF(#REF!,"AAAAAH3+4+A=",0)</f>
        <v>#REF!</v>
      </c>
      <c r="HR317" t="e">
        <f>IF(#REF!,"AAAAAH3+4+E=",0)</f>
        <v>#REF!</v>
      </c>
      <c r="HS317" t="e">
        <f>IF(#REF!,"AAAAAH3+4+I=",0)</f>
        <v>#REF!</v>
      </c>
      <c r="HT317" t="e">
        <f>IF(#REF!,"AAAAAH3+4+M=",0)</f>
        <v>#REF!</v>
      </c>
      <c r="HU317" t="e">
        <f>IF(#REF!,"AAAAAH3+4+Q=",0)</f>
        <v>#REF!</v>
      </c>
      <c r="HV317" t="e">
        <f>IF(#REF!,"AAAAAH3+4+U=",0)</f>
        <v>#REF!</v>
      </c>
      <c r="HW317" t="e">
        <f>IF(#REF!,"AAAAAH3+4+Y=",0)</f>
        <v>#REF!</v>
      </c>
      <c r="HX317" t="e">
        <f>IF(#REF!,"AAAAAH3+4+c=",0)</f>
        <v>#REF!</v>
      </c>
      <c r="HY317" t="e">
        <f>IF(#REF!,"AAAAAH3+4+g=",0)</f>
        <v>#REF!</v>
      </c>
      <c r="HZ317" t="e">
        <f>IF(#REF!,"AAAAAH3+4+k=",0)</f>
        <v>#REF!</v>
      </c>
      <c r="IA317" t="e">
        <f>IF(#REF!,"AAAAAH3+4+o=",0)</f>
        <v>#REF!</v>
      </c>
      <c r="IB317" t="e">
        <f>IF(#REF!,"AAAAAH3+4+s=",0)</f>
        <v>#REF!</v>
      </c>
      <c r="IC317" t="e">
        <f>IF(#REF!,"AAAAAH3+4+w=",0)</f>
        <v>#REF!</v>
      </c>
      <c r="ID317" t="e">
        <f>IF(#REF!,"AAAAAH3+4+0=",0)</f>
        <v>#REF!</v>
      </c>
      <c r="IE317" t="e">
        <f>IF(#REF!,"AAAAAH3+4+4=",0)</f>
        <v>#REF!</v>
      </c>
      <c r="IF317" t="e">
        <f>IF(#REF!,"AAAAAH3+4+8=",0)</f>
        <v>#REF!</v>
      </c>
      <c r="IG317" t="e">
        <f>IF(#REF!,"AAAAAH3+4/A=",0)</f>
        <v>#REF!</v>
      </c>
      <c r="IH317" t="e">
        <f>IF(#REF!,"AAAAAH3+4/E=",0)</f>
        <v>#REF!</v>
      </c>
      <c r="II317" t="e">
        <f>IF(#REF!,"AAAAAH3+4/I=",0)</f>
        <v>#REF!</v>
      </c>
      <c r="IJ317" t="e">
        <f>IF(#REF!,"AAAAAH3+4/M=",0)</f>
        <v>#REF!</v>
      </c>
      <c r="IK317" t="e">
        <f>IF(#REF!,"AAAAAH3+4/Q=",0)</f>
        <v>#REF!</v>
      </c>
      <c r="IL317" t="e">
        <f>IF(#REF!,"AAAAAH3+4/U=",0)</f>
        <v>#REF!</v>
      </c>
      <c r="IM317" t="e">
        <f>IF(#REF!,"AAAAAH3+4/Y=",0)</f>
        <v>#REF!</v>
      </c>
      <c r="IN317" t="e">
        <f>IF(#REF!,"AAAAAH3+4/c=",0)</f>
        <v>#REF!</v>
      </c>
      <c r="IO317" t="e">
        <f>IF(#REF!,"AAAAAH3+4/g=",0)</f>
        <v>#REF!</v>
      </c>
      <c r="IP317" t="e">
        <f>IF(#REF!,"AAAAAH3+4/k=",0)</f>
        <v>#REF!</v>
      </c>
      <c r="IQ317" t="e">
        <f>IF(#REF!,"AAAAAH3+4/o=",0)</f>
        <v>#REF!</v>
      </c>
      <c r="IR317" t="e">
        <f>IF(#REF!,"AAAAAH3+4/s=",0)</f>
        <v>#REF!</v>
      </c>
      <c r="IS317" t="e">
        <f>IF(#REF!,"AAAAAH3+4/w=",0)</f>
        <v>#REF!</v>
      </c>
      <c r="IT317" t="e">
        <f>IF(#REF!,"AAAAAH3+4/0=",0)</f>
        <v>#REF!</v>
      </c>
      <c r="IU317" t="e">
        <f>IF(#REF!,"AAAAAH3+4/4=",0)</f>
        <v>#REF!</v>
      </c>
      <c r="IV317" t="e">
        <f>IF(#REF!,"AAAAAH3+4/8=",0)</f>
        <v>#REF!</v>
      </c>
    </row>
    <row r="318" spans="1:256">
      <c r="A318" t="e">
        <f>IF(#REF!,"AAAAAC77dwA=",0)</f>
        <v>#REF!</v>
      </c>
      <c r="B318" t="e">
        <f>IF(#REF!,"AAAAAC77dwE=",0)</f>
        <v>#REF!</v>
      </c>
      <c r="C318" t="e">
        <f>IF(#REF!,"AAAAAC77dwI=",0)</f>
        <v>#REF!</v>
      </c>
      <c r="D318" t="e">
        <f>IF(#REF!,"AAAAAC77dwM=",0)</f>
        <v>#REF!</v>
      </c>
      <c r="E318" t="e">
        <f>IF(#REF!,"AAAAAC77dwQ=",0)</f>
        <v>#REF!</v>
      </c>
      <c r="F318" t="e">
        <f>IF(#REF!,"AAAAAC77dwU=",0)</f>
        <v>#REF!</v>
      </c>
      <c r="G318" t="e">
        <f>IF(#REF!,"AAAAAC77dwY=",0)</f>
        <v>#REF!</v>
      </c>
      <c r="H318" t="e">
        <f>IF(#REF!,"AAAAAC77dwc=",0)</f>
        <v>#REF!</v>
      </c>
      <c r="I318" t="e">
        <f>IF(#REF!,"AAAAAC77dwg=",0)</f>
        <v>#REF!</v>
      </c>
      <c r="J318" t="e">
        <f>IF(#REF!,"AAAAAC77dwk=",0)</f>
        <v>#REF!</v>
      </c>
      <c r="K318" t="e">
        <f>IF(#REF!,"AAAAAC77dwo=",0)</f>
        <v>#REF!</v>
      </c>
      <c r="L318" t="e">
        <f>IF(#REF!,"AAAAAC77dws=",0)</f>
        <v>#REF!</v>
      </c>
      <c r="M318" t="e">
        <f>IF(#REF!,"AAAAAC77dww=",0)</f>
        <v>#REF!</v>
      </c>
      <c r="N318" t="e">
        <f>IF(#REF!,"AAAAAC77dw0=",0)</f>
        <v>#REF!</v>
      </c>
      <c r="O318" t="e">
        <f>IF(#REF!,"AAAAAC77dw4=",0)</f>
        <v>#REF!</v>
      </c>
      <c r="P318" t="e">
        <f>IF(#REF!,"AAAAAC77dw8=",0)</f>
        <v>#REF!</v>
      </c>
      <c r="Q318" t="e">
        <f>IF(#REF!,"AAAAAC77dxA=",0)</f>
        <v>#REF!</v>
      </c>
      <c r="R318" t="e">
        <f>IF(#REF!,"AAAAAC77dxE=",0)</f>
        <v>#REF!</v>
      </c>
      <c r="S318" t="e">
        <f>IF(#REF!,"AAAAAC77dxI=",0)</f>
        <v>#REF!</v>
      </c>
      <c r="T318" t="e">
        <f>IF(#REF!,"AAAAAC77dxM=",0)</f>
        <v>#REF!</v>
      </c>
      <c r="U318" t="e">
        <f>IF(#REF!,"AAAAAC77dxQ=",0)</f>
        <v>#REF!</v>
      </c>
      <c r="V318" t="e">
        <f>IF(#REF!,"AAAAAC77dxU=",0)</f>
        <v>#REF!</v>
      </c>
      <c r="W318" t="e">
        <f>IF(#REF!,"AAAAAC77dxY=",0)</f>
        <v>#REF!</v>
      </c>
      <c r="X318" t="e">
        <f>IF(#REF!,"AAAAAC77dxc=",0)</f>
        <v>#REF!</v>
      </c>
      <c r="Y318" t="e">
        <f>IF(#REF!,"AAAAAC77dxg=",0)</f>
        <v>#REF!</v>
      </c>
      <c r="Z318" t="e">
        <f>IF(#REF!,"AAAAAC77dxk=",0)</f>
        <v>#REF!</v>
      </c>
      <c r="AA318" t="e">
        <f>IF(#REF!,"AAAAAC77dxo=",0)</f>
        <v>#REF!</v>
      </c>
      <c r="AB318" t="e">
        <f>IF(#REF!,"AAAAAC77dxs=",0)</f>
        <v>#REF!</v>
      </c>
      <c r="AC318" t="e">
        <f>IF(#REF!,"AAAAAC77dxw=",0)</f>
        <v>#REF!</v>
      </c>
      <c r="AD318" t="e">
        <f>IF(#REF!,"AAAAAC77dx0=",0)</f>
        <v>#REF!</v>
      </c>
      <c r="AE318" t="e">
        <f>IF(#REF!,"AAAAAC77dx4=",0)</f>
        <v>#REF!</v>
      </c>
      <c r="AF318" t="e">
        <f>IF(#REF!,"AAAAAC77dx8=",0)</f>
        <v>#REF!</v>
      </c>
      <c r="AG318" t="e">
        <f>IF(#REF!,"AAAAAC77dyA=",0)</f>
        <v>#REF!</v>
      </c>
      <c r="AH318" t="e">
        <f>IF(#REF!,"AAAAAC77dyE=",0)</f>
        <v>#REF!</v>
      </c>
      <c r="AI318" t="e">
        <f>IF(#REF!,"AAAAAC77dyI=",0)</f>
        <v>#REF!</v>
      </c>
      <c r="AJ318" t="e">
        <f>IF(#REF!,"AAAAAC77dyM=",0)</f>
        <v>#REF!</v>
      </c>
      <c r="AK318" t="e">
        <f>IF(#REF!,"AAAAAC77dyQ=",0)</f>
        <v>#REF!</v>
      </c>
      <c r="AL318" t="e">
        <f>IF(#REF!,"AAAAAC77dyU=",0)</f>
        <v>#REF!</v>
      </c>
      <c r="AM318" t="e">
        <f>IF(#REF!,"AAAAAC77dyY=",0)</f>
        <v>#REF!</v>
      </c>
      <c r="AN318" t="e">
        <f>IF(#REF!,"AAAAAC77dyc=",0)</f>
        <v>#REF!</v>
      </c>
      <c r="AO318" t="e">
        <f>IF(#REF!,"AAAAAC77dyg=",0)</f>
        <v>#REF!</v>
      </c>
      <c r="AP318" t="e">
        <f>IF(#REF!,"AAAAAC77dyk=",0)</f>
        <v>#REF!</v>
      </c>
      <c r="AQ318" t="e">
        <f>IF(#REF!,"AAAAAC77dyo=",0)</f>
        <v>#REF!</v>
      </c>
      <c r="AR318" t="e">
        <f>IF(#REF!,"AAAAAC77dys=",0)</f>
        <v>#REF!</v>
      </c>
      <c r="AS318" t="e">
        <f>IF(#REF!,"AAAAAC77dyw=",0)</f>
        <v>#REF!</v>
      </c>
      <c r="AT318" t="e">
        <f>IF(#REF!,"AAAAAC77dy0=",0)</f>
        <v>#REF!</v>
      </c>
      <c r="AU318" t="e">
        <f>IF(#REF!,"AAAAAC77dy4=",0)</f>
        <v>#REF!</v>
      </c>
      <c r="AV318" t="e">
        <f>IF(#REF!,"AAAAAC77dy8=",0)</f>
        <v>#REF!</v>
      </c>
      <c r="AW318" t="e">
        <f>IF(#REF!,"AAAAAC77dzA=",0)</f>
        <v>#REF!</v>
      </c>
      <c r="AX318" t="e">
        <f>IF(#REF!,"AAAAAC77dzE=",0)</f>
        <v>#REF!</v>
      </c>
      <c r="AY318" t="e">
        <f>IF(#REF!,"AAAAAC77dzI=",0)</f>
        <v>#REF!</v>
      </c>
      <c r="AZ318" t="e">
        <f>IF(#REF!,"AAAAAC77dzM=",0)</f>
        <v>#REF!</v>
      </c>
      <c r="BA318" t="e">
        <f>IF(#REF!,"AAAAAC77dzQ=",0)</f>
        <v>#REF!</v>
      </c>
      <c r="BB318" t="e">
        <f>IF(#REF!,"AAAAAC77dzU=",0)</f>
        <v>#REF!</v>
      </c>
      <c r="BC318" t="e">
        <f>IF(#REF!,"AAAAAC77dzY=",0)</f>
        <v>#REF!</v>
      </c>
      <c r="BD318" t="e">
        <f>IF(#REF!,"AAAAAC77dzc=",0)</f>
        <v>#REF!</v>
      </c>
      <c r="BE318" t="e">
        <f>IF(#REF!,"AAAAAC77dzg=",0)</f>
        <v>#REF!</v>
      </c>
      <c r="BF318" t="e">
        <f>IF(#REF!,"AAAAAC77dzk=",0)</f>
        <v>#REF!</v>
      </c>
      <c r="BG318" t="e">
        <f>IF(#REF!,"AAAAAC77dzo=",0)</f>
        <v>#REF!</v>
      </c>
      <c r="BH318" t="e">
        <f>IF(#REF!,"AAAAAC77dzs=",0)</f>
        <v>#REF!</v>
      </c>
      <c r="BI318" t="e">
        <f>IF(#REF!,"AAAAAC77dzw=",0)</f>
        <v>#REF!</v>
      </c>
      <c r="BJ318" t="e">
        <f>IF(#REF!,"AAAAAC77dz0=",0)</f>
        <v>#REF!</v>
      </c>
      <c r="BK318" t="e">
        <f>IF(#REF!,"AAAAAC77dz4=",0)</f>
        <v>#REF!</v>
      </c>
      <c r="BL318" t="e">
        <f>IF(#REF!,"AAAAAC77dz8=",0)</f>
        <v>#REF!</v>
      </c>
      <c r="BM318" t="e">
        <f>IF(#REF!,"AAAAAC77d0A=",0)</f>
        <v>#REF!</v>
      </c>
      <c r="BN318" t="e">
        <f>IF(#REF!,"AAAAAC77d0E=",0)</f>
        <v>#REF!</v>
      </c>
      <c r="BO318" t="e">
        <f>IF(#REF!,"AAAAAC77d0I=",0)</f>
        <v>#REF!</v>
      </c>
      <c r="BP318" t="e">
        <f>IF(#REF!,"AAAAAC77d0M=",0)</f>
        <v>#REF!</v>
      </c>
      <c r="BQ318" t="e">
        <f>IF(#REF!,"AAAAAC77d0Q=",0)</f>
        <v>#REF!</v>
      </c>
      <c r="BR318" t="e">
        <f>IF(#REF!,"AAAAAC77d0U=",0)</f>
        <v>#REF!</v>
      </c>
      <c r="BS318" t="e">
        <f>IF(#REF!,"AAAAAC77d0Y=",0)</f>
        <v>#REF!</v>
      </c>
      <c r="BT318" t="e">
        <f>IF(#REF!,"AAAAAC77d0c=",0)</f>
        <v>#REF!</v>
      </c>
      <c r="BU318" t="e">
        <f>IF(#REF!,"AAAAAC77d0g=",0)</f>
        <v>#REF!</v>
      </c>
      <c r="BV318" t="e">
        <f>IF(#REF!,"AAAAAC77d0k=",0)</f>
        <v>#REF!</v>
      </c>
      <c r="BW318" t="e">
        <f>IF(#REF!,"AAAAAC77d0o=",0)</f>
        <v>#REF!</v>
      </c>
      <c r="BX318" t="e">
        <f>IF(#REF!,"AAAAAC77d0s=",0)</f>
        <v>#REF!</v>
      </c>
      <c r="BY318" t="e">
        <f>IF(#REF!,"AAAAAC77d0w=",0)</f>
        <v>#REF!</v>
      </c>
      <c r="BZ318" t="e">
        <f>IF(#REF!,"AAAAAC77d00=",0)</f>
        <v>#REF!</v>
      </c>
      <c r="CA318" t="e">
        <f>IF(#REF!,"AAAAAC77d04=",0)</f>
        <v>#REF!</v>
      </c>
      <c r="CB318" t="e">
        <f>IF(#REF!,"AAAAAC77d08=",0)</f>
        <v>#REF!</v>
      </c>
      <c r="CC318" t="e">
        <f>IF(#REF!,"AAAAAC77d1A=",0)</f>
        <v>#REF!</v>
      </c>
      <c r="CD318" t="e">
        <f>IF(#REF!,"AAAAAC77d1E=",0)</f>
        <v>#REF!</v>
      </c>
      <c r="CE318" t="e">
        <f>IF(#REF!,"AAAAAC77d1I=",0)</f>
        <v>#REF!</v>
      </c>
      <c r="CF318" t="e">
        <f>IF(#REF!,"AAAAAC77d1M=",0)</f>
        <v>#REF!</v>
      </c>
      <c r="CG318" t="e">
        <f>IF(#REF!,"AAAAAC77d1Q=",0)</f>
        <v>#REF!</v>
      </c>
      <c r="CH318" t="e">
        <f>IF(#REF!,"AAAAAC77d1U=",0)</f>
        <v>#REF!</v>
      </c>
      <c r="CI318" t="e">
        <f>IF(#REF!,"AAAAAC77d1Y=",0)</f>
        <v>#REF!</v>
      </c>
      <c r="CJ318" t="e">
        <f>IF(#REF!,"AAAAAC77d1c=",0)</f>
        <v>#REF!</v>
      </c>
      <c r="CK318" t="e">
        <f>IF(#REF!,"AAAAAC77d1g=",0)</f>
        <v>#REF!</v>
      </c>
      <c r="CL318" t="e">
        <f>IF(#REF!,"AAAAAC77d1k=",0)</f>
        <v>#REF!</v>
      </c>
      <c r="CM318" t="e">
        <f>IF(#REF!,"AAAAAC77d1o=",0)</f>
        <v>#REF!</v>
      </c>
      <c r="CN318" t="e">
        <f>IF(#REF!,"AAAAAC77d1s=",0)</f>
        <v>#REF!</v>
      </c>
      <c r="CO318" t="e">
        <f>IF(#REF!,"AAAAAC77d1w=",0)</f>
        <v>#REF!</v>
      </c>
      <c r="CP318" t="e">
        <f>IF(#REF!,"AAAAAC77d10=",0)</f>
        <v>#REF!</v>
      </c>
      <c r="CQ318" t="e">
        <f>IF(#REF!,"AAAAAC77d14=",0)</f>
        <v>#REF!</v>
      </c>
      <c r="CR318" t="e">
        <f>IF(#REF!,"AAAAAC77d18=",0)</f>
        <v>#REF!</v>
      </c>
      <c r="CS318" t="e">
        <f>IF(#REF!,"AAAAAC77d2A=",0)</f>
        <v>#REF!</v>
      </c>
      <c r="CT318" t="e">
        <f>IF(#REF!,"AAAAAC77d2E=",0)</f>
        <v>#REF!</v>
      </c>
      <c r="CU318" t="e">
        <f>IF(#REF!,"AAAAAC77d2I=",0)</f>
        <v>#REF!</v>
      </c>
      <c r="CV318" t="e">
        <f>IF(#REF!,"AAAAAC77d2M=",0)</f>
        <v>#REF!</v>
      </c>
      <c r="CW318" t="e">
        <f>IF(#REF!,"AAAAAC77d2Q=",0)</f>
        <v>#REF!</v>
      </c>
      <c r="CX318" t="e">
        <f>IF(#REF!,"AAAAAC77d2U=",0)</f>
        <v>#REF!</v>
      </c>
      <c r="CY318" t="e">
        <f>IF(#REF!,"AAAAAC77d2Y=",0)</f>
        <v>#REF!</v>
      </c>
      <c r="CZ318" t="e">
        <f>IF(#REF!,"AAAAAC77d2c=",0)</f>
        <v>#REF!</v>
      </c>
      <c r="DA318" t="e">
        <f>IF(#REF!,"AAAAAC77d2g=",0)</f>
        <v>#REF!</v>
      </c>
      <c r="DB318" t="e">
        <f>IF(#REF!,"AAAAAC77d2k=",0)</f>
        <v>#REF!</v>
      </c>
      <c r="DC318" t="e">
        <f>IF(#REF!,"AAAAAC77d2o=",0)</f>
        <v>#REF!</v>
      </c>
      <c r="DD318" t="e">
        <f>IF(#REF!,"AAAAAC77d2s=",0)</f>
        <v>#REF!</v>
      </c>
      <c r="DE318" t="e">
        <f>IF(#REF!,"AAAAAC77d2w=",0)</f>
        <v>#REF!</v>
      </c>
      <c r="DF318" t="e">
        <f>IF(#REF!,"AAAAAC77d20=",0)</f>
        <v>#REF!</v>
      </c>
      <c r="DG318" t="e">
        <f>IF(#REF!,"AAAAAC77d24=",0)</f>
        <v>#REF!</v>
      </c>
      <c r="DH318" t="e">
        <f>IF(#REF!,"AAAAAC77d28=",0)</f>
        <v>#REF!</v>
      </c>
      <c r="DI318" t="e">
        <f>IF(#REF!,"AAAAAC77d3A=",0)</f>
        <v>#REF!</v>
      </c>
      <c r="DJ318" t="e">
        <f>IF(#REF!,"AAAAAC77d3E=",0)</f>
        <v>#REF!</v>
      </c>
      <c r="DK318" t="e">
        <f>IF(#REF!,"AAAAAC77d3I=",0)</f>
        <v>#REF!</v>
      </c>
      <c r="DL318" t="e">
        <f>IF(#REF!,"AAAAAC77d3M=",0)</f>
        <v>#REF!</v>
      </c>
      <c r="DM318" t="e">
        <f>IF(#REF!,"AAAAAC77d3Q=",0)</f>
        <v>#REF!</v>
      </c>
      <c r="DN318" t="e">
        <f>IF(#REF!,"AAAAAC77d3U=",0)</f>
        <v>#REF!</v>
      </c>
      <c r="DO318" t="e">
        <f>IF(#REF!,"AAAAAC77d3Y=",0)</f>
        <v>#REF!</v>
      </c>
      <c r="DP318" t="e">
        <f>IF(#REF!,"AAAAAC77d3c=",0)</f>
        <v>#REF!</v>
      </c>
      <c r="DQ318" t="e">
        <f>IF(#REF!,"AAAAAC77d3g=",0)</f>
        <v>#REF!</v>
      </c>
      <c r="DR318" t="e">
        <f>IF(#REF!,"AAAAAC77d3k=",0)</f>
        <v>#REF!</v>
      </c>
      <c r="DS318" t="e">
        <f>IF(#REF!,"AAAAAC77d3o=",0)</f>
        <v>#REF!</v>
      </c>
      <c r="DT318" t="e">
        <f>IF(#REF!,"AAAAAC77d3s=",0)</f>
        <v>#REF!</v>
      </c>
      <c r="DU318" t="e">
        <f>IF(#REF!,"AAAAAC77d3w=",0)</f>
        <v>#REF!</v>
      </c>
      <c r="DV318" t="e">
        <f>IF(#REF!,"AAAAAC77d30=",0)</f>
        <v>#REF!</v>
      </c>
      <c r="DW318" t="e">
        <f>IF(#REF!,"AAAAAC77d34=",0)</f>
        <v>#REF!</v>
      </c>
      <c r="DX318" t="e">
        <f>IF(#REF!,"AAAAAC77d38=",0)</f>
        <v>#REF!</v>
      </c>
      <c r="DY318" t="e">
        <f>IF(#REF!,"AAAAAC77d4A=",0)</f>
        <v>#REF!</v>
      </c>
      <c r="DZ318" t="e">
        <f>IF(#REF!,"AAAAAC77d4E=",0)</f>
        <v>#REF!</v>
      </c>
      <c r="EA318" t="e">
        <f>IF(#REF!,"AAAAAC77d4I=",0)</f>
        <v>#REF!</v>
      </c>
      <c r="EB318" t="e">
        <f>IF(#REF!,"AAAAAC77d4M=",0)</f>
        <v>#REF!</v>
      </c>
      <c r="EC318" t="e">
        <f>IF(#REF!,"AAAAAC77d4Q=",0)</f>
        <v>#REF!</v>
      </c>
      <c r="ED318" t="e">
        <f>IF(#REF!,"AAAAAC77d4U=",0)</f>
        <v>#REF!</v>
      </c>
      <c r="EE318" t="e">
        <f>IF(#REF!,"AAAAAC77d4Y=",0)</f>
        <v>#REF!</v>
      </c>
      <c r="EF318" t="e">
        <f>IF(#REF!,"AAAAAC77d4c=",0)</f>
        <v>#REF!</v>
      </c>
      <c r="EG318" t="e">
        <f>IF(#REF!,"AAAAAC77d4g=",0)</f>
        <v>#REF!</v>
      </c>
      <c r="EH318" t="e">
        <f>IF(#REF!,"AAAAAC77d4k=",0)</f>
        <v>#REF!</v>
      </c>
      <c r="EI318" t="e">
        <f>IF(#REF!,"AAAAAC77d4o=",0)</f>
        <v>#REF!</v>
      </c>
      <c r="EJ318" t="e">
        <f>IF(#REF!,"AAAAAC77d4s=",0)</f>
        <v>#REF!</v>
      </c>
      <c r="EK318" t="e">
        <f>IF(#REF!,"AAAAAC77d4w=",0)</f>
        <v>#REF!</v>
      </c>
      <c r="EL318" t="e">
        <f>IF(#REF!,"AAAAAC77d40=",0)</f>
        <v>#REF!</v>
      </c>
      <c r="EM318" t="e">
        <f>IF(#REF!,"AAAAAC77d44=",0)</f>
        <v>#REF!</v>
      </c>
      <c r="EN318" t="e">
        <f>IF(#REF!,"AAAAAC77d48=",0)</f>
        <v>#REF!</v>
      </c>
      <c r="EO318" t="e">
        <f>IF(#REF!,"AAAAAC77d5A=",0)</f>
        <v>#REF!</v>
      </c>
      <c r="EP318" t="e">
        <f>IF(#REF!,"AAAAAC77d5E=",0)</f>
        <v>#REF!</v>
      </c>
      <c r="EQ318" t="e">
        <f>IF(#REF!,"AAAAAC77d5I=",0)</f>
        <v>#REF!</v>
      </c>
      <c r="ER318" t="e">
        <f>IF(#REF!,"AAAAAC77d5M=",0)</f>
        <v>#REF!</v>
      </c>
      <c r="ES318" t="e">
        <f>IF(#REF!,"AAAAAC77d5Q=",0)</f>
        <v>#REF!</v>
      </c>
      <c r="ET318" t="e">
        <f>IF(#REF!,"AAAAAC77d5U=",0)</f>
        <v>#REF!</v>
      </c>
      <c r="EU318" t="e">
        <f>IF(#REF!,"AAAAAC77d5Y=",0)</f>
        <v>#REF!</v>
      </c>
      <c r="EV318" t="e">
        <f>IF(#REF!,"AAAAAC77d5c=",0)</f>
        <v>#REF!</v>
      </c>
      <c r="EW318" t="e">
        <f>IF(#REF!,"AAAAAC77d5g=",0)</f>
        <v>#REF!</v>
      </c>
      <c r="EX318" t="e">
        <f>IF(#REF!,"AAAAAC77d5k=",0)</f>
        <v>#REF!</v>
      </c>
      <c r="EY318" t="e">
        <f>IF(#REF!,"AAAAAC77d5o=",0)</f>
        <v>#REF!</v>
      </c>
      <c r="EZ318" t="e">
        <f>IF(#REF!,"AAAAAC77d5s=",0)</f>
        <v>#REF!</v>
      </c>
      <c r="FA318" t="e">
        <f>IF(#REF!,"AAAAAC77d5w=",0)</f>
        <v>#REF!</v>
      </c>
      <c r="FB318" t="e">
        <f>IF(#REF!,"AAAAAC77d50=",0)</f>
        <v>#REF!</v>
      </c>
      <c r="FC318" t="e">
        <f>IF(#REF!,"AAAAAC77d54=",0)</f>
        <v>#REF!</v>
      </c>
      <c r="FD318" t="e">
        <f>IF(#REF!,"AAAAAC77d58=",0)</f>
        <v>#REF!</v>
      </c>
      <c r="FE318" t="e">
        <f>IF(#REF!,"AAAAAC77d6A=",0)</f>
        <v>#REF!</v>
      </c>
      <c r="FF318" t="e">
        <f>IF(#REF!,"AAAAAC77d6E=",0)</f>
        <v>#REF!</v>
      </c>
      <c r="FG318" t="e">
        <f>IF(#REF!,"AAAAAC77d6I=",0)</f>
        <v>#REF!</v>
      </c>
      <c r="FH318" t="e">
        <f>IF(#REF!,"AAAAAC77d6M=",0)</f>
        <v>#REF!</v>
      </c>
      <c r="FI318" t="e">
        <f>IF(#REF!,"AAAAAC77d6Q=",0)</f>
        <v>#REF!</v>
      </c>
      <c r="FJ318" t="e">
        <f>IF(#REF!,"AAAAAC77d6U=",0)</f>
        <v>#REF!</v>
      </c>
      <c r="FK318" t="e">
        <f>IF(#REF!,"AAAAAC77d6Y=",0)</f>
        <v>#REF!</v>
      </c>
      <c r="FL318" t="e">
        <f>IF(#REF!,"AAAAAC77d6c=",0)</f>
        <v>#REF!</v>
      </c>
      <c r="FM318" t="e">
        <f>IF(#REF!,"AAAAAC77d6g=",0)</f>
        <v>#REF!</v>
      </c>
      <c r="FN318" t="e">
        <f>IF(#REF!,"AAAAAC77d6k=",0)</f>
        <v>#REF!</v>
      </c>
      <c r="FO318" t="e">
        <f>IF(#REF!,"AAAAAC77d6o=",0)</f>
        <v>#REF!</v>
      </c>
      <c r="FP318" t="e">
        <f>IF(#REF!,"AAAAAC77d6s=",0)</f>
        <v>#REF!</v>
      </c>
      <c r="FQ318" t="e">
        <f>IF(#REF!,"AAAAAC77d6w=",0)</f>
        <v>#REF!</v>
      </c>
      <c r="FR318" t="e">
        <f>IF(#REF!,"AAAAAC77d60=",0)</f>
        <v>#REF!</v>
      </c>
      <c r="FS318" t="e">
        <f>IF(#REF!,"AAAAAC77d64=",0)</f>
        <v>#REF!</v>
      </c>
      <c r="FT318" t="e">
        <f>IF(#REF!,"AAAAAC77d68=",0)</f>
        <v>#REF!</v>
      </c>
      <c r="FU318" t="e">
        <f>IF(#REF!,"AAAAAC77d7A=",0)</f>
        <v>#REF!</v>
      </c>
      <c r="FV318" t="e">
        <f>IF(#REF!,"AAAAAC77d7E=",0)</f>
        <v>#REF!</v>
      </c>
      <c r="FW318" t="e">
        <f>IF(#REF!,"AAAAAC77d7I=",0)</f>
        <v>#REF!</v>
      </c>
      <c r="FX318" t="e">
        <f>IF(#REF!,"AAAAAC77d7M=",0)</f>
        <v>#REF!</v>
      </c>
      <c r="FY318" t="e">
        <f>IF(#REF!,"AAAAAC77d7Q=",0)</f>
        <v>#REF!</v>
      </c>
      <c r="FZ318" t="e">
        <f>IF(#REF!,"AAAAAC77d7U=",0)</f>
        <v>#REF!</v>
      </c>
      <c r="GA318" t="e">
        <f>IF(#REF!,"AAAAAC77d7Y=",0)</f>
        <v>#REF!</v>
      </c>
      <c r="GB318" t="e">
        <f>IF(#REF!,"AAAAAC77d7c=",0)</f>
        <v>#REF!</v>
      </c>
      <c r="GC318" t="e">
        <f>IF(#REF!,"AAAAAC77d7g=",0)</f>
        <v>#REF!</v>
      </c>
      <c r="GD318" t="e">
        <f>IF(#REF!,"AAAAAC77d7k=",0)</f>
        <v>#REF!</v>
      </c>
      <c r="GE318" t="e">
        <f>IF(#REF!,"AAAAAC77d7o=",0)</f>
        <v>#REF!</v>
      </c>
      <c r="GF318" t="e">
        <f>IF(#REF!,"AAAAAC77d7s=",0)</f>
        <v>#REF!</v>
      </c>
      <c r="GG318" t="e">
        <f>IF(#REF!,"AAAAAC77d7w=",0)</f>
        <v>#REF!</v>
      </c>
      <c r="GH318" t="e">
        <f>IF(#REF!,"AAAAAC77d70=",0)</f>
        <v>#REF!</v>
      </c>
      <c r="GI318" t="e">
        <f>IF(#REF!,"AAAAAC77d74=",0)</f>
        <v>#REF!</v>
      </c>
      <c r="GJ318" t="e">
        <f>IF(#REF!,"AAAAAC77d78=",0)</f>
        <v>#REF!</v>
      </c>
      <c r="GK318" t="e">
        <f>IF(#REF!,"AAAAAC77d8A=",0)</f>
        <v>#REF!</v>
      </c>
      <c r="GL318" t="e">
        <f>IF(#REF!,"AAAAAC77d8E=",0)</f>
        <v>#REF!</v>
      </c>
      <c r="GM318" t="e">
        <f>IF(#REF!,"AAAAAC77d8I=",0)</f>
        <v>#REF!</v>
      </c>
      <c r="GN318" t="e">
        <f>IF(#REF!,"AAAAAC77d8M=",0)</f>
        <v>#REF!</v>
      </c>
      <c r="GO318" t="e">
        <f>IF(#REF!,"AAAAAC77d8Q=",0)</f>
        <v>#REF!</v>
      </c>
      <c r="GP318" t="e">
        <f>IF(#REF!,"AAAAAC77d8U=",0)</f>
        <v>#REF!</v>
      </c>
      <c r="GQ318" t="e">
        <f>IF(#REF!,"AAAAAC77d8Y=",0)</f>
        <v>#REF!</v>
      </c>
      <c r="GR318" t="e">
        <f>IF(#REF!,"AAAAAC77d8c=",0)</f>
        <v>#REF!</v>
      </c>
      <c r="GS318" t="e">
        <f>IF(#REF!,"AAAAAC77d8g=",0)</f>
        <v>#REF!</v>
      </c>
      <c r="GT318" t="e">
        <f>IF(#REF!,"AAAAAC77d8k=",0)</f>
        <v>#REF!</v>
      </c>
      <c r="GU318" t="e">
        <f>IF(#REF!,"AAAAAC77d8o=",0)</f>
        <v>#REF!</v>
      </c>
      <c r="GV318" t="e">
        <f>IF(#REF!,"AAAAAC77d8s=",0)</f>
        <v>#REF!</v>
      </c>
      <c r="GW318" t="e">
        <f>IF(#REF!,"AAAAAC77d8w=",0)</f>
        <v>#REF!</v>
      </c>
      <c r="GX318" t="e">
        <f>IF(#REF!,"AAAAAC77d80=",0)</f>
        <v>#REF!</v>
      </c>
      <c r="GY318" t="e">
        <f>IF(#REF!,"AAAAAC77d84=",0)</f>
        <v>#REF!</v>
      </c>
      <c r="GZ318" t="e">
        <f>IF(#REF!,"AAAAAC77d88=",0)</f>
        <v>#REF!</v>
      </c>
      <c r="HA318" t="e">
        <f>IF(#REF!,"AAAAAC77d9A=",0)</f>
        <v>#REF!</v>
      </c>
      <c r="HB318" t="e">
        <f>IF(#REF!,"AAAAAC77d9E=",0)</f>
        <v>#REF!</v>
      </c>
      <c r="HC318" t="e">
        <f>IF(#REF!,"AAAAAC77d9I=",0)</f>
        <v>#REF!</v>
      </c>
      <c r="HD318" t="e">
        <f>IF(#REF!,"AAAAAC77d9M=",0)</f>
        <v>#REF!</v>
      </c>
      <c r="HE318" t="e">
        <f>IF(#REF!,"AAAAAC77d9Q=",0)</f>
        <v>#REF!</v>
      </c>
      <c r="HF318" t="e">
        <f>IF(#REF!,"AAAAAC77d9U=",0)</f>
        <v>#REF!</v>
      </c>
      <c r="HG318" t="e">
        <f>IF(#REF!,"AAAAAC77d9Y=",0)</f>
        <v>#REF!</v>
      </c>
      <c r="HH318" t="e">
        <f>IF(#REF!,"AAAAAC77d9c=",0)</f>
        <v>#REF!</v>
      </c>
      <c r="HI318" t="e">
        <f>IF(#REF!,"AAAAAC77d9g=",0)</f>
        <v>#REF!</v>
      </c>
      <c r="HJ318" t="e">
        <f>IF(#REF!,"AAAAAC77d9k=",0)</f>
        <v>#REF!</v>
      </c>
      <c r="HK318" t="e">
        <f>IF(#REF!,"AAAAAC77d9o=",0)</f>
        <v>#REF!</v>
      </c>
      <c r="HL318" t="e">
        <f>IF(#REF!,"AAAAAC77d9s=",0)</f>
        <v>#REF!</v>
      </c>
      <c r="HM318" t="e">
        <f>IF(#REF!,"AAAAAC77d9w=",0)</f>
        <v>#REF!</v>
      </c>
      <c r="HN318" t="e">
        <f>IF(#REF!,"AAAAAC77d90=",0)</f>
        <v>#REF!</v>
      </c>
      <c r="HO318" t="e">
        <f>IF(#REF!,"AAAAAC77d94=",0)</f>
        <v>#REF!</v>
      </c>
      <c r="HP318" t="e">
        <f>IF(#REF!,"AAAAAC77d98=",0)</f>
        <v>#REF!</v>
      </c>
      <c r="HQ318" t="e">
        <f>IF(#REF!,"AAAAAC77d+A=",0)</f>
        <v>#REF!</v>
      </c>
      <c r="HR318" t="e">
        <f>IF(#REF!,"AAAAAC77d+E=",0)</f>
        <v>#REF!</v>
      </c>
      <c r="HS318" t="e">
        <f>IF(#REF!,"AAAAAC77d+I=",0)</f>
        <v>#REF!</v>
      </c>
      <c r="HT318" t="e">
        <f>IF(#REF!,"AAAAAC77d+M=",0)</f>
        <v>#REF!</v>
      </c>
      <c r="HU318" t="e">
        <f>IF(#REF!,"AAAAAC77d+Q=",0)</f>
        <v>#REF!</v>
      </c>
      <c r="HV318" t="e">
        <f>IF(#REF!,"AAAAAC77d+U=",0)</f>
        <v>#REF!</v>
      </c>
      <c r="HW318" t="e">
        <f>IF(#REF!,"AAAAAC77d+Y=",0)</f>
        <v>#REF!</v>
      </c>
      <c r="HX318" t="e">
        <f>IF(#REF!,"AAAAAC77d+c=",0)</f>
        <v>#REF!</v>
      </c>
      <c r="HY318" t="e">
        <f>IF(#REF!,"AAAAAC77d+g=",0)</f>
        <v>#REF!</v>
      </c>
      <c r="HZ318" t="e">
        <f>IF(#REF!,"AAAAAC77d+k=",0)</f>
        <v>#REF!</v>
      </c>
      <c r="IA318" t="e">
        <f>IF(#REF!,"AAAAAC77d+o=",0)</f>
        <v>#REF!</v>
      </c>
      <c r="IB318" t="e">
        <f>IF(#REF!,"AAAAAC77d+s=",0)</f>
        <v>#REF!</v>
      </c>
      <c r="IC318" t="e">
        <f>IF(#REF!,"AAAAAC77d+w=",0)</f>
        <v>#REF!</v>
      </c>
      <c r="ID318" t="e">
        <f>IF(#REF!,"AAAAAC77d+0=",0)</f>
        <v>#REF!</v>
      </c>
      <c r="IE318" t="e">
        <f>IF(#REF!,"AAAAAC77d+4=",0)</f>
        <v>#REF!</v>
      </c>
      <c r="IF318" t="e">
        <f>IF(#REF!,"AAAAAC77d+8=",0)</f>
        <v>#REF!</v>
      </c>
      <c r="IG318" t="e">
        <f>IF(#REF!,"AAAAAC77d/A=",0)</f>
        <v>#REF!</v>
      </c>
      <c r="IH318" t="e">
        <f>IF(#REF!,"AAAAAC77d/E=",0)</f>
        <v>#REF!</v>
      </c>
      <c r="II318" t="e">
        <f>IF(#REF!,"AAAAAC77d/I=",0)</f>
        <v>#REF!</v>
      </c>
      <c r="IJ318" t="e">
        <f>IF(#REF!,"AAAAAC77d/M=",0)</f>
        <v>#REF!</v>
      </c>
      <c r="IK318" t="e">
        <f>IF(#REF!,"AAAAAC77d/Q=",0)</f>
        <v>#REF!</v>
      </c>
      <c r="IL318" t="e">
        <f>IF(#REF!,"AAAAAC77d/U=",0)</f>
        <v>#REF!</v>
      </c>
      <c r="IM318" t="e">
        <f>IF(#REF!,"AAAAAC77d/Y=",0)</f>
        <v>#REF!</v>
      </c>
      <c r="IN318" t="e">
        <f>IF(#REF!,"AAAAAC77d/c=",0)</f>
        <v>#REF!</v>
      </c>
      <c r="IO318" t="e">
        <f>IF(#REF!,"AAAAAC77d/g=",0)</f>
        <v>#REF!</v>
      </c>
      <c r="IP318" t="e">
        <f>IF(#REF!,"AAAAAC77d/k=",0)</f>
        <v>#REF!</v>
      </c>
      <c r="IQ318" t="e">
        <f>IF(#REF!,"AAAAAC77d/o=",0)</f>
        <v>#REF!</v>
      </c>
      <c r="IR318" t="e">
        <f>IF(#REF!,"AAAAAC77d/s=",0)</f>
        <v>#REF!</v>
      </c>
      <c r="IS318" t="e">
        <f>IF(#REF!,"AAAAAC77d/w=",0)</f>
        <v>#REF!</v>
      </c>
      <c r="IT318" t="e">
        <f>IF(#REF!,"AAAAAC77d/0=",0)</f>
        <v>#REF!</v>
      </c>
      <c r="IU318" t="e">
        <f>IF(#REF!,"AAAAAC77d/4=",0)</f>
        <v>#REF!</v>
      </c>
      <c r="IV318" t="e">
        <f>IF(#REF!,"AAAAAC77d/8=",0)</f>
        <v>#REF!</v>
      </c>
    </row>
    <row r="319" spans="1:256">
      <c r="A319" t="e">
        <f>IF(#REF!,"AAAAAF27fwA=",0)</f>
        <v>#REF!</v>
      </c>
      <c r="B319" t="e">
        <f>IF(#REF!,"AAAAAF27fwE=",0)</f>
        <v>#REF!</v>
      </c>
      <c r="C319" t="e">
        <f>IF(#REF!,"AAAAAF27fwI=",0)</f>
        <v>#REF!</v>
      </c>
      <c r="D319" t="e">
        <f>IF(#REF!,"AAAAAF27fwM=",0)</f>
        <v>#REF!</v>
      </c>
      <c r="E319" t="e">
        <f>IF(#REF!,"AAAAAF27fwQ=",0)</f>
        <v>#REF!</v>
      </c>
      <c r="F319" t="e">
        <f>IF(#REF!,"AAAAAF27fwU=",0)</f>
        <v>#REF!</v>
      </c>
      <c r="G319" t="e">
        <f>IF(#REF!,"AAAAAF27fwY=",0)</f>
        <v>#REF!</v>
      </c>
      <c r="H319" t="e">
        <f>IF(#REF!,"AAAAAF27fwc=",0)</f>
        <v>#REF!</v>
      </c>
      <c r="I319" t="e">
        <f>IF(#REF!,"AAAAAF27fwg=",0)</f>
        <v>#REF!</v>
      </c>
      <c r="J319" t="e">
        <f>IF(#REF!,"AAAAAF27fwk=",0)</f>
        <v>#REF!</v>
      </c>
      <c r="K319" t="e">
        <f>IF(#REF!,"AAAAAF27fwo=",0)</f>
        <v>#REF!</v>
      </c>
      <c r="L319" t="e">
        <f>IF(#REF!,"AAAAAF27fws=",0)</f>
        <v>#REF!</v>
      </c>
      <c r="M319" t="e">
        <f>IF(#REF!,"AAAAAF27fww=",0)</f>
        <v>#REF!</v>
      </c>
      <c r="N319" t="e">
        <f>IF(#REF!,"AAAAAF27fw0=",0)</f>
        <v>#REF!</v>
      </c>
      <c r="O319" t="e">
        <f>IF(#REF!,"AAAAAF27fw4=",0)</f>
        <v>#REF!</v>
      </c>
      <c r="P319" t="e">
        <f>IF(#REF!,"AAAAAF27fw8=",0)</f>
        <v>#REF!</v>
      </c>
      <c r="Q319" t="e">
        <f>IF(#REF!,"AAAAAF27fxA=",0)</f>
        <v>#REF!</v>
      </c>
      <c r="R319" t="e">
        <f>IF(#REF!,"AAAAAF27fxE=",0)</f>
        <v>#REF!</v>
      </c>
      <c r="S319" t="e">
        <f>IF(#REF!,"AAAAAF27fxI=",0)</f>
        <v>#REF!</v>
      </c>
      <c r="T319" t="e">
        <f>IF(#REF!,"AAAAAF27fxM=",0)</f>
        <v>#REF!</v>
      </c>
      <c r="U319" t="e">
        <f>IF(#REF!,"AAAAAF27fxQ=",0)</f>
        <v>#REF!</v>
      </c>
      <c r="V319" t="e">
        <f>IF(#REF!,"AAAAAF27fxU=",0)</f>
        <v>#REF!</v>
      </c>
      <c r="W319" t="e">
        <f>IF(#REF!,"AAAAAF27fxY=",0)</f>
        <v>#REF!</v>
      </c>
      <c r="X319" t="e">
        <f>IF(#REF!,"AAAAAF27fxc=",0)</f>
        <v>#REF!</v>
      </c>
      <c r="Y319" t="e">
        <f>IF(#REF!,"AAAAAF27fxg=",0)</f>
        <v>#REF!</v>
      </c>
      <c r="Z319" t="e">
        <f>IF(#REF!,"AAAAAF27fxk=",0)</f>
        <v>#REF!</v>
      </c>
      <c r="AA319" t="e">
        <f>IF(#REF!,"AAAAAF27fxo=",0)</f>
        <v>#REF!</v>
      </c>
      <c r="AB319" t="e">
        <f>IF(#REF!,"AAAAAF27fxs=",0)</f>
        <v>#REF!</v>
      </c>
      <c r="AC319" t="e">
        <f>IF(#REF!,"AAAAAF27fxw=",0)</f>
        <v>#REF!</v>
      </c>
      <c r="AD319" t="e">
        <f>IF(#REF!,"AAAAAF27fx0=",0)</f>
        <v>#REF!</v>
      </c>
      <c r="AE319" t="e">
        <f>IF(#REF!,"AAAAAF27fx4=",0)</f>
        <v>#REF!</v>
      </c>
      <c r="AF319" t="e">
        <f>IF(#REF!,"AAAAAF27fx8=",0)</f>
        <v>#REF!</v>
      </c>
      <c r="AG319" t="e">
        <f>IF(#REF!,"AAAAAF27fyA=",0)</f>
        <v>#REF!</v>
      </c>
      <c r="AH319" t="e">
        <f>IF(#REF!,"AAAAAF27fyE=",0)</f>
        <v>#REF!</v>
      </c>
      <c r="AI319" t="e">
        <f>IF(#REF!,"AAAAAF27fyI=",0)</f>
        <v>#REF!</v>
      </c>
      <c r="AJ319" t="e">
        <f>IF(#REF!,"AAAAAF27fyM=",0)</f>
        <v>#REF!</v>
      </c>
      <c r="AK319" t="e">
        <f>IF(#REF!,"AAAAAF27fyQ=",0)</f>
        <v>#REF!</v>
      </c>
      <c r="AL319" t="e">
        <f>IF(#REF!,"AAAAAF27fyU=",0)</f>
        <v>#REF!</v>
      </c>
      <c r="AM319" t="e">
        <f>IF(#REF!,"AAAAAF27fyY=",0)</f>
        <v>#REF!</v>
      </c>
      <c r="AN319" t="e">
        <f>IF(#REF!,"AAAAAF27fyc=",0)</f>
        <v>#REF!</v>
      </c>
      <c r="AO319" t="e">
        <f>IF(#REF!,"AAAAAF27fyg=",0)</f>
        <v>#REF!</v>
      </c>
      <c r="AP319" t="e">
        <f>IF(#REF!,"AAAAAF27fyk=",0)</f>
        <v>#REF!</v>
      </c>
      <c r="AQ319" t="e">
        <f>IF(#REF!,"AAAAAF27fyo=",0)</f>
        <v>#REF!</v>
      </c>
      <c r="AR319" t="e">
        <f>IF(#REF!,"AAAAAF27fys=",0)</f>
        <v>#REF!</v>
      </c>
      <c r="AS319" t="e">
        <f>IF(#REF!,"AAAAAF27fyw=",0)</f>
        <v>#REF!</v>
      </c>
      <c r="AT319" t="e">
        <f>IF(#REF!,"AAAAAF27fy0=",0)</f>
        <v>#REF!</v>
      </c>
      <c r="AU319" t="e">
        <f>IF(#REF!,"AAAAAF27fy4=",0)</f>
        <v>#REF!</v>
      </c>
      <c r="AV319" t="e">
        <f>IF(#REF!,"AAAAAF27fy8=",0)</f>
        <v>#REF!</v>
      </c>
      <c r="AW319" t="e">
        <f>IF(#REF!,"AAAAAF27fzA=",0)</f>
        <v>#REF!</v>
      </c>
      <c r="AX319" t="e">
        <f>IF(#REF!,"AAAAAF27fzE=",0)</f>
        <v>#REF!</v>
      </c>
      <c r="AY319" t="e">
        <f>IF(#REF!,"AAAAAF27fzI=",0)</f>
        <v>#REF!</v>
      </c>
      <c r="AZ319" t="e">
        <f>IF(#REF!,"AAAAAF27fzM=",0)</f>
        <v>#REF!</v>
      </c>
      <c r="BA319" t="e">
        <f>IF(#REF!,"AAAAAF27fzQ=",0)</f>
        <v>#REF!</v>
      </c>
      <c r="BB319" t="e">
        <f>IF(#REF!,"AAAAAF27fzU=",0)</f>
        <v>#REF!</v>
      </c>
      <c r="BC319" t="e">
        <f>IF(#REF!,"AAAAAF27fzY=",0)</f>
        <v>#REF!</v>
      </c>
      <c r="BD319" t="e">
        <f>IF(#REF!,"AAAAAF27fzc=",0)</f>
        <v>#REF!</v>
      </c>
      <c r="BE319" t="e">
        <f>IF(#REF!,"AAAAAF27fzg=",0)</f>
        <v>#REF!</v>
      </c>
      <c r="BF319" t="e">
        <f>IF(#REF!,"AAAAAF27fzk=",0)</f>
        <v>#REF!</v>
      </c>
      <c r="BG319" t="e">
        <f>IF(#REF!,"AAAAAF27fzo=",0)</f>
        <v>#REF!</v>
      </c>
      <c r="BH319" t="e">
        <f>IF(#REF!,"AAAAAF27fzs=",0)</f>
        <v>#REF!</v>
      </c>
      <c r="BI319" t="e">
        <f>IF(#REF!,"AAAAAF27fzw=",0)</f>
        <v>#REF!</v>
      </c>
      <c r="BJ319" t="e">
        <f>IF(#REF!,"AAAAAF27fz0=",0)</f>
        <v>#REF!</v>
      </c>
      <c r="BK319" t="e">
        <f>IF(#REF!,"AAAAAF27fz4=",0)</f>
        <v>#REF!</v>
      </c>
      <c r="BL319" t="e">
        <f>IF(#REF!,"AAAAAF27fz8=",0)</f>
        <v>#REF!</v>
      </c>
      <c r="BM319" t="e">
        <f>IF(#REF!,"AAAAAF27f0A=",0)</f>
        <v>#REF!</v>
      </c>
      <c r="BN319" t="e">
        <f>IF(#REF!,"AAAAAF27f0E=",0)</f>
        <v>#REF!</v>
      </c>
      <c r="BO319" t="e">
        <f>IF(#REF!,"AAAAAF27f0I=",0)</f>
        <v>#REF!</v>
      </c>
      <c r="BP319" t="e">
        <f>IF(#REF!,"AAAAAF27f0M=",0)</f>
        <v>#REF!</v>
      </c>
      <c r="BQ319" t="e">
        <f>IF(#REF!,"AAAAAF27f0Q=",0)</f>
        <v>#REF!</v>
      </c>
      <c r="BR319" t="e">
        <f>IF(#REF!,"AAAAAF27f0U=",0)</f>
        <v>#REF!</v>
      </c>
      <c r="BS319" t="e">
        <f>IF(#REF!,"AAAAAF27f0Y=",0)</f>
        <v>#REF!</v>
      </c>
      <c r="BT319" t="e">
        <f>IF(#REF!,"AAAAAF27f0c=",0)</f>
        <v>#REF!</v>
      </c>
      <c r="BU319" t="e">
        <f>IF(#REF!,"AAAAAF27f0g=",0)</f>
        <v>#REF!</v>
      </c>
      <c r="BV319" t="e">
        <f>IF(#REF!,"AAAAAF27f0k=",0)</f>
        <v>#REF!</v>
      </c>
      <c r="BW319" t="e">
        <f>IF(#REF!,"AAAAAF27f0o=",0)</f>
        <v>#REF!</v>
      </c>
      <c r="BX319" t="e">
        <f>IF(#REF!,"AAAAAF27f0s=",0)</f>
        <v>#REF!</v>
      </c>
      <c r="BY319" t="e">
        <f>IF(#REF!,"AAAAAF27f0w=",0)</f>
        <v>#REF!</v>
      </c>
      <c r="BZ319" t="e">
        <f>IF(#REF!,"AAAAAF27f00=",0)</f>
        <v>#REF!</v>
      </c>
      <c r="CA319" t="e">
        <f>IF(#REF!,"AAAAAF27f04=",0)</f>
        <v>#REF!</v>
      </c>
      <c r="CB319" t="e">
        <f>IF(#REF!,"AAAAAF27f08=",0)</f>
        <v>#REF!</v>
      </c>
      <c r="CC319" t="e">
        <f>IF(#REF!,"AAAAAF27f1A=",0)</f>
        <v>#REF!</v>
      </c>
      <c r="CD319" t="e">
        <f>IF(#REF!,"AAAAAF27f1E=",0)</f>
        <v>#REF!</v>
      </c>
      <c r="CE319" t="e">
        <f>IF(#REF!,"AAAAAF27f1I=",0)</f>
        <v>#REF!</v>
      </c>
      <c r="CF319" t="e">
        <f>IF(#REF!,"AAAAAF27f1M=",0)</f>
        <v>#REF!</v>
      </c>
      <c r="CG319" t="e">
        <f>IF(#REF!,"AAAAAF27f1Q=",0)</f>
        <v>#REF!</v>
      </c>
      <c r="CH319" t="e">
        <f>IF(#REF!,"AAAAAF27f1U=",0)</f>
        <v>#REF!</v>
      </c>
      <c r="CI319" t="e">
        <f>IF(#REF!,"AAAAAF27f1Y=",0)</f>
        <v>#REF!</v>
      </c>
      <c r="CJ319" t="e">
        <f>IF(#REF!,"AAAAAF27f1c=",0)</f>
        <v>#REF!</v>
      </c>
      <c r="CK319" t="e">
        <f>IF(#REF!,"AAAAAF27f1g=",0)</f>
        <v>#REF!</v>
      </c>
      <c r="CL319" t="e">
        <f>IF(#REF!,"AAAAAF27f1k=",0)</f>
        <v>#REF!</v>
      </c>
      <c r="CM319" t="e">
        <f>IF(#REF!,"AAAAAF27f1o=",0)</f>
        <v>#REF!</v>
      </c>
      <c r="CN319" t="e">
        <f>IF(#REF!,"AAAAAF27f1s=",0)</f>
        <v>#REF!</v>
      </c>
      <c r="CO319" t="e">
        <f>IF(#REF!,"AAAAAF27f1w=",0)</f>
        <v>#REF!</v>
      </c>
      <c r="CP319" t="e">
        <f>IF(#REF!,"AAAAAF27f10=",0)</f>
        <v>#REF!</v>
      </c>
      <c r="CQ319" t="e">
        <f>IF(#REF!,"AAAAAF27f14=",0)</f>
        <v>#REF!</v>
      </c>
      <c r="CR319" t="e">
        <f>IF(#REF!,"AAAAAF27f18=",0)</f>
        <v>#REF!</v>
      </c>
      <c r="CS319" t="e">
        <f>IF(#REF!,"AAAAAF27f2A=",0)</f>
        <v>#REF!</v>
      </c>
      <c r="CT319" t="e">
        <f>IF(#REF!,"AAAAAF27f2E=",0)</f>
        <v>#REF!</v>
      </c>
      <c r="CU319" t="e">
        <f>IF(#REF!,"AAAAAF27f2I=",0)</f>
        <v>#REF!</v>
      </c>
      <c r="CV319" t="e">
        <f>IF(#REF!,"AAAAAF27f2M=",0)</f>
        <v>#REF!</v>
      </c>
      <c r="CW319" t="e">
        <f>IF(#REF!,"AAAAAF27f2Q=",0)</f>
        <v>#REF!</v>
      </c>
      <c r="CX319" t="e">
        <f>IF(#REF!,"AAAAAF27f2U=",0)</f>
        <v>#REF!</v>
      </c>
      <c r="CY319" t="e">
        <f>IF(#REF!,"AAAAAF27f2Y=",0)</f>
        <v>#REF!</v>
      </c>
      <c r="CZ319" t="e">
        <f>IF(#REF!,"AAAAAF27f2c=",0)</f>
        <v>#REF!</v>
      </c>
      <c r="DA319" t="e">
        <f>IF(#REF!,"AAAAAF27f2g=",0)</f>
        <v>#REF!</v>
      </c>
      <c r="DB319" t="e">
        <f>IF(#REF!,"AAAAAF27f2k=",0)</f>
        <v>#REF!</v>
      </c>
      <c r="DC319" t="e">
        <f>IF(#REF!,"AAAAAF27f2o=",0)</f>
        <v>#REF!</v>
      </c>
      <c r="DD319" t="e">
        <f>IF(#REF!,"AAAAAF27f2s=",0)</f>
        <v>#REF!</v>
      </c>
      <c r="DE319" t="e">
        <f>IF(#REF!,"AAAAAF27f2w=",0)</f>
        <v>#REF!</v>
      </c>
      <c r="DF319" t="e">
        <f>IF(#REF!,"AAAAAF27f20=",0)</f>
        <v>#REF!</v>
      </c>
      <c r="DG319" t="e">
        <f>IF(#REF!,"AAAAAF27f24=",0)</f>
        <v>#REF!</v>
      </c>
      <c r="DH319" t="e">
        <f>IF(#REF!,"AAAAAF27f28=",0)</f>
        <v>#REF!</v>
      </c>
      <c r="DI319" t="e">
        <f>IF(#REF!,"AAAAAF27f3A=",0)</f>
        <v>#REF!</v>
      </c>
      <c r="DJ319" t="e">
        <f>IF(#REF!,"AAAAAF27f3E=",0)</f>
        <v>#REF!</v>
      </c>
      <c r="DK319" t="e">
        <f>IF(#REF!,"AAAAAF27f3I=",0)</f>
        <v>#REF!</v>
      </c>
      <c r="DL319" t="e">
        <f>IF(#REF!,"AAAAAF27f3M=",0)</f>
        <v>#REF!</v>
      </c>
      <c r="DM319" t="e">
        <f>IF(#REF!,"AAAAAF27f3Q=",0)</f>
        <v>#REF!</v>
      </c>
      <c r="DN319" t="e">
        <f>IF(#REF!,"AAAAAF27f3U=",0)</f>
        <v>#REF!</v>
      </c>
      <c r="DO319" t="e">
        <f>IF(#REF!,"AAAAAF27f3Y=",0)</f>
        <v>#REF!</v>
      </c>
      <c r="DP319" t="e">
        <f>IF(#REF!,"AAAAAF27f3c=",0)</f>
        <v>#REF!</v>
      </c>
      <c r="DQ319" t="e">
        <f>IF(#REF!,"AAAAAF27f3g=",0)</f>
        <v>#REF!</v>
      </c>
      <c r="DR319" t="e">
        <f>IF(#REF!,"AAAAAF27f3k=",0)</f>
        <v>#REF!</v>
      </c>
      <c r="DS319" t="e">
        <f>IF(#REF!,"AAAAAF27f3o=",0)</f>
        <v>#REF!</v>
      </c>
      <c r="DT319" t="e">
        <f>IF(#REF!,"AAAAAF27f3s=",0)</f>
        <v>#REF!</v>
      </c>
      <c r="DU319" t="e">
        <f>IF(#REF!,"AAAAAF27f3w=",0)</f>
        <v>#REF!</v>
      </c>
      <c r="DV319" t="e">
        <f>IF(#REF!,"AAAAAF27f30=",0)</f>
        <v>#REF!</v>
      </c>
      <c r="DW319" t="e">
        <f>IF(#REF!,"AAAAAF27f34=",0)</f>
        <v>#REF!</v>
      </c>
      <c r="DX319" t="e">
        <f>IF(#REF!,"AAAAAF27f38=",0)</f>
        <v>#REF!</v>
      </c>
      <c r="DY319" t="e">
        <f>IF(#REF!,"AAAAAF27f4A=",0)</f>
        <v>#REF!</v>
      </c>
      <c r="DZ319" t="e">
        <f>IF(#REF!,"AAAAAF27f4E=",0)</f>
        <v>#REF!</v>
      </c>
      <c r="EA319" t="e">
        <f>IF(#REF!,"AAAAAF27f4I=",0)</f>
        <v>#REF!</v>
      </c>
      <c r="EB319" t="e">
        <f>IF(#REF!,"AAAAAF27f4M=",0)</f>
        <v>#REF!</v>
      </c>
      <c r="EC319" t="e">
        <f>IF(#REF!,"AAAAAF27f4Q=",0)</f>
        <v>#REF!</v>
      </c>
      <c r="ED319" t="e">
        <f>IF(#REF!,"AAAAAF27f4U=",0)</f>
        <v>#REF!</v>
      </c>
      <c r="EE319" t="e">
        <f>IF(#REF!,"AAAAAF27f4Y=",0)</f>
        <v>#REF!</v>
      </c>
      <c r="EF319" t="e">
        <f>IF(#REF!,"AAAAAF27f4c=",0)</f>
        <v>#REF!</v>
      </c>
      <c r="EG319" t="e">
        <f>IF(#REF!,"AAAAAF27f4g=",0)</f>
        <v>#REF!</v>
      </c>
      <c r="EH319" t="e">
        <f>IF(#REF!,"AAAAAF27f4k=",0)</f>
        <v>#REF!</v>
      </c>
      <c r="EI319" t="e">
        <f>IF(#REF!,"AAAAAF27f4o=",0)</f>
        <v>#REF!</v>
      </c>
      <c r="EJ319" t="e">
        <f>IF(#REF!,"AAAAAF27f4s=",0)</f>
        <v>#REF!</v>
      </c>
      <c r="EK319" t="e">
        <f>IF(#REF!,"AAAAAF27f4w=",0)</f>
        <v>#REF!</v>
      </c>
      <c r="EL319" t="e">
        <f>IF(#REF!,"AAAAAF27f40=",0)</f>
        <v>#REF!</v>
      </c>
      <c r="EM319" t="e">
        <f>IF(#REF!,"AAAAAF27f44=",0)</f>
        <v>#REF!</v>
      </c>
      <c r="EN319" t="e">
        <f>IF(#REF!,"AAAAAF27f48=",0)</f>
        <v>#REF!</v>
      </c>
      <c r="EO319" t="e">
        <f>IF(#REF!,"AAAAAF27f5A=",0)</f>
        <v>#REF!</v>
      </c>
      <c r="EP319" t="e">
        <f>IF(#REF!,"AAAAAF27f5E=",0)</f>
        <v>#REF!</v>
      </c>
      <c r="EQ319" t="e">
        <f>IF(#REF!,"AAAAAF27f5I=",0)</f>
        <v>#REF!</v>
      </c>
      <c r="ER319" t="e">
        <f>IF(#REF!,"AAAAAF27f5M=",0)</f>
        <v>#REF!</v>
      </c>
      <c r="ES319" t="e">
        <f>IF(#REF!,"AAAAAF27f5Q=",0)</f>
        <v>#REF!</v>
      </c>
      <c r="ET319" t="e">
        <f>IF(#REF!,"AAAAAF27f5U=",0)</f>
        <v>#REF!</v>
      </c>
      <c r="EU319" t="e">
        <f>IF(#REF!,"AAAAAF27f5Y=",0)</f>
        <v>#REF!</v>
      </c>
      <c r="EV319" t="e">
        <f>IF(#REF!,"AAAAAF27f5c=",0)</f>
        <v>#REF!</v>
      </c>
      <c r="EW319" t="e">
        <f>IF(#REF!,"AAAAAF27f5g=",0)</f>
        <v>#REF!</v>
      </c>
      <c r="EX319" t="e">
        <f>IF(#REF!,"AAAAAF27f5k=",0)</f>
        <v>#REF!</v>
      </c>
      <c r="EY319" t="e">
        <f>IF(#REF!,"AAAAAF27f5o=",0)</f>
        <v>#REF!</v>
      </c>
      <c r="EZ319" t="e">
        <f>IF(#REF!,"AAAAAF27f5s=",0)</f>
        <v>#REF!</v>
      </c>
      <c r="FA319" t="e">
        <f>IF(#REF!,"AAAAAF27f5w=",0)</f>
        <v>#REF!</v>
      </c>
      <c r="FB319" t="e">
        <f>IF(#REF!,"AAAAAF27f50=",0)</f>
        <v>#REF!</v>
      </c>
      <c r="FC319" t="e">
        <f>IF(#REF!,"AAAAAF27f54=",0)</f>
        <v>#REF!</v>
      </c>
      <c r="FD319" t="e">
        <f>IF(#REF!,"AAAAAF27f58=",0)</f>
        <v>#REF!</v>
      </c>
      <c r="FE319" t="e">
        <f>IF(#REF!,"AAAAAF27f6A=",0)</f>
        <v>#REF!</v>
      </c>
      <c r="FF319" t="e">
        <f>IF(#REF!,"AAAAAF27f6E=",0)</f>
        <v>#REF!</v>
      </c>
      <c r="FG319" t="e">
        <f>IF(#REF!,"AAAAAF27f6I=",0)</f>
        <v>#REF!</v>
      </c>
      <c r="FH319" t="e">
        <f>IF(#REF!,"AAAAAF27f6M=",0)</f>
        <v>#REF!</v>
      </c>
      <c r="FI319" t="e">
        <f>IF(#REF!,"AAAAAF27f6Q=",0)</f>
        <v>#REF!</v>
      </c>
      <c r="FJ319" t="e">
        <f>IF(#REF!,"AAAAAF27f6U=",0)</f>
        <v>#REF!</v>
      </c>
      <c r="FK319" t="e">
        <f>IF(#REF!,"AAAAAF27f6Y=",0)</f>
        <v>#REF!</v>
      </c>
      <c r="FL319" t="e">
        <f>IF(#REF!,"AAAAAF27f6c=",0)</f>
        <v>#REF!</v>
      </c>
      <c r="FM319" t="e">
        <f>IF(#REF!,"AAAAAF27f6g=",0)</f>
        <v>#REF!</v>
      </c>
      <c r="FN319" t="e">
        <f>IF(#REF!,"AAAAAF27f6k=",0)</f>
        <v>#REF!</v>
      </c>
      <c r="FO319" t="e">
        <f>IF(#REF!,"AAAAAF27f6o=",0)</f>
        <v>#REF!</v>
      </c>
      <c r="FP319" t="e">
        <f>IF(#REF!,"AAAAAF27f6s=",0)</f>
        <v>#REF!</v>
      </c>
      <c r="FQ319" t="e">
        <f>IF(#REF!,"AAAAAF27f6w=",0)</f>
        <v>#REF!</v>
      </c>
      <c r="FR319" t="e">
        <f>IF(#REF!,"AAAAAF27f60=",0)</f>
        <v>#REF!</v>
      </c>
      <c r="FS319" t="e">
        <f>IF(#REF!,"AAAAAF27f64=",0)</f>
        <v>#REF!</v>
      </c>
      <c r="FT319" t="e">
        <f>IF(#REF!,"AAAAAF27f68=",0)</f>
        <v>#REF!</v>
      </c>
      <c r="FU319" t="e">
        <f>IF(#REF!,"AAAAAF27f7A=",0)</f>
        <v>#REF!</v>
      </c>
      <c r="FV319" t="e">
        <f>IF(#REF!,"AAAAAF27f7E=",0)</f>
        <v>#REF!</v>
      </c>
      <c r="FW319" t="e">
        <f>IF(#REF!,"AAAAAF27f7I=",0)</f>
        <v>#REF!</v>
      </c>
      <c r="FX319" t="e">
        <f>IF(#REF!,"AAAAAF27f7M=",0)</f>
        <v>#REF!</v>
      </c>
      <c r="FY319" t="e">
        <f>IF(#REF!,"AAAAAF27f7Q=",0)</f>
        <v>#REF!</v>
      </c>
      <c r="FZ319" t="e">
        <f>IF(#REF!,"AAAAAF27f7U=",0)</f>
        <v>#REF!</v>
      </c>
      <c r="GA319" t="e">
        <f>IF(#REF!,"AAAAAF27f7Y=",0)</f>
        <v>#REF!</v>
      </c>
      <c r="GB319" t="e">
        <f>IF(#REF!,"AAAAAF27f7c=",0)</f>
        <v>#REF!</v>
      </c>
      <c r="GC319" t="e">
        <f>IF(#REF!,"AAAAAF27f7g=",0)</f>
        <v>#REF!</v>
      </c>
      <c r="GD319" t="e">
        <f>IF(#REF!,"AAAAAF27f7k=",0)</f>
        <v>#REF!</v>
      </c>
      <c r="GE319" t="e">
        <f>IF(#REF!,"AAAAAF27f7o=",0)</f>
        <v>#REF!</v>
      </c>
      <c r="GF319" t="e">
        <f>IF(#REF!,"AAAAAF27f7s=",0)</f>
        <v>#REF!</v>
      </c>
      <c r="GG319" t="e">
        <f>IF(#REF!,"AAAAAF27f7w=",0)</f>
        <v>#REF!</v>
      </c>
      <c r="GH319" t="e">
        <f>IF(#REF!,"AAAAAF27f70=",0)</f>
        <v>#REF!</v>
      </c>
      <c r="GI319" t="e">
        <f>IF(#REF!,"AAAAAF27f74=",0)</f>
        <v>#REF!</v>
      </c>
      <c r="GJ319" t="e">
        <f>IF(#REF!,"AAAAAF27f78=",0)</f>
        <v>#REF!</v>
      </c>
      <c r="GK319" t="e">
        <f>IF(#REF!,"AAAAAF27f8A=",0)</f>
        <v>#REF!</v>
      </c>
      <c r="GL319" t="e">
        <f>IF(#REF!,"AAAAAF27f8E=",0)</f>
        <v>#REF!</v>
      </c>
      <c r="GM319" t="e">
        <f>IF(#REF!,"AAAAAF27f8I=",0)</f>
        <v>#REF!</v>
      </c>
      <c r="GN319" t="e">
        <f>IF(#REF!,"AAAAAF27f8M=",0)</f>
        <v>#REF!</v>
      </c>
      <c r="GO319" t="e">
        <f>IF(#REF!,"AAAAAF27f8Q=",0)</f>
        <v>#REF!</v>
      </c>
      <c r="GP319" t="e">
        <f>IF(#REF!,"AAAAAF27f8U=",0)</f>
        <v>#REF!</v>
      </c>
      <c r="GQ319" t="e">
        <f>IF(#REF!,"AAAAAF27f8Y=",0)</f>
        <v>#REF!</v>
      </c>
      <c r="GR319" t="e">
        <f>IF(#REF!,"AAAAAF27f8c=",0)</f>
        <v>#REF!</v>
      </c>
      <c r="GS319" t="e">
        <f>IF(#REF!,"AAAAAF27f8g=",0)</f>
        <v>#REF!</v>
      </c>
      <c r="GT319" t="e">
        <f>IF(#REF!,"AAAAAF27f8k=",0)</f>
        <v>#REF!</v>
      </c>
      <c r="GU319" t="e">
        <f>IF(#REF!,"AAAAAF27f8o=",0)</f>
        <v>#REF!</v>
      </c>
      <c r="GV319" t="e">
        <f>IF(#REF!,"AAAAAF27f8s=",0)</f>
        <v>#REF!</v>
      </c>
      <c r="GW319" t="e">
        <f>IF(#REF!,"AAAAAF27f8w=",0)</f>
        <v>#REF!</v>
      </c>
      <c r="GX319" t="e">
        <f>IF(#REF!,"AAAAAF27f80=",0)</f>
        <v>#REF!</v>
      </c>
      <c r="GY319" t="e">
        <f>IF(#REF!,"AAAAAF27f84=",0)</f>
        <v>#REF!</v>
      </c>
      <c r="GZ319" t="e">
        <f>IF(#REF!,"AAAAAF27f88=",0)</f>
        <v>#REF!</v>
      </c>
      <c r="HA319" t="e">
        <f>IF(#REF!,"AAAAAF27f9A=",0)</f>
        <v>#REF!</v>
      </c>
      <c r="HB319" t="e">
        <f>IF(#REF!,"AAAAAF27f9E=",0)</f>
        <v>#REF!</v>
      </c>
      <c r="HC319" t="e">
        <f>IF(#REF!,"AAAAAF27f9I=",0)</f>
        <v>#REF!</v>
      </c>
      <c r="HD319" t="e">
        <f>IF(#REF!,"AAAAAF27f9M=",0)</f>
        <v>#REF!</v>
      </c>
      <c r="HE319" t="e">
        <f>IF(#REF!,"AAAAAF27f9Q=",0)</f>
        <v>#REF!</v>
      </c>
      <c r="HF319" t="e">
        <f>IF(#REF!,"AAAAAF27f9U=",0)</f>
        <v>#REF!</v>
      </c>
      <c r="HG319" t="e">
        <f>IF(#REF!,"AAAAAF27f9Y=",0)</f>
        <v>#REF!</v>
      </c>
      <c r="HH319" t="e">
        <f>IF(#REF!,"AAAAAF27f9c=",0)</f>
        <v>#REF!</v>
      </c>
      <c r="HI319" t="e">
        <f>IF(#REF!,"AAAAAF27f9g=",0)</f>
        <v>#REF!</v>
      </c>
      <c r="HJ319" t="e">
        <f>IF(#REF!,"AAAAAF27f9k=",0)</f>
        <v>#REF!</v>
      </c>
      <c r="HK319" t="e">
        <f>IF(#REF!,"AAAAAF27f9o=",0)</f>
        <v>#REF!</v>
      </c>
      <c r="HL319" t="e">
        <f>IF(#REF!,"AAAAAF27f9s=",0)</f>
        <v>#REF!</v>
      </c>
      <c r="HM319" t="e">
        <f>IF(#REF!,"AAAAAF27f9w=",0)</f>
        <v>#REF!</v>
      </c>
      <c r="HN319" t="e">
        <f>IF(#REF!,"AAAAAF27f90=",0)</f>
        <v>#REF!</v>
      </c>
      <c r="HO319" t="e">
        <f>IF(#REF!,"AAAAAF27f94=",0)</f>
        <v>#REF!</v>
      </c>
      <c r="HP319" t="e">
        <f>IF(#REF!,"AAAAAF27f98=",0)</f>
        <v>#REF!</v>
      </c>
      <c r="HQ319" t="e">
        <f>IF(#REF!,"AAAAAF27f+A=",0)</f>
        <v>#REF!</v>
      </c>
      <c r="HR319" t="e">
        <f>IF(#REF!,"AAAAAF27f+E=",0)</f>
        <v>#REF!</v>
      </c>
      <c r="HS319" t="e">
        <f>IF(#REF!,"AAAAAF27f+I=",0)</f>
        <v>#REF!</v>
      </c>
      <c r="HT319" t="e">
        <f>IF(#REF!,"AAAAAF27f+M=",0)</f>
        <v>#REF!</v>
      </c>
      <c r="HU319" t="e">
        <f>IF(#REF!,"AAAAAF27f+Q=",0)</f>
        <v>#REF!</v>
      </c>
      <c r="HV319" t="e">
        <f>IF(#REF!,"AAAAAF27f+U=",0)</f>
        <v>#REF!</v>
      </c>
      <c r="HW319" t="e">
        <f>IF(#REF!,"AAAAAF27f+Y=",0)</f>
        <v>#REF!</v>
      </c>
      <c r="HX319" t="e">
        <f>IF(#REF!,"AAAAAF27f+c=",0)</f>
        <v>#REF!</v>
      </c>
      <c r="HY319" t="e">
        <f>IF(#REF!,"AAAAAF27f+g=",0)</f>
        <v>#REF!</v>
      </c>
      <c r="HZ319" t="e">
        <f>IF(#REF!,"AAAAAF27f+k=",0)</f>
        <v>#REF!</v>
      </c>
      <c r="IA319" t="e">
        <f>IF(#REF!,"AAAAAF27f+o=",0)</f>
        <v>#REF!</v>
      </c>
      <c r="IB319" t="e">
        <f>IF(#REF!,"AAAAAF27f+s=",0)</f>
        <v>#REF!</v>
      </c>
      <c r="IC319" t="e">
        <f>IF(#REF!,"AAAAAF27f+w=",0)</f>
        <v>#REF!</v>
      </c>
      <c r="ID319" t="e">
        <f>IF(#REF!,"AAAAAF27f+0=",0)</f>
        <v>#REF!</v>
      </c>
      <c r="IE319" t="e">
        <f>IF(#REF!,"AAAAAF27f+4=",0)</f>
        <v>#REF!</v>
      </c>
      <c r="IF319" t="e">
        <f>IF(#REF!,"AAAAAF27f+8=",0)</f>
        <v>#REF!</v>
      </c>
      <c r="IG319" t="e">
        <f>IF(#REF!,"AAAAAF27f/A=",0)</f>
        <v>#REF!</v>
      </c>
      <c r="IH319" t="e">
        <f>IF(#REF!,"AAAAAF27f/E=",0)</f>
        <v>#REF!</v>
      </c>
      <c r="II319" t="e">
        <f>IF(#REF!,"AAAAAF27f/I=",0)</f>
        <v>#REF!</v>
      </c>
      <c r="IJ319" t="e">
        <f>IF(#REF!,"AAAAAF27f/M=",0)</f>
        <v>#REF!</v>
      </c>
      <c r="IK319" t="e">
        <f>IF(#REF!,"AAAAAF27f/Q=",0)</f>
        <v>#REF!</v>
      </c>
      <c r="IL319" t="e">
        <f>IF(#REF!,"AAAAAF27f/U=",0)</f>
        <v>#REF!</v>
      </c>
      <c r="IM319" t="e">
        <f>IF(#REF!,"AAAAAF27f/Y=",0)</f>
        <v>#REF!</v>
      </c>
      <c r="IN319" t="e">
        <f>IF(#REF!,"AAAAAF27f/c=",0)</f>
        <v>#REF!</v>
      </c>
      <c r="IO319" t="e">
        <f>IF(#REF!,"AAAAAF27f/g=",0)</f>
        <v>#REF!</v>
      </c>
      <c r="IP319" t="e">
        <f>IF(#REF!,"AAAAAF27f/k=",0)</f>
        <v>#REF!</v>
      </c>
      <c r="IQ319" t="e">
        <f>IF(#REF!,"AAAAAF27f/o=",0)</f>
        <v>#REF!</v>
      </c>
      <c r="IR319" t="e">
        <f>IF(#REF!,"AAAAAF27f/s=",0)</f>
        <v>#REF!</v>
      </c>
      <c r="IS319" t="e">
        <f>IF(#REF!,"AAAAAF27f/w=",0)</f>
        <v>#REF!</v>
      </c>
      <c r="IT319" t="e">
        <f>IF(#REF!,"AAAAAF27f/0=",0)</f>
        <v>#REF!</v>
      </c>
      <c r="IU319" t="e">
        <f>IF(#REF!,"AAAAAF27f/4=",0)</f>
        <v>#REF!</v>
      </c>
      <c r="IV319" t="e">
        <f>IF(#REF!,"AAAAAF27f/8=",0)</f>
        <v>#REF!</v>
      </c>
    </row>
    <row r="320" spans="1:256">
      <c r="A320" t="e">
        <f>IF(#REF!,"AAAAADm+2wA=",0)</f>
        <v>#REF!</v>
      </c>
      <c r="B320" t="e">
        <f>IF(#REF!,"AAAAADm+2wE=",0)</f>
        <v>#REF!</v>
      </c>
      <c r="C320" t="e">
        <f>IF(#REF!,"AAAAADm+2wI=",0)</f>
        <v>#REF!</v>
      </c>
      <c r="D320" t="e">
        <f>IF(#REF!,"AAAAADm+2wM=",0)</f>
        <v>#REF!</v>
      </c>
      <c r="E320" t="e">
        <f>IF(#REF!,"AAAAADm+2wQ=",0)</f>
        <v>#REF!</v>
      </c>
      <c r="F320" t="e">
        <f>IF(#REF!,"AAAAADm+2wU=",0)</f>
        <v>#REF!</v>
      </c>
      <c r="G320" t="e">
        <f>IF(#REF!,"AAAAADm+2wY=",0)</f>
        <v>#REF!</v>
      </c>
      <c r="H320" t="e">
        <f>IF(#REF!,"AAAAADm+2wc=",0)</f>
        <v>#REF!</v>
      </c>
      <c r="I320" t="e">
        <f>IF(#REF!,"AAAAADm+2wg=",0)</f>
        <v>#REF!</v>
      </c>
      <c r="J320" t="e">
        <f>IF(#REF!,"AAAAADm+2wk=",0)</f>
        <v>#REF!</v>
      </c>
      <c r="K320" t="e">
        <f>IF(#REF!,"AAAAADm+2wo=",0)</f>
        <v>#REF!</v>
      </c>
      <c r="L320" t="e">
        <f>IF(#REF!,"AAAAADm+2ws=",0)</f>
        <v>#REF!</v>
      </c>
      <c r="M320" t="e">
        <f>IF(#REF!,"AAAAADm+2ww=",0)</f>
        <v>#REF!</v>
      </c>
      <c r="N320" t="e">
        <f>IF(#REF!,"AAAAADm+2w0=",0)</f>
        <v>#REF!</v>
      </c>
      <c r="O320" t="e">
        <f>IF(#REF!,"AAAAADm+2w4=",0)</f>
        <v>#REF!</v>
      </c>
      <c r="P320" t="e">
        <f>IF(#REF!,"AAAAADm+2w8=",0)</f>
        <v>#REF!</v>
      </c>
      <c r="Q320" t="e">
        <f>IF(#REF!,"AAAAADm+2xA=",0)</f>
        <v>#REF!</v>
      </c>
      <c r="R320" t="e">
        <f>IF(#REF!,"AAAAADm+2xE=",0)</f>
        <v>#REF!</v>
      </c>
      <c r="S320" t="e">
        <f>IF(#REF!,"AAAAADm+2xI=",0)</f>
        <v>#REF!</v>
      </c>
      <c r="T320" t="e">
        <f>IF(#REF!,"AAAAADm+2xM=",0)</f>
        <v>#REF!</v>
      </c>
      <c r="U320" t="e">
        <f>IF(#REF!,"AAAAADm+2xQ=",0)</f>
        <v>#REF!</v>
      </c>
      <c r="V320" t="e">
        <f>IF(#REF!,"AAAAADm+2xU=",0)</f>
        <v>#REF!</v>
      </c>
      <c r="W320" t="e">
        <f>IF(#REF!,"AAAAADm+2xY=",0)</f>
        <v>#REF!</v>
      </c>
      <c r="X320" t="e">
        <f>IF(#REF!,"AAAAADm+2xc=",0)</f>
        <v>#REF!</v>
      </c>
      <c r="Y320" t="e">
        <f>IF(#REF!,"AAAAADm+2xg=",0)</f>
        <v>#REF!</v>
      </c>
      <c r="Z320" t="e">
        <f>IF(#REF!,"AAAAADm+2xk=",0)</f>
        <v>#REF!</v>
      </c>
      <c r="AA320" t="e">
        <f>IF(#REF!,"AAAAADm+2xo=",0)</f>
        <v>#REF!</v>
      </c>
      <c r="AB320" t="e">
        <f>IF(#REF!,"AAAAADm+2xs=",0)</f>
        <v>#REF!</v>
      </c>
      <c r="AC320" t="e">
        <f>IF(#REF!,"AAAAADm+2xw=",0)</f>
        <v>#REF!</v>
      </c>
      <c r="AD320" t="e">
        <f>IF(#REF!,"AAAAADm+2x0=",0)</f>
        <v>#REF!</v>
      </c>
      <c r="AE320" t="e">
        <f>IF(#REF!,"AAAAADm+2x4=",0)</f>
        <v>#REF!</v>
      </c>
      <c r="AF320" t="e">
        <f>IF(#REF!,"AAAAADm+2x8=",0)</f>
        <v>#REF!</v>
      </c>
      <c r="AG320" t="e">
        <f>IF(#REF!,"AAAAADm+2yA=",0)</f>
        <v>#REF!</v>
      </c>
      <c r="AH320" t="e">
        <f>IF(#REF!,"AAAAADm+2yE=",0)</f>
        <v>#REF!</v>
      </c>
      <c r="AI320" t="e">
        <f>IF(#REF!,"AAAAADm+2yI=",0)</f>
        <v>#REF!</v>
      </c>
      <c r="AJ320" t="e">
        <f>IF(#REF!,"AAAAADm+2yM=",0)</f>
        <v>#REF!</v>
      </c>
      <c r="AK320" t="e">
        <f>IF(#REF!,"AAAAADm+2yQ=",0)</f>
        <v>#REF!</v>
      </c>
      <c r="AL320" t="e">
        <f>IF(#REF!,"AAAAADm+2yU=",0)</f>
        <v>#REF!</v>
      </c>
      <c r="AM320" t="e">
        <f>IF(#REF!,"AAAAADm+2yY=",0)</f>
        <v>#REF!</v>
      </c>
      <c r="AN320" t="e">
        <f>IF(#REF!,"AAAAADm+2yc=",0)</f>
        <v>#REF!</v>
      </c>
      <c r="AO320" t="e">
        <f>IF(#REF!,"AAAAADm+2yg=",0)</f>
        <v>#REF!</v>
      </c>
      <c r="AP320" t="e">
        <f>IF(#REF!,"AAAAADm+2yk=",0)</f>
        <v>#REF!</v>
      </c>
      <c r="AQ320" t="e">
        <f>IF(#REF!,"AAAAADm+2yo=",0)</f>
        <v>#REF!</v>
      </c>
      <c r="AR320" t="e">
        <f>IF(#REF!,"AAAAADm+2ys=",0)</f>
        <v>#REF!</v>
      </c>
      <c r="AS320" t="e">
        <f>IF(#REF!,"AAAAADm+2yw=",0)</f>
        <v>#REF!</v>
      </c>
      <c r="AT320" t="e">
        <f>IF(#REF!,"AAAAADm+2y0=",0)</f>
        <v>#REF!</v>
      </c>
      <c r="AU320" t="e">
        <f>IF(#REF!,"AAAAADm+2y4=",0)</f>
        <v>#REF!</v>
      </c>
      <c r="AV320" t="e">
        <f>IF(#REF!,"AAAAADm+2y8=",0)</f>
        <v>#REF!</v>
      </c>
      <c r="AW320" t="e">
        <f>IF(#REF!,"AAAAADm+2zA=",0)</f>
        <v>#REF!</v>
      </c>
      <c r="AX320" t="e">
        <f>IF(#REF!,"AAAAADm+2zE=",0)</f>
        <v>#REF!</v>
      </c>
      <c r="AY320" t="e">
        <f>IF(#REF!,"AAAAADm+2zI=",0)</f>
        <v>#REF!</v>
      </c>
      <c r="AZ320" t="e">
        <f>IF(#REF!,"AAAAADm+2zM=",0)</f>
        <v>#REF!</v>
      </c>
      <c r="BA320" t="e">
        <f>IF(#REF!,"AAAAADm+2zQ=",0)</f>
        <v>#REF!</v>
      </c>
      <c r="BB320" t="e">
        <f>IF(#REF!,"AAAAADm+2zU=",0)</f>
        <v>#REF!</v>
      </c>
      <c r="BC320" t="e">
        <f>IF(#REF!,"AAAAADm+2zY=",0)</f>
        <v>#REF!</v>
      </c>
      <c r="BD320" t="e">
        <f>IF(#REF!,"AAAAADm+2zc=",0)</f>
        <v>#REF!</v>
      </c>
      <c r="BE320" t="e">
        <f>IF(#REF!,"AAAAADm+2zg=",0)</f>
        <v>#REF!</v>
      </c>
      <c r="BF320" t="e">
        <f>IF(#REF!,"AAAAADm+2zk=",0)</f>
        <v>#REF!</v>
      </c>
      <c r="BG320" t="e">
        <f>IF(#REF!,"AAAAADm+2zo=",0)</f>
        <v>#REF!</v>
      </c>
      <c r="BH320" t="e">
        <f>IF(#REF!,"AAAAADm+2zs=",0)</f>
        <v>#REF!</v>
      </c>
      <c r="BI320" t="e">
        <f>IF(#REF!,"AAAAADm+2zw=",0)</f>
        <v>#REF!</v>
      </c>
      <c r="BJ320" t="e">
        <f>IF(#REF!,"AAAAADm+2z0=",0)</f>
        <v>#REF!</v>
      </c>
      <c r="BK320" t="e">
        <f>IF(#REF!,"AAAAADm+2z4=",0)</f>
        <v>#REF!</v>
      </c>
      <c r="BL320" t="e">
        <f>IF(#REF!,"AAAAADm+2z8=",0)</f>
        <v>#REF!</v>
      </c>
      <c r="BM320" t="e">
        <f>IF(#REF!,"AAAAADm+20A=",0)</f>
        <v>#REF!</v>
      </c>
      <c r="BN320" t="e">
        <f>IF(#REF!,"AAAAADm+20E=",0)</f>
        <v>#REF!</v>
      </c>
      <c r="BO320" t="e">
        <f>IF(#REF!,"AAAAADm+20I=",0)</f>
        <v>#REF!</v>
      </c>
      <c r="BP320" t="e">
        <f>IF(#REF!,"AAAAADm+20M=",0)</f>
        <v>#REF!</v>
      </c>
      <c r="BQ320" t="e">
        <f>IF(#REF!,"AAAAADm+20Q=",0)</f>
        <v>#REF!</v>
      </c>
      <c r="BR320" t="e">
        <f>IF(#REF!,"AAAAADm+20U=",0)</f>
        <v>#REF!</v>
      </c>
      <c r="BS320" t="e">
        <f>IF(#REF!,"AAAAADm+20Y=",0)</f>
        <v>#REF!</v>
      </c>
      <c r="BT320" t="e">
        <f>IF(#REF!,"AAAAADm+20c=",0)</f>
        <v>#REF!</v>
      </c>
      <c r="BU320" t="e">
        <f>IF(#REF!,"AAAAADm+20g=",0)</f>
        <v>#REF!</v>
      </c>
      <c r="BV320" t="e">
        <f>IF(#REF!,"AAAAADm+20k=",0)</f>
        <v>#REF!</v>
      </c>
      <c r="BW320" t="e">
        <f>IF(#REF!,"AAAAADm+20o=",0)</f>
        <v>#REF!</v>
      </c>
      <c r="BX320" t="e">
        <f>IF(#REF!,"AAAAADm+20s=",0)</f>
        <v>#REF!</v>
      </c>
      <c r="BY320" t="e">
        <f>IF(#REF!,"AAAAADm+20w=",0)</f>
        <v>#REF!</v>
      </c>
      <c r="BZ320" t="e">
        <f>IF(#REF!,"AAAAADm+200=",0)</f>
        <v>#REF!</v>
      </c>
      <c r="CA320" t="e">
        <f>IF(#REF!,"AAAAADm+204=",0)</f>
        <v>#REF!</v>
      </c>
      <c r="CB320" t="e">
        <f>IF(#REF!,"AAAAADm+208=",0)</f>
        <v>#REF!</v>
      </c>
      <c r="CC320" t="e">
        <f>IF(#REF!,"AAAAADm+21A=",0)</f>
        <v>#REF!</v>
      </c>
      <c r="CD320" t="e">
        <f>IF(#REF!,"AAAAADm+21E=",0)</f>
        <v>#REF!</v>
      </c>
      <c r="CE320" t="e">
        <f>IF(#REF!,"AAAAADm+21I=",0)</f>
        <v>#REF!</v>
      </c>
      <c r="CF320" t="e">
        <f>IF(#REF!,"AAAAADm+21M=",0)</f>
        <v>#REF!</v>
      </c>
      <c r="CG320" t="e">
        <f>IF(#REF!,"AAAAADm+21Q=",0)</f>
        <v>#REF!</v>
      </c>
      <c r="CH320" t="e">
        <f>IF(#REF!,"AAAAADm+21U=",0)</f>
        <v>#REF!</v>
      </c>
      <c r="CI320" t="e">
        <f>IF(#REF!,"AAAAADm+21Y=",0)</f>
        <v>#REF!</v>
      </c>
      <c r="CJ320" t="e">
        <f>IF(#REF!,"AAAAADm+21c=",0)</f>
        <v>#REF!</v>
      </c>
      <c r="CK320" t="e">
        <f>IF(#REF!,"AAAAADm+21g=",0)</f>
        <v>#REF!</v>
      </c>
      <c r="CL320" t="e">
        <f>IF(#REF!,"AAAAADm+21k=",0)</f>
        <v>#REF!</v>
      </c>
      <c r="CM320" t="e">
        <f>IF(#REF!,"AAAAADm+21o=",0)</f>
        <v>#REF!</v>
      </c>
      <c r="CN320" t="e">
        <f>IF(#REF!,"AAAAADm+21s=",0)</f>
        <v>#REF!</v>
      </c>
      <c r="CO320" t="e">
        <f>IF(#REF!,"AAAAADm+21w=",0)</f>
        <v>#REF!</v>
      </c>
      <c r="CP320" t="e">
        <f>IF(#REF!,"AAAAADm+210=",0)</f>
        <v>#REF!</v>
      </c>
      <c r="CQ320" t="e">
        <f>IF(#REF!,"AAAAADm+214=",0)</f>
        <v>#REF!</v>
      </c>
      <c r="CR320" t="e">
        <f>IF(#REF!,"AAAAADm+218=",0)</f>
        <v>#REF!</v>
      </c>
      <c r="CS320" t="e">
        <f>IF(#REF!,"AAAAADm+22A=",0)</f>
        <v>#REF!</v>
      </c>
      <c r="CT320" t="e">
        <f>IF(#REF!,"AAAAADm+22E=",0)</f>
        <v>#REF!</v>
      </c>
      <c r="CU320" t="e">
        <f>IF(#REF!,"AAAAADm+22I=",0)</f>
        <v>#REF!</v>
      </c>
      <c r="CV320" t="e">
        <f>IF(#REF!,"AAAAADm+22M=",0)</f>
        <v>#REF!</v>
      </c>
      <c r="CW320" t="e">
        <f>IF(#REF!,"AAAAADm+22Q=",0)</f>
        <v>#REF!</v>
      </c>
      <c r="CX320" t="e">
        <f>IF(#REF!,"AAAAADm+22U=",0)</f>
        <v>#REF!</v>
      </c>
      <c r="CY320" t="e">
        <f>IF(#REF!,"AAAAADm+22Y=",0)</f>
        <v>#REF!</v>
      </c>
      <c r="CZ320" t="e">
        <f>IF(#REF!,"AAAAADm+22c=",0)</f>
        <v>#REF!</v>
      </c>
      <c r="DA320" t="e">
        <f>IF(#REF!,"AAAAADm+22g=",0)</f>
        <v>#REF!</v>
      </c>
      <c r="DB320" t="e">
        <f>IF(#REF!,"AAAAADm+22k=",0)</f>
        <v>#REF!</v>
      </c>
      <c r="DC320" t="e">
        <f>IF(#REF!,"AAAAADm+22o=",0)</f>
        <v>#REF!</v>
      </c>
      <c r="DD320" t="e">
        <f>IF(#REF!,"AAAAADm+22s=",0)</f>
        <v>#REF!</v>
      </c>
      <c r="DE320" t="e">
        <f>IF(#REF!,"AAAAADm+22w=",0)</f>
        <v>#REF!</v>
      </c>
      <c r="DF320" t="e">
        <f>IF(#REF!,"AAAAADm+220=",0)</f>
        <v>#REF!</v>
      </c>
      <c r="DG320" t="e">
        <f>IF(#REF!,"AAAAADm+224=",0)</f>
        <v>#REF!</v>
      </c>
      <c r="DH320" t="e">
        <f>IF(#REF!,"AAAAADm+228=",0)</f>
        <v>#REF!</v>
      </c>
      <c r="DI320" t="e">
        <f>IF(#REF!,"AAAAADm+23A=",0)</f>
        <v>#REF!</v>
      </c>
      <c r="DJ320" t="e">
        <f>IF(#REF!,"AAAAADm+23E=",0)</f>
        <v>#REF!</v>
      </c>
      <c r="DK320" t="e">
        <f>IF(#REF!,"AAAAADm+23I=",0)</f>
        <v>#REF!</v>
      </c>
      <c r="DL320" t="e">
        <f>IF(#REF!,"AAAAADm+23M=",0)</f>
        <v>#REF!</v>
      </c>
      <c r="DM320" t="e">
        <f>IF(#REF!,"AAAAADm+23Q=",0)</f>
        <v>#REF!</v>
      </c>
      <c r="DN320" t="e">
        <f>IF(#REF!,"AAAAADm+23U=",0)</f>
        <v>#REF!</v>
      </c>
      <c r="DO320" t="e">
        <f>IF(#REF!,"AAAAADm+23Y=",0)</f>
        <v>#REF!</v>
      </c>
      <c r="DP320" t="e">
        <f>IF(#REF!,"AAAAADm+23c=",0)</f>
        <v>#REF!</v>
      </c>
      <c r="DQ320" t="e">
        <f>IF(#REF!,"AAAAADm+23g=",0)</f>
        <v>#REF!</v>
      </c>
      <c r="DR320" t="e">
        <f>IF(#REF!,"AAAAADm+23k=",0)</f>
        <v>#REF!</v>
      </c>
      <c r="DS320" t="e">
        <f>IF(#REF!,"AAAAADm+23o=",0)</f>
        <v>#REF!</v>
      </c>
      <c r="DT320" t="e">
        <f>IF(#REF!,"AAAAADm+23s=",0)</f>
        <v>#REF!</v>
      </c>
      <c r="DU320" t="e">
        <f>IF(#REF!,"AAAAADm+23w=",0)</f>
        <v>#REF!</v>
      </c>
      <c r="DV320" t="e">
        <f>IF(#REF!,"AAAAADm+230=",0)</f>
        <v>#REF!</v>
      </c>
      <c r="DW320" t="e">
        <f>IF(#REF!,"AAAAADm+234=",0)</f>
        <v>#REF!</v>
      </c>
      <c r="DX320" t="e">
        <f>IF(#REF!,"AAAAADm+238=",0)</f>
        <v>#REF!</v>
      </c>
      <c r="DY320" t="e">
        <f>IF(#REF!,"AAAAADm+24A=",0)</f>
        <v>#REF!</v>
      </c>
      <c r="DZ320" t="e">
        <f>IF(#REF!,"AAAAADm+24E=",0)</f>
        <v>#REF!</v>
      </c>
      <c r="EA320" t="e">
        <f>IF(#REF!,"AAAAADm+24I=",0)</f>
        <v>#REF!</v>
      </c>
      <c r="EB320" t="e">
        <f>IF(#REF!,"AAAAADm+24M=",0)</f>
        <v>#REF!</v>
      </c>
      <c r="EC320" t="e">
        <f>IF(#REF!,"AAAAADm+24Q=",0)</f>
        <v>#REF!</v>
      </c>
      <c r="ED320" t="e">
        <f>IF(#REF!,"AAAAADm+24U=",0)</f>
        <v>#REF!</v>
      </c>
      <c r="EE320" t="e">
        <f>IF(#REF!,"AAAAADm+24Y=",0)</f>
        <v>#REF!</v>
      </c>
      <c r="EF320" t="e">
        <f>IF(#REF!,"AAAAADm+24c=",0)</f>
        <v>#REF!</v>
      </c>
      <c r="EG320" t="e">
        <f>IF(#REF!,"AAAAADm+24g=",0)</f>
        <v>#REF!</v>
      </c>
      <c r="EH320" t="e">
        <f>IF(#REF!,"AAAAADm+24k=",0)</f>
        <v>#REF!</v>
      </c>
      <c r="EI320" t="e">
        <f>IF(#REF!,"AAAAADm+24o=",0)</f>
        <v>#REF!</v>
      </c>
      <c r="EJ320" t="e">
        <f>IF(#REF!,"AAAAADm+24s=",0)</f>
        <v>#REF!</v>
      </c>
      <c r="EK320" t="e">
        <f>IF(#REF!,"AAAAADm+24w=",0)</f>
        <v>#REF!</v>
      </c>
      <c r="EL320" t="e">
        <f>IF(#REF!,"AAAAADm+240=",0)</f>
        <v>#REF!</v>
      </c>
      <c r="EM320" t="e">
        <f>IF(#REF!,"AAAAADm+244=",0)</f>
        <v>#REF!</v>
      </c>
      <c r="EN320" t="e">
        <f>IF(#REF!,"AAAAADm+248=",0)</f>
        <v>#REF!</v>
      </c>
      <c r="EO320" t="e">
        <f>IF(#REF!,"AAAAADm+25A=",0)</f>
        <v>#REF!</v>
      </c>
      <c r="EP320" t="e">
        <f>IF(#REF!,"AAAAADm+25E=",0)</f>
        <v>#REF!</v>
      </c>
      <c r="EQ320" t="e">
        <f>IF(#REF!,"AAAAADm+25I=",0)</f>
        <v>#REF!</v>
      </c>
      <c r="ER320" t="e">
        <f>IF(#REF!,"AAAAADm+25M=",0)</f>
        <v>#REF!</v>
      </c>
      <c r="ES320" t="e">
        <f>IF(#REF!,"AAAAADm+25Q=",0)</f>
        <v>#REF!</v>
      </c>
      <c r="ET320" t="e">
        <f>IF(#REF!,"AAAAADm+25U=",0)</f>
        <v>#REF!</v>
      </c>
      <c r="EU320" t="e">
        <f>IF(#REF!,"AAAAADm+25Y=",0)</f>
        <v>#REF!</v>
      </c>
      <c r="EV320" t="e">
        <f>IF(#REF!,"AAAAADm+25c=",0)</f>
        <v>#REF!</v>
      </c>
      <c r="EW320" t="e">
        <f>IF(#REF!,"AAAAADm+25g=",0)</f>
        <v>#REF!</v>
      </c>
      <c r="EX320" t="e">
        <f>IF(#REF!,"AAAAADm+25k=",0)</f>
        <v>#REF!</v>
      </c>
      <c r="EY320" t="e">
        <f>IF(#REF!,"AAAAADm+25o=",0)</f>
        <v>#REF!</v>
      </c>
      <c r="EZ320" t="e">
        <f>IF(#REF!,"AAAAADm+25s=",0)</f>
        <v>#REF!</v>
      </c>
      <c r="FA320" t="e">
        <f>IF(#REF!,"AAAAADm+25w=",0)</f>
        <v>#REF!</v>
      </c>
      <c r="FB320" t="e">
        <f>IF(#REF!,"AAAAADm+250=",0)</f>
        <v>#REF!</v>
      </c>
      <c r="FC320" t="e">
        <f>IF(#REF!,"AAAAADm+254=",0)</f>
        <v>#REF!</v>
      </c>
      <c r="FD320" t="e">
        <f>IF(#REF!,"AAAAADm+258=",0)</f>
        <v>#REF!</v>
      </c>
      <c r="FE320" t="e">
        <f>IF(#REF!,"AAAAADm+26A=",0)</f>
        <v>#REF!</v>
      </c>
      <c r="FF320" t="e">
        <f>IF(#REF!,"AAAAADm+26E=",0)</f>
        <v>#REF!</v>
      </c>
      <c r="FG320" t="e">
        <f>IF(#REF!,"AAAAADm+26I=",0)</f>
        <v>#REF!</v>
      </c>
      <c r="FH320" t="e">
        <f>IF(#REF!,"AAAAADm+26M=",0)</f>
        <v>#REF!</v>
      </c>
      <c r="FI320" t="e">
        <f>IF(#REF!,"AAAAADm+26Q=",0)</f>
        <v>#REF!</v>
      </c>
      <c r="FJ320" t="e">
        <f>IF(#REF!,"AAAAADm+26U=",0)</f>
        <v>#REF!</v>
      </c>
      <c r="FK320" t="e">
        <f>IF(#REF!,"AAAAADm+26Y=",0)</f>
        <v>#REF!</v>
      </c>
      <c r="FL320" t="e">
        <f>IF(#REF!,"AAAAADm+26c=",0)</f>
        <v>#REF!</v>
      </c>
      <c r="FM320" t="e">
        <f>IF(#REF!,"AAAAADm+26g=",0)</f>
        <v>#REF!</v>
      </c>
      <c r="FN320" t="e">
        <f>IF(#REF!,"AAAAADm+26k=",0)</f>
        <v>#REF!</v>
      </c>
      <c r="FO320" t="e">
        <f>IF(#REF!,"AAAAADm+26o=",0)</f>
        <v>#REF!</v>
      </c>
      <c r="FP320" t="e">
        <f>IF(#REF!,"AAAAADm+26s=",0)</f>
        <v>#REF!</v>
      </c>
      <c r="FQ320" t="e">
        <f>IF(#REF!,"AAAAADm+26w=",0)</f>
        <v>#REF!</v>
      </c>
      <c r="FR320" t="e">
        <f>IF(#REF!,"AAAAADm+260=",0)</f>
        <v>#REF!</v>
      </c>
      <c r="FS320" t="e">
        <f>IF(#REF!,"AAAAADm+264=",0)</f>
        <v>#REF!</v>
      </c>
      <c r="FT320" t="e">
        <f>IF(#REF!,"AAAAADm+268=",0)</f>
        <v>#REF!</v>
      </c>
      <c r="FU320" t="e">
        <f>IF(#REF!,"AAAAADm+27A=",0)</f>
        <v>#REF!</v>
      </c>
      <c r="FV320" t="e">
        <f>IF(#REF!,"AAAAADm+27E=",0)</f>
        <v>#REF!</v>
      </c>
      <c r="FW320" t="e">
        <f>IF(#REF!,"AAAAADm+27I=",0)</f>
        <v>#REF!</v>
      </c>
      <c r="FX320" t="e">
        <f>IF(#REF!,"AAAAADm+27M=",0)</f>
        <v>#REF!</v>
      </c>
      <c r="FY320" t="e">
        <f>IF(#REF!,"AAAAADm+27Q=",0)</f>
        <v>#REF!</v>
      </c>
      <c r="FZ320" t="e">
        <f>IF(#REF!,"AAAAADm+27U=",0)</f>
        <v>#REF!</v>
      </c>
      <c r="GA320" t="e">
        <f>IF(#REF!,"AAAAADm+27Y=",0)</f>
        <v>#REF!</v>
      </c>
      <c r="GB320" t="e">
        <f>IF(#REF!,"AAAAADm+27c=",0)</f>
        <v>#REF!</v>
      </c>
      <c r="GC320" t="e">
        <f>IF(#REF!,"AAAAADm+27g=",0)</f>
        <v>#REF!</v>
      </c>
      <c r="GD320" t="e">
        <f>IF(#REF!,"AAAAADm+27k=",0)</f>
        <v>#REF!</v>
      </c>
      <c r="GE320" t="e">
        <f>IF(#REF!,"AAAAADm+27o=",0)</f>
        <v>#REF!</v>
      </c>
      <c r="GF320" t="e">
        <f>IF(#REF!,"AAAAADm+27s=",0)</f>
        <v>#REF!</v>
      </c>
      <c r="GG320" t="e">
        <f>IF(#REF!,"AAAAADm+27w=",0)</f>
        <v>#REF!</v>
      </c>
      <c r="GH320" t="e">
        <f>IF(#REF!,"AAAAADm+270=",0)</f>
        <v>#REF!</v>
      </c>
      <c r="GI320" t="e">
        <f>IF(#REF!,"AAAAADm+274=",0)</f>
        <v>#REF!</v>
      </c>
      <c r="GJ320" t="e">
        <f>IF(#REF!,"AAAAADm+278=",0)</f>
        <v>#REF!</v>
      </c>
      <c r="GK320" t="e">
        <f>IF(#REF!,"AAAAADm+28A=",0)</f>
        <v>#REF!</v>
      </c>
      <c r="GL320" t="e">
        <f>IF(#REF!,"AAAAADm+28E=",0)</f>
        <v>#REF!</v>
      </c>
      <c r="GM320" t="e">
        <f>IF(#REF!,"AAAAADm+28I=",0)</f>
        <v>#REF!</v>
      </c>
      <c r="GN320" t="e">
        <f>IF(#REF!,"AAAAADm+28M=",0)</f>
        <v>#REF!</v>
      </c>
      <c r="GO320" t="e">
        <f>IF(#REF!,"AAAAADm+28Q=",0)</f>
        <v>#REF!</v>
      </c>
      <c r="GP320" t="e">
        <f>IF(#REF!,"AAAAADm+28U=",0)</f>
        <v>#REF!</v>
      </c>
      <c r="GQ320" t="e">
        <f>IF(#REF!,"AAAAADm+28Y=",0)</f>
        <v>#REF!</v>
      </c>
      <c r="GR320" t="e">
        <f>IF(#REF!,"AAAAADm+28c=",0)</f>
        <v>#REF!</v>
      </c>
      <c r="GS320" t="e">
        <f>IF(#REF!,"AAAAADm+28g=",0)</f>
        <v>#REF!</v>
      </c>
      <c r="GT320" t="e">
        <f>IF(#REF!,"AAAAADm+28k=",0)</f>
        <v>#REF!</v>
      </c>
      <c r="GU320" t="e">
        <f>IF(#REF!,"AAAAADm+28o=",0)</f>
        <v>#REF!</v>
      </c>
      <c r="GV320" t="e">
        <f>IF(#REF!,"AAAAADm+28s=",0)</f>
        <v>#REF!</v>
      </c>
      <c r="GW320" t="e">
        <f>IF(#REF!,"AAAAADm+28w=",0)</f>
        <v>#REF!</v>
      </c>
      <c r="GX320" t="e">
        <f>IF(#REF!,"AAAAADm+280=",0)</f>
        <v>#REF!</v>
      </c>
      <c r="GY320" t="e">
        <f>IF(#REF!,"AAAAADm+284=",0)</f>
        <v>#REF!</v>
      </c>
      <c r="GZ320" t="e">
        <f>IF(#REF!,"AAAAADm+288=",0)</f>
        <v>#REF!</v>
      </c>
      <c r="HA320" t="e">
        <f>IF(#REF!,"AAAAADm+29A=",0)</f>
        <v>#REF!</v>
      </c>
      <c r="HB320" t="e">
        <f>IF(#REF!,"AAAAADm+29E=",0)</f>
        <v>#REF!</v>
      </c>
      <c r="HC320" t="e">
        <f>IF(#REF!,"AAAAADm+29I=",0)</f>
        <v>#REF!</v>
      </c>
      <c r="HD320" t="e">
        <f>IF(#REF!,"AAAAADm+29M=",0)</f>
        <v>#REF!</v>
      </c>
      <c r="HE320" t="e">
        <f>IF(#REF!,"AAAAADm+29Q=",0)</f>
        <v>#REF!</v>
      </c>
      <c r="HF320" t="e">
        <f>IF(#REF!,"AAAAADm+29U=",0)</f>
        <v>#REF!</v>
      </c>
      <c r="HG320" t="e">
        <f>IF(#REF!,"AAAAADm+29Y=",0)</f>
        <v>#REF!</v>
      </c>
      <c r="HH320" t="e">
        <f>IF(#REF!,"AAAAADm+29c=",0)</f>
        <v>#REF!</v>
      </c>
      <c r="HI320" t="e">
        <f>IF(#REF!,"AAAAADm+29g=",0)</f>
        <v>#REF!</v>
      </c>
      <c r="HJ320" t="e">
        <f>IF(#REF!,"AAAAADm+29k=",0)</f>
        <v>#REF!</v>
      </c>
      <c r="HK320" t="e">
        <f>IF(#REF!,"AAAAADm+29o=",0)</f>
        <v>#REF!</v>
      </c>
      <c r="HL320" t="e">
        <f>IF(#REF!,"AAAAADm+29s=",0)</f>
        <v>#REF!</v>
      </c>
      <c r="HM320" t="e">
        <f>IF(#REF!,"AAAAADm+29w=",0)</f>
        <v>#REF!</v>
      </c>
      <c r="HN320" t="e">
        <f>IF(#REF!,"AAAAADm+290=",0)</f>
        <v>#REF!</v>
      </c>
      <c r="HO320" t="e">
        <f>IF(#REF!,"AAAAADm+294=",0)</f>
        <v>#REF!</v>
      </c>
      <c r="HP320" t="e">
        <f>IF(#REF!,"AAAAADm+298=",0)</f>
        <v>#REF!</v>
      </c>
      <c r="HQ320" t="e">
        <f>IF(#REF!,"AAAAADm+2+A=",0)</f>
        <v>#REF!</v>
      </c>
      <c r="HR320" t="e">
        <f>IF(#REF!,"AAAAADm+2+E=",0)</f>
        <v>#REF!</v>
      </c>
      <c r="HS320" t="e">
        <f>IF(#REF!,"AAAAADm+2+I=",0)</f>
        <v>#REF!</v>
      </c>
      <c r="HT320" t="e">
        <f>IF(#REF!,"AAAAADm+2+M=",0)</f>
        <v>#REF!</v>
      </c>
      <c r="HU320" t="e">
        <f>IF(#REF!,"AAAAADm+2+Q=",0)</f>
        <v>#REF!</v>
      </c>
      <c r="HV320" t="e">
        <f>IF(#REF!,"AAAAADm+2+U=",0)</f>
        <v>#REF!</v>
      </c>
      <c r="HW320" t="e">
        <f>IF(#REF!,"AAAAADm+2+Y=",0)</f>
        <v>#REF!</v>
      </c>
      <c r="HX320" t="e">
        <f>IF(#REF!,"AAAAADm+2+c=",0)</f>
        <v>#REF!</v>
      </c>
      <c r="HY320" t="e">
        <f>IF(#REF!,"AAAAADm+2+g=",0)</f>
        <v>#REF!</v>
      </c>
      <c r="HZ320" t="e">
        <f>IF(#REF!,"AAAAADm+2+k=",0)</f>
        <v>#REF!</v>
      </c>
      <c r="IA320" t="e">
        <f>IF(#REF!,"AAAAADm+2+o=",0)</f>
        <v>#REF!</v>
      </c>
      <c r="IB320" t="e">
        <f>IF(#REF!,"AAAAADm+2+s=",0)</f>
        <v>#REF!</v>
      </c>
      <c r="IC320" t="e">
        <f>IF(#REF!,"AAAAADm+2+w=",0)</f>
        <v>#REF!</v>
      </c>
      <c r="ID320" t="e">
        <f>IF(#REF!,"AAAAADm+2+0=",0)</f>
        <v>#REF!</v>
      </c>
      <c r="IE320" t="e">
        <f>IF(#REF!,"AAAAADm+2+4=",0)</f>
        <v>#REF!</v>
      </c>
      <c r="IF320" t="e">
        <f>IF(#REF!,"AAAAADm+2+8=",0)</f>
        <v>#REF!</v>
      </c>
      <c r="IG320" t="e">
        <f>IF(#REF!,"AAAAADm+2/A=",0)</f>
        <v>#REF!</v>
      </c>
      <c r="IH320" t="e">
        <f>IF(#REF!,"AAAAADm+2/E=",0)</f>
        <v>#REF!</v>
      </c>
      <c r="II320" t="e">
        <f>IF(#REF!,"AAAAADm+2/I=",0)</f>
        <v>#REF!</v>
      </c>
      <c r="IJ320" t="e">
        <f>IF(#REF!,"AAAAADm+2/M=",0)</f>
        <v>#REF!</v>
      </c>
      <c r="IK320" t="e">
        <f>IF(#REF!,"AAAAADm+2/Q=",0)</f>
        <v>#REF!</v>
      </c>
      <c r="IL320" t="e">
        <f>IF(#REF!,"AAAAADm+2/U=",0)</f>
        <v>#REF!</v>
      </c>
      <c r="IM320" t="e">
        <f>IF(#REF!,"AAAAADm+2/Y=",0)</f>
        <v>#REF!</v>
      </c>
      <c r="IN320" t="e">
        <f>IF(#REF!,"AAAAADm+2/c=",0)</f>
        <v>#REF!</v>
      </c>
      <c r="IO320" t="e">
        <f>IF(#REF!,"AAAAADm+2/g=",0)</f>
        <v>#REF!</v>
      </c>
      <c r="IP320" t="e">
        <f>IF(#REF!,"AAAAADm+2/k=",0)</f>
        <v>#REF!</v>
      </c>
      <c r="IQ320" t="e">
        <f>IF(#REF!,"AAAAADm+2/o=",0)</f>
        <v>#REF!</v>
      </c>
      <c r="IR320" t="e">
        <f>IF(#REF!,"AAAAADm+2/s=",0)</f>
        <v>#REF!</v>
      </c>
      <c r="IS320" t="e">
        <f>IF(#REF!,"AAAAADm+2/w=",0)</f>
        <v>#REF!</v>
      </c>
      <c r="IT320" t="e">
        <f>IF(#REF!,"AAAAADm+2/0=",0)</f>
        <v>#REF!</v>
      </c>
      <c r="IU320" t="e">
        <f>IF(#REF!,"AAAAADm+2/4=",0)</f>
        <v>#REF!</v>
      </c>
      <c r="IV320" t="e">
        <f>IF(#REF!,"AAAAADm+2/8=",0)</f>
        <v>#REF!</v>
      </c>
    </row>
    <row r="321" spans="1:256">
      <c r="A321" t="e">
        <f>IF(#REF!,"AAAAAH2/7wA=",0)</f>
        <v>#REF!</v>
      </c>
      <c r="B321" t="e">
        <f>IF(#REF!,"AAAAAH2/7wE=",0)</f>
        <v>#REF!</v>
      </c>
      <c r="C321" t="e">
        <f>IF(#REF!,"AAAAAH2/7wI=",0)</f>
        <v>#REF!</v>
      </c>
      <c r="D321" t="e">
        <f>IF(#REF!,"AAAAAH2/7wM=",0)</f>
        <v>#REF!</v>
      </c>
      <c r="E321" t="e">
        <f>IF(#REF!,"AAAAAH2/7wQ=",0)</f>
        <v>#REF!</v>
      </c>
      <c r="F321" t="e">
        <f>IF(#REF!,"AAAAAH2/7wU=",0)</f>
        <v>#REF!</v>
      </c>
      <c r="G321" t="e">
        <f>IF(#REF!,"AAAAAH2/7wY=",0)</f>
        <v>#REF!</v>
      </c>
      <c r="H321" t="e">
        <f>IF(#REF!,"AAAAAH2/7wc=",0)</f>
        <v>#REF!</v>
      </c>
      <c r="I321" t="e">
        <f>IF(#REF!,"AAAAAH2/7wg=",0)</f>
        <v>#REF!</v>
      </c>
      <c r="J321" t="e">
        <f>IF(#REF!,"AAAAAH2/7wk=",0)</f>
        <v>#REF!</v>
      </c>
      <c r="K321" t="e">
        <f>IF(#REF!,"AAAAAH2/7wo=",0)</f>
        <v>#REF!</v>
      </c>
      <c r="L321" t="e">
        <f>IF(#REF!,"AAAAAH2/7ws=",0)</f>
        <v>#REF!</v>
      </c>
      <c r="M321" t="e">
        <f>IF(#REF!,"AAAAAH2/7ww=",0)</f>
        <v>#REF!</v>
      </c>
      <c r="N321" t="e">
        <f>IF(#REF!,"AAAAAH2/7w0=",0)</f>
        <v>#REF!</v>
      </c>
      <c r="O321" t="e">
        <f>IF(#REF!,"AAAAAH2/7w4=",0)</f>
        <v>#REF!</v>
      </c>
      <c r="P321" t="e">
        <f>IF(#REF!,"AAAAAH2/7w8=",0)</f>
        <v>#REF!</v>
      </c>
      <c r="Q321" t="e">
        <f>IF(#REF!,"AAAAAH2/7xA=",0)</f>
        <v>#REF!</v>
      </c>
      <c r="R321" t="e">
        <f>IF(#REF!,"AAAAAH2/7xE=",0)</f>
        <v>#REF!</v>
      </c>
      <c r="S321" t="e">
        <f>IF(#REF!,"AAAAAH2/7xI=",0)</f>
        <v>#REF!</v>
      </c>
      <c r="T321" t="e">
        <f>IF(#REF!,"AAAAAH2/7xM=",0)</f>
        <v>#REF!</v>
      </c>
      <c r="U321" t="e">
        <f>IF(#REF!,"AAAAAH2/7xQ=",0)</f>
        <v>#REF!</v>
      </c>
      <c r="V321" t="e">
        <f>IF(#REF!,"AAAAAH2/7xU=",0)</f>
        <v>#REF!</v>
      </c>
      <c r="W321" t="e">
        <f>IF(#REF!,"AAAAAH2/7xY=",0)</f>
        <v>#REF!</v>
      </c>
      <c r="X321" t="e">
        <f>IF(#REF!,"AAAAAH2/7xc=",0)</f>
        <v>#REF!</v>
      </c>
      <c r="Y321" t="e">
        <f>IF(#REF!,"AAAAAH2/7xg=",0)</f>
        <v>#REF!</v>
      </c>
      <c r="Z321" t="e">
        <f>IF(#REF!,"AAAAAH2/7xk=",0)</f>
        <v>#REF!</v>
      </c>
      <c r="AA321" t="e">
        <f>IF(#REF!,"AAAAAH2/7xo=",0)</f>
        <v>#REF!</v>
      </c>
      <c r="AB321" t="e">
        <f>IF(#REF!,"AAAAAH2/7xs=",0)</f>
        <v>#REF!</v>
      </c>
      <c r="AC321" t="e">
        <f>IF(#REF!,"AAAAAH2/7xw=",0)</f>
        <v>#REF!</v>
      </c>
      <c r="AD321" t="e">
        <f>IF(#REF!,"AAAAAH2/7x0=",0)</f>
        <v>#REF!</v>
      </c>
      <c r="AE321" t="e">
        <f>IF(#REF!,"AAAAAH2/7x4=",0)</f>
        <v>#REF!</v>
      </c>
      <c r="AF321" t="e">
        <f>IF(#REF!,"AAAAAH2/7x8=",0)</f>
        <v>#REF!</v>
      </c>
      <c r="AG321" t="e">
        <f>IF(#REF!,"AAAAAH2/7yA=",0)</f>
        <v>#REF!</v>
      </c>
      <c r="AH321" t="e">
        <f>IF(#REF!,"AAAAAH2/7yE=",0)</f>
        <v>#REF!</v>
      </c>
      <c r="AI321" t="e">
        <f>IF(#REF!,"AAAAAH2/7yI=",0)</f>
        <v>#REF!</v>
      </c>
      <c r="AJ321" t="e">
        <f>IF(#REF!,"AAAAAH2/7yM=",0)</f>
        <v>#REF!</v>
      </c>
      <c r="AK321" t="e">
        <f>IF(#REF!,"AAAAAH2/7yQ=",0)</f>
        <v>#REF!</v>
      </c>
      <c r="AL321" t="e">
        <f>IF(#REF!,"AAAAAH2/7yU=",0)</f>
        <v>#REF!</v>
      </c>
      <c r="AM321" t="e">
        <f>IF(#REF!,"AAAAAH2/7yY=",0)</f>
        <v>#REF!</v>
      </c>
      <c r="AN321" t="e">
        <f>IF(#REF!,"AAAAAH2/7yc=",0)</f>
        <v>#REF!</v>
      </c>
      <c r="AO321" t="e">
        <f>IF(#REF!,"AAAAAH2/7yg=",0)</f>
        <v>#REF!</v>
      </c>
      <c r="AP321" t="e">
        <f>IF(#REF!,"AAAAAH2/7yk=",0)</f>
        <v>#REF!</v>
      </c>
      <c r="AQ321" t="e">
        <f>IF(#REF!,"AAAAAH2/7yo=",0)</f>
        <v>#REF!</v>
      </c>
      <c r="AR321" t="e">
        <f>IF(#REF!,"AAAAAH2/7ys=",0)</f>
        <v>#REF!</v>
      </c>
      <c r="AS321" t="e">
        <f>IF(#REF!,"AAAAAH2/7yw=",0)</f>
        <v>#REF!</v>
      </c>
      <c r="AT321" t="e">
        <f>IF(#REF!,"AAAAAH2/7y0=",0)</f>
        <v>#REF!</v>
      </c>
      <c r="AU321" t="e">
        <f>IF(#REF!,"AAAAAH2/7y4=",0)</f>
        <v>#REF!</v>
      </c>
      <c r="AV321" t="e">
        <f>IF(#REF!,"AAAAAH2/7y8=",0)</f>
        <v>#REF!</v>
      </c>
      <c r="AW321" t="e">
        <f>IF(#REF!,"AAAAAH2/7zA=",0)</f>
        <v>#REF!</v>
      </c>
      <c r="AX321" t="e">
        <f>IF(#REF!,"AAAAAH2/7zE=",0)</f>
        <v>#REF!</v>
      </c>
      <c r="AY321" t="e">
        <f>IF(#REF!,"AAAAAH2/7zI=",0)</f>
        <v>#REF!</v>
      </c>
      <c r="AZ321" t="e">
        <f>IF(#REF!,"AAAAAH2/7zM=",0)</f>
        <v>#REF!</v>
      </c>
      <c r="BA321" t="e">
        <f>IF(#REF!,"AAAAAH2/7zQ=",0)</f>
        <v>#REF!</v>
      </c>
      <c r="BB321" t="e">
        <f>IF(#REF!,"AAAAAH2/7zU=",0)</f>
        <v>#REF!</v>
      </c>
      <c r="BC321" t="e">
        <f>IF(#REF!,"AAAAAH2/7zY=",0)</f>
        <v>#REF!</v>
      </c>
      <c r="BD321" t="e">
        <f>IF(#REF!,"AAAAAH2/7zc=",0)</f>
        <v>#REF!</v>
      </c>
      <c r="BE321" t="e">
        <f>IF(#REF!,"AAAAAH2/7zg=",0)</f>
        <v>#REF!</v>
      </c>
      <c r="BF321" t="e">
        <f>IF(#REF!,"AAAAAH2/7zk=",0)</f>
        <v>#REF!</v>
      </c>
      <c r="BG321" t="e">
        <f>IF(#REF!,"AAAAAH2/7zo=",0)</f>
        <v>#REF!</v>
      </c>
      <c r="BH321" t="e">
        <f>IF(#REF!,"AAAAAH2/7zs=",0)</f>
        <v>#REF!</v>
      </c>
      <c r="BI321" t="e">
        <f>IF(#REF!,"AAAAAH2/7zw=",0)</f>
        <v>#REF!</v>
      </c>
      <c r="BJ321" t="e">
        <f>IF(#REF!,"AAAAAH2/7z0=",0)</f>
        <v>#REF!</v>
      </c>
      <c r="BK321" t="e">
        <f>IF(#REF!,"AAAAAH2/7z4=",0)</f>
        <v>#REF!</v>
      </c>
      <c r="BL321" t="e">
        <f>IF(#REF!,"AAAAAH2/7z8=",0)</f>
        <v>#REF!</v>
      </c>
      <c r="BM321" t="e">
        <f>IF(#REF!,"AAAAAH2/70A=",0)</f>
        <v>#REF!</v>
      </c>
      <c r="BN321" t="e">
        <f>IF(#REF!,"AAAAAH2/70E=",0)</f>
        <v>#REF!</v>
      </c>
      <c r="BO321" t="e">
        <f>IF(#REF!,"AAAAAH2/70I=",0)</f>
        <v>#REF!</v>
      </c>
      <c r="BP321" t="e">
        <f>IF(#REF!,"AAAAAH2/70M=",0)</f>
        <v>#REF!</v>
      </c>
      <c r="BQ321" t="e">
        <f>IF(#REF!,"AAAAAH2/70Q=",0)</f>
        <v>#REF!</v>
      </c>
      <c r="BR321" t="e">
        <f>IF(#REF!,"AAAAAH2/70U=",0)</f>
        <v>#REF!</v>
      </c>
      <c r="BS321" t="e">
        <f>IF(#REF!,"AAAAAH2/70Y=",0)</f>
        <v>#REF!</v>
      </c>
      <c r="BT321" t="e">
        <f>IF(#REF!,"AAAAAH2/70c=",0)</f>
        <v>#REF!</v>
      </c>
      <c r="BU321" t="e">
        <f>IF(#REF!,"AAAAAH2/70g=",0)</f>
        <v>#REF!</v>
      </c>
      <c r="BV321" t="e">
        <f>IF(#REF!,"AAAAAH2/70k=",0)</f>
        <v>#REF!</v>
      </c>
      <c r="BW321" t="e">
        <f>IF(#REF!,"AAAAAH2/70o=",0)</f>
        <v>#REF!</v>
      </c>
      <c r="BX321" t="e">
        <f>IF(#REF!,"AAAAAH2/70s=",0)</f>
        <v>#REF!</v>
      </c>
      <c r="BY321" t="e">
        <f>IF(#REF!,"AAAAAH2/70w=",0)</f>
        <v>#REF!</v>
      </c>
      <c r="BZ321" t="e">
        <f>IF(#REF!,"AAAAAH2/700=",0)</f>
        <v>#REF!</v>
      </c>
      <c r="CA321" t="e">
        <f>IF(#REF!,"AAAAAH2/704=",0)</f>
        <v>#REF!</v>
      </c>
      <c r="CB321" t="e">
        <f>IF(#REF!,"AAAAAH2/708=",0)</f>
        <v>#REF!</v>
      </c>
      <c r="CC321" t="e">
        <f>IF(#REF!,"AAAAAH2/71A=",0)</f>
        <v>#REF!</v>
      </c>
      <c r="CD321" t="e">
        <f>IF(#REF!,"AAAAAH2/71E=",0)</f>
        <v>#REF!</v>
      </c>
      <c r="CE321" t="e">
        <f>IF(#REF!,"AAAAAH2/71I=",0)</f>
        <v>#REF!</v>
      </c>
      <c r="CF321" t="e">
        <f>IF(#REF!,"AAAAAH2/71M=",0)</f>
        <v>#REF!</v>
      </c>
      <c r="CG321" t="e">
        <f>IF(#REF!,"AAAAAH2/71Q=",0)</f>
        <v>#REF!</v>
      </c>
      <c r="CH321" t="e">
        <f>IF(#REF!,"AAAAAH2/71U=",0)</f>
        <v>#REF!</v>
      </c>
      <c r="CI321" t="e">
        <f>IF(#REF!,"AAAAAH2/71Y=",0)</f>
        <v>#REF!</v>
      </c>
      <c r="CJ321" t="e">
        <f>IF(#REF!,"AAAAAH2/71c=",0)</f>
        <v>#REF!</v>
      </c>
      <c r="CK321" t="e">
        <f>IF(#REF!,"AAAAAH2/71g=",0)</f>
        <v>#REF!</v>
      </c>
      <c r="CL321" t="e">
        <f>IF(#REF!,"AAAAAH2/71k=",0)</f>
        <v>#REF!</v>
      </c>
      <c r="CM321" t="e">
        <f>IF(#REF!,"AAAAAH2/71o=",0)</f>
        <v>#REF!</v>
      </c>
      <c r="CN321" t="e">
        <f>IF(#REF!,"AAAAAH2/71s=",0)</f>
        <v>#REF!</v>
      </c>
      <c r="CO321" t="e">
        <f>IF(#REF!,"AAAAAH2/71w=",0)</f>
        <v>#REF!</v>
      </c>
      <c r="CP321" t="e">
        <f>IF(#REF!,"AAAAAH2/710=",0)</f>
        <v>#REF!</v>
      </c>
      <c r="CQ321" t="e">
        <f>IF(#REF!,"AAAAAH2/714=",0)</f>
        <v>#REF!</v>
      </c>
      <c r="CR321" t="e">
        <f>IF(#REF!,"AAAAAH2/718=",0)</f>
        <v>#REF!</v>
      </c>
      <c r="CS321" t="e">
        <f>IF(#REF!,"AAAAAH2/72A=",0)</f>
        <v>#REF!</v>
      </c>
      <c r="CT321" t="e">
        <f>IF(#REF!,"AAAAAH2/72E=",0)</f>
        <v>#REF!</v>
      </c>
      <c r="CU321" t="e">
        <f>IF(#REF!,"AAAAAH2/72I=",0)</f>
        <v>#REF!</v>
      </c>
      <c r="CV321" t="e">
        <f>IF(#REF!,"AAAAAH2/72M=",0)</f>
        <v>#REF!</v>
      </c>
      <c r="CW321" t="e">
        <f>IF(#REF!,"AAAAAH2/72Q=",0)</f>
        <v>#REF!</v>
      </c>
      <c r="CX321" t="e">
        <f>IF(#REF!,"AAAAAH2/72U=",0)</f>
        <v>#REF!</v>
      </c>
      <c r="CY321" t="e">
        <f>IF(#REF!,"AAAAAH2/72Y=",0)</f>
        <v>#REF!</v>
      </c>
      <c r="CZ321" t="e">
        <f>IF(#REF!,"AAAAAH2/72c=",0)</f>
        <v>#REF!</v>
      </c>
      <c r="DA321" t="e">
        <f>IF(#REF!,"AAAAAH2/72g=",0)</f>
        <v>#REF!</v>
      </c>
      <c r="DB321" t="e">
        <f>IF(#REF!,"AAAAAH2/72k=",0)</f>
        <v>#REF!</v>
      </c>
      <c r="DC321" t="e">
        <f>IF(#REF!,"AAAAAH2/72o=",0)</f>
        <v>#REF!</v>
      </c>
      <c r="DD321" t="e">
        <f>IF(#REF!,"AAAAAH2/72s=",0)</f>
        <v>#REF!</v>
      </c>
      <c r="DE321" t="e">
        <f>IF(#REF!,"AAAAAH2/72w=",0)</f>
        <v>#REF!</v>
      </c>
      <c r="DF321" t="e">
        <f>IF(#REF!,"AAAAAH2/720=",0)</f>
        <v>#REF!</v>
      </c>
      <c r="DG321" t="e">
        <f>IF(#REF!,"AAAAAH2/724=",0)</f>
        <v>#REF!</v>
      </c>
      <c r="DH321" t="e">
        <f>IF(#REF!,"AAAAAH2/728=",0)</f>
        <v>#REF!</v>
      </c>
      <c r="DI321" t="e">
        <f>IF(#REF!,"AAAAAH2/73A=",0)</f>
        <v>#REF!</v>
      </c>
      <c r="DJ321" t="e">
        <f>IF(#REF!,"AAAAAH2/73E=",0)</f>
        <v>#REF!</v>
      </c>
      <c r="DK321" t="e">
        <f>IF(#REF!,"AAAAAH2/73I=",0)</f>
        <v>#REF!</v>
      </c>
      <c r="DL321" t="e">
        <f>IF(#REF!,"AAAAAH2/73M=",0)</f>
        <v>#REF!</v>
      </c>
      <c r="DM321" t="e">
        <f>IF(#REF!,"AAAAAH2/73Q=",0)</f>
        <v>#REF!</v>
      </c>
      <c r="DN321" t="e">
        <f>IF(#REF!,"AAAAAH2/73U=",0)</f>
        <v>#REF!</v>
      </c>
      <c r="DO321" t="e">
        <f>IF(#REF!,"AAAAAH2/73Y=",0)</f>
        <v>#REF!</v>
      </c>
      <c r="DP321" t="e">
        <f>IF(#REF!,"AAAAAH2/73c=",0)</f>
        <v>#REF!</v>
      </c>
      <c r="DQ321" t="e">
        <f>IF(#REF!,"AAAAAH2/73g=",0)</f>
        <v>#REF!</v>
      </c>
      <c r="DR321" t="e">
        <f>IF(#REF!,"AAAAAH2/73k=",0)</f>
        <v>#REF!</v>
      </c>
      <c r="DS321" t="e">
        <f>IF(#REF!,"AAAAAH2/73o=",0)</f>
        <v>#REF!</v>
      </c>
      <c r="DT321" t="e">
        <f>IF(#REF!,"AAAAAH2/73s=",0)</f>
        <v>#REF!</v>
      </c>
      <c r="DU321" t="e">
        <f>IF(#REF!,"AAAAAH2/73w=",0)</f>
        <v>#REF!</v>
      </c>
      <c r="DV321" t="e">
        <f>IF(#REF!,"AAAAAH2/730=",0)</f>
        <v>#REF!</v>
      </c>
      <c r="DW321" t="e">
        <f>IF(#REF!,"AAAAAH2/734=",0)</f>
        <v>#REF!</v>
      </c>
      <c r="DX321" t="e">
        <f>IF(#REF!,"AAAAAH2/738=",0)</f>
        <v>#REF!</v>
      </c>
      <c r="DY321" t="e">
        <f>IF(#REF!,"AAAAAH2/74A=",0)</f>
        <v>#REF!</v>
      </c>
      <c r="DZ321" t="e">
        <f>IF(#REF!,"AAAAAH2/74E=",0)</f>
        <v>#REF!</v>
      </c>
      <c r="EA321" t="e">
        <f>IF(#REF!,"AAAAAH2/74I=",0)</f>
        <v>#REF!</v>
      </c>
      <c r="EB321" t="e">
        <f>IF(#REF!,"AAAAAH2/74M=",0)</f>
        <v>#REF!</v>
      </c>
      <c r="EC321" t="e">
        <f>IF(#REF!,"AAAAAH2/74Q=",0)</f>
        <v>#REF!</v>
      </c>
      <c r="ED321" t="e">
        <f>IF(#REF!,"AAAAAH2/74U=",0)</f>
        <v>#REF!</v>
      </c>
      <c r="EE321" t="e">
        <f>IF(#REF!,"AAAAAH2/74Y=",0)</f>
        <v>#REF!</v>
      </c>
      <c r="EF321" t="e">
        <f>IF(#REF!,"AAAAAH2/74c=",0)</f>
        <v>#REF!</v>
      </c>
      <c r="EG321" t="e">
        <f>IF(#REF!,"AAAAAH2/74g=",0)</f>
        <v>#REF!</v>
      </c>
      <c r="EH321" t="e">
        <f>IF(#REF!,"AAAAAH2/74k=",0)</f>
        <v>#REF!</v>
      </c>
      <c r="EI321" t="e">
        <f>IF(#REF!,"AAAAAH2/74o=",0)</f>
        <v>#REF!</v>
      </c>
      <c r="EJ321" t="e">
        <f>IF(#REF!,"AAAAAH2/74s=",0)</f>
        <v>#REF!</v>
      </c>
      <c r="EK321" t="e">
        <f>IF(#REF!,"AAAAAH2/74w=",0)</f>
        <v>#REF!</v>
      </c>
      <c r="EL321" t="e">
        <f>IF(#REF!,"AAAAAH2/740=",0)</f>
        <v>#REF!</v>
      </c>
      <c r="EM321" t="e">
        <f>IF(#REF!,"AAAAAH2/744=",0)</f>
        <v>#REF!</v>
      </c>
      <c r="EN321" t="e">
        <f>IF(#REF!,"AAAAAH2/748=",0)</f>
        <v>#REF!</v>
      </c>
      <c r="EO321" t="e">
        <f>IF(#REF!,"AAAAAH2/75A=",0)</f>
        <v>#REF!</v>
      </c>
      <c r="EP321" t="e">
        <f>IF(#REF!,"AAAAAH2/75E=",0)</f>
        <v>#REF!</v>
      </c>
      <c r="EQ321" t="e">
        <f>IF(#REF!,"AAAAAH2/75I=",0)</f>
        <v>#REF!</v>
      </c>
      <c r="ER321" t="e">
        <f>IF(#REF!,"AAAAAH2/75M=",0)</f>
        <v>#REF!</v>
      </c>
      <c r="ES321" t="e">
        <f>IF(#REF!,"AAAAAH2/75Q=",0)</f>
        <v>#REF!</v>
      </c>
      <c r="ET321" t="e">
        <f>IF(#REF!,"AAAAAH2/75U=",0)</f>
        <v>#REF!</v>
      </c>
      <c r="EU321" t="e">
        <f>IF(#REF!,"AAAAAH2/75Y=",0)</f>
        <v>#REF!</v>
      </c>
      <c r="EV321" t="e">
        <f>IF(#REF!,"AAAAAH2/75c=",0)</f>
        <v>#REF!</v>
      </c>
      <c r="EW321" t="e">
        <f>IF(#REF!,"AAAAAH2/75g=",0)</f>
        <v>#REF!</v>
      </c>
      <c r="EX321" t="e">
        <f>IF(#REF!,"AAAAAH2/75k=",0)</f>
        <v>#REF!</v>
      </c>
      <c r="EY321" t="e">
        <f>IF(#REF!,"AAAAAH2/75o=",0)</f>
        <v>#REF!</v>
      </c>
      <c r="EZ321" t="e">
        <f>IF(#REF!,"AAAAAH2/75s=",0)</f>
        <v>#REF!</v>
      </c>
      <c r="FA321" t="e">
        <f>IF(#REF!,"AAAAAH2/75w=",0)</f>
        <v>#REF!</v>
      </c>
      <c r="FB321" t="e">
        <f>IF(#REF!,"AAAAAH2/750=",0)</f>
        <v>#REF!</v>
      </c>
      <c r="FC321" t="e">
        <f>IF(#REF!,"AAAAAH2/754=",0)</f>
        <v>#REF!</v>
      </c>
      <c r="FD321" t="e">
        <f>IF(#REF!,"AAAAAH2/758=",0)</f>
        <v>#REF!</v>
      </c>
      <c r="FE321" t="e">
        <f>IF(#REF!,"AAAAAH2/76A=",0)</f>
        <v>#REF!</v>
      </c>
      <c r="FF321" t="e">
        <f>IF(#REF!,"AAAAAH2/76E=",0)</f>
        <v>#REF!</v>
      </c>
      <c r="FG321" t="e">
        <f>IF(#REF!,"AAAAAH2/76I=",0)</f>
        <v>#REF!</v>
      </c>
      <c r="FH321" t="e">
        <f>IF(#REF!,"AAAAAH2/76M=",0)</f>
        <v>#REF!</v>
      </c>
      <c r="FI321" t="e">
        <f>IF(#REF!,"AAAAAH2/76Q=",0)</f>
        <v>#REF!</v>
      </c>
      <c r="FJ321" t="e">
        <f>IF(#REF!,"AAAAAH2/76U=",0)</f>
        <v>#REF!</v>
      </c>
      <c r="FK321" t="e">
        <f>IF(#REF!,"AAAAAH2/76Y=",0)</f>
        <v>#REF!</v>
      </c>
      <c r="FL321" t="e">
        <f>IF(#REF!,"AAAAAH2/76c=",0)</f>
        <v>#REF!</v>
      </c>
      <c r="FM321" t="e">
        <f>IF(#REF!,"AAAAAH2/76g=",0)</f>
        <v>#REF!</v>
      </c>
      <c r="FN321" t="e">
        <f>IF(#REF!,"AAAAAH2/76k=",0)</f>
        <v>#REF!</v>
      </c>
      <c r="FO321" t="e">
        <f>IF(#REF!,"AAAAAH2/76o=",0)</f>
        <v>#REF!</v>
      </c>
      <c r="FP321" t="e">
        <f>IF(#REF!,"AAAAAH2/76s=",0)</f>
        <v>#REF!</v>
      </c>
      <c r="FQ321" t="e">
        <f>IF(#REF!,"AAAAAH2/76w=",0)</f>
        <v>#REF!</v>
      </c>
      <c r="FR321" t="e">
        <f>IF(#REF!,"AAAAAH2/760=",0)</f>
        <v>#REF!</v>
      </c>
      <c r="FS321" t="e">
        <f>IF(#REF!,"AAAAAH2/764=",0)</f>
        <v>#REF!</v>
      </c>
      <c r="FT321" t="e">
        <f>IF(#REF!,"AAAAAH2/768=",0)</f>
        <v>#REF!</v>
      </c>
      <c r="FU321" t="e">
        <f>IF(#REF!,"AAAAAH2/77A=",0)</f>
        <v>#REF!</v>
      </c>
      <c r="FV321" t="e">
        <f>IF(#REF!,"AAAAAH2/77E=",0)</f>
        <v>#REF!</v>
      </c>
      <c r="FW321" t="e">
        <f>IF(#REF!,"AAAAAH2/77I=",0)</f>
        <v>#REF!</v>
      </c>
      <c r="FX321" t="e">
        <f>IF(#REF!,"AAAAAH2/77M=",0)</f>
        <v>#REF!</v>
      </c>
      <c r="FY321" t="e">
        <f>IF(#REF!,"AAAAAH2/77Q=",0)</f>
        <v>#REF!</v>
      </c>
      <c r="FZ321" t="e">
        <f>IF(#REF!,"AAAAAH2/77U=",0)</f>
        <v>#REF!</v>
      </c>
      <c r="GA321" t="e">
        <f>IF(#REF!,"AAAAAH2/77Y=",0)</f>
        <v>#REF!</v>
      </c>
      <c r="GB321" t="e">
        <f>IF(#REF!,"AAAAAH2/77c=",0)</f>
        <v>#REF!</v>
      </c>
      <c r="GC321" t="e">
        <f>IF(#REF!,"AAAAAH2/77g=",0)</f>
        <v>#REF!</v>
      </c>
      <c r="GD321" t="e">
        <f>IF(#REF!,"AAAAAH2/77k=",0)</f>
        <v>#REF!</v>
      </c>
      <c r="GE321" t="e">
        <f>IF(#REF!,"AAAAAH2/77o=",0)</f>
        <v>#REF!</v>
      </c>
      <c r="GF321" t="e">
        <f>IF(#REF!,"AAAAAH2/77s=",0)</f>
        <v>#REF!</v>
      </c>
      <c r="GG321" t="e">
        <f>IF(#REF!,"AAAAAH2/77w=",0)</f>
        <v>#REF!</v>
      </c>
      <c r="GH321" t="e">
        <f>IF(#REF!,"AAAAAH2/770=",0)</f>
        <v>#REF!</v>
      </c>
      <c r="GI321" t="e">
        <f>IF(#REF!,"AAAAAH2/774=",0)</f>
        <v>#REF!</v>
      </c>
      <c r="GJ321" t="e">
        <f>IF(#REF!,"AAAAAH2/778=",0)</f>
        <v>#REF!</v>
      </c>
      <c r="GK321" t="e">
        <f>IF(#REF!,"AAAAAH2/78A=",0)</f>
        <v>#REF!</v>
      </c>
      <c r="GL321" t="e">
        <f>IF(#REF!,"AAAAAH2/78E=",0)</f>
        <v>#REF!</v>
      </c>
      <c r="GM321" t="e">
        <f>IF(#REF!,"AAAAAH2/78I=",0)</f>
        <v>#REF!</v>
      </c>
      <c r="GN321" t="e">
        <f>IF(#REF!,"AAAAAH2/78M=",0)</f>
        <v>#REF!</v>
      </c>
      <c r="GO321" t="e">
        <f>IF(#REF!,"AAAAAH2/78Q=",0)</f>
        <v>#REF!</v>
      </c>
      <c r="GP321" t="e">
        <f>IF(#REF!,"AAAAAH2/78U=",0)</f>
        <v>#REF!</v>
      </c>
      <c r="GQ321" t="e">
        <f>IF(#REF!,"AAAAAH2/78Y=",0)</f>
        <v>#REF!</v>
      </c>
      <c r="GR321" t="e">
        <f>IF(#REF!,"AAAAAH2/78c=",0)</f>
        <v>#REF!</v>
      </c>
      <c r="GS321" t="e">
        <f>IF(#REF!,"AAAAAH2/78g=",0)</f>
        <v>#REF!</v>
      </c>
      <c r="GT321" t="e">
        <f>IF(#REF!,"AAAAAH2/78k=",0)</f>
        <v>#REF!</v>
      </c>
      <c r="GU321" t="e">
        <f>IF(#REF!,"AAAAAH2/78o=",0)</f>
        <v>#REF!</v>
      </c>
      <c r="GV321" t="e">
        <f>IF(#REF!,"AAAAAH2/78s=",0)</f>
        <v>#REF!</v>
      </c>
      <c r="GW321" t="e">
        <f>IF(#REF!,"AAAAAH2/78w=",0)</f>
        <v>#REF!</v>
      </c>
      <c r="GX321" t="e">
        <f>IF(#REF!,"AAAAAH2/780=",0)</f>
        <v>#REF!</v>
      </c>
      <c r="GY321" t="e">
        <f>IF(#REF!,"AAAAAH2/784=",0)</f>
        <v>#REF!</v>
      </c>
      <c r="GZ321" t="e">
        <f>IF(#REF!,"AAAAAH2/788=",0)</f>
        <v>#REF!</v>
      </c>
      <c r="HA321" t="e">
        <f>IF(#REF!,"AAAAAH2/79A=",0)</f>
        <v>#REF!</v>
      </c>
      <c r="HB321" t="e">
        <f>IF(#REF!,"AAAAAH2/79E=",0)</f>
        <v>#REF!</v>
      </c>
      <c r="HC321" t="e">
        <f>IF(#REF!,"AAAAAH2/79I=",0)</f>
        <v>#REF!</v>
      </c>
      <c r="HD321" t="e">
        <f>IF(#REF!,"AAAAAH2/79M=",0)</f>
        <v>#REF!</v>
      </c>
      <c r="HE321" t="e">
        <f>IF(#REF!,"AAAAAH2/79Q=",0)</f>
        <v>#REF!</v>
      </c>
      <c r="HF321" t="e">
        <f>IF(#REF!,"AAAAAH2/79U=",0)</f>
        <v>#REF!</v>
      </c>
      <c r="HG321" t="e">
        <f>IF(#REF!,"AAAAAH2/79Y=",0)</f>
        <v>#REF!</v>
      </c>
      <c r="HH321" t="e">
        <f>IF(#REF!,"AAAAAH2/79c=",0)</f>
        <v>#REF!</v>
      </c>
      <c r="HI321" t="e">
        <f>IF(#REF!,"AAAAAH2/79g=",0)</f>
        <v>#REF!</v>
      </c>
      <c r="HJ321" t="e">
        <f>IF(#REF!,"AAAAAH2/79k=",0)</f>
        <v>#REF!</v>
      </c>
      <c r="HK321" t="e">
        <f>IF(#REF!,"AAAAAH2/79o=",0)</f>
        <v>#REF!</v>
      </c>
      <c r="HL321" t="e">
        <f>IF(#REF!,"AAAAAH2/79s=",0)</f>
        <v>#REF!</v>
      </c>
      <c r="HM321" t="e">
        <f>IF(#REF!,"AAAAAH2/79w=",0)</f>
        <v>#REF!</v>
      </c>
      <c r="HN321" t="e">
        <f>IF(#REF!,"AAAAAH2/790=",0)</f>
        <v>#REF!</v>
      </c>
      <c r="HO321" t="e">
        <f>IF(#REF!,"AAAAAH2/794=",0)</f>
        <v>#REF!</v>
      </c>
      <c r="HP321" t="e">
        <f>IF(#REF!,"AAAAAH2/798=",0)</f>
        <v>#REF!</v>
      </c>
      <c r="HQ321" t="e">
        <f>IF(#REF!,"AAAAAH2/7+A=",0)</f>
        <v>#REF!</v>
      </c>
      <c r="HR321" t="e">
        <f>IF(#REF!,"AAAAAH2/7+E=",0)</f>
        <v>#REF!</v>
      </c>
      <c r="HS321" t="e">
        <f>IF(#REF!,"AAAAAH2/7+I=",0)</f>
        <v>#REF!</v>
      </c>
      <c r="HT321" t="e">
        <f>IF(#REF!,"AAAAAH2/7+M=",0)</f>
        <v>#REF!</v>
      </c>
      <c r="HU321" t="e">
        <f>IF(#REF!,"AAAAAH2/7+Q=",0)</f>
        <v>#REF!</v>
      </c>
      <c r="HV321" t="e">
        <f>IF(#REF!,"AAAAAH2/7+U=",0)</f>
        <v>#REF!</v>
      </c>
      <c r="HW321" t="e">
        <f>IF(#REF!,"AAAAAH2/7+Y=",0)</f>
        <v>#REF!</v>
      </c>
      <c r="HX321" t="e">
        <f>IF(#REF!,"AAAAAH2/7+c=",0)</f>
        <v>#REF!</v>
      </c>
      <c r="HY321" t="e">
        <f>IF(#REF!,"AAAAAH2/7+g=",0)</f>
        <v>#REF!</v>
      </c>
      <c r="HZ321" t="e">
        <f>IF(#REF!,"AAAAAH2/7+k=",0)</f>
        <v>#REF!</v>
      </c>
      <c r="IA321" t="e">
        <f>IF(#REF!,"AAAAAH2/7+o=",0)</f>
        <v>#REF!</v>
      </c>
      <c r="IB321" t="e">
        <f>IF(#REF!,"AAAAAH2/7+s=",0)</f>
        <v>#REF!</v>
      </c>
      <c r="IC321" t="e">
        <f>IF(#REF!,"AAAAAH2/7+w=",0)</f>
        <v>#REF!</v>
      </c>
      <c r="ID321" t="e">
        <f>IF(#REF!,"AAAAAH2/7+0=",0)</f>
        <v>#REF!</v>
      </c>
      <c r="IE321" t="e">
        <f>IF(#REF!,"AAAAAH2/7+4=",0)</f>
        <v>#REF!</v>
      </c>
      <c r="IF321" t="e">
        <f>IF(#REF!,"AAAAAH2/7+8=",0)</f>
        <v>#REF!</v>
      </c>
      <c r="IG321" t="e">
        <f>IF(#REF!,"AAAAAH2/7/A=",0)</f>
        <v>#REF!</v>
      </c>
      <c r="IH321" t="e">
        <f>IF(#REF!,"AAAAAH2/7/E=",0)</f>
        <v>#REF!</v>
      </c>
      <c r="II321" t="e">
        <f>IF(#REF!,"AAAAAH2/7/I=",0)</f>
        <v>#REF!</v>
      </c>
      <c r="IJ321" t="e">
        <f>IF(#REF!,"AAAAAH2/7/M=",0)</f>
        <v>#REF!</v>
      </c>
      <c r="IK321" t="e">
        <f>IF(#REF!,"AAAAAH2/7/Q=",0)</f>
        <v>#REF!</v>
      </c>
      <c r="IL321" t="e">
        <f>IF(#REF!,"AAAAAH2/7/U=",0)</f>
        <v>#REF!</v>
      </c>
      <c r="IM321" t="e">
        <f>IF(#REF!,"AAAAAH2/7/Y=",0)</f>
        <v>#REF!</v>
      </c>
      <c r="IN321" t="e">
        <f>IF(#REF!,"AAAAAH2/7/c=",0)</f>
        <v>#REF!</v>
      </c>
      <c r="IO321" t="e">
        <f>IF(#REF!,"AAAAAH2/7/g=",0)</f>
        <v>#REF!</v>
      </c>
      <c r="IP321" t="e">
        <f>IF(#REF!,"AAAAAH2/7/k=",0)</f>
        <v>#REF!</v>
      </c>
      <c r="IQ321" t="e">
        <f>IF(#REF!,"AAAAAH2/7/o=",0)</f>
        <v>#REF!</v>
      </c>
      <c r="IR321" t="e">
        <f>IF(#REF!,"AAAAAH2/7/s=",0)</f>
        <v>#REF!</v>
      </c>
      <c r="IS321" t="e">
        <f>IF(#REF!,"AAAAAH2/7/w=",0)</f>
        <v>#REF!</v>
      </c>
      <c r="IT321" t="e">
        <f>IF(#REF!,"AAAAAH2/7/0=",0)</f>
        <v>#REF!</v>
      </c>
      <c r="IU321" t="e">
        <f>IF(#REF!,"AAAAAH2/7/4=",0)</f>
        <v>#REF!</v>
      </c>
      <c r="IV321" t="e">
        <f>IF(#REF!,"AAAAAH2/7/8=",0)</f>
        <v>#REF!</v>
      </c>
    </row>
    <row r="322" spans="1:256">
      <c r="A322" t="e">
        <f>IF(#REF!,"AAAAAF5/3wA=",0)</f>
        <v>#REF!</v>
      </c>
      <c r="B322" t="e">
        <f>IF(#REF!,"AAAAAF5/3wE=",0)</f>
        <v>#REF!</v>
      </c>
      <c r="C322" t="e">
        <f>IF(#REF!,"AAAAAF5/3wI=",0)</f>
        <v>#REF!</v>
      </c>
      <c r="D322" t="e">
        <f>IF(#REF!,"AAAAAF5/3wM=",0)</f>
        <v>#REF!</v>
      </c>
      <c r="E322" t="e">
        <f>IF(#REF!,"AAAAAF5/3wQ=",0)</f>
        <v>#REF!</v>
      </c>
      <c r="F322" t="e">
        <f>IF(#REF!,"AAAAAF5/3wU=",0)</f>
        <v>#REF!</v>
      </c>
      <c r="G322" t="e">
        <f>IF(#REF!,"AAAAAF5/3wY=",0)</f>
        <v>#REF!</v>
      </c>
      <c r="H322" t="e">
        <f>IF(#REF!,"AAAAAF5/3wc=",0)</f>
        <v>#REF!</v>
      </c>
      <c r="I322" t="e">
        <f>IF(#REF!,"AAAAAF5/3wg=",0)</f>
        <v>#REF!</v>
      </c>
      <c r="J322" t="e">
        <f>IF(#REF!,"AAAAAF5/3wk=",0)</f>
        <v>#REF!</v>
      </c>
      <c r="K322" t="e">
        <f>IF(#REF!,"AAAAAF5/3wo=",0)</f>
        <v>#REF!</v>
      </c>
      <c r="L322" t="e">
        <f>IF(#REF!,"AAAAAF5/3ws=",0)</f>
        <v>#REF!</v>
      </c>
      <c r="M322" t="e">
        <f>IF(#REF!,"AAAAAF5/3ww=",0)</f>
        <v>#REF!</v>
      </c>
      <c r="N322" t="e">
        <f>IF(#REF!,"AAAAAF5/3w0=",0)</f>
        <v>#REF!</v>
      </c>
      <c r="O322" t="e">
        <f>IF(#REF!,"AAAAAF5/3w4=",0)</f>
        <v>#REF!</v>
      </c>
      <c r="P322" t="e">
        <f>IF(#REF!,"AAAAAF5/3w8=",0)</f>
        <v>#REF!</v>
      </c>
      <c r="Q322" t="e">
        <f>IF(#REF!,"AAAAAF5/3xA=",0)</f>
        <v>#REF!</v>
      </c>
      <c r="R322" t="e">
        <f>IF(#REF!,"AAAAAF5/3xE=",0)</f>
        <v>#REF!</v>
      </c>
      <c r="S322" t="e">
        <f>IF(#REF!,"AAAAAF5/3xI=",0)</f>
        <v>#REF!</v>
      </c>
      <c r="T322" t="e">
        <f>IF(#REF!,"AAAAAF5/3xM=",0)</f>
        <v>#REF!</v>
      </c>
      <c r="U322" t="e">
        <f>IF(#REF!,"AAAAAF5/3xQ=",0)</f>
        <v>#REF!</v>
      </c>
      <c r="V322" t="e">
        <f>IF(#REF!,"AAAAAF5/3xU=",0)</f>
        <v>#REF!</v>
      </c>
      <c r="W322" t="e">
        <f>IF(#REF!,"AAAAAF5/3xY=",0)</f>
        <v>#REF!</v>
      </c>
      <c r="X322" t="e">
        <f>IF(#REF!,"AAAAAF5/3xc=",0)</f>
        <v>#REF!</v>
      </c>
      <c r="Y322" t="e">
        <f>IF(#REF!,"AAAAAF5/3xg=",0)</f>
        <v>#REF!</v>
      </c>
      <c r="Z322" t="e">
        <f>IF(#REF!,"AAAAAF5/3xk=",0)</f>
        <v>#REF!</v>
      </c>
      <c r="AA322" t="e">
        <f>IF(#REF!,"AAAAAF5/3xo=",0)</f>
        <v>#REF!</v>
      </c>
      <c r="AB322" t="e">
        <f>IF(#REF!,"AAAAAF5/3xs=",0)</f>
        <v>#REF!</v>
      </c>
      <c r="AC322" t="e">
        <f>IF(#REF!,"AAAAAF5/3xw=",0)</f>
        <v>#REF!</v>
      </c>
      <c r="AD322" t="e">
        <f>IF(#REF!,"AAAAAF5/3x0=",0)</f>
        <v>#REF!</v>
      </c>
      <c r="AE322" t="e">
        <f>IF(#REF!,"AAAAAF5/3x4=",0)</f>
        <v>#REF!</v>
      </c>
      <c r="AF322" t="e">
        <f>IF(#REF!,"AAAAAF5/3x8=",0)</f>
        <v>#REF!</v>
      </c>
      <c r="AG322" t="e">
        <f>IF(#REF!,"AAAAAF5/3yA=",0)</f>
        <v>#REF!</v>
      </c>
      <c r="AH322" t="e">
        <f>IF(#REF!,"AAAAAF5/3yE=",0)</f>
        <v>#REF!</v>
      </c>
      <c r="AI322" t="e">
        <f>IF(#REF!,"AAAAAF5/3yI=",0)</f>
        <v>#REF!</v>
      </c>
      <c r="AJ322" t="e">
        <f>IF(#REF!,"AAAAAF5/3yM=",0)</f>
        <v>#REF!</v>
      </c>
      <c r="AK322" t="e">
        <f>IF(#REF!,"AAAAAF5/3yQ=",0)</f>
        <v>#REF!</v>
      </c>
      <c r="AL322" t="e">
        <f>IF(#REF!,"AAAAAF5/3yU=",0)</f>
        <v>#REF!</v>
      </c>
      <c r="AM322" t="e">
        <f>IF(#REF!,"AAAAAF5/3yY=",0)</f>
        <v>#REF!</v>
      </c>
      <c r="AN322" t="e">
        <f>IF(#REF!,"AAAAAF5/3yc=",0)</f>
        <v>#REF!</v>
      </c>
      <c r="AO322" t="e">
        <f>IF(#REF!,"AAAAAF5/3yg=",0)</f>
        <v>#REF!</v>
      </c>
      <c r="AP322" t="e">
        <f>IF(#REF!,"AAAAAF5/3yk=",0)</f>
        <v>#REF!</v>
      </c>
      <c r="AQ322" t="e">
        <f>IF(#REF!,"AAAAAF5/3yo=",0)</f>
        <v>#REF!</v>
      </c>
      <c r="AR322" t="e">
        <f>IF(#REF!,"AAAAAF5/3ys=",0)</f>
        <v>#REF!</v>
      </c>
      <c r="AS322" t="e">
        <f>IF(#REF!,"AAAAAF5/3yw=",0)</f>
        <v>#REF!</v>
      </c>
      <c r="AT322" t="e">
        <f>IF(#REF!,"AAAAAF5/3y0=",0)</f>
        <v>#REF!</v>
      </c>
      <c r="AU322" t="e">
        <f>IF(#REF!,"AAAAAF5/3y4=",0)</f>
        <v>#REF!</v>
      </c>
      <c r="AV322" t="e">
        <f>IF(#REF!,"AAAAAF5/3y8=",0)</f>
        <v>#REF!</v>
      </c>
      <c r="AW322" t="e">
        <f>IF(#REF!,"AAAAAF5/3zA=",0)</f>
        <v>#REF!</v>
      </c>
      <c r="AX322" t="e">
        <f>IF(#REF!,"AAAAAF5/3zE=",0)</f>
        <v>#REF!</v>
      </c>
      <c r="AY322" t="e">
        <f>IF(#REF!,"AAAAAF5/3zI=",0)</f>
        <v>#REF!</v>
      </c>
      <c r="AZ322" t="e">
        <f>IF(#REF!,"AAAAAF5/3zM=",0)</f>
        <v>#REF!</v>
      </c>
      <c r="BA322" t="e">
        <f>IF(#REF!,"AAAAAF5/3zQ=",0)</f>
        <v>#REF!</v>
      </c>
      <c r="BB322" t="e">
        <f>IF(#REF!,"AAAAAF5/3zU=",0)</f>
        <v>#REF!</v>
      </c>
      <c r="BC322" t="e">
        <f>IF(#REF!,"AAAAAF5/3zY=",0)</f>
        <v>#REF!</v>
      </c>
      <c r="BD322" t="e">
        <f>IF(#REF!,"AAAAAF5/3zc=",0)</f>
        <v>#REF!</v>
      </c>
      <c r="BE322" t="e">
        <f>IF(#REF!,"AAAAAF5/3zg=",0)</f>
        <v>#REF!</v>
      </c>
      <c r="BF322" t="e">
        <f>IF(#REF!,"AAAAAF5/3zk=",0)</f>
        <v>#REF!</v>
      </c>
      <c r="BG322" t="e">
        <f>IF(#REF!,"AAAAAF5/3zo=",0)</f>
        <v>#REF!</v>
      </c>
      <c r="BH322" t="e">
        <f>IF(#REF!,"AAAAAF5/3zs=",0)</f>
        <v>#REF!</v>
      </c>
      <c r="BI322" t="e">
        <f>IF(#REF!,"AAAAAF5/3zw=",0)</f>
        <v>#REF!</v>
      </c>
      <c r="BJ322" t="e">
        <f>IF(#REF!,"AAAAAF5/3z0=",0)</f>
        <v>#REF!</v>
      </c>
      <c r="BK322" t="e">
        <f>IF(#REF!,"AAAAAF5/3z4=",0)</f>
        <v>#REF!</v>
      </c>
      <c r="BL322" t="e">
        <f>IF(#REF!,"AAAAAF5/3z8=",0)</f>
        <v>#REF!</v>
      </c>
      <c r="BM322" t="e">
        <f>IF(#REF!,"AAAAAF5/30A=",0)</f>
        <v>#REF!</v>
      </c>
      <c r="BN322" t="e">
        <f>IF(#REF!,"AAAAAF5/30E=",0)</f>
        <v>#REF!</v>
      </c>
      <c r="BO322" t="e">
        <f>IF(#REF!,"AAAAAF5/30I=",0)</f>
        <v>#REF!</v>
      </c>
      <c r="BP322" t="e">
        <f>IF(#REF!,"AAAAAF5/30M=",0)</f>
        <v>#REF!</v>
      </c>
      <c r="BQ322" t="e">
        <f>IF(#REF!,"AAAAAF5/30Q=",0)</f>
        <v>#REF!</v>
      </c>
      <c r="BR322" t="e">
        <f>IF(#REF!,"AAAAAF5/30U=",0)</f>
        <v>#REF!</v>
      </c>
      <c r="BS322" t="e">
        <f>IF(#REF!,"AAAAAF5/30Y=",0)</f>
        <v>#REF!</v>
      </c>
      <c r="BT322" t="e">
        <f>IF(#REF!,"AAAAAF5/30c=",0)</f>
        <v>#REF!</v>
      </c>
      <c r="BU322" t="e">
        <f>IF(#REF!,"AAAAAF5/30g=",0)</f>
        <v>#REF!</v>
      </c>
      <c r="BV322" t="e">
        <f>IF(#REF!,"AAAAAF5/30k=",0)</f>
        <v>#REF!</v>
      </c>
      <c r="BW322" t="e">
        <f>IF(#REF!,"AAAAAF5/30o=",0)</f>
        <v>#REF!</v>
      </c>
      <c r="BX322" t="e">
        <f>IF(#REF!,"AAAAAF5/30s=",0)</f>
        <v>#REF!</v>
      </c>
      <c r="BY322" t="e">
        <f>IF(#REF!,"AAAAAF5/30w=",0)</f>
        <v>#REF!</v>
      </c>
      <c r="BZ322" t="e">
        <f>IF(#REF!,"AAAAAF5/300=",0)</f>
        <v>#REF!</v>
      </c>
      <c r="CA322" t="e">
        <f>IF(#REF!,"AAAAAF5/304=",0)</f>
        <v>#REF!</v>
      </c>
      <c r="CB322" t="e">
        <f>IF(#REF!,"AAAAAF5/308=",0)</f>
        <v>#REF!</v>
      </c>
      <c r="CC322" t="e">
        <f>IF(#REF!,"AAAAAF5/31A=",0)</f>
        <v>#REF!</v>
      </c>
      <c r="CD322" t="e">
        <f>IF(#REF!,"AAAAAF5/31E=",0)</f>
        <v>#REF!</v>
      </c>
      <c r="CE322" t="e">
        <f>IF(#REF!,"AAAAAF5/31I=",0)</f>
        <v>#REF!</v>
      </c>
      <c r="CF322" t="e">
        <f>IF(#REF!,"AAAAAF5/31M=",0)</f>
        <v>#REF!</v>
      </c>
      <c r="CG322" t="e">
        <f>IF(#REF!,"AAAAAF5/31Q=",0)</f>
        <v>#REF!</v>
      </c>
      <c r="CH322" t="e">
        <f>IF(#REF!,"AAAAAF5/31U=",0)</f>
        <v>#REF!</v>
      </c>
      <c r="CI322" t="e">
        <f>IF(#REF!,"AAAAAF5/31Y=",0)</f>
        <v>#REF!</v>
      </c>
      <c r="CJ322" t="e">
        <f>IF(#REF!,"AAAAAF5/31c=",0)</f>
        <v>#REF!</v>
      </c>
      <c r="CK322" t="e">
        <f>IF(#REF!,"AAAAAF5/31g=",0)</f>
        <v>#REF!</v>
      </c>
      <c r="CL322" t="e">
        <f>IF(#REF!,"AAAAAF5/31k=",0)</f>
        <v>#REF!</v>
      </c>
      <c r="CM322" t="e">
        <f>IF(#REF!,"AAAAAF5/31o=",0)</f>
        <v>#REF!</v>
      </c>
      <c r="CN322" t="e">
        <f>IF(#REF!,"AAAAAF5/31s=",0)</f>
        <v>#REF!</v>
      </c>
      <c r="CO322" t="e">
        <f>IF(#REF!,"AAAAAF5/31w=",0)</f>
        <v>#REF!</v>
      </c>
      <c r="CP322" t="e">
        <f>IF(#REF!,"AAAAAF5/310=",0)</f>
        <v>#REF!</v>
      </c>
      <c r="CQ322" t="e">
        <f>IF(#REF!,"AAAAAF5/314=",0)</f>
        <v>#REF!</v>
      </c>
      <c r="CR322" t="e">
        <f>IF(#REF!,"AAAAAF5/318=",0)</f>
        <v>#REF!</v>
      </c>
      <c r="CS322" t="e">
        <f>IF(#REF!,"AAAAAF5/32A=",0)</f>
        <v>#REF!</v>
      </c>
      <c r="CT322" t="e">
        <f>IF(#REF!,"AAAAAF5/32E=",0)</f>
        <v>#REF!</v>
      </c>
      <c r="CU322" t="e">
        <f>IF(#REF!,"AAAAAF5/32I=",0)</f>
        <v>#REF!</v>
      </c>
      <c r="CV322" t="e">
        <f>IF(#REF!,"AAAAAF5/32M=",0)</f>
        <v>#REF!</v>
      </c>
      <c r="CW322" t="e">
        <f>IF(#REF!,"AAAAAF5/32Q=",0)</f>
        <v>#REF!</v>
      </c>
      <c r="CX322" t="e">
        <f>IF(#REF!,"AAAAAF5/32U=",0)</f>
        <v>#REF!</v>
      </c>
      <c r="CY322" t="e">
        <f>IF(#REF!,"AAAAAF5/32Y=",0)</f>
        <v>#REF!</v>
      </c>
      <c r="CZ322" t="e">
        <f>IF(#REF!,"AAAAAF5/32c=",0)</f>
        <v>#REF!</v>
      </c>
      <c r="DA322" t="e">
        <f>IF(#REF!,"AAAAAF5/32g=",0)</f>
        <v>#REF!</v>
      </c>
      <c r="DB322" t="e">
        <f>IF(#REF!,"AAAAAF5/32k=",0)</f>
        <v>#REF!</v>
      </c>
      <c r="DC322" t="e">
        <f>IF(#REF!,"AAAAAF5/32o=",0)</f>
        <v>#REF!</v>
      </c>
      <c r="DD322" t="e">
        <f>IF(#REF!,"AAAAAF5/32s=",0)</f>
        <v>#REF!</v>
      </c>
      <c r="DE322" t="e">
        <f>IF(#REF!,"AAAAAF5/32w=",0)</f>
        <v>#REF!</v>
      </c>
      <c r="DF322" t="e">
        <f>IF(#REF!,"AAAAAF5/320=",0)</f>
        <v>#REF!</v>
      </c>
      <c r="DG322" t="e">
        <f>IF(#REF!,"AAAAAF5/324=",0)</f>
        <v>#REF!</v>
      </c>
      <c r="DH322" t="e">
        <f>IF(#REF!,"AAAAAF5/328=",0)</f>
        <v>#REF!</v>
      </c>
      <c r="DI322" t="e">
        <f>IF(#REF!,"AAAAAF5/33A=",0)</f>
        <v>#REF!</v>
      </c>
      <c r="DJ322" t="e">
        <f>IF(#REF!,"AAAAAF5/33E=",0)</f>
        <v>#REF!</v>
      </c>
      <c r="DK322" t="e">
        <f>IF(#REF!,"AAAAAF5/33I=",0)</f>
        <v>#REF!</v>
      </c>
      <c r="DL322" t="e">
        <f>IF(#REF!,"AAAAAF5/33M=",0)</f>
        <v>#REF!</v>
      </c>
      <c r="DM322" t="e">
        <f>IF(#REF!,"AAAAAF5/33Q=",0)</f>
        <v>#REF!</v>
      </c>
      <c r="DN322" t="e">
        <f>IF(#REF!,"AAAAAF5/33U=",0)</f>
        <v>#REF!</v>
      </c>
      <c r="DO322" t="e">
        <f>IF(#REF!,"AAAAAF5/33Y=",0)</f>
        <v>#REF!</v>
      </c>
      <c r="DP322" t="e">
        <f>IF(#REF!,"AAAAAF5/33c=",0)</f>
        <v>#REF!</v>
      </c>
      <c r="DQ322" t="e">
        <f>IF(#REF!,"AAAAAF5/33g=",0)</f>
        <v>#REF!</v>
      </c>
      <c r="DR322" t="e">
        <f>IF(#REF!,"AAAAAF5/33k=",0)</f>
        <v>#REF!</v>
      </c>
      <c r="DS322" t="e">
        <f>IF(#REF!,"AAAAAF5/33o=",0)</f>
        <v>#REF!</v>
      </c>
      <c r="DT322" t="e">
        <f>IF(#REF!,"AAAAAF5/33s=",0)</f>
        <v>#REF!</v>
      </c>
      <c r="DU322" t="e">
        <f>IF(#REF!,"AAAAAF5/33w=",0)</f>
        <v>#REF!</v>
      </c>
      <c r="DV322" t="e">
        <f>IF(#REF!,"AAAAAF5/330=",0)</f>
        <v>#REF!</v>
      </c>
      <c r="DW322" t="e">
        <f>IF(#REF!,"AAAAAF5/334=",0)</f>
        <v>#REF!</v>
      </c>
      <c r="DX322" t="e">
        <f>IF(#REF!,"AAAAAF5/338=",0)</f>
        <v>#REF!</v>
      </c>
      <c r="DY322" t="e">
        <f>IF(#REF!,"AAAAAF5/34A=",0)</f>
        <v>#REF!</v>
      </c>
      <c r="DZ322" t="e">
        <f>IF(#REF!,"AAAAAF5/34E=",0)</f>
        <v>#REF!</v>
      </c>
      <c r="EA322" t="e">
        <f>IF(#REF!,"AAAAAF5/34I=",0)</f>
        <v>#REF!</v>
      </c>
      <c r="EB322" t="e">
        <f>IF(#REF!,"AAAAAF5/34M=",0)</f>
        <v>#REF!</v>
      </c>
      <c r="EC322" t="e">
        <f>IF(#REF!,"AAAAAF5/34Q=",0)</f>
        <v>#REF!</v>
      </c>
      <c r="ED322" t="e">
        <f>IF(#REF!,"AAAAAF5/34U=",0)</f>
        <v>#REF!</v>
      </c>
      <c r="EE322" t="e">
        <f>IF(#REF!,"AAAAAF5/34Y=",0)</f>
        <v>#REF!</v>
      </c>
      <c r="EF322" t="e">
        <f>IF(#REF!,"AAAAAF5/34c=",0)</f>
        <v>#REF!</v>
      </c>
      <c r="EG322" t="e">
        <f>IF(#REF!,"AAAAAF5/34g=",0)</f>
        <v>#REF!</v>
      </c>
      <c r="EH322" t="e">
        <f>IF(#REF!,"AAAAAF5/34k=",0)</f>
        <v>#REF!</v>
      </c>
      <c r="EI322" t="e">
        <f>IF(#REF!,"AAAAAF5/34o=",0)</f>
        <v>#REF!</v>
      </c>
      <c r="EJ322" t="e">
        <f>IF(#REF!,"AAAAAF5/34s=",0)</f>
        <v>#REF!</v>
      </c>
      <c r="EK322" t="e">
        <f>IF(#REF!,"AAAAAF5/34w=",0)</f>
        <v>#REF!</v>
      </c>
      <c r="EL322" t="e">
        <f>IF(#REF!,"AAAAAF5/340=",0)</f>
        <v>#REF!</v>
      </c>
      <c r="EM322" t="e">
        <f>IF(#REF!,"AAAAAF5/344=",0)</f>
        <v>#REF!</v>
      </c>
      <c r="EN322" t="e">
        <f>IF(#REF!,"AAAAAF5/348=",0)</f>
        <v>#REF!</v>
      </c>
      <c r="EO322" t="e">
        <f>IF(#REF!,"AAAAAF5/35A=",0)</f>
        <v>#REF!</v>
      </c>
      <c r="EP322" t="e">
        <f>IF(#REF!,"AAAAAF5/35E=",0)</f>
        <v>#REF!</v>
      </c>
      <c r="EQ322" t="e">
        <f>IF(#REF!,"AAAAAF5/35I=",0)</f>
        <v>#REF!</v>
      </c>
      <c r="ER322" t="e">
        <f>IF(#REF!,"AAAAAF5/35M=",0)</f>
        <v>#REF!</v>
      </c>
      <c r="ES322" t="e">
        <f>IF(#REF!,"AAAAAF5/35Q=",0)</f>
        <v>#REF!</v>
      </c>
      <c r="ET322" t="e">
        <f>IF(#REF!,"AAAAAF5/35U=",0)</f>
        <v>#REF!</v>
      </c>
      <c r="EU322" t="e">
        <f>IF(#REF!,"AAAAAF5/35Y=",0)</f>
        <v>#REF!</v>
      </c>
      <c r="EV322" t="e">
        <f>IF(#REF!,"AAAAAF5/35c=",0)</f>
        <v>#REF!</v>
      </c>
      <c r="EW322" t="e">
        <f>IF(#REF!,"AAAAAF5/35g=",0)</f>
        <v>#REF!</v>
      </c>
      <c r="EX322" t="e">
        <f>IF(#REF!,"AAAAAF5/35k=",0)</f>
        <v>#REF!</v>
      </c>
      <c r="EY322" t="e">
        <f>IF(#REF!,"AAAAAF5/35o=",0)</f>
        <v>#REF!</v>
      </c>
      <c r="EZ322" t="e">
        <f>IF(#REF!,"AAAAAF5/35s=",0)</f>
        <v>#REF!</v>
      </c>
      <c r="FA322" t="e">
        <f>IF(#REF!,"AAAAAF5/35w=",0)</f>
        <v>#REF!</v>
      </c>
      <c r="FB322" t="e">
        <f>IF(#REF!,"AAAAAF5/350=",0)</f>
        <v>#REF!</v>
      </c>
      <c r="FC322" t="e">
        <f>IF(#REF!,"AAAAAF5/354=",0)</f>
        <v>#REF!</v>
      </c>
      <c r="FD322" t="e">
        <f>IF(#REF!,"AAAAAF5/358=",0)</f>
        <v>#REF!</v>
      </c>
      <c r="FE322" t="e">
        <f>IF(#REF!,"AAAAAF5/36A=",0)</f>
        <v>#REF!</v>
      </c>
      <c r="FF322" t="e">
        <f>IF(#REF!,"AAAAAF5/36E=",0)</f>
        <v>#REF!</v>
      </c>
      <c r="FG322" t="e">
        <f>IF(#REF!,"AAAAAF5/36I=",0)</f>
        <v>#REF!</v>
      </c>
      <c r="FH322" t="e">
        <f>IF(#REF!,"AAAAAF5/36M=",0)</f>
        <v>#REF!</v>
      </c>
      <c r="FI322" t="e">
        <f>IF(#REF!,"AAAAAF5/36Q=",0)</f>
        <v>#REF!</v>
      </c>
      <c r="FJ322" t="e">
        <f>IF(#REF!,"AAAAAF5/36U=",0)</f>
        <v>#REF!</v>
      </c>
      <c r="FK322" t="e">
        <f>IF(#REF!,"AAAAAF5/36Y=",0)</f>
        <v>#REF!</v>
      </c>
      <c r="FL322" t="e">
        <f>IF(#REF!,"AAAAAF5/36c=",0)</f>
        <v>#REF!</v>
      </c>
      <c r="FM322" t="e">
        <f>IF(#REF!,"AAAAAF5/36g=",0)</f>
        <v>#REF!</v>
      </c>
      <c r="FN322" t="e">
        <f>IF(#REF!,"AAAAAF5/36k=",0)</f>
        <v>#REF!</v>
      </c>
      <c r="FO322" t="e">
        <f>IF(#REF!,"AAAAAF5/36o=",0)</f>
        <v>#REF!</v>
      </c>
      <c r="FP322" t="e">
        <f>IF(#REF!,"AAAAAF5/36s=",0)</f>
        <v>#REF!</v>
      </c>
      <c r="FQ322" t="e">
        <f>IF(#REF!,"AAAAAF5/36w=",0)</f>
        <v>#REF!</v>
      </c>
      <c r="FR322" t="e">
        <f>IF(#REF!,"AAAAAF5/360=",0)</f>
        <v>#REF!</v>
      </c>
      <c r="FS322" t="e">
        <f>IF(#REF!,"AAAAAF5/364=",0)</f>
        <v>#REF!</v>
      </c>
      <c r="FT322" t="e">
        <f>IF(#REF!,"AAAAAF5/368=",0)</f>
        <v>#REF!</v>
      </c>
      <c r="FU322" t="e">
        <f>IF(#REF!,"AAAAAF5/37A=",0)</f>
        <v>#REF!</v>
      </c>
      <c r="FV322" t="e">
        <f>IF(#REF!,"AAAAAF5/37E=",0)</f>
        <v>#REF!</v>
      </c>
      <c r="FW322" t="e">
        <f>IF(#REF!,"AAAAAF5/37I=",0)</f>
        <v>#REF!</v>
      </c>
      <c r="FX322" t="e">
        <f>IF(#REF!,"AAAAAF5/37M=",0)</f>
        <v>#REF!</v>
      </c>
      <c r="FY322" t="e">
        <f>IF(#REF!,"AAAAAF5/37Q=",0)</f>
        <v>#REF!</v>
      </c>
      <c r="FZ322" t="e">
        <f>IF(#REF!,"AAAAAF5/37U=",0)</f>
        <v>#REF!</v>
      </c>
      <c r="GA322" t="e">
        <f>IF(#REF!,"AAAAAF5/37Y=",0)</f>
        <v>#REF!</v>
      </c>
      <c r="GB322" t="e">
        <f>IF(#REF!,"AAAAAF5/37c=",0)</f>
        <v>#REF!</v>
      </c>
      <c r="GC322" t="e">
        <f>IF(#REF!,"AAAAAF5/37g=",0)</f>
        <v>#REF!</v>
      </c>
      <c r="GD322" t="e">
        <f>IF(#REF!,"AAAAAF5/37k=",0)</f>
        <v>#REF!</v>
      </c>
      <c r="GE322" t="e">
        <f>IF(#REF!,"AAAAAF5/37o=",0)</f>
        <v>#REF!</v>
      </c>
      <c r="GF322" t="e">
        <f>IF(#REF!,"AAAAAF5/37s=",0)</f>
        <v>#REF!</v>
      </c>
      <c r="GG322" t="e">
        <f>IF(#REF!,"AAAAAF5/37w=",0)</f>
        <v>#REF!</v>
      </c>
      <c r="GH322" t="e">
        <f>IF(#REF!,"AAAAAF5/370=",0)</f>
        <v>#REF!</v>
      </c>
      <c r="GI322" t="e">
        <f>IF(#REF!,"AAAAAF5/374=",0)</f>
        <v>#REF!</v>
      </c>
      <c r="GJ322" t="e">
        <f>IF(#REF!,"AAAAAF5/378=",0)</f>
        <v>#REF!</v>
      </c>
      <c r="GK322" t="e">
        <f>IF(#REF!,"AAAAAF5/38A=",0)</f>
        <v>#REF!</v>
      </c>
      <c r="GL322" t="e">
        <f>IF(#REF!,"AAAAAF5/38E=",0)</f>
        <v>#REF!</v>
      </c>
      <c r="GM322" t="e">
        <f>IF(#REF!,"AAAAAF5/38I=",0)</f>
        <v>#REF!</v>
      </c>
      <c r="GN322" t="e">
        <f>IF(#REF!,"AAAAAF5/38M=",0)</f>
        <v>#REF!</v>
      </c>
      <c r="GO322" t="e">
        <f>IF(#REF!,"AAAAAF5/38Q=",0)</f>
        <v>#REF!</v>
      </c>
      <c r="GP322" t="e">
        <f>IF(#REF!,"AAAAAF5/38U=",0)</f>
        <v>#REF!</v>
      </c>
      <c r="GQ322" t="e">
        <f>IF(#REF!,"AAAAAF5/38Y=",0)</f>
        <v>#REF!</v>
      </c>
      <c r="GR322" t="e">
        <f>IF(#REF!,"AAAAAF5/38c=",0)</f>
        <v>#REF!</v>
      </c>
      <c r="GS322" t="e">
        <f>IF(#REF!,"AAAAAF5/38g=",0)</f>
        <v>#REF!</v>
      </c>
      <c r="GT322" t="e">
        <f>IF(#REF!,"AAAAAF5/38k=",0)</f>
        <v>#REF!</v>
      </c>
      <c r="GU322" t="e">
        <f>IF(#REF!,"AAAAAF5/38o=",0)</f>
        <v>#REF!</v>
      </c>
      <c r="GV322" t="e">
        <f>IF(#REF!,"AAAAAF5/38s=",0)</f>
        <v>#REF!</v>
      </c>
      <c r="GW322" t="e">
        <f>IF(#REF!,"AAAAAF5/38w=",0)</f>
        <v>#REF!</v>
      </c>
      <c r="GX322" t="e">
        <f>IF(#REF!,"AAAAAF5/380=",0)</f>
        <v>#REF!</v>
      </c>
      <c r="GY322" t="e">
        <f>IF(#REF!,"AAAAAF5/384=",0)</f>
        <v>#REF!</v>
      </c>
      <c r="GZ322" t="e">
        <f>IF(#REF!,"AAAAAF5/388=",0)</f>
        <v>#REF!</v>
      </c>
      <c r="HA322" t="e">
        <f>IF(#REF!,"AAAAAF5/39A=",0)</f>
        <v>#REF!</v>
      </c>
      <c r="HB322" t="e">
        <f>IF(#REF!,"AAAAAF5/39E=",0)</f>
        <v>#REF!</v>
      </c>
      <c r="HC322" t="e">
        <f>IF(#REF!,"AAAAAF5/39I=",0)</f>
        <v>#REF!</v>
      </c>
      <c r="HD322" t="e">
        <f>IF(#REF!,"AAAAAF5/39M=",0)</f>
        <v>#REF!</v>
      </c>
      <c r="HE322" t="e">
        <f>IF(#REF!,"AAAAAF5/39Q=",0)</f>
        <v>#REF!</v>
      </c>
      <c r="HF322" t="e">
        <f>IF(#REF!,"AAAAAF5/39U=",0)</f>
        <v>#REF!</v>
      </c>
      <c r="HG322" t="e">
        <f>IF(#REF!,"AAAAAF5/39Y=",0)</f>
        <v>#REF!</v>
      </c>
      <c r="HH322" t="e">
        <f>IF(#REF!,"AAAAAF5/39c=",0)</f>
        <v>#REF!</v>
      </c>
      <c r="HI322" t="e">
        <f>IF(#REF!,"AAAAAF5/39g=",0)</f>
        <v>#REF!</v>
      </c>
      <c r="HJ322" t="e">
        <f>IF(#REF!,"AAAAAF5/39k=",0)</f>
        <v>#REF!</v>
      </c>
      <c r="HK322" t="e">
        <f>IF(#REF!,"AAAAAF5/39o=",0)</f>
        <v>#REF!</v>
      </c>
      <c r="HL322" t="e">
        <f>IF(#REF!,"AAAAAF5/39s=",0)</f>
        <v>#REF!</v>
      </c>
      <c r="HM322" t="e">
        <f>IF(#REF!,"AAAAAF5/39w=",0)</f>
        <v>#REF!</v>
      </c>
      <c r="HN322" t="e">
        <f>IF(#REF!,"AAAAAF5/390=",0)</f>
        <v>#REF!</v>
      </c>
      <c r="HO322" t="e">
        <f>IF(#REF!,"AAAAAF5/394=",0)</f>
        <v>#REF!</v>
      </c>
      <c r="HP322" t="e">
        <f>IF(#REF!,"AAAAAF5/398=",0)</f>
        <v>#REF!</v>
      </c>
      <c r="HQ322" t="e">
        <f>IF(#REF!,"AAAAAF5/3+A=",0)</f>
        <v>#REF!</v>
      </c>
      <c r="HR322" t="e">
        <f>IF(#REF!,"AAAAAF5/3+E=",0)</f>
        <v>#REF!</v>
      </c>
      <c r="HS322" t="e">
        <f>IF(#REF!,"AAAAAF5/3+I=",0)</f>
        <v>#REF!</v>
      </c>
      <c r="HT322" t="e">
        <f>IF(#REF!,"AAAAAF5/3+M=",0)</f>
        <v>#REF!</v>
      </c>
      <c r="HU322" t="e">
        <f>IF(#REF!,"AAAAAF5/3+Q=",0)</f>
        <v>#REF!</v>
      </c>
      <c r="HV322" t="e">
        <f>IF(#REF!,"AAAAAF5/3+U=",0)</f>
        <v>#REF!</v>
      </c>
      <c r="HW322" t="e">
        <f>IF(#REF!,"AAAAAF5/3+Y=",0)</f>
        <v>#REF!</v>
      </c>
      <c r="HX322" t="e">
        <f>IF(#REF!,"AAAAAF5/3+c=",0)</f>
        <v>#REF!</v>
      </c>
      <c r="HY322" t="e">
        <f>IF(#REF!,"AAAAAF5/3+g=",0)</f>
        <v>#REF!</v>
      </c>
      <c r="HZ322" t="e">
        <f>IF(#REF!,"AAAAAF5/3+k=",0)</f>
        <v>#REF!</v>
      </c>
      <c r="IA322" t="e">
        <f>IF(#REF!,"AAAAAF5/3+o=",0)</f>
        <v>#REF!</v>
      </c>
      <c r="IB322" t="e">
        <f>IF(#REF!,"AAAAAF5/3+s=",0)</f>
        <v>#REF!</v>
      </c>
      <c r="IC322" t="e">
        <f>IF(#REF!,"AAAAAF5/3+w=",0)</f>
        <v>#REF!</v>
      </c>
      <c r="ID322" t="e">
        <f>IF(#REF!,"AAAAAF5/3+0=",0)</f>
        <v>#REF!</v>
      </c>
      <c r="IE322" t="e">
        <f>IF(#REF!,"AAAAAF5/3+4=",0)</f>
        <v>#REF!</v>
      </c>
      <c r="IF322" t="e">
        <f>IF(#REF!,"AAAAAF5/3+8=",0)</f>
        <v>#REF!</v>
      </c>
      <c r="IG322" t="e">
        <f>IF(#REF!,"AAAAAF5/3/A=",0)</f>
        <v>#REF!</v>
      </c>
      <c r="IH322" t="e">
        <f>IF(#REF!,"AAAAAF5/3/E=",0)</f>
        <v>#REF!</v>
      </c>
      <c r="II322" t="e">
        <f>IF(#REF!,"AAAAAF5/3/I=",0)</f>
        <v>#REF!</v>
      </c>
      <c r="IJ322" t="e">
        <f>IF(#REF!,"AAAAAF5/3/M=",0)</f>
        <v>#REF!</v>
      </c>
      <c r="IK322" t="e">
        <f>IF(#REF!,"AAAAAF5/3/Q=",0)</f>
        <v>#REF!</v>
      </c>
      <c r="IL322" t="e">
        <f>IF(#REF!,"AAAAAF5/3/U=",0)</f>
        <v>#REF!</v>
      </c>
      <c r="IM322" t="e">
        <f>IF(#REF!,"AAAAAF5/3/Y=",0)</f>
        <v>#REF!</v>
      </c>
      <c r="IN322" t="e">
        <f>IF(#REF!,"AAAAAF5/3/c=",0)</f>
        <v>#REF!</v>
      </c>
      <c r="IO322" t="e">
        <f>IF(#REF!,"AAAAAF5/3/g=",0)</f>
        <v>#REF!</v>
      </c>
      <c r="IP322" t="e">
        <f>IF(#REF!,"AAAAAF5/3/k=",0)</f>
        <v>#REF!</v>
      </c>
      <c r="IQ322" t="e">
        <f>IF(#REF!,"AAAAAF5/3/o=",0)</f>
        <v>#REF!</v>
      </c>
      <c r="IR322" t="e">
        <f>IF(#REF!,"AAAAAF5/3/s=",0)</f>
        <v>#REF!</v>
      </c>
      <c r="IS322" t="e">
        <f>IF(#REF!,"AAAAAF5/3/w=",0)</f>
        <v>#REF!</v>
      </c>
      <c r="IT322" t="e">
        <f>IF(#REF!,"AAAAAF5/3/0=",0)</f>
        <v>#REF!</v>
      </c>
      <c r="IU322" t="e">
        <f>IF(#REF!,"AAAAAF5/3/4=",0)</f>
        <v>#REF!</v>
      </c>
      <c r="IV322" t="e">
        <f>IF(#REF!,"AAAAAF5/3/8=",0)</f>
        <v>#REF!</v>
      </c>
    </row>
    <row r="323" spans="1:256">
      <c r="A323" t="e">
        <f>IF(#REF!,"AAAAAG+3uwA=",0)</f>
        <v>#REF!</v>
      </c>
      <c r="B323" t="e">
        <f>IF(#REF!,"AAAAAG+3uwE=",0)</f>
        <v>#REF!</v>
      </c>
      <c r="C323" t="e">
        <f>IF(#REF!,"AAAAAG+3uwI=",0)</f>
        <v>#REF!</v>
      </c>
      <c r="D323" t="e">
        <f>IF(#REF!,"AAAAAG+3uwM=",0)</f>
        <v>#REF!</v>
      </c>
      <c r="E323" t="e">
        <f>IF(#REF!,"AAAAAG+3uwQ=",0)</f>
        <v>#REF!</v>
      </c>
      <c r="F323" t="e">
        <f>IF(#REF!,"AAAAAG+3uwU=",0)</f>
        <v>#REF!</v>
      </c>
      <c r="G323" t="e">
        <f>IF(#REF!,"AAAAAG+3uwY=",0)</f>
        <v>#REF!</v>
      </c>
      <c r="H323" t="e">
        <f>IF(#REF!,"AAAAAG+3uwc=",0)</f>
        <v>#REF!</v>
      </c>
      <c r="I323" t="e">
        <f>IF(#REF!,"AAAAAG+3uwg=",0)</f>
        <v>#REF!</v>
      </c>
      <c r="J323" t="e">
        <f>IF(#REF!,"AAAAAG+3uwk=",0)</f>
        <v>#REF!</v>
      </c>
      <c r="K323" t="e">
        <f>IF(#REF!,"AAAAAG+3uwo=",0)</f>
        <v>#REF!</v>
      </c>
      <c r="L323" t="e">
        <f>IF(#REF!,"AAAAAG+3uws=",0)</f>
        <v>#REF!</v>
      </c>
      <c r="M323" t="e">
        <f>IF(#REF!,"AAAAAG+3uww=",0)</f>
        <v>#REF!</v>
      </c>
      <c r="N323" t="e">
        <f>IF(#REF!,"AAAAAG+3uw0=",0)</f>
        <v>#REF!</v>
      </c>
      <c r="O323" t="e">
        <f>IF(#REF!,"AAAAAG+3uw4=",0)</f>
        <v>#REF!</v>
      </c>
      <c r="P323" t="e">
        <f>IF(#REF!,"AAAAAG+3uw8=",0)</f>
        <v>#REF!</v>
      </c>
      <c r="Q323" t="e">
        <f>IF(#REF!,"AAAAAG+3uxA=",0)</f>
        <v>#REF!</v>
      </c>
      <c r="R323" t="e">
        <f>IF(#REF!,"AAAAAG+3uxE=",0)</f>
        <v>#REF!</v>
      </c>
      <c r="S323" t="e">
        <f>IF(#REF!,"AAAAAG+3uxI=",0)</f>
        <v>#REF!</v>
      </c>
      <c r="T323" t="e">
        <f>IF(#REF!,"AAAAAG+3uxM=",0)</f>
        <v>#REF!</v>
      </c>
      <c r="U323" t="e">
        <f>IF(#REF!,"AAAAAG+3uxQ=",0)</f>
        <v>#REF!</v>
      </c>
      <c r="V323" t="e">
        <f>IF(#REF!,"AAAAAG+3uxU=",0)</f>
        <v>#REF!</v>
      </c>
      <c r="W323" t="e">
        <f>IF(#REF!,"AAAAAG+3uxY=",0)</f>
        <v>#REF!</v>
      </c>
      <c r="X323" t="e">
        <f>IF(#REF!,"AAAAAG+3uxc=",0)</f>
        <v>#REF!</v>
      </c>
      <c r="Y323" t="e">
        <f>IF(#REF!,"AAAAAG+3uxg=",0)</f>
        <v>#REF!</v>
      </c>
      <c r="Z323" t="e">
        <f>IF(#REF!,"AAAAAG+3uxk=",0)</f>
        <v>#REF!</v>
      </c>
      <c r="AA323" t="e">
        <f>IF(#REF!,"AAAAAG+3uxo=",0)</f>
        <v>#REF!</v>
      </c>
      <c r="AB323" t="e">
        <f>IF(#REF!,"AAAAAG+3uxs=",0)</f>
        <v>#REF!</v>
      </c>
      <c r="AC323" t="e">
        <f>IF(#REF!,"AAAAAG+3uxw=",0)</f>
        <v>#REF!</v>
      </c>
      <c r="AD323" t="e">
        <f>IF(#REF!,"AAAAAG+3ux0=",0)</f>
        <v>#REF!</v>
      </c>
      <c r="AE323" t="e">
        <f>IF(#REF!,"AAAAAG+3ux4=",0)</f>
        <v>#REF!</v>
      </c>
      <c r="AF323" t="e">
        <f>IF(#REF!,"AAAAAG+3ux8=",0)</f>
        <v>#REF!</v>
      </c>
      <c r="AG323" t="e">
        <f>IF(#REF!,"AAAAAG+3uyA=",0)</f>
        <v>#REF!</v>
      </c>
      <c r="AH323" t="e">
        <f>IF(#REF!,"AAAAAG+3uyE=",0)</f>
        <v>#REF!</v>
      </c>
      <c r="AI323" t="e">
        <f>IF(#REF!,"AAAAAG+3uyI=",0)</f>
        <v>#REF!</v>
      </c>
      <c r="AJ323" t="e">
        <f>IF(#REF!,"AAAAAG+3uyM=",0)</f>
        <v>#REF!</v>
      </c>
      <c r="AK323" t="e">
        <f>IF(#REF!,"AAAAAG+3uyQ=",0)</f>
        <v>#REF!</v>
      </c>
      <c r="AL323" t="e">
        <f>IF(#REF!,"AAAAAG+3uyU=",0)</f>
        <v>#REF!</v>
      </c>
      <c r="AM323" t="e">
        <f>IF(#REF!,"AAAAAG+3uyY=",0)</f>
        <v>#REF!</v>
      </c>
      <c r="AN323" t="e">
        <f>IF(#REF!,"AAAAAG+3uyc=",0)</f>
        <v>#REF!</v>
      </c>
      <c r="AO323" t="e">
        <f>IF(#REF!,"AAAAAG+3uyg=",0)</f>
        <v>#REF!</v>
      </c>
      <c r="AP323" t="e">
        <f>IF(#REF!,"AAAAAG+3uyk=",0)</f>
        <v>#REF!</v>
      </c>
      <c r="AQ323" t="e">
        <f>IF(#REF!,"AAAAAG+3uyo=",0)</f>
        <v>#REF!</v>
      </c>
      <c r="AR323" t="e">
        <f>IF(#REF!,"AAAAAG+3uys=",0)</f>
        <v>#REF!</v>
      </c>
      <c r="AS323" t="e">
        <f>IF(#REF!,"AAAAAG+3uyw=",0)</f>
        <v>#REF!</v>
      </c>
      <c r="AT323" t="e">
        <f>IF(#REF!,"AAAAAG+3uy0=",0)</f>
        <v>#REF!</v>
      </c>
      <c r="AU323" t="e">
        <f>IF(#REF!,"AAAAAG+3uy4=",0)</f>
        <v>#REF!</v>
      </c>
      <c r="AV323" t="e">
        <f>IF(#REF!,"AAAAAG+3uy8=",0)</f>
        <v>#REF!</v>
      </c>
      <c r="AW323" t="e">
        <f>IF(#REF!,"AAAAAG+3uzA=",0)</f>
        <v>#REF!</v>
      </c>
      <c r="AX323" t="e">
        <f>IF(#REF!,"AAAAAG+3uzE=",0)</f>
        <v>#REF!</v>
      </c>
      <c r="AY323" t="e">
        <f>IF(#REF!,"AAAAAG+3uzI=",0)</f>
        <v>#REF!</v>
      </c>
      <c r="AZ323" t="e">
        <f>IF(#REF!,"AAAAAG+3uzM=",0)</f>
        <v>#REF!</v>
      </c>
      <c r="BA323" t="e">
        <f>IF(#REF!,"AAAAAG+3uzQ=",0)</f>
        <v>#REF!</v>
      </c>
      <c r="BB323" t="e">
        <f>IF(#REF!,"AAAAAG+3uzU=",0)</f>
        <v>#REF!</v>
      </c>
      <c r="BC323" t="e">
        <f>IF(#REF!,"AAAAAG+3uzY=",0)</f>
        <v>#REF!</v>
      </c>
      <c r="BD323" t="e">
        <f>IF(#REF!,"AAAAAG+3uzc=",0)</f>
        <v>#REF!</v>
      </c>
      <c r="BE323" t="e">
        <f>IF(#REF!,"AAAAAG+3uzg=",0)</f>
        <v>#REF!</v>
      </c>
      <c r="BF323" t="e">
        <f>IF(#REF!,"AAAAAG+3uzk=",0)</f>
        <v>#REF!</v>
      </c>
      <c r="BG323" t="e">
        <f>IF(#REF!,"AAAAAG+3uzo=",0)</f>
        <v>#REF!</v>
      </c>
      <c r="BH323" t="e">
        <f>IF(#REF!,"AAAAAG+3uzs=",0)</f>
        <v>#REF!</v>
      </c>
      <c r="BI323" t="e">
        <f>IF(#REF!,"AAAAAG+3uzw=",0)</f>
        <v>#REF!</v>
      </c>
      <c r="BJ323" t="e">
        <f>IF(#REF!,"AAAAAG+3uz0=",0)</f>
        <v>#REF!</v>
      </c>
      <c r="BK323" t="e">
        <f>IF(#REF!,"AAAAAG+3uz4=",0)</f>
        <v>#REF!</v>
      </c>
      <c r="BL323" t="e">
        <f>IF(#REF!,"AAAAAG+3uz8=",0)</f>
        <v>#REF!</v>
      </c>
      <c r="BM323" t="e">
        <f>IF(#REF!,"AAAAAG+3u0A=",0)</f>
        <v>#REF!</v>
      </c>
      <c r="BN323" t="e">
        <f>IF(#REF!,"AAAAAG+3u0E=",0)</f>
        <v>#REF!</v>
      </c>
      <c r="BO323" t="e">
        <f>IF(#REF!,"AAAAAG+3u0I=",0)</f>
        <v>#REF!</v>
      </c>
      <c r="BP323" t="e">
        <f>IF(#REF!,"AAAAAG+3u0M=",0)</f>
        <v>#REF!</v>
      </c>
      <c r="BQ323" t="e">
        <f>IF(#REF!,"AAAAAG+3u0Q=",0)</f>
        <v>#REF!</v>
      </c>
      <c r="BR323" t="e">
        <f>IF(#REF!,"AAAAAG+3u0U=",0)</f>
        <v>#REF!</v>
      </c>
      <c r="BS323" t="e">
        <f>IF(#REF!,"AAAAAG+3u0Y=",0)</f>
        <v>#REF!</v>
      </c>
      <c r="BT323" t="e">
        <f>IF(#REF!,"AAAAAG+3u0c=",0)</f>
        <v>#REF!</v>
      </c>
      <c r="BU323" t="e">
        <f>IF(#REF!,"AAAAAG+3u0g=",0)</f>
        <v>#REF!</v>
      </c>
      <c r="BV323" t="e">
        <f>IF(#REF!,"AAAAAG+3u0k=",0)</f>
        <v>#REF!</v>
      </c>
      <c r="BW323" t="e">
        <f>IF(#REF!,"AAAAAG+3u0o=",0)</f>
        <v>#REF!</v>
      </c>
      <c r="BX323" t="e">
        <f>IF(#REF!,"AAAAAG+3u0s=",0)</f>
        <v>#REF!</v>
      </c>
      <c r="BY323" t="e">
        <f>IF(#REF!,"AAAAAG+3u0w=",0)</f>
        <v>#REF!</v>
      </c>
      <c r="BZ323" t="e">
        <f>IF(#REF!,"AAAAAG+3u00=",0)</f>
        <v>#REF!</v>
      </c>
      <c r="CA323" t="e">
        <f>IF(#REF!,"AAAAAG+3u04=",0)</f>
        <v>#REF!</v>
      </c>
      <c r="CB323" t="e">
        <f>IF(#REF!,"AAAAAG+3u08=",0)</f>
        <v>#REF!</v>
      </c>
      <c r="CC323" t="e">
        <f>IF(#REF!,"AAAAAG+3u1A=",0)</f>
        <v>#REF!</v>
      </c>
      <c r="CD323" t="e">
        <f>IF(#REF!,"AAAAAG+3u1E=",0)</f>
        <v>#REF!</v>
      </c>
      <c r="CE323" t="e">
        <f>IF(#REF!,"AAAAAG+3u1I=",0)</f>
        <v>#REF!</v>
      </c>
      <c r="CF323" t="e">
        <f>IF(#REF!,"AAAAAG+3u1M=",0)</f>
        <v>#REF!</v>
      </c>
      <c r="CG323" t="e">
        <f>IF(#REF!,"AAAAAG+3u1Q=",0)</f>
        <v>#REF!</v>
      </c>
      <c r="CH323" t="e">
        <f>IF(#REF!,"AAAAAG+3u1U=",0)</f>
        <v>#REF!</v>
      </c>
      <c r="CI323" t="e">
        <f>IF(#REF!,"AAAAAG+3u1Y=",0)</f>
        <v>#REF!</v>
      </c>
      <c r="CJ323" t="e">
        <f>IF(#REF!,"AAAAAG+3u1c=",0)</f>
        <v>#REF!</v>
      </c>
      <c r="CK323" t="e">
        <f>IF(#REF!,"AAAAAG+3u1g=",0)</f>
        <v>#REF!</v>
      </c>
      <c r="CL323" t="e">
        <f>IF(#REF!,"AAAAAG+3u1k=",0)</f>
        <v>#REF!</v>
      </c>
      <c r="CM323" t="e">
        <f>IF(#REF!,"AAAAAG+3u1o=",0)</f>
        <v>#REF!</v>
      </c>
      <c r="CN323" t="e">
        <f>IF(#REF!,"AAAAAG+3u1s=",0)</f>
        <v>#REF!</v>
      </c>
      <c r="CO323" t="e">
        <f>IF(#REF!,"AAAAAG+3u1w=",0)</f>
        <v>#REF!</v>
      </c>
      <c r="CP323" t="e">
        <f>IF(#REF!,"AAAAAG+3u10=",0)</f>
        <v>#REF!</v>
      </c>
      <c r="CQ323" t="e">
        <f>IF(#REF!,"AAAAAG+3u14=",0)</f>
        <v>#REF!</v>
      </c>
      <c r="CR323" t="e">
        <f>IF(#REF!,"AAAAAG+3u18=",0)</f>
        <v>#REF!</v>
      </c>
      <c r="CS323" t="e">
        <f>IF(#REF!,"AAAAAG+3u2A=",0)</f>
        <v>#REF!</v>
      </c>
      <c r="CT323" t="e">
        <f>IF(#REF!,"AAAAAG+3u2E=",0)</f>
        <v>#REF!</v>
      </c>
      <c r="CU323" t="e">
        <f>IF(#REF!,"AAAAAG+3u2I=",0)</f>
        <v>#REF!</v>
      </c>
      <c r="CV323" t="e">
        <f>IF(#REF!,"AAAAAG+3u2M=",0)</f>
        <v>#REF!</v>
      </c>
      <c r="CW323" t="e">
        <f>IF(#REF!,"AAAAAG+3u2Q=",0)</f>
        <v>#REF!</v>
      </c>
      <c r="CX323" t="e">
        <f>IF(#REF!,"AAAAAG+3u2U=",0)</f>
        <v>#REF!</v>
      </c>
      <c r="CY323" t="e">
        <f>IF(#REF!,"AAAAAG+3u2Y=",0)</f>
        <v>#REF!</v>
      </c>
      <c r="CZ323" t="e">
        <f>IF(#REF!,"AAAAAG+3u2c=",0)</f>
        <v>#REF!</v>
      </c>
      <c r="DA323" t="e">
        <f>IF(#REF!,"AAAAAG+3u2g=",0)</f>
        <v>#REF!</v>
      </c>
      <c r="DB323" t="e">
        <f>IF(#REF!,"AAAAAG+3u2k=",0)</f>
        <v>#REF!</v>
      </c>
      <c r="DC323" t="e">
        <f>IF(#REF!,"AAAAAG+3u2o=",0)</f>
        <v>#REF!</v>
      </c>
      <c r="DD323" t="e">
        <f>IF(#REF!,"AAAAAG+3u2s=",0)</f>
        <v>#REF!</v>
      </c>
      <c r="DE323" t="e">
        <f>IF(#REF!,"AAAAAG+3u2w=",0)</f>
        <v>#REF!</v>
      </c>
      <c r="DF323" t="e">
        <f>IF(#REF!,"AAAAAG+3u20=",0)</f>
        <v>#REF!</v>
      </c>
      <c r="DG323" t="e">
        <f>IF(#REF!,"AAAAAG+3u24=",0)</f>
        <v>#REF!</v>
      </c>
      <c r="DH323" t="e">
        <f>IF(#REF!,"AAAAAG+3u28=",0)</f>
        <v>#REF!</v>
      </c>
      <c r="DI323" t="e">
        <f>IF(#REF!,"AAAAAG+3u3A=",0)</f>
        <v>#REF!</v>
      </c>
      <c r="DJ323" t="e">
        <f>IF(#REF!,"AAAAAG+3u3E=",0)</f>
        <v>#REF!</v>
      </c>
      <c r="DK323" t="e">
        <f>IF(#REF!,"AAAAAG+3u3I=",0)</f>
        <v>#REF!</v>
      </c>
      <c r="DL323" t="e">
        <f>IF(#REF!,"AAAAAG+3u3M=",0)</f>
        <v>#REF!</v>
      </c>
      <c r="DM323" t="e">
        <f>IF(#REF!,"AAAAAG+3u3Q=",0)</f>
        <v>#REF!</v>
      </c>
      <c r="DN323" t="e">
        <f>IF(#REF!,"AAAAAG+3u3U=",0)</f>
        <v>#REF!</v>
      </c>
      <c r="DO323" t="e">
        <f>IF(#REF!,"AAAAAG+3u3Y=",0)</f>
        <v>#REF!</v>
      </c>
      <c r="DP323" t="e">
        <f>IF(#REF!,"AAAAAG+3u3c=",0)</f>
        <v>#REF!</v>
      </c>
      <c r="DQ323" t="e">
        <f>IF(#REF!,"AAAAAG+3u3g=",0)</f>
        <v>#REF!</v>
      </c>
      <c r="DR323" t="e">
        <f>IF(#REF!,"AAAAAG+3u3k=",0)</f>
        <v>#REF!</v>
      </c>
      <c r="DS323" t="e">
        <f>IF(#REF!,"AAAAAG+3u3o=",0)</f>
        <v>#REF!</v>
      </c>
      <c r="DT323" t="e">
        <f>IF(#REF!,"AAAAAG+3u3s=",0)</f>
        <v>#REF!</v>
      </c>
      <c r="DU323" t="e">
        <f>IF(#REF!,"AAAAAG+3u3w=",0)</f>
        <v>#REF!</v>
      </c>
      <c r="DV323" t="e">
        <f>IF(#REF!,"AAAAAG+3u30=",0)</f>
        <v>#REF!</v>
      </c>
      <c r="DW323" t="e">
        <f>IF(#REF!,"AAAAAG+3u34=",0)</f>
        <v>#REF!</v>
      </c>
      <c r="DX323" t="e">
        <f>IF(#REF!,"AAAAAG+3u38=",0)</f>
        <v>#REF!</v>
      </c>
      <c r="DY323" t="e">
        <f>IF(#REF!,"AAAAAG+3u4A=",0)</f>
        <v>#REF!</v>
      </c>
      <c r="DZ323" t="e">
        <f>IF(#REF!,"AAAAAG+3u4E=",0)</f>
        <v>#REF!</v>
      </c>
      <c r="EA323" t="e">
        <f>IF(#REF!,"AAAAAG+3u4I=",0)</f>
        <v>#REF!</v>
      </c>
      <c r="EB323" t="e">
        <f>IF(#REF!,"AAAAAG+3u4M=",0)</f>
        <v>#REF!</v>
      </c>
      <c r="EC323" t="e">
        <f>IF(#REF!,"AAAAAG+3u4Q=",0)</f>
        <v>#REF!</v>
      </c>
      <c r="ED323" t="e">
        <f>IF(#REF!,"AAAAAG+3u4U=",0)</f>
        <v>#REF!</v>
      </c>
      <c r="EE323" t="e">
        <f>IF(#REF!,"AAAAAG+3u4Y=",0)</f>
        <v>#REF!</v>
      </c>
      <c r="EF323" t="e">
        <f>IF(#REF!,"AAAAAG+3u4c=",0)</f>
        <v>#REF!</v>
      </c>
      <c r="EG323" t="e">
        <f>IF(#REF!,"AAAAAG+3u4g=",0)</f>
        <v>#REF!</v>
      </c>
      <c r="EH323" t="e">
        <f>IF(#REF!,"AAAAAG+3u4k=",0)</f>
        <v>#REF!</v>
      </c>
      <c r="EI323" t="e">
        <f>IF(#REF!,"AAAAAG+3u4o=",0)</f>
        <v>#REF!</v>
      </c>
      <c r="EJ323" t="e">
        <f>IF(#REF!,"AAAAAG+3u4s=",0)</f>
        <v>#REF!</v>
      </c>
      <c r="EK323" t="e">
        <f>IF(#REF!,"AAAAAG+3u4w=",0)</f>
        <v>#REF!</v>
      </c>
      <c r="EL323" t="e">
        <f>IF(#REF!,"AAAAAG+3u40=",0)</f>
        <v>#REF!</v>
      </c>
      <c r="EM323" t="e">
        <f>IF(#REF!,"AAAAAG+3u44=",0)</f>
        <v>#REF!</v>
      </c>
      <c r="EN323" t="e">
        <f>IF(#REF!,"AAAAAG+3u48=",0)</f>
        <v>#REF!</v>
      </c>
      <c r="EO323" t="e">
        <f>IF(#REF!,"AAAAAG+3u5A=",0)</f>
        <v>#REF!</v>
      </c>
      <c r="EP323" t="e">
        <f>IF(#REF!,"AAAAAG+3u5E=",0)</f>
        <v>#REF!</v>
      </c>
      <c r="EQ323" t="e">
        <f>IF(#REF!,"AAAAAG+3u5I=",0)</f>
        <v>#REF!</v>
      </c>
      <c r="ER323" t="e">
        <f>IF(#REF!,"AAAAAG+3u5M=",0)</f>
        <v>#REF!</v>
      </c>
      <c r="ES323" t="e">
        <f>IF(#REF!,"AAAAAG+3u5Q=",0)</f>
        <v>#REF!</v>
      </c>
      <c r="ET323" t="e">
        <f>IF(#REF!,"AAAAAG+3u5U=",0)</f>
        <v>#REF!</v>
      </c>
      <c r="EU323" t="e">
        <f>IF(#REF!,"AAAAAG+3u5Y=",0)</f>
        <v>#REF!</v>
      </c>
      <c r="EV323" t="e">
        <f>IF(#REF!,"AAAAAG+3u5c=",0)</f>
        <v>#REF!</v>
      </c>
      <c r="EW323" t="e">
        <f>IF(#REF!,"AAAAAG+3u5g=",0)</f>
        <v>#REF!</v>
      </c>
      <c r="EX323" t="e">
        <f>IF(#REF!,"AAAAAG+3u5k=",0)</f>
        <v>#REF!</v>
      </c>
      <c r="EY323" t="e">
        <f>IF(#REF!,"AAAAAG+3u5o=",0)</f>
        <v>#REF!</v>
      </c>
      <c r="EZ323" t="e">
        <f>IF(#REF!,"AAAAAG+3u5s=",0)</f>
        <v>#REF!</v>
      </c>
      <c r="FA323" t="e">
        <f>IF(#REF!,"AAAAAG+3u5w=",0)</f>
        <v>#REF!</v>
      </c>
      <c r="FB323" t="e">
        <f>IF(#REF!,"AAAAAG+3u50=",0)</f>
        <v>#REF!</v>
      </c>
      <c r="FC323" t="e">
        <f>IF(#REF!,"AAAAAG+3u54=",0)</f>
        <v>#REF!</v>
      </c>
      <c r="FD323" t="e">
        <f>IF(#REF!,"AAAAAG+3u58=",0)</f>
        <v>#REF!</v>
      </c>
      <c r="FE323" t="e">
        <f>IF(#REF!,"AAAAAG+3u6A=",0)</f>
        <v>#REF!</v>
      </c>
      <c r="FF323" t="e">
        <f>IF(#REF!,"AAAAAG+3u6E=",0)</f>
        <v>#REF!</v>
      </c>
      <c r="FG323" t="e">
        <f>IF(#REF!,"AAAAAG+3u6I=",0)</f>
        <v>#REF!</v>
      </c>
      <c r="FH323" t="e">
        <f>IF(#REF!,"AAAAAG+3u6M=",0)</f>
        <v>#REF!</v>
      </c>
      <c r="FI323" t="e">
        <f>IF(#REF!,"AAAAAG+3u6Q=",0)</f>
        <v>#REF!</v>
      </c>
      <c r="FJ323" t="e">
        <f>IF(#REF!,"AAAAAG+3u6U=",0)</f>
        <v>#REF!</v>
      </c>
      <c r="FK323" t="e">
        <f>IF(#REF!,"AAAAAG+3u6Y=",0)</f>
        <v>#REF!</v>
      </c>
      <c r="FL323" t="e">
        <f>IF(#REF!,"AAAAAG+3u6c=",0)</f>
        <v>#REF!</v>
      </c>
      <c r="FM323" t="e">
        <f>IF(#REF!,"AAAAAG+3u6g=",0)</f>
        <v>#REF!</v>
      </c>
      <c r="FN323" t="e">
        <f>IF(#REF!,"AAAAAG+3u6k=",0)</f>
        <v>#REF!</v>
      </c>
      <c r="FO323" t="e">
        <f>IF(#REF!,"AAAAAG+3u6o=",0)</f>
        <v>#REF!</v>
      </c>
      <c r="FP323" t="e">
        <f>IF(#REF!,"AAAAAG+3u6s=",0)</f>
        <v>#REF!</v>
      </c>
      <c r="FQ323" t="e">
        <f>IF(#REF!,"AAAAAG+3u6w=",0)</f>
        <v>#REF!</v>
      </c>
      <c r="FR323" t="e">
        <f>IF(#REF!,"AAAAAG+3u60=",0)</f>
        <v>#REF!</v>
      </c>
      <c r="FS323" t="e">
        <f>IF(#REF!,"AAAAAG+3u64=",0)</f>
        <v>#REF!</v>
      </c>
      <c r="FT323" t="e">
        <f>IF(#REF!,"AAAAAG+3u68=",0)</f>
        <v>#REF!</v>
      </c>
      <c r="FU323" t="e">
        <f>IF(#REF!,"AAAAAG+3u7A=",0)</f>
        <v>#REF!</v>
      </c>
      <c r="FV323" t="e">
        <f>IF(#REF!,"AAAAAG+3u7E=",0)</f>
        <v>#REF!</v>
      </c>
      <c r="FW323" t="e">
        <f>IF(#REF!,"AAAAAG+3u7I=",0)</f>
        <v>#REF!</v>
      </c>
      <c r="FX323" t="e">
        <f>IF(#REF!,"AAAAAG+3u7M=",0)</f>
        <v>#REF!</v>
      </c>
      <c r="FY323" t="e">
        <f>IF(#REF!,"AAAAAG+3u7Q=",0)</f>
        <v>#REF!</v>
      </c>
      <c r="FZ323" t="e">
        <f>IF(#REF!,"AAAAAG+3u7U=",0)</f>
        <v>#REF!</v>
      </c>
      <c r="GA323" t="e">
        <f>IF(#REF!,"AAAAAG+3u7Y=",0)</f>
        <v>#REF!</v>
      </c>
      <c r="GB323" t="e">
        <f>IF(#REF!,"AAAAAG+3u7c=",0)</f>
        <v>#REF!</v>
      </c>
      <c r="GC323" t="e">
        <f>IF(#REF!,"AAAAAG+3u7g=",0)</f>
        <v>#REF!</v>
      </c>
      <c r="GD323" t="e">
        <f>IF(#REF!,"AAAAAG+3u7k=",0)</f>
        <v>#REF!</v>
      </c>
      <c r="GE323" t="e">
        <f>IF(#REF!,"AAAAAG+3u7o=",0)</f>
        <v>#REF!</v>
      </c>
      <c r="GF323" t="e">
        <f>IF(#REF!,"AAAAAG+3u7s=",0)</f>
        <v>#REF!</v>
      </c>
      <c r="GG323" t="e">
        <f>IF(#REF!,"AAAAAG+3u7w=",0)</f>
        <v>#REF!</v>
      </c>
      <c r="GH323" t="e">
        <f>IF(#REF!,"AAAAAG+3u70=",0)</f>
        <v>#REF!</v>
      </c>
      <c r="GI323" t="e">
        <f>IF(#REF!,"AAAAAG+3u74=",0)</f>
        <v>#REF!</v>
      </c>
      <c r="GJ323" t="e">
        <f>IF(#REF!,"AAAAAG+3u78=",0)</f>
        <v>#REF!</v>
      </c>
      <c r="GK323" t="e">
        <f>IF(#REF!,"AAAAAG+3u8A=",0)</f>
        <v>#REF!</v>
      </c>
      <c r="GL323" t="e">
        <f>IF(#REF!,"AAAAAG+3u8E=",0)</f>
        <v>#REF!</v>
      </c>
      <c r="GM323" t="e">
        <f>IF(#REF!,"AAAAAG+3u8I=",0)</f>
        <v>#REF!</v>
      </c>
      <c r="GN323" t="e">
        <f>IF(#REF!,"AAAAAG+3u8M=",0)</f>
        <v>#REF!</v>
      </c>
      <c r="GO323" t="e">
        <f>IF(#REF!,"AAAAAG+3u8Q=",0)</f>
        <v>#REF!</v>
      </c>
      <c r="GP323" t="e">
        <f>IF(#REF!,"AAAAAG+3u8U=",0)</f>
        <v>#REF!</v>
      </c>
      <c r="GQ323" t="e">
        <f>IF(#REF!,"AAAAAG+3u8Y=",0)</f>
        <v>#REF!</v>
      </c>
      <c r="GR323" t="e">
        <f>IF(#REF!,"AAAAAG+3u8c=",0)</f>
        <v>#REF!</v>
      </c>
      <c r="GS323" t="e">
        <f>IF(#REF!,"AAAAAG+3u8g=",0)</f>
        <v>#REF!</v>
      </c>
      <c r="GT323" t="e">
        <f>IF(#REF!,"AAAAAG+3u8k=",0)</f>
        <v>#REF!</v>
      </c>
      <c r="GU323" t="e">
        <f>IF(#REF!,"AAAAAG+3u8o=",0)</f>
        <v>#REF!</v>
      </c>
      <c r="GV323" t="e">
        <f>IF(#REF!,"AAAAAG+3u8s=",0)</f>
        <v>#REF!</v>
      </c>
      <c r="GW323" t="e">
        <f>IF(#REF!,"AAAAAG+3u8w=",0)</f>
        <v>#REF!</v>
      </c>
      <c r="GX323" t="e">
        <f>IF(#REF!,"AAAAAG+3u80=",0)</f>
        <v>#REF!</v>
      </c>
      <c r="GY323" t="e">
        <f>IF(#REF!,"AAAAAG+3u84=",0)</f>
        <v>#REF!</v>
      </c>
      <c r="GZ323" t="e">
        <f>IF(#REF!,"AAAAAG+3u88=",0)</f>
        <v>#REF!</v>
      </c>
      <c r="HA323" t="e">
        <f>IF(#REF!,"AAAAAG+3u9A=",0)</f>
        <v>#REF!</v>
      </c>
      <c r="HB323" t="e">
        <f>IF(#REF!,"AAAAAG+3u9E=",0)</f>
        <v>#REF!</v>
      </c>
      <c r="HC323" t="e">
        <f>IF(#REF!,"AAAAAG+3u9I=",0)</f>
        <v>#REF!</v>
      </c>
      <c r="HD323" t="e">
        <f>IF(#REF!,"AAAAAG+3u9M=",0)</f>
        <v>#REF!</v>
      </c>
      <c r="HE323" t="e">
        <f>IF(#REF!,"AAAAAG+3u9Q=",0)</f>
        <v>#REF!</v>
      </c>
      <c r="HF323" t="e">
        <f>IF(#REF!,"AAAAAG+3u9U=",0)</f>
        <v>#REF!</v>
      </c>
      <c r="HG323" t="e">
        <f>IF(#REF!,"AAAAAG+3u9Y=",0)</f>
        <v>#REF!</v>
      </c>
      <c r="HH323" t="e">
        <f>IF(#REF!,"AAAAAG+3u9c=",0)</f>
        <v>#REF!</v>
      </c>
      <c r="HI323" t="e">
        <f>IF(#REF!,"AAAAAG+3u9g=",0)</f>
        <v>#REF!</v>
      </c>
      <c r="HJ323" t="e">
        <f>IF(#REF!,"AAAAAG+3u9k=",0)</f>
        <v>#REF!</v>
      </c>
      <c r="HK323" t="e">
        <f>IF(#REF!,"AAAAAG+3u9o=",0)</f>
        <v>#REF!</v>
      </c>
      <c r="HL323" t="e">
        <f>IF(#REF!,"AAAAAG+3u9s=",0)</f>
        <v>#REF!</v>
      </c>
      <c r="HM323" t="e">
        <f>IF(#REF!,"AAAAAG+3u9w=",0)</f>
        <v>#REF!</v>
      </c>
      <c r="HN323" t="e">
        <f>IF(#REF!,"AAAAAG+3u90=",0)</f>
        <v>#REF!</v>
      </c>
      <c r="HO323" t="e">
        <f>IF(#REF!,"AAAAAG+3u94=",0)</f>
        <v>#REF!</v>
      </c>
      <c r="HP323" t="e">
        <f>IF(#REF!,"AAAAAG+3u98=",0)</f>
        <v>#REF!</v>
      </c>
      <c r="HQ323" t="e">
        <f>IF(#REF!,"AAAAAG+3u+A=",0)</f>
        <v>#REF!</v>
      </c>
      <c r="HR323" t="e">
        <f>IF(#REF!,"AAAAAG+3u+E=",0)</f>
        <v>#REF!</v>
      </c>
      <c r="HS323" t="e">
        <f>IF(#REF!,"AAAAAG+3u+I=",0)</f>
        <v>#REF!</v>
      </c>
      <c r="HT323" t="e">
        <f>IF(#REF!,"AAAAAG+3u+M=",0)</f>
        <v>#REF!</v>
      </c>
      <c r="HU323" t="e">
        <f>IF(#REF!,"AAAAAG+3u+Q=",0)</f>
        <v>#REF!</v>
      </c>
      <c r="HV323" t="e">
        <f>IF(#REF!,"AAAAAG+3u+U=",0)</f>
        <v>#REF!</v>
      </c>
      <c r="HW323" t="e">
        <f>IF(#REF!,"AAAAAG+3u+Y=",0)</f>
        <v>#REF!</v>
      </c>
      <c r="HX323" t="e">
        <f>IF(#REF!,"AAAAAG+3u+c=",0)</f>
        <v>#REF!</v>
      </c>
      <c r="HY323" t="e">
        <f>IF(#REF!,"AAAAAG+3u+g=",0)</f>
        <v>#REF!</v>
      </c>
      <c r="HZ323" t="e">
        <f>IF(#REF!,"AAAAAG+3u+k=",0)</f>
        <v>#REF!</v>
      </c>
      <c r="IA323" t="e">
        <f>IF(#REF!,"AAAAAG+3u+o=",0)</f>
        <v>#REF!</v>
      </c>
      <c r="IB323" t="e">
        <f>IF(#REF!,"AAAAAG+3u+s=",0)</f>
        <v>#REF!</v>
      </c>
      <c r="IC323" t="e">
        <f>IF(#REF!,"AAAAAG+3u+w=",0)</f>
        <v>#REF!</v>
      </c>
      <c r="ID323" t="e">
        <f>IF(#REF!,"AAAAAG+3u+0=",0)</f>
        <v>#REF!</v>
      </c>
      <c r="IE323" t="e">
        <f>IF(#REF!,"AAAAAG+3u+4=",0)</f>
        <v>#REF!</v>
      </c>
      <c r="IF323" t="e">
        <f>IF(#REF!,"AAAAAG+3u+8=",0)</f>
        <v>#REF!</v>
      </c>
      <c r="IG323" t="e">
        <f>IF(#REF!,"AAAAAG+3u/A=",0)</f>
        <v>#REF!</v>
      </c>
      <c r="IH323" t="e">
        <f>IF(#REF!,"AAAAAG+3u/E=",0)</f>
        <v>#REF!</v>
      </c>
      <c r="II323" t="e">
        <f>IF(#REF!,"AAAAAG+3u/I=",0)</f>
        <v>#REF!</v>
      </c>
      <c r="IJ323" t="e">
        <f>IF(#REF!,"AAAAAG+3u/M=",0)</f>
        <v>#REF!</v>
      </c>
      <c r="IK323" t="e">
        <f>IF(#REF!,"AAAAAG+3u/Q=",0)</f>
        <v>#REF!</v>
      </c>
      <c r="IL323" t="e">
        <f>IF(#REF!,"AAAAAG+3u/U=",0)</f>
        <v>#REF!</v>
      </c>
      <c r="IM323" t="e">
        <f>IF(#REF!,"AAAAAG+3u/Y=",0)</f>
        <v>#REF!</v>
      </c>
      <c r="IN323" t="e">
        <f>IF(#REF!,"AAAAAG+3u/c=",0)</f>
        <v>#REF!</v>
      </c>
      <c r="IO323" t="e">
        <f>IF(#REF!,"AAAAAG+3u/g=",0)</f>
        <v>#REF!</v>
      </c>
      <c r="IP323" t="e">
        <f>IF(#REF!,"AAAAAG+3u/k=",0)</f>
        <v>#REF!</v>
      </c>
      <c r="IQ323" t="e">
        <f>IF(#REF!,"AAAAAG+3u/o=",0)</f>
        <v>#REF!</v>
      </c>
      <c r="IR323" t="e">
        <f>IF(#REF!,"AAAAAG+3u/s=",0)</f>
        <v>#REF!</v>
      </c>
      <c r="IS323" t="e">
        <f>IF(#REF!,"AAAAAG+3u/w=",0)</f>
        <v>#REF!</v>
      </c>
      <c r="IT323" t="e">
        <f>IF(#REF!,"AAAAAG+3u/0=",0)</f>
        <v>#REF!</v>
      </c>
      <c r="IU323" t="e">
        <f>IF(#REF!,"AAAAAG+3u/4=",0)</f>
        <v>#REF!</v>
      </c>
      <c r="IV323" t="e">
        <f>IF(#REF!,"AAAAAG+3u/8=",0)</f>
        <v>#REF!</v>
      </c>
    </row>
    <row r="324" spans="1:256">
      <c r="A324" t="e">
        <f>IF(#REF!,"AAAAAH3/7wA=",0)</f>
        <v>#REF!</v>
      </c>
      <c r="B324" t="e">
        <f>IF(#REF!,"AAAAAH3/7wE=",0)</f>
        <v>#REF!</v>
      </c>
      <c r="C324" t="e">
        <f>IF(#REF!,"AAAAAH3/7wI=",0)</f>
        <v>#REF!</v>
      </c>
      <c r="D324" t="e">
        <f>IF(#REF!,"AAAAAH3/7wM=",0)</f>
        <v>#REF!</v>
      </c>
      <c r="E324" t="e">
        <f>IF(#REF!,"AAAAAH3/7wQ=",0)</f>
        <v>#REF!</v>
      </c>
      <c r="F324" t="e">
        <f>IF(#REF!,"AAAAAH3/7wU=",0)</f>
        <v>#REF!</v>
      </c>
      <c r="G324" t="e">
        <f>IF(#REF!,"AAAAAH3/7wY=",0)</f>
        <v>#REF!</v>
      </c>
      <c r="H324" t="e">
        <f>IF(#REF!,"AAAAAH3/7wc=",0)</f>
        <v>#REF!</v>
      </c>
      <c r="I324" t="e">
        <f>IF(#REF!,"AAAAAH3/7wg=",0)</f>
        <v>#REF!</v>
      </c>
      <c r="J324" t="e">
        <f>IF(#REF!,"AAAAAH3/7wk=",0)</f>
        <v>#REF!</v>
      </c>
      <c r="K324" t="e">
        <f>IF(#REF!,"AAAAAH3/7wo=",0)</f>
        <v>#REF!</v>
      </c>
      <c r="L324" t="e">
        <f>IF(#REF!,"AAAAAH3/7ws=",0)</f>
        <v>#REF!</v>
      </c>
      <c r="M324" t="e">
        <f>IF(#REF!,"AAAAAH3/7ww=",0)</f>
        <v>#REF!</v>
      </c>
      <c r="N324" t="e">
        <f>IF(#REF!,"AAAAAH3/7w0=",0)</f>
        <v>#REF!</v>
      </c>
      <c r="O324" t="e">
        <f>IF(#REF!,"AAAAAH3/7w4=",0)</f>
        <v>#REF!</v>
      </c>
      <c r="P324" t="e">
        <f>IF(#REF!,"AAAAAH3/7w8=",0)</f>
        <v>#REF!</v>
      </c>
      <c r="Q324" t="e">
        <f>IF(#REF!,"AAAAAH3/7xA=",0)</f>
        <v>#REF!</v>
      </c>
      <c r="R324" t="e">
        <f>IF(#REF!,"AAAAAH3/7xE=",0)</f>
        <v>#REF!</v>
      </c>
      <c r="S324" t="e">
        <f>IF(#REF!,"AAAAAH3/7xI=",0)</f>
        <v>#REF!</v>
      </c>
      <c r="T324" t="e">
        <f>IF(#REF!,"AAAAAH3/7xM=",0)</f>
        <v>#REF!</v>
      </c>
      <c r="U324" t="e">
        <f>IF(#REF!,"AAAAAH3/7xQ=",0)</f>
        <v>#REF!</v>
      </c>
      <c r="V324" t="e">
        <f>IF(#REF!,"AAAAAH3/7xU=",0)</f>
        <v>#REF!</v>
      </c>
      <c r="W324" t="e">
        <f>IF(#REF!,"AAAAAH3/7xY=",0)</f>
        <v>#REF!</v>
      </c>
      <c r="X324" t="e">
        <f>IF(#REF!,"AAAAAH3/7xc=",0)</f>
        <v>#REF!</v>
      </c>
      <c r="Y324" t="e">
        <f>IF(#REF!,"AAAAAH3/7xg=",0)</f>
        <v>#REF!</v>
      </c>
      <c r="Z324" t="e">
        <f>IF(#REF!,"AAAAAH3/7xk=",0)</f>
        <v>#REF!</v>
      </c>
      <c r="AA324" t="e">
        <f>IF(#REF!,"AAAAAH3/7xo=",0)</f>
        <v>#REF!</v>
      </c>
      <c r="AB324" t="e">
        <f>IF(#REF!,"AAAAAH3/7xs=",0)</f>
        <v>#REF!</v>
      </c>
      <c r="AC324" t="e">
        <f>IF(#REF!,"AAAAAH3/7xw=",0)</f>
        <v>#REF!</v>
      </c>
      <c r="AD324" t="e">
        <f>IF(#REF!,"AAAAAH3/7x0=",0)</f>
        <v>#REF!</v>
      </c>
      <c r="AE324" t="e">
        <f>IF(#REF!,"AAAAAH3/7x4=",0)</f>
        <v>#REF!</v>
      </c>
      <c r="AF324" t="e">
        <f>IF(#REF!,"AAAAAH3/7x8=",0)</f>
        <v>#REF!</v>
      </c>
      <c r="AG324" t="e">
        <f>IF(#REF!,"AAAAAH3/7yA=",0)</f>
        <v>#REF!</v>
      </c>
      <c r="AH324" t="e">
        <f>IF(#REF!,"AAAAAH3/7yE=",0)</f>
        <v>#REF!</v>
      </c>
      <c r="AI324" t="e">
        <f>IF(#REF!,"AAAAAH3/7yI=",0)</f>
        <v>#REF!</v>
      </c>
      <c r="AJ324" t="e">
        <f>IF(#REF!,"AAAAAH3/7yM=",0)</f>
        <v>#REF!</v>
      </c>
      <c r="AK324" t="e">
        <f>IF(#REF!,"AAAAAH3/7yQ=",0)</f>
        <v>#REF!</v>
      </c>
      <c r="AL324" t="e">
        <f>IF(#REF!,"AAAAAH3/7yU=",0)</f>
        <v>#REF!</v>
      </c>
      <c r="AM324" t="e">
        <f>IF(#REF!,"AAAAAH3/7yY=",0)</f>
        <v>#REF!</v>
      </c>
      <c r="AN324" t="e">
        <f>IF(#REF!,"AAAAAH3/7yc=",0)</f>
        <v>#REF!</v>
      </c>
      <c r="AO324" t="e">
        <f>IF(#REF!,"AAAAAH3/7yg=",0)</f>
        <v>#REF!</v>
      </c>
      <c r="AP324" t="e">
        <f>IF(#REF!,"AAAAAH3/7yk=",0)</f>
        <v>#REF!</v>
      </c>
      <c r="AQ324" t="e">
        <f>IF(#REF!,"AAAAAH3/7yo=",0)</f>
        <v>#REF!</v>
      </c>
      <c r="AR324" t="e">
        <f>IF(#REF!,"AAAAAH3/7ys=",0)</f>
        <v>#REF!</v>
      </c>
      <c r="AS324" t="e">
        <f>IF(#REF!,"AAAAAH3/7yw=",0)</f>
        <v>#REF!</v>
      </c>
      <c r="AT324" t="e">
        <f>IF(#REF!,"AAAAAH3/7y0=",0)</f>
        <v>#REF!</v>
      </c>
      <c r="AU324" t="e">
        <f>IF(#REF!,"AAAAAH3/7y4=",0)</f>
        <v>#REF!</v>
      </c>
      <c r="AV324" t="e">
        <f>IF(#REF!,"AAAAAH3/7y8=",0)</f>
        <v>#REF!</v>
      </c>
      <c r="AW324" t="e">
        <f>IF(#REF!,"AAAAAH3/7zA=",0)</f>
        <v>#REF!</v>
      </c>
      <c r="AX324" t="e">
        <f>IF(#REF!,"AAAAAH3/7zE=",0)</f>
        <v>#REF!</v>
      </c>
      <c r="AY324" t="e">
        <f>IF(#REF!,"AAAAAH3/7zI=",0)</f>
        <v>#REF!</v>
      </c>
      <c r="AZ324" t="e">
        <f>IF(#REF!,"AAAAAH3/7zM=",0)</f>
        <v>#REF!</v>
      </c>
      <c r="BA324" t="e">
        <f>IF(#REF!,"AAAAAH3/7zQ=",0)</f>
        <v>#REF!</v>
      </c>
      <c r="BB324" t="e">
        <f>IF(#REF!,"AAAAAH3/7zU=",0)</f>
        <v>#REF!</v>
      </c>
      <c r="BC324" t="e">
        <f>IF(#REF!,"AAAAAH3/7zY=",0)</f>
        <v>#REF!</v>
      </c>
      <c r="BD324" t="e">
        <f>IF(#REF!,"AAAAAH3/7zc=",0)</f>
        <v>#REF!</v>
      </c>
      <c r="BE324" t="e">
        <f>IF(#REF!,"AAAAAH3/7zg=",0)</f>
        <v>#REF!</v>
      </c>
      <c r="BF324" t="e">
        <f>IF(#REF!,"AAAAAH3/7zk=",0)</f>
        <v>#REF!</v>
      </c>
      <c r="BG324" t="e">
        <f>IF(#REF!,"AAAAAH3/7zo=",0)</f>
        <v>#REF!</v>
      </c>
      <c r="BH324" t="e">
        <f>IF(#REF!,"AAAAAH3/7zs=",0)</f>
        <v>#REF!</v>
      </c>
      <c r="BI324" t="e">
        <f>IF(#REF!,"AAAAAH3/7zw=",0)</f>
        <v>#REF!</v>
      </c>
      <c r="BJ324" t="e">
        <f>IF(#REF!,"AAAAAH3/7z0=",0)</f>
        <v>#REF!</v>
      </c>
      <c r="BK324" t="e">
        <f>IF(#REF!,"AAAAAH3/7z4=",0)</f>
        <v>#REF!</v>
      </c>
      <c r="BL324" t="e">
        <f>IF(#REF!,"AAAAAH3/7z8=",0)</f>
        <v>#REF!</v>
      </c>
      <c r="BM324" t="e">
        <f>IF(#REF!,"AAAAAH3/70A=",0)</f>
        <v>#REF!</v>
      </c>
      <c r="BN324" t="e">
        <f>IF(#REF!,"AAAAAH3/70E=",0)</f>
        <v>#REF!</v>
      </c>
      <c r="BO324" t="e">
        <f>IF(#REF!,"AAAAAH3/70I=",0)</f>
        <v>#REF!</v>
      </c>
      <c r="BP324" t="e">
        <f>IF(#REF!,"AAAAAH3/70M=",0)</f>
        <v>#REF!</v>
      </c>
      <c r="BQ324" t="e">
        <f>IF(#REF!,"AAAAAH3/70Q=",0)</f>
        <v>#REF!</v>
      </c>
      <c r="BR324" t="e">
        <f>IF(#REF!,"AAAAAH3/70U=",0)</f>
        <v>#REF!</v>
      </c>
      <c r="BS324" t="e">
        <f>IF(#REF!,"AAAAAH3/70Y=",0)</f>
        <v>#REF!</v>
      </c>
      <c r="BT324" t="e">
        <f>IF(#REF!,"AAAAAH3/70c=",0)</f>
        <v>#REF!</v>
      </c>
      <c r="BU324" t="e">
        <f>IF(#REF!,"AAAAAH3/70g=",0)</f>
        <v>#REF!</v>
      </c>
      <c r="BV324" t="e">
        <f>IF(#REF!,"AAAAAH3/70k=",0)</f>
        <v>#REF!</v>
      </c>
      <c r="BW324" t="e">
        <f>IF(#REF!,"AAAAAH3/70o=",0)</f>
        <v>#REF!</v>
      </c>
      <c r="BX324" t="e">
        <f>IF(#REF!,"AAAAAH3/70s=",0)</f>
        <v>#REF!</v>
      </c>
      <c r="BY324" t="e">
        <f>IF(#REF!,"AAAAAH3/70w=",0)</f>
        <v>#REF!</v>
      </c>
      <c r="BZ324" t="e">
        <f>IF(#REF!,"AAAAAH3/700=",0)</f>
        <v>#REF!</v>
      </c>
      <c r="CA324" t="e">
        <f>IF(#REF!,"AAAAAH3/704=",0)</f>
        <v>#REF!</v>
      </c>
      <c r="CB324" t="e">
        <f>IF(#REF!,"AAAAAH3/708=",0)</f>
        <v>#REF!</v>
      </c>
      <c r="CC324" t="e">
        <f>IF(#REF!,"AAAAAH3/71A=",0)</f>
        <v>#REF!</v>
      </c>
      <c r="CD324" t="e">
        <f>IF(#REF!,"AAAAAH3/71E=",0)</f>
        <v>#REF!</v>
      </c>
      <c r="CE324" t="e">
        <f>IF(#REF!,"AAAAAH3/71I=",0)</f>
        <v>#REF!</v>
      </c>
      <c r="CF324" t="e">
        <f>IF(#REF!,"AAAAAH3/71M=",0)</f>
        <v>#REF!</v>
      </c>
      <c r="CG324" t="e">
        <f>IF(#REF!,"AAAAAH3/71Q=",0)</f>
        <v>#REF!</v>
      </c>
      <c r="CH324" t="e">
        <f>IF(#REF!,"AAAAAH3/71U=",0)</f>
        <v>#REF!</v>
      </c>
      <c r="CI324" t="e">
        <f>IF(#REF!,"AAAAAH3/71Y=",0)</f>
        <v>#REF!</v>
      </c>
      <c r="CJ324" t="e">
        <f>IF(#REF!,"AAAAAH3/71c=",0)</f>
        <v>#REF!</v>
      </c>
      <c r="CK324" t="e">
        <f>IF(#REF!,"AAAAAH3/71g=",0)</f>
        <v>#REF!</v>
      </c>
      <c r="CL324" t="e">
        <f>IF(#REF!,"AAAAAH3/71k=",0)</f>
        <v>#REF!</v>
      </c>
      <c r="CM324" t="e">
        <f>IF(#REF!,"AAAAAH3/71o=",0)</f>
        <v>#REF!</v>
      </c>
      <c r="CN324" t="e">
        <f>IF(#REF!,"AAAAAH3/71s=",0)</f>
        <v>#REF!</v>
      </c>
      <c r="CO324" t="e">
        <f>IF(#REF!,"AAAAAH3/71w=",0)</f>
        <v>#REF!</v>
      </c>
      <c r="CP324" t="e">
        <f>IF(#REF!,"AAAAAH3/710=",0)</f>
        <v>#REF!</v>
      </c>
      <c r="CQ324" t="e">
        <f>IF(#REF!,"AAAAAH3/714=",0)</f>
        <v>#REF!</v>
      </c>
      <c r="CR324" t="e">
        <f>IF(#REF!,"AAAAAH3/718=",0)</f>
        <v>#REF!</v>
      </c>
      <c r="CS324" t="e">
        <f>IF(#REF!,"AAAAAH3/72A=",0)</f>
        <v>#REF!</v>
      </c>
      <c r="CT324" t="e">
        <f>IF(#REF!,"AAAAAH3/72E=",0)</f>
        <v>#REF!</v>
      </c>
      <c r="CU324" t="e">
        <f>IF(#REF!,"AAAAAH3/72I=",0)</f>
        <v>#REF!</v>
      </c>
      <c r="CV324" t="e">
        <f>IF(#REF!,"AAAAAH3/72M=",0)</f>
        <v>#REF!</v>
      </c>
      <c r="CW324" t="e">
        <f>IF(#REF!,"AAAAAH3/72Q=",0)</f>
        <v>#REF!</v>
      </c>
      <c r="CX324" t="e">
        <f>IF(#REF!,"AAAAAH3/72U=",0)</f>
        <v>#REF!</v>
      </c>
      <c r="CY324" t="e">
        <f>IF(#REF!,"AAAAAH3/72Y=",0)</f>
        <v>#REF!</v>
      </c>
      <c r="CZ324" t="e">
        <f>IF(#REF!,"AAAAAH3/72c=",0)</f>
        <v>#REF!</v>
      </c>
      <c r="DA324" t="e">
        <f>IF(#REF!,"AAAAAH3/72g=",0)</f>
        <v>#REF!</v>
      </c>
      <c r="DB324" t="e">
        <f>IF(#REF!,"AAAAAH3/72k=",0)</f>
        <v>#REF!</v>
      </c>
      <c r="DC324" t="e">
        <f>IF(#REF!,"AAAAAH3/72o=",0)</f>
        <v>#REF!</v>
      </c>
      <c r="DD324" t="e">
        <f>IF(#REF!,"AAAAAH3/72s=",0)</f>
        <v>#REF!</v>
      </c>
      <c r="DE324" t="e">
        <f>IF(#REF!,"AAAAAH3/72w=",0)</f>
        <v>#REF!</v>
      </c>
      <c r="DF324" t="e">
        <f>IF(#REF!,"AAAAAH3/720=",0)</f>
        <v>#REF!</v>
      </c>
      <c r="DG324" t="e">
        <f>IF(#REF!,"AAAAAH3/724=",0)</f>
        <v>#REF!</v>
      </c>
      <c r="DH324" t="e">
        <f>IF(#REF!,"AAAAAH3/728=",0)</f>
        <v>#REF!</v>
      </c>
      <c r="DI324" t="e">
        <f>IF(#REF!,"AAAAAH3/73A=",0)</f>
        <v>#REF!</v>
      </c>
      <c r="DJ324" t="e">
        <f>IF(#REF!,"AAAAAH3/73E=",0)</f>
        <v>#REF!</v>
      </c>
      <c r="DK324" t="e">
        <f>IF(#REF!,"AAAAAH3/73I=",0)</f>
        <v>#REF!</v>
      </c>
      <c r="DL324" t="e">
        <f>IF(#REF!,"AAAAAH3/73M=",0)</f>
        <v>#REF!</v>
      </c>
      <c r="DM324" t="e">
        <f>IF(#REF!,"AAAAAH3/73Q=",0)</f>
        <v>#REF!</v>
      </c>
      <c r="DN324" t="e">
        <f>IF(#REF!,"AAAAAH3/73U=",0)</f>
        <v>#REF!</v>
      </c>
      <c r="DO324" t="e">
        <f>IF(#REF!,"AAAAAH3/73Y=",0)</f>
        <v>#REF!</v>
      </c>
      <c r="DP324" t="e">
        <f>IF(#REF!,"AAAAAH3/73c=",0)</f>
        <v>#REF!</v>
      </c>
      <c r="DQ324" t="e">
        <f>IF(#REF!,"AAAAAH3/73g=",0)</f>
        <v>#REF!</v>
      </c>
      <c r="DR324" t="e">
        <f>IF(#REF!,"AAAAAH3/73k=",0)</f>
        <v>#REF!</v>
      </c>
      <c r="DS324" t="e">
        <f>IF(#REF!,"AAAAAH3/73o=",0)</f>
        <v>#REF!</v>
      </c>
      <c r="DT324" t="e">
        <f>IF(#REF!,"AAAAAH3/73s=",0)</f>
        <v>#REF!</v>
      </c>
      <c r="DU324" t="e">
        <f>IF(#REF!,"AAAAAH3/73w=",0)</f>
        <v>#REF!</v>
      </c>
      <c r="DV324" t="e">
        <f>IF(#REF!,"AAAAAH3/730=",0)</f>
        <v>#REF!</v>
      </c>
      <c r="DW324" t="e">
        <f>IF(#REF!,"AAAAAH3/734=",0)</f>
        <v>#REF!</v>
      </c>
      <c r="DX324" t="e">
        <f>IF(#REF!,"AAAAAH3/738=",0)</f>
        <v>#REF!</v>
      </c>
      <c r="DY324" t="e">
        <f>IF(#REF!,"AAAAAH3/74A=",0)</f>
        <v>#REF!</v>
      </c>
      <c r="DZ324" t="e">
        <f>IF(#REF!,"AAAAAH3/74E=",0)</f>
        <v>#REF!</v>
      </c>
      <c r="EA324" t="e">
        <f>IF(#REF!,"AAAAAH3/74I=",0)</f>
        <v>#REF!</v>
      </c>
      <c r="EB324" t="e">
        <f>IF(#REF!,"AAAAAH3/74M=",0)</f>
        <v>#REF!</v>
      </c>
      <c r="EC324" t="e">
        <f>IF(#REF!,"AAAAAH3/74Q=",0)</f>
        <v>#REF!</v>
      </c>
      <c r="ED324" t="e">
        <f>IF(#REF!,"AAAAAH3/74U=",0)</f>
        <v>#REF!</v>
      </c>
      <c r="EE324" t="e">
        <f>IF(#REF!,"AAAAAH3/74Y=",0)</f>
        <v>#REF!</v>
      </c>
      <c r="EF324" t="e">
        <f>IF(#REF!,"AAAAAH3/74c=",0)</f>
        <v>#REF!</v>
      </c>
      <c r="EG324" t="e">
        <f>IF(#REF!,"AAAAAH3/74g=",0)</f>
        <v>#REF!</v>
      </c>
      <c r="EH324" t="e">
        <f>IF(#REF!,"AAAAAH3/74k=",0)</f>
        <v>#REF!</v>
      </c>
      <c r="EI324" t="e">
        <f>IF(#REF!,"AAAAAH3/74o=",0)</f>
        <v>#REF!</v>
      </c>
      <c r="EJ324" t="e">
        <f>IF(#REF!,"AAAAAH3/74s=",0)</f>
        <v>#REF!</v>
      </c>
      <c r="EK324" t="e">
        <f>IF(#REF!,"AAAAAH3/74w=",0)</f>
        <v>#REF!</v>
      </c>
      <c r="EL324" t="e">
        <f>IF(#REF!,"AAAAAH3/740=",0)</f>
        <v>#REF!</v>
      </c>
      <c r="EM324" t="e">
        <f>IF(#REF!,"AAAAAH3/744=",0)</f>
        <v>#REF!</v>
      </c>
      <c r="EN324" t="e">
        <f>IF(#REF!,"AAAAAH3/748=",0)</f>
        <v>#REF!</v>
      </c>
      <c r="EO324" t="e">
        <f>IF(#REF!,"AAAAAH3/75A=",0)</f>
        <v>#REF!</v>
      </c>
      <c r="EP324" t="e">
        <f>IF(#REF!,"AAAAAH3/75E=",0)</f>
        <v>#REF!</v>
      </c>
      <c r="EQ324" t="e">
        <f>IF(#REF!,"AAAAAH3/75I=",0)</f>
        <v>#REF!</v>
      </c>
      <c r="ER324" t="e">
        <f>IF(#REF!,"AAAAAH3/75M=",0)</f>
        <v>#REF!</v>
      </c>
      <c r="ES324" t="e">
        <f>IF(#REF!,"AAAAAH3/75Q=",0)</f>
        <v>#REF!</v>
      </c>
      <c r="ET324" t="e">
        <f>IF(#REF!,"AAAAAH3/75U=",0)</f>
        <v>#REF!</v>
      </c>
      <c r="EU324" t="e">
        <f>IF(#REF!,"AAAAAH3/75Y=",0)</f>
        <v>#REF!</v>
      </c>
      <c r="EV324" t="e">
        <f>IF(#REF!,"AAAAAH3/75c=",0)</f>
        <v>#REF!</v>
      </c>
      <c r="EW324" t="e">
        <f>IF(#REF!,"AAAAAH3/75g=",0)</f>
        <v>#REF!</v>
      </c>
      <c r="EX324" t="e">
        <f>IF(#REF!,"AAAAAH3/75k=",0)</f>
        <v>#REF!</v>
      </c>
      <c r="EY324" t="e">
        <f>IF(#REF!,"AAAAAH3/75o=",0)</f>
        <v>#REF!</v>
      </c>
      <c r="EZ324" t="e">
        <f>IF(#REF!,"AAAAAH3/75s=",0)</f>
        <v>#REF!</v>
      </c>
      <c r="FA324" t="e">
        <f>IF(#REF!,"AAAAAH3/75w=",0)</f>
        <v>#REF!</v>
      </c>
      <c r="FB324" t="e">
        <f>IF(#REF!,"AAAAAH3/750=",0)</f>
        <v>#REF!</v>
      </c>
      <c r="FC324" t="e">
        <f>IF(#REF!,"AAAAAH3/754=",0)</f>
        <v>#REF!</v>
      </c>
      <c r="FD324" t="e">
        <f>IF(#REF!,"AAAAAH3/758=",0)</f>
        <v>#REF!</v>
      </c>
      <c r="FE324" t="e">
        <f>IF(#REF!,"AAAAAH3/76A=",0)</f>
        <v>#REF!</v>
      </c>
      <c r="FF324" t="e">
        <f>IF(#REF!,"AAAAAH3/76E=",0)</f>
        <v>#REF!</v>
      </c>
      <c r="FG324" t="e">
        <f>IF(#REF!,"AAAAAH3/76I=",0)</f>
        <v>#REF!</v>
      </c>
      <c r="FH324" t="e">
        <f>IF(#REF!,"AAAAAH3/76M=",0)</f>
        <v>#REF!</v>
      </c>
      <c r="FI324" t="e">
        <f>IF(#REF!,"AAAAAH3/76Q=",0)</f>
        <v>#REF!</v>
      </c>
      <c r="FJ324" t="e">
        <f>IF(#REF!,"AAAAAH3/76U=",0)</f>
        <v>#REF!</v>
      </c>
      <c r="FK324" t="e">
        <f>IF(#REF!,"AAAAAH3/76Y=",0)</f>
        <v>#REF!</v>
      </c>
      <c r="FL324" t="e">
        <f>IF(#REF!,"AAAAAH3/76c=",0)</f>
        <v>#REF!</v>
      </c>
      <c r="FM324" t="e">
        <f>IF(#REF!,"AAAAAH3/76g=",0)</f>
        <v>#REF!</v>
      </c>
      <c r="FN324" t="e">
        <f>IF(#REF!,"AAAAAH3/76k=",0)</f>
        <v>#REF!</v>
      </c>
      <c r="FO324" t="e">
        <f>IF(#REF!,"AAAAAH3/76o=",0)</f>
        <v>#REF!</v>
      </c>
      <c r="FP324" t="e">
        <f>IF(#REF!,"AAAAAH3/76s=",0)</f>
        <v>#REF!</v>
      </c>
      <c r="FQ324" t="e">
        <f>IF(#REF!,"AAAAAH3/76w=",0)</f>
        <v>#REF!</v>
      </c>
      <c r="FR324" t="e">
        <f>IF(#REF!,"AAAAAH3/760=",0)</f>
        <v>#REF!</v>
      </c>
      <c r="FS324" t="e">
        <f>IF(#REF!,"AAAAAH3/764=",0)</f>
        <v>#REF!</v>
      </c>
      <c r="FT324" t="e">
        <f>IF(#REF!,"AAAAAH3/768=",0)</f>
        <v>#REF!</v>
      </c>
      <c r="FU324" t="e">
        <f>IF(#REF!,"AAAAAH3/77A=",0)</f>
        <v>#REF!</v>
      </c>
      <c r="FV324" t="e">
        <f>IF(#REF!,"AAAAAH3/77E=",0)</f>
        <v>#REF!</v>
      </c>
      <c r="FW324" t="e">
        <f>IF(#REF!,"AAAAAH3/77I=",0)</f>
        <v>#REF!</v>
      </c>
      <c r="FX324" t="e">
        <f>IF(#REF!,"AAAAAH3/77M=",0)</f>
        <v>#REF!</v>
      </c>
      <c r="FY324" t="e">
        <f>IF(#REF!,"AAAAAH3/77Q=",0)</f>
        <v>#REF!</v>
      </c>
      <c r="FZ324" t="e">
        <f>IF(#REF!,"AAAAAH3/77U=",0)</f>
        <v>#REF!</v>
      </c>
      <c r="GA324" t="e">
        <f>IF(#REF!,"AAAAAH3/77Y=",0)</f>
        <v>#REF!</v>
      </c>
      <c r="GB324" t="e">
        <f>IF(#REF!,"AAAAAH3/77c=",0)</f>
        <v>#REF!</v>
      </c>
      <c r="GC324" t="e">
        <f>IF(#REF!,"AAAAAH3/77g=",0)</f>
        <v>#REF!</v>
      </c>
      <c r="GD324" t="e">
        <f>IF(#REF!,"AAAAAH3/77k=",0)</f>
        <v>#REF!</v>
      </c>
      <c r="GE324" t="e">
        <f>IF(#REF!,"AAAAAH3/77o=",0)</f>
        <v>#REF!</v>
      </c>
      <c r="GF324" t="e">
        <f>IF(#REF!,"AAAAAH3/77s=",0)</f>
        <v>#REF!</v>
      </c>
      <c r="GG324" t="e">
        <f>IF(#REF!,"AAAAAH3/77w=",0)</f>
        <v>#REF!</v>
      </c>
      <c r="GH324" t="e">
        <f>IF(#REF!,"AAAAAH3/770=",0)</f>
        <v>#REF!</v>
      </c>
      <c r="GI324" t="e">
        <f>IF(#REF!,"AAAAAH3/774=",0)</f>
        <v>#REF!</v>
      </c>
      <c r="GJ324" t="e">
        <f>IF(#REF!,"AAAAAH3/778=",0)</f>
        <v>#REF!</v>
      </c>
      <c r="GK324" t="e">
        <f>IF(#REF!,"AAAAAH3/78A=",0)</f>
        <v>#REF!</v>
      </c>
      <c r="GL324" t="e">
        <f>IF(#REF!,"AAAAAH3/78E=",0)</f>
        <v>#REF!</v>
      </c>
      <c r="GM324" t="e">
        <f>IF(#REF!,"AAAAAH3/78I=",0)</f>
        <v>#REF!</v>
      </c>
      <c r="GN324" t="e">
        <f>IF(#REF!,"AAAAAH3/78M=",0)</f>
        <v>#REF!</v>
      </c>
      <c r="GO324" t="e">
        <f>IF(#REF!,"AAAAAH3/78Q=",0)</f>
        <v>#REF!</v>
      </c>
      <c r="GP324" t="e">
        <f>IF(#REF!,"AAAAAH3/78U=",0)</f>
        <v>#REF!</v>
      </c>
      <c r="GQ324" t="e">
        <f>IF(#REF!,"AAAAAH3/78Y=",0)</f>
        <v>#REF!</v>
      </c>
      <c r="GR324" t="e">
        <f>IF(#REF!,"AAAAAH3/78c=",0)</f>
        <v>#REF!</v>
      </c>
      <c r="GS324" t="e">
        <f>IF(#REF!,"AAAAAH3/78g=",0)</f>
        <v>#REF!</v>
      </c>
      <c r="GT324" t="e">
        <f>IF(#REF!,"AAAAAH3/78k=",0)</f>
        <v>#REF!</v>
      </c>
      <c r="GU324" t="e">
        <f>IF(#REF!,"AAAAAH3/78o=",0)</f>
        <v>#REF!</v>
      </c>
      <c r="GV324" t="e">
        <f>IF(#REF!,"AAAAAH3/78s=",0)</f>
        <v>#REF!</v>
      </c>
      <c r="GW324" t="e">
        <f>IF(#REF!,"AAAAAH3/78w=",0)</f>
        <v>#REF!</v>
      </c>
      <c r="GX324" t="e">
        <f>IF(#REF!,"AAAAAH3/780=",0)</f>
        <v>#REF!</v>
      </c>
      <c r="GY324" t="e">
        <f>IF(#REF!,"AAAAAH3/784=",0)</f>
        <v>#REF!</v>
      </c>
      <c r="GZ324" t="e">
        <f>IF(#REF!,"AAAAAH3/788=",0)</f>
        <v>#REF!</v>
      </c>
      <c r="HA324" t="e">
        <f>IF(#REF!,"AAAAAH3/79A=",0)</f>
        <v>#REF!</v>
      </c>
      <c r="HB324" t="e">
        <f>IF(#REF!,"AAAAAH3/79E=",0)</f>
        <v>#REF!</v>
      </c>
      <c r="HC324" t="e">
        <f>IF(#REF!,"AAAAAH3/79I=",0)</f>
        <v>#REF!</v>
      </c>
      <c r="HD324" t="e">
        <f>IF(#REF!,"AAAAAH3/79M=",0)</f>
        <v>#REF!</v>
      </c>
      <c r="HE324" t="e">
        <f>IF(#REF!,"AAAAAH3/79Q=",0)</f>
        <v>#REF!</v>
      </c>
      <c r="HF324" t="e">
        <f>IF(#REF!,"AAAAAH3/79U=",0)</f>
        <v>#REF!</v>
      </c>
      <c r="HG324" t="e">
        <f>IF(#REF!,"AAAAAH3/79Y=",0)</f>
        <v>#REF!</v>
      </c>
      <c r="HH324" t="e">
        <f>IF(#REF!,"AAAAAH3/79c=",0)</f>
        <v>#REF!</v>
      </c>
      <c r="HI324" t="e">
        <f>IF(#REF!,"AAAAAH3/79g=",0)</f>
        <v>#REF!</v>
      </c>
      <c r="HJ324" t="e">
        <f>IF(#REF!,"AAAAAH3/79k=",0)</f>
        <v>#REF!</v>
      </c>
      <c r="HK324" t="e">
        <f>IF(#REF!,"AAAAAH3/79o=",0)</f>
        <v>#REF!</v>
      </c>
      <c r="HL324" t="e">
        <f>IF(#REF!,"AAAAAH3/79s=",0)</f>
        <v>#REF!</v>
      </c>
      <c r="HM324" t="e">
        <f>IF(#REF!,"AAAAAH3/79w=",0)</f>
        <v>#REF!</v>
      </c>
      <c r="HN324" t="e">
        <f>IF(#REF!,"AAAAAH3/790=",0)</f>
        <v>#REF!</v>
      </c>
      <c r="HO324" t="e">
        <f>IF(#REF!,"AAAAAH3/794=",0)</f>
        <v>#REF!</v>
      </c>
      <c r="HP324" t="e">
        <f>IF(#REF!,"AAAAAH3/798=",0)</f>
        <v>#REF!</v>
      </c>
      <c r="HQ324" t="e">
        <f>IF(#REF!,"AAAAAH3/7+A=",0)</f>
        <v>#REF!</v>
      </c>
      <c r="HR324" t="e">
        <f>IF(#REF!,"AAAAAH3/7+E=",0)</f>
        <v>#REF!</v>
      </c>
      <c r="HS324" t="e">
        <f>IF(#REF!,"AAAAAH3/7+I=",0)</f>
        <v>#REF!</v>
      </c>
      <c r="HT324" t="e">
        <f>IF(#REF!,"AAAAAH3/7+M=",0)</f>
        <v>#REF!</v>
      </c>
      <c r="HU324" t="e">
        <f>IF(#REF!,"AAAAAH3/7+Q=",0)</f>
        <v>#REF!</v>
      </c>
      <c r="HV324" t="e">
        <f>IF(#REF!,"AAAAAH3/7+U=",0)</f>
        <v>#REF!</v>
      </c>
      <c r="HW324" t="e">
        <f>IF(#REF!,"AAAAAH3/7+Y=",0)</f>
        <v>#REF!</v>
      </c>
      <c r="HX324" t="e">
        <f>IF(#REF!,"AAAAAH3/7+c=",0)</f>
        <v>#REF!</v>
      </c>
      <c r="HY324" t="e">
        <f>IF(#REF!,"AAAAAH3/7+g=",0)</f>
        <v>#REF!</v>
      </c>
      <c r="HZ324" t="e">
        <f>IF(#REF!,"AAAAAH3/7+k=",0)</f>
        <v>#REF!</v>
      </c>
      <c r="IA324" t="e">
        <f>IF(#REF!,"AAAAAH3/7+o=",0)</f>
        <v>#REF!</v>
      </c>
      <c r="IB324" t="e">
        <f>IF(#REF!,"AAAAAH3/7+s=",0)</f>
        <v>#REF!</v>
      </c>
      <c r="IC324" t="e">
        <f>IF(#REF!,"AAAAAH3/7+w=",0)</f>
        <v>#REF!</v>
      </c>
      <c r="ID324" t="e">
        <f>IF(#REF!,"AAAAAH3/7+0=",0)</f>
        <v>#REF!</v>
      </c>
      <c r="IE324" t="e">
        <f>IF(#REF!,"AAAAAH3/7+4=",0)</f>
        <v>#REF!</v>
      </c>
      <c r="IF324" t="e">
        <f>IF(#REF!,"AAAAAH3/7+8=",0)</f>
        <v>#REF!</v>
      </c>
      <c r="IG324" t="e">
        <f>IF(#REF!,"AAAAAH3/7/A=",0)</f>
        <v>#REF!</v>
      </c>
      <c r="IH324" t="e">
        <f>IF(#REF!,"AAAAAH3/7/E=",0)</f>
        <v>#REF!</v>
      </c>
      <c r="II324" t="e">
        <f>IF(#REF!,"AAAAAH3/7/I=",0)</f>
        <v>#REF!</v>
      </c>
      <c r="IJ324" t="e">
        <f>IF(#REF!,"AAAAAH3/7/M=",0)</f>
        <v>#REF!</v>
      </c>
      <c r="IK324" t="e">
        <f>IF(#REF!,"AAAAAH3/7/Q=",0)</f>
        <v>#REF!</v>
      </c>
      <c r="IL324" t="e">
        <f>IF(#REF!,"AAAAAH3/7/U=",0)</f>
        <v>#REF!</v>
      </c>
      <c r="IM324" t="e">
        <f>IF(#REF!,"AAAAAH3/7/Y=",0)</f>
        <v>#REF!</v>
      </c>
      <c r="IN324" t="e">
        <f>IF(#REF!,"AAAAAH3/7/c=",0)</f>
        <v>#REF!</v>
      </c>
      <c r="IO324" t="e">
        <f>IF(#REF!,"AAAAAH3/7/g=",0)</f>
        <v>#REF!</v>
      </c>
      <c r="IP324" t="e">
        <f>IF(#REF!,"AAAAAH3/7/k=",0)</f>
        <v>#REF!</v>
      </c>
      <c r="IQ324" t="e">
        <f>IF(#REF!,"AAAAAH3/7/o=",0)</f>
        <v>#REF!</v>
      </c>
      <c r="IR324" t="e">
        <f>IF(#REF!,"AAAAAH3/7/s=",0)</f>
        <v>#REF!</v>
      </c>
      <c r="IS324" t="e">
        <f>IF(#REF!,"AAAAAH3/7/w=",0)</f>
        <v>#REF!</v>
      </c>
      <c r="IT324" t="e">
        <f>IF(#REF!,"AAAAAH3/7/0=",0)</f>
        <v>#REF!</v>
      </c>
      <c r="IU324" t="e">
        <f>IF(#REF!,"AAAAAH3/7/4=",0)</f>
        <v>#REF!</v>
      </c>
      <c r="IV324" t="e">
        <f>IF(#REF!,"AAAAAH3/7/8=",0)</f>
        <v>#REF!</v>
      </c>
    </row>
    <row r="325" spans="1:256">
      <c r="A325" t="e">
        <f>IF(#REF!,"AAAAAF96dgA=",0)</f>
        <v>#REF!</v>
      </c>
      <c r="B325" t="e">
        <f>IF(#REF!,"AAAAAF96dgE=",0)</f>
        <v>#REF!</v>
      </c>
      <c r="C325" t="e">
        <f>IF(#REF!,"AAAAAF96dgI=",0)</f>
        <v>#REF!</v>
      </c>
      <c r="D325" t="e">
        <f>IF(#REF!,"AAAAAF96dgM=",0)</f>
        <v>#REF!</v>
      </c>
      <c r="E325" t="e">
        <f>IF(#REF!,"AAAAAF96dgQ=",0)</f>
        <v>#REF!</v>
      </c>
      <c r="F325" t="e">
        <f>IF(#REF!,"AAAAAF96dgU=",0)</f>
        <v>#REF!</v>
      </c>
      <c r="G325" t="e">
        <f>IF(#REF!,"AAAAAF96dgY=",0)</f>
        <v>#REF!</v>
      </c>
      <c r="H325" t="e">
        <f>IF(#REF!,"AAAAAF96dgc=",0)</f>
        <v>#REF!</v>
      </c>
      <c r="I325" t="e">
        <f>IF(#REF!,"AAAAAF96dgg=",0)</f>
        <v>#REF!</v>
      </c>
      <c r="J325" t="e">
        <f>IF(#REF!,"AAAAAF96dgk=",0)</f>
        <v>#REF!</v>
      </c>
      <c r="K325" t="e">
        <f>IF(#REF!,"AAAAAF96dgo=",0)</f>
        <v>#REF!</v>
      </c>
      <c r="L325" t="e">
        <f>IF(#REF!,"AAAAAF96dgs=",0)</f>
        <v>#REF!</v>
      </c>
      <c r="M325" t="e">
        <f>IF(#REF!,"AAAAAF96dgw=",0)</f>
        <v>#REF!</v>
      </c>
      <c r="N325" t="e">
        <f>IF(#REF!,"AAAAAF96dg0=",0)</f>
        <v>#REF!</v>
      </c>
      <c r="O325" t="e">
        <f>IF(#REF!,"AAAAAF96dg4=",0)</f>
        <v>#REF!</v>
      </c>
      <c r="P325" t="e">
        <f>IF(#REF!,"AAAAAF96dg8=",0)</f>
        <v>#REF!</v>
      </c>
      <c r="Q325" t="e">
        <f>IF(#REF!,"AAAAAF96dhA=",0)</f>
        <v>#REF!</v>
      </c>
      <c r="R325" t="e">
        <f>IF(#REF!,"AAAAAF96dhE=",0)</f>
        <v>#REF!</v>
      </c>
      <c r="S325" t="e">
        <f>IF(#REF!,"AAAAAF96dhI=",0)</f>
        <v>#REF!</v>
      </c>
      <c r="T325" t="e">
        <f>IF(#REF!,"AAAAAF96dhM=",0)</f>
        <v>#REF!</v>
      </c>
      <c r="U325" t="e">
        <f>IF(#REF!,"AAAAAF96dhQ=",0)</f>
        <v>#REF!</v>
      </c>
      <c r="V325" t="e">
        <f>IF(#REF!,"AAAAAF96dhU=",0)</f>
        <v>#REF!</v>
      </c>
      <c r="W325" t="e">
        <f>IF(#REF!,"AAAAAF96dhY=",0)</f>
        <v>#REF!</v>
      </c>
      <c r="X325" t="e">
        <f>IF(#REF!,"AAAAAF96dhc=",0)</f>
        <v>#REF!</v>
      </c>
      <c r="Y325" t="e">
        <f>IF(#REF!,"AAAAAF96dhg=",0)</f>
        <v>#REF!</v>
      </c>
      <c r="Z325" t="e">
        <f>IF(#REF!,"AAAAAF96dhk=",0)</f>
        <v>#REF!</v>
      </c>
      <c r="AA325" t="e">
        <f>IF(#REF!,"AAAAAF96dho=",0)</f>
        <v>#REF!</v>
      </c>
      <c r="AB325" t="e">
        <f>IF(#REF!,"AAAAAF96dhs=",0)</f>
        <v>#REF!</v>
      </c>
      <c r="AC325" t="e">
        <f>IF(#REF!,"AAAAAF96dhw=",0)</f>
        <v>#REF!</v>
      </c>
      <c r="AD325" t="e">
        <f>IF(#REF!,"AAAAAF96dh0=",0)</f>
        <v>#REF!</v>
      </c>
      <c r="AE325" t="e">
        <f>IF(#REF!,"AAAAAF96dh4=",0)</f>
        <v>#REF!</v>
      </c>
      <c r="AF325" t="e">
        <f>IF(#REF!,"AAAAAF96dh8=",0)</f>
        <v>#REF!</v>
      </c>
      <c r="AG325" t="e">
        <f>IF(#REF!,"AAAAAF96diA=",0)</f>
        <v>#REF!</v>
      </c>
      <c r="AH325" t="e">
        <f>IF(#REF!,"AAAAAF96diE=",0)</f>
        <v>#REF!</v>
      </c>
      <c r="AI325" t="e">
        <f>IF(#REF!,"AAAAAF96diI=",0)</f>
        <v>#REF!</v>
      </c>
      <c r="AJ325" t="e">
        <f>IF(#REF!,"AAAAAF96diM=",0)</f>
        <v>#REF!</v>
      </c>
      <c r="AK325" t="e">
        <f>IF(#REF!,"AAAAAF96diQ=",0)</f>
        <v>#REF!</v>
      </c>
      <c r="AL325" t="e">
        <f>IF(#REF!,"AAAAAF96diU=",0)</f>
        <v>#REF!</v>
      </c>
      <c r="AM325" t="e">
        <f>IF(#REF!,"AAAAAF96diY=",0)</f>
        <v>#REF!</v>
      </c>
      <c r="AN325" t="e">
        <f>IF(#REF!,"AAAAAF96dic=",0)</f>
        <v>#REF!</v>
      </c>
      <c r="AO325" t="e">
        <f>IF(#REF!,"AAAAAF96dig=",0)</f>
        <v>#REF!</v>
      </c>
      <c r="AP325" t="e">
        <f>IF(#REF!,"AAAAAF96dik=",0)</f>
        <v>#REF!</v>
      </c>
      <c r="AQ325" t="e">
        <f>IF(#REF!,"AAAAAF96dio=",0)</f>
        <v>#REF!</v>
      </c>
      <c r="AR325" t="e">
        <f>IF(#REF!,"AAAAAF96dis=",0)</f>
        <v>#REF!</v>
      </c>
      <c r="AS325" t="e">
        <f>IF(#REF!,"AAAAAF96diw=",0)</f>
        <v>#REF!</v>
      </c>
      <c r="AT325" t="e">
        <f>IF(#REF!,"AAAAAF96di0=",0)</f>
        <v>#REF!</v>
      </c>
      <c r="AU325" t="e">
        <f>IF(#REF!,"AAAAAF96di4=",0)</f>
        <v>#REF!</v>
      </c>
      <c r="AV325" t="e">
        <f>IF(#REF!,"AAAAAF96di8=",0)</f>
        <v>#REF!</v>
      </c>
      <c r="AW325" t="e">
        <f>IF(#REF!,"AAAAAF96djA=",0)</f>
        <v>#REF!</v>
      </c>
      <c r="AX325" t="e">
        <f>IF(#REF!,"AAAAAF96djE=",0)</f>
        <v>#REF!</v>
      </c>
      <c r="AY325" t="e">
        <f>IF(#REF!,"AAAAAF96djI=",0)</f>
        <v>#REF!</v>
      </c>
      <c r="AZ325" t="e">
        <f>IF(#REF!,"AAAAAF96djM=",0)</f>
        <v>#REF!</v>
      </c>
      <c r="BA325" t="e">
        <f>IF(#REF!,"AAAAAF96djQ=",0)</f>
        <v>#REF!</v>
      </c>
      <c r="BB325" t="e">
        <f>IF(#REF!,"AAAAAF96djU=",0)</f>
        <v>#REF!</v>
      </c>
      <c r="BC325" t="e">
        <f>IF(#REF!,"AAAAAF96djY=",0)</f>
        <v>#REF!</v>
      </c>
      <c r="BD325" t="e">
        <f>IF(#REF!,"AAAAAF96djc=",0)</f>
        <v>#REF!</v>
      </c>
      <c r="BE325" t="e">
        <f>IF(#REF!,"AAAAAF96djg=",0)</f>
        <v>#REF!</v>
      </c>
      <c r="BF325" t="e">
        <f>IF(#REF!,"AAAAAF96djk=",0)</f>
        <v>#REF!</v>
      </c>
      <c r="BG325" t="e">
        <f>IF(#REF!,"AAAAAF96djo=",0)</f>
        <v>#REF!</v>
      </c>
      <c r="BH325" t="e">
        <f>IF(#REF!,"AAAAAF96djs=",0)</f>
        <v>#REF!</v>
      </c>
      <c r="BI325" t="e">
        <f>IF(#REF!,"AAAAAF96djw=",0)</f>
        <v>#REF!</v>
      </c>
      <c r="BJ325" t="e">
        <f>IF(#REF!,"AAAAAF96dj0=",0)</f>
        <v>#REF!</v>
      </c>
      <c r="BK325" t="e">
        <f>IF(#REF!,"AAAAAF96dj4=",0)</f>
        <v>#REF!</v>
      </c>
      <c r="BL325" t="e">
        <f>IF(#REF!,"AAAAAF96dj8=",0)</f>
        <v>#REF!</v>
      </c>
      <c r="BM325" t="e">
        <f>IF(#REF!,"AAAAAF96dkA=",0)</f>
        <v>#REF!</v>
      </c>
      <c r="BN325" t="e">
        <f>IF(#REF!,"AAAAAF96dkE=",0)</f>
        <v>#REF!</v>
      </c>
      <c r="BO325" t="e">
        <f>IF(#REF!,"AAAAAF96dkI=",0)</f>
        <v>#REF!</v>
      </c>
      <c r="BP325" t="e">
        <f>IF(#REF!,"AAAAAF96dkM=",0)</f>
        <v>#REF!</v>
      </c>
      <c r="BQ325" t="e">
        <f>IF(#REF!,"AAAAAF96dkQ=",0)</f>
        <v>#REF!</v>
      </c>
      <c r="BR325" t="e">
        <f>IF(#REF!,"AAAAAF96dkU=",0)</f>
        <v>#REF!</v>
      </c>
      <c r="BS325" t="e">
        <f>IF(#REF!,"AAAAAF96dkY=",0)</f>
        <v>#REF!</v>
      </c>
      <c r="BT325" t="e">
        <f>IF(#REF!,"AAAAAF96dkc=",0)</f>
        <v>#REF!</v>
      </c>
      <c r="BU325" t="e">
        <f>IF(#REF!,"AAAAAF96dkg=",0)</f>
        <v>#REF!</v>
      </c>
      <c r="BV325" t="e">
        <f>IF(#REF!,"AAAAAF96dkk=",0)</f>
        <v>#REF!</v>
      </c>
      <c r="BW325" t="e">
        <f>IF(#REF!,"AAAAAF96dko=",0)</f>
        <v>#REF!</v>
      </c>
      <c r="BX325" t="e">
        <f>IF(#REF!,"AAAAAF96dks=",0)</f>
        <v>#REF!</v>
      </c>
      <c r="BY325" t="e">
        <f>IF(#REF!,"AAAAAF96dkw=",0)</f>
        <v>#REF!</v>
      </c>
      <c r="BZ325" t="e">
        <f>IF(#REF!,"AAAAAF96dk0=",0)</f>
        <v>#REF!</v>
      </c>
      <c r="CA325" t="e">
        <f>IF(#REF!,"AAAAAF96dk4=",0)</f>
        <v>#REF!</v>
      </c>
      <c r="CB325" t="e">
        <f>IF(#REF!,"AAAAAF96dk8=",0)</f>
        <v>#REF!</v>
      </c>
      <c r="CC325" t="e">
        <f>IF(#REF!,"AAAAAF96dlA=",0)</f>
        <v>#REF!</v>
      </c>
      <c r="CD325" t="e">
        <f>IF(#REF!,"AAAAAF96dlE=",0)</f>
        <v>#REF!</v>
      </c>
      <c r="CE325" t="e">
        <f>IF(#REF!,"AAAAAF96dlI=",0)</f>
        <v>#REF!</v>
      </c>
      <c r="CF325" t="e">
        <f>IF(#REF!,"AAAAAF96dlM=",0)</f>
        <v>#REF!</v>
      </c>
      <c r="CG325" t="e">
        <f>IF(#REF!,"AAAAAF96dlQ=",0)</f>
        <v>#REF!</v>
      </c>
      <c r="CH325" t="e">
        <f>IF(#REF!,"AAAAAF96dlU=",0)</f>
        <v>#REF!</v>
      </c>
      <c r="CI325" t="e">
        <f>IF(#REF!,"AAAAAF96dlY=",0)</f>
        <v>#REF!</v>
      </c>
      <c r="CJ325" t="e">
        <f>IF(#REF!,"AAAAAF96dlc=",0)</f>
        <v>#REF!</v>
      </c>
      <c r="CK325" t="e">
        <f>IF(#REF!,"AAAAAF96dlg=",0)</f>
        <v>#REF!</v>
      </c>
      <c r="CL325" t="e">
        <f>IF(#REF!,"AAAAAF96dlk=",0)</f>
        <v>#REF!</v>
      </c>
      <c r="CM325" t="e">
        <f>IF(#REF!,"AAAAAF96dlo=",0)</f>
        <v>#REF!</v>
      </c>
      <c r="CN325" t="e">
        <f>IF(#REF!,"AAAAAF96dls=",0)</f>
        <v>#REF!</v>
      </c>
      <c r="CO325" t="e">
        <f>IF(#REF!,"AAAAAF96dlw=",0)</f>
        <v>#REF!</v>
      </c>
      <c r="CP325" t="e">
        <f>IF(#REF!,"AAAAAF96dl0=",0)</f>
        <v>#REF!</v>
      </c>
      <c r="CQ325" t="e">
        <f>IF(#REF!,"AAAAAF96dl4=",0)</f>
        <v>#REF!</v>
      </c>
      <c r="CR325" t="e">
        <f>IF(#REF!,"AAAAAF96dl8=",0)</f>
        <v>#REF!</v>
      </c>
      <c r="CS325" t="e">
        <f>IF(#REF!,"AAAAAF96dmA=",0)</f>
        <v>#REF!</v>
      </c>
      <c r="CT325" t="e">
        <f>IF(#REF!,"AAAAAF96dmE=",0)</f>
        <v>#REF!</v>
      </c>
      <c r="CU325" t="e">
        <f>IF(#REF!,"AAAAAF96dmI=",0)</f>
        <v>#REF!</v>
      </c>
      <c r="CV325" t="e">
        <f>IF(#REF!,"AAAAAF96dmM=",0)</f>
        <v>#REF!</v>
      </c>
      <c r="CW325" t="e">
        <f>IF(#REF!,"AAAAAF96dmQ=",0)</f>
        <v>#REF!</v>
      </c>
      <c r="CX325" t="e">
        <f>IF(#REF!,"AAAAAF96dmU=",0)</f>
        <v>#REF!</v>
      </c>
      <c r="CY325" t="e">
        <f>IF(#REF!,"AAAAAF96dmY=",0)</f>
        <v>#REF!</v>
      </c>
      <c r="CZ325" t="e">
        <f>IF(#REF!,"AAAAAF96dmc=",0)</f>
        <v>#REF!</v>
      </c>
      <c r="DA325" t="e">
        <f>IF(#REF!,"AAAAAF96dmg=",0)</f>
        <v>#REF!</v>
      </c>
      <c r="DB325" t="e">
        <f>IF(#REF!,"AAAAAF96dmk=",0)</f>
        <v>#REF!</v>
      </c>
      <c r="DC325" t="e">
        <f>IF(#REF!,"AAAAAF96dmo=",0)</f>
        <v>#REF!</v>
      </c>
      <c r="DD325" t="e">
        <f>IF(#REF!,"AAAAAF96dms=",0)</f>
        <v>#REF!</v>
      </c>
      <c r="DE325" t="e">
        <f>IF(#REF!,"AAAAAF96dmw=",0)</f>
        <v>#REF!</v>
      </c>
      <c r="DF325" t="e">
        <f>IF(#REF!,"AAAAAF96dm0=",0)</f>
        <v>#REF!</v>
      </c>
      <c r="DG325" t="e">
        <f>IF(#REF!,"AAAAAF96dm4=",0)</f>
        <v>#REF!</v>
      </c>
      <c r="DH325" t="e">
        <f>IF(#REF!,"AAAAAF96dm8=",0)</f>
        <v>#REF!</v>
      </c>
      <c r="DI325" t="e">
        <f>IF(#REF!,"AAAAAF96dnA=",0)</f>
        <v>#REF!</v>
      </c>
      <c r="DJ325" t="e">
        <f>IF(#REF!,"AAAAAF96dnE=",0)</f>
        <v>#REF!</v>
      </c>
      <c r="DK325" t="e">
        <f>IF(#REF!,"AAAAAF96dnI=",0)</f>
        <v>#REF!</v>
      </c>
      <c r="DL325" t="e">
        <f>IF(#REF!,"AAAAAF96dnM=",0)</f>
        <v>#REF!</v>
      </c>
      <c r="DM325" t="e">
        <f>IF(#REF!,"AAAAAF96dnQ=",0)</f>
        <v>#REF!</v>
      </c>
      <c r="DN325" t="e">
        <f>IF(#REF!,"AAAAAF96dnU=",0)</f>
        <v>#REF!</v>
      </c>
      <c r="DO325" t="e">
        <f>IF(#REF!,"AAAAAF96dnY=",0)</f>
        <v>#REF!</v>
      </c>
      <c r="DP325" t="e">
        <f>IF(#REF!,"AAAAAF96dnc=",0)</f>
        <v>#REF!</v>
      </c>
      <c r="DQ325" t="e">
        <f>IF(#REF!,"AAAAAF96dng=",0)</f>
        <v>#REF!</v>
      </c>
      <c r="DR325" t="e">
        <f>IF(#REF!,"AAAAAF96dnk=",0)</f>
        <v>#REF!</v>
      </c>
      <c r="DS325" t="e">
        <f>IF(#REF!,"AAAAAF96dno=",0)</f>
        <v>#REF!</v>
      </c>
      <c r="DT325" t="e">
        <f>IF(#REF!,"AAAAAF96dns=",0)</f>
        <v>#REF!</v>
      </c>
      <c r="DU325" t="e">
        <f>IF(#REF!,"AAAAAF96dnw=",0)</f>
        <v>#REF!</v>
      </c>
      <c r="DV325" t="e">
        <f>IF(#REF!,"AAAAAF96dn0=",0)</f>
        <v>#REF!</v>
      </c>
      <c r="DW325" t="e">
        <f>IF(#REF!,"AAAAAF96dn4=",0)</f>
        <v>#REF!</v>
      </c>
      <c r="DX325" t="e">
        <f>IF(#REF!,"AAAAAF96dn8=",0)</f>
        <v>#REF!</v>
      </c>
      <c r="DY325" t="e">
        <f>IF(#REF!,"AAAAAF96doA=",0)</f>
        <v>#REF!</v>
      </c>
      <c r="DZ325" t="e">
        <f>IF(#REF!,"AAAAAF96doE=",0)</f>
        <v>#REF!</v>
      </c>
      <c r="EA325" t="e">
        <f>IF(#REF!,"AAAAAF96doI=",0)</f>
        <v>#REF!</v>
      </c>
      <c r="EB325" t="e">
        <f>IF(#REF!,"AAAAAF96doM=",0)</f>
        <v>#REF!</v>
      </c>
      <c r="EC325" t="e">
        <f>IF(#REF!,"AAAAAF96doQ=",0)</f>
        <v>#REF!</v>
      </c>
      <c r="ED325" t="e">
        <f>IF(#REF!,"AAAAAF96doU=",0)</f>
        <v>#REF!</v>
      </c>
      <c r="EE325" t="e">
        <f>IF(#REF!,"AAAAAF96doY=",0)</f>
        <v>#REF!</v>
      </c>
      <c r="EF325" t="e">
        <f>IF(#REF!,"AAAAAF96doc=",0)</f>
        <v>#REF!</v>
      </c>
      <c r="EG325" t="e">
        <f>IF(#REF!,"AAAAAF96dog=",0)</f>
        <v>#REF!</v>
      </c>
      <c r="EH325" t="e">
        <f>IF(#REF!,"AAAAAF96dok=",0)</f>
        <v>#REF!</v>
      </c>
      <c r="EI325" t="e">
        <f>IF(#REF!,"AAAAAF96doo=",0)</f>
        <v>#REF!</v>
      </c>
      <c r="EJ325" t="e">
        <f>IF(#REF!,"AAAAAF96dos=",0)</f>
        <v>#REF!</v>
      </c>
      <c r="EK325" t="e">
        <f>IF(#REF!,"AAAAAF96dow=",0)</f>
        <v>#REF!</v>
      </c>
      <c r="EL325" t="e">
        <f>IF(#REF!,"AAAAAF96do0=",0)</f>
        <v>#REF!</v>
      </c>
      <c r="EM325" t="e">
        <f>IF(#REF!,"AAAAAF96do4=",0)</f>
        <v>#REF!</v>
      </c>
      <c r="EN325" t="e">
        <f>IF(#REF!,"AAAAAF96do8=",0)</f>
        <v>#REF!</v>
      </c>
      <c r="EO325" t="e">
        <f>IF(#REF!,"AAAAAF96dpA=",0)</f>
        <v>#REF!</v>
      </c>
      <c r="EP325" t="e">
        <f>IF(#REF!,"AAAAAF96dpE=",0)</f>
        <v>#REF!</v>
      </c>
      <c r="EQ325" t="e">
        <f>IF(#REF!,"AAAAAF96dpI=",0)</f>
        <v>#REF!</v>
      </c>
      <c r="ER325" t="e">
        <f>IF(#REF!,"AAAAAF96dpM=",0)</f>
        <v>#REF!</v>
      </c>
      <c r="ES325" t="e">
        <f>IF(#REF!,"AAAAAF96dpQ=",0)</f>
        <v>#REF!</v>
      </c>
      <c r="ET325" t="e">
        <f>IF(#REF!,"AAAAAF96dpU=",0)</f>
        <v>#REF!</v>
      </c>
      <c r="EU325" t="e">
        <f>IF(#REF!,"AAAAAF96dpY=",0)</f>
        <v>#REF!</v>
      </c>
      <c r="EV325" t="e">
        <f>IF(#REF!,"AAAAAF96dpc=",0)</f>
        <v>#REF!</v>
      </c>
      <c r="EW325" t="e">
        <f>IF(#REF!,"AAAAAF96dpg=",0)</f>
        <v>#REF!</v>
      </c>
      <c r="EX325" t="e">
        <f>IF(#REF!,"AAAAAF96dpk=",0)</f>
        <v>#REF!</v>
      </c>
      <c r="EY325" t="e">
        <f>IF(#REF!,"AAAAAF96dpo=",0)</f>
        <v>#REF!</v>
      </c>
      <c r="EZ325" t="e">
        <f>IF(#REF!,"AAAAAF96dps=",0)</f>
        <v>#REF!</v>
      </c>
      <c r="FA325" t="e">
        <f>IF(#REF!,"AAAAAF96dpw=",0)</f>
        <v>#REF!</v>
      </c>
      <c r="FB325" t="e">
        <f>IF(#REF!,"AAAAAF96dp0=",0)</f>
        <v>#REF!</v>
      </c>
      <c r="FC325" t="e">
        <f>IF(#REF!,"AAAAAF96dp4=",0)</f>
        <v>#REF!</v>
      </c>
      <c r="FD325" t="e">
        <f>IF(#REF!,"AAAAAF96dp8=",0)</f>
        <v>#REF!</v>
      </c>
      <c r="FE325" t="e">
        <f>IF(#REF!,"AAAAAF96dqA=",0)</f>
        <v>#REF!</v>
      </c>
      <c r="FF325" t="e">
        <f>IF(#REF!,"AAAAAF96dqE=",0)</f>
        <v>#REF!</v>
      </c>
      <c r="FG325" t="e">
        <f>IF(#REF!,"AAAAAF96dqI=",0)</f>
        <v>#REF!</v>
      </c>
      <c r="FH325" t="e">
        <f>IF(#REF!,"AAAAAF96dqM=",0)</f>
        <v>#REF!</v>
      </c>
      <c r="FI325" t="e">
        <f>IF(#REF!,"AAAAAF96dqQ=",0)</f>
        <v>#REF!</v>
      </c>
      <c r="FJ325" t="e">
        <f>IF(#REF!,"AAAAAF96dqU=",0)</f>
        <v>#REF!</v>
      </c>
      <c r="FK325" t="e">
        <f>IF(#REF!,"AAAAAF96dqY=",0)</f>
        <v>#REF!</v>
      </c>
      <c r="FL325" t="e">
        <f>IF(#REF!,"AAAAAF96dqc=",0)</f>
        <v>#REF!</v>
      </c>
      <c r="FM325" t="e">
        <f>IF(#REF!,"AAAAAF96dqg=",0)</f>
        <v>#REF!</v>
      </c>
      <c r="FN325" t="e">
        <f>IF(#REF!,"AAAAAF96dqk=",0)</f>
        <v>#REF!</v>
      </c>
      <c r="FO325" t="e">
        <f>IF(#REF!,"AAAAAF96dqo=",0)</f>
        <v>#REF!</v>
      </c>
      <c r="FP325" t="e">
        <f>IF(#REF!,"AAAAAF96dqs=",0)</f>
        <v>#REF!</v>
      </c>
      <c r="FQ325" t="e">
        <f>IF(#REF!,"AAAAAF96dqw=",0)</f>
        <v>#REF!</v>
      </c>
      <c r="FR325" t="e">
        <f>IF(#REF!,"AAAAAF96dq0=",0)</f>
        <v>#REF!</v>
      </c>
      <c r="FS325" t="e">
        <f>IF(#REF!,"AAAAAF96dq4=",0)</f>
        <v>#REF!</v>
      </c>
      <c r="FT325" t="e">
        <f>IF(#REF!,"AAAAAF96dq8=",0)</f>
        <v>#REF!</v>
      </c>
      <c r="FU325" t="e">
        <f>IF(#REF!,"AAAAAF96drA=",0)</f>
        <v>#REF!</v>
      </c>
      <c r="FV325" t="e">
        <f>IF(#REF!,"AAAAAF96drE=",0)</f>
        <v>#REF!</v>
      </c>
      <c r="FW325" t="e">
        <f>IF(#REF!,"AAAAAF96drI=",0)</f>
        <v>#REF!</v>
      </c>
      <c r="FX325" t="e">
        <f>IF(#REF!,"AAAAAF96drM=",0)</f>
        <v>#REF!</v>
      </c>
      <c r="FY325" t="e">
        <f>IF(#REF!,"AAAAAF96drQ=",0)</f>
        <v>#REF!</v>
      </c>
      <c r="FZ325" t="e">
        <f>IF(#REF!,"AAAAAF96drU=",0)</f>
        <v>#REF!</v>
      </c>
      <c r="GA325" t="e">
        <f>IF(#REF!,"AAAAAF96drY=",0)</f>
        <v>#REF!</v>
      </c>
      <c r="GB325" t="e">
        <f>IF(#REF!,"AAAAAF96drc=",0)</f>
        <v>#REF!</v>
      </c>
      <c r="GC325" t="e">
        <f>IF(#REF!,"AAAAAF96drg=",0)</f>
        <v>#REF!</v>
      </c>
      <c r="GD325" t="e">
        <f>IF(#REF!,"AAAAAF96drk=",0)</f>
        <v>#REF!</v>
      </c>
      <c r="GE325" t="e">
        <f>IF(#REF!,"AAAAAF96dro=",0)</f>
        <v>#REF!</v>
      </c>
      <c r="GF325" t="e">
        <f>IF(#REF!,"AAAAAF96drs=",0)</f>
        <v>#REF!</v>
      </c>
      <c r="GG325" t="e">
        <f>IF(#REF!,"AAAAAF96drw=",0)</f>
        <v>#REF!</v>
      </c>
      <c r="GH325" t="e">
        <f>IF(#REF!,"AAAAAF96dr0=",0)</f>
        <v>#REF!</v>
      </c>
      <c r="GI325" t="e">
        <f>IF(#REF!,"AAAAAF96dr4=",0)</f>
        <v>#REF!</v>
      </c>
      <c r="GJ325" t="e">
        <f>IF(#REF!,"AAAAAF96dr8=",0)</f>
        <v>#REF!</v>
      </c>
      <c r="GK325" t="e">
        <f>IF(#REF!,"AAAAAF96dsA=",0)</f>
        <v>#REF!</v>
      </c>
      <c r="GL325" t="e">
        <f>IF(#REF!,"AAAAAF96dsE=",0)</f>
        <v>#REF!</v>
      </c>
      <c r="GM325" t="e">
        <f>IF(#REF!,"AAAAAF96dsI=",0)</f>
        <v>#REF!</v>
      </c>
      <c r="GN325" t="e">
        <f>IF(#REF!,"AAAAAF96dsM=",0)</f>
        <v>#REF!</v>
      </c>
      <c r="GO325" t="e">
        <f>IF(#REF!,"AAAAAF96dsQ=",0)</f>
        <v>#REF!</v>
      </c>
      <c r="GP325" t="e">
        <f>IF(#REF!,"AAAAAF96dsU=",0)</f>
        <v>#REF!</v>
      </c>
      <c r="GQ325" t="e">
        <f>IF(#REF!,"AAAAAF96dsY=",0)</f>
        <v>#REF!</v>
      </c>
      <c r="GR325" t="e">
        <f>IF(#REF!,"AAAAAF96dsc=",0)</f>
        <v>#REF!</v>
      </c>
      <c r="GS325" t="e">
        <f>IF(#REF!,"AAAAAF96dsg=",0)</f>
        <v>#REF!</v>
      </c>
      <c r="GT325" t="e">
        <f>IF(#REF!,"AAAAAF96dsk=",0)</f>
        <v>#REF!</v>
      </c>
      <c r="GU325" t="e">
        <f>IF(#REF!,"AAAAAF96dso=",0)</f>
        <v>#REF!</v>
      </c>
      <c r="GV325" t="e">
        <f>IF(#REF!,"AAAAAF96dss=",0)</f>
        <v>#REF!</v>
      </c>
      <c r="GW325" t="e">
        <f>IF(#REF!,"AAAAAF96dsw=",0)</f>
        <v>#REF!</v>
      </c>
      <c r="GX325" t="e">
        <f>IF(#REF!,"AAAAAF96ds0=",0)</f>
        <v>#REF!</v>
      </c>
      <c r="GY325" t="e">
        <f>IF(#REF!,"AAAAAF96ds4=",0)</f>
        <v>#REF!</v>
      </c>
      <c r="GZ325" t="e">
        <f>IF(#REF!,"AAAAAF96ds8=",0)</f>
        <v>#REF!</v>
      </c>
      <c r="HA325" t="e">
        <f>IF(#REF!,"AAAAAF96dtA=",0)</f>
        <v>#REF!</v>
      </c>
      <c r="HB325" t="e">
        <f>IF(#REF!,"AAAAAF96dtE=",0)</f>
        <v>#REF!</v>
      </c>
      <c r="HC325" t="e">
        <f>IF(#REF!,"AAAAAF96dtI=",0)</f>
        <v>#REF!</v>
      </c>
      <c r="HD325" t="e">
        <f>IF(#REF!,"AAAAAF96dtM=",0)</f>
        <v>#REF!</v>
      </c>
      <c r="HE325" t="e">
        <f>IF(#REF!,"AAAAAF96dtQ=",0)</f>
        <v>#REF!</v>
      </c>
      <c r="HF325" t="e">
        <f>IF(#REF!,"AAAAAF96dtU=",0)</f>
        <v>#REF!</v>
      </c>
      <c r="HG325" t="e">
        <f>IF(#REF!,"AAAAAF96dtY=",0)</f>
        <v>#REF!</v>
      </c>
      <c r="HH325" t="e">
        <f>IF(#REF!,"AAAAAF96dtc=",0)</f>
        <v>#REF!</v>
      </c>
      <c r="HI325" t="e">
        <f>IF(#REF!,"AAAAAF96dtg=",0)</f>
        <v>#REF!</v>
      </c>
      <c r="HJ325" t="e">
        <f>IF(#REF!,"AAAAAF96dtk=",0)</f>
        <v>#REF!</v>
      </c>
      <c r="HK325" t="e">
        <f>IF(#REF!,"AAAAAF96dto=",0)</f>
        <v>#REF!</v>
      </c>
      <c r="HL325" t="e">
        <f>IF(#REF!,"AAAAAF96dts=",0)</f>
        <v>#REF!</v>
      </c>
      <c r="HM325" t="e">
        <f>IF(#REF!,"AAAAAF96dtw=",0)</f>
        <v>#REF!</v>
      </c>
      <c r="HN325" t="e">
        <f>IF(#REF!,"AAAAAF96dt0=",0)</f>
        <v>#REF!</v>
      </c>
      <c r="HO325" t="e">
        <f>IF(#REF!,"AAAAAF96dt4=",0)</f>
        <v>#REF!</v>
      </c>
      <c r="HP325" t="e">
        <f>IF(#REF!,"AAAAAF96dt8=",0)</f>
        <v>#REF!</v>
      </c>
      <c r="HQ325" t="e">
        <f>IF(#REF!,"AAAAAF96duA=",0)</f>
        <v>#REF!</v>
      </c>
      <c r="HR325" t="e">
        <f>IF(#REF!,"AAAAAF96duE=",0)</f>
        <v>#REF!</v>
      </c>
      <c r="HS325" t="e">
        <f>IF(#REF!,"AAAAAF96duI=",0)</f>
        <v>#REF!</v>
      </c>
      <c r="HT325" t="e">
        <f>IF(#REF!,"AAAAAF96duM=",0)</f>
        <v>#REF!</v>
      </c>
      <c r="HU325" t="e">
        <f>IF(#REF!,"AAAAAF96duQ=",0)</f>
        <v>#REF!</v>
      </c>
      <c r="HV325" t="e">
        <f>IF(#REF!,"AAAAAF96duU=",0)</f>
        <v>#REF!</v>
      </c>
      <c r="HW325" t="e">
        <f>IF(#REF!,"AAAAAF96duY=",0)</f>
        <v>#REF!</v>
      </c>
      <c r="HX325" t="e">
        <f>IF(#REF!,"AAAAAF96duc=",0)</f>
        <v>#REF!</v>
      </c>
      <c r="HY325" t="e">
        <f>IF(#REF!,"AAAAAF96dug=",0)</f>
        <v>#REF!</v>
      </c>
      <c r="HZ325" t="e">
        <f>IF(#REF!,"AAAAAF96duk=",0)</f>
        <v>#REF!</v>
      </c>
      <c r="IA325" t="e">
        <f>IF(#REF!,"AAAAAF96duo=",0)</f>
        <v>#REF!</v>
      </c>
      <c r="IB325" t="e">
        <f>IF(#REF!,"AAAAAF96dus=",0)</f>
        <v>#REF!</v>
      </c>
      <c r="IC325" t="e">
        <f>IF(#REF!,"AAAAAF96duw=",0)</f>
        <v>#REF!</v>
      </c>
      <c r="ID325" t="e">
        <f>IF(#REF!,"AAAAAF96du0=",0)</f>
        <v>#REF!</v>
      </c>
      <c r="IE325" t="e">
        <f>IF(#REF!,"AAAAAF96du4=",0)</f>
        <v>#REF!</v>
      </c>
      <c r="IF325" t="e">
        <f>IF(#REF!,"AAAAAF96du8=",0)</f>
        <v>#REF!</v>
      </c>
      <c r="IG325" t="e">
        <f>IF(#REF!,"AAAAAF96dvA=",0)</f>
        <v>#REF!</v>
      </c>
      <c r="IH325" t="e">
        <f>IF(#REF!,"AAAAAF96dvE=",0)</f>
        <v>#REF!</v>
      </c>
      <c r="II325" t="e">
        <f>IF(#REF!,"AAAAAF96dvI=",0)</f>
        <v>#REF!</v>
      </c>
      <c r="IJ325" t="e">
        <f>IF(#REF!,"AAAAAF96dvM=",0)</f>
        <v>#REF!</v>
      </c>
      <c r="IK325" t="e">
        <f>IF(#REF!,"AAAAAF96dvQ=",0)</f>
        <v>#REF!</v>
      </c>
      <c r="IL325" t="e">
        <f>IF(#REF!,"AAAAAF96dvU=",0)</f>
        <v>#REF!</v>
      </c>
      <c r="IM325" t="e">
        <f>IF(#REF!,"AAAAAF96dvY=",0)</f>
        <v>#REF!</v>
      </c>
      <c r="IN325" t="e">
        <f>IF(#REF!,"AAAAAF96dvc=",0)</f>
        <v>#REF!</v>
      </c>
      <c r="IO325" t="e">
        <f>IF(#REF!,"AAAAAF96dvg=",0)</f>
        <v>#REF!</v>
      </c>
      <c r="IP325" t="e">
        <f>IF(#REF!,"AAAAAF96dvk=",0)</f>
        <v>#REF!</v>
      </c>
      <c r="IQ325" t="e">
        <f>IF(#REF!,"AAAAAF96dvo=",0)</f>
        <v>#REF!</v>
      </c>
      <c r="IR325" t="e">
        <f>IF(#REF!,"AAAAAF96dvs=",0)</f>
        <v>#REF!</v>
      </c>
      <c r="IS325" t="e">
        <f>IF(#REF!,"AAAAAF96dvw=",0)</f>
        <v>#REF!</v>
      </c>
      <c r="IT325" t="e">
        <f>IF(#REF!,"AAAAAF96dv0=",0)</f>
        <v>#REF!</v>
      </c>
      <c r="IU325" t="e">
        <f>IF(#REF!,"AAAAAF96dv4=",0)</f>
        <v>#REF!</v>
      </c>
      <c r="IV325" t="e">
        <f>IF(#REF!,"AAAAAF96dv8=",0)</f>
        <v>#REF!</v>
      </c>
    </row>
    <row r="326" spans="1:256">
      <c r="A326" t="e">
        <f>IF(#REF!,"AAAAAD/57wA=",0)</f>
        <v>#REF!</v>
      </c>
      <c r="B326" t="e">
        <f>IF(#REF!,"AAAAAD/57wE=",0)</f>
        <v>#REF!</v>
      </c>
      <c r="C326" t="e">
        <f>IF(#REF!,"AAAAAD/57wI=",0)</f>
        <v>#REF!</v>
      </c>
      <c r="D326" t="e">
        <f>IF(#REF!,"AAAAAD/57wM=",0)</f>
        <v>#REF!</v>
      </c>
      <c r="E326" t="e">
        <f>IF(#REF!,"AAAAAD/57wQ=",0)</f>
        <v>#REF!</v>
      </c>
      <c r="F326" t="e">
        <f>IF(#REF!,"AAAAAD/57wU=",0)</f>
        <v>#REF!</v>
      </c>
      <c r="G326" t="e">
        <f>IF(#REF!,"AAAAAD/57wY=",0)</f>
        <v>#REF!</v>
      </c>
      <c r="H326" t="e">
        <f>IF(#REF!,"AAAAAD/57wc=",0)</f>
        <v>#REF!</v>
      </c>
      <c r="I326" t="e">
        <f>IF(#REF!,"AAAAAD/57wg=",0)</f>
        <v>#REF!</v>
      </c>
      <c r="J326" t="e">
        <f>IF(#REF!,"AAAAAD/57wk=",0)</f>
        <v>#REF!</v>
      </c>
      <c r="K326" t="e">
        <f>IF(#REF!,"AAAAAD/57wo=",0)</f>
        <v>#REF!</v>
      </c>
      <c r="L326" t="e">
        <f>IF(#REF!,"AAAAAD/57ws=",0)</f>
        <v>#REF!</v>
      </c>
      <c r="M326" t="e">
        <f>IF(#REF!,"AAAAAD/57ww=",0)</f>
        <v>#REF!</v>
      </c>
      <c r="N326" t="e">
        <f>IF(#REF!,"AAAAAD/57w0=",0)</f>
        <v>#REF!</v>
      </c>
      <c r="O326" t="e">
        <f>IF(#REF!,"AAAAAD/57w4=",0)</f>
        <v>#REF!</v>
      </c>
      <c r="P326" t="e">
        <f>IF(#REF!,"AAAAAD/57w8=",0)</f>
        <v>#REF!</v>
      </c>
      <c r="Q326" t="e">
        <f>IF(#REF!,"AAAAAD/57xA=",0)</f>
        <v>#REF!</v>
      </c>
      <c r="R326" t="e">
        <f>IF(#REF!,"AAAAAD/57xE=",0)</f>
        <v>#REF!</v>
      </c>
      <c r="S326" t="e">
        <f>IF(#REF!,"AAAAAD/57xI=",0)</f>
        <v>#REF!</v>
      </c>
      <c r="T326" t="e">
        <f>IF(#REF!,"AAAAAD/57xM=",0)</f>
        <v>#REF!</v>
      </c>
      <c r="U326" t="e">
        <f>IF(#REF!,"AAAAAD/57xQ=",0)</f>
        <v>#REF!</v>
      </c>
      <c r="V326" t="e">
        <f>IF(#REF!,"AAAAAD/57xU=",0)</f>
        <v>#REF!</v>
      </c>
      <c r="W326" t="e">
        <f>IF(#REF!,"AAAAAD/57xY=",0)</f>
        <v>#REF!</v>
      </c>
      <c r="X326" t="e">
        <f>IF(#REF!,"AAAAAD/57xc=",0)</f>
        <v>#REF!</v>
      </c>
      <c r="Y326" t="e">
        <f>IF(#REF!,"AAAAAD/57xg=",0)</f>
        <v>#REF!</v>
      </c>
      <c r="Z326" t="e">
        <f>IF(#REF!,"AAAAAD/57xk=",0)</f>
        <v>#REF!</v>
      </c>
      <c r="AA326" t="e">
        <f>IF(#REF!,"AAAAAD/57xo=",0)</f>
        <v>#REF!</v>
      </c>
      <c r="AB326" t="e">
        <f>IF(#REF!,"AAAAAD/57xs=",0)</f>
        <v>#REF!</v>
      </c>
      <c r="AC326" t="e">
        <f>IF(#REF!,"AAAAAD/57xw=",0)</f>
        <v>#REF!</v>
      </c>
      <c r="AD326" t="e">
        <f>IF(#REF!,"AAAAAD/57x0=",0)</f>
        <v>#REF!</v>
      </c>
      <c r="AE326" t="e">
        <f>IF(#REF!,"AAAAAD/57x4=",0)</f>
        <v>#REF!</v>
      </c>
      <c r="AF326" t="e">
        <f>IF(#REF!,"AAAAAD/57x8=",0)</f>
        <v>#REF!</v>
      </c>
      <c r="AG326" t="e">
        <f>IF(#REF!,"AAAAAD/57yA=",0)</f>
        <v>#REF!</v>
      </c>
      <c r="AH326" t="e">
        <f>IF(#REF!,"AAAAAD/57yE=",0)</f>
        <v>#REF!</v>
      </c>
      <c r="AI326" t="e">
        <f>IF(#REF!,"AAAAAD/57yI=",0)</f>
        <v>#REF!</v>
      </c>
      <c r="AJ326" t="e">
        <f>IF(#REF!,"AAAAAD/57yM=",0)</f>
        <v>#REF!</v>
      </c>
      <c r="AK326" t="e">
        <f>IF(#REF!,"AAAAAD/57yQ=",0)</f>
        <v>#REF!</v>
      </c>
      <c r="AL326" t="e">
        <f>IF(#REF!,"AAAAAD/57yU=",0)</f>
        <v>#REF!</v>
      </c>
      <c r="AM326" t="e">
        <f>IF(#REF!,"AAAAAD/57yY=",0)</f>
        <v>#REF!</v>
      </c>
      <c r="AN326" t="e">
        <f>IF(#REF!,"AAAAAD/57yc=",0)</f>
        <v>#REF!</v>
      </c>
      <c r="AO326" t="e">
        <f>IF(#REF!,"AAAAAD/57yg=",0)</f>
        <v>#REF!</v>
      </c>
      <c r="AP326" t="e">
        <f>IF(#REF!,"AAAAAD/57yk=",0)</f>
        <v>#REF!</v>
      </c>
      <c r="AQ326" t="e">
        <f>IF(#REF!,"AAAAAD/57yo=",0)</f>
        <v>#REF!</v>
      </c>
      <c r="AR326" t="e">
        <f>IF(#REF!,"AAAAAD/57ys=",0)</f>
        <v>#REF!</v>
      </c>
      <c r="AS326" t="e">
        <f>IF(#REF!,"AAAAAD/57yw=",0)</f>
        <v>#REF!</v>
      </c>
      <c r="AT326" t="e">
        <f>IF(#REF!,"AAAAAD/57y0=",0)</f>
        <v>#REF!</v>
      </c>
      <c r="AU326" t="e">
        <f>IF(#REF!,"AAAAAD/57y4=",0)</f>
        <v>#REF!</v>
      </c>
      <c r="AV326" t="e">
        <f>IF(#REF!,"AAAAAD/57y8=",0)</f>
        <v>#REF!</v>
      </c>
      <c r="AW326" t="e">
        <f>IF(#REF!,"AAAAAD/57zA=",0)</f>
        <v>#REF!</v>
      </c>
      <c r="AX326" t="e">
        <f>IF(#REF!,"AAAAAD/57zE=",0)</f>
        <v>#REF!</v>
      </c>
      <c r="AY326" t="e">
        <f>IF(#REF!,"AAAAAD/57zI=",0)</f>
        <v>#REF!</v>
      </c>
      <c r="AZ326" t="e">
        <f>IF(#REF!,"AAAAAD/57zM=",0)</f>
        <v>#REF!</v>
      </c>
      <c r="BA326" t="e">
        <f>IF(#REF!,"AAAAAD/57zQ=",0)</f>
        <v>#REF!</v>
      </c>
      <c r="BB326" t="e">
        <f>IF(#REF!,"AAAAAD/57zU=",0)</f>
        <v>#REF!</v>
      </c>
      <c r="BC326" t="e">
        <f>IF(#REF!,"AAAAAD/57zY=",0)</f>
        <v>#REF!</v>
      </c>
      <c r="BD326" t="e">
        <f>IF(#REF!,"AAAAAD/57zc=",0)</f>
        <v>#REF!</v>
      </c>
      <c r="BE326" t="e">
        <f>IF(#REF!,"AAAAAD/57zg=",0)</f>
        <v>#REF!</v>
      </c>
      <c r="BF326" t="e">
        <f>IF(#REF!,"AAAAAD/57zk=",0)</f>
        <v>#REF!</v>
      </c>
      <c r="BG326" t="e">
        <f>IF(#REF!,"AAAAAD/57zo=",0)</f>
        <v>#REF!</v>
      </c>
      <c r="BH326" t="e">
        <f>IF(#REF!,"AAAAAD/57zs=",0)</f>
        <v>#REF!</v>
      </c>
      <c r="BI326" t="e">
        <f>IF(#REF!,"AAAAAD/57zw=",0)</f>
        <v>#REF!</v>
      </c>
      <c r="BJ326" t="e">
        <f>IF(#REF!,"AAAAAD/57z0=",0)</f>
        <v>#REF!</v>
      </c>
      <c r="BK326" t="e">
        <f>IF(#REF!,"AAAAAD/57z4=",0)</f>
        <v>#REF!</v>
      </c>
      <c r="BL326" t="e">
        <f>IF(#REF!,"AAAAAD/57z8=",0)</f>
        <v>#REF!</v>
      </c>
      <c r="BM326" t="e">
        <f>IF(#REF!,"AAAAAD/570A=",0)</f>
        <v>#REF!</v>
      </c>
      <c r="BN326" t="e">
        <f>IF(#REF!,"AAAAAD/570E=",0)</f>
        <v>#REF!</v>
      </c>
      <c r="BO326" t="e">
        <f>IF(#REF!,"AAAAAD/570I=",0)</f>
        <v>#REF!</v>
      </c>
      <c r="BP326" t="e">
        <f>IF(#REF!,"AAAAAD/570M=",0)</f>
        <v>#REF!</v>
      </c>
      <c r="BQ326" t="e">
        <f>IF(#REF!,"AAAAAD/570Q=",0)</f>
        <v>#REF!</v>
      </c>
      <c r="BR326" t="e">
        <f>IF(#REF!,"AAAAAD/570U=",0)</f>
        <v>#REF!</v>
      </c>
      <c r="BS326" t="e">
        <f>IF(#REF!,"AAAAAD/570Y=",0)</f>
        <v>#REF!</v>
      </c>
      <c r="BT326" t="e">
        <f>IF(#REF!,"AAAAAD/570c=",0)</f>
        <v>#REF!</v>
      </c>
      <c r="BU326" t="e">
        <f>IF(#REF!,"AAAAAD/570g=",0)</f>
        <v>#REF!</v>
      </c>
      <c r="BV326" t="e">
        <f>IF(#REF!,"AAAAAD/570k=",0)</f>
        <v>#REF!</v>
      </c>
      <c r="BW326" t="e">
        <f>IF(#REF!,"AAAAAD/570o=",0)</f>
        <v>#REF!</v>
      </c>
      <c r="BX326" t="e">
        <f>IF(#REF!,"AAAAAD/570s=",0)</f>
        <v>#REF!</v>
      </c>
      <c r="BY326" t="e">
        <f>IF(#REF!,"AAAAAD/570w=",0)</f>
        <v>#REF!</v>
      </c>
      <c r="BZ326" t="e">
        <f>IF(#REF!,"AAAAAD/5700=",0)</f>
        <v>#REF!</v>
      </c>
      <c r="CA326" t="e">
        <f>IF(#REF!,"AAAAAD/5704=",0)</f>
        <v>#REF!</v>
      </c>
      <c r="CB326" t="e">
        <f>IF(#REF!,"AAAAAD/5708=",0)</f>
        <v>#REF!</v>
      </c>
      <c r="CC326" t="e">
        <f>IF(#REF!,"AAAAAD/571A=",0)</f>
        <v>#REF!</v>
      </c>
      <c r="CD326" t="e">
        <f>IF(#REF!,"AAAAAD/571E=",0)</f>
        <v>#REF!</v>
      </c>
      <c r="CE326" t="e">
        <f>IF(#REF!,"AAAAAD/571I=",0)</f>
        <v>#REF!</v>
      </c>
      <c r="CF326" t="e">
        <f>IF(#REF!,"AAAAAD/571M=",0)</f>
        <v>#REF!</v>
      </c>
      <c r="CG326" t="e">
        <f>IF(#REF!,"AAAAAD/571Q=",0)</f>
        <v>#REF!</v>
      </c>
      <c r="CH326" t="e">
        <f>IF(#REF!,"AAAAAD/571U=",0)</f>
        <v>#REF!</v>
      </c>
      <c r="CI326" t="e">
        <f>IF(#REF!,"AAAAAD/571Y=",0)</f>
        <v>#REF!</v>
      </c>
      <c r="CJ326" t="e">
        <f>IF(#REF!,"AAAAAD/571c=",0)</f>
        <v>#REF!</v>
      </c>
      <c r="CK326" t="e">
        <f>IF(#REF!,"AAAAAD/571g=",0)</f>
        <v>#REF!</v>
      </c>
      <c r="CL326" t="e">
        <f>IF(#REF!,"AAAAAD/571k=",0)</f>
        <v>#REF!</v>
      </c>
      <c r="CM326" t="e">
        <f>IF(#REF!,"AAAAAD/571o=",0)</f>
        <v>#REF!</v>
      </c>
      <c r="CN326" t="e">
        <f>IF(#REF!,"AAAAAD/571s=",0)</f>
        <v>#REF!</v>
      </c>
      <c r="CO326" t="e">
        <f>IF(#REF!,"AAAAAD/571w=",0)</f>
        <v>#REF!</v>
      </c>
      <c r="CP326" t="e">
        <f>IF(#REF!,"AAAAAD/5710=",0)</f>
        <v>#REF!</v>
      </c>
      <c r="CQ326" t="e">
        <f>IF(#REF!,"AAAAAD/5714=",0)</f>
        <v>#REF!</v>
      </c>
      <c r="CR326" t="e">
        <f>IF(#REF!,"AAAAAD/5718=",0)</f>
        <v>#REF!</v>
      </c>
      <c r="CS326" t="e">
        <f>IF(#REF!,"AAAAAD/572A=",0)</f>
        <v>#REF!</v>
      </c>
      <c r="CT326" t="e">
        <f>IF(#REF!,"AAAAAD/572E=",0)</f>
        <v>#REF!</v>
      </c>
      <c r="CU326" t="e">
        <f>IF(#REF!,"AAAAAD/572I=",0)</f>
        <v>#REF!</v>
      </c>
      <c r="CV326" t="e">
        <f>IF(#REF!,"AAAAAD/572M=",0)</f>
        <v>#REF!</v>
      </c>
      <c r="CW326" t="e">
        <f>IF(#REF!,"AAAAAD/572Q=",0)</f>
        <v>#REF!</v>
      </c>
      <c r="CX326" t="e">
        <f>IF(#REF!,"AAAAAD/572U=",0)</f>
        <v>#REF!</v>
      </c>
      <c r="CY326" t="e">
        <f>IF(#REF!,"AAAAAD/572Y=",0)</f>
        <v>#REF!</v>
      </c>
      <c r="CZ326" t="e">
        <f>IF(#REF!,"AAAAAD/572c=",0)</f>
        <v>#REF!</v>
      </c>
      <c r="DA326" t="e">
        <f>IF(#REF!,"AAAAAD/572g=",0)</f>
        <v>#REF!</v>
      </c>
      <c r="DB326" t="e">
        <f>IF(#REF!,"AAAAAD/572k=",0)</f>
        <v>#REF!</v>
      </c>
      <c r="DC326" t="e">
        <f>IF(#REF!,"AAAAAD/572o=",0)</f>
        <v>#REF!</v>
      </c>
      <c r="DD326" t="e">
        <f>IF(#REF!,"AAAAAD/572s=",0)</f>
        <v>#REF!</v>
      </c>
      <c r="DE326" t="e">
        <f>IF(#REF!,"AAAAAD/572w=",0)</f>
        <v>#REF!</v>
      </c>
      <c r="DF326" t="e">
        <f>IF(#REF!,"AAAAAD/5720=",0)</f>
        <v>#REF!</v>
      </c>
      <c r="DG326" t="e">
        <f>IF(#REF!,"AAAAAD/5724=",0)</f>
        <v>#REF!</v>
      </c>
      <c r="DH326" t="e">
        <f>IF(#REF!,"AAAAAD/5728=",0)</f>
        <v>#REF!</v>
      </c>
      <c r="DI326" t="e">
        <f>IF(#REF!,"AAAAAD/573A=",0)</f>
        <v>#REF!</v>
      </c>
      <c r="DJ326" t="e">
        <f>IF(#REF!,"AAAAAD/573E=",0)</f>
        <v>#REF!</v>
      </c>
      <c r="DK326" t="e">
        <f>IF(#REF!,"AAAAAD/573I=",0)</f>
        <v>#REF!</v>
      </c>
      <c r="DL326" t="e">
        <f>IF(#REF!,"AAAAAD/573M=",0)</f>
        <v>#REF!</v>
      </c>
      <c r="DM326" t="e">
        <f>IF(#REF!,"AAAAAD/573Q=",0)</f>
        <v>#REF!</v>
      </c>
      <c r="DN326" t="e">
        <f>IF(#REF!,"AAAAAD/573U=",0)</f>
        <v>#REF!</v>
      </c>
      <c r="DO326" t="e">
        <f>IF(#REF!,"AAAAAD/573Y=",0)</f>
        <v>#REF!</v>
      </c>
      <c r="DP326" t="e">
        <f>IF(#REF!,"AAAAAD/573c=",0)</f>
        <v>#REF!</v>
      </c>
      <c r="DQ326" t="e">
        <f>IF(#REF!,"AAAAAD/573g=",0)</f>
        <v>#REF!</v>
      </c>
      <c r="DR326" t="e">
        <f>IF(#REF!,"AAAAAD/573k=",0)</f>
        <v>#REF!</v>
      </c>
      <c r="DS326" t="e">
        <f>IF(#REF!,"AAAAAD/573o=",0)</f>
        <v>#REF!</v>
      </c>
      <c r="DT326" t="e">
        <f>IF(#REF!,"AAAAAD/573s=",0)</f>
        <v>#REF!</v>
      </c>
      <c r="DU326" t="e">
        <f>IF(#REF!,"AAAAAD/573w=",0)</f>
        <v>#REF!</v>
      </c>
      <c r="DV326" t="e">
        <f>IF(#REF!,"AAAAAD/5730=",0)</f>
        <v>#REF!</v>
      </c>
      <c r="DW326" t="e">
        <f>IF(#REF!,"AAAAAD/5734=",0)</f>
        <v>#REF!</v>
      </c>
      <c r="DX326" t="e">
        <f>IF(#REF!,"AAAAAD/5738=",0)</f>
        <v>#REF!</v>
      </c>
      <c r="DY326" t="e">
        <f>IF(#REF!,"AAAAAD/574A=",0)</f>
        <v>#REF!</v>
      </c>
      <c r="DZ326" t="e">
        <f>IF(#REF!,"AAAAAD/574E=",0)</f>
        <v>#REF!</v>
      </c>
      <c r="EA326" t="e">
        <f>IF(#REF!,"AAAAAD/574I=",0)</f>
        <v>#REF!</v>
      </c>
      <c r="EB326" t="e">
        <f>IF(#REF!,"AAAAAD/574M=",0)</f>
        <v>#REF!</v>
      </c>
      <c r="EC326" t="e">
        <f>IF(#REF!,"AAAAAD/574Q=",0)</f>
        <v>#REF!</v>
      </c>
      <c r="ED326" t="e">
        <f>IF(#REF!,"AAAAAD/574U=",0)</f>
        <v>#REF!</v>
      </c>
      <c r="EE326" t="e">
        <f>IF(#REF!,"AAAAAD/574Y=",0)</f>
        <v>#REF!</v>
      </c>
      <c r="EF326" t="e">
        <f>IF(#REF!,"AAAAAD/574c=",0)</f>
        <v>#REF!</v>
      </c>
      <c r="EG326" t="e">
        <f>IF(#REF!,"AAAAAD/574g=",0)</f>
        <v>#REF!</v>
      </c>
      <c r="EH326" t="e">
        <f>IF(#REF!,"AAAAAD/574k=",0)</f>
        <v>#REF!</v>
      </c>
      <c r="EI326" t="e">
        <f>IF(#REF!,"AAAAAD/574o=",0)</f>
        <v>#REF!</v>
      </c>
      <c r="EJ326" t="e">
        <f>IF(#REF!,"AAAAAD/574s=",0)</f>
        <v>#REF!</v>
      </c>
      <c r="EK326" t="e">
        <f>IF(#REF!,"AAAAAD/574w=",0)</f>
        <v>#REF!</v>
      </c>
      <c r="EL326" t="e">
        <f>IF(#REF!,"AAAAAD/5740=",0)</f>
        <v>#REF!</v>
      </c>
      <c r="EM326" t="e">
        <f>IF(#REF!,"AAAAAD/5744=",0)</f>
        <v>#REF!</v>
      </c>
      <c r="EN326" t="e">
        <f>IF(#REF!,"AAAAAD/5748=",0)</f>
        <v>#REF!</v>
      </c>
      <c r="EO326" t="e">
        <f>IF(#REF!,"AAAAAD/575A=",0)</f>
        <v>#REF!</v>
      </c>
      <c r="EP326" t="e">
        <f>IF(#REF!,"AAAAAD/575E=",0)</f>
        <v>#REF!</v>
      </c>
      <c r="EQ326" t="e">
        <f>IF(#REF!,"AAAAAD/575I=",0)</f>
        <v>#REF!</v>
      </c>
      <c r="ER326" t="e">
        <f>IF(#REF!,"AAAAAD/575M=",0)</f>
        <v>#REF!</v>
      </c>
      <c r="ES326" t="e">
        <f>IF(#REF!,"AAAAAD/575Q=",0)</f>
        <v>#REF!</v>
      </c>
      <c r="ET326" t="e">
        <f>IF(#REF!,"AAAAAD/575U=",0)</f>
        <v>#REF!</v>
      </c>
      <c r="EU326" t="e">
        <f>IF(#REF!,"AAAAAD/575Y=",0)</f>
        <v>#REF!</v>
      </c>
      <c r="EV326" t="e">
        <f>IF(#REF!,"AAAAAD/575c=",0)</f>
        <v>#REF!</v>
      </c>
      <c r="EW326" t="e">
        <f>IF(#REF!,"AAAAAD/575g=",0)</f>
        <v>#REF!</v>
      </c>
      <c r="EX326" t="e">
        <f>IF(#REF!,"AAAAAD/575k=",0)</f>
        <v>#REF!</v>
      </c>
      <c r="EY326" t="e">
        <f>IF(#REF!,"AAAAAD/575o=",0)</f>
        <v>#REF!</v>
      </c>
      <c r="EZ326" t="e">
        <f>IF(#REF!,"AAAAAD/575s=",0)</f>
        <v>#REF!</v>
      </c>
      <c r="FA326" t="e">
        <f>IF(#REF!,"AAAAAD/575w=",0)</f>
        <v>#REF!</v>
      </c>
      <c r="FB326" t="e">
        <f>IF(#REF!,"AAAAAD/5750=",0)</f>
        <v>#REF!</v>
      </c>
      <c r="FC326" t="e">
        <f>IF(#REF!,"AAAAAD/5754=",0)</f>
        <v>#REF!</v>
      </c>
      <c r="FD326" t="e">
        <f>IF(#REF!,"AAAAAD/5758=",0)</f>
        <v>#REF!</v>
      </c>
      <c r="FE326" t="e">
        <f>IF(#REF!,"AAAAAD/576A=",0)</f>
        <v>#REF!</v>
      </c>
      <c r="FF326" t="e">
        <f>IF(#REF!,"AAAAAD/576E=",0)</f>
        <v>#REF!</v>
      </c>
      <c r="FG326" t="e">
        <f>IF(#REF!,"AAAAAD/576I=",0)</f>
        <v>#REF!</v>
      </c>
      <c r="FH326" t="e">
        <f>IF(#REF!,"AAAAAD/576M=",0)</f>
        <v>#REF!</v>
      </c>
      <c r="FI326" t="e">
        <f>IF(#REF!,"AAAAAD/576Q=",0)</f>
        <v>#REF!</v>
      </c>
      <c r="FJ326" t="e">
        <f>IF(#REF!,"AAAAAD/576U=",0)</f>
        <v>#REF!</v>
      </c>
      <c r="FK326" t="e">
        <f>IF(#REF!,"AAAAAD/576Y=",0)</f>
        <v>#REF!</v>
      </c>
      <c r="FL326" t="e">
        <f>IF(#REF!,"AAAAAD/576c=",0)</f>
        <v>#REF!</v>
      </c>
      <c r="FM326" t="e">
        <f>IF(#REF!,"AAAAAD/576g=",0)</f>
        <v>#REF!</v>
      </c>
      <c r="FN326" t="e">
        <f>IF(#REF!,"AAAAAD/576k=",0)</f>
        <v>#REF!</v>
      </c>
      <c r="FO326" t="e">
        <f>IF(#REF!,"AAAAAD/576o=",0)</f>
        <v>#REF!</v>
      </c>
      <c r="FP326" t="e">
        <f>IF(#REF!,"AAAAAD/576s=",0)</f>
        <v>#REF!</v>
      </c>
      <c r="FQ326" t="e">
        <f>IF(#REF!,"AAAAAD/576w=",0)</f>
        <v>#REF!</v>
      </c>
      <c r="FR326" t="e">
        <f>IF(#REF!,"AAAAAD/5760=",0)</f>
        <v>#REF!</v>
      </c>
      <c r="FS326" t="e">
        <f>IF(#REF!,"AAAAAD/5764=",0)</f>
        <v>#REF!</v>
      </c>
      <c r="FT326" t="e">
        <f>IF(#REF!,"AAAAAD/5768=",0)</f>
        <v>#REF!</v>
      </c>
      <c r="FU326" t="e">
        <f>IF(#REF!,"AAAAAD/577A=",0)</f>
        <v>#REF!</v>
      </c>
      <c r="FV326" t="e">
        <f>IF(#REF!,"AAAAAD/577E=",0)</f>
        <v>#REF!</v>
      </c>
      <c r="FW326" t="e">
        <f>IF(#REF!,"AAAAAD/577I=",0)</f>
        <v>#REF!</v>
      </c>
      <c r="FX326" t="e">
        <f>IF(#REF!,"AAAAAD/577M=",0)</f>
        <v>#REF!</v>
      </c>
      <c r="FY326" t="e">
        <f>IF(#REF!,"AAAAAD/577Q=",0)</f>
        <v>#REF!</v>
      </c>
      <c r="FZ326" t="e">
        <f>IF(#REF!,"AAAAAD/577U=",0)</f>
        <v>#REF!</v>
      </c>
      <c r="GA326" t="e">
        <f>IF(#REF!,"AAAAAD/577Y=",0)</f>
        <v>#REF!</v>
      </c>
      <c r="GB326" t="e">
        <f>IF(#REF!,"AAAAAD/577c=",0)</f>
        <v>#REF!</v>
      </c>
      <c r="GC326" t="e">
        <f>IF(#REF!,"AAAAAD/577g=",0)</f>
        <v>#REF!</v>
      </c>
      <c r="GD326" t="e">
        <f>IF(#REF!,"AAAAAD/577k=",0)</f>
        <v>#REF!</v>
      </c>
      <c r="GE326" t="e">
        <f>IF(#REF!,"AAAAAD/577o=",0)</f>
        <v>#REF!</v>
      </c>
      <c r="GF326" t="e">
        <f>IF(#REF!,"AAAAAD/577s=",0)</f>
        <v>#REF!</v>
      </c>
      <c r="GG326" t="e">
        <f>IF(#REF!,"AAAAAD/577w=",0)</f>
        <v>#REF!</v>
      </c>
      <c r="GH326" t="e">
        <f>IF(#REF!,"AAAAAD/5770=",0)</f>
        <v>#REF!</v>
      </c>
      <c r="GI326" t="e">
        <f>IF(#REF!,"AAAAAD/5774=",0)</f>
        <v>#REF!</v>
      </c>
      <c r="GJ326" t="e">
        <f>IF(#REF!,"AAAAAD/5778=",0)</f>
        <v>#REF!</v>
      </c>
      <c r="GK326" t="e">
        <f>IF(#REF!,"AAAAAD/578A=",0)</f>
        <v>#REF!</v>
      </c>
      <c r="GL326" t="e">
        <f>IF(#REF!,"AAAAAD/578E=",0)</f>
        <v>#REF!</v>
      </c>
      <c r="GM326" t="e">
        <f>IF(#REF!,"AAAAAD/578I=",0)</f>
        <v>#REF!</v>
      </c>
      <c r="GN326" t="e">
        <f>IF(#REF!,"AAAAAD/578M=",0)</f>
        <v>#REF!</v>
      </c>
      <c r="GO326" t="e">
        <f>IF(#REF!,"AAAAAD/578Q=",0)</f>
        <v>#REF!</v>
      </c>
      <c r="GP326" t="e">
        <f>IF(#REF!,"AAAAAD/578U=",0)</f>
        <v>#REF!</v>
      </c>
      <c r="GQ326" t="e">
        <f>IF(#REF!,"AAAAAD/578Y=",0)</f>
        <v>#REF!</v>
      </c>
      <c r="GR326" t="e">
        <f>IF(#REF!,"AAAAAD/578c=",0)</f>
        <v>#REF!</v>
      </c>
      <c r="GS326" t="e">
        <f>IF(#REF!,"AAAAAD/578g=",0)</f>
        <v>#REF!</v>
      </c>
      <c r="GT326" t="e">
        <f>IF(#REF!,"AAAAAD/578k=",0)</f>
        <v>#REF!</v>
      </c>
      <c r="GU326" t="e">
        <f>IF(#REF!,"AAAAAD/578o=",0)</f>
        <v>#REF!</v>
      </c>
      <c r="GV326" t="e">
        <f>IF(#REF!,"AAAAAD/578s=",0)</f>
        <v>#REF!</v>
      </c>
      <c r="GW326" t="e">
        <f>IF(#REF!,"AAAAAD/578w=",0)</f>
        <v>#REF!</v>
      </c>
      <c r="GX326" t="e">
        <f>IF(#REF!,"AAAAAD/5780=",0)</f>
        <v>#REF!</v>
      </c>
      <c r="GY326" t="e">
        <f>IF(#REF!,"AAAAAD/5784=",0)</f>
        <v>#REF!</v>
      </c>
      <c r="GZ326" t="e">
        <f>IF(#REF!,"AAAAAD/5788=",0)</f>
        <v>#REF!</v>
      </c>
      <c r="HA326" t="e">
        <f>IF(#REF!,"AAAAAD/579A=",0)</f>
        <v>#REF!</v>
      </c>
      <c r="HB326" t="e">
        <f>IF(#REF!,"AAAAAD/579E=",0)</f>
        <v>#REF!</v>
      </c>
      <c r="HC326" t="e">
        <f>IF(#REF!,"AAAAAD/579I=",0)</f>
        <v>#REF!</v>
      </c>
      <c r="HD326" t="e">
        <f>IF(#REF!,"AAAAAD/579M=",0)</f>
        <v>#REF!</v>
      </c>
      <c r="HE326" t="e">
        <f>IF(#REF!,"AAAAAD/579Q=",0)</f>
        <v>#REF!</v>
      </c>
      <c r="HF326" t="e">
        <f>IF(#REF!,"AAAAAD/579U=",0)</f>
        <v>#REF!</v>
      </c>
      <c r="HG326" t="e">
        <f>IF(#REF!,"AAAAAD/579Y=",0)</f>
        <v>#REF!</v>
      </c>
      <c r="HH326" t="e">
        <f>IF(#REF!,"AAAAAD/579c=",0)</f>
        <v>#REF!</v>
      </c>
      <c r="HI326" t="e">
        <f>IF(#REF!,"AAAAAD/579g=",0)</f>
        <v>#REF!</v>
      </c>
      <c r="HJ326" t="e">
        <f>IF(#REF!,"AAAAAD/579k=",0)</f>
        <v>#REF!</v>
      </c>
      <c r="HK326" t="e">
        <f>IF(#REF!,"AAAAAD/579o=",0)</f>
        <v>#REF!</v>
      </c>
      <c r="HL326" t="e">
        <f>IF(#REF!,"AAAAAD/579s=",0)</f>
        <v>#REF!</v>
      </c>
      <c r="HM326" t="e">
        <f>IF(#REF!,"AAAAAD/579w=",0)</f>
        <v>#REF!</v>
      </c>
      <c r="HN326" t="e">
        <f>IF(#REF!,"AAAAAD/5790=",0)</f>
        <v>#REF!</v>
      </c>
      <c r="HO326" t="e">
        <f>IF(#REF!,"AAAAAD/5794=",0)</f>
        <v>#REF!</v>
      </c>
      <c r="HP326" t="e">
        <f>IF(#REF!,"AAAAAD/5798=",0)</f>
        <v>#REF!</v>
      </c>
      <c r="HQ326" t="e">
        <f>IF(#REF!,"AAAAAD/57+A=",0)</f>
        <v>#REF!</v>
      </c>
      <c r="HR326" t="e">
        <f>IF(#REF!,"AAAAAD/57+E=",0)</f>
        <v>#REF!</v>
      </c>
      <c r="HS326" t="e">
        <f>IF(#REF!,"AAAAAD/57+I=",0)</f>
        <v>#REF!</v>
      </c>
      <c r="HT326" t="e">
        <f>IF(#REF!,"AAAAAD/57+M=",0)</f>
        <v>#REF!</v>
      </c>
      <c r="HU326" t="e">
        <f>IF(#REF!,"AAAAAD/57+Q=",0)</f>
        <v>#REF!</v>
      </c>
      <c r="HV326" t="e">
        <f>IF(#REF!,"AAAAAD/57+U=",0)</f>
        <v>#REF!</v>
      </c>
      <c r="HW326" t="e">
        <f>IF(#REF!,"AAAAAD/57+Y=",0)</f>
        <v>#REF!</v>
      </c>
      <c r="HX326" t="e">
        <f>IF(#REF!,"AAAAAD/57+c=",0)</f>
        <v>#REF!</v>
      </c>
      <c r="HY326" t="e">
        <f>IF(#REF!,"AAAAAD/57+g=",0)</f>
        <v>#REF!</v>
      </c>
      <c r="HZ326" t="e">
        <f>IF(#REF!,"AAAAAD/57+k=",0)</f>
        <v>#REF!</v>
      </c>
      <c r="IA326" t="e">
        <f>IF(#REF!,"AAAAAD/57+o=",0)</f>
        <v>#REF!</v>
      </c>
      <c r="IB326" t="e">
        <f>IF(#REF!,"AAAAAD/57+s=",0)</f>
        <v>#REF!</v>
      </c>
      <c r="IC326" t="e">
        <f>IF(#REF!,"AAAAAD/57+w=",0)</f>
        <v>#REF!</v>
      </c>
      <c r="ID326" t="e">
        <f>IF(#REF!,"AAAAAD/57+0=",0)</f>
        <v>#REF!</v>
      </c>
      <c r="IE326" t="e">
        <f>IF(#REF!,"AAAAAD/57+4=",0)</f>
        <v>#REF!</v>
      </c>
      <c r="IF326" t="e">
        <f>IF(#REF!,"AAAAAD/57+8=",0)</f>
        <v>#REF!</v>
      </c>
      <c r="IG326" t="e">
        <f>IF(#REF!,"AAAAAD/57/A=",0)</f>
        <v>#REF!</v>
      </c>
      <c r="IH326" t="e">
        <f>IF(#REF!,"AAAAAD/57/E=",0)</f>
        <v>#REF!</v>
      </c>
      <c r="II326" t="e">
        <f>IF(#REF!,"AAAAAD/57/I=",0)</f>
        <v>#REF!</v>
      </c>
      <c r="IJ326" t="e">
        <f>IF(#REF!,"AAAAAD/57/M=",0)</f>
        <v>#REF!</v>
      </c>
      <c r="IK326" t="e">
        <f>IF(#REF!,"AAAAAD/57/Q=",0)</f>
        <v>#REF!</v>
      </c>
      <c r="IL326" t="e">
        <f>IF(#REF!,"AAAAAD/57/U=",0)</f>
        <v>#REF!</v>
      </c>
      <c r="IM326" t="e">
        <f>IF(#REF!,"AAAAAD/57/Y=",0)</f>
        <v>#REF!</v>
      </c>
      <c r="IN326" t="e">
        <f>IF(#REF!,"AAAAAD/57/c=",0)</f>
        <v>#REF!</v>
      </c>
      <c r="IO326" t="e">
        <f>IF(#REF!,"AAAAAD/57/g=",0)</f>
        <v>#REF!</v>
      </c>
      <c r="IP326" t="e">
        <f>IF(#REF!,"AAAAAD/57/k=",0)</f>
        <v>#REF!</v>
      </c>
      <c r="IQ326" t="e">
        <f>IF(#REF!,"AAAAAD/57/o=",0)</f>
        <v>#REF!</v>
      </c>
      <c r="IR326" t="e">
        <f>IF(#REF!,"AAAAAD/57/s=",0)</f>
        <v>#REF!</v>
      </c>
      <c r="IS326" t="e">
        <f>IF(#REF!,"AAAAAD/57/w=",0)</f>
        <v>#REF!</v>
      </c>
      <c r="IT326" t="e">
        <f>IF(#REF!,"AAAAAD/57/0=",0)</f>
        <v>#REF!</v>
      </c>
      <c r="IU326" t="e">
        <f>IF(#REF!,"AAAAAD/57/4=",0)</f>
        <v>#REF!</v>
      </c>
      <c r="IV326" t="e">
        <f>IF(#REF!,"AAAAAD/57/8=",0)</f>
        <v>#REF!</v>
      </c>
    </row>
    <row r="327" spans="1:256">
      <c r="A327" t="e">
        <f>IF(#REF!,"AAAAAD//bgA=",0)</f>
        <v>#REF!</v>
      </c>
      <c r="B327" t="e">
        <f>IF(#REF!,"AAAAAD//bgE=",0)</f>
        <v>#REF!</v>
      </c>
      <c r="C327" t="e">
        <f>IF(#REF!,"AAAAAD//bgI=",0)</f>
        <v>#REF!</v>
      </c>
      <c r="D327" t="e">
        <f>IF(#REF!,"AAAAAD//bgM=",0)</f>
        <v>#REF!</v>
      </c>
      <c r="E327" t="e">
        <f>IF(#REF!,"AAAAAD//bgQ=",0)</f>
        <v>#REF!</v>
      </c>
      <c r="F327" t="e">
        <f>IF(#REF!,"AAAAAD//bgU=",0)</f>
        <v>#REF!</v>
      </c>
      <c r="G327" t="e">
        <f>IF(#REF!,"AAAAAD//bgY=",0)</f>
        <v>#REF!</v>
      </c>
      <c r="H327" t="e">
        <f>IF(#REF!,"AAAAAD//bgc=",0)</f>
        <v>#REF!</v>
      </c>
      <c r="I327" t="e">
        <f>IF(#REF!,"AAAAAD//bgg=",0)</f>
        <v>#REF!</v>
      </c>
      <c r="J327" t="e">
        <f>IF(#REF!,"AAAAAD//bgk=",0)</f>
        <v>#REF!</v>
      </c>
      <c r="K327" t="e">
        <f>IF(#REF!,"AAAAAD//bgo=",0)</f>
        <v>#REF!</v>
      </c>
      <c r="L327" t="e">
        <f>IF(#REF!,"AAAAAD//bgs=",0)</f>
        <v>#REF!</v>
      </c>
      <c r="M327" t="e">
        <f>IF(#REF!,"AAAAAD//bgw=",0)</f>
        <v>#REF!</v>
      </c>
      <c r="N327" t="e">
        <f>IF(#REF!,"AAAAAD//bg0=",0)</f>
        <v>#REF!</v>
      </c>
      <c r="O327" t="e">
        <f>IF(#REF!,"AAAAAD//bg4=",0)</f>
        <v>#REF!</v>
      </c>
      <c r="P327" t="e">
        <f>IF(#REF!,"AAAAAD//bg8=",0)</f>
        <v>#REF!</v>
      </c>
      <c r="Q327" t="e">
        <f>IF(#REF!,"AAAAAD//bhA=",0)</f>
        <v>#REF!</v>
      </c>
      <c r="R327" t="e">
        <f>IF(#REF!,"AAAAAD//bhE=",0)</f>
        <v>#REF!</v>
      </c>
      <c r="S327" t="e">
        <f>IF(#REF!,"AAAAAD//bhI=",0)</f>
        <v>#REF!</v>
      </c>
      <c r="T327" t="e">
        <f>IF(#REF!,"AAAAAD//bhM=",0)</f>
        <v>#REF!</v>
      </c>
      <c r="U327" t="e">
        <f>IF(#REF!,"AAAAAD//bhQ=",0)</f>
        <v>#REF!</v>
      </c>
      <c r="V327" t="e">
        <f>IF(#REF!,"AAAAAD//bhU=",0)</f>
        <v>#REF!</v>
      </c>
      <c r="W327" t="e">
        <f>IF(#REF!,"AAAAAD//bhY=",0)</f>
        <v>#REF!</v>
      </c>
      <c r="X327" t="e">
        <f>IF(#REF!,"AAAAAD//bhc=",0)</f>
        <v>#REF!</v>
      </c>
      <c r="Y327" t="e">
        <f>IF(#REF!,"AAAAAD//bhg=",0)</f>
        <v>#REF!</v>
      </c>
      <c r="Z327" t="e">
        <f>IF(#REF!,"AAAAAD//bhk=",0)</f>
        <v>#REF!</v>
      </c>
      <c r="AA327" t="e">
        <f>IF(#REF!,"AAAAAD//bho=",0)</f>
        <v>#REF!</v>
      </c>
      <c r="AB327" t="e">
        <f>IF(#REF!,"AAAAAD//bhs=",0)</f>
        <v>#REF!</v>
      </c>
      <c r="AC327" t="e">
        <f>IF(#REF!,"AAAAAD//bhw=",0)</f>
        <v>#REF!</v>
      </c>
      <c r="AD327" t="e">
        <f>IF(#REF!,"AAAAAD//bh0=",0)</f>
        <v>#REF!</v>
      </c>
      <c r="AE327" t="e">
        <f>IF(#REF!,"AAAAAD//bh4=",0)</f>
        <v>#REF!</v>
      </c>
      <c r="AF327" t="e">
        <f>IF(#REF!,"AAAAAD//bh8=",0)</f>
        <v>#REF!</v>
      </c>
      <c r="AG327" t="e">
        <f>IF(#REF!,"AAAAAD//biA=",0)</f>
        <v>#REF!</v>
      </c>
      <c r="AH327" t="e">
        <f>IF(#REF!,"AAAAAD//biE=",0)</f>
        <v>#REF!</v>
      </c>
      <c r="AI327" t="e">
        <f>IF(#REF!,"AAAAAD//biI=",0)</f>
        <v>#REF!</v>
      </c>
      <c r="AJ327" t="e">
        <f>IF(#REF!,"AAAAAD//biM=",0)</f>
        <v>#REF!</v>
      </c>
      <c r="AK327" t="e">
        <f>IF(#REF!,"AAAAAD//biQ=",0)</f>
        <v>#REF!</v>
      </c>
      <c r="AL327" t="e">
        <f>IF(#REF!,"AAAAAD//biU=",0)</f>
        <v>#REF!</v>
      </c>
      <c r="AM327" t="e">
        <f>IF(#REF!,"AAAAAD//biY=",0)</f>
        <v>#REF!</v>
      </c>
      <c r="AN327" t="e">
        <f>IF(#REF!,"AAAAAD//bic=",0)</f>
        <v>#REF!</v>
      </c>
      <c r="AO327" t="e">
        <f>IF(#REF!,"AAAAAD//big=",0)</f>
        <v>#REF!</v>
      </c>
      <c r="AP327" t="e">
        <f>IF(#REF!,"AAAAAD//bik=",0)</f>
        <v>#REF!</v>
      </c>
      <c r="AQ327" t="e">
        <f>IF(#REF!,"AAAAAD//bio=",0)</f>
        <v>#REF!</v>
      </c>
      <c r="AR327" t="e">
        <f>IF(#REF!,"AAAAAD//bis=",0)</f>
        <v>#REF!</v>
      </c>
      <c r="AS327" t="e">
        <f>IF(#REF!,"AAAAAD//biw=",0)</f>
        <v>#REF!</v>
      </c>
      <c r="AT327" t="e">
        <f>IF(#REF!,"AAAAAD//bi0=",0)</f>
        <v>#REF!</v>
      </c>
      <c r="AU327" t="e">
        <f>IF(#REF!,"AAAAAD//bi4=",0)</f>
        <v>#REF!</v>
      </c>
      <c r="AV327" t="e">
        <f>IF(#REF!,"AAAAAD//bi8=",0)</f>
        <v>#REF!</v>
      </c>
      <c r="AW327" t="e">
        <f>IF(#REF!,"AAAAAD//bjA=",0)</f>
        <v>#REF!</v>
      </c>
      <c r="AX327" t="e">
        <f>IF(#REF!,"AAAAAD//bjE=",0)</f>
        <v>#REF!</v>
      </c>
      <c r="AY327" t="e">
        <f>IF(#REF!,"AAAAAD//bjI=",0)</f>
        <v>#REF!</v>
      </c>
      <c r="AZ327" t="e">
        <f>IF(#REF!,"AAAAAD//bjM=",0)</f>
        <v>#REF!</v>
      </c>
      <c r="BA327" t="e">
        <f>IF(#REF!,"AAAAAD//bjQ=",0)</f>
        <v>#REF!</v>
      </c>
      <c r="BB327" t="e">
        <f>IF(#REF!,"AAAAAD//bjU=",0)</f>
        <v>#REF!</v>
      </c>
      <c r="BC327" t="e">
        <f>IF(#REF!,"AAAAAD//bjY=",0)</f>
        <v>#REF!</v>
      </c>
      <c r="BD327" t="e">
        <f>IF(#REF!,"AAAAAD//bjc=",0)</f>
        <v>#REF!</v>
      </c>
      <c r="BE327" t="e">
        <f>IF(#REF!,"AAAAAD//bjg=",0)</f>
        <v>#REF!</v>
      </c>
      <c r="BF327" t="e">
        <f>IF(#REF!,"AAAAAD//bjk=",0)</f>
        <v>#REF!</v>
      </c>
      <c r="BG327" t="e">
        <f>IF(#REF!,"AAAAAD//bjo=",0)</f>
        <v>#REF!</v>
      </c>
      <c r="BH327" t="e">
        <f>IF(#REF!,"AAAAAD//bjs=",0)</f>
        <v>#REF!</v>
      </c>
      <c r="BI327" t="e">
        <f>IF(#REF!,"AAAAAD//bjw=",0)</f>
        <v>#REF!</v>
      </c>
      <c r="BJ327" t="e">
        <f>IF(#REF!,"AAAAAD//bj0=",0)</f>
        <v>#REF!</v>
      </c>
      <c r="BK327" t="e">
        <f>IF(#REF!,"AAAAAD//bj4=",0)</f>
        <v>#REF!</v>
      </c>
      <c r="BL327" t="e">
        <f>IF(#REF!,"AAAAAD//bj8=",0)</f>
        <v>#REF!</v>
      </c>
      <c r="BM327" t="e">
        <f>IF(#REF!,"AAAAAD//bkA=",0)</f>
        <v>#REF!</v>
      </c>
      <c r="BN327" t="e">
        <f>IF(#REF!,"AAAAAD//bkE=",0)</f>
        <v>#REF!</v>
      </c>
      <c r="BO327" t="e">
        <f>IF(#REF!,"AAAAAD//bkI=",0)</f>
        <v>#REF!</v>
      </c>
      <c r="BP327" t="e">
        <f>IF(#REF!,"AAAAAD//bkM=",0)</f>
        <v>#REF!</v>
      </c>
      <c r="BQ327" t="e">
        <f>IF(#REF!,"AAAAAD//bkQ=",0)</f>
        <v>#REF!</v>
      </c>
      <c r="BR327" t="e">
        <f>IF(#REF!,"AAAAAD//bkU=",0)</f>
        <v>#REF!</v>
      </c>
      <c r="BS327" t="e">
        <f>IF(#REF!,"AAAAAD//bkY=",0)</f>
        <v>#REF!</v>
      </c>
      <c r="BT327" t="e">
        <f>IF(#REF!,"AAAAAD//bkc=",0)</f>
        <v>#REF!</v>
      </c>
      <c r="BU327" t="e">
        <f>IF(#REF!,"AAAAAD//bkg=",0)</f>
        <v>#REF!</v>
      </c>
      <c r="BV327" t="e">
        <f>IF(#REF!,"AAAAAD//bkk=",0)</f>
        <v>#REF!</v>
      </c>
      <c r="BW327" t="e">
        <f>IF(#REF!,"AAAAAD//bko=",0)</f>
        <v>#REF!</v>
      </c>
      <c r="BX327" t="e">
        <f>IF(#REF!,"AAAAAD//bks=",0)</f>
        <v>#REF!</v>
      </c>
      <c r="BY327" t="e">
        <f>IF(#REF!,"AAAAAD//bkw=",0)</f>
        <v>#REF!</v>
      </c>
      <c r="BZ327" t="e">
        <f>IF(#REF!,"AAAAAD//bk0=",0)</f>
        <v>#REF!</v>
      </c>
      <c r="CA327" t="e">
        <f>IF(#REF!,"AAAAAD//bk4=",0)</f>
        <v>#REF!</v>
      </c>
      <c r="CB327" t="e">
        <f>IF(#REF!,"AAAAAD//bk8=",0)</f>
        <v>#REF!</v>
      </c>
      <c r="CC327" t="e">
        <f>IF(#REF!,"AAAAAD//blA=",0)</f>
        <v>#REF!</v>
      </c>
      <c r="CD327" t="e">
        <f>IF(#REF!,"AAAAAD//blE=",0)</f>
        <v>#REF!</v>
      </c>
      <c r="CE327" t="e">
        <f>IF(#REF!,"AAAAAD//blI=",0)</f>
        <v>#REF!</v>
      </c>
      <c r="CF327" t="e">
        <f>IF(#REF!,"AAAAAD//blM=",0)</f>
        <v>#REF!</v>
      </c>
      <c r="CG327" t="e">
        <f>IF(#REF!,"AAAAAD//blQ=",0)</f>
        <v>#REF!</v>
      </c>
      <c r="CH327" t="e">
        <f>IF(#REF!,"AAAAAD//blU=",0)</f>
        <v>#REF!</v>
      </c>
      <c r="CI327" t="e">
        <f>IF(#REF!,"AAAAAD//blY=",0)</f>
        <v>#REF!</v>
      </c>
      <c r="CJ327" t="e">
        <f>IF(#REF!,"AAAAAD//blc=",0)</f>
        <v>#REF!</v>
      </c>
      <c r="CK327" t="e">
        <f>IF(#REF!,"AAAAAD//blg=",0)</f>
        <v>#REF!</v>
      </c>
      <c r="CL327" t="e">
        <f>IF(#REF!,"AAAAAD//blk=",0)</f>
        <v>#REF!</v>
      </c>
      <c r="CM327" t="e">
        <f>IF(#REF!,"AAAAAD//blo=",0)</f>
        <v>#REF!</v>
      </c>
      <c r="CN327" t="e">
        <f>IF(#REF!,"AAAAAD//bls=",0)</f>
        <v>#REF!</v>
      </c>
      <c r="CO327" t="e">
        <f>IF(#REF!,"AAAAAD//blw=",0)</f>
        <v>#REF!</v>
      </c>
      <c r="CP327" t="e">
        <f>IF(#REF!,"AAAAAD//bl0=",0)</f>
        <v>#REF!</v>
      </c>
      <c r="CQ327" t="e">
        <f>IF(#REF!,"AAAAAD//bl4=",0)</f>
        <v>#REF!</v>
      </c>
      <c r="CR327" t="e">
        <f>IF(#REF!,"AAAAAD//bl8=",0)</f>
        <v>#REF!</v>
      </c>
      <c r="CS327" t="e">
        <f>IF(#REF!,"AAAAAD//bmA=",0)</f>
        <v>#REF!</v>
      </c>
      <c r="CT327" t="e">
        <f>IF(#REF!,"AAAAAD//bmE=",0)</f>
        <v>#REF!</v>
      </c>
      <c r="CU327" t="e">
        <f>IF(#REF!,"AAAAAD//bmI=",0)</f>
        <v>#REF!</v>
      </c>
      <c r="CV327" t="e">
        <f>IF(#REF!,"AAAAAD//bmM=",0)</f>
        <v>#REF!</v>
      </c>
      <c r="CW327" t="e">
        <f>IF(#REF!,"AAAAAD//bmQ=",0)</f>
        <v>#REF!</v>
      </c>
      <c r="CX327" t="e">
        <f>IF(#REF!,"AAAAAD//bmU=",0)</f>
        <v>#REF!</v>
      </c>
      <c r="CY327" t="e">
        <f>IF(#REF!,"AAAAAD//bmY=",0)</f>
        <v>#REF!</v>
      </c>
      <c r="CZ327" t="e">
        <f>IF(#REF!,"AAAAAD//bmc=",0)</f>
        <v>#REF!</v>
      </c>
      <c r="DA327" t="e">
        <f>IF(#REF!,"AAAAAD//bmg=",0)</f>
        <v>#REF!</v>
      </c>
      <c r="DB327" t="e">
        <f>IF(#REF!,"AAAAAD//bmk=",0)</f>
        <v>#REF!</v>
      </c>
      <c r="DC327" t="e">
        <f>IF(#REF!,"AAAAAD//bmo=",0)</f>
        <v>#REF!</v>
      </c>
      <c r="DD327" t="e">
        <f>IF(#REF!,"AAAAAD//bms=",0)</f>
        <v>#REF!</v>
      </c>
      <c r="DE327" t="e">
        <f>IF(#REF!,"AAAAAD//bmw=",0)</f>
        <v>#REF!</v>
      </c>
      <c r="DF327" t="e">
        <f>IF(#REF!,"AAAAAD//bm0=",0)</f>
        <v>#REF!</v>
      </c>
      <c r="DG327" t="e">
        <f>IF(#REF!,"AAAAAD//bm4=",0)</f>
        <v>#REF!</v>
      </c>
      <c r="DH327" t="e">
        <f>IF(#REF!,"AAAAAD//bm8=",0)</f>
        <v>#REF!</v>
      </c>
      <c r="DI327" t="e">
        <f>IF(#REF!,"AAAAAD//bnA=",0)</f>
        <v>#REF!</v>
      </c>
      <c r="DJ327" t="e">
        <f>IF(#REF!,"AAAAAD//bnE=",0)</f>
        <v>#REF!</v>
      </c>
      <c r="DK327" t="e">
        <f>IF(#REF!,"AAAAAD//bnI=",0)</f>
        <v>#REF!</v>
      </c>
      <c r="DL327" t="e">
        <f>IF(#REF!,"AAAAAD//bnM=",0)</f>
        <v>#REF!</v>
      </c>
      <c r="DM327" t="e">
        <f>IF(#REF!,"AAAAAD//bnQ=",0)</f>
        <v>#REF!</v>
      </c>
      <c r="DN327" t="e">
        <f>IF(#REF!,"AAAAAD//bnU=",0)</f>
        <v>#REF!</v>
      </c>
      <c r="DO327" t="e">
        <f>IF(#REF!,"AAAAAD//bnY=",0)</f>
        <v>#REF!</v>
      </c>
      <c r="DP327" t="e">
        <f>IF(#REF!,"AAAAAD//bnc=",0)</f>
        <v>#REF!</v>
      </c>
      <c r="DQ327" t="e">
        <f>IF(#REF!,"AAAAAD//bng=",0)</f>
        <v>#REF!</v>
      </c>
      <c r="DR327" t="e">
        <f>IF(#REF!,"AAAAAD//bnk=",0)</f>
        <v>#REF!</v>
      </c>
      <c r="DS327" t="e">
        <f>IF(#REF!,"AAAAAD//bno=",0)</f>
        <v>#REF!</v>
      </c>
      <c r="DT327" t="e">
        <f>IF(#REF!,"AAAAAD//bns=",0)</f>
        <v>#REF!</v>
      </c>
      <c r="DU327" t="e">
        <f>IF(#REF!,"AAAAAD//bnw=",0)</f>
        <v>#REF!</v>
      </c>
      <c r="DV327" t="e">
        <f>IF(#REF!,"AAAAAD//bn0=",0)</f>
        <v>#REF!</v>
      </c>
      <c r="DW327" t="e">
        <f>IF(#REF!,"AAAAAD//bn4=",0)</f>
        <v>#REF!</v>
      </c>
      <c r="DX327" t="e">
        <f>IF(#REF!,"AAAAAD//bn8=",0)</f>
        <v>#REF!</v>
      </c>
      <c r="DY327" t="e">
        <f>IF(#REF!,"AAAAAD//boA=",0)</f>
        <v>#REF!</v>
      </c>
      <c r="DZ327" t="e">
        <f>IF(#REF!,"AAAAAD//boE=",0)</f>
        <v>#REF!</v>
      </c>
      <c r="EA327" t="e">
        <f>IF(#REF!,"AAAAAD//boI=",0)</f>
        <v>#REF!</v>
      </c>
      <c r="EB327" t="e">
        <f>IF(#REF!,"AAAAAD//boM=",0)</f>
        <v>#REF!</v>
      </c>
      <c r="EC327" t="e">
        <f>IF(#REF!,"AAAAAD//boQ=",0)</f>
        <v>#REF!</v>
      </c>
      <c r="ED327" t="e">
        <f>IF(#REF!,"AAAAAD//boU=",0)</f>
        <v>#REF!</v>
      </c>
      <c r="EE327" t="e">
        <f>IF(#REF!,"AAAAAD//boY=",0)</f>
        <v>#REF!</v>
      </c>
      <c r="EF327" t="e">
        <f>IF(#REF!,"AAAAAD//boc=",0)</f>
        <v>#REF!</v>
      </c>
      <c r="EG327" t="e">
        <f>IF(#REF!,"AAAAAD//bog=",0)</f>
        <v>#REF!</v>
      </c>
      <c r="EH327" t="e">
        <f>IF(#REF!,"AAAAAD//bok=",0)</f>
        <v>#REF!</v>
      </c>
      <c r="EI327" t="e">
        <f>IF(#REF!,"AAAAAD//boo=",0)</f>
        <v>#REF!</v>
      </c>
      <c r="EJ327" t="e">
        <f>IF(#REF!,"AAAAAD//bos=",0)</f>
        <v>#REF!</v>
      </c>
      <c r="EK327" t="e">
        <f>IF(#REF!,"AAAAAD//bow=",0)</f>
        <v>#REF!</v>
      </c>
      <c r="EL327" t="e">
        <f>IF(#REF!,"AAAAAD//bo0=",0)</f>
        <v>#REF!</v>
      </c>
      <c r="EM327" t="e">
        <f>IF(#REF!,"AAAAAD//bo4=",0)</f>
        <v>#REF!</v>
      </c>
      <c r="EN327" t="e">
        <f>IF(#REF!,"AAAAAD//bo8=",0)</f>
        <v>#REF!</v>
      </c>
      <c r="EO327" t="e">
        <f>IF(#REF!,"AAAAAD//bpA=",0)</f>
        <v>#REF!</v>
      </c>
      <c r="EP327" t="e">
        <f>IF(#REF!,"AAAAAD//bpE=",0)</f>
        <v>#REF!</v>
      </c>
      <c r="EQ327" t="e">
        <f>IF(#REF!,"AAAAAD//bpI=",0)</f>
        <v>#REF!</v>
      </c>
      <c r="ER327" t="e">
        <f>IF(#REF!,"AAAAAD//bpM=",0)</f>
        <v>#REF!</v>
      </c>
      <c r="ES327" t="e">
        <f>IF(#REF!,"AAAAAD//bpQ=",0)</f>
        <v>#REF!</v>
      </c>
      <c r="ET327" t="e">
        <f>IF(#REF!,"AAAAAD//bpU=",0)</f>
        <v>#REF!</v>
      </c>
      <c r="EU327" t="e">
        <f>IF(#REF!,"AAAAAD//bpY=",0)</f>
        <v>#REF!</v>
      </c>
      <c r="EV327" t="e">
        <f>IF(#REF!,"AAAAAD//bpc=",0)</f>
        <v>#REF!</v>
      </c>
      <c r="EW327" t="e">
        <f>IF(#REF!,"AAAAAD//bpg=",0)</f>
        <v>#REF!</v>
      </c>
      <c r="EX327" t="e">
        <f>IF(#REF!,"AAAAAD//bpk=",0)</f>
        <v>#REF!</v>
      </c>
      <c r="EY327" t="e">
        <f>IF(#REF!,"AAAAAD//bpo=",0)</f>
        <v>#REF!</v>
      </c>
      <c r="EZ327" t="e">
        <f>IF(#REF!,"AAAAAD//bps=",0)</f>
        <v>#REF!</v>
      </c>
      <c r="FA327" t="e">
        <f>IF(#REF!,"AAAAAD//bpw=",0)</f>
        <v>#REF!</v>
      </c>
      <c r="FB327" t="e">
        <f>IF(#REF!,"AAAAAD//bp0=",0)</f>
        <v>#REF!</v>
      </c>
      <c r="FC327" t="e">
        <f>IF(#REF!,"AAAAAD//bp4=",0)</f>
        <v>#REF!</v>
      </c>
      <c r="FD327" t="e">
        <f>IF(#REF!,"AAAAAD//bp8=",0)</f>
        <v>#REF!</v>
      </c>
      <c r="FE327" t="e">
        <f>IF(#REF!,"AAAAAD//bqA=",0)</f>
        <v>#REF!</v>
      </c>
      <c r="FF327" t="e">
        <f>IF(#REF!,"AAAAAD//bqE=",0)</f>
        <v>#REF!</v>
      </c>
      <c r="FG327" t="e">
        <f>IF(#REF!,"AAAAAD//bqI=",0)</f>
        <v>#REF!</v>
      </c>
      <c r="FH327" t="e">
        <f>IF(#REF!,"AAAAAD//bqM=",0)</f>
        <v>#REF!</v>
      </c>
      <c r="FI327" t="e">
        <f>IF(#REF!,"AAAAAD//bqQ=",0)</f>
        <v>#REF!</v>
      </c>
      <c r="FJ327" t="e">
        <f>IF(#REF!,"AAAAAD//bqU=",0)</f>
        <v>#REF!</v>
      </c>
      <c r="FK327" t="e">
        <f>IF(#REF!,"AAAAAD//bqY=",0)</f>
        <v>#REF!</v>
      </c>
      <c r="FL327" t="e">
        <f>IF(#REF!,"AAAAAD//bqc=",0)</f>
        <v>#REF!</v>
      </c>
      <c r="FM327" t="e">
        <f>IF(#REF!,"AAAAAD//bqg=",0)</f>
        <v>#REF!</v>
      </c>
      <c r="FN327" t="e">
        <f>IF(#REF!,"AAAAAD//bqk=",0)</f>
        <v>#REF!</v>
      </c>
      <c r="FO327" t="e">
        <f>IF(#REF!,"AAAAAD//bqo=",0)</f>
        <v>#REF!</v>
      </c>
      <c r="FP327" t="e">
        <f>IF(#REF!,"AAAAAD//bqs=",0)</f>
        <v>#REF!</v>
      </c>
      <c r="FQ327" t="e">
        <f>IF(#REF!,"AAAAAD//bqw=",0)</f>
        <v>#REF!</v>
      </c>
      <c r="FR327" t="e">
        <f>IF(#REF!,"AAAAAD//bq0=",0)</f>
        <v>#REF!</v>
      </c>
      <c r="FS327" t="e">
        <f>IF(#REF!,"AAAAAD//bq4=",0)</f>
        <v>#REF!</v>
      </c>
      <c r="FT327" t="e">
        <f>IF(#REF!,"AAAAAD//bq8=",0)</f>
        <v>#REF!</v>
      </c>
      <c r="FU327" t="e">
        <f>IF(#REF!,"AAAAAD//brA=",0)</f>
        <v>#REF!</v>
      </c>
      <c r="FV327" t="e">
        <f>IF(#REF!,"AAAAAD//brE=",0)</f>
        <v>#REF!</v>
      </c>
      <c r="FW327" t="e">
        <f>IF(#REF!,"AAAAAD//brI=",0)</f>
        <v>#REF!</v>
      </c>
      <c r="FX327" t="e">
        <f>IF(#REF!,"AAAAAD//brM=",0)</f>
        <v>#REF!</v>
      </c>
      <c r="FY327" t="e">
        <f>IF(#REF!,"AAAAAD//brQ=",0)</f>
        <v>#REF!</v>
      </c>
      <c r="FZ327" t="e">
        <f>IF(#REF!,"AAAAAD//brU=",0)</f>
        <v>#REF!</v>
      </c>
      <c r="GA327" t="e">
        <f>IF(#REF!,"AAAAAD//brY=",0)</f>
        <v>#REF!</v>
      </c>
      <c r="GB327" t="e">
        <f>IF(#REF!,"AAAAAD//brc=",0)</f>
        <v>#REF!</v>
      </c>
      <c r="GC327" t="e">
        <f>IF(#REF!,"AAAAAD//brg=",0)</f>
        <v>#REF!</v>
      </c>
      <c r="GD327" t="e">
        <f>IF(#REF!,"AAAAAD//brk=",0)</f>
        <v>#REF!</v>
      </c>
      <c r="GE327" t="e">
        <f>IF(#REF!,"AAAAAD//bro=",0)</f>
        <v>#REF!</v>
      </c>
      <c r="GF327" t="e">
        <f>IF(#REF!,"AAAAAD//brs=",0)</f>
        <v>#REF!</v>
      </c>
      <c r="GG327" t="e">
        <f>IF(#REF!,"AAAAAD//brw=",0)</f>
        <v>#REF!</v>
      </c>
      <c r="GH327" t="e">
        <f>IF(#REF!,"AAAAAD//br0=",0)</f>
        <v>#REF!</v>
      </c>
      <c r="GI327" t="e">
        <f>IF(#REF!,"AAAAAD//br4=",0)</f>
        <v>#REF!</v>
      </c>
      <c r="GJ327" t="e">
        <f>IF(#REF!,"AAAAAD//br8=",0)</f>
        <v>#REF!</v>
      </c>
      <c r="GK327" t="e">
        <f>IF(#REF!,"AAAAAD//bsA=",0)</f>
        <v>#REF!</v>
      </c>
      <c r="GL327" t="e">
        <f>IF(#REF!,"AAAAAD//bsE=",0)</f>
        <v>#REF!</v>
      </c>
      <c r="GM327" t="e">
        <f>IF(#REF!,"AAAAAD//bsI=",0)</f>
        <v>#REF!</v>
      </c>
      <c r="GN327" t="e">
        <f>IF(#REF!,"AAAAAD//bsM=",0)</f>
        <v>#REF!</v>
      </c>
      <c r="GO327" t="e">
        <f>IF(#REF!,"AAAAAD//bsQ=",0)</f>
        <v>#REF!</v>
      </c>
      <c r="GP327" t="e">
        <f>IF(#REF!,"AAAAAD//bsU=",0)</f>
        <v>#REF!</v>
      </c>
      <c r="GQ327" t="e">
        <f>IF(#REF!,"AAAAAD//bsY=",0)</f>
        <v>#REF!</v>
      </c>
      <c r="GR327" t="e">
        <f>IF(#REF!,"AAAAAD//bsc=",0)</f>
        <v>#REF!</v>
      </c>
      <c r="GS327" t="e">
        <f>IF(#REF!,"AAAAAD//bsg=",0)</f>
        <v>#REF!</v>
      </c>
      <c r="GT327" t="e">
        <f>IF(#REF!,"AAAAAD//bsk=",0)</f>
        <v>#REF!</v>
      </c>
      <c r="GU327" t="e">
        <f>IF(#REF!,"AAAAAD//bso=",0)</f>
        <v>#REF!</v>
      </c>
      <c r="GV327" t="e">
        <f>IF(#REF!,"AAAAAD//bss=",0)</f>
        <v>#REF!</v>
      </c>
      <c r="GW327" t="e">
        <f>IF(#REF!,"AAAAAD//bsw=",0)</f>
        <v>#REF!</v>
      </c>
      <c r="GX327" t="e">
        <f>IF(#REF!,"AAAAAD//bs0=",0)</f>
        <v>#REF!</v>
      </c>
      <c r="GY327" t="e">
        <f>IF(#REF!,"AAAAAD//bs4=",0)</f>
        <v>#REF!</v>
      </c>
      <c r="GZ327" t="e">
        <f>IF(#REF!,"AAAAAD//bs8=",0)</f>
        <v>#REF!</v>
      </c>
      <c r="HA327" t="e">
        <f>IF(#REF!,"AAAAAD//btA=",0)</f>
        <v>#REF!</v>
      </c>
      <c r="HB327" t="e">
        <f>IF(#REF!,"AAAAAD//btE=",0)</f>
        <v>#REF!</v>
      </c>
      <c r="HC327" t="e">
        <f>IF(#REF!,"AAAAAD//btI=",0)</f>
        <v>#REF!</v>
      </c>
      <c r="HD327" t="e">
        <f>IF(#REF!,"AAAAAD//btM=",0)</f>
        <v>#REF!</v>
      </c>
      <c r="HE327" t="e">
        <f>IF(#REF!,"AAAAAD//btQ=",0)</f>
        <v>#REF!</v>
      </c>
      <c r="HF327" t="e">
        <f>IF(#REF!,"AAAAAD//btU=",0)</f>
        <v>#REF!</v>
      </c>
      <c r="HG327" t="e">
        <f>IF(#REF!,"AAAAAD//btY=",0)</f>
        <v>#REF!</v>
      </c>
      <c r="HH327" t="e">
        <f>IF(#REF!,"AAAAAD//btc=",0)</f>
        <v>#REF!</v>
      </c>
      <c r="HI327" t="e">
        <f>IF(#REF!,"AAAAAD//btg=",0)</f>
        <v>#REF!</v>
      </c>
      <c r="HJ327" t="e">
        <f>IF(#REF!,"AAAAAD//btk=",0)</f>
        <v>#REF!</v>
      </c>
      <c r="HK327" t="e">
        <f>IF(#REF!,"AAAAAD//bto=",0)</f>
        <v>#REF!</v>
      </c>
      <c r="HL327" t="e">
        <f>IF(#REF!,"AAAAAD//bts=",0)</f>
        <v>#REF!</v>
      </c>
      <c r="HM327" t="e">
        <f>IF(#REF!,"AAAAAD//btw=",0)</f>
        <v>#REF!</v>
      </c>
      <c r="HN327" t="e">
        <f>IF(#REF!,"AAAAAD//bt0=",0)</f>
        <v>#REF!</v>
      </c>
      <c r="HO327" t="e">
        <f>IF(#REF!,"AAAAAD//bt4=",0)</f>
        <v>#REF!</v>
      </c>
      <c r="HP327" t="e">
        <f>IF(#REF!,"AAAAAD//bt8=",0)</f>
        <v>#REF!</v>
      </c>
      <c r="HQ327" t="e">
        <f>IF(#REF!,"AAAAAD//buA=",0)</f>
        <v>#REF!</v>
      </c>
      <c r="HR327" t="e">
        <f>IF(#REF!,"AAAAAD//buE=",0)</f>
        <v>#REF!</v>
      </c>
      <c r="HS327" t="e">
        <f>IF(#REF!,"AAAAAD//buI=",0)</f>
        <v>#REF!</v>
      </c>
      <c r="HT327" t="e">
        <f>IF(#REF!,"AAAAAD//buM=",0)</f>
        <v>#REF!</v>
      </c>
      <c r="HU327" t="e">
        <f>IF(#REF!,"AAAAAD//buQ=",0)</f>
        <v>#REF!</v>
      </c>
      <c r="HV327" t="e">
        <f>IF(#REF!,"AAAAAD//buU=",0)</f>
        <v>#REF!</v>
      </c>
      <c r="HW327" t="e">
        <f>IF(#REF!,"AAAAAD//buY=",0)</f>
        <v>#REF!</v>
      </c>
      <c r="HX327" t="e">
        <f>IF(#REF!,"AAAAAD//buc=",0)</f>
        <v>#REF!</v>
      </c>
      <c r="HY327" t="e">
        <f>IF(#REF!,"AAAAAD//bug=",0)</f>
        <v>#REF!</v>
      </c>
      <c r="HZ327" t="e">
        <f>IF(#REF!,"AAAAAD//buk=",0)</f>
        <v>#REF!</v>
      </c>
      <c r="IA327" t="e">
        <f>IF(#REF!,"AAAAAD//buo=",0)</f>
        <v>#REF!</v>
      </c>
      <c r="IB327" t="e">
        <f>IF(#REF!,"AAAAAD//bus=",0)</f>
        <v>#REF!</v>
      </c>
      <c r="IC327" t="e">
        <f>IF(#REF!,"AAAAAD//buw=",0)</f>
        <v>#REF!</v>
      </c>
      <c r="ID327" t="e">
        <f>IF(#REF!,"AAAAAD//bu0=",0)</f>
        <v>#REF!</v>
      </c>
      <c r="IE327" t="e">
        <f>IF(#REF!,"AAAAAD//bu4=",0)</f>
        <v>#REF!</v>
      </c>
      <c r="IF327" t="e">
        <f>IF(#REF!,"AAAAAD//bu8=",0)</f>
        <v>#REF!</v>
      </c>
      <c r="IG327" t="e">
        <f>IF(#REF!,"AAAAAD//bvA=",0)</f>
        <v>#REF!</v>
      </c>
      <c r="IH327" t="e">
        <f>IF(#REF!,"AAAAAD//bvE=",0)</f>
        <v>#REF!</v>
      </c>
      <c r="II327" t="e">
        <f>IF(#REF!,"AAAAAD//bvI=",0)</f>
        <v>#REF!</v>
      </c>
      <c r="IJ327" t="e">
        <f>IF(#REF!,"AAAAAD//bvM=",0)</f>
        <v>#REF!</v>
      </c>
      <c r="IK327" t="e">
        <f>IF(#REF!,"AAAAAD//bvQ=",0)</f>
        <v>#REF!</v>
      </c>
      <c r="IL327" t="e">
        <f>IF(#REF!,"AAAAAD//bvU=",0)</f>
        <v>#REF!</v>
      </c>
      <c r="IM327" t="e">
        <f>IF(#REF!,"AAAAAD//bvY=",0)</f>
        <v>#REF!</v>
      </c>
      <c r="IN327" t="e">
        <f>IF(#REF!,"AAAAAD//bvc=",0)</f>
        <v>#REF!</v>
      </c>
      <c r="IO327" t="e">
        <f>IF(#REF!,"AAAAAD//bvg=",0)</f>
        <v>#REF!</v>
      </c>
      <c r="IP327" t="e">
        <f>IF(#REF!,"AAAAAD//bvk=",0)</f>
        <v>#REF!</v>
      </c>
      <c r="IQ327" t="e">
        <f>IF(#REF!,"AAAAAD//bvo=",0)</f>
        <v>#REF!</v>
      </c>
      <c r="IR327" t="e">
        <f>IF(#REF!,"AAAAAD//bvs=",0)</f>
        <v>#REF!</v>
      </c>
      <c r="IS327" t="e">
        <f>IF(#REF!,"AAAAAD//bvw=",0)</f>
        <v>#REF!</v>
      </c>
      <c r="IT327" t="e">
        <f>IF(#REF!,"AAAAAD//bv0=",0)</f>
        <v>#REF!</v>
      </c>
      <c r="IU327" t="e">
        <f>IF(#REF!,"AAAAAD//bv4=",0)</f>
        <v>#REF!</v>
      </c>
      <c r="IV327" t="e">
        <f>IF(#REF!,"AAAAAD//bv8=",0)</f>
        <v>#REF!</v>
      </c>
    </row>
    <row r="328" spans="1:256">
      <c r="A328" t="e">
        <f>IF(#REF!,"AAAAAF/z/gA=",0)</f>
        <v>#REF!</v>
      </c>
      <c r="B328" t="e">
        <f>IF(#REF!,"AAAAAF/z/gE=",0)</f>
        <v>#REF!</v>
      </c>
      <c r="C328" t="e">
        <f>IF(#REF!,"AAAAAF/z/gI=",0)</f>
        <v>#REF!</v>
      </c>
      <c r="D328" t="e">
        <f>IF(#REF!,"AAAAAF/z/gM=",0)</f>
        <v>#REF!</v>
      </c>
      <c r="E328" t="e">
        <f>IF(#REF!,"AAAAAF/z/gQ=",0)</f>
        <v>#REF!</v>
      </c>
      <c r="F328" t="e">
        <f>IF(#REF!,"AAAAAF/z/gU=",0)</f>
        <v>#REF!</v>
      </c>
      <c r="G328" t="e">
        <f>IF(#REF!,"AAAAAF/z/gY=",0)</f>
        <v>#REF!</v>
      </c>
      <c r="H328" t="e">
        <f>IF(#REF!,"AAAAAF/z/gc=",0)</f>
        <v>#REF!</v>
      </c>
      <c r="I328" t="e">
        <f>IF(#REF!,"AAAAAF/z/gg=",0)</f>
        <v>#REF!</v>
      </c>
      <c r="J328" t="e">
        <f>IF(#REF!,"AAAAAF/z/gk=",0)</f>
        <v>#REF!</v>
      </c>
      <c r="K328" t="e">
        <f>IF(#REF!,"AAAAAF/z/go=",0)</f>
        <v>#REF!</v>
      </c>
      <c r="L328" t="e">
        <f>IF(#REF!,"AAAAAF/z/gs=",0)</f>
        <v>#REF!</v>
      </c>
      <c r="M328" t="e">
        <f>IF(#REF!,"AAAAAF/z/gw=",0)</f>
        <v>#REF!</v>
      </c>
      <c r="N328" t="e">
        <f>IF(#REF!,"AAAAAF/z/g0=",0)</f>
        <v>#REF!</v>
      </c>
      <c r="O328" t="e">
        <f>IF(#REF!,"AAAAAF/z/g4=",0)</f>
        <v>#REF!</v>
      </c>
      <c r="P328" t="e">
        <f>IF(#REF!,"AAAAAF/z/g8=",0)</f>
        <v>#REF!</v>
      </c>
      <c r="Q328" t="e">
        <f>IF(#REF!,"AAAAAF/z/hA=",0)</f>
        <v>#REF!</v>
      </c>
      <c r="R328" t="e">
        <f>IF(#REF!,"AAAAAF/z/hE=",0)</f>
        <v>#REF!</v>
      </c>
      <c r="S328" t="e">
        <f>IF(#REF!,"AAAAAF/z/hI=",0)</f>
        <v>#REF!</v>
      </c>
      <c r="T328" t="e">
        <f>IF(#REF!,"AAAAAF/z/hM=",0)</f>
        <v>#REF!</v>
      </c>
      <c r="U328" t="e">
        <f>IF(#REF!,"AAAAAF/z/hQ=",0)</f>
        <v>#REF!</v>
      </c>
      <c r="V328" t="e">
        <f>IF(#REF!,"AAAAAF/z/hU=",0)</f>
        <v>#REF!</v>
      </c>
      <c r="W328" t="e">
        <f>IF(#REF!,"AAAAAF/z/hY=",0)</f>
        <v>#REF!</v>
      </c>
      <c r="X328" t="e">
        <f>IF(#REF!,"AAAAAF/z/hc=",0)</f>
        <v>#REF!</v>
      </c>
      <c r="Y328" t="e">
        <f>IF(#REF!,"AAAAAF/z/hg=",0)</f>
        <v>#REF!</v>
      </c>
      <c r="Z328" t="e">
        <f>IF(#REF!,"AAAAAF/z/hk=",0)</f>
        <v>#REF!</v>
      </c>
      <c r="AA328" t="e">
        <f>IF(#REF!,"AAAAAF/z/ho=",0)</f>
        <v>#REF!</v>
      </c>
      <c r="AB328" t="e">
        <f>IF(#REF!,"AAAAAF/z/hs=",0)</f>
        <v>#REF!</v>
      </c>
      <c r="AC328" t="e">
        <f>IF(#REF!,"AAAAAF/z/hw=",0)</f>
        <v>#REF!</v>
      </c>
      <c r="AD328" t="e">
        <f>IF(#REF!,"AAAAAF/z/h0=",0)</f>
        <v>#REF!</v>
      </c>
      <c r="AE328" t="e">
        <f>IF(#REF!,"AAAAAF/z/h4=",0)</f>
        <v>#REF!</v>
      </c>
      <c r="AF328" t="e">
        <f>IF(#REF!,"AAAAAF/z/h8=",0)</f>
        <v>#REF!</v>
      </c>
      <c r="AG328" t="e">
        <f>IF(#REF!,"AAAAAF/z/iA=",0)</f>
        <v>#REF!</v>
      </c>
      <c r="AH328" t="e">
        <f>IF(#REF!,"AAAAAF/z/iE=",0)</f>
        <v>#REF!</v>
      </c>
      <c r="AI328" t="e">
        <f>IF(#REF!,"AAAAAF/z/iI=",0)</f>
        <v>#REF!</v>
      </c>
      <c r="AJ328" t="e">
        <f>IF(#REF!,"AAAAAF/z/iM=",0)</f>
        <v>#REF!</v>
      </c>
      <c r="AK328" t="e">
        <f>IF(#REF!,"AAAAAF/z/iQ=",0)</f>
        <v>#REF!</v>
      </c>
      <c r="AL328" t="e">
        <f>IF(#REF!,"AAAAAF/z/iU=",0)</f>
        <v>#REF!</v>
      </c>
      <c r="AM328" t="e">
        <f>IF(#REF!,"AAAAAF/z/iY=",0)</f>
        <v>#REF!</v>
      </c>
      <c r="AN328" t="e">
        <f>IF(#REF!,"AAAAAF/z/ic=",0)</f>
        <v>#REF!</v>
      </c>
      <c r="AO328" t="e">
        <f>IF(#REF!,"AAAAAF/z/ig=",0)</f>
        <v>#REF!</v>
      </c>
      <c r="AP328" t="e">
        <f>IF(#REF!,"AAAAAF/z/ik=",0)</f>
        <v>#REF!</v>
      </c>
      <c r="AQ328" t="e">
        <f>IF(#REF!,"AAAAAF/z/io=",0)</f>
        <v>#REF!</v>
      </c>
      <c r="AR328" t="e">
        <f>IF(#REF!,"AAAAAF/z/is=",0)</f>
        <v>#REF!</v>
      </c>
      <c r="AS328" t="e">
        <f>IF(#REF!,"AAAAAF/z/iw=",0)</f>
        <v>#REF!</v>
      </c>
      <c r="AT328" t="e">
        <f>IF(#REF!,"AAAAAF/z/i0=",0)</f>
        <v>#REF!</v>
      </c>
      <c r="AU328" t="e">
        <f>IF(#REF!,"AAAAAF/z/i4=",0)</f>
        <v>#REF!</v>
      </c>
      <c r="AV328" t="e">
        <f>IF(#REF!,"AAAAAF/z/i8=",0)</f>
        <v>#REF!</v>
      </c>
      <c r="AW328" t="e">
        <f>IF(#REF!,"AAAAAF/z/jA=",0)</f>
        <v>#REF!</v>
      </c>
      <c r="AX328" t="e">
        <f>IF(#REF!,"AAAAAF/z/jE=",0)</f>
        <v>#REF!</v>
      </c>
      <c r="AY328" t="e">
        <f>IF(#REF!,"AAAAAF/z/jI=",0)</f>
        <v>#REF!</v>
      </c>
      <c r="AZ328" t="e">
        <f>IF(#REF!,"AAAAAF/z/jM=",0)</f>
        <v>#REF!</v>
      </c>
      <c r="BA328" t="e">
        <f>IF(#REF!,"AAAAAF/z/jQ=",0)</f>
        <v>#REF!</v>
      </c>
      <c r="BB328" t="e">
        <f>IF(#REF!,"AAAAAF/z/jU=",0)</f>
        <v>#REF!</v>
      </c>
      <c r="BC328" t="e">
        <f>IF(#REF!,"AAAAAF/z/jY=",0)</f>
        <v>#REF!</v>
      </c>
      <c r="BD328" t="e">
        <f>IF(#REF!,"AAAAAF/z/jc=",0)</f>
        <v>#REF!</v>
      </c>
      <c r="BE328" t="e">
        <f>IF(#REF!,"AAAAAF/z/jg=",0)</f>
        <v>#REF!</v>
      </c>
      <c r="BF328" t="e">
        <f>IF(#REF!,"AAAAAF/z/jk=",0)</f>
        <v>#REF!</v>
      </c>
      <c r="BG328" t="e">
        <f>IF(#REF!,"AAAAAF/z/jo=",0)</f>
        <v>#REF!</v>
      </c>
      <c r="BH328" t="e">
        <f>IF(#REF!,"AAAAAF/z/js=",0)</f>
        <v>#REF!</v>
      </c>
      <c r="BI328" t="e">
        <f>IF(#REF!,"AAAAAF/z/jw=",0)</f>
        <v>#REF!</v>
      </c>
      <c r="BJ328" t="e">
        <f>IF(#REF!,"AAAAAF/z/j0=",0)</f>
        <v>#REF!</v>
      </c>
      <c r="BK328" t="e">
        <f>IF(#REF!,"AAAAAF/z/j4=",0)</f>
        <v>#REF!</v>
      </c>
      <c r="BL328" t="e">
        <f>IF(#REF!,"AAAAAF/z/j8=",0)</f>
        <v>#REF!</v>
      </c>
      <c r="BM328" t="e">
        <f>IF(#REF!,"AAAAAF/z/kA=",0)</f>
        <v>#REF!</v>
      </c>
      <c r="BN328" t="e">
        <f>IF(#REF!,"AAAAAF/z/kE=",0)</f>
        <v>#REF!</v>
      </c>
      <c r="BO328" t="e">
        <f>IF(#REF!,"AAAAAF/z/kI=",0)</f>
        <v>#REF!</v>
      </c>
      <c r="BP328" t="e">
        <f>IF(#REF!,"AAAAAF/z/kM=",0)</f>
        <v>#REF!</v>
      </c>
      <c r="BQ328" t="e">
        <f>IF(#REF!,"AAAAAF/z/kQ=",0)</f>
        <v>#REF!</v>
      </c>
      <c r="BR328" t="e">
        <f>IF(#REF!,"AAAAAF/z/kU=",0)</f>
        <v>#REF!</v>
      </c>
      <c r="BS328" t="e">
        <f>IF(#REF!,"AAAAAF/z/kY=",0)</f>
        <v>#REF!</v>
      </c>
      <c r="BT328" t="e">
        <f>IF(#REF!,"AAAAAF/z/kc=",0)</f>
        <v>#REF!</v>
      </c>
      <c r="BU328" t="e">
        <f>IF(#REF!,"AAAAAF/z/kg=",0)</f>
        <v>#REF!</v>
      </c>
      <c r="BV328" t="e">
        <f>IF(#REF!,"AAAAAF/z/kk=",0)</f>
        <v>#REF!</v>
      </c>
      <c r="BW328" t="e">
        <f>IF(#REF!,"AAAAAF/z/ko=",0)</f>
        <v>#REF!</v>
      </c>
      <c r="BX328" t="e">
        <f>IF(#REF!,"AAAAAF/z/ks=",0)</f>
        <v>#REF!</v>
      </c>
      <c r="BY328" t="e">
        <f>IF(#REF!,"AAAAAF/z/kw=",0)</f>
        <v>#REF!</v>
      </c>
      <c r="BZ328" t="e">
        <f>IF(#REF!,"AAAAAF/z/k0=",0)</f>
        <v>#REF!</v>
      </c>
      <c r="CA328" t="e">
        <f>IF(#REF!,"AAAAAF/z/k4=",0)</f>
        <v>#REF!</v>
      </c>
      <c r="CB328" t="e">
        <f>IF(#REF!,"AAAAAF/z/k8=",0)</f>
        <v>#REF!</v>
      </c>
      <c r="CC328" t="e">
        <f>IF(#REF!,"AAAAAF/z/lA=",0)</f>
        <v>#REF!</v>
      </c>
      <c r="CD328" t="e">
        <f>IF(#REF!,"AAAAAF/z/lE=",0)</f>
        <v>#REF!</v>
      </c>
      <c r="CE328" t="e">
        <f>IF(#REF!,"AAAAAF/z/lI=",0)</f>
        <v>#REF!</v>
      </c>
      <c r="CF328" t="e">
        <f>IF(#REF!,"AAAAAF/z/lM=",0)</f>
        <v>#REF!</v>
      </c>
      <c r="CG328" t="e">
        <f>IF(#REF!,"AAAAAF/z/lQ=",0)</f>
        <v>#REF!</v>
      </c>
      <c r="CH328" t="e">
        <f>IF(#REF!,"AAAAAF/z/lU=",0)</f>
        <v>#REF!</v>
      </c>
      <c r="CI328" t="e">
        <f>IF(#REF!,"AAAAAF/z/lY=",0)</f>
        <v>#REF!</v>
      </c>
      <c r="CJ328" t="e">
        <f>IF(#REF!,"AAAAAF/z/lc=",0)</f>
        <v>#REF!</v>
      </c>
      <c r="CK328" t="e">
        <f>IF(#REF!,"AAAAAF/z/lg=",0)</f>
        <v>#REF!</v>
      </c>
      <c r="CL328" t="e">
        <f>IF(#REF!,"AAAAAF/z/lk=",0)</f>
        <v>#REF!</v>
      </c>
      <c r="CM328" t="e">
        <f>IF(#REF!,"AAAAAF/z/lo=",0)</f>
        <v>#REF!</v>
      </c>
      <c r="CN328" t="e">
        <f>IF(#REF!,"AAAAAF/z/ls=",0)</f>
        <v>#REF!</v>
      </c>
      <c r="CO328" t="e">
        <f>IF(#REF!,"AAAAAF/z/lw=",0)</f>
        <v>#REF!</v>
      </c>
      <c r="CP328" t="e">
        <f>IF(#REF!,"AAAAAF/z/l0=",0)</f>
        <v>#REF!</v>
      </c>
      <c r="CQ328" t="e">
        <f>IF(#REF!,"AAAAAF/z/l4=",0)</f>
        <v>#REF!</v>
      </c>
      <c r="CR328" t="e">
        <f>IF(#REF!,"AAAAAF/z/l8=",0)</f>
        <v>#REF!</v>
      </c>
      <c r="CS328" t="e">
        <f>IF(#REF!,"AAAAAF/z/mA=",0)</f>
        <v>#REF!</v>
      </c>
      <c r="CT328" t="e">
        <f>IF(#REF!,"AAAAAF/z/mE=",0)</f>
        <v>#REF!</v>
      </c>
      <c r="CU328" t="e">
        <f>IF(#REF!,"AAAAAF/z/mI=",0)</f>
        <v>#REF!</v>
      </c>
      <c r="CV328" t="e">
        <f>IF(#REF!,"AAAAAF/z/mM=",0)</f>
        <v>#REF!</v>
      </c>
      <c r="CW328" t="e">
        <f>IF(#REF!,"AAAAAF/z/mQ=",0)</f>
        <v>#REF!</v>
      </c>
      <c r="CX328" t="e">
        <f>IF(#REF!,"AAAAAF/z/mU=",0)</f>
        <v>#REF!</v>
      </c>
      <c r="CY328" t="e">
        <f>IF(#REF!,"AAAAAF/z/mY=",0)</f>
        <v>#REF!</v>
      </c>
      <c r="CZ328" t="e">
        <f>IF(#REF!,"AAAAAF/z/mc=",0)</f>
        <v>#REF!</v>
      </c>
      <c r="DA328" t="e">
        <f>IF(#REF!,"AAAAAF/z/mg=",0)</f>
        <v>#REF!</v>
      </c>
      <c r="DB328" t="e">
        <f>IF(#REF!,"AAAAAF/z/mk=",0)</f>
        <v>#REF!</v>
      </c>
      <c r="DC328" t="e">
        <f>IF(#REF!,"AAAAAF/z/mo=",0)</f>
        <v>#REF!</v>
      </c>
      <c r="DD328" t="e">
        <f>IF(#REF!,"AAAAAF/z/ms=",0)</f>
        <v>#REF!</v>
      </c>
      <c r="DE328" t="e">
        <f>IF(#REF!,"AAAAAF/z/mw=",0)</f>
        <v>#REF!</v>
      </c>
      <c r="DF328" t="e">
        <f>IF(#REF!,"AAAAAF/z/m0=",0)</f>
        <v>#REF!</v>
      </c>
      <c r="DG328" t="e">
        <f>IF(#REF!,"AAAAAF/z/m4=",0)</f>
        <v>#REF!</v>
      </c>
      <c r="DH328" t="e">
        <f>IF(#REF!,"AAAAAF/z/m8=",0)</f>
        <v>#REF!</v>
      </c>
      <c r="DI328" t="e">
        <f>IF(#REF!,"AAAAAF/z/nA=",0)</f>
        <v>#REF!</v>
      </c>
      <c r="DJ328" t="e">
        <f>IF(#REF!,"AAAAAF/z/nE=",0)</f>
        <v>#REF!</v>
      </c>
      <c r="DK328" t="e">
        <f>IF(#REF!,"AAAAAF/z/nI=",0)</f>
        <v>#REF!</v>
      </c>
      <c r="DL328" t="e">
        <f>IF(#REF!,"AAAAAF/z/nM=",0)</f>
        <v>#REF!</v>
      </c>
      <c r="DM328" t="e">
        <f>IF(#REF!,"AAAAAF/z/nQ=",0)</f>
        <v>#REF!</v>
      </c>
      <c r="DN328" t="e">
        <f>IF(#REF!,"AAAAAF/z/nU=",0)</f>
        <v>#REF!</v>
      </c>
      <c r="DO328" t="e">
        <f>IF(#REF!,"AAAAAF/z/nY=",0)</f>
        <v>#REF!</v>
      </c>
      <c r="DP328" t="e">
        <f>IF(#REF!,"AAAAAF/z/nc=",0)</f>
        <v>#REF!</v>
      </c>
      <c r="DQ328" t="e">
        <f>IF(#REF!,"AAAAAF/z/ng=",0)</f>
        <v>#REF!</v>
      </c>
      <c r="DR328" t="e">
        <f>IF(#REF!,"AAAAAF/z/nk=",0)</f>
        <v>#REF!</v>
      </c>
      <c r="DS328" t="e">
        <f>IF(#REF!,"AAAAAF/z/no=",0)</f>
        <v>#REF!</v>
      </c>
      <c r="DT328" t="e">
        <f>IF(#REF!,"AAAAAF/z/ns=",0)</f>
        <v>#REF!</v>
      </c>
      <c r="DU328" t="e">
        <f>IF(#REF!,"AAAAAF/z/nw=",0)</f>
        <v>#REF!</v>
      </c>
      <c r="DV328" t="e">
        <f>IF(#REF!,"AAAAAF/z/n0=",0)</f>
        <v>#REF!</v>
      </c>
      <c r="DW328" t="e">
        <f>IF(#REF!,"AAAAAF/z/n4=",0)</f>
        <v>#REF!</v>
      </c>
      <c r="DX328" t="e">
        <f>IF(#REF!,"AAAAAF/z/n8=",0)</f>
        <v>#REF!</v>
      </c>
      <c r="DY328" t="e">
        <f>IF(#REF!,"AAAAAF/z/oA=",0)</f>
        <v>#REF!</v>
      </c>
      <c r="DZ328" t="e">
        <f>IF(#REF!,"AAAAAF/z/oE=",0)</f>
        <v>#REF!</v>
      </c>
      <c r="EA328" t="e">
        <f>IF(#REF!,"AAAAAF/z/oI=",0)</f>
        <v>#REF!</v>
      </c>
      <c r="EB328" t="e">
        <f>IF(#REF!,"AAAAAF/z/oM=",0)</f>
        <v>#REF!</v>
      </c>
      <c r="EC328" t="e">
        <f>IF(#REF!,"AAAAAF/z/oQ=",0)</f>
        <v>#REF!</v>
      </c>
      <c r="ED328" t="e">
        <f>IF(#REF!,"AAAAAF/z/oU=",0)</f>
        <v>#REF!</v>
      </c>
      <c r="EE328" t="e">
        <f>IF(#REF!,"AAAAAF/z/oY=",0)</f>
        <v>#REF!</v>
      </c>
      <c r="EF328" t="e">
        <f>IF(#REF!,"AAAAAF/z/oc=",0)</f>
        <v>#REF!</v>
      </c>
      <c r="EG328" t="e">
        <f>IF(#REF!,"AAAAAF/z/og=",0)</f>
        <v>#REF!</v>
      </c>
      <c r="EH328" t="e">
        <f>IF(#REF!,"AAAAAF/z/ok=",0)</f>
        <v>#REF!</v>
      </c>
      <c r="EI328" t="e">
        <f>IF(#REF!,"AAAAAF/z/oo=",0)</f>
        <v>#REF!</v>
      </c>
      <c r="EJ328" t="e">
        <f>IF(#REF!,"AAAAAF/z/os=",0)</f>
        <v>#REF!</v>
      </c>
      <c r="EK328" t="e">
        <f>IF(#REF!,"AAAAAF/z/ow=",0)</f>
        <v>#REF!</v>
      </c>
      <c r="EL328" t="e">
        <f>IF(#REF!,"AAAAAF/z/o0=",0)</f>
        <v>#REF!</v>
      </c>
      <c r="EM328" t="e">
        <f>IF(#REF!,"AAAAAF/z/o4=",0)</f>
        <v>#REF!</v>
      </c>
      <c r="EN328" t="e">
        <f>IF(#REF!,"AAAAAF/z/o8=",0)</f>
        <v>#REF!</v>
      </c>
      <c r="EO328" t="e">
        <f>IF(#REF!,"AAAAAF/z/pA=",0)</f>
        <v>#REF!</v>
      </c>
      <c r="EP328" t="e">
        <f>IF(#REF!,"AAAAAF/z/pE=",0)</f>
        <v>#REF!</v>
      </c>
      <c r="EQ328" t="e">
        <f>IF(#REF!,"AAAAAF/z/pI=",0)</f>
        <v>#REF!</v>
      </c>
      <c r="ER328" t="e">
        <f>IF(#REF!,"AAAAAF/z/pM=",0)</f>
        <v>#REF!</v>
      </c>
      <c r="ES328" t="e">
        <f>IF(#REF!,"AAAAAF/z/pQ=",0)</f>
        <v>#REF!</v>
      </c>
      <c r="ET328" t="e">
        <f>IF(#REF!,"AAAAAF/z/pU=",0)</f>
        <v>#REF!</v>
      </c>
      <c r="EU328" t="e">
        <f>IF(#REF!,"AAAAAF/z/pY=",0)</f>
        <v>#REF!</v>
      </c>
      <c r="EV328" t="e">
        <f>IF(#REF!,"AAAAAF/z/pc=",0)</f>
        <v>#REF!</v>
      </c>
      <c r="EW328" t="e">
        <f>IF(#REF!,"AAAAAF/z/pg=",0)</f>
        <v>#REF!</v>
      </c>
      <c r="EX328" t="e">
        <f>IF(#REF!,"AAAAAF/z/pk=",0)</f>
        <v>#REF!</v>
      </c>
      <c r="EY328" t="e">
        <f>IF(#REF!,"AAAAAF/z/po=",0)</f>
        <v>#REF!</v>
      </c>
      <c r="EZ328" t="e">
        <f>IF(#REF!,"AAAAAF/z/ps=",0)</f>
        <v>#REF!</v>
      </c>
      <c r="FA328" t="e">
        <f>IF(#REF!,"AAAAAF/z/pw=",0)</f>
        <v>#REF!</v>
      </c>
      <c r="FB328" t="e">
        <f>IF(#REF!,"AAAAAF/z/p0=",0)</f>
        <v>#REF!</v>
      </c>
      <c r="FC328" t="e">
        <f>IF(#REF!,"AAAAAF/z/p4=",0)</f>
        <v>#REF!</v>
      </c>
      <c r="FD328" t="e">
        <f>IF(#REF!,"AAAAAF/z/p8=",0)</f>
        <v>#REF!</v>
      </c>
      <c r="FE328" t="e">
        <f>IF(#REF!,"AAAAAF/z/qA=",0)</f>
        <v>#REF!</v>
      </c>
      <c r="FF328" t="e">
        <f>IF(#REF!,"AAAAAF/z/qE=",0)</f>
        <v>#REF!</v>
      </c>
      <c r="FG328" t="e">
        <f>IF(#REF!,"AAAAAF/z/qI=",0)</f>
        <v>#REF!</v>
      </c>
      <c r="FH328" t="e">
        <f>IF(#REF!,"AAAAAF/z/qM=",0)</f>
        <v>#REF!</v>
      </c>
      <c r="FI328" t="e">
        <f>IF(#REF!,"AAAAAF/z/qQ=",0)</f>
        <v>#REF!</v>
      </c>
      <c r="FJ328" t="e">
        <f>IF(#REF!,"AAAAAF/z/qU=",0)</f>
        <v>#REF!</v>
      </c>
      <c r="FK328" t="e">
        <f>IF(#REF!,"AAAAAF/z/qY=",0)</f>
        <v>#REF!</v>
      </c>
      <c r="FL328" t="e">
        <f>IF(#REF!,"AAAAAF/z/qc=",0)</f>
        <v>#REF!</v>
      </c>
      <c r="FM328" t="e">
        <f>IF(#REF!,"AAAAAF/z/qg=",0)</f>
        <v>#REF!</v>
      </c>
      <c r="FN328" t="e">
        <f>IF(#REF!,"AAAAAF/z/qk=",0)</f>
        <v>#REF!</v>
      </c>
      <c r="FO328" t="e">
        <f>IF(#REF!,"AAAAAF/z/qo=",0)</f>
        <v>#REF!</v>
      </c>
      <c r="FP328" t="e">
        <f>IF(#REF!,"AAAAAF/z/qs=",0)</f>
        <v>#REF!</v>
      </c>
      <c r="FQ328" t="e">
        <f>IF(#REF!,"AAAAAF/z/qw=",0)</f>
        <v>#REF!</v>
      </c>
      <c r="FR328" t="e">
        <f>IF(#REF!,"AAAAAF/z/q0=",0)</f>
        <v>#REF!</v>
      </c>
      <c r="FS328" t="e">
        <f>IF(#REF!,"AAAAAF/z/q4=",0)</f>
        <v>#REF!</v>
      </c>
      <c r="FT328" t="e">
        <f>IF(#REF!,"AAAAAF/z/q8=",0)</f>
        <v>#REF!</v>
      </c>
      <c r="FU328" t="e">
        <f>IF(#REF!,"AAAAAF/z/rA=",0)</f>
        <v>#REF!</v>
      </c>
      <c r="FV328" t="e">
        <f>IF(#REF!,"AAAAAF/z/rE=",0)</f>
        <v>#REF!</v>
      </c>
      <c r="FW328" t="e">
        <f>IF(#REF!,"AAAAAF/z/rI=",0)</f>
        <v>#REF!</v>
      </c>
      <c r="FX328" t="e">
        <f>IF(#REF!,"AAAAAF/z/rM=",0)</f>
        <v>#REF!</v>
      </c>
      <c r="FY328" t="e">
        <f>IF(#REF!,"AAAAAF/z/rQ=",0)</f>
        <v>#REF!</v>
      </c>
      <c r="FZ328" t="e">
        <f>IF(#REF!,"AAAAAF/z/rU=",0)</f>
        <v>#REF!</v>
      </c>
      <c r="GA328" t="e">
        <f>IF(#REF!,"AAAAAF/z/rY=",0)</f>
        <v>#REF!</v>
      </c>
      <c r="GB328" t="e">
        <f>IF(#REF!,"AAAAAF/z/rc=",0)</f>
        <v>#REF!</v>
      </c>
      <c r="GC328" t="e">
        <f>IF(#REF!,"AAAAAF/z/rg=",0)</f>
        <v>#REF!</v>
      </c>
      <c r="GD328" t="e">
        <f>IF(#REF!,"AAAAAF/z/rk=",0)</f>
        <v>#REF!</v>
      </c>
      <c r="GE328" t="e">
        <f>IF(#REF!,"AAAAAF/z/ro=",0)</f>
        <v>#REF!</v>
      </c>
      <c r="GF328" t="e">
        <f>IF(#REF!,"AAAAAF/z/rs=",0)</f>
        <v>#REF!</v>
      </c>
      <c r="GG328" t="e">
        <f>IF(#REF!,"AAAAAF/z/rw=",0)</f>
        <v>#REF!</v>
      </c>
      <c r="GH328" t="e">
        <f>IF(#REF!,"AAAAAF/z/r0=",0)</f>
        <v>#REF!</v>
      </c>
      <c r="GI328" t="e">
        <f>IF(#REF!,"AAAAAF/z/r4=",0)</f>
        <v>#REF!</v>
      </c>
      <c r="GJ328" t="e">
        <f>IF(#REF!,"AAAAAF/z/r8=",0)</f>
        <v>#REF!</v>
      </c>
      <c r="GK328" t="e">
        <f>IF(#REF!,"AAAAAF/z/sA=",0)</f>
        <v>#REF!</v>
      </c>
      <c r="GL328" t="e">
        <f>IF(#REF!,"AAAAAF/z/sE=",0)</f>
        <v>#REF!</v>
      </c>
      <c r="GM328" t="e">
        <f>IF(#REF!,"AAAAAF/z/sI=",0)</f>
        <v>#REF!</v>
      </c>
      <c r="GN328" t="e">
        <f>IF(#REF!,"AAAAAF/z/sM=",0)</f>
        <v>#REF!</v>
      </c>
      <c r="GO328" t="e">
        <f>IF(#REF!,"AAAAAF/z/sQ=",0)</f>
        <v>#REF!</v>
      </c>
      <c r="GP328" t="e">
        <f>IF(#REF!,"AAAAAF/z/sU=",0)</f>
        <v>#REF!</v>
      </c>
      <c r="GQ328" t="e">
        <f>IF(#REF!,"AAAAAF/z/sY=",0)</f>
        <v>#REF!</v>
      </c>
      <c r="GR328" t="e">
        <f>IF(#REF!,"AAAAAF/z/sc=",0)</f>
        <v>#REF!</v>
      </c>
      <c r="GS328" t="e">
        <f>IF(#REF!,"AAAAAF/z/sg=",0)</f>
        <v>#REF!</v>
      </c>
      <c r="GT328" t="e">
        <f>IF(#REF!,"AAAAAF/z/sk=",0)</f>
        <v>#REF!</v>
      </c>
      <c r="GU328" t="e">
        <f>IF(#REF!,"AAAAAF/z/so=",0)</f>
        <v>#REF!</v>
      </c>
      <c r="GV328" t="e">
        <f>IF(#REF!,"AAAAAF/z/ss=",0)</f>
        <v>#REF!</v>
      </c>
      <c r="GW328" t="e">
        <f>IF(#REF!,"AAAAAF/z/sw=",0)</f>
        <v>#REF!</v>
      </c>
      <c r="GX328" t="e">
        <f>IF(#REF!,"AAAAAF/z/s0=",0)</f>
        <v>#REF!</v>
      </c>
      <c r="GY328" t="e">
        <f>IF(#REF!,"AAAAAF/z/s4=",0)</f>
        <v>#REF!</v>
      </c>
      <c r="GZ328" t="e">
        <f>IF(#REF!,"AAAAAF/z/s8=",0)</f>
        <v>#REF!</v>
      </c>
      <c r="HA328" t="e">
        <f>IF(#REF!,"AAAAAF/z/tA=",0)</f>
        <v>#REF!</v>
      </c>
      <c r="HB328" t="e">
        <f>IF(#REF!,"AAAAAF/z/tE=",0)</f>
        <v>#REF!</v>
      </c>
      <c r="HC328" t="e">
        <f>IF(#REF!,"AAAAAF/z/tI=",0)</f>
        <v>#REF!</v>
      </c>
      <c r="HD328" t="e">
        <f>IF(#REF!,"AAAAAF/z/tM=",0)</f>
        <v>#REF!</v>
      </c>
      <c r="HE328" t="e">
        <f>IF(#REF!,"AAAAAF/z/tQ=",0)</f>
        <v>#REF!</v>
      </c>
      <c r="HF328" t="e">
        <f>IF(#REF!,"AAAAAF/z/tU=",0)</f>
        <v>#REF!</v>
      </c>
      <c r="HG328" t="e">
        <f>IF(#REF!,"AAAAAF/z/tY=",0)</f>
        <v>#REF!</v>
      </c>
      <c r="HH328" t="e">
        <f>IF(#REF!,"AAAAAF/z/tc=",0)</f>
        <v>#REF!</v>
      </c>
      <c r="HI328" t="e">
        <f>IF(#REF!,"AAAAAF/z/tg=",0)</f>
        <v>#REF!</v>
      </c>
      <c r="HJ328" t="e">
        <f>IF(#REF!,"AAAAAF/z/tk=",0)</f>
        <v>#REF!</v>
      </c>
      <c r="HK328" t="e">
        <f>IF(#REF!,"AAAAAF/z/to=",0)</f>
        <v>#REF!</v>
      </c>
      <c r="HL328" t="e">
        <f>IF(#REF!,"AAAAAF/z/ts=",0)</f>
        <v>#REF!</v>
      </c>
      <c r="HM328" t="e">
        <f>IF(#REF!,"AAAAAF/z/tw=",0)</f>
        <v>#REF!</v>
      </c>
      <c r="HN328" t="e">
        <f>IF(#REF!,"AAAAAF/z/t0=",0)</f>
        <v>#REF!</v>
      </c>
      <c r="HO328" t="e">
        <f>IF(#REF!,"AAAAAF/z/t4=",0)</f>
        <v>#REF!</v>
      </c>
      <c r="HP328" t="e">
        <f>IF(#REF!,"AAAAAF/z/t8=",0)</f>
        <v>#REF!</v>
      </c>
      <c r="HQ328" t="e">
        <f>IF(#REF!,"AAAAAF/z/uA=",0)</f>
        <v>#REF!</v>
      </c>
      <c r="HR328" t="e">
        <f>IF(#REF!,"AAAAAF/z/uE=",0)</f>
        <v>#REF!</v>
      </c>
      <c r="HS328" t="e">
        <f>IF(#REF!,"AAAAAF/z/uI=",0)</f>
        <v>#REF!</v>
      </c>
      <c r="HT328" t="e">
        <f>IF(#REF!,"AAAAAF/z/uM=",0)</f>
        <v>#REF!</v>
      </c>
      <c r="HU328" t="e">
        <f>IF(#REF!,"AAAAAF/z/uQ=",0)</f>
        <v>#REF!</v>
      </c>
      <c r="HV328" t="e">
        <f>IF(#REF!,"AAAAAF/z/uU=",0)</f>
        <v>#REF!</v>
      </c>
      <c r="HW328" t="e">
        <f>IF(#REF!,"AAAAAF/z/uY=",0)</f>
        <v>#REF!</v>
      </c>
      <c r="HX328" t="e">
        <f>IF(#REF!,"AAAAAF/z/uc=",0)</f>
        <v>#REF!</v>
      </c>
      <c r="HY328" t="e">
        <f>IF(#REF!,"AAAAAF/z/ug=",0)</f>
        <v>#REF!</v>
      </c>
      <c r="HZ328" t="e">
        <f>IF(#REF!,"AAAAAF/z/uk=",0)</f>
        <v>#REF!</v>
      </c>
      <c r="IA328" t="e">
        <f>IF(#REF!,"AAAAAF/z/uo=",0)</f>
        <v>#REF!</v>
      </c>
      <c r="IB328" t="e">
        <f>IF(#REF!,"AAAAAF/z/us=",0)</f>
        <v>#REF!</v>
      </c>
      <c r="IC328" t="e">
        <f>IF(#REF!,"AAAAAF/z/uw=",0)</f>
        <v>#REF!</v>
      </c>
      <c r="ID328" t="e">
        <f>IF(#REF!,"AAAAAF/z/u0=",0)</f>
        <v>#REF!</v>
      </c>
      <c r="IE328" t="e">
        <f>IF(#REF!,"AAAAAF/z/u4=",0)</f>
        <v>#REF!</v>
      </c>
      <c r="IF328" t="e">
        <f>IF(#REF!,"AAAAAF/z/u8=",0)</f>
        <v>#REF!</v>
      </c>
      <c r="IG328" t="e">
        <f>IF(#REF!,"AAAAAF/z/vA=",0)</f>
        <v>#REF!</v>
      </c>
      <c r="IH328" t="e">
        <f>IF(#REF!,"AAAAAF/z/vE=",0)</f>
        <v>#REF!</v>
      </c>
      <c r="II328" t="e">
        <f>IF(#REF!,"AAAAAF/z/vI=",0)</f>
        <v>#REF!</v>
      </c>
      <c r="IJ328" t="e">
        <f>IF(#REF!,"AAAAAF/z/vM=",0)</f>
        <v>#REF!</v>
      </c>
      <c r="IK328" t="e">
        <f>IF(#REF!,"AAAAAF/z/vQ=",0)</f>
        <v>#REF!</v>
      </c>
      <c r="IL328" t="e">
        <f>IF(#REF!,"AAAAAF/z/vU=",0)</f>
        <v>#REF!</v>
      </c>
      <c r="IM328" t="e">
        <f>IF(#REF!,"AAAAAF/z/vY=",0)</f>
        <v>#REF!</v>
      </c>
      <c r="IN328" t="e">
        <f>IF(#REF!,"AAAAAF/z/vc=",0)</f>
        <v>#REF!</v>
      </c>
      <c r="IO328" t="e">
        <f>IF(#REF!,"AAAAAF/z/vg=",0)</f>
        <v>#REF!</v>
      </c>
      <c r="IP328" t="e">
        <f>IF(#REF!,"AAAAAF/z/vk=",0)</f>
        <v>#REF!</v>
      </c>
      <c r="IQ328" t="e">
        <f>IF(#REF!,"AAAAAF/z/vo=",0)</f>
        <v>#REF!</v>
      </c>
      <c r="IR328" t="e">
        <f>IF(#REF!,"AAAAAF/z/vs=",0)</f>
        <v>#REF!</v>
      </c>
      <c r="IS328" t="e">
        <f>IF(#REF!,"AAAAAF/z/vw=",0)</f>
        <v>#REF!</v>
      </c>
      <c r="IT328" t="e">
        <f>IF(#REF!,"AAAAAF/z/v0=",0)</f>
        <v>#REF!</v>
      </c>
      <c r="IU328" t="e">
        <f>IF(#REF!,"AAAAAF/z/v4=",0)</f>
        <v>#REF!</v>
      </c>
      <c r="IV328" t="e">
        <f>IF(#REF!,"AAAAAF/z/v8=",0)</f>
        <v>#REF!</v>
      </c>
    </row>
    <row r="329" spans="1:256">
      <c r="A329" t="e">
        <f>IF(#REF!,"AAAAAH9/pgA=",0)</f>
        <v>#REF!</v>
      </c>
      <c r="B329" t="e">
        <f>IF(#REF!,"AAAAAH9/pgE=",0)</f>
        <v>#REF!</v>
      </c>
      <c r="C329" t="e">
        <f>IF(#REF!,"AAAAAH9/pgI=",0)</f>
        <v>#REF!</v>
      </c>
      <c r="D329" t="e">
        <f>IF(#REF!,"AAAAAH9/pgM=",0)</f>
        <v>#REF!</v>
      </c>
      <c r="E329" t="e">
        <f>IF(#REF!,"AAAAAH9/pgQ=",0)</f>
        <v>#REF!</v>
      </c>
      <c r="F329" t="e">
        <f>IF(#REF!,"AAAAAH9/pgU=",0)</f>
        <v>#REF!</v>
      </c>
      <c r="G329" t="e">
        <f>IF(#REF!,"AAAAAH9/pgY=",0)</f>
        <v>#REF!</v>
      </c>
      <c r="H329" t="e">
        <f>IF(#REF!,"AAAAAH9/pgc=",0)</f>
        <v>#REF!</v>
      </c>
      <c r="I329" t="e">
        <f>IF(#REF!,"AAAAAH9/pgg=",0)</f>
        <v>#REF!</v>
      </c>
      <c r="J329" t="e">
        <f>IF(#REF!,"AAAAAH9/pgk=",0)</f>
        <v>#REF!</v>
      </c>
      <c r="K329" t="e">
        <f>IF(#REF!,"AAAAAH9/pgo=",0)</f>
        <v>#REF!</v>
      </c>
      <c r="L329" t="e">
        <f>IF(#REF!,"AAAAAH9/pgs=",0)</f>
        <v>#REF!</v>
      </c>
      <c r="M329" t="e">
        <f>IF(#REF!,"AAAAAH9/pgw=",0)</f>
        <v>#REF!</v>
      </c>
      <c r="N329" t="e">
        <f>IF(#REF!,"AAAAAH9/pg0=",0)</f>
        <v>#REF!</v>
      </c>
      <c r="O329" t="e">
        <f>IF(#REF!,"AAAAAH9/pg4=",0)</f>
        <v>#REF!</v>
      </c>
      <c r="P329" t="e">
        <f>IF(#REF!,"AAAAAH9/pg8=",0)</f>
        <v>#REF!</v>
      </c>
      <c r="Q329" t="e">
        <f>IF(#REF!,"AAAAAH9/phA=",0)</f>
        <v>#REF!</v>
      </c>
      <c r="R329" t="e">
        <f>IF(#REF!,"AAAAAH9/phE=",0)</f>
        <v>#REF!</v>
      </c>
      <c r="S329" t="e">
        <f>IF(#REF!,"AAAAAH9/phI=",0)</f>
        <v>#REF!</v>
      </c>
      <c r="T329" t="e">
        <f>IF(#REF!,"AAAAAH9/phM=",0)</f>
        <v>#REF!</v>
      </c>
      <c r="U329" t="e">
        <f>IF(#REF!,"AAAAAH9/phQ=",0)</f>
        <v>#REF!</v>
      </c>
      <c r="V329" t="e">
        <f>IF(#REF!,"AAAAAH9/phU=",0)</f>
        <v>#REF!</v>
      </c>
      <c r="W329" t="e">
        <f>IF(#REF!,"AAAAAH9/phY=",0)</f>
        <v>#REF!</v>
      </c>
      <c r="X329" t="e">
        <f>IF(#REF!,"AAAAAH9/phc=",0)</f>
        <v>#REF!</v>
      </c>
      <c r="Y329" t="e">
        <f>IF(#REF!,"AAAAAH9/phg=",0)</f>
        <v>#REF!</v>
      </c>
      <c r="Z329" t="e">
        <f>IF(#REF!,"AAAAAH9/phk=",0)</f>
        <v>#REF!</v>
      </c>
      <c r="AA329" t="e">
        <f>IF(#REF!,"AAAAAH9/pho=",0)</f>
        <v>#REF!</v>
      </c>
      <c r="AB329" t="e">
        <f>IF(#REF!,"AAAAAH9/phs=",0)</f>
        <v>#REF!</v>
      </c>
      <c r="AC329" t="e">
        <f>IF(#REF!,"AAAAAH9/phw=",0)</f>
        <v>#REF!</v>
      </c>
      <c r="AD329" t="e">
        <f>IF(#REF!,"AAAAAH9/ph0=",0)</f>
        <v>#REF!</v>
      </c>
      <c r="AE329" t="e">
        <f>IF(#REF!,"AAAAAH9/ph4=",0)</f>
        <v>#REF!</v>
      </c>
      <c r="AF329" t="e">
        <f>IF(#REF!,"AAAAAH9/ph8=",0)</f>
        <v>#REF!</v>
      </c>
      <c r="AG329" t="e">
        <f>IF(#REF!,"AAAAAH9/piA=",0)</f>
        <v>#REF!</v>
      </c>
      <c r="AH329" t="e">
        <f>IF(#REF!,"AAAAAH9/piE=",0)</f>
        <v>#REF!</v>
      </c>
      <c r="AI329" t="e">
        <f>IF(#REF!,"AAAAAH9/piI=",0)</f>
        <v>#REF!</v>
      </c>
      <c r="AJ329" t="e">
        <f>IF(#REF!,"AAAAAH9/piM=",0)</f>
        <v>#REF!</v>
      </c>
      <c r="AK329" t="e">
        <f>IF(#REF!,"AAAAAH9/piQ=",0)</f>
        <v>#REF!</v>
      </c>
      <c r="AL329" t="e">
        <f>IF(#REF!,"AAAAAH9/piU=",0)</f>
        <v>#REF!</v>
      </c>
      <c r="AM329" t="e">
        <f>IF(#REF!,"AAAAAH9/piY=",0)</f>
        <v>#REF!</v>
      </c>
      <c r="AN329" t="e">
        <f>IF(#REF!,"AAAAAH9/pic=",0)</f>
        <v>#REF!</v>
      </c>
      <c r="AO329" t="e">
        <f>IF(#REF!,"AAAAAH9/pig=",0)</f>
        <v>#REF!</v>
      </c>
      <c r="AP329" t="e">
        <f>IF(#REF!,"AAAAAH9/pik=",0)</f>
        <v>#REF!</v>
      </c>
      <c r="AQ329" t="e">
        <f>IF(#REF!,"AAAAAH9/pio=",0)</f>
        <v>#REF!</v>
      </c>
      <c r="AR329" t="e">
        <f>IF(#REF!,"AAAAAH9/pis=",0)</f>
        <v>#REF!</v>
      </c>
      <c r="AS329" t="e">
        <f>IF(#REF!,"AAAAAH9/piw=",0)</f>
        <v>#REF!</v>
      </c>
      <c r="AT329" t="e">
        <f>IF(#REF!,"AAAAAH9/pi0=",0)</f>
        <v>#REF!</v>
      </c>
      <c r="AU329" t="e">
        <f>IF(#REF!,"AAAAAH9/pi4=",0)</f>
        <v>#REF!</v>
      </c>
      <c r="AV329" t="e">
        <f>IF(#REF!,"AAAAAH9/pi8=",0)</f>
        <v>#REF!</v>
      </c>
      <c r="AW329" t="e">
        <f>IF(#REF!,"AAAAAH9/pjA=",0)</f>
        <v>#REF!</v>
      </c>
      <c r="AX329" t="e">
        <f>IF(#REF!,"AAAAAH9/pjE=",0)</f>
        <v>#REF!</v>
      </c>
      <c r="AY329" t="e">
        <f>IF(#REF!,"AAAAAH9/pjI=",0)</f>
        <v>#REF!</v>
      </c>
      <c r="AZ329" t="e">
        <f>IF(#REF!,"AAAAAH9/pjM=",0)</f>
        <v>#REF!</v>
      </c>
      <c r="BA329" t="e">
        <f>IF(#REF!,"AAAAAH9/pjQ=",0)</f>
        <v>#REF!</v>
      </c>
      <c r="BB329" t="e">
        <f>IF(#REF!,"AAAAAH9/pjU=",0)</f>
        <v>#REF!</v>
      </c>
      <c r="BC329" t="e">
        <f>IF(#REF!,"AAAAAH9/pjY=",0)</f>
        <v>#REF!</v>
      </c>
      <c r="BD329" t="e">
        <f>IF(#REF!,"AAAAAH9/pjc=",0)</f>
        <v>#REF!</v>
      </c>
      <c r="BE329" t="e">
        <f>IF(#REF!,"AAAAAH9/pjg=",0)</f>
        <v>#REF!</v>
      </c>
      <c r="BF329" t="e">
        <f>IF(#REF!,"AAAAAH9/pjk=",0)</f>
        <v>#REF!</v>
      </c>
      <c r="BG329" t="e">
        <f>IF(#REF!,"AAAAAH9/pjo=",0)</f>
        <v>#REF!</v>
      </c>
      <c r="BH329" t="e">
        <f>IF(#REF!,"AAAAAH9/pjs=",0)</f>
        <v>#REF!</v>
      </c>
      <c r="BI329" t="e">
        <f>IF(#REF!,"AAAAAH9/pjw=",0)</f>
        <v>#REF!</v>
      </c>
      <c r="BJ329" t="e">
        <f>IF(#REF!,"AAAAAH9/pj0=",0)</f>
        <v>#REF!</v>
      </c>
      <c r="BK329" t="e">
        <f>IF(#REF!,"AAAAAH9/pj4=",0)</f>
        <v>#REF!</v>
      </c>
      <c r="BL329" t="e">
        <f>IF(#REF!,"AAAAAH9/pj8=",0)</f>
        <v>#REF!</v>
      </c>
      <c r="BM329" t="e">
        <f>IF(#REF!,"AAAAAH9/pkA=",0)</f>
        <v>#REF!</v>
      </c>
      <c r="BN329" t="e">
        <f>IF(#REF!,"AAAAAH9/pkE=",0)</f>
        <v>#REF!</v>
      </c>
      <c r="BO329" t="e">
        <f>IF(#REF!,"AAAAAH9/pkI=",0)</f>
        <v>#REF!</v>
      </c>
      <c r="BP329" t="e">
        <f>IF(#REF!,"AAAAAH9/pkM=",0)</f>
        <v>#REF!</v>
      </c>
      <c r="BQ329" t="e">
        <f>IF(#REF!,"AAAAAH9/pkQ=",0)</f>
        <v>#REF!</v>
      </c>
      <c r="BR329" t="e">
        <f>IF(#REF!,"AAAAAH9/pkU=",0)</f>
        <v>#REF!</v>
      </c>
      <c r="BS329" t="e">
        <f>IF(#REF!,"AAAAAH9/pkY=",0)</f>
        <v>#REF!</v>
      </c>
      <c r="BT329" t="e">
        <f>IF(#REF!,"AAAAAH9/pkc=",0)</f>
        <v>#REF!</v>
      </c>
      <c r="BU329" t="e">
        <f>IF(#REF!,"AAAAAH9/pkg=",0)</f>
        <v>#REF!</v>
      </c>
      <c r="BV329" t="e">
        <f>IF(#REF!,"AAAAAH9/pkk=",0)</f>
        <v>#REF!</v>
      </c>
      <c r="BW329" t="e">
        <f>IF(#REF!,"AAAAAH9/pko=",0)</f>
        <v>#REF!</v>
      </c>
      <c r="BX329" t="e">
        <f>IF(#REF!,"AAAAAH9/pks=",0)</f>
        <v>#REF!</v>
      </c>
      <c r="BY329" t="e">
        <f>IF(#REF!,"AAAAAH9/pkw=",0)</f>
        <v>#REF!</v>
      </c>
      <c r="BZ329" t="e">
        <f>IF(#REF!,"AAAAAH9/pk0=",0)</f>
        <v>#REF!</v>
      </c>
      <c r="CA329" t="e">
        <f>IF(#REF!,"AAAAAH9/pk4=",0)</f>
        <v>#REF!</v>
      </c>
      <c r="CB329" t="e">
        <f>IF(#REF!,"AAAAAH9/pk8=",0)</f>
        <v>#REF!</v>
      </c>
      <c r="CC329" t="e">
        <f>IF(#REF!,"AAAAAH9/plA=",0)</f>
        <v>#REF!</v>
      </c>
      <c r="CD329" t="e">
        <f>IF(#REF!,"AAAAAH9/plE=",0)</f>
        <v>#REF!</v>
      </c>
      <c r="CE329" t="e">
        <f>IF(#REF!,"AAAAAH9/plI=",0)</f>
        <v>#REF!</v>
      </c>
      <c r="CF329" t="e">
        <f>IF(#REF!,"AAAAAH9/plM=",0)</f>
        <v>#REF!</v>
      </c>
      <c r="CG329" t="e">
        <f>IF(#REF!,"AAAAAH9/plQ=",0)</f>
        <v>#REF!</v>
      </c>
      <c r="CH329" t="e">
        <f>IF(#REF!,"AAAAAH9/plU=",0)</f>
        <v>#REF!</v>
      </c>
      <c r="CI329" t="e">
        <f>IF(#REF!,"AAAAAH9/plY=",0)</f>
        <v>#REF!</v>
      </c>
      <c r="CJ329" t="e">
        <f>IF(#REF!,"AAAAAH9/plc=",0)</f>
        <v>#REF!</v>
      </c>
      <c r="CK329" t="e">
        <f>IF(#REF!,"AAAAAH9/plg=",0)</f>
        <v>#REF!</v>
      </c>
      <c r="CL329" t="e">
        <f>IF(#REF!,"AAAAAH9/plk=",0)</f>
        <v>#REF!</v>
      </c>
      <c r="CM329" t="e">
        <f>IF(#REF!,"AAAAAH9/plo=",0)</f>
        <v>#REF!</v>
      </c>
      <c r="CN329" t="e">
        <f>IF(#REF!,"AAAAAH9/pls=",0)</f>
        <v>#REF!</v>
      </c>
      <c r="CO329" t="e">
        <f>IF(#REF!,"AAAAAH9/plw=",0)</f>
        <v>#REF!</v>
      </c>
      <c r="CP329" t="e">
        <f>IF(#REF!,"AAAAAH9/pl0=",0)</f>
        <v>#REF!</v>
      </c>
      <c r="CQ329" t="e">
        <f>IF(#REF!,"AAAAAH9/pl4=",0)</f>
        <v>#REF!</v>
      </c>
      <c r="CR329" t="e">
        <f>IF(#REF!,"AAAAAH9/pl8=",0)</f>
        <v>#REF!</v>
      </c>
      <c r="CS329" t="e">
        <f>IF(#REF!,"AAAAAH9/pmA=",0)</f>
        <v>#REF!</v>
      </c>
      <c r="CT329" t="e">
        <f>IF(#REF!,"AAAAAH9/pmE=",0)</f>
        <v>#REF!</v>
      </c>
      <c r="CU329" t="e">
        <f>IF(#REF!,"AAAAAH9/pmI=",0)</f>
        <v>#REF!</v>
      </c>
      <c r="CV329" t="e">
        <f>IF(#REF!,"AAAAAH9/pmM=",0)</f>
        <v>#REF!</v>
      </c>
      <c r="CW329" t="e">
        <f>IF(#REF!,"AAAAAH9/pmQ=",0)</f>
        <v>#REF!</v>
      </c>
      <c r="CX329" t="e">
        <f>IF(#REF!,"AAAAAH9/pmU=",0)</f>
        <v>#REF!</v>
      </c>
      <c r="CY329" t="e">
        <f>IF(#REF!,"AAAAAH9/pmY=",0)</f>
        <v>#REF!</v>
      </c>
      <c r="CZ329" t="e">
        <f>IF(#REF!,"AAAAAH9/pmc=",0)</f>
        <v>#REF!</v>
      </c>
      <c r="DA329" t="e">
        <f>IF(#REF!,"AAAAAH9/pmg=",0)</f>
        <v>#REF!</v>
      </c>
      <c r="DB329" t="e">
        <f>IF(#REF!,"AAAAAH9/pmk=",0)</f>
        <v>#REF!</v>
      </c>
      <c r="DC329" t="e">
        <f>IF(#REF!,"AAAAAH9/pmo=",0)</f>
        <v>#REF!</v>
      </c>
      <c r="DD329" t="e">
        <f>IF(#REF!,"AAAAAH9/pms=",0)</f>
        <v>#REF!</v>
      </c>
      <c r="DE329" t="e">
        <f>IF(#REF!,"AAAAAH9/pmw=",0)</f>
        <v>#REF!</v>
      </c>
      <c r="DF329" t="e">
        <f>IF(#REF!,"AAAAAH9/pm0=",0)</f>
        <v>#REF!</v>
      </c>
      <c r="DG329" t="e">
        <f>IF(#REF!,"AAAAAH9/pm4=",0)</f>
        <v>#REF!</v>
      </c>
      <c r="DH329" t="e">
        <f>IF(#REF!,"AAAAAH9/pm8=",0)</f>
        <v>#REF!</v>
      </c>
      <c r="DI329" t="e">
        <f>IF(#REF!,"AAAAAH9/pnA=",0)</f>
        <v>#REF!</v>
      </c>
      <c r="DJ329" t="e">
        <f>IF(#REF!,"AAAAAH9/pnE=",0)</f>
        <v>#REF!</v>
      </c>
      <c r="DK329" t="e">
        <f>IF(#REF!,"AAAAAH9/pnI=",0)</f>
        <v>#REF!</v>
      </c>
      <c r="DL329" t="e">
        <f>IF(#REF!,"AAAAAH9/pnM=",0)</f>
        <v>#REF!</v>
      </c>
      <c r="DM329" t="e">
        <f>IF(#REF!,"AAAAAH9/pnQ=",0)</f>
        <v>#REF!</v>
      </c>
      <c r="DN329" t="e">
        <f>IF(#REF!,"AAAAAH9/pnU=",0)</f>
        <v>#REF!</v>
      </c>
      <c r="DO329" t="e">
        <f>IF(#REF!,"AAAAAH9/pnY=",0)</f>
        <v>#REF!</v>
      </c>
      <c r="DP329" t="e">
        <f>IF(#REF!,"AAAAAH9/pnc=",0)</f>
        <v>#REF!</v>
      </c>
      <c r="DQ329" t="e">
        <f>IF(#REF!,"AAAAAH9/png=",0)</f>
        <v>#REF!</v>
      </c>
      <c r="DR329" t="e">
        <f>IF(#REF!,"AAAAAH9/pnk=",0)</f>
        <v>#REF!</v>
      </c>
      <c r="DS329" t="e">
        <f>IF(#REF!,"AAAAAH9/pno=",0)</f>
        <v>#REF!</v>
      </c>
      <c r="DT329" t="e">
        <f>IF(#REF!,"AAAAAH9/pns=",0)</f>
        <v>#REF!</v>
      </c>
      <c r="DU329" t="e">
        <f>IF(#REF!,"AAAAAH9/pnw=",0)</f>
        <v>#REF!</v>
      </c>
      <c r="DV329" t="e">
        <f>IF(#REF!,"AAAAAH9/pn0=",0)</f>
        <v>#REF!</v>
      </c>
      <c r="DW329" t="e">
        <f>IF(#REF!,"AAAAAH9/pn4=",0)</f>
        <v>#REF!</v>
      </c>
      <c r="DX329" t="e">
        <f>IF(#REF!,"AAAAAH9/pn8=",0)</f>
        <v>#REF!</v>
      </c>
      <c r="DY329" t="e">
        <f>IF(#REF!,"AAAAAH9/poA=",0)</f>
        <v>#REF!</v>
      </c>
      <c r="DZ329" t="e">
        <f>IF(#REF!,"AAAAAH9/poE=",0)</f>
        <v>#REF!</v>
      </c>
      <c r="EA329" t="e">
        <f>IF(#REF!,"AAAAAH9/poI=",0)</f>
        <v>#REF!</v>
      </c>
      <c r="EB329" t="e">
        <f>IF(#REF!,"AAAAAH9/poM=",0)</f>
        <v>#REF!</v>
      </c>
      <c r="EC329" t="e">
        <f>IF(#REF!,"AAAAAH9/poQ=",0)</f>
        <v>#REF!</v>
      </c>
      <c r="ED329" t="e">
        <f>IF(#REF!,"AAAAAH9/poU=",0)</f>
        <v>#REF!</v>
      </c>
      <c r="EE329" t="e">
        <f>IF(#REF!,"AAAAAH9/poY=",0)</f>
        <v>#REF!</v>
      </c>
      <c r="EF329" t="e">
        <f>IF(#REF!,"AAAAAH9/poc=",0)</f>
        <v>#REF!</v>
      </c>
      <c r="EG329" t="e">
        <f>IF(#REF!,"AAAAAH9/pog=",0)</f>
        <v>#REF!</v>
      </c>
      <c r="EH329" t="e">
        <f>IF(#REF!,"AAAAAH9/pok=",0)</f>
        <v>#REF!</v>
      </c>
      <c r="EI329" t="e">
        <f>IF(#REF!,"AAAAAH9/poo=",0)</f>
        <v>#REF!</v>
      </c>
      <c r="EJ329" t="e">
        <f>IF(#REF!,"AAAAAH9/pos=",0)</f>
        <v>#REF!</v>
      </c>
      <c r="EK329" t="e">
        <f>IF(#REF!,"AAAAAH9/pow=",0)</f>
        <v>#REF!</v>
      </c>
      <c r="EL329" t="e">
        <f>IF(#REF!,"AAAAAH9/po0=",0)</f>
        <v>#REF!</v>
      </c>
      <c r="EM329" t="e">
        <f>IF(#REF!,"AAAAAH9/po4=",0)</f>
        <v>#REF!</v>
      </c>
      <c r="EN329" t="e">
        <f>IF(#REF!,"AAAAAH9/po8=",0)</f>
        <v>#REF!</v>
      </c>
      <c r="EO329" t="e">
        <f>IF(#REF!,"AAAAAH9/ppA=",0)</f>
        <v>#REF!</v>
      </c>
      <c r="EP329" t="e">
        <f>IF(#REF!,"AAAAAH9/ppE=",0)</f>
        <v>#REF!</v>
      </c>
      <c r="EQ329" t="e">
        <f>IF(#REF!,"AAAAAH9/ppI=",0)</f>
        <v>#REF!</v>
      </c>
      <c r="ER329" t="e">
        <f>IF(#REF!,"AAAAAH9/ppM=",0)</f>
        <v>#REF!</v>
      </c>
      <c r="ES329" t="e">
        <f>IF(#REF!,"AAAAAH9/ppQ=",0)</f>
        <v>#REF!</v>
      </c>
      <c r="ET329" t="e">
        <f>IF(#REF!,"AAAAAH9/ppU=",0)</f>
        <v>#REF!</v>
      </c>
      <c r="EU329" t="e">
        <f>IF(#REF!,"AAAAAH9/ppY=",0)</f>
        <v>#REF!</v>
      </c>
      <c r="EV329" t="e">
        <f>IF(#REF!,"AAAAAH9/ppc=",0)</f>
        <v>#REF!</v>
      </c>
      <c r="EW329" t="e">
        <f>IF(#REF!,"AAAAAH9/ppg=",0)</f>
        <v>#REF!</v>
      </c>
      <c r="EX329" t="e">
        <f>IF(#REF!,"AAAAAH9/ppk=",0)</f>
        <v>#REF!</v>
      </c>
      <c r="EY329" t="e">
        <f>IF(#REF!,"AAAAAH9/ppo=",0)</f>
        <v>#REF!</v>
      </c>
      <c r="EZ329" t="e">
        <f>IF(#REF!,"AAAAAH9/pps=",0)</f>
        <v>#REF!</v>
      </c>
      <c r="FA329" t="e">
        <f>IF(#REF!,"AAAAAH9/ppw=",0)</f>
        <v>#REF!</v>
      </c>
      <c r="FB329" t="e">
        <f>IF(#REF!,"AAAAAH9/pp0=",0)</f>
        <v>#REF!</v>
      </c>
      <c r="FC329" t="e">
        <f>IF(#REF!,"AAAAAH9/pp4=",0)</f>
        <v>#REF!</v>
      </c>
      <c r="FD329" t="e">
        <f>IF(#REF!,"AAAAAH9/pp8=",0)</f>
        <v>#REF!</v>
      </c>
      <c r="FE329" t="e">
        <f>IF(#REF!,"AAAAAH9/pqA=",0)</f>
        <v>#REF!</v>
      </c>
      <c r="FF329" t="e">
        <f>IF(#REF!,"AAAAAH9/pqE=",0)</f>
        <v>#REF!</v>
      </c>
      <c r="FG329" t="e">
        <f>IF(#REF!,"AAAAAH9/pqI=",0)</f>
        <v>#REF!</v>
      </c>
      <c r="FH329" t="e">
        <f>IF(#REF!,"AAAAAH9/pqM=",0)</f>
        <v>#REF!</v>
      </c>
      <c r="FI329" t="e">
        <f>IF(#REF!,"AAAAAH9/pqQ=",0)</f>
        <v>#REF!</v>
      </c>
      <c r="FJ329" t="e">
        <f>IF(#REF!,"AAAAAH9/pqU=",0)</f>
        <v>#REF!</v>
      </c>
      <c r="FK329" t="e">
        <f>IF(#REF!,"AAAAAH9/pqY=",0)</f>
        <v>#REF!</v>
      </c>
      <c r="FL329" t="e">
        <f>IF(#REF!,"AAAAAH9/pqc=",0)</f>
        <v>#REF!</v>
      </c>
      <c r="FM329" t="e">
        <f>IF(#REF!,"AAAAAH9/pqg=",0)</f>
        <v>#REF!</v>
      </c>
      <c r="FN329" t="e">
        <f>IF(#REF!,"AAAAAH9/pqk=",0)</f>
        <v>#REF!</v>
      </c>
      <c r="FO329" t="e">
        <f>IF(#REF!,"AAAAAH9/pqo=",0)</f>
        <v>#REF!</v>
      </c>
      <c r="FP329" t="e">
        <f>IF(#REF!,"AAAAAH9/pqs=",0)</f>
        <v>#REF!</v>
      </c>
      <c r="FQ329" t="e">
        <f>IF(#REF!,"AAAAAH9/pqw=",0)</f>
        <v>#REF!</v>
      </c>
      <c r="FR329" t="e">
        <f>IF(#REF!,"AAAAAH9/pq0=",0)</f>
        <v>#REF!</v>
      </c>
      <c r="FS329" t="e">
        <f>IF(#REF!,"AAAAAH9/pq4=",0)</f>
        <v>#REF!</v>
      </c>
      <c r="FT329" t="e">
        <f>IF(#REF!,"AAAAAH9/pq8=",0)</f>
        <v>#REF!</v>
      </c>
      <c r="FU329" t="e">
        <f>IF(#REF!,"AAAAAH9/prA=",0)</f>
        <v>#REF!</v>
      </c>
      <c r="FV329" t="e">
        <f>IF(#REF!,"AAAAAH9/prE=",0)</f>
        <v>#REF!</v>
      </c>
      <c r="FW329" t="e">
        <f>IF(#REF!,"AAAAAH9/prI=",0)</f>
        <v>#REF!</v>
      </c>
      <c r="FX329" t="e">
        <f>IF(#REF!,"AAAAAH9/prM=",0)</f>
        <v>#REF!</v>
      </c>
      <c r="FY329" t="e">
        <f>IF(#REF!,"AAAAAH9/prQ=",0)</f>
        <v>#REF!</v>
      </c>
      <c r="FZ329" t="e">
        <f>IF(#REF!,"AAAAAH9/prU=",0)</f>
        <v>#REF!</v>
      </c>
      <c r="GA329" t="e">
        <f>IF(#REF!,"AAAAAH9/prY=",0)</f>
        <v>#REF!</v>
      </c>
      <c r="GB329" t="e">
        <f>IF(#REF!,"AAAAAH9/prc=",0)</f>
        <v>#REF!</v>
      </c>
      <c r="GC329" t="e">
        <f>IF(#REF!,"AAAAAH9/prg=",0)</f>
        <v>#REF!</v>
      </c>
      <c r="GD329" t="e">
        <f>IF(#REF!,"AAAAAH9/prk=",0)</f>
        <v>#REF!</v>
      </c>
      <c r="GE329" t="e">
        <f>IF(#REF!,"AAAAAH9/pro=",0)</f>
        <v>#REF!</v>
      </c>
      <c r="GF329" t="e">
        <f>IF(#REF!,"AAAAAH9/prs=",0)</f>
        <v>#REF!</v>
      </c>
      <c r="GG329" t="e">
        <f>IF(#REF!,"AAAAAH9/prw=",0)</f>
        <v>#REF!</v>
      </c>
      <c r="GH329" t="e">
        <f>IF(#REF!,"AAAAAH9/pr0=",0)</f>
        <v>#REF!</v>
      </c>
      <c r="GI329" t="e">
        <f>IF(#REF!,"AAAAAH9/pr4=",0)</f>
        <v>#REF!</v>
      </c>
      <c r="GJ329" t="e">
        <f>IF(#REF!,"AAAAAH9/pr8=",0)</f>
        <v>#REF!</v>
      </c>
      <c r="GK329" t="e">
        <f>IF(#REF!,"AAAAAH9/psA=",0)</f>
        <v>#REF!</v>
      </c>
      <c r="GL329" t="e">
        <f>IF(#REF!,"AAAAAH9/psE=",0)</f>
        <v>#REF!</v>
      </c>
      <c r="GM329" t="e">
        <f>IF(#REF!,"AAAAAH9/psI=",0)</f>
        <v>#REF!</v>
      </c>
      <c r="GN329" t="e">
        <f>IF(#REF!,"AAAAAH9/psM=",0)</f>
        <v>#REF!</v>
      </c>
      <c r="GO329" t="e">
        <f>IF(#REF!,"AAAAAH9/psQ=",0)</f>
        <v>#REF!</v>
      </c>
      <c r="GP329" t="e">
        <f>IF(#REF!,"AAAAAH9/psU=",0)</f>
        <v>#REF!</v>
      </c>
      <c r="GQ329" t="e">
        <f>IF(#REF!,"AAAAAH9/psY=",0)</f>
        <v>#REF!</v>
      </c>
      <c r="GR329" t="e">
        <f>IF(#REF!,"AAAAAH9/psc=",0)</f>
        <v>#REF!</v>
      </c>
      <c r="GS329" t="e">
        <f>IF(#REF!,"AAAAAH9/psg=",0)</f>
        <v>#REF!</v>
      </c>
      <c r="GT329" t="e">
        <f>IF(#REF!,"AAAAAH9/psk=",0)</f>
        <v>#REF!</v>
      </c>
      <c r="GU329" t="e">
        <f>IF(#REF!,"AAAAAH9/pso=",0)</f>
        <v>#REF!</v>
      </c>
      <c r="GV329" t="e">
        <f>IF(#REF!,"AAAAAH9/pss=",0)</f>
        <v>#REF!</v>
      </c>
      <c r="GW329" t="e">
        <f>IF(#REF!,"AAAAAH9/psw=",0)</f>
        <v>#REF!</v>
      </c>
      <c r="GX329" t="e">
        <f>IF(#REF!,"AAAAAH9/ps0=",0)</f>
        <v>#REF!</v>
      </c>
      <c r="GY329" t="e">
        <f>IF(#REF!,"AAAAAH9/ps4=",0)</f>
        <v>#REF!</v>
      </c>
      <c r="GZ329" t="e">
        <f>IF(#REF!,"AAAAAH9/ps8=",0)</f>
        <v>#REF!</v>
      </c>
      <c r="HA329" t="e">
        <f>IF(#REF!,"AAAAAH9/ptA=",0)</f>
        <v>#REF!</v>
      </c>
      <c r="HB329" t="e">
        <f>IF(#REF!,"AAAAAH9/ptE=",0)</f>
        <v>#REF!</v>
      </c>
      <c r="HC329" t="e">
        <f>IF(#REF!,"AAAAAH9/ptI=",0)</f>
        <v>#REF!</v>
      </c>
      <c r="HD329" t="e">
        <f>IF(#REF!,"AAAAAH9/ptM=",0)</f>
        <v>#REF!</v>
      </c>
      <c r="HE329" t="e">
        <f>IF(#REF!,"AAAAAH9/ptQ=",0)</f>
        <v>#REF!</v>
      </c>
      <c r="HF329" t="e">
        <f>IF(#REF!,"AAAAAH9/ptU=",0)</f>
        <v>#REF!</v>
      </c>
      <c r="HG329" t="e">
        <f>IF(#REF!,"AAAAAH9/ptY=",0)</f>
        <v>#REF!</v>
      </c>
      <c r="HH329" t="e">
        <f>IF(#REF!,"AAAAAH9/ptc=",0)</f>
        <v>#REF!</v>
      </c>
      <c r="HI329" t="e">
        <f>IF(#REF!,"AAAAAH9/ptg=",0)</f>
        <v>#REF!</v>
      </c>
      <c r="HJ329" t="e">
        <f>IF(#REF!,"AAAAAH9/ptk=",0)</f>
        <v>#REF!</v>
      </c>
      <c r="HK329" t="e">
        <f>IF(#REF!,"AAAAAH9/pto=",0)</f>
        <v>#REF!</v>
      </c>
      <c r="HL329" t="e">
        <f>IF(#REF!,"AAAAAH9/pts=",0)</f>
        <v>#REF!</v>
      </c>
      <c r="HM329" t="e">
        <f>IF(#REF!,"AAAAAH9/ptw=",0)</f>
        <v>#REF!</v>
      </c>
      <c r="HN329" t="e">
        <f>IF(#REF!,"AAAAAH9/pt0=",0)</f>
        <v>#REF!</v>
      </c>
      <c r="HO329" t="e">
        <f>IF(#REF!,"AAAAAH9/pt4=",0)</f>
        <v>#REF!</v>
      </c>
      <c r="HP329" t="e">
        <f>IF(#REF!,"AAAAAH9/pt8=",0)</f>
        <v>#REF!</v>
      </c>
      <c r="HQ329" t="e">
        <f>IF(#REF!,"AAAAAH9/puA=",0)</f>
        <v>#REF!</v>
      </c>
      <c r="HR329" t="e">
        <f>IF(#REF!,"AAAAAH9/puE=",0)</f>
        <v>#REF!</v>
      </c>
      <c r="HS329" t="e">
        <f>IF(#REF!,"AAAAAH9/puI=",0)</f>
        <v>#REF!</v>
      </c>
      <c r="HT329" t="e">
        <f>IF(#REF!,"AAAAAH9/puM=",0)</f>
        <v>#REF!</v>
      </c>
      <c r="HU329" t="e">
        <f>IF(#REF!,"AAAAAH9/puQ=",0)</f>
        <v>#REF!</v>
      </c>
      <c r="HV329" t="e">
        <f>IF(#REF!,"AAAAAH9/puU=",0)</f>
        <v>#REF!</v>
      </c>
      <c r="HW329" t="e">
        <f>IF(#REF!,"AAAAAH9/puY=",0)</f>
        <v>#REF!</v>
      </c>
      <c r="HX329" t="e">
        <f>IF(#REF!,"AAAAAH9/puc=",0)</f>
        <v>#REF!</v>
      </c>
      <c r="HY329" t="e">
        <f>IF(#REF!,"AAAAAH9/pug=",0)</f>
        <v>#REF!</v>
      </c>
      <c r="HZ329" t="e">
        <f>IF(#REF!,"AAAAAH9/puk=",0)</f>
        <v>#REF!</v>
      </c>
      <c r="IA329" t="e">
        <f>IF(#REF!,"AAAAAH9/puo=",0)</f>
        <v>#REF!</v>
      </c>
      <c r="IB329" t="e">
        <f>IF(#REF!,"AAAAAH9/pus=",0)</f>
        <v>#REF!</v>
      </c>
      <c r="IC329" t="e">
        <f>IF(#REF!,"AAAAAH9/puw=",0)</f>
        <v>#REF!</v>
      </c>
      <c r="ID329" t="e">
        <f>IF(#REF!,"AAAAAH9/pu0=",0)</f>
        <v>#REF!</v>
      </c>
      <c r="IE329" t="e">
        <f>IF(#REF!,"AAAAAH9/pu4=",0)</f>
        <v>#REF!</v>
      </c>
      <c r="IF329" t="e">
        <f>IF(#REF!,"AAAAAH9/pu8=",0)</f>
        <v>#REF!</v>
      </c>
      <c r="IG329" t="e">
        <f>IF(#REF!,"AAAAAH9/pvA=",0)</f>
        <v>#REF!</v>
      </c>
      <c r="IH329" t="e">
        <f>IF(#REF!,"AAAAAH9/pvE=",0)</f>
        <v>#REF!</v>
      </c>
      <c r="II329" t="e">
        <f>IF(#REF!,"AAAAAH9/pvI=",0)</f>
        <v>#REF!</v>
      </c>
      <c r="IJ329" t="e">
        <f>IF(#REF!,"AAAAAH9/pvM=",0)</f>
        <v>#REF!</v>
      </c>
      <c r="IK329" t="e">
        <f>IF(#REF!,"AAAAAH9/pvQ=",0)</f>
        <v>#REF!</v>
      </c>
      <c r="IL329" t="e">
        <f>IF(#REF!,"AAAAAH9/pvU=",0)</f>
        <v>#REF!</v>
      </c>
      <c r="IM329" t="e">
        <f>IF(#REF!,"AAAAAH9/pvY=",0)</f>
        <v>#REF!</v>
      </c>
      <c r="IN329" t="e">
        <f>IF(#REF!,"AAAAAH9/pvc=",0)</f>
        <v>#REF!</v>
      </c>
      <c r="IO329" t="e">
        <f>IF(#REF!,"AAAAAH9/pvg=",0)</f>
        <v>#REF!</v>
      </c>
      <c r="IP329" t="e">
        <f>IF(#REF!,"AAAAAH9/pvk=",0)</f>
        <v>#REF!</v>
      </c>
      <c r="IQ329" t="e">
        <f>IF(#REF!,"AAAAAH9/pvo=",0)</f>
        <v>#REF!</v>
      </c>
      <c r="IR329" t="e">
        <f>IF(#REF!,"AAAAAH9/pvs=",0)</f>
        <v>#REF!</v>
      </c>
      <c r="IS329" t="e">
        <f>IF(#REF!,"AAAAAH9/pvw=",0)</f>
        <v>#REF!</v>
      </c>
      <c r="IT329" t="e">
        <f>IF(#REF!,"AAAAAH9/pv0=",0)</f>
        <v>#REF!</v>
      </c>
      <c r="IU329" t="e">
        <f>IF(#REF!,"AAAAAH9/pv4=",0)</f>
        <v>#REF!</v>
      </c>
      <c r="IV329" t="e">
        <f>IF(#REF!,"AAAAAH9/pv8=",0)</f>
        <v>#REF!</v>
      </c>
    </row>
    <row r="330" spans="1:256">
      <c r="A330" t="e">
        <f>IF(#REF!,"AAAAAHf9nwA=",0)</f>
        <v>#REF!</v>
      </c>
      <c r="B330" t="e">
        <f>IF(#REF!,"AAAAAHf9nwE=",0)</f>
        <v>#REF!</v>
      </c>
      <c r="C330" t="e">
        <f>IF(#REF!,"AAAAAHf9nwI=",0)</f>
        <v>#REF!</v>
      </c>
      <c r="D330" t="e">
        <f>IF(#REF!,"AAAAAHf9nwM=",0)</f>
        <v>#REF!</v>
      </c>
      <c r="E330" t="e">
        <f>IF(#REF!,"AAAAAHf9nwQ=",0)</f>
        <v>#REF!</v>
      </c>
      <c r="F330" t="e">
        <f>IF(#REF!,"AAAAAHf9nwU=",0)</f>
        <v>#REF!</v>
      </c>
      <c r="G330" t="e">
        <f>IF(#REF!,"AAAAAHf9nwY=",0)</f>
        <v>#REF!</v>
      </c>
      <c r="H330" t="e">
        <f>IF(#REF!,"AAAAAHf9nwc=",0)</f>
        <v>#REF!</v>
      </c>
      <c r="I330" t="e">
        <f>IF(#REF!,"AAAAAHf9nwg=",0)</f>
        <v>#REF!</v>
      </c>
      <c r="J330" t="e">
        <f>IF(#REF!,"AAAAAHf9nwk=",0)</f>
        <v>#REF!</v>
      </c>
      <c r="K330" t="e">
        <f>IF(#REF!,"AAAAAHf9nwo=",0)</f>
        <v>#REF!</v>
      </c>
      <c r="L330" t="e">
        <f>IF(#REF!,"AAAAAHf9nws=",0)</f>
        <v>#REF!</v>
      </c>
      <c r="M330" t="e">
        <f>IF(#REF!,"AAAAAHf9nww=",0)</f>
        <v>#REF!</v>
      </c>
      <c r="N330" t="e">
        <f>IF(#REF!,"AAAAAHf9nw0=",0)</f>
        <v>#REF!</v>
      </c>
      <c r="O330" t="e">
        <f>IF(#REF!,"AAAAAHf9nw4=",0)</f>
        <v>#REF!</v>
      </c>
      <c r="P330" t="e">
        <f>IF(#REF!,"AAAAAHf9nw8=",0)</f>
        <v>#REF!</v>
      </c>
      <c r="Q330" t="e">
        <f>IF(#REF!,"AAAAAHf9nxA=",0)</f>
        <v>#REF!</v>
      </c>
      <c r="R330" t="e">
        <f>IF(#REF!,"AAAAAHf9nxE=",0)</f>
        <v>#REF!</v>
      </c>
      <c r="S330" t="e">
        <f>IF(#REF!,"AAAAAHf9nxI=",0)</f>
        <v>#REF!</v>
      </c>
      <c r="T330" t="e">
        <f>IF(#REF!,"AAAAAHf9nxM=",0)</f>
        <v>#REF!</v>
      </c>
      <c r="U330" t="e">
        <f>IF(#REF!,"AAAAAHf9nxQ=",0)</f>
        <v>#REF!</v>
      </c>
      <c r="V330" t="e">
        <f>IF(#REF!,"AAAAAHf9nxU=",0)</f>
        <v>#REF!</v>
      </c>
      <c r="W330" t="e">
        <f>IF(#REF!,"AAAAAHf9nxY=",0)</f>
        <v>#REF!</v>
      </c>
      <c r="X330" t="e">
        <f>IF(#REF!,"AAAAAHf9nxc=",0)</f>
        <v>#REF!</v>
      </c>
      <c r="Y330" t="e">
        <f>IF(#REF!,"AAAAAHf9nxg=",0)</f>
        <v>#REF!</v>
      </c>
      <c r="Z330" t="e">
        <f>IF(#REF!,"AAAAAHf9nxk=",0)</f>
        <v>#REF!</v>
      </c>
      <c r="AA330" t="e">
        <f>IF(#REF!,"AAAAAHf9nxo=",0)</f>
        <v>#REF!</v>
      </c>
      <c r="AB330" t="e">
        <f>IF(#REF!,"AAAAAHf9nxs=",0)</f>
        <v>#REF!</v>
      </c>
      <c r="AC330" t="e">
        <f>IF(#REF!,"AAAAAHf9nxw=",0)</f>
        <v>#REF!</v>
      </c>
      <c r="AD330" t="e">
        <f>IF(#REF!,"AAAAAHf9nx0=",0)</f>
        <v>#REF!</v>
      </c>
      <c r="AE330" t="e">
        <f>IF(#REF!,"AAAAAHf9nx4=",0)</f>
        <v>#REF!</v>
      </c>
      <c r="AF330" t="e">
        <f>IF(#REF!,"AAAAAHf9nx8=",0)</f>
        <v>#REF!</v>
      </c>
      <c r="AG330" t="e">
        <f>IF(#REF!,"AAAAAHf9nyA=",0)</f>
        <v>#REF!</v>
      </c>
      <c r="AH330" t="e">
        <f>IF(#REF!,"AAAAAHf9nyE=",0)</f>
        <v>#REF!</v>
      </c>
      <c r="AI330" t="e">
        <f>IF(#REF!,"AAAAAHf9nyI=",0)</f>
        <v>#REF!</v>
      </c>
      <c r="AJ330" t="e">
        <f>IF(#REF!,"AAAAAHf9nyM=",0)</f>
        <v>#REF!</v>
      </c>
      <c r="AK330" t="e">
        <f>IF(#REF!,"AAAAAHf9nyQ=",0)</f>
        <v>#REF!</v>
      </c>
      <c r="AL330" t="e">
        <f>IF(#REF!,"AAAAAHf9nyU=",0)</f>
        <v>#REF!</v>
      </c>
      <c r="AM330" t="e">
        <f>IF(#REF!,"AAAAAHf9nyY=",0)</f>
        <v>#REF!</v>
      </c>
      <c r="AN330" t="e">
        <f>IF(#REF!,"AAAAAHf9nyc=",0)</f>
        <v>#REF!</v>
      </c>
      <c r="AO330" t="e">
        <f>IF(#REF!,"AAAAAHf9nyg=",0)</f>
        <v>#REF!</v>
      </c>
      <c r="AP330" t="e">
        <f>IF(#REF!,"AAAAAHf9nyk=",0)</f>
        <v>#REF!</v>
      </c>
      <c r="AQ330" t="e">
        <f>IF(#REF!,"AAAAAHf9nyo=",0)</f>
        <v>#REF!</v>
      </c>
      <c r="AR330" t="e">
        <f>IF(#REF!,"AAAAAHf9nys=",0)</f>
        <v>#REF!</v>
      </c>
      <c r="AS330" t="e">
        <f>IF(#REF!,"AAAAAHf9nyw=",0)</f>
        <v>#REF!</v>
      </c>
      <c r="AT330" t="e">
        <f>IF(#REF!,"AAAAAHf9ny0=",0)</f>
        <v>#REF!</v>
      </c>
      <c r="AU330" t="e">
        <f>IF(#REF!,"AAAAAHf9ny4=",0)</f>
        <v>#REF!</v>
      </c>
      <c r="AV330" t="e">
        <f>IF(#REF!,"AAAAAHf9ny8=",0)</f>
        <v>#REF!</v>
      </c>
      <c r="AW330" t="e">
        <f>IF(#REF!,"AAAAAHf9nzA=",0)</f>
        <v>#REF!</v>
      </c>
      <c r="AX330" t="e">
        <f>IF(#REF!,"AAAAAHf9nzE=",0)</f>
        <v>#REF!</v>
      </c>
      <c r="AY330" t="e">
        <f>IF(#REF!,"AAAAAHf9nzI=",0)</f>
        <v>#REF!</v>
      </c>
      <c r="AZ330" t="e">
        <f>IF(#REF!,"AAAAAHf9nzM=",0)</f>
        <v>#REF!</v>
      </c>
      <c r="BA330" t="e">
        <f>IF(#REF!,"AAAAAHf9nzQ=",0)</f>
        <v>#REF!</v>
      </c>
      <c r="BB330" t="e">
        <f>IF(#REF!,"AAAAAHf9nzU=",0)</f>
        <v>#REF!</v>
      </c>
      <c r="BC330" t="e">
        <f>IF(#REF!,"AAAAAHf9nzY=",0)</f>
        <v>#REF!</v>
      </c>
      <c r="BD330" t="e">
        <f>IF(#REF!,"AAAAAHf9nzc=",0)</f>
        <v>#REF!</v>
      </c>
      <c r="BE330" t="e">
        <f>IF(#REF!,"AAAAAHf9nzg=",0)</f>
        <v>#REF!</v>
      </c>
      <c r="BF330" t="e">
        <f>IF(#REF!,"AAAAAHf9nzk=",0)</f>
        <v>#REF!</v>
      </c>
      <c r="BG330" t="e">
        <f>IF(#REF!,"AAAAAHf9nzo=",0)</f>
        <v>#REF!</v>
      </c>
      <c r="BH330" t="e">
        <f>IF(#REF!,"AAAAAHf9nzs=",0)</f>
        <v>#REF!</v>
      </c>
      <c r="BI330" t="e">
        <f>IF(#REF!,"AAAAAHf9nzw=",0)</f>
        <v>#REF!</v>
      </c>
      <c r="BJ330" t="e">
        <f>IF(#REF!,"AAAAAHf9nz0=",0)</f>
        <v>#REF!</v>
      </c>
      <c r="BK330" t="e">
        <f>IF(#REF!,"AAAAAHf9nz4=",0)</f>
        <v>#REF!</v>
      </c>
      <c r="BL330" t="e">
        <f>IF(#REF!,"AAAAAHf9nz8=",0)</f>
        <v>#REF!</v>
      </c>
      <c r="BM330" t="e">
        <f>IF(#REF!,"AAAAAHf9n0A=",0)</f>
        <v>#REF!</v>
      </c>
      <c r="BN330" t="e">
        <f>IF(#REF!,"AAAAAHf9n0E=",0)</f>
        <v>#REF!</v>
      </c>
      <c r="BO330" t="e">
        <f>IF(#REF!,"AAAAAHf9n0I=",0)</f>
        <v>#REF!</v>
      </c>
      <c r="BP330" t="e">
        <f>IF(#REF!,"AAAAAHf9n0M=",0)</f>
        <v>#REF!</v>
      </c>
      <c r="BQ330" t="e">
        <f>IF(#REF!,"AAAAAHf9n0Q=",0)</f>
        <v>#REF!</v>
      </c>
      <c r="BR330" t="e">
        <f>IF(#REF!,"AAAAAHf9n0U=",0)</f>
        <v>#REF!</v>
      </c>
      <c r="BS330" t="e">
        <f>IF(#REF!,"AAAAAHf9n0Y=",0)</f>
        <v>#REF!</v>
      </c>
      <c r="BT330" t="e">
        <f>IF(#REF!,"AAAAAHf9n0c=",0)</f>
        <v>#REF!</v>
      </c>
      <c r="BU330" t="e">
        <f>IF(#REF!,"AAAAAHf9n0g=",0)</f>
        <v>#REF!</v>
      </c>
      <c r="BV330" t="e">
        <f>IF(#REF!,"AAAAAHf9n0k=",0)</f>
        <v>#REF!</v>
      </c>
      <c r="BW330" t="e">
        <f>IF(#REF!,"AAAAAHf9n0o=",0)</f>
        <v>#REF!</v>
      </c>
      <c r="BX330" t="e">
        <f>IF(#REF!,"AAAAAHf9n0s=",0)</f>
        <v>#REF!</v>
      </c>
      <c r="BY330" t="e">
        <f>IF(#REF!,"AAAAAHf9n0w=",0)</f>
        <v>#REF!</v>
      </c>
      <c r="BZ330" t="e">
        <f>IF(#REF!,"AAAAAHf9n00=",0)</f>
        <v>#REF!</v>
      </c>
      <c r="CA330" t="e">
        <f>IF(#REF!,"AAAAAHf9n04=",0)</f>
        <v>#REF!</v>
      </c>
      <c r="CB330" t="e">
        <f>IF(#REF!,"AAAAAHf9n08=",0)</f>
        <v>#REF!</v>
      </c>
      <c r="CC330" t="e">
        <f>IF(#REF!,"AAAAAHf9n1A=",0)</f>
        <v>#REF!</v>
      </c>
      <c r="CD330" t="e">
        <f>IF(#REF!,"AAAAAHf9n1E=",0)</f>
        <v>#REF!</v>
      </c>
      <c r="CE330" t="e">
        <f>IF(#REF!,"AAAAAHf9n1I=",0)</f>
        <v>#REF!</v>
      </c>
      <c r="CF330" t="e">
        <f>IF(#REF!,"AAAAAHf9n1M=",0)</f>
        <v>#REF!</v>
      </c>
      <c r="CG330" t="e">
        <f>IF(#REF!,"AAAAAHf9n1Q=",0)</f>
        <v>#REF!</v>
      </c>
      <c r="CH330" t="e">
        <f>IF(#REF!,"AAAAAHf9n1U=",0)</f>
        <v>#REF!</v>
      </c>
      <c r="CI330" t="e">
        <f>IF(#REF!,"AAAAAHf9n1Y=",0)</f>
        <v>#REF!</v>
      </c>
      <c r="CJ330" t="e">
        <f>IF(#REF!,"AAAAAHf9n1c=",0)</f>
        <v>#REF!</v>
      </c>
      <c r="CK330" t="e">
        <f>IF(#REF!,"AAAAAHf9n1g=",0)</f>
        <v>#REF!</v>
      </c>
      <c r="CL330" t="e">
        <f>IF(#REF!,"AAAAAHf9n1k=",0)</f>
        <v>#REF!</v>
      </c>
      <c r="CM330" t="e">
        <f>IF(#REF!,"AAAAAHf9n1o=",0)</f>
        <v>#REF!</v>
      </c>
      <c r="CN330" t="e">
        <f>IF(#REF!,"AAAAAHf9n1s=",0)</f>
        <v>#REF!</v>
      </c>
      <c r="CO330" t="e">
        <f>IF(#REF!,"AAAAAHf9n1w=",0)</f>
        <v>#REF!</v>
      </c>
      <c r="CP330" t="e">
        <f>IF(#REF!,"AAAAAHf9n10=",0)</f>
        <v>#REF!</v>
      </c>
      <c r="CQ330" t="e">
        <f>IF(#REF!,"AAAAAHf9n14=",0)</f>
        <v>#REF!</v>
      </c>
      <c r="CR330" t="e">
        <f>IF(#REF!,"AAAAAHf9n18=",0)</f>
        <v>#REF!</v>
      </c>
      <c r="CS330" t="e">
        <f>IF(#REF!,"AAAAAHf9n2A=",0)</f>
        <v>#REF!</v>
      </c>
      <c r="CT330" t="e">
        <f>IF(#REF!,"AAAAAHf9n2E=",0)</f>
        <v>#REF!</v>
      </c>
      <c r="CU330" t="e">
        <f>IF(#REF!,"AAAAAHf9n2I=",0)</f>
        <v>#REF!</v>
      </c>
      <c r="CV330" t="e">
        <f>IF(#REF!,"AAAAAHf9n2M=",0)</f>
        <v>#REF!</v>
      </c>
      <c r="CW330" t="e">
        <f>IF(#REF!,"AAAAAHf9n2Q=",0)</f>
        <v>#REF!</v>
      </c>
      <c r="CX330" t="e">
        <f>IF(#REF!,"AAAAAHf9n2U=",0)</f>
        <v>#REF!</v>
      </c>
      <c r="CY330" t="e">
        <f>IF(#REF!,"AAAAAHf9n2Y=",0)</f>
        <v>#REF!</v>
      </c>
      <c r="CZ330" t="e">
        <f>IF(#REF!,"AAAAAHf9n2c=",0)</f>
        <v>#REF!</v>
      </c>
      <c r="DA330" t="e">
        <f>IF(#REF!,"AAAAAHf9n2g=",0)</f>
        <v>#REF!</v>
      </c>
      <c r="DB330" t="e">
        <f>IF(#REF!,"AAAAAHf9n2k=",0)</f>
        <v>#REF!</v>
      </c>
      <c r="DC330" t="e">
        <f>IF(#REF!,"AAAAAHf9n2o=",0)</f>
        <v>#REF!</v>
      </c>
      <c r="DD330" t="e">
        <f>IF(#REF!,"AAAAAHf9n2s=",0)</f>
        <v>#REF!</v>
      </c>
      <c r="DE330" t="e">
        <f>IF(#REF!,"AAAAAHf9n2w=",0)</f>
        <v>#REF!</v>
      </c>
      <c r="DF330" t="e">
        <f>IF(#REF!,"AAAAAHf9n20=",0)</f>
        <v>#REF!</v>
      </c>
      <c r="DG330" t="e">
        <f>IF(#REF!,"AAAAAHf9n24=",0)</f>
        <v>#REF!</v>
      </c>
      <c r="DH330" t="e">
        <f>IF(#REF!,"AAAAAHf9n28=",0)</f>
        <v>#REF!</v>
      </c>
      <c r="DI330" t="e">
        <f>IF(#REF!,"AAAAAHf9n3A=",0)</f>
        <v>#REF!</v>
      </c>
      <c r="DJ330" t="e">
        <f>IF(#REF!,"AAAAAHf9n3E=",0)</f>
        <v>#REF!</v>
      </c>
      <c r="DK330" t="e">
        <f>IF(#REF!,"AAAAAHf9n3I=",0)</f>
        <v>#REF!</v>
      </c>
      <c r="DL330" t="e">
        <f>IF(#REF!,"AAAAAHf9n3M=",0)</f>
        <v>#REF!</v>
      </c>
      <c r="DM330" t="e">
        <f>IF(#REF!,"AAAAAHf9n3Q=",0)</f>
        <v>#REF!</v>
      </c>
      <c r="DN330" t="e">
        <f>IF(#REF!,"AAAAAHf9n3U=",0)</f>
        <v>#REF!</v>
      </c>
      <c r="DO330" t="e">
        <f>IF(#REF!,"AAAAAHf9n3Y=",0)</f>
        <v>#REF!</v>
      </c>
      <c r="DP330" t="e">
        <f>IF(#REF!,"AAAAAHf9n3c=",0)</f>
        <v>#REF!</v>
      </c>
      <c r="DQ330" t="e">
        <f>IF(#REF!,"AAAAAHf9n3g=",0)</f>
        <v>#REF!</v>
      </c>
      <c r="DR330" t="e">
        <f>IF(#REF!,"AAAAAHf9n3k=",0)</f>
        <v>#REF!</v>
      </c>
      <c r="DS330" t="e">
        <f>IF(#REF!,"AAAAAHf9n3o=",0)</f>
        <v>#REF!</v>
      </c>
      <c r="DT330" t="e">
        <f>IF(#REF!,"AAAAAHf9n3s=",0)</f>
        <v>#REF!</v>
      </c>
      <c r="DU330" t="e">
        <f>IF(#REF!,"AAAAAHf9n3w=",0)</f>
        <v>#REF!</v>
      </c>
      <c r="DV330" t="e">
        <f>IF(#REF!,"AAAAAHf9n30=",0)</f>
        <v>#REF!</v>
      </c>
      <c r="DW330" t="e">
        <f>IF(#REF!,"AAAAAHf9n34=",0)</f>
        <v>#REF!</v>
      </c>
      <c r="DX330" t="e">
        <f>IF(#REF!,"AAAAAHf9n38=",0)</f>
        <v>#REF!</v>
      </c>
      <c r="DY330" t="e">
        <f>IF(#REF!,"AAAAAHf9n4A=",0)</f>
        <v>#REF!</v>
      </c>
      <c r="DZ330" t="e">
        <f>IF(#REF!,"AAAAAHf9n4E=",0)</f>
        <v>#REF!</v>
      </c>
      <c r="EA330" t="e">
        <f>IF(#REF!,"AAAAAHf9n4I=",0)</f>
        <v>#REF!</v>
      </c>
      <c r="EB330" t="e">
        <f>IF(#REF!,"AAAAAHf9n4M=",0)</f>
        <v>#REF!</v>
      </c>
      <c r="EC330" t="e">
        <f>IF(#REF!,"AAAAAHf9n4Q=",0)</f>
        <v>#REF!</v>
      </c>
      <c r="ED330" t="e">
        <f>IF(#REF!,"AAAAAHf9n4U=",0)</f>
        <v>#REF!</v>
      </c>
      <c r="EE330" t="e">
        <f>IF(#REF!,"AAAAAHf9n4Y=",0)</f>
        <v>#REF!</v>
      </c>
      <c r="EF330" t="e">
        <f>IF(#REF!,"AAAAAHf9n4c=",0)</f>
        <v>#REF!</v>
      </c>
      <c r="EG330" t="e">
        <f>IF(#REF!,"AAAAAHf9n4g=",0)</f>
        <v>#REF!</v>
      </c>
      <c r="EH330" t="e">
        <f>IF(#REF!,"AAAAAHf9n4k=",0)</f>
        <v>#REF!</v>
      </c>
      <c r="EI330" t="e">
        <f>IF(#REF!,"AAAAAHf9n4o=",0)</f>
        <v>#REF!</v>
      </c>
      <c r="EJ330" t="e">
        <f>IF(#REF!,"AAAAAHf9n4s=",0)</f>
        <v>#REF!</v>
      </c>
      <c r="EK330" t="e">
        <f>IF(#REF!,"AAAAAHf9n4w=",0)</f>
        <v>#REF!</v>
      </c>
      <c r="EL330" t="e">
        <f>IF(#REF!,"AAAAAHf9n40=",0)</f>
        <v>#REF!</v>
      </c>
      <c r="EM330" t="e">
        <f>IF(#REF!,"AAAAAHf9n44=",0)</f>
        <v>#REF!</v>
      </c>
      <c r="EN330" t="e">
        <f>IF(#REF!,"AAAAAHf9n48=",0)</f>
        <v>#REF!</v>
      </c>
      <c r="EO330" t="e">
        <f>IF(#REF!,"AAAAAHf9n5A=",0)</f>
        <v>#REF!</v>
      </c>
      <c r="EP330" t="e">
        <f>IF(#REF!,"AAAAAHf9n5E=",0)</f>
        <v>#REF!</v>
      </c>
      <c r="EQ330" t="e">
        <f>IF(#REF!,"AAAAAHf9n5I=",0)</f>
        <v>#REF!</v>
      </c>
      <c r="ER330" t="e">
        <f>IF(#REF!,"AAAAAHf9n5M=",0)</f>
        <v>#REF!</v>
      </c>
      <c r="ES330" t="e">
        <f>IF(#REF!,"AAAAAHf9n5Q=",0)</f>
        <v>#REF!</v>
      </c>
      <c r="ET330" t="e">
        <f>IF(#REF!,"AAAAAHf9n5U=",0)</f>
        <v>#REF!</v>
      </c>
      <c r="EU330" t="e">
        <f>IF(#REF!,"AAAAAHf9n5Y=",0)</f>
        <v>#REF!</v>
      </c>
      <c r="EV330" t="e">
        <f>IF(#REF!,"AAAAAHf9n5c=",0)</f>
        <v>#REF!</v>
      </c>
      <c r="EW330" t="e">
        <f>IF(#REF!,"AAAAAHf9n5g=",0)</f>
        <v>#REF!</v>
      </c>
      <c r="EX330" t="e">
        <f>IF(#REF!,"AAAAAHf9n5k=",0)</f>
        <v>#REF!</v>
      </c>
      <c r="EY330" t="e">
        <f>IF(#REF!,"AAAAAHf9n5o=",0)</f>
        <v>#REF!</v>
      </c>
      <c r="EZ330" t="e">
        <f>IF(#REF!,"AAAAAHf9n5s=",0)</f>
        <v>#REF!</v>
      </c>
      <c r="FA330" t="e">
        <f>IF(#REF!,"AAAAAHf9n5w=",0)</f>
        <v>#REF!</v>
      </c>
      <c r="FB330" t="e">
        <f>IF(#REF!,"AAAAAHf9n50=",0)</f>
        <v>#REF!</v>
      </c>
      <c r="FC330" t="e">
        <f>IF(#REF!,"AAAAAHf9n54=",0)</f>
        <v>#REF!</v>
      </c>
      <c r="FD330" t="e">
        <f>IF(#REF!,"AAAAAHf9n58=",0)</f>
        <v>#REF!</v>
      </c>
      <c r="FE330" t="e">
        <f>IF(#REF!,"AAAAAHf9n6A=",0)</f>
        <v>#REF!</v>
      </c>
      <c r="FF330" t="e">
        <f>IF(#REF!,"AAAAAHf9n6E=",0)</f>
        <v>#REF!</v>
      </c>
      <c r="FG330" t="e">
        <f>IF(#REF!,"AAAAAHf9n6I=",0)</f>
        <v>#REF!</v>
      </c>
      <c r="FH330" t="e">
        <f>IF(#REF!,"AAAAAHf9n6M=",0)</f>
        <v>#REF!</v>
      </c>
      <c r="FI330" t="e">
        <f>IF(#REF!,"AAAAAHf9n6Q=",0)</f>
        <v>#REF!</v>
      </c>
      <c r="FJ330" t="e">
        <f>IF(#REF!,"AAAAAHf9n6U=",0)</f>
        <v>#REF!</v>
      </c>
      <c r="FK330" t="e">
        <f>IF(#REF!,"AAAAAHf9n6Y=",0)</f>
        <v>#REF!</v>
      </c>
      <c r="FL330" t="e">
        <f>IF(#REF!,"AAAAAHf9n6c=",0)</f>
        <v>#REF!</v>
      </c>
      <c r="FM330" t="e">
        <f>IF(#REF!,"AAAAAHf9n6g=",0)</f>
        <v>#REF!</v>
      </c>
      <c r="FN330" t="e">
        <f>IF(#REF!,"AAAAAHf9n6k=",0)</f>
        <v>#REF!</v>
      </c>
      <c r="FO330" t="e">
        <f>IF(#REF!,"AAAAAHf9n6o=",0)</f>
        <v>#REF!</v>
      </c>
      <c r="FP330" t="e">
        <f>IF(#REF!,"AAAAAHf9n6s=",0)</f>
        <v>#REF!</v>
      </c>
      <c r="FQ330" t="e">
        <f>IF(#REF!,"AAAAAHf9n6w=",0)</f>
        <v>#REF!</v>
      </c>
      <c r="FR330" t="e">
        <f>IF(#REF!,"AAAAAHf9n60=",0)</f>
        <v>#REF!</v>
      </c>
      <c r="FS330" t="e">
        <f>IF(#REF!,"AAAAAHf9n64=",0)</f>
        <v>#REF!</v>
      </c>
      <c r="FT330" t="e">
        <f>IF(#REF!,"AAAAAHf9n68=",0)</f>
        <v>#REF!</v>
      </c>
      <c r="FU330" t="e">
        <f>IF(#REF!,"AAAAAHf9n7A=",0)</f>
        <v>#REF!</v>
      </c>
      <c r="FV330" t="e">
        <f>IF(#REF!,"AAAAAHf9n7E=",0)</f>
        <v>#REF!</v>
      </c>
      <c r="FW330" t="e">
        <f>IF(#REF!,"AAAAAHf9n7I=",0)</f>
        <v>#REF!</v>
      </c>
      <c r="FX330" t="e">
        <f>IF(#REF!,"AAAAAHf9n7M=",0)</f>
        <v>#REF!</v>
      </c>
      <c r="FY330" t="e">
        <f>IF(#REF!,"AAAAAHf9n7Q=",0)</f>
        <v>#REF!</v>
      </c>
      <c r="FZ330" t="e">
        <f>IF(#REF!,"AAAAAHf9n7U=",0)</f>
        <v>#REF!</v>
      </c>
      <c r="GA330" t="e">
        <f>IF(#REF!,"AAAAAHf9n7Y=",0)</f>
        <v>#REF!</v>
      </c>
      <c r="GB330" t="e">
        <f>IF(#REF!,"AAAAAHf9n7c=",0)</f>
        <v>#REF!</v>
      </c>
      <c r="GC330" t="e">
        <f>IF(#REF!,"AAAAAHf9n7g=",0)</f>
        <v>#REF!</v>
      </c>
      <c r="GD330" t="e">
        <f>IF(#REF!,"AAAAAHf9n7k=",0)</f>
        <v>#REF!</v>
      </c>
      <c r="GE330" t="e">
        <f>IF(#REF!,"AAAAAHf9n7o=",0)</f>
        <v>#REF!</v>
      </c>
      <c r="GF330" t="e">
        <f>IF(#REF!,"AAAAAHf9n7s=",0)</f>
        <v>#REF!</v>
      </c>
      <c r="GG330" t="e">
        <f>IF(#REF!,"AAAAAHf9n7w=",0)</f>
        <v>#REF!</v>
      </c>
      <c r="GH330" t="e">
        <f>IF(#REF!,"AAAAAHf9n70=",0)</f>
        <v>#REF!</v>
      </c>
      <c r="GI330" t="e">
        <f>IF(#REF!,"AAAAAHf9n74=",0)</f>
        <v>#REF!</v>
      </c>
      <c r="GJ330" t="e">
        <f>IF(#REF!,"AAAAAHf9n78=",0)</f>
        <v>#REF!</v>
      </c>
      <c r="GK330" t="e">
        <f>IF(#REF!,"AAAAAHf9n8A=",0)</f>
        <v>#REF!</v>
      </c>
      <c r="GL330" t="e">
        <f>IF(#REF!,"AAAAAHf9n8E=",0)</f>
        <v>#REF!</v>
      </c>
      <c r="GM330" t="e">
        <f>IF(#REF!,"AAAAAHf9n8I=",0)</f>
        <v>#REF!</v>
      </c>
      <c r="GN330" t="e">
        <f>IF(#REF!,"AAAAAHf9n8M=",0)</f>
        <v>#REF!</v>
      </c>
      <c r="GO330" t="e">
        <f>IF(#REF!,"AAAAAHf9n8Q=",0)</f>
        <v>#REF!</v>
      </c>
      <c r="GP330" t="e">
        <f>IF(#REF!,"AAAAAHf9n8U=",0)</f>
        <v>#REF!</v>
      </c>
      <c r="GQ330" t="e">
        <f>IF(#REF!,"AAAAAHf9n8Y=",0)</f>
        <v>#REF!</v>
      </c>
      <c r="GR330" t="e">
        <f>IF(#REF!,"AAAAAHf9n8c=",0)</f>
        <v>#REF!</v>
      </c>
      <c r="GS330" t="e">
        <f>IF(#REF!,"AAAAAHf9n8g=",0)</f>
        <v>#REF!</v>
      </c>
      <c r="GT330" t="e">
        <f>IF(#REF!,"AAAAAHf9n8k=",0)</f>
        <v>#REF!</v>
      </c>
      <c r="GU330" t="e">
        <f>IF(#REF!,"AAAAAHf9n8o=",0)</f>
        <v>#REF!</v>
      </c>
      <c r="GV330" t="e">
        <f>IF(#REF!,"AAAAAHf9n8s=",0)</f>
        <v>#REF!</v>
      </c>
      <c r="GW330" t="e">
        <f>IF(#REF!,"AAAAAHf9n8w=",0)</f>
        <v>#REF!</v>
      </c>
      <c r="GX330" t="e">
        <f>IF(#REF!,"AAAAAHf9n80=",0)</f>
        <v>#REF!</v>
      </c>
      <c r="GY330" t="e">
        <f>IF(#REF!,"AAAAAHf9n84=",0)</f>
        <v>#REF!</v>
      </c>
      <c r="GZ330" t="e">
        <f>IF(#REF!,"AAAAAHf9n88=",0)</f>
        <v>#REF!</v>
      </c>
      <c r="HA330" t="e">
        <f>IF(#REF!,"AAAAAHf9n9A=",0)</f>
        <v>#REF!</v>
      </c>
      <c r="HB330" t="e">
        <f>IF(#REF!,"AAAAAHf9n9E=",0)</f>
        <v>#REF!</v>
      </c>
      <c r="HC330" t="e">
        <f>IF(#REF!,"AAAAAHf9n9I=",0)</f>
        <v>#REF!</v>
      </c>
      <c r="HD330" t="e">
        <f>IF(#REF!,"AAAAAHf9n9M=",0)</f>
        <v>#REF!</v>
      </c>
      <c r="HE330" t="e">
        <f>IF(#REF!,"AAAAAHf9n9Q=",0)</f>
        <v>#REF!</v>
      </c>
      <c r="HF330" t="e">
        <f>IF(#REF!,"AAAAAHf9n9U=",0)</f>
        <v>#REF!</v>
      </c>
      <c r="HG330" t="e">
        <f>IF(#REF!,"AAAAAHf9n9Y=",0)</f>
        <v>#REF!</v>
      </c>
      <c r="HH330" t="e">
        <f>IF(#REF!,"AAAAAHf9n9c=",0)</f>
        <v>#REF!</v>
      </c>
      <c r="HI330" t="e">
        <f>IF(#REF!,"AAAAAHf9n9g=",0)</f>
        <v>#REF!</v>
      </c>
      <c r="HJ330" t="e">
        <f>IF(#REF!,"AAAAAHf9n9k=",0)</f>
        <v>#REF!</v>
      </c>
      <c r="HK330" t="e">
        <f>IF(#REF!,"AAAAAHf9n9o=",0)</f>
        <v>#REF!</v>
      </c>
      <c r="HL330" t="e">
        <f>IF(#REF!,"AAAAAHf9n9s=",0)</f>
        <v>#REF!</v>
      </c>
      <c r="HM330" t="e">
        <f>IF(#REF!,"AAAAAHf9n9w=",0)</f>
        <v>#REF!</v>
      </c>
      <c r="HN330" t="e">
        <f>IF(#REF!,"AAAAAHf9n90=",0)</f>
        <v>#REF!</v>
      </c>
      <c r="HO330" t="e">
        <f>IF(#REF!,"AAAAAHf9n94=",0)</f>
        <v>#REF!</v>
      </c>
      <c r="HP330" t="e">
        <f>IF(#REF!,"AAAAAHf9n98=",0)</f>
        <v>#REF!</v>
      </c>
      <c r="HQ330" t="e">
        <f>IF(#REF!,"AAAAAHf9n+A=",0)</f>
        <v>#REF!</v>
      </c>
      <c r="HR330" t="e">
        <f>IF(#REF!,"AAAAAHf9n+E=",0)</f>
        <v>#REF!</v>
      </c>
      <c r="HS330" t="e">
        <f>IF(#REF!,"AAAAAHf9n+I=",0)</f>
        <v>#REF!</v>
      </c>
      <c r="HT330" t="e">
        <f>IF(#REF!,"AAAAAHf9n+M=",0)</f>
        <v>#REF!</v>
      </c>
      <c r="HU330" t="e">
        <f>IF(#REF!,"AAAAAHf9n+Q=",0)</f>
        <v>#REF!</v>
      </c>
      <c r="HV330" t="e">
        <f>IF(#REF!,"AAAAAHf9n+U=",0)</f>
        <v>#REF!</v>
      </c>
      <c r="HW330" t="e">
        <f>IF(#REF!,"AAAAAHf9n+Y=",0)</f>
        <v>#REF!</v>
      </c>
      <c r="HX330" t="e">
        <f>IF(#REF!,"AAAAAHf9n+c=",0)</f>
        <v>#REF!</v>
      </c>
      <c r="HY330" t="e">
        <f>IF(#REF!,"AAAAAHf9n+g=",0)</f>
        <v>#REF!</v>
      </c>
      <c r="HZ330" t="e">
        <f>IF(#REF!,"AAAAAHf9n+k=",0)</f>
        <v>#REF!</v>
      </c>
      <c r="IA330" t="e">
        <f>IF(#REF!,"AAAAAHf9n+o=",0)</f>
        <v>#REF!</v>
      </c>
      <c r="IB330" t="e">
        <f>IF(#REF!,"AAAAAHf9n+s=",0)</f>
        <v>#REF!</v>
      </c>
      <c r="IC330" t="e">
        <f>IF(#REF!,"AAAAAHf9n+w=",0)</f>
        <v>#REF!</v>
      </c>
      <c r="ID330" t="e">
        <f>IF(#REF!,"AAAAAHf9n+0=",0)</f>
        <v>#REF!</v>
      </c>
      <c r="IE330" t="e">
        <f>IF(#REF!,"AAAAAHf9n+4=",0)</f>
        <v>#REF!</v>
      </c>
      <c r="IF330" t="e">
        <f>IF(#REF!,"AAAAAHf9n+8=",0)</f>
        <v>#REF!</v>
      </c>
      <c r="IG330" t="e">
        <f>IF(#REF!,"AAAAAHf9n/A=",0)</f>
        <v>#REF!</v>
      </c>
      <c r="IH330" t="e">
        <f>IF(#REF!,"AAAAAHf9n/E=",0)</f>
        <v>#REF!</v>
      </c>
      <c r="II330" t="e">
        <f>IF(#REF!,"AAAAAHf9n/I=",0)</f>
        <v>#REF!</v>
      </c>
      <c r="IJ330" t="e">
        <f>IF(#REF!,"AAAAAHf9n/M=",0)</f>
        <v>#REF!</v>
      </c>
      <c r="IK330" t="e">
        <f>IF(#REF!,"AAAAAHf9n/Q=",0)</f>
        <v>#REF!</v>
      </c>
      <c r="IL330" t="e">
        <f>IF(#REF!,"AAAAAHf9n/U=",0)</f>
        <v>#REF!</v>
      </c>
      <c r="IM330" t="e">
        <f>IF(#REF!,"AAAAAHf9n/Y=",0)</f>
        <v>#REF!</v>
      </c>
      <c r="IN330" t="e">
        <f>IF(#REF!,"AAAAAHf9n/c=",0)</f>
        <v>#REF!</v>
      </c>
      <c r="IO330" t="e">
        <f>IF(#REF!,"AAAAAHf9n/g=",0)</f>
        <v>#REF!</v>
      </c>
      <c r="IP330" t="e">
        <f>IF(#REF!,"AAAAAHf9n/k=",0)</f>
        <v>#REF!</v>
      </c>
      <c r="IQ330" t="e">
        <f>IF(#REF!,"AAAAAHf9n/o=",0)</f>
        <v>#REF!</v>
      </c>
      <c r="IR330" t="e">
        <f>IF(#REF!,"AAAAAHf9n/s=",0)</f>
        <v>#REF!</v>
      </c>
      <c r="IS330" t="e">
        <f>IF(#REF!,"AAAAAHf9n/w=",0)</f>
        <v>#REF!</v>
      </c>
      <c r="IT330" t="e">
        <f>IF(#REF!,"AAAAAHf9n/0=",0)</f>
        <v>#REF!</v>
      </c>
      <c r="IU330" t="e">
        <f>IF(#REF!,"AAAAAHf9n/4=",0)</f>
        <v>#REF!</v>
      </c>
      <c r="IV330" t="e">
        <f>IF(#REF!,"AAAAAHf9n/8=",0)</f>
        <v>#REF!</v>
      </c>
    </row>
    <row r="331" spans="1:256">
      <c r="A331" t="e">
        <f>IF(#REF!,"AAAAAD/zOgA=",0)</f>
        <v>#REF!</v>
      </c>
      <c r="B331" t="e">
        <f>IF(#REF!,"AAAAAD/zOgE=",0)</f>
        <v>#REF!</v>
      </c>
      <c r="C331" t="e">
        <f>IF(#REF!,"AAAAAD/zOgI=",0)</f>
        <v>#REF!</v>
      </c>
      <c r="D331" t="e">
        <f>IF(#REF!,"AAAAAD/zOgM=",0)</f>
        <v>#REF!</v>
      </c>
      <c r="E331" t="e">
        <f>IF(#REF!,"AAAAAD/zOgQ=",0)</f>
        <v>#REF!</v>
      </c>
      <c r="F331" t="e">
        <f>IF(#REF!,"AAAAAD/zOgU=",0)</f>
        <v>#REF!</v>
      </c>
      <c r="G331" t="e">
        <f>IF(#REF!,"AAAAAD/zOgY=",0)</f>
        <v>#REF!</v>
      </c>
      <c r="H331" t="e">
        <f>IF(#REF!,"AAAAAD/zOgc=",0)</f>
        <v>#REF!</v>
      </c>
      <c r="I331" t="e">
        <f>IF(#REF!,"AAAAAD/zOgg=",0)</f>
        <v>#REF!</v>
      </c>
      <c r="J331" t="e">
        <f>IF(#REF!,"AAAAAD/zOgk=",0)</f>
        <v>#REF!</v>
      </c>
      <c r="K331" t="e">
        <f>IF(#REF!,"AAAAAD/zOgo=",0)</f>
        <v>#REF!</v>
      </c>
      <c r="L331" t="e">
        <f>IF(#REF!,"AAAAAD/zOgs=",0)</f>
        <v>#REF!</v>
      </c>
      <c r="M331" t="e">
        <f>IF(#REF!,"AAAAAD/zOgw=",0)</f>
        <v>#REF!</v>
      </c>
      <c r="N331" t="e">
        <f>IF(#REF!,"AAAAAD/zOg0=",0)</f>
        <v>#REF!</v>
      </c>
      <c r="O331" t="e">
        <f>IF(#REF!,"AAAAAD/zOg4=",0)</f>
        <v>#REF!</v>
      </c>
      <c r="P331" t="e">
        <f>IF(#REF!,"AAAAAD/zOg8=",0)</f>
        <v>#REF!</v>
      </c>
      <c r="Q331" t="e">
        <f>IF(#REF!,"AAAAAD/zOhA=",0)</f>
        <v>#REF!</v>
      </c>
      <c r="R331" t="e">
        <f>IF(#REF!,"AAAAAD/zOhE=",0)</f>
        <v>#REF!</v>
      </c>
      <c r="S331" t="e">
        <f>IF(#REF!,"AAAAAD/zOhI=",0)</f>
        <v>#REF!</v>
      </c>
      <c r="T331" t="e">
        <f>IF(#REF!,"AAAAAD/zOhM=",0)</f>
        <v>#REF!</v>
      </c>
      <c r="U331" t="e">
        <f>IF(#REF!,"AAAAAD/zOhQ=",0)</f>
        <v>#REF!</v>
      </c>
      <c r="V331" t="e">
        <f>IF(#REF!,"AAAAAD/zOhU=",0)</f>
        <v>#REF!</v>
      </c>
      <c r="W331" t="e">
        <f>IF(#REF!,"AAAAAD/zOhY=",0)</f>
        <v>#REF!</v>
      </c>
      <c r="X331" t="e">
        <f>IF(#REF!,"AAAAAD/zOhc=",0)</f>
        <v>#REF!</v>
      </c>
      <c r="Y331" t="e">
        <f>IF(#REF!,"AAAAAD/zOhg=",0)</f>
        <v>#REF!</v>
      </c>
      <c r="Z331" t="e">
        <f>IF(#REF!,"AAAAAD/zOhk=",0)</f>
        <v>#REF!</v>
      </c>
      <c r="AA331" t="e">
        <f>IF(#REF!,"AAAAAD/zOho=",0)</f>
        <v>#REF!</v>
      </c>
      <c r="AB331" t="e">
        <f>IF(#REF!,"AAAAAD/zOhs=",0)</f>
        <v>#REF!</v>
      </c>
      <c r="AC331" t="e">
        <f>IF(#REF!,"AAAAAD/zOhw=",0)</f>
        <v>#REF!</v>
      </c>
      <c r="AD331" t="e">
        <f>IF(#REF!,"AAAAAD/zOh0=",0)</f>
        <v>#REF!</v>
      </c>
      <c r="AE331" t="e">
        <f>IF(#REF!,"AAAAAD/zOh4=",0)</f>
        <v>#REF!</v>
      </c>
      <c r="AF331" t="e">
        <f>IF(#REF!,"AAAAAD/zOh8=",0)</f>
        <v>#REF!</v>
      </c>
      <c r="AG331" t="e">
        <f>IF(#REF!,"AAAAAD/zOiA=",0)</f>
        <v>#REF!</v>
      </c>
      <c r="AH331" t="e">
        <f>IF(#REF!,"AAAAAD/zOiE=",0)</f>
        <v>#REF!</v>
      </c>
      <c r="AI331" t="e">
        <f>IF(#REF!,"AAAAAD/zOiI=",0)</f>
        <v>#REF!</v>
      </c>
      <c r="AJ331" t="e">
        <f>IF(#REF!,"AAAAAD/zOiM=",0)</f>
        <v>#REF!</v>
      </c>
      <c r="AK331" t="e">
        <f>IF(#REF!,"AAAAAD/zOiQ=",0)</f>
        <v>#REF!</v>
      </c>
      <c r="AL331" t="e">
        <f>IF(#REF!,"AAAAAD/zOiU=",0)</f>
        <v>#REF!</v>
      </c>
      <c r="AM331" t="e">
        <f>IF(#REF!,"AAAAAD/zOiY=",0)</f>
        <v>#REF!</v>
      </c>
      <c r="AN331" t="e">
        <f>IF(#REF!,"AAAAAD/zOic=",0)</f>
        <v>#REF!</v>
      </c>
      <c r="AO331" t="e">
        <f>IF(#REF!,"AAAAAD/zOig=",0)</f>
        <v>#REF!</v>
      </c>
      <c r="AP331" t="e">
        <f>IF(#REF!,"AAAAAD/zOik=",0)</f>
        <v>#REF!</v>
      </c>
      <c r="AQ331" t="e">
        <f>IF(#REF!,"AAAAAD/zOio=",0)</f>
        <v>#REF!</v>
      </c>
      <c r="AR331" t="e">
        <f>IF(#REF!,"AAAAAD/zOis=",0)</f>
        <v>#REF!</v>
      </c>
      <c r="AS331" t="e">
        <f>IF(#REF!,"AAAAAD/zOiw=",0)</f>
        <v>#REF!</v>
      </c>
      <c r="AT331" t="e">
        <f>IF(#REF!,"AAAAAD/zOi0=",0)</f>
        <v>#REF!</v>
      </c>
      <c r="AU331" t="e">
        <f>IF(#REF!,"AAAAAD/zOi4=",0)</f>
        <v>#REF!</v>
      </c>
      <c r="AV331" t="e">
        <f>IF(#REF!,"AAAAAD/zOi8=",0)</f>
        <v>#REF!</v>
      </c>
      <c r="AW331" t="e">
        <f>IF(#REF!,"AAAAAD/zOjA=",0)</f>
        <v>#REF!</v>
      </c>
      <c r="AX331" t="e">
        <f>IF(#REF!,"AAAAAD/zOjE=",0)</f>
        <v>#REF!</v>
      </c>
      <c r="AY331" t="e">
        <f>IF(#REF!,"AAAAAD/zOjI=",0)</f>
        <v>#REF!</v>
      </c>
      <c r="AZ331" t="e">
        <f>IF(#REF!,"AAAAAD/zOjM=",0)</f>
        <v>#REF!</v>
      </c>
      <c r="BA331" t="e">
        <f>IF(#REF!,"AAAAAD/zOjQ=",0)</f>
        <v>#REF!</v>
      </c>
      <c r="BB331" t="e">
        <f>IF(#REF!,"AAAAAD/zOjU=",0)</f>
        <v>#REF!</v>
      </c>
      <c r="BC331" t="e">
        <f>IF(#REF!,"AAAAAD/zOjY=",0)</f>
        <v>#REF!</v>
      </c>
      <c r="BD331" t="e">
        <f>IF(#REF!,"AAAAAD/zOjc=",0)</f>
        <v>#REF!</v>
      </c>
      <c r="BE331" t="e">
        <f>IF(#REF!,"AAAAAD/zOjg=",0)</f>
        <v>#REF!</v>
      </c>
      <c r="BF331" t="e">
        <f>IF(#REF!,"AAAAAD/zOjk=",0)</f>
        <v>#REF!</v>
      </c>
      <c r="BG331" t="e">
        <f>IF(#REF!,"AAAAAD/zOjo=",0)</f>
        <v>#REF!</v>
      </c>
      <c r="BH331" t="e">
        <f>IF(#REF!,"AAAAAD/zOjs=",0)</f>
        <v>#REF!</v>
      </c>
      <c r="BI331" t="e">
        <f>IF(#REF!,"AAAAAD/zOjw=",0)</f>
        <v>#REF!</v>
      </c>
      <c r="BJ331" t="e">
        <f>IF(#REF!,"AAAAAD/zOj0=",0)</f>
        <v>#REF!</v>
      </c>
      <c r="BK331" t="e">
        <f>IF(#REF!,"AAAAAD/zOj4=",0)</f>
        <v>#REF!</v>
      </c>
      <c r="BL331" t="e">
        <f>IF(#REF!,"AAAAAD/zOj8=",0)</f>
        <v>#REF!</v>
      </c>
      <c r="BM331" t="e">
        <f>IF(#REF!,"AAAAAD/zOkA=",0)</f>
        <v>#REF!</v>
      </c>
      <c r="BN331" t="e">
        <f>IF(#REF!,"AAAAAD/zOkE=",0)</f>
        <v>#REF!</v>
      </c>
      <c r="BO331" t="e">
        <f>IF(#REF!,"AAAAAD/zOkI=",0)</f>
        <v>#REF!</v>
      </c>
      <c r="BP331" t="e">
        <f>IF(#REF!,"AAAAAD/zOkM=",0)</f>
        <v>#REF!</v>
      </c>
      <c r="BQ331" t="e">
        <f>IF(#REF!,"AAAAAD/zOkQ=",0)</f>
        <v>#REF!</v>
      </c>
      <c r="BR331" t="e">
        <f>IF(#REF!,"AAAAAD/zOkU=",0)</f>
        <v>#REF!</v>
      </c>
      <c r="BS331" t="e">
        <f>IF(#REF!,"AAAAAD/zOkY=",0)</f>
        <v>#REF!</v>
      </c>
      <c r="BT331" t="e">
        <f>IF(#REF!,"AAAAAD/zOkc=",0)</f>
        <v>#REF!</v>
      </c>
      <c r="BU331" t="e">
        <f>IF(#REF!,"AAAAAD/zOkg=",0)</f>
        <v>#REF!</v>
      </c>
      <c r="BV331" t="e">
        <f>IF(#REF!,"AAAAAD/zOkk=",0)</f>
        <v>#REF!</v>
      </c>
      <c r="BW331" t="e">
        <f>IF(#REF!,"AAAAAD/zOko=",0)</f>
        <v>#REF!</v>
      </c>
      <c r="BX331" t="e">
        <f>IF(#REF!,"AAAAAD/zOks=",0)</f>
        <v>#REF!</v>
      </c>
      <c r="BY331" t="e">
        <f>IF(#REF!,"AAAAAD/zOkw=",0)</f>
        <v>#REF!</v>
      </c>
      <c r="BZ331" t="e">
        <f>IF(#REF!,"AAAAAD/zOk0=",0)</f>
        <v>#REF!</v>
      </c>
      <c r="CA331" t="e">
        <f>IF(#REF!,"AAAAAD/zOk4=",0)</f>
        <v>#REF!</v>
      </c>
      <c r="CB331" t="e">
        <f>IF(#REF!,"AAAAAD/zOk8=",0)</f>
        <v>#REF!</v>
      </c>
      <c r="CC331" t="e">
        <f>IF(#REF!,"AAAAAD/zOlA=",0)</f>
        <v>#REF!</v>
      </c>
      <c r="CD331" t="e">
        <f>IF(#REF!,"AAAAAD/zOlE=",0)</f>
        <v>#REF!</v>
      </c>
      <c r="CE331" t="e">
        <f>IF(#REF!,"AAAAAD/zOlI=",0)</f>
        <v>#REF!</v>
      </c>
      <c r="CF331" t="e">
        <f>IF(#REF!,"AAAAAD/zOlM=",0)</f>
        <v>#REF!</v>
      </c>
      <c r="CG331" t="e">
        <f>IF(#REF!,"AAAAAD/zOlQ=",0)</f>
        <v>#REF!</v>
      </c>
      <c r="CH331" t="e">
        <f>IF(#REF!,"AAAAAD/zOlU=",0)</f>
        <v>#REF!</v>
      </c>
      <c r="CI331" t="e">
        <f>IF(#REF!,"AAAAAD/zOlY=",0)</f>
        <v>#REF!</v>
      </c>
      <c r="CJ331" t="e">
        <f>IF(#REF!,"AAAAAD/zOlc=",0)</f>
        <v>#REF!</v>
      </c>
      <c r="CK331" t="e">
        <f>IF(#REF!,"AAAAAD/zOlg=",0)</f>
        <v>#REF!</v>
      </c>
      <c r="CL331" t="e">
        <f>IF(#REF!,"AAAAAD/zOlk=",0)</f>
        <v>#REF!</v>
      </c>
      <c r="CM331" t="e">
        <f>IF(#REF!,"AAAAAD/zOlo=",0)</f>
        <v>#REF!</v>
      </c>
      <c r="CN331" t="e">
        <f>IF(#REF!,"AAAAAD/zOls=",0)</f>
        <v>#REF!</v>
      </c>
      <c r="CO331" t="e">
        <f>IF(#REF!,"AAAAAD/zOlw=",0)</f>
        <v>#REF!</v>
      </c>
      <c r="CP331" t="e">
        <f>IF(#REF!,"AAAAAD/zOl0=",0)</f>
        <v>#REF!</v>
      </c>
      <c r="CQ331" t="e">
        <f>IF(#REF!,"AAAAAD/zOl4=",0)</f>
        <v>#REF!</v>
      </c>
      <c r="CR331" t="e">
        <f>IF(#REF!,"AAAAAD/zOl8=",0)</f>
        <v>#REF!</v>
      </c>
      <c r="CS331" t="e">
        <f>IF(#REF!,"AAAAAD/zOmA=",0)</f>
        <v>#REF!</v>
      </c>
      <c r="CT331" t="e">
        <f>IF(#REF!,"AAAAAD/zOmE=",0)</f>
        <v>#REF!</v>
      </c>
      <c r="CU331" t="e">
        <f>IF(#REF!,"AAAAAD/zOmI=",0)</f>
        <v>#REF!</v>
      </c>
      <c r="CV331" t="e">
        <f>IF(#REF!,"AAAAAD/zOmM=",0)</f>
        <v>#REF!</v>
      </c>
      <c r="CW331" t="e">
        <f>IF(#REF!,"AAAAAD/zOmQ=",0)</f>
        <v>#REF!</v>
      </c>
      <c r="CX331" t="e">
        <f>IF(#REF!,"AAAAAD/zOmU=",0)</f>
        <v>#REF!</v>
      </c>
      <c r="CY331" t="e">
        <f>IF(#REF!,"AAAAAD/zOmY=",0)</f>
        <v>#REF!</v>
      </c>
      <c r="CZ331" t="e">
        <f>IF(#REF!,"AAAAAD/zOmc=",0)</f>
        <v>#REF!</v>
      </c>
      <c r="DA331" t="e">
        <f>IF(#REF!,"AAAAAD/zOmg=",0)</f>
        <v>#REF!</v>
      </c>
      <c r="DB331" t="e">
        <f>IF(#REF!,"AAAAAD/zOmk=",0)</f>
        <v>#REF!</v>
      </c>
      <c r="DC331" t="e">
        <f>IF(#REF!,"AAAAAD/zOmo=",0)</f>
        <v>#REF!</v>
      </c>
      <c r="DD331" t="e">
        <f>IF(#REF!,"AAAAAD/zOms=",0)</f>
        <v>#REF!</v>
      </c>
      <c r="DE331" t="e">
        <f>IF(#REF!,"AAAAAD/zOmw=",0)</f>
        <v>#REF!</v>
      </c>
      <c r="DF331" t="e">
        <f>IF(#REF!,"AAAAAD/zOm0=",0)</f>
        <v>#REF!</v>
      </c>
      <c r="DG331" t="e">
        <f>IF(#REF!,"AAAAAD/zOm4=",0)</f>
        <v>#REF!</v>
      </c>
      <c r="DH331" t="e">
        <f>IF(#REF!,"AAAAAD/zOm8=",0)</f>
        <v>#REF!</v>
      </c>
      <c r="DI331" t="e">
        <f>IF(#REF!,"AAAAAD/zOnA=",0)</f>
        <v>#REF!</v>
      </c>
      <c r="DJ331" t="e">
        <f>IF(#REF!,"AAAAAD/zOnE=",0)</f>
        <v>#REF!</v>
      </c>
      <c r="DK331" t="e">
        <f>IF(#REF!,"AAAAAD/zOnI=",0)</f>
        <v>#REF!</v>
      </c>
      <c r="DL331" t="e">
        <f>IF(#REF!,"AAAAAD/zOnM=",0)</f>
        <v>#REF!</v>
      </c>
      <c r="DM331" t="e">
        <f>IF(#REF!,"AAAAAD/zOnQ=",0)</f>
        <v>#REF!</v>
      </c>
      <c r="DN331" t="e">
        <f>IF(#REF!,"AAAAAD/zOnU=",0)</f>
        <v>#REF!</v>
      </c>
      <c r="DO331" t="e">
        <f>IF(#REF!,"AAAAAD/zOnY=",0)</f>
        <v>#REF!</v>
      </c>
      <c r="DP331" t="e">
        <f>IF(#REF!,"AAAAAD/zOnc=",0)</f>
        <v>#REF!</v>
      </c>
      <c r="DQ331" t="e">
        <f>IF(#REF!,"AAAAAD/zOng=",0)</f>
        <v>#REF!</v>
      </c>
      <c r="DR331" t="e">
        <f>IF(#REF!,"AAAAAD/zOnk=",0)</f>
        <v>#REF!</v>
      </c>
      <c r="DS331" t="e">
        <f>IF(#REF!,"AAAAAD/zOno=",0)</f>
        <v>#REF!</v>
      </c>
      <c r="DT331" t="e">
        <f>IF(#REF!,"AAAAAD/zOns=",0)</f>
        <v>#REF!</v>
      </c>
      <c r="DU331" t="e">
        <f>IF(#REF!,"AAAAAD/zOnw=",0)</f>
        <v>#REF!</v>
      </c>
      <c r="DV331" t="e">
        <f>IF(#REF!,"AAAAAD/zOn0=",0)</f>
        <v>#REF!</v>
      </c>
      <c r="DW331" t="e">
        <f>IF(#REF!,"AAAAAD/zOn4=",0)</f>
        <v>#REF!</v>
      </c>
      <c r="DX331" t="e">
        <f>IF(#REF!,"AAAAAD/zOn8=",0)</f>
        <v>#REF!</v>
      </c>
      <c r="DY331" t="e">
        <f>IF(#REF!,"AAAAAD/zOoA=",0)</f>
        <v>#REF!</v>
      </c>
      <c r="DZ331" t="e">
        <f>IF(#REF!,"AAAAAD/zOoE=",0)</f>
        <v>#REF!</v>
      </c>
      <c r="EA331" t="e">
        <f>IF(#REF!,"AAAAAD/zOoI=",0)</f>
        <v>#REF!</v>
      </c>
      <c r="EB331" t="e">
        <f>IF(#REF!,"AAAAAD/zOoM=",0)</f>
        <v>#REF!</v>
      </c>
      <c r="EC331" t="e">
        <f>IF(#REF!,"AAAAAD/zOoQ=",0)</f>
        <v>#REF!</v>
      </c>
      <c r="ED331" t="e">
        <f>IF(#REF!,"AAAAAD/zOoU=",0)</f>
        <v>#REF!</v>
      </c>
      <c r="EE331" t="e">
        <f>IF(#REF!,"AAAAAD/zOoY=",0)</f>
        <v>#REF!</v>
      </c>
      <c r="EF331" t="e">
        <f>IF(#REF!,"AAAAAD/zOoc=",0)</f>
        <v>#REF!</v>
      </c>
      <c r="EG331" t="e">
        <f>IF(#REF!,"AAAAAD/zOog=",0)</f>
        <v>#REF!</v>
      </c>
      <c r="EH331" t="e">
        <f>IF(#REF!,"AAAAAD/zOok=",0)</f>
        <v>#REF!</v>
      </c>
      <c r="EI331" t="e">
        <f>IF(#REF!,"AAAAAD/zOoo=",0)</f>
        <v>#REF!</v>
      </c>
      <c r="EJ331" t="e">
        <f>IF(#REF!,"AAAAAD/zOos=",0)</f>
        <v>#REF!</v>
      </c>
      <c r="EK331" t="e">
        <f>IF(#REF!,"AAAAAD/zOow=",0)</f>
        <v>#REF!</v>
      </c>
      <c r="EL331" t="e">
        <f>IF(#REF!,"AAAAAD/zOo0=",0)</f>
        <v>#REF!</v>
      </c>
      <c r="EM331" t="e">
        <f>IF(#REF!,"AAAAAD/zOo4=",0)</f>
        <v>#REF!</v>
      </c>
      <c r="EN331" t="e">
        <f>IF(#REF!,"AAAAAD/zOo8=",0)</f>
        <v>#REF!</v>
      </c>
      <c r="EO331" t="e">
        <f>IF(#REF!,"AAAAAD/zOpA=",0)</f>
        <v>#REF!</v>
      </c>
      <c r="EP331" t="e">
        <f>IF(#REF!,"AAAAAD/zOpE=",0)</f>
        <v>#REF!</v>
      </c>
      <c r="EQ331" t="e">
        <f>IF(#REF!,"AAAAAD/zOpI=",0)</f>
        <v>#REF!</v>
      </c>
      <c r="ER331" t="e">
        <f>IF(#REF!,"AAAAAD/zOpM=",0)</f>
        <v>#REF!</v>
      </c>
      <c r="ES331" t="e">
        <f>IF(#REF!,"AAAAAD/zOpQ=",0)</f>
        <v>#REF!</v>
      </c>
      <c r="ET331" t="e">
        <f>IF(#REF!,"AAAAAD/zOpU=",0)</f>
        <v>#REF!</v>
      </c>
      <c r="EU331" t="e">
        <f>IF(#REF!,"AAAAAD/zOpY=",0)</f>
        <v>#REF!</v>
      </c>
      <c r="EV331" t="e">
        <f>IF(#REF!,"AAAAAD/zOpc=",0)</f>
        <v>#REF!</v>
      </c>
      <c r="EW331" t="e">
        <f>IF(#REF!,"AAAAAD/zOpg=",0)</f>
        <v>#REF!</v>
      </c>
      <c r="EX331" t="e">
        <f>IF(#REF!,"AAAAAD/zOpk=",0)</f>
        <v>#REF!</v>
      </c>
      <c r="EY331" t="e">
        <f>IF(#REF!,"AAAAAD/zOpo=",0)</f>
        <v>#REF!</v>
      </c>
      <c r="EZ331" t="e">
        <f>IF(#REF!,"AAAAAD/zOps=",0)</f>
        <v>#REF!</v>
      </c>
      <c r="FA331" t="e">
        <f>IF(#REF!,"AAAAAD/zOpw=",0)</f>
        <v>#REF!</v>
      </c>
      <c r="FB331" t="e">
        <f>IF(#REF!,"AAAAAD/zOp0=",0)</f>
        <v>#REF!</v>
      </c>
      <c r="FC331" t="e">
        <f>IF(#REF!,"AAAAAD/zOp4=",0)</f>
        <v>#REF!</v>
      </c>
      <c r="FD331" t="e">
        <f>IF(#REF!,"AAAAAD/zOp8=",0)</f>
        <v>#REF!</v>
      </c>
      <c r="FE331" t="e">
        <f>IF(#REF!,"AAAAAD/zOqA=",0)</f>
        <v>#REF!</v>
      </c>
      <c r="FF331" t="e">
        <f>IF(#REF!,"AAAAAD/zOqE=",0)</f>
        <v>#REF!</v>
      </c>
      <c r="FG331" t="e">
        <f>IF(#REF!,"AAAAAD/zOqI=",0)</f>
        <v>#REF!</v>
      </c>
      <c r="FH331" t="e">
        <f>IF(#REF!,"AAAAAD/zOqM=",0)</f>
        <v>#REF!</v>
      </c>
      <c r="FI331" t="e">
        <f>IF(#REF!,"AAAAAD/zOqQ=",0)</f>
        <v>#REF!</v>
      </c>
      <c r="FJ331" t="e">
        <f>IF(#REF!,"AAAAAD/zOqU=",0)</f>
        <v>#REF!</v>
      </c>
      <c r="FK331" t="e">
        <f>IF(#REF!,"AAAAAD/zOqY=",0)</f>
        <v>#REF!</v>
      </c>
      <c r="FL331" t="e">
        <f>IF(#REF!,"AAAAAD/zOqc=",0)</f>
        <v>#REF!</v>
      </c>
      <c r="FM331" t="e">
        <f>IF(#REF!,"AAAAAD/zOqg=",0)</f>
        <v>#REF!</v>
      </c>
      <c r="FN331" t="e">
        <f>IF(#REF!,"AAAAAD/zOqk=",0)</f>
        <v>#REF!</v>
      </c>
      <c r="FO331" t="e">
        <f>IF(#REF!,"AAAAAD/zOqo=",0)</f>
        <v>#REF!</v>
      </c>
      <c r="FP331" t="e">
        <f>IF(#REF!,"AAAAAD/zOqs=",0)</f>
        <v>#REF!</v>
      </c>
      <c r="FQ331" t="e">
        <f>IF(#REF!,"AAAAAD/zOqw=",0)</f>
        <v>#REF!</v>
      </c>
      <c r="FR331" t="e">
        <f>IF(#REF!,"AAAAAD/zOq0=",0)</f>
        <v>#REF!</v>
      </c>
      <c r="FS331" t="e">
        <f>IF(#REF!,"AAAAAD/zOq4=",0)</f>
        <v>#REF!</v>
      </c>
      <c r="FT331" t="e">
        <f>IF(#REF!,"AAAAAD/zOq8=",0)</f>
        <v>#REF!</v>
      </c>
      <c r="FU331" t="e">
        <f>IF(#REF!,"AAAAAD/zOrA=",0)</f>
        <v>#REF!</v>
      </c>
      <c r="FV331" t="e">
        <f>IF(#REF!,"AAAAAD/zOrE=",0)</f>
        <v>#REF!</v>
      </c>
      <c r="FW331" t="e">
        <f>IF(#REF!,"AAAAAD/zOrI=",0)</f>
        <v>#REF!</v>
      </c>
      <c r="FX331" t="e">
        <f>IF(#REF!,"AAAAAD/zOrM=",0)</f>
        <v>#REF!</v>
      </c>
      <c r="FY331" t="e">
        <f>IF(#REF!,"AAAAAD/zOrQ=",0)</f>
        <v>#REF!</v>
      </c>
      <c r="FZ331" t="e">
        <f>IF(#REF!,"AAAAAD/zOrU=",0)</f>
        <v>#REF!</v>
      </c>
      <c r="GA331" t="e">
        <f>IF(#REF!,"AAAAAD/zOrY=",0)</f>
        <v>#REF!</v>
      </c>
      <c r="GB331" t="e">
        <f>IF(#REF!,"AAAAAD/zOrc=",0)</f>
        <v>#REF!</v>
      </c>
      <c r="GC331" t="e">
        <f>IF(#REF!,"AAAAAD/zOrg=",0)</f>
        <v>#REF!</v>
      </c>
      <c r="GD331" t="e">
        <f>IF(#REF!,"AAAAAD/zOrk=",0)</f>
        <v>#REF!</v>
      </c>
      <c r="GE331" t="e">
        <f>IF(#REF!,"AAAAAD/zOro=",0)</f>
        <v>#REF!</v>
      </c>
      <c r="GF331" t="e">
        <f>IF(#REF!,"AAAAAD/zOrs=",0)</f>
        <v>#REF!</v>
      </c>
      <c r="GG331" t="e">
        <f>IF(#REF!,"AAAAAD/zOrw=",0)</f>
        <v>#REF!</v>
      </c>
      <c r="GH331" t="e">
        <f>IF(#REF!,"AAAAAD/zOr0=",0)</f>
        <v>#REF!</v>
      </c>
      <c r="GI331" t="e">
        <f>IF(#REF!,"AAAAAD/zOr4=",0)</f>
        <v>#REF!</v>
      </c>
      <c r="GJ331" t="e">
        <f>IF(#REF!,"AAAAAD/zOr8=",0)</f>
        <v>#REF!</v>
      </c>
      <c r="GK331" t="e">
        <f>IF(#REF!,"AAAAAD/zOsA=",0)</f>
        <v>#REF!</v>
      </c>
      <c r="GL331" t="e">
        <f>IF(#REF!,"AAAAAD/zOsE=",0)</f>
        <v>#REF!</v>
      </c>
      <c r="GM331" t="e">
        <f>IF(#REF!,"AAAAAD/zOsI=",0)</f>
        <v>#REF!</v>
      </c>
      <c r="GN331" t="e">
        <f>IF(#REF!,"AAAAAD/zOsM=",0)</f>
        <v>#REF!</v>
      </c>
      <c r="GO331" t="e">
        <f>IF(#REF!,"AAAAAD/zOsQ=",0)</f>
        <v>#REF!</v>
      </c>
      <c r="GP331" t="e">
        <f>IF(#REF!,"AAAAAD/zOsU=",0)</f>
        <v>#REF!</v>
      </c>
      <c r="GQ331" t="e">
        <f>IF(#REF!,"AAAAAD/zOsY=",0)</f>
        <v>#REF!</v>
      </c>
      <c r="GR331" t="e">
        <f>IF(#REF!,"AAAAAD/zOsc=",0)</f>
        <v>#REF!</v>
      </c>
      <c r="GS331" t="e">
        <f>IF(#REF!,"AAAAAD/zOsg=",0)</f>
        <v>#REF!</v>
      </c>
      <c r="GT331" t="e">
        <f>IF(#REF!,"AAAAAD/zOsk=",0)</f>
        <v>#REF!</v>
      </c>
      <c r="GU331" t="e">
        <f>IF(#REF!,"AAAAAD/zOso=",0)</f>
        <v>#REF!</v>
      </c>
      <c r="GV331" t="e">
        <f>IF(#REF!,"AAAAAD/zOss=",0)</f>
        <v>#REF!</v>
      </c>
      <c r="GW331" t="e">
        <f>IF(#REF!,"AAAAAD/zOsw=",0)</f>
        <v>#REF!</v>
      </c>
      <c r="GX331" t="e">
        <f>IF(#REF!,"AAAAAD/zOs0=",0)</f>
        <v>#REF!</v>
      </c>
      <c r="GY331" t="e">
        <f>IF(#REF!,"AAAAAD/zOs4=",0)</f>
        <v>#REF!</v>
      </c>
      <c r="GZ331" t="e">
        <f>IF(#REF!,"AAAAAD/zOs8=",0)</f>
        <v>#REF!</v>
      </c>
      <c r="HA331" t="e">
        <f>IF(#REF!,"AAAAAD/zOtA=",0)</f>
        <v>#REF!</v>
      </c>
      <c r="HB331" t="e">
        <f>IF(#REF!,"AAAAAD/zOtE=",0)</f>
        <v>#REF!</v>
      </c>
      <c r="HC331" t="e">
        <f>IF(#REF!,"AAAAAD/zOtI=",0)</f>
        <v>#REF!</v>
      </c>
      <c r="HD331" t="e">
        <f>IF(#REF!,"AAAAAD/zOtM=",0)</f>
        <v>#REF!</v>
      </c>
      <c r="HE331" t="e">
        <f>IF(#REF!,"AAAAAD/zOtQ=",0)</f>
        <v>#REF!</v>
      </c>
      <c r="HF331" t="e">
        <f>IF(#REF!,"AAAAAD/zOtU=",0)</f>
        <v>#REF!</v>
      </c>
      <c r="HG331" t="e">
        <f>IF(#REF!,"AAAAAD/zOtY=",0)</f>
        <v>#REF!</v>
      </c>
      <c r="HH331" t="e">
        <f>IF(#REF!,"AAAAAD/zOtc=",0)</f>
        <v>#REF!</v>
      </c>
      <c r="HI331" t="e">
        <f>IF(#REF!,"AAAAAD/zOtg=",0)</f>
        <v>#REF!</v>
      </c>
      <c r="HJ331" t="e">
        <f>IF(#REF!,"AAAAAD/zOtk=",0)</f>
        <v>#REF!</v>
      </c>
      <c r="HK331" t="e">
        <f>IF(#REF!,"AAAAAD/zOto=",0)</f>
        <v>#REF!</v>
      </c>
      <c r="HL331" t="e">
        <f>IF(#REF!,"AAAAAD/zOts=",0)</f>
        <v>#REF!</v>
      </c>
      <c r="HM331" t="e">
        <f>IF(#REF!,"AAAAAD/zOtw=",0)</f>
        <v>#REF!</v>
      </c>
      <c r="HN331" t="e">
        <f>IF(#REF!,"AAAAAD/zOt0=",0)</f>
        <v>#REF!</v>
      </c>
      <c r="HO331" t="e">
        <f>IF(#REF!,"AAAAAD/zOt4=",0)</f>
        <v>#REF!</v>
      </c>
      <c r="HP331" t="e">
        <f>IF(#REF!,"AAAAAD/zOt8=",0)</f>
        <v>#REF!</v>
      </c>
      <c r="HQ331" t="e">
        <f>IF(#REF!,"AAAAAD/zOuA=",0)</f>
        <v>#REF!</v>
      </c>
      <c r="HR331" t="e">
        <f>IF(#REF!,"AAAAAD/zOuE=",0)</f>
        <v>#REF!</v>
      </c>
      <c r="HS331" t="e">
        <f>IF(#REF!,"AAAAAD/zOuI=",0)</f>
        <v>#REF!</v>
      </c>
      <c r="HT331" t="e">
        <f>IF(#REF!,"AAAAAD/zOuM=",0)</f>
        <v>#REF!</v>
      </c>
      <c r="HU331" t="e">
        <f>IF(#REF!,"AAAAAD/zOuQ=",0)</f>
        <v>#REF!</v>
      </c>
      <c r="HV331" t="e">
        <f>IF(#REF!,"AAAAAD/zOuU=",0)</f>
        <v>#REF!</v>
      </c>
      <c r="HW331" t="e">
        <f>IF(#REF!,"AAAAAD/zOuY=",0)</f>
        <v>#REF!</v>
      </c>
      <c r="HX331" t="e">
        <f>IF(#REF!,"AAAAAD/zOuc=",0)</f>
        <v>#REF!</v>
      </c>
      <c r="HY331" t="e">
        <f>IF(#REF!,"AAAAAD/zOug=",0)</f>
        <v>#REF!</v>
      </c>
      <c r="HZ331" t="e">
        <f>IF(#REF!,"AAAAAD/zOuk=",0)</f>
        <v>#REF!</v>
      </c>
      <c r="IA331" t="e">
        <f>IF(#REF!,"AAAAAD/zOuo=",0)</f>
        <v>#REF!</v>
      </c>
      <c r="IB331" t="e">
        <f>IF(#REF!,"AAAAAD/zOus=",0)</f>
        <v>#REF!</v>
      </c>
      <c r="IC331" t="e">
        <f>IF(#REF!,"AAAAAD/zOuw=",0)</f>
        <v>#REF!</v>
      </c>
      <c r="ID331" t="e">
        <f>IF(#REF!,"AAAAAD/zOu0=",0)</f>
        <v>#REF!</v>
      </c>
      <c r="IE331" t="e">
        <f>IF(#REF!,"AAAAAD/zOu4=",0)</f>
        <v>#REF!</v>
      </c>
      <c r="IF331" t="e">
        <f>IF(#REF!,"AAAAAD/zOu8=",0)</f>
        <v>#REF!</v>
      </c>
      <c r="IG331" t="e">
        <f>IF(#REF!,"AAAAAD/zOvA=",0)</f>
        <v>#REF!</v>
      </c>
      <c r="IH331" t="e">
        <f>IF(#REF!,"AAAAAD/zOvE=",0)</f>
        <v>#REF!</v>
      </c>
      <c r="II331" t="e">
        <f>IF(#REF!,"AAAAAD/zOvI=",0)</f>
        <v>#REF!</v>
      </c>
      <c r="IJ331" t="e">
        <f>IF(#REF!,"AAAAAD/zOvM=",0)</f>
        <v>#REF!</v>
      </c>
      <c r="IK331" t="e">
        <f>IF(#REF!,"AAAAAD/zOvQ=",0)</f>
        <v>#REF!</v>
      </c>
      <c r="IL331" t="e">
        <f>IF(#REF!,"AAAAAD/zOvU=",0)</f>
        <v>#REF!</v>
      </c>
      <c r="IM331" t="e">
        <f>IF(#REF!,"AAAAAD/zOvY=",0)</f>
        <v>#REF!</v>
      </c>
      <c r="IN331" t="e">
        <f>IF(#REF!,"AAAAAD/zOvc=",0)</f>
        <v>#REF!</v>
      </c>
      <c r="IO331" t="e">
        <f>IF(#REF!,"AAAAAD/zOvg=",0)</f>
        <v>#REF!</v>
      </c>
      <c r="IP331" t="e">
        <f>IF(#REF!,"AAAAAD/zOvk=",0)</f>
        <v>#REF!</v>
      </c>
      <c r="IQ331" t="e">
        <f>IF(#REF!,"AAAAAD/zOvo=",0)</f>
        <v>#REF!</v>
      </c>
      <c r="IR331" t="e">
        <f>IF(#REF!,"AAAAAD/zOvs=",0)</f>
        <v>#REF!</v>
      </c>
      <c r="IS331" t="e">
        <f>IF(#REF!,"AAAAAD/zOvw=",0)</f>
        <v>#REF!</v>
      </c>
      <c r="IT331" t="e">
        <f>IF(#REF!,"AAAAAD/zOv0=",0)</f>
        <v>#REF!</v>
      </c>
      <c r="IU331" t="e">
        <f>IF(#REF!,"AAAAAD/zOv4=",0)</f>
        <v>#REF!</v>
      </c>
      <c r="IV331" t="e">
        <f>IF(#REF!,"AAAAAD/zOv8=",0)</f>
        <v>#REF!</v>
      </c>
    </row>
    <row r="332" spans="1:256">
      <c r="A332" t="e">
        <f>IF(#REF!,"AAAAAH/evwA=",0)</f>
        <v>#REF!</v>
      </c>
      <c r="B332" t="e">
        <f>IF(#REF!,"AAAAAH/evwE=",0)</f>
        <v>#REF!</v>
      </c>
      <c r="C332" t="e">
        <f>IF(#REF!,"AAAAAH/evwI=",0)</f>
        <v>#REF!</v>
      </c>
      <c r="D332" t="e">
        <f>IF(#REF!,"AAAAAH/evwM=",0)</f>
        <v>#REF!</v>
      </c>
      <c r="E332" t="e">
        <f>IF(#REF!,"AAAAAH/evwQ=",0)</f>
        <v>#REF!</v>
      </c>
      <c r="F332" t="e">
        <f>IF(#REF!,"AAAAAH/evwU=",0)</f>
        <v>#REF!</v>
      </c>
      <c r="G332" t="e">
        <f>IF(#REF!,"AAAAAH/evwY=",0)</f>
        <v>#REF!</v>
      </c>
      <c r="H332" t="e">
        <f>IF(#REF!,"AAAAAH/evwc=",0)</f>
        <v>#REF!</v>
      </c>
      <c r="I332" t="e">
        <f>IF(#REF!,"AAAAAH/evwg=",0)</f>
        <v>#REF!</v>
      </c>
      <c r="J332" t="e">
        <f>IF(#REF!,"AAAAAH/evwk=",0)</f>
        <v>#REF!</v>
      </c>
      <c r="K332" t="e">
        <f>IF(#REF!,"AAAAAH/evwo=",0)</f>
        <v>#REF!</v>
      </c>
      <c r="L332" t="e">
        <f>IF(#REF!,"AAAAAH/evws=",0)</f>
        <v>#REF!</v>
      </c>
      <c r="M332" t="e">
        <f>IF(#REF!,"AAAAAH/evww=",0)</f>
        <v>#REF!</v>
      </c>
      <c r="N332" t="e">
        <f>IF(#REF!,"AAAAAH/evw0=",0)</f>
        <v>#REF!</v>
      </c>
      <c r="O332" t="e">
        <f>IF(#REF!,"AAAAAH/evw4=",0)</f>
        <v>#REF!</v>
      </c>
      <c r="P332" t="e">
        <f>IF(#REF!,"AAAAAH/evw8=",0)</f>
        <v>#REF!</v>
      </c>
      <c r="Q332" t="e">
        <f>IF(#REF!,"AAAAAH/evxA=",0)</f>
        <v>#REF!</v>
      </c>
      <c r="R332" t="e">
        <f>IF(#REF!,"AAAAAH/evxE=",0)</f>
        <v>#REF!</v>
      </c>
      <c r="S332" t="e">
        <f>IF(#REF!,"AAAAAH/evxI=",0)</f>
        <v>#REF!</v>
      </c>
      <c r="T332" t="e">
        <f>IF(#REF!,"AAAAAH/evxM=",0)</f>
        <v>#REF!</v>
      </c>
      <c r="U332" t="e">
        <f>IF(#REF!,"AAAAAH/evxQ=",0)</f>
        <v>#REF!</v>
      </c>
      <c r="V332" t="e">
        <f>IF(#REF!,"AAAAAH/evxU=",0)</f>
        <v>#REF!</v>
      </c>
      <c r="W332" t="e">
        <f>IF(#REF!,"AAAAAH/evxY=",0)</f>
        <v>#REF!</v>
      </c>
      <c r="X332" t="e">
        <f>IF(#REF!,"AAAAAH/evxc=",0)</f>
        <v>#REF!</v>
      </c>
      <c r="Y332" t="e">
        <f>IF(#REF!,"AAAAAH/evxg=",0)</f>
        <v>#REF!</v>
      </c>
      <c r="Z332" t="e">
        <f>IF(#REF!,"AAAAAH/evxk=",0)</f>
        <v>#REF!</v>
      </c>
      <c r="AA332" t="e">
        <f>IF(#REF!,"AAAAAH/evxo=",0)</f>
        <v>#REF!</v>
      </c>
      <c r="AB332" t="e">
        <f>IF(#REF!,"AAAAAH/evxs=",0)</f>
        <v>#REF!</v>
      </c>
      <c r="AC332" t="e">
        <f>IF(#REF!,"AAAAAH/evxw=",0)</f>
        <v>#REF!</v>
      </c>
      <c r="AD332" t="e">
        <f>IF(#REF!,"AAAAAH/evx0=",0)</f>
        <v>#REF!</v>
      </c>
      <c r="AE332" t="e">
        <f>IF(#REF!,"AAAAAH/evx4=",0)</f>
        <v>#REF!</v>
      </c>
      <c r="AF332" t="e">
        <f>IF(#REF!,"AAAAAH/evx8=",0)</f>
        <v>#REF!</v>
      </c>
      <c r="AG332" t="e">
        <f>IF(#REF!,"AAAAAH/evyA=",0)</f>
        <v>#REF!</v>
      </c>
      <c r="AH332" t="e">
        <f>IF(#REF!,"AAAAAH/evyE=",0)</f>
        <v>#REF!</v>
      </c>
      <c r="AI332" t="e">
        <f>IF(#REF!,"AAAAAH/evyI=",0)</f>
        <v>#REF!</v>
      </c>
      <c r="AJ332" t="e">
        <f>IF(#REF!,"AAAAAH/evyM=",0)</f>
        <v>#REF!</v>
      </c>
      <c r="AK332" t="e">
        <f>IF(#REF!,"AAAAAH/evyQ=",0)</f>
        <v>#REF!</v>
      </c>
      <c r="AL332" t="e">
        <f>IF(#REF!,"AAAAAH/evyU=",0)</f>
        <v>#REF!</v>
      </c>
      <c r="AM332" t="e">
        <f>IF(#REF!,"AAAAAH/evyY=",0)</f>
        <v>#REF!</v>
      </c>
      <c r="AN332" t="e">
        <f>IF(#REF!,"AAAAAH/evyc=",0)</f>
        <v>#REF!</v>
      </c>
      <c r="AO332" t="e">
        <f>IF(#REF!,"AAAAAH/evyg=",0)</f>
        <v>#REF!</v>
      </c>
      <c r="AP332" t="e">
        <f>IF(#REF!,"AAAAAH/evyk=",0)</f>
        <v>#REF!</v>
      </c>
      <c r="AQ332" t="e">
        <f>IF(#REF!,"AAAAAH/evyo=",0)</f>
        <v>#REF!</v>
      </c>
      <c r="AR332" t="e">
        <f>IF(#REF!,"AAAAAH/evys=",0)</f>
        <v>#REF!</v>
      </c>
      <c r="AS332" t="e">
        <f>IF(#REF!,"AAAAAH/evyw=",0)</f>
        <v>#REF!</v>
      </c>
      <c r="AT332" t="e">
        <f>IF(#REF!,"AAAAAH/evy0=",0)</f>
        <v>#REF!</v>
      </c>
      <c r="AU332" t="e">
        <f>IF(#REF!,"AAAAAH/evy4=",0)</f>
        <v>#REF!</v>
      </c>
      <c r="AV332" t="e">
        <f>IF(#REF!,"AAAAAH/evy8=",0)</f>
        <v>#REF!</v>
      </c>
      <c r="AW332" t="e">
        <f>IF(#REF!,"AAAAAH/evzA=",0)</f>
        <v>#REF!</v>
      </c>
      <c r="AX332" t="e">
        <f>IF(#REF!,"AAAAAH/evzE=",0)</f>
        <v>#REF!</v>
      </c>
      <c r="AY332" t="e">
        <f>IF(#REF!,"AAAAAH/evzI=",0)</f>
        <v>#REF!</v>
      </c>
      <c r="AZ332" t="e">
        <f>IF(#REF!,"AAAAAH/evzM=",0)</f>
        <v>#REF!</v>
      </c>
      <c r="BA332" t="e">
        <f>IF(#REF!,"AAAAAH/evzQ=",0)</f>
        <v>#REF!</v>
      </c>
      <c r="BB332" t="e">
        <f>IF(#REF!,"AAAAAH/evzU=",0)</f>
        <v>#REF!</v>
      </c>
      <c r="BC332" t="e">
        <f>IF(#REF!,"AAAAAH/evzY=",0)</f>
        <v>#REF!</v>
      </c>
      <c r="BD332" t="e">
        <f>IF(#REF!,"AAAAAH/evzc=",0)</f>
        <v>#REF!</v>
      </c>
      <c r="BE332" t="e">
        <f>IF(#REF!,"AAAAAH/evzg=",0)</f>
        <v>#REF!</v>
      </c>
      <c r="BF332" t="e">
        <f>IF(#REF!,"AAAAAH/evzk=",0)</f>
        <v>#REF!</v>
      </c>
      <c r="BG332" t="e">
        <f>IF(#REF!,"AAAAAH/evzo=",0)</f>
        <v>#REF!</v>
      </c>
      <c r="BH332" t="e">
        <f>IF(#REF!,"AAAAAH/evzs=",0)</f>
        <v>#REF!</v>
      </c>
      <c r="BI332" t="e">
        <f>IF(#REF!,"AAAAAH/evzw=",0)</f>
        <v>#REF!</v>
      </c>
      <c r="BJ332" t="e">
        <f>IF(#REF!,"AAAAAH/evz0=",0)</f>
        <v>#REF!</v>
      </c>
      <c r="BK332" t="e">
        <f>IF(#REF!,"AAAAAH/evz4=",0)</f>
        <v>#REF!</v>
      </c>
      <c r="BL332" t="e">
        <f>IF(#REF!,"AAAAAH/evz8=",0)</f>
        <v>#REF!</v>
      </c>
      <c r="BM332" t="e">
        <f>IF(#REF!,"AAAAAH/ev0A=",0)</f>
        <v>#REF!</v>
      </c>
      <c r="BN332" t="e">
        <f>IF(#REF!,"AAAAAH/ev0E=",0)</f>
        <v>#REF!</v>
      </c>
      <c r="BO332" t="e">
        <f>IF(#REF!,"AAAAAH/ev0I=",0)</f>
        <v>#REF!</v>
      </c>
      <c r="BP332" t="e">
        <f>IF(#REF!,"AAAAAH/ev0M=",0)</f>
        <v>#REF!</v>
      </c>
      <c r="BQ332" t="e">
        <f>IF(#REF!,"AAAAAH/ev0Q=",0)</f>
        <v>#REF!</v>
      </c>
      <c r="BR332" t="e">
        <f>IF(#REF!,"AAAAAH/ev0U=",0)</f>
        <v>#REF!</v>
      </c>
      <c r="BS332" t="e">
        <f>IF(#REF!,"AAAAAH/ev0Y=",0)</f>
        <v>#REF!</v>
      </c>
      <c r="BT332" t="e">
        <f>IF(#REF!,"AAAAAH/ev0c=",0)</f>
        <v>#REF!</v>
      </c>
      <c r="BU332" t="e">
        <f>IF(#REF!,"AAAAAH/ev0g=",0)</f>
        <v>#REF!</v>
      </c>
      <c r="BV332" t="e">
        <f>IF(#REF!,"AAAAAH/ev0k=",0)</f>
        <v>#REF!</v>
      </c>
      <c r="BW332" t="e">
        <f>IF(#REF!,"AAAAAH/ev0o=",0)</f>
        <v>#REF!</v>
      </c>
      <c r="BX332" t="e">
        <f>IF(#REF!,"AAAAAH/ev0s=",0)</f>
        <v>#REF!</v>
      </c>
      <c r="BY332" t="e">
        <f>IF(#REF!,"AAAAAH/ev0w=",0)</f>
        <v>#REF!</v>
      </c>
      <c r="BZ332" t="e">
        <f>IF(#REF!,"AAAAAH/ev00=",0)</f>
        <v>#REF!</v>
      </c>
      <c r="CA332" t="e">
        <f>IF(#REF!,"AAAAAH/ev04=",0)</f>
        <v>#REF!</v>
      </c>
      <c r="CB332" t="e">
        <f>IF(#REF!,"AAAAAH/ev08=",0)</f>
        <v>#REF!</v>
      </c>
      <c r="CC332" t="e">
        <f>IF(#REF!,"AAAAAH/ev1A=",0)</f>
        <v>#REF!</v>
      </c>
      <c r="CD332" t="e">
        <f>IF(#REF!,"AAAAAH/ev1E=",0)</f>
        <v>#REF!</v>
      </c>
      <c r="CE332" t="e">
        <f>IF(#REF!,"AAAAAH/ev1I=",0)</f>
        <v>#REF!</v>
      </c>
      <c r="CF332" t="e">
        <f>IF(#REF!,"AAAAAH/ev1M=",0)</f>
        <v>#REF!</v>
      </c>
      <c r="CG332" t="e">
        <f>IF(#REF!,"AAAAAH/ev1Q=",0)</f>
        <v>#REF!</v>
      </c>
      <c r="CH332" t="e">
        <f>IF(#REF!,"AAAAAH/ev1U=",0)</f>
        <v>#REF!</v>
      </c>
      <c r="CI332" t="e">
        <f>IF(#REF!,"AAAAAH/ev1Y=",0)</f>
        <v>#REF!</v>
      </c>
      <c r="CJ332" t="e">
        <f>IF(#REF!,"AAAAAH/ev1c=",0)</f>
        <v>#REF!</v>
      </c>
      <c r="CK332" t="e">
        <f>IF(#REF!,"AAAAAH/ev1g=",0)</f>
        <v>#REF!</v>
      </c>
      <c r="CL332" t="e">
        <f>IF(#REF!,"AAAAAH/ev1k=",0)</f>
        <v>#REF!</v>
      </c>
      <c r="CM332" t="e">
        <f>IF(#REF!,"AAAAAH/ev1o=",0)</f>
        <v>#REF!</v>
      </c>
      <c r="CN332" t="e">
        <f>IF(#REF!,"AAAAAH/ev1s=",0)</f>
        <v>#REF!</v>
      </c>
      <c r="CO332" t="e">
        <f>IF(#REF!,"AAAAAH/ev1w=",0)</f>
        <v>#REF!</v>
      </c>
      <c r="CP332" t="e">
        <f>IF(#REF!,"AAAAAH/ev10=",0)</f>
        <v>#REF!</v>
      </c>
      <c r="CQ332" t="e">
        <f>IF(#REF!,"AAAAAH/ev14=",0)</f>
        <v>#REF!</v>
      </c>
      <c r="CR332" t="e">
        <f>IF(#REF!,"AAAAAH/ev18=",0)</f>
        <v>#REF!</v>
      </c>
      <c r="CS332" t="e">
        <f>IF(#REF!,"AAAAAH/ev2A=",0)</f>
        <v>#REF!</v>
      </c>
      <c r="CT332" t="e">
        <f>IF(#REF!,"AAAAAH/ev2E=",0)</f>
        <v>#REF!</v>
      </c>
      <c r="CU332" t="e">
        <f>IF(#REF!,"AAAAAH/ev2I=",0)</f>
        <v>#REF!</v>
      </c>
      <c r="CV332" t="e">
        <f>IF(#REF!,"AAAAAH/ev2M=",0)</f>
        <v>#REF!</v>
      </c>
      <c r="CW332" t="e">
        <f>IF(#REF!,"AAAAAH/ev2Q=",0)</f>
        <v>#REF!</v>
      </c>
      <c r="CX332" t="e">
        <f>IF(#REF!,"AAAAAH/ev2U=",0)</f>
        <v>#REF!</v>
      </c>
      <c r="CY332" t="e">
        <f>IF(#REF!,"AAAAAH/ev2Y=",0)</f>
        <v>#REF!</v>
      </c>
      <c r="CZ332" t="e">
        <f>IF(#REF!,"AAAAAH/ev2c=",0)</f>
        <v>#REF!</v>
      </c>
      <c r="DA332" t="e">
        <f>IF(#REF!,"AAAAAH/ev2g=",0)</f>
        <v>#REF!</v>
      </c>
      <c r="DB332" t="e">
        <f>IF(#REF!,"AAAAAH/ev2k=",0)</f>
        <v>#REF!</v>
      </c>
      <c r="DC332" t="e">
        <f>IF(#REF!,"AAAAAH/ev2o=",0)</f>
        <v>#REF!</v>
      </c>
      <c r="DD332" t="e">
        <f>IF(#REF!,"AAAAAH/ev2s=",0)</f>
        <v>#REF!</v>
      </c>
      <c r="DE332" t="e">
        <f>IF(#REF!,"AAAAAH/ev2w=",0)</f>
        <v>#REF!</v>
      </c>
      <c r="DF332" t="e">
        <f>IF(#REF!,"AAAAAH/ev20=",0)</f>
        <v>#REF!</v>
      </c>
      <c r="DG332" t="e">
        <f>IF(#REF!,"AAAAAH/ev24=",0)</f>
        <v>#REF!</v>
      </c>
      <c r="DH332" t="e">
        <f>IF(#REF!,"AAAAAH/ev28=",0)</f>
        <v>#REF!</v>
      </c>
      <c r="DI332" t="e">
        <f>IF(#REF!,"AAAAAH/ev3A=",0)</f>
        <v>#REF!</v>
      </c>
      <c r="DJ332" t="e">
        <f>IF(#REF!,"AAAAAH/ev3E=",0)</f>
        <v>#REF!</v>
      </c>
      <c r="DK332" t="e">
        <f>IF(#REF!,"AAAAAH/ev3I=",0)</f>
        <v>#REF!</v>
      </c>
      <c r="DL332" t="e">
        <f>IF(#REF!,"AAAAAH/ev3M=",0)</f>
        <v>#REF!</v>
      </c>
      <c r="DM332" t="e">
        <f>IF(#REF!,"AAAAAH/ev3Q=",0)</f>
        <v>#REF!</v>
      </c>
      <c r="DN332" t="e">
        <f>IF(#REF!,"AAAAAH/ev3U=",0)</f>
        <v>#REF!</v>
      </c>
      <c r="DO332" t="e">
        <f>IF(#REF!,"AAAAAH/ev3Y=",0)</f>
        <v>#REF!</v>
      </c>
      <c r="DP332" t="e">
        <f>IF(#REF!,"AAAAAH/ev3c=",0)</f>
        <v>#REF!</v>
      </c>
      <c r="DQ332" t="e">
        <f>IF(#REF!,"AAAAAH/ev3g=",0)</f>
        <v>#REF!</v>
      </c>
      <c r="DR332" t="e">
        <f>IF(#REF!,"AAAAAH/ev3k=",0)</f>
        <v>#REF!</v>
      </c>
      <c r="DS332" t="e">
        <f>IF(#REF!,"AAAAAH/ev3o=",0)</f>
        <v>#REF!</v>
      </c>
      <c r="DT332" t="e">
        <f>IF(#REF!,"AAAAAH/ev3s=",0)</f>
        <v>#REF!</v>
      </c>
      <c r="DU332" t="e">
        <f>IF(#REF!,"AAAAAH/ev3w=",0)</f>
        <v>#REF!</v>
      </c>
      <c r="DV332" t="e">
        <f>IF(#REF!,"AAAAAH/ev30=",0)</f>
        <v>#REF!</v>
      </c>
      <c r="DW332" t="e">
        <f>IF(#REF!,"AAAAAH/ev34=",0)</f>
        <v>#REF!</v>
      </c>
      <c r="DX332" t="e">
        <f>IF(#REF!,"AAAAAH/ev38=",0)</f>
        <v>#REF!</v>
      </c>
      <c r="DY332" t="e">
        <f>IF(#REF!,"AAAAAH/ev4A=",0)</f>
        <v>#REF!</v>
      </c>
      <c r="DZ332" t="e">
        <f>IF(#REF!,"AAAAAH/ev4E=",0)</f>
        <v>#REF!</v>
      </c>
      <c r="EA332" t="e">
        <f>IF(#REF!,"AAAAAH/ev4I=",0)</f>
        <v>#REF!</v>
      </c>
      <c r="EB332" t="e">
        <f>IF(#REF!,"AAAAAH/ev4M=",0)</f>
        <v>#REF!</v>
      </c>
      <c r="EC332" t="e">
        <f>IF(#REF!,"AAAAAH/ev4Q=",0)</f>
        <v>#REF!</v>
      </c>
      <c r="ED332" t="e">
        <f>IF(#REF!,"AAAAAH/ev4U=",0)</f>
        <v>#REF!</v>
      </c>
      <c r="EE332" t="e">
        <f>IF(#REF!,"AAAAAH/ev4Y=",0)</f>
        <v>#REF!</v>
      </c>
      <c r="EF332" t="e">
        <f>IF(#REF!,"AAAAAH/ev4c=",0)</f>
        <v>#REF!</v>
      </c>
      <c r="EG332" t="e">
        <f>IF(#REF!,"AAAAAH/ev4g=",0)</f>
        <v>#REF!</v>
      </c>
      <c r="EH332" t="e">
        <f>IF(#REF!,"AAAAAH/ev4k=",0)</f>
        <v>#REF!</v>
      </c>
      <c r="EI332" t="e">
        <f>IF(#REF!,"AAAAAH/ev4o=",0)</f>
        <v>#REF!</v>
      </c>
      <c r="EJ332" t="e">
        <f>IF(#REF!,"AAAAAH/ev4s=",0)</f>
        <v>#REF!</v>
      </c>
      <c r="EK332" t="e">
        <f>IF(#REF!,"AAAAAH/ev4w=",0)</f>
        <v>#REF!</v>
      </c>
      <c r="EL332" t="e">
        <f>IF(#REF!,"AAAAAH/ev40=",0)</f>
        <v>#REF!</v>
      </c>
      <c r="EM332" t="e">
        <f>IF(#REF!,"AAAAAH/ev44=",0)</f>
        <v>#REF!</v>
      </c>
      <c r="EN332" t="e">
        <f>IF(#REF!,"AAAAAH/ev48=",0)</f>
        <v>#REF!</v>
      </c>
      <c r="EO332" t="e">
        <f>IF(#REF!,"AAAAAH/ev5A=",0)</f>
        <v>#REF!</v>
      </c>
      <c r="EP332" t="e">
        <f>IF(#REF!,"AAAAAH/ev5E=",0)</f>
        <v>#REF!</v>
      </c>
      <c r="EQ332" t="e">
        <f>IF(#REF!,"AAAAAH/ev5I=",0)</f>
        <v>#REF!</v>
      </c>
      <c r="ER332" t="e">
        <f>IF(#REF!,"AAAAAH/ev5M=",0)</f>
        <v>#REF!</v>
      </c>
      <c r="ES332" t="e">
        <f>IF(#REF!,"AAAAAH/ev5Q=",0)</f>
        <v>#REF!</v>
      </c>
      <c r="ET332" t="e">
        <f>IF(#REF!,"AAAAAH/ev5U=",0)</f>
        <v>#REF!</v>
      </c>
      <c r="EU332" t="e">
        <f>IF(#REF!,"AAAAAH/ev5Y=",0)</f>
        <v>#REF!</v>
      </c>
      <c r="EV332" t="e">
        <f>IF(#REF!,"AAAAAH/ev5c=",0)</f>
        <v>#REF!</v>
      </c>
      <c r="EW332" t="e">
        <f>IF(#REF!,"AAAAAH/ev5g=",0)</f>
        <v>#REF!</v>
      </c>
      <c r="EX332" t="e">
        <f>IF(#REF!,"AAAAAH/ev5k=",0)</f>
        <v>#REF!</v>
      </c>
      <c r="EY332" t="e">
        <f>IF(#REF!,"AAAAAH/ev5o=",0)</f>
        <v>#REF!</v>
      </c>
      <c r="EZ332" t="e">
        <f>IF(#REF!,"AAAAAH/ev5s=",0)</f>
        <v>#REF!</v>
      </c>
      <c r="FA332" t="e">
        <f>IF(#REF!,"AAAAAH/ev5w=",0)</f>
        <v>#REF!</v>
      </c>
      <c r="FB332" t="e">
        <f>IF(#REF!,"AAAAAH/ev50=",0)</f>
        <v>#REF!</v>
      </c>
      <c r="FC332" t="e">
        <f>IF(#REF!,"AAAAAH/ev54=",0)</f>
        <v>#REF!</v>
      </c>
      <c r="FD332" t="e">
        <f>IF(#REF!,"AAAAAH/ev58=",0)</f>
        <v>#REF!</v>
      </c>
      <c r="FE332" t="e">
        <f>IF(#REF!,"AAAAAH/ev6A=",0)</f>
        <v>#REF!</v>
      </c>
      <c r="FF332" t="e">
        <f>IF(#REF!,"AAAAAH/ev6E=",0)</f>
        <v>#REF!</v>
      </c>
      <c r="FG332" t="e">
        <f>IF(#REF!,"AAAAAH/ev6I=",0)</f>
        <v>#REF!</v>
      </c>
      <c r="FH332" t="e">
        <f>IF(#REF!,"AAAAAH/ev6M=",0)</f>
        <v>#REF!</v>
      </c>
      <c r="FI332" t="e">
        <f>IF(#REF!,"AAAAAH/ev6Q=",0)</f>
        <v>#REF!</v>
      </c>
      <c r="FJ332" t="e">
        <f>IF(#REF!,"AAAAAH/ev6U=",0)</f>
        <v>#REF!</v>
      </c>
      <c r="FK332" t="e">
        <f>IF(#REF!,"AAAAAH/ev6Y=",0)</f>
        <v>#REF!</v>
      </c>
      <c r="FL332" t="e">
        <f>IF(#REF!,"AAAAAH/ev6c=",0)</f>
        <v>#REF!</v>
      </c>
      <c r="FM332" t="e">
        <f>IF(#REF!,"AAAAAH/ev6g=",0)</f>
        <v>#REF!</v>
      </c>
      <c r="FN332" t="e">
        <f>IF(#REF!,"AAAAAH/ev6k=",0)</f>
        <v>#REF!</v>
      </c>
      <c r="FO332" t="e">
        <f>IF(#REF!,"AAAAAH/ev6o=",0)</f>
        <v>#REF!</v>
      </c>
      <c r="FP332" t="e">
        <f>IF(#REF!,"AAAAAH/ev6s=",0)</f>
        <v>#REF!</v>
      </c>
      <c r="FQ332" t="e">
        <f>IF(#REF!,"AAAAAH/ev6w=",0)</f>
        <v>#REF!</v>
      </c>
      <c r="FR332" t="e">
        <f>IF(#REF!,"AAAAAH/ev60=",0)</f>
        <v>#REF!</v>
      </c>
      <c r="FS332" t="e">
        <f>IF(#REF!,"AAAAAH/ev64=",0)</f>
        <v>#REF!</v>
      </c>
      <c r="FT332" t="e">
        <f>IF(#REF!,"AAAAAH/ev68=",0)</f>
        <v>#REF!</v>
      </c>
      <c r="FU332" t="e">
        <f>IF(#REF!,"AAAAAH/ev7A=",0)</f>
        <v>#REF!</v>
      </c>
      <c r="FV332" t="e">
        <f>IF(#REF!,"AAAAAH/ev7E=",0)</f>
        <v>#REF!</v>
      </c>
      <c r="FW332" t="e">
        <f>IF(#REF!,"AAAAAH/ev7I=",0)</f>
        <v>#REF!</v>
      </c>
      <c r="FX332" t="e">
        <f>IF(#REF!,"AAAAAH/ev7M=",0)</f>
        <v>#REF!</v>
      </c>
      <c r="FY332" t="e">
        <f>IF(#REF!,"AAAAAH/ev7Q=",0)</f>
        <v>#REF!</v>
      </c>
      <c r="FZ332" t="e">
        <f>IF(#REF!,"AAAAAH/ev7U=",0)</f>
        <v>#REF!</v>
      </c>
      <c r="GA332" t="e">
        <f>IF(#REF!,"AAAAAH/ev7Y=",0)</f>
        <v>#REF!</v>
      </c>
      <c r="GB332" t="e">
        <f>IF(#REF!,"AAAAAH/ev7c=",0)</f>
        <v>#REF!</v>
      </c>
      <c r="GC332" t="e">
        <f>IF(#REF!,"AAAAAH/ev7g=",0)</f>
        <v>#REF!</v>
      </c>
      <c r="GD332" t="e">
        <f>IF(#REF!,"AAAAAH/ev7k=",0)</f>
        <v>#REF!</v>
      </c>
      <c r="GE332" t="e">
        <f>IF(#REF!,"AAAAAH/ev7o=",0)</f>
        <v>#REF!</v>
      </c>
      <c r="GF332" t="e">
        <f>IF(#REF!,"AAAAAH/ev7s=",0)</f>
        <v>#REF!</v>
      </c>
      <c r="GG332" t="e">
        <f>IF(#REF!,"AAAAAH/ev7w=",0)</f>
        <v>#REF!</v>
      </c>
      <c r="GH332" t="e">
        <f>IF(#REF!,"AAAAAH/ev70=",0)</f>
        <v>#REF!</v>
      </c>
      <c r="GI332" t="e">
        <f>IF(#REF!,"AAAAAH/ev74=",0)</f>
        <v>#REF!</v>
      </c>
      <c r="GJ332" t="e">
        <f>IF(#REF!,"AAAAAH/ev78=",0)</f>
        <v>#REF!</v>
      </c>
      <c r="GK332" t="e">
        <f>IF(#REF!,"AAAAAH/ev8A=",0)</f>
        <v>#REF!</v>
      </c>
      <c r="GL332" t="e">
        <f>IF(#REF!,"AAAAAH/ev8E=",0)</f>
        <v>#REF!</v>
      </c>
      <c r="GM332" t="e">
        <f>IF(#REF!,"AAAAAH/ev8I=",0)</f>
        <v>#REF!</v>
      </c>
      <c r="GN332" t="e">
        <f>IF(#REF!,"AAAAAH/ev8M=",0)</f>
        <v>#REF!</v>
      </c>
      <c r="GO332" t="e">
        <f>IF(#REF!,"AAAAAH/ev8Q=",0)</f>
        <v>#REF!</v>
      </c>
      <c r="GP332" t="e">
        <f>IF(#REF!,"AAAAAH/ev8U=",0)</f>
        <v>#REF!</v>
      </c>
      <c r="GQ332" t="e">
        <f>IF(#REF!,"AAAAAH/ev8Y=",0)</f>
        <v>#REF!</v>
      </c>
      <c r="GR332" t="e">
        <f>IF(#REF!,"AAAAAH/ev8c=",0)</f>
        <v>#REF!</v>
      </c>
      <c r="GS332" t="e">
        <f>IF(#REF!,"AAAAAH/ev8g=",0)</f>
        <v>#REF!</v>
      </c>
      <c r="GT332" t="e">
        <f>IF(#REF!,"AAAAAH/ev8k=",0)</f>
        <v>#REF!</v>
      </c>
      <c r="GU332" t="e">
        <f>IF(#REF!,"AAAAAH/ev8o=",0)</f>
        <v>#REF!</v>
      </c>
      <c r="GV332" t="e">
        <f>IF(#REF!,"AAAAAH/ev8s=",0)</f>
        <v>#REF!</v>
      </c>
      <c r="GW332" t="e">
        <f>IF(#REF!,"AAAAAH/ev8w=",0)</f>
        <v>#REF!</v>
      </c>
      <c r="GX332" t="e">
        <f>IF(#REF!,"AAAAAH/ev80=",0)</f>
        <v>#REF!</v>
      </c>
      <c r="GY332" t="e">
        <f>IF(#REF!,"AAAAAH/ev84=",0)</f>
        <v>#REF!</v>
      </c>
      <c r="GZ332" t="e">
        <f>IF(#REF!,"AAAAAH/ev88=",0)</f>
        <v>#REF!</v>
      </c>
      <c r="HA332" t="e">
        <f>IF(#REF!,"AAAAAH/ev9A=",0)</f>
        <v>#REF!</v>
      </c>
      <c r="HB332" t="e">
        <f>IF(#REF!,"AAAAAH/ev9E=",0)</f>
        <v>#REF!</v>
      </c>
      <c r="HC332" t="e">
        <f>IF(#REF!,"AAAAAH/ev9I=",0)</f>
        <v>#REF!</v>
      </c>
      <c r="HD332" t="e">
        <f>IF(#REF!,"AAAAAH/ev9M=",0)</f>
        <v>#REF!</v>
      </c>
      <c r="HE332" t="e">
        <f>IF(#REF!,"AAAAAH/ev9Q=",0)</f>
        <v>#REF!</v>
      </c>
      <c r="HF332" t="e">
        <f>IF(#REF!,"AAAAAH/ev9U=",0)</f>
        <v>#REF!</v>
      </c>
      <c r="HG332" t="e">
        <f>IF(#REF!,"AAAAAH/ev9Y=",0)</f>
        <v>#REF!</v>
      </c>
      <c r="HH332" t="e">
        <f>IF(#REF!,"AAAAAH/ev9c=",0)</f>
        <v>#REF!</v>
      </c>
      <c r="HI332" t="e">
        <f>IF(#REF!,"AAAAAH/ev9g=",0)</f>
        <v>#REF!</v>
      </c>
      <c r="HJ332" t="e">
        <f>IF(#REF!,"AAAAAH/ev9k=",0)</f>
        <v>#REF!</v>
      </c>
      <c r="HK332" t="e">
        <f>IF(#REF!,"AAAAAH/ev9o=",0)</f>
        <v>#REF!</v>
      </c>
      <c r="HL332" t="e">
        <f>IF(#REF!,"AAAAAH/ev9s=",0)</f>
        <v>#REF!</v>
      </c>
      <c r="HM332" t="e">
        <f>IF(#REF!,"AAAAAH/ev9w=",0)</f>
        <v>#REF!</v>
      </c>
      <c r="HN332" t="e">
        <f>IF(#REF!,"AAAAAH/ev90=",0)</f>
        <v>#REF!</v>
      </c>
      <c r="HO332" t="e">
        <f>IF(#REF!,"AAAAAH/ev94=",0)</f>
        <v>#REF!</v>
      </c>
      <c r="HP332" t="e">
        <f>IF(#REF!,"AAAAAH/ev98=",0)</f>
        <v>#REF!</v>
      </c>
      <c r="HQ332" t="e">
        <f>IF(#REF!,"AAAAAH/ev+A=",0)</f>
        <v>#REF!</v>
      </c>
      <c r="HR332" t="e">
        <f>IF(#REF!,"AAAAAH/ev+E=",0)</f>
        <v>#REF!</v>
      </c>
      <c r="HS332" t="e">
        <f>IF(#REF!,"AAAAAH/ev+I=",0)</f>
        <v>#REF!</v>
      </c>
      <c r="HT332" t="e">
        <f>IF(#REF!,"AAAAAH/ev+M=",0)</f>
        <v>#REF!</v>
      </c>
      <c r="HU332" t="e">
        <f>IF(#REF!,"AAAAAH/ev+Q=",0)</f>
        <v>#REF!</v>
      </c>
      <c r="HV332" t="e">
        <f>IF(#REF!,"AAAAAH/ev+U=",0)</f>
        <v>#REF!</v>
      </c>
      <c r="HW332" t="e">
        <f>IF(#REF!,"AAAAAH/ev+Y=",0)</f>
        <v>#REF!</v>
      </c>
      <c r="HX332" t="e">
        <f>IF(#REF!,"AAAAAH/ev+c=",0)</f>
        <v>#REF!</v>
      </c>
      <c r="HY332" t="e">
        <f>IF(#REF!,"AAAAAH/ev+g=",0)</f>
        <v>#REF!</v>
      </c>
      <c r="HZ332" t="e">
        <f>IF(#REF!,"AAAAAH/ev+k=",0)</f>
        <v>#REF!</v>
      </c>
      <c r="IA332" t="e">
        <f>IF(#REF!,"AAAAAH/ev+o=",0)</f>
        <v>#REF!</v>
      </c>
      <c r="IB332" t="e">
        <f>IF(#REF!,"AAAAAH/ev+s=",0)</f>
        <v>#REF!</v>
      </c>
      <c r="IC332" t="e">
        <f>IF(#REF!,"AAAAAH/ev+w=",0)</f>
        <v>#REF!</v>
      </c>
      <c r="ID332" t="e">
        <f>IF(#REF!,"AAAAAH/ev+0=",0)</f>
        <v>#REF!</v>
      </c>
      <c r="IE332" t="e">
        <f>IF(#REF!,"AAAAAH/ev+4=",0)</f>
        <v>#REF!</v>
      </c>
      <c r="IF332" t="e">
        <f>IF(#REF!,"AAAAAH/ev+8=",0)</f>
        <v>#REF!</v>
      </c>
      <c r="IG332" t="e">
        <f>IF(#REF!,"AAAAAH/ev/A=",0)</f>
        <v>#REF!</v>
      </c>
      <c r="IH332" t="e">
        <f>IF(#REF!,"AAAAAH/ev/E=",0)</f>
        <v>#REF!</v>
      </c>
      <c r="II332" t="e">
        <f>IF(#REF!,"AAAAAH/ev/I=",0)</f>
        <v>#REF!</v>
      </c>
      <c r="IJ332" t="e">
        <f>IF(#REF!,"AAAAAH/ev/M=",0)</f>
        <v>#REF!</v>
      </c>
      <c r="IK332" t="e">
        <f>IF(#REF!,"AAAAAH/ev/Q=",0)</f>
        <v>#REF!</v>
      </c>
      <c r="IL332" t="e">
        <f>IF(#REF!,"AAAAAH/ev/U=",0)</f>
        <v>#REF!</v>
      </c>
      <c r="IM332" t="e">
        <f>IF(#REF!,"AAAAAH/ev/Y=",0)</f>
        <v>#REF!</v>
      </c>
      <c r="IN332" t="e">
        <f>IF(#REF!,"AAAAAH/ev/c=",0)</f>
        <v>#REF!</v>
      </c>
      <c r="IO332" t="e">
        <f>IF(#REF!,"AAAAAH/ev/g=",0)</f>
        <v>#REF!</v>
      </c>
      <c r="IP332" t="e">
        <f>IF(#REF!,"AAAAAH/ev/k=",0)</f>
        <v>#REF!</v>
      </c>
      <c r="IQ332" t="e">
        <f>IF(#REF!,"AAAAAH/ev/o=",0)</f>
        <v>#REF!</v>
      </c>
      <c r="IR332" t="e">
        <f>IF(#REF!,"AAAAAH/ev/s=",0)</f>
        <v>#REF!</v>
      </c>
      <c r="IS332" t="e">
        <f>IF(#REF!,"AAAAAH/ev/w=",0)</f>
        <v>#REF!</v>
      </c>
      <c r="IT332" t="e">
        <f>IF(#REF!,"AAAAAH/ev/0=",0)</f>
        <v>#REF!</v>
      </c>
      <c r="IU332" t="e">
        <f>IF(#REF!,"AAAAAH/ev/4=",0)</f>
        <v>#REF!</v>
      </c>
      <c r="IV332" t="e">
        <f>IF(#REF!,"AAAAAH/ev/8=",0)</f>
        <v>#REF!</v>
      </c>
    </row>
    <row r="333" spans="1:256">
      <c r="A333" t="e">
        <f>IF(#REF!,"AAAAAHpZ7wA=",0)</f>
        <v>#REF!</v>
      </c>
      <c r="B333" t="e">
        <f>IF(#REF!,"AAAAAHpZ7wE=",0)</f>
        <v>#REF!</v>
      </c>
      <c r="C333" t="e">
        <f>IF(#REF!,"AAAAAHpZ7wI=",0)</f>
        <v>#REF!</v>
      </c>
      <c r="D333" t="e">
        <f>IF(#REF!,"AAAAAHpZ7wM=",0)</f>
        <v>#REF!</v>
      </c>
      <c r="E333" t="e">
        <f>IF(#REF!,"AAAAAHpZ7wQ=",0)</f>
        <v>#REF!</v>
      </c>
      <c r="F333" t="e">
        <f>IF(#REF!,"AAAAAHpZ7wU=",0)</f>
        <v>#REF!</v>
      </c>
      <c r="G333" t="e">
        <f>IF(#REF!,"AAAAAHpZ7wY=",0)</f>
        <v>#REF!</v>
      </c>
      <c r="H333" t="e">
        <f>IF(#REF!,"AAAAAHpZ7wc=",0)</f>
        <v>#REF!</v>
      </c>
      <c r="I333" t="e">
        <f>IF(#REF!,"AAAAAHpZ7wg=",0)</f>
        <v>#REF!</v>
      </c>
      <c r="J333" t="e">
        <f>IF(#REF!,"AAAAAHpZ7wk=",0)</f>
        <v>#REF!</v>
      </c>
      <c r="K333" t="e">
        <f>IF(#REF!,"AAAAAHpZ7wo=",0)</f>
        <v>#REF!</v>
      </c>
      <c r="L333" t="e">
        <f>IF(#REF!,"AAAAAHpZ7ws=",0)</f>
        <v>#REF!</v>
      </c>
      <c r="M333" t="e">
        <f>IF(#REF!,"AAAAAHpZ7ww=",0)</f>
        <v>#REF!</v>
      </c>
      <c r="N333" t="e">
        <f>IF(#REF!,"AAAAAHpZ7w0=",0)</f>
        <v>#REF!</v>
      </c>
      <c r="O333" t="e">
        <f>IF(#REF!,"AAAAAHpZ7w4=",0)</f>
        <v>#REF!</v>
      </c>
      <c r="P333" t="e">
        <f>IF(#REF!,"AAAAAHpZ7w8=",0)</f>
        <v>#REF!</v>
      </c>
      <c r="Q333" t="e">
        <f>IF(#REF!,"AAAAAHpZ7xA=",0)</f>
        <v>#REF!</v>
      </c>
      <c r="R333" t="e">
        <f>IF(#REF!,"AAAAAHpZ7xE=",0)</f>
        <v>#REF!</v>
      </c>
      <c r="S333" t="e">
        <f>IF(#REF!,"AAAAAHpZ7xI=",0)</f>
        <v>#REF!</v>
      </c>
      <c r="T333" t="e">
        <f>IF(#REF!,"AAAAAHpZ7xM=",0)</f>
        <v>#REF!</v>
      </c>
      <c r="U333" t="e">
        <f>IF(#REF!,"AAAAAHpZ7xQ=",0)</f>
        <v>#REF!</v>
      </c>
      <c r="V333" t="e">
        <f>IF(#REF!,"AAAAAHpZ7xU=",0)</f>
        <v>#REF!</v>
      </c>
      <c r="W333" t="e">
        <f>IF(#REF!,"AAAAAHpZ7xY=",0)</f>
        <v>#REF!</v>
      </c>
      <c r="X333" t="e">
        <f>IF(#REF!,"AAAAAHpZ7xc=",0)</f>
        <v>#REF!</v>
      </c>
      <c r="Y333" t="e">
        <f>IF(#REF!,"AAAAAHpZ7xg=",0)</f>
        <v>#REF!</v>
      </c>
      <c r="Z333" t="e">
        <f>IF(#REF!,"AAAAAHpZ7xk=",0)</f>
        <v>#REF!</v>
      </c>
      <c r="AA333" t="e">
        <f>IF(#REF!,"AAAAAHpZ7xo=",0)</f>
        <v>#REF!</v>
      </c>
      <c r="AB333" t="e">
        <f>IF(#REF!,"AAAAAHpZ7xs=",0)</f>
        <v>#REF!</v>
      </c>
      <c r="AC333" t="e">
        <f>IF(#REF!,"AAAAAHpZ7xw=",0)</f>
        <v>#REF!</v>
      </c>
      <c r="AD333" t="e">
        <f>IF(#REF!,"AAAAAHpZ7x0=",0)</f>
        <v>#REF!</v>
      </c>
      <c r="AE333" t="e">
        <f>IF(#REF!,"AAAAAHpZ7x4=",0)</f>
        <v>#REF!</v>
      </c>
      <c r="AF333" t="e">
        <f>IF(#REF!,"AAAAAHpZ7x8=",0)</f>
        <v>#REF!</v>
      </c>
      <c r="AG333" t="e">
        <f>IF(#REF!,"AAAAAHpZ7yA=",0)</f>
        <v>#REF!</v>
      </c>
      <c r="AH333" t="e">
        <f>IF(#REF!,"AAAAAHpZ7yE=",0)</f>
        <v>#REF!</v>
      </c>
      <c r="AI333" t="e">
        <f>IF(#REF!,"AAAAAHpZ7yI=",0)</f>
        <v>#REF!</v>
      </c>
      <c r="AJ333" t="e">
        <f>IF(#REF!,"AAAAAHpZ7yM=",0)</f>
        <v>#REF!</v>
      </c>
      <c r="AK333" t="e">
        <f>IF(#REF!,"AAAAAHpZ7yQ=",0)</f>
        <v>#REF!</v>
      </c>
      <c r="AL333" t="e">
        <f>IF(#REF!,"AAAAAHpZ7yU=",0)</f>
        <v>#REF!</v>
      </c>
      <c r="AM333" t="e">
        <f>IF(#REF!,"AAAAAHpZ7yY=",0)</f>
        <v>#REF!</v>
      </c>
      <c r="AN333" t="e">
        <f>IF(#REF!,"AAAAAHpZ7yc=",0)</f>
        <v>#REF!</v>
      </c>
      <c r="AO333" t="e">
        <f>IF(#REF!,"AAAAAHpZ7yg=",0)</f>
        <v>#REF!</v>
      </c>
      <c r="AP333" t="e">
        <f>IF(#REF!,"AAAAAHpZ7yk=",0)</f>
        <v>#REF!</v>
      </c>
      <c r="AQ333" t="e">
        <f>IF(#REF!,"AAAAAHpZ7yo=",0)</f>
        <v>#REF!</v>
      </c>
      <c r="AR333" t="e">
        <f>IF(#REF!,"AAAAAHpZ7ys=",0)</f>
        <v>#REF!</v>
      </c>
      <c r="AS333" t="e">
        <f>IF(#REF!,"AAAAAHpZ7yw=",0)</f>
        <v>#REF!</v>
      </c>
      <c r="AT333" t="e">
        <f>IF(#REF!,"AAAAAHpZ7y0=",0)</f>
        <v>#REF!</v>
      </c>
      <c r="AU333" t="e">
        <f>IF(#REF!,"AAAAAHpZ7y4=",0)</f>
        <v>#REF!</v>
      </c>
      <c r="AV333" t="e">
        <f>IF(#REF!,"AAAAAHpZ7y8=",0)</f>
        <v>#REF!</v>
      </c>
      <c r="AW333" t="e">
        <f>IF(#REF!,"AAAAAHpZ7zA=",0)</f>
        <v>#REF!</v>
      </c>
      <c r="AX333" t="e">
        <f>IF(#REF!,"AAAAAHpZ7zE=",0)</f>
        <v>#REF!</v>
      </c>
      <c r="AY333" t="e">
        <f>IF(#REF!,"AAAAAHpZ7zI=",0)</f>
        <v>#REF!</v>
      </c>
      <c r="AZ333" t="e">
        <f>IF(#REF!,"AAAAAHpZ7zM=",0)</f>
        <v>#REF!</v>
      </c>
      <c r="BA333" t="e">
        <f>IF(#REF!,"AAAAAHpZ7zQ=",0)</f>
        <v>#REF!</v>
      </c>
      <c r="BB333" t="e">
        <f>IF(#REF!,"AAAAAHpZ7zU=",0)</f>
        <v>#REF!</v>
      </c>
      <c r="BC333" t="e">
        <f>IF(#REF!,"AAAAAHpZ7zY=",0)</f>
        <v>#REF!</v>
      </c>
      <c r="BD333" t="e">
        <f>IF(#REF!,"AAAAAHpZ7zc=",0)</f>
        <v>#REF!</v>
      </c>
      <c r="BE333" t="e">
        <f>IF(#REF!,"AAAAAHpZ7zg=",0)</f>
        <v>#REF!</v>
      </c>
      <c r="BF333" t="e">
        <f>IF(#REF!,"AAAAAHpZ7zk=",0)</f>
        <v>#REF!</v>
      </c>
      <c r="BG333" t="e">
        <f>IF(#REF!,"AAAAAHpZ7zo=",0)</f>
        <v>#REF!</v>
      </c>
      <c r="BH333" t="e">
        <f>IF(#REF!,"AAAAAHpZ7zs=",0)</f>
        <v>#REF!</v>
      </c>
      <c r="BI333" t="e">
        <f>IF(#REF!,"AAAAAHpZ7zw=",0)</f>
        <v>#REF!</v>
      </c>
      <c r="BJ333" t="e">
        <f>IF(#REF!,"AAAAAHpZ7z0=",0)</f>
        <v>#REF!</v>
      </c>
      <c r="BK333" t="e">
        <f>IF(#REF!,"AAAAAHpZ7z4=",0)</f>
        <v>#REF!</v>
      </c>
      <c r="BL333" t="e">
        <f>IF(#REF!,"AAAAAHpZ7z8=",0)</f>
        <v>#REF!</v>
      </c>
      <c r="BM333" t="e">
        <f>IF(#REF!,"AAAAAHpZ70A=",0)</f>
        <v>#REF!</v>
      </c>
      <c r="BN333" t="e">
        <f>IF(#REF!,"AAAAAHpZ70E=",0)</f>
        <v>#REF!</v>
      </c>
      <c r="BO333" t="e">
        <f>IF(#REF!,"AAAAAHpZ70I=",0)</f>
        <v>#REF!</v>
      </c>
      <c r="BP333" t="e">
        <f>IF(#REF!,"AAAAAHpZ70M=",0)</f>
        <v>#REF!</v>
      </c>
      <c r="BQ333" t="e">
        <f>IF(#REF!,"AAAAAHpZ70Q=",0)</f>
        <v>#REF!</v>
      </c>
      <c r="BR333" t="e">
        <f>IF(#REF!,"AAAAAHpZ70U=",0)</f>
        <v>#REF!</v>
      </c>
      <c r="BS333" t="e">
        <f>IF(#REF!,"AAAAAHpZ70Y=",0)</f>
        <v>#REF!</v>
      </c>
      <c r="BT333" t="e">
        <f>IF(#REF!,"AAAAAHpZ70c=",0)</f>
        <v>#REF!</v>
      </c>
      <c r="BU333" t="e">
        <f>IF(#REF!,"AAAAAHpZ70g=",0)</f>
        <v>#REF!</v>
      </c>
      <c r="BV333" t="e">
        <f>IF(#REF!,"AAAAAHpZ70k=",0)</f>
        <v>#REF!</v>
      </c>
      <c r="BW333" t="e">
        <f>IF(#REF!,"AAAAAHpZ70o=",0)</f>
        <v>#REF!</v>
      </c>
      <c r="BX333" t="e">
        <f>IF(#REF!,"AAAAAHpZ70s=",0)</f>
        <v>#REF!</v>
      </c>
      <c r="BY333" t="e">
        <f>IF(#REF!,"AAAAAHpZ70w=",0)</f>
        <v>#REF!</v>
      </c>
      <c r="BZ333" t="e">
        <f>IF(#REF!,"AAAAAHpZ700=",0)</f>
        <v>#REF!</v>
      </c>
      <c r="CA333" t="e">
        <f>IF(#REF!,"AAAAAHpZ704=",0)</f>
        <v>#REF!</v>
      </c>
      <c r="CB333" t="e">
        <f>IF(#REF!,"AAAAAHpZ708=",0)</f>
        <v>#REF!</v>
      </c>
      <c r="CC333" t="e">
        <f>IF(#REF!,"AAAAAHpZ71A=",0)</f>
        <v>#REF!</v>
      </c>
      <c r="CD333" t="e">
        <f>IF(#REF!,"AAAAAHpZ71E=",0)</f>
        <v>#REF!</v>
      </c>
      <c r="CE333" t="e">
        <f>IF(#REF!,"AAAAAHpZ71I=",0)</f>
        <v>#REF!</v>
      </c>
      <c r="CF333" t="e">
        <f>IF(#REF!,"AAAAAHpZ71M=",0)</f>
        <v>#REF!</v>
      </c>
      <c r="CG333" t="e">
        <f>IF(#REF!,"AAAAAHpZ71Q=",0)</f>
        <v>#REF!</v>
      </c>
      <c r="CH333" t="e">
        <f>IF(#REF!,"AAAAAHpZ71U=",0)</f>
        <v>#REF!</v>
      </c>
      <c r="CI333" t="e">
        <f>IF(#REF!,"AAAAAHpZ71Y=",0)</f>
        <v>#REF!</v>
      </c>
      <c r="CJ333" t="e">
        <f>IF(#REF!,"AAAAAHpZ71c=",0)</f>
        <v>#REF!</v>
      </c>
      <c r="CK333" t="e">
        <f>IF(#REF!,"AAAAAHpZ71g=",0)</f>
        <v>#REF!</v>
      </c>
      <c r="CL333" t="e">
        <f>IF(#REF!,"AAAAAHpZ71k=",0)</f>
        <v>#REF!</v>
      </c>
      <c r="CM333" t="e">
        <f>IF(#REF!,"AAAAAHpZ71o=",0)</f>
        <v>#REF!</v>
      </c>
      <c r="CN333" t="e">
        <f>IF(#REF!,"AAAAAHpZ71s=",0)</f>
        <v>#REF!</v>
      </c>
      <c r="CO333" t="e">
        <f>IF(#REF!,"AAAAAHpZ71w=",0)</f>
        <v>#REF!</v>
      </c>
      <c r="CP333" t="e">
        <f>IF(#REF!,"AAAAAHpZ710=",0)</f>
        <v>#REF!</v>
      </c>
      <c r="CQ333" t="e">
        <f>IF(#REF!,"AAAAAHpZ714=",0)</f>
        <v>#REF!</v>
      </c>
      <c r="CR333" t="e">
        <f>IF(#REF!,"AAAAAHpZ718=",0)</f>
        <v>#REF!</v>
      </c>
      <c r="CS333" t="e">
        <f>IF(#REF!,"AAAAAHpZ72A=",0)</f>
        <v>#REF!</v>
      </c>
      <c r="CT333" t="e">
        <f>IF(#REF!,"AAAAAHpZ72E=",0)</f>
        <v>#REF!</v>
      </c>
      <c r="CU333" t="e">
        <f>IF(#REF!,"AAAAAHpZ72I=",0)</f>
        <v>#REF!</v>
      </c>
      <c r="CV333" t="e">
        <f>IF(#REF!,"AAAAAHpZ72M=",0)</f>
        <v>#REF!</v>
      </c>
      <c r="CW333" t="e">
        <f>IF(#REF!,"AAAAAHpZ72Q=",0)</f>
        <v>#REF!</v>
      </c>
      <c r="CX333" t="e">
        <f>IF(#REF!,"AAAAAHpZ72U=",0)</f>
        <v>#REF!</v>
      </c>
      <c r="CY333" t="e">
        <f>IF(#REF!,"AAAAAHpZ72Y=",0)</f>
        <v>#REF!</v>
      </c>
      <c r="CZ333" t="e">
        <f>IF(#REF!,"AAAAAHpZ72c=",0)</f>
        <v>#REF!</v>
      </c>
      <c r="DA333" t="e">
        <f>IF(#REF!,"AAAAAHpZ72g=",0)</f>
        <v>#REF!</v>
      </c>
      <c r="DB333" t="e">
        <f>IF(#REF!,"AAAAAHpZ72k=",0)</f>
        <v>#REF!</v>
      </c>
      <c r="DC333" t="e">
        <f>IF(#REF!,"AAAAAHpZ72o=",0)</f>
        <v>#REF!</v>
      </c>
      <c r="DD333" t="e">
        <f>IF(#REF!,"AAAAAHpZ72s=",0)</f>
        <v>#REF!</v>
      </c>
      <c r="DE333" t="e">
        <f>IF(#REF!,"AAAAAHpZ72w=",0)</f>
        <v>#REF!</v>
      </c>
      <c r="DF333" t="e">
        <f>IF(#REF!,"AAAAAHpZ720=",0)</f>
        <v>#REF!</v>
      </c>
      <c r="DG333" t="e">
        <f>IF(#REF!,"AAAAAHpZ724=",0)</f>
        <v>#REF!</v>
      </c>
      <c r="DH333" t="e">
        <f>IF(#REF!,"AAAAAHpZ728=",0)</f>
        <v>#REF!</v>
      </c>
      <c r="DI333" t="e">
        <f>IF(#REF!,"AAAAAHpZ73A=",0)</f>
        <v>#REF!</v>
      </c>
      <c r="DJ333" t="e">
        <f>IF(#REF!,"AAAAAHpZ73E=",0)</f>
        <v>#REF!</v>
      </c>
      <c r="DK333" t="e">
        <f>IF(#REF!,"AAAAAHpZ73I=",0)</f>
        <v>#REF!</v>
      </c>
      <c r="DL333" t="e">
        <f>IF(#REF!,"AAAAAHpZ73M=",0)</f>
        <v>#REF!</v>
      </c>
      <c r="DM333" t="e">
        <f>IF(#REF!,"AAAAAHpZ73Q=",0)</f>
        <v>#REF!</v>
      </c>
      <c r="DN333" t="e">
        <f>IF(#REF!,"AAAAAHpZ73U=",0)</f>
        <v>#REF!</v>
      </c>
      <c r="DO333" t="e">
        <f>IF(#REF!,"AAAAAHpZ73Y=",0)</f>
        <v>#REF!</v>
      </c>
      <c r="DP333" t="e">
        <f>IF(#REF!,"AAAAAHpZ73c=",0)</f>
        <v>#REF!</v>
      </c>
      <c r="DQ333" t="e">
        <f>IF(#REF!,"AAAAAHpZ73g=",0)</f>
        <v>#REF!</v>
      </c>
      <c r="DR333" t="e">
        <f>IF(#REF!,"AAAAAHpZ73k=",0)</f>
        <v>#REF!</v>
      </c>
      <c r="DS333" t="e">
        <f>IF(#REF!,"AAAAAHpZ73o=",0)</f>
        <v>#REF!</v>
      </c>
      <c r="DT333" t="e">
        <f>IF(#REF!,"AAAAAHpZ73s=",0)</f>
        <v>#REF!</v>
      </c>
      <c r="DU333" t="e">
        <f>IF(#REF!,"AAAAAHpZ73w=",0)</f>
        <v>#REF!</v>
      </c>
      <c r="DV333" t="e">
        <f>IF(#REF!,"AAAAAHpZ730=",0)</f>
        <v>#REF!</v>
      </c>
      <c r="DW333" t="e">
        <f>IF(#REF!,"AAAAAHpZ734=",0)</f>
        <v>#REF!</v>
      </c>
      <c r="DX333" t="e">
        <f>IF(#REF!,"AAAAAHpZ738=",0)</f>
        <v>#REF!</v>
      </c>
      <c r="DY333" t="e">
        <f>IF(#REF!,"AAAAAHpZ74A=",0)</f>
        <v>#REF!</v>
      </c>
      <c r="DZ333" t="e">
        <f>IF(#REF!,"AAAAAHpZ74E=",0)</f>
        <v>#REF!</v>
      </c>
      <c r="EA333" t="e">
        <f>IF(#REF!,"AAAAAHpZ74I=",0)</f>
        <v>#REF!</v>
      </c>
      <c r="EB333" t="e">
        <f>IF(#REF!,"AAAAAHpZ74M=",0)</f>
        <v>#REF!</v>
      </c>
      <c r="EC333" t="e">
        <f>IF(#REF!,"AAAAAHpZ74Q=",0)</f>
        <v>#REF!</v>
      </c>
      <c r="ED333" t="e">
        <f>IF(#REF!,"AAAAAHpZ74U=",0)</f>
        <v>#REF!</v>
      </c>
      <c r="EE333" t="e">
        <f>IF(#REF!,"AAAAAHpZ74Y=",0)</f>
        <v>#REF!</v>
      </c>
      <c r="EF333" t="e">
        <f>IF(#REF!,"AAAAAHpZ74c=",0)</f>
        <v>#REF!</v>
      </c>
      <c r="EG333" t="e">
        <f>IF(#REF!,"AAAAAHpZ74g=",0)</f>
        <v>#REF!</v>
      </c>
      <c r="EH333" t="e">
        <f>IF(#REF!,"AAAAAHpZ74k=",0)</f>
        <v>#REF!</v>
      </c>
      <c r="EI333" t="e">
        <f>IF(#REF!,"AAAAAHpZ74o=",0)</f>
        <v>#REF!</v>
      </c>
      <c r="EJ333" t="e">
        <f>IF(#REF!,"AAAAAHpZ74s=",0)</f>
        <v>#REF!</v>
      </c>
      <c r="EK333" t="e">
        <f>IF(#REF!,"AAAAAHpZ74w=",0)</f>
        <v>#REF!</v>
      </c>
      <c r="EL333" t="e">
        <f>IF(#REF!,"AAAAAHpZ740=",0)</f>
        <v>#REF!</v>
      </c>
      <c r="EM333" t="e">
        <f>IF(#REF!,"AAAAAHpZ744=",0)</f>
        <v>#REF!</v>
      </c>
      <c r="EN333" t="e">
        <f>IF(#REF!,"AAAAAHpZ748=",0)</f>
        <v>#REF!</v>
      </c>
      <c r="EO333" t="e">
        <f>IF(#REF!,"AAAAAHpZ75A=",0)</f>
        <v>#REF!</v>
      </c>
      <c r="EP333" t="e">
        <f>IF(#REF!,"AAAAAHpZ75E=",0)</f>
        <v>#REF!</v>
      </c>
      <c r="EQ333" t="e">
        <f>IF(#REF!,"AAAAAHpZ75I=",0)</f>
        <v>#REF!</v>
      </c>
      <c r="ER333" t="e">
        <f>IF(#REF!,"AAAAAHpZ75M=",0)</f>
        <v>#REF!</v>
      </c>
      <c r="ES333" t="e">
        <f>IF(#REF!,"AAAAAHpZ75Q=",0)</f>
        <v>#REF!</v>
      </c>
      <c r="ET333" t="e">
        <f>IF(#REF!,"AAAAAHpZ75U=",0)</f>
        <v>#REF!</v>
      </c>
      <c r="EU333" t="e">
        <f>IF(#REF!,"AAAAAHpZ75Y=",0)</f>
        <v>#REF!</v>
      </c>
      <c r="EV333" t="e">
        <f>IF(#REF!,"AAAAAHpZ75c=",0)</f>
        <v>#REF!</v>
      </c>
      <c r="EW333" t="e">
        <f>IF(#REF!,"AAAAAHpZ75g=",0)</f>
        <v>#REF!</v>
      </c>
      <c r="EX333" t="e">
        <f>IF(#REF!,"AAAAAHpZ75k=",0)</f>
        <v>#REF!</v>
      </c>
      <c r="EY333" t="e">
        <f>IF(#REF!,"AAAAAHpZ75o=",0)</f>
        <v>#REF!</v>
      </c>
      <c r="EZ333" t="e">
        <f>IF(#REF!,"AAAAAHpZ75s=",0)</f>
        <v>#REF!</v>
      </c>
      <c r="FA333" t="e">
        <f>IF(#REF!,"AAAAAHpZ75w=",0)</f>
        <v>#REF!</v>
      </c>
      <c r="FB333" t="e">
        <f>IF(#REF!,"AAAAAHpZ750=",0)</f>
        <v>#REF!</v>
      </c>
      <c r="FC333" t="e">
        <f>IF(#REF!,"AAAAAHpZ754=",0)</f>
        <v>#REF!</v>
      </c>
      <c r="FD333" t="e">
        <f>IF(#REF!,"AAAAAHpZ758=",0)</f>
        <v>#REF!</v>
      </c>
      <c r="FE333" t="e">
        <f>IF(#REF!,"AAAAAHpZ76A=",0)</f>
        <v>#REF!</v>
      </c>
      <c r="FF333" t="e">
        <f>IF(#REF!,"AAAAAHpZ76E=",0)</f>
        <v>#REF!</v>
      </c>
      <c r="FG333" t="e">
        <f>IF(#REF!,"AAAAAHpZ76I=",0)</f>
        <v>#REF!</v>
      </c>
      <c r="FH333" t="e">
        <f>IF(#REF!,"AAAAAHpZ76M=",0)</f>
        <v>#REF!</v>
      </c>
      <c r="FI333" t="e">
        <f>IF(#REF!,"AAAAAHpZ76Q=",0)</f>
        <v>#REF!</v>
      </c>
      <c r="FJ333" t="e">
        <f>IF(#REF!,"AAAAAHpZ76U=",0)</f>
        <v>#REF!</v>
      </c>
      <c r="FK333" t="e">
        <f>IF(#REF!,"AAAAAHpZ76Y=",0)</f>
        <v>#REF!</v>
      </c>
      <c r="FL333" t="e">
        <f>IF(#REF!,"AAAAAHpZ76c=",0)</f>
        <v>#REF!</v>
      </c>
      <c r="FM333" t="e">
        <f>IF(#REF!,"AAAAAHpZ76g=",0)</f>
        <v>#REF!</v>
      </c>
      <c r="FN333" t="e">
        <f>IF(#REF!,"AAAAAHpZ76k=",0)</f>
        <v>#REF!</v>
      </c>
      <c r="FO333" t="e">
        <f>IF(#REF!,"AAAAAHpZ76o=",0)</f>
        <v>#REF!</v>
      </c>
      <c r="FP333" t="e">
        <f>IF(#REF!,"AAAAAHpZ76s=",0)</f>
        <v>#REF!</v>
      </c>
      <c r="FQ333" t="e">
        <f>IF(#REF!,"AAAAAHpZ76w=",0)</f>
        <v>#REF!</v>
      </c>
      <c r="FR333" t="e">
        <f>IF(#REF!,"AAAAAHpZ760=",0)</f>
        <v>#REF!</v>
      </c>
      <c r="FS333" t="e">
        <f>IF(#REF!,"AAAAAHpZ764=",0)</f>
        <v>#REF!</v>
      </c>
      <c r="FT333" t="e">
        <f>IF(#REF!,"AAAAAHpZ768=",0)</f>
        <v>#REF!</v>
      </c>
      <c r="FU333" t="e">
        <f>IF(#REF!,"AAAAAHpZ77A=",0)</f>
        <v>#REF!</v>
      </c>
      <c r="FV333" t="e">
        <f>IF(#REF!,"AAAAAHpZ77E=",0)</f>
        <v>#REF!</v>
      </c>
      <c r="FW333" t="e">
        <f>IF(#REF!,"AAAAAHpZ77I=",0)</f>
        <v>#REF!</v>
      </c>
      <c r="FX333" t="e">
        <f>IF(#REF!,"AAAAAHpZ77M=",0)</f>
        <v>#REF!</v>
      </c>
      <c r="FY333" t="e">
        <f>IF(#REF!,"AAAAAHpZ77Q=",0)</f>
        <v>#REF!</v>
      </c>
      <c r="FZ333" t="e">
        <f>IF(#REF!,"AAAAAHpZ77U=",0)</f>
        <v>#REF!</v>
      </c>
      <c r="GA333" t="e">
        <f>IF(#REF!,"AAAAAHpZ77Y=",0)</f>
        <v>#REF!</v>
      </c>
      <c r="GB333" t="e">
        <f>IF(#REF!,"AAAAAHpZ77c=",0)</f>
        <v>#REF!</v>
      </c>
      <c r="GC333" t="e">
        <f>IF(#REF!,"AAAAAHpZ77g=",0)</f>
        <v>#REF!</v>
      </c>
      <c r="GD333" t="e">
        <f>IF(#REF!,"AAAAAHpZ77k=",0)</f>
        <v>#REF!</v>
      </c>
      <c r="GE333" t="e">
        <f>IF(#REF!,"AAAAAHpZ77o=",0)</f>
        <v>#REF!</v>
      </c>
      <c r="GF333" t="e">
        <f>IF(#REF!,"AAAAAHpZ77s=",0)</f>
        <v>#REF!</v>
      </c>
      <c r="GG333" t="e">
        <f>IF(#REF!,"AAAAAHpZ77w=",0)</f>
        <v>#REF!</v>
      </c>
      <c r="GH333" t="e">
        <f>IF(#REF!,"AAAAAHpZ770=",0)</f>
        <v>#REF!</v>
      </c>
      <c r="GI333" t="e">
        <f>IF(#REF!,"AAAAAHpZ774=",0)</f>
        <v>#REF!</v>
      </c>
      <c r="GJ333" t="e">
        <f>IF(#REF!,"AAAAAHpZ778=",0)</f>
        <v>#REF!</v>
      </c>
      <c r="GK333" t="e">
        <f>IF(#REF!,"AAAAAHpZ78A=",0)</f>
        <v>#REF!</v>
      </c>
      <c r="GL333" t="e">
        <f>IF(#REF!,"AAAAAHpZ78E=",0)</f>
        <v>#REF!</v>
      </c>
      <c r="GM333" t="e">
        <f>IF(#REF!,"AAAAAHpZ78I=",0)</f>
        <v>#REF!</v>
      </c>
      <c r="GN333" t="e">
        <f>IF(#REF!,"AAAAAHpZ78M=",0)</f>
        <v>#REF!</v>
      </c>
      <c r="GO333" t="e">
        <f>IF(#REF!,"AAAAAHpZ78Q=",0)</f>
        <v>#REF!</v>
      </c>
      <c r="GP333" t="e">
        <f>IF(#REF!,"AAAAAHpZ78U=",0)</f>
        <v>#REF!</v>
      </c>
      <c r="GQ333" t="e">
        <f>IF(#REF!,"AAAAAHpZ78Y=",0)</f>
        <v>#REF!</v>
      </c>
      <c r="GR333" t="e">
        <f>IF(#REF!,"AAAAAHpZ78c=",0)</f>
        <v>#REF!</v>
      </c>
      <c r="GS333" t="e">
        <f>IF(#REF!,"AAAAAHpZ78g=",0)</f>
        <v>#REF!</v>
      </c>
      <c r="GT333" t="e">
        <f>IF(#REF!,"AAAAAHpZ78k=",0)</f>
        <v>#REF!</v>
      </c>
      <c r="GU333" t="e">
        <f>IF(#REF!,"AAAAAHpZ78o=",0)</f>
        <v>#REF!</v>
      </c>
      <c r="GV333" t="e">
        <f>IF(#REF!,"AAAAAHpZ78s=",0)</f>
        <v>#REF!</v>
      </c>
      <c r="GW333" t="e">
        <f>IF(#REF!,"AAAAAHpZ78w=",0)</f>
        <v>#REF!</v>
      </c>
      <c r="GX333" t="e">
        <f>IF(#REF!,"AAAAAHpZ780=",0)</f>
        <v>#REF!</v>
      </c>
      <c r="GY333" t="e">
        <f>IF(#REF!,"AAAAAHpZ784=",0)</f>
        <v>#REF!</v>
      </c>
      <c r="GZ333" t="e">
        <f>IF(#REF!,"AAAAAHpZ788=",0)</f>
        <v>#REF!</v>
      </c>
      <c r="HA333" t="e">
        <f>IF(#REF!,"AAAAAHpZ79A=",0)</f>
        <v>#REF!</v>
      </c>
      <c r="HB333" t="e">
        <f>IF(#REF!,"AAAAAHpZ79E=",0)</f>
        <v>#REF!</v>
      </c>
      <c r="HC333" t="e">
        <f>IF(#REF!,"AAAAAHpZ79I=",0)</f>
        <v>#REF!</v>
      </c>
      <c r="HD333" t="e">
        <f>IF(#REF!,"AAAAAHpZ79M=",0)</f>
        <v>#REF!</v>
      </c>
      <c r="HE333" t="e">
        <f>IF(#REF!,"AAAAAHpZ79Q=",0)</f>
        <v>#REF!</v>
      </c>
      <c r="HF333" t="e">
        <f>IF(#REF!,"AAAAAHpZ79U=",0)</f>
        <v>#REF!</v>
      </c>
      <c r="HG333" t="e">
        <f>IF(#REF!,"AAAAAHpZ79Y=",0)</f>
        <v>#REF!</v>
      </c>
      <c r="HH333" t="e">
        <f>IF(#REF!,"AAAAAHpZ79c=",0)</f>
        <v>#REF!</v>
      </c>
      <c r="HI333" t="e">
        <f>IF(#REF!,"AAAAAHpZ79g=",0)</f>
        <v>#REF!</v>
      </c>
      <c r="HJ333" t="e">
        <f>IF(#REF!,"AAAAAHpZ79k=",0)</f>
        <v>#REF!</v>
      </c>
      <c r="HK333" t="e">
        <f>IF(#REF!,"AAAAAHpZ79o=",0)</f>
        <v>#REF!</v>
      </c>
      <c r="HL333" t="e">
        <f>IF(#REF!,"AAAAAHpZ79s=",0)</f>
        <v>#REF!</v>
      </c>
      <c r="HM333" t="e">
        <f>IF(#REF!,"AAAAAHpZ79w=",0)</f>
        <v>#REF!</v>
      </c>
      <c r="HN333" t="e">
        <f>IF(#REF!,"AAAAAHpZ790=",0)</f>
        <v>#REF!</v>
      </c>
      <c r="HO333" t="e">
        <f>IF(#REF!,"AAAAAHpZ794=",0)</f>
        <v>#REF!</v>
      </c>
      <c r="HP333" t="e">
        <f>IF(#REF!,"AAAAAHpZ798=",0)</f>
        <v>#REF!</v>
      </c>
      <c r="HQ333" t="e">
        <f>IF(#REF!,"AAAAAHpZ7+A=",0)</f>
        <v>#REF!</v>
      </c>
      <c r="HR333" t="e">
        <f>IF(#REF!,"AAAAAHpZ7+E=",0)</f>
        <v>#REF!</v>
      </c>
      <c r="HS333" t="e">
        <f>IF(#REF!,"AAAAAHpZ7+I=",0)</f>
        <v>#REF!</v>
      </c>
      <c r="HT333" t="e">
        <f>IF(#REF!,"AAAAAHpZ7+M=",0)</f>
        <v>#REF!</v>
      </c>
      <c r="HU333" t="e">
        <f>IF(#REF!,"AAAAAHpZ7+Q=",0)</f>
        <v>#REF!</v>
      </c>
      <c r="HV333" t="e">
        <f>IF(#REF!,"AAAAAHpZ7+U=",0)</f>
        <v>#REF!</v>
      </c>
      <c r="HW333" t="e">
        <f>IF(#REF!,"AAAAAHpZ7+Y=",0)</f>
        <v>#REF!</v>
      </c>
      <c r="HX333" t="e">
        <f>IF(#REF!,"AAAAAHpZ7+c=",0)</f>
        <v>#REF!</v>
      </c>
      <c r="HY333" t="e">
        <f>IF(#REF!,"AAAAAHpZ7+g=",0)</f>
        <v>#REF!</v>
      </c>
      <c r="HZ333" t="e">
        <f>IF(#REF!,"AAAAAHpZ7+k=",0)</f>
        <v>#REF!</v>
      </c>
      <c r="IA333" t="e">
        <f>IF(#REF!,"AAAAAHpZ7+o=",0)</f>
        <v>#REF!</v>
      </c>
      <c r="IB333" t="e">
        <f>IF(#REF!,"AAAAAHpZ7+s=",0)</f>
        <v>#REF!</v>
      </c>
      <c r="IC333" t="e">
        <f>IF(#REF!,"AAAAAHpZ7+w=",0)</f>
        <v>#REF!</v>
      </c>
      <c r="ID333" t="e">
        <f>IF(#REF!,"AAAAAHpZ7+0=",0)</f>
        <v>#REF!</v>
      </c>
      <c r="IE333" t="e">
        <f>IF(#REF!,"AAAAAHpZ7+4=",0)</f>
        <v>#REF!</v>
      </c>
      <c r="IF333" t="e">
        <f>IF(#REF!,"AAAAAHpZ7+8=",0)</f>
        <v>#REF!</v>
      </c>
      <c r="IG333" t="e">
        <f>IF(#REF!,"AAAAAHpZ7/A=",0)</f>
        <v>#REF!</v>
      </c>
      <c r="IH333" t="e">
        <f>IF(#REF!,"AAAAAHpZ7/E=",0)</f>
        <v>#REF!</v>
      </c>
      <c r="II333" t="e">
        <f>IF(#REF!,"AAAAAHpZ7/I=",0)</f>
        <v>#REF!</v>
      </c>
      <c r="IJ333" t="e">
        <f>IF(#REF!,"AAAAAHpZ7/M=",0)</f>
        <v>#REF!</v>
      </c>
      <c r="IK333" t="e">
        <f>IF(#REF!,"AAAAAHpZ7/Q=",0)</f>
        <v>#REF!</v>
      </c>
      <c r="IL333" t="e">
        <f>IF(#REF!,"AAAAAHpZ7/U=",0)</f>
        <v>#REF!</v>
      </c>
      <c r="IM333" t="e">
        <f>IF(#REF!,"AAAAAHpZ7/Y=",0)</f>
        <v>#REF!</v>
      </c>
      <c r="IN333" t="e">
        <f>IF(#REF!,"AAAAAHpZ7/c=",0)</f>
        <v>#REF!</v>
      </c>
      <c r="IO333" t="e">
        <f>IF(#REF!,"AAAAAHpZ7/g=",0)</f>
        <v>#REF!</v>
      </c>
      <c r="IP333" t="e">
        <f>IF(#REF!,"AAAAAHpZ7/k=",0)</f>
        <v>#REF!</v>
      </c>
      <c r="IQ333" t="e">
        <f>IF(#REF!,"AAAAAHpZ7/o=",0)</f>
        <v>#REF!</v>
      </c>
      <c r="IR333" t="e">
        <f>IF(#REF!,"AAAAAHpZ7/s=",0)</f>
        <v>#REF!</v>
      </c>
      <c r="IS333" t="e">
        <f>IF(#REF!,"AAAAAHpZ7/w=",0)</f>
        <v>#REF!</v>
      </c>
      <c r="IT333" t="e">
        <f>IF(#REF!,"AAAAAHpZ7/0=",0)</f>
        <v>#REF!</v>
      </c>
      <c r="IU333" t="e">
        <f>IF(#REF!,"AAAAAHpZ7/4=",0)</f>
        <v>#REF!</v>
      </c>
      <c r="IV333" t="e">
        <f>IF(#REF!,"AAAAAHpZ7/8=",0)</f>
        <v>#REF!</v>
      </c>
    </row>
    <row r="334" spans="1:256">
      <c r="A334" t="e">
        <f>IF(#REF!,"AAAAADvoawA=",0)</f>
        <v>#REF!</v>
      </c>
      <c r="B334" t="e">
        <f>IF(#REF!,"AAAAADvoawE=",0)</f>
        <v>#REF!</v>
      </c>
      <c r="C334" t="e">
        <f>IF(#REF!,"AAAAADvoawI=",0)</f>
        <v>#REF!</v>
      </c>
      <c r="D334" t="e">
        <f>IF(#REF!,"AAAAADvoawM=",0)</f>
        <v>#REF!</v>
      </c>
      <c r="E334" t="e">
        <f>IF(#REF!,"AAAAADvoawQ=",0)</f>
        <v>#REF!</v>
      </c>
      <c r="F334" t="e">
        <f>IF(#REF!,"AAAAADvoawU=",0)</f>
        <v>#REF!</v>
      </c>
      <c r="G334" t="e">
        <f>IF(#REF!,"AAAAADvoawY=",0)</f>
        <v>#REF!</v>
      </c>
      <c r="H334" t="e">
        <f>IF(#REF!,"AAAAADvoawc=",0)</f>
        <v>#REF!</v>
      </c>
      <c r="I334" t="e">
        <f>IF(#REF!,"AAAAADvoawg=",0)</f>
        <v>#REF!</v>
      </c>
      <c r="J334" t="e">
        <f>IF(#REF!,"AAAAADvoawk=",0)</f>
        <v>#REF!</v>
      </c>
      <c r="K334" t="e">
        <f>IF(#REF!,"AAAAADvoawo=",0)</f>
        <v>#REF!</v>
      </c>
      <c r="L334" t="e">
        <f>IF(#REF!,"AAAAADvoaws=",0)</f>
        <v>#REF!</v>
      </c>
      <c r="M334" t="e">
        <f>IF(#REF!,"AAAAADvoaww=",0)</f>
        <v>#REF!</v>
      </c>
      <c r="N334" t="e">
        <f>IF(#REF!,"AAAAADvoaw0=",0)</f>
        <v>#REF!</v>
      </c>
      <c r="O334" t="e">
        <f>IF(#REF!,"AAAAADvoaw4=",0)</f>
        <v>#REF!</v>
      </c>
      <c r="P334" t="e">
        <f>IF(#REF!,"AAAAADvoaw8=",0)</f>
        <v>#REF!</v>
      </c>
      <c r="Q334" t="e">
        <f>IF(#REF!,"AAAAADvoaxA=",0)</f>
        <v>#REF!</v>
      </c>
      <c r="R334" t="e">
        <f>IF(#REF!,"AAAAADvoaxE=",0)</f>
        <v>#REF!</v>
      </c>
      <c r="S334" t="e">
        <f>IF(#REF!,"AAAAADvoaxI=",0)</f>
        <v>#REF!</v>
      </c>
      <c r="T334" t="e">
        <f>IF(#REF!,"AAAAADvoaxM=",0)</f>
        <v>#REF!</v>
      </c>
      <c r="U334" t="e">
        <f>IF(#REF!,"AAAAADvoaxQ=",0)</f>
        <v>#REF!</v>
      </c>
      <c r="V334" t="e">
        <f>IF(#REF!,"AAAAADvoaxU=",0)</f>
        <v>#REF!</v>
      </c>
      <c r="W334" t="e">
        <f>IF(#REF!,"AAAAADvoaxY=",0)</f>
        <v>#REF!</v>
      </c>
      <c r="X334" t="e">
        <f>IF(#REF!,"AAAAADvoaxc=",0)</f>
        <v>#REF!</v>
      </c>
      <c r="Y334" t="e">
        <f>IF(#REF!,"AAAAADvoaxg=",0)</f>
        <v>#REF!</v>
      </c>
      <c r="Z334" t="e">
        <f>IF(#REF!,"AAAAADvoaxk=",0)</f>
        <v>#REF!</v>
      </c>
      <c r="AA334" t="e">
        <f>IF(#REF!,"AAAAADvoaxo=",0)</f>
        <v>#REF!</v>
      </c>
      <c r="AB334" t="e">
        <f>IF(#REF!,"AAAAADvoaxs=",0)</f>
        <v>#REF!</v>
      </c>
      <c r="AC334" t="e">
        <f>IF(#REF!,"AAAAADvoaxw=",0)</f>
        <v>#REF!</v>
      </c>
      <c r="AD334" t="e">
        <f>IF(#REF!,"AAAAADvoax0=",0)</f>
        <v>#REF!</v>
      </c>
      <c r="AE334" t="e">
        <f>IF(#REF!,"AAAAADvoax4=",0)</f>
        <v>#REF!</v>
      </c>
      <c r="AF334" t="e">
        <f>IF(#REF!,"AAAAADvoax8=",0)</f>
        <v>#REF!</v>
      </c>
      <c r="AG334" t="e">
        <f>IF(#REF!,"AAAAADvoayA=",0)</f>
        <v>#REF!</v>
      </c>
      <c r="AH334" t="e">
        <f>IF(#REF!,"AAAAADvoayE=",0)</f>
        <v>#REF!</v>
      </c>
      <c r="AI334" t="e">
        <f>IF(#REF!,"AAAAADvoayI=",0)</f>
        <v>#REF!</v>
      </c>
      <c r="AJ334" t="e">
        <f>IF(#REF!,"AAAAADvoayM=",0)</f>
        <v>#REF!</v>
      </c>
      <c r="AK334" t="e">
        <f>IF(#REF!,"AAAAADvoayQ=",0)</f>
        <v>#REF!</v>
      </c>
      <c r="AL334" t="e">
        <f>IF(#REF!,"AAAAADvoayU=",0)</f>
        <v>#REF!</v>
      </c>
      <c r="AM334" t="e">
        <f>IF(#REF!,"AAAAADvoayY=",0)</f>
        <v>#REF!</v>
      </c>
      <c r="AN334" t="e">
        <f>IF(#REF!,"AAAAADvoayc=",0)</f>
        <v>#REF!</v>
      </c>
      <c r="AO334" t="e">
        <f>IF(#REF!,"AAAAADvoayg=",0)</f>
        <v>#REF!</v>
      </c>
      <c r="AP334" t="e">
        <f>IF(#REF!,"AAAAADvoayk=",0)</f>
        <v>#REF!</v>
      </c>
      <c r="AQ334" t="e">
        <f>IF(#REF!,"AAAAADvoayo=",0)</f>
        <v>#REF!</v>
      </c>
      <c r="AR334" t="e">
        <f>IF(#REF!,"AAAAADvoays=",0)</f>
        <v>#REF!</v>
      </c>
      <c r="AS334" t="e">
        <f>IF(#REF!,"AAAAADvoayw=",0)</f>
        <v>#REF!</v>
      </c>
      <c r="AT334" t="e">
        <f>IF(#REF!,"AAAAADvoay0=",0)</f>
        <v>#REF!</v>
      </c>
      <c r="AU334" t="e">
        <f>IF(#REF!,"AAAAADvoay4=",0)</f>
        <v>#REF!</v>
      </c>
      <c r="AV334" t="e">
        <f>IF(#REF!,"AAAAADvoay8=",0)</f>
        <v>#REF!</v>
      </c>
      <c r="AW334" t="e">
        <f>IF(#REF!,"AAAAADvoazA=",0)</f>
        <v>#REF!</v>
      </c>
      <c r="AX334" t="e">
        <f>IF(#REF!,"AAAAADvoazE=",0)</f>
        <v>#REF!</v>
      </c>
      <c r="AY334" t="e">
        <f>IF(#REF!,"AAAAADvoazI=",0)</f>
        <v>#REF!</v>
      </c>
      <c r="AZ334" t="e">
        <f>IF(#REF!,"AAAAADvoazM=",0)</f>
        <v>#REF!</v>
      </c>
      <c r="BA334" t="e">
        <f>IF(#REF!,"AAAAADvoazQ=",0)</f>
        <v>#REF!</v>
      </c>
      <c r="BB334" t="e">
        <f>IF(#REF!,"AAAAADvoazU=",0)</f>
        <v>#REF!</v>
      </c>
      <c r="BC334" t="e">
        <f>IF(#REF!,"AAAAADvoazY=",0)</f>
        <v>#REF!</v>
      </c>
      <c r="BD334" t="e">
        <f>IF(#REF!,"AAAAADvoazc=",0)</f>
        <v>#REF!</v>
      </c>
      <c r="BE334" t="e">
        <f>IF(#REF!,"AAAAADvoazg=",0)</f>
        <v>#REF!</v>
      </c>
      <c r="BF334" t="e">
        <f>IF(#REF!,"AAAAADvoazk=",0)</f>
        <v>#REF!</v>
      </c>
      <c r="BG334" t="e">
        <f>IF(#REF!,"AAAAADvoazo=",0)</f>
        <v>#REF!</v>
      </c>
      <c r="BH334" t="e">
        <f>IF(#REF!,"AAAAADvoazs=",0)</f>
        <v>#REF!</v>
      </c>
      <c r="BI334" t="e">
        <f>IF(#REF!,"AAAAADvoazw=",0)</f>
        <v>#REF!</v>
      </c>
      <c r="BJ334" t="e">
        <f>IF(#REF!,"AAAAADvoaz0=",0)</f>
        <v>#REF!</v>
      </c>
      <c r="BK334" t="e">
        <f>IF(#REF!,"AAAAADvoaz4=",0)</f>
        <v>#REF!</v>
      </c>
      <c r="BL334" t="e">
        <f>IF(#REF!,"AAAAADvoaz8=",0)</f>
        <v>#REF!</v>
      </c>
      <c r="BM334" t="e">
        <f>IF(#REF!,"AAAAADvoa0A=",0)</f>
        <v>#REF!</v>
      </c>
      <c r="BN334" t="e">
        <f>IF(#REF!,"AAAAADvoa0E=",0)</f>
        <v>#REF!</v>
      </c>
      <c r="BO334" t="e">
        <f>IF(#REF!,"AAAAADvoa0I=",0)</f>
        <v>#REF!</v>
      </c>
      <c r="BP334" t="e">
        <f>IF(#REF!,"AAAAADvoa0M=",0)</f>
        <v>#REF!</v>
      </c>
      <c r="BQ334" t="e">
        <f>IF(#REF!,"AAAAADvoa0Q=",0)</f>
        <v>#REF!</v>
      </c>
      <c r="BR334" t="e">
        <f>IF(#REF!,"AAAAADvoa0U=",0)</f>
        <v>#REF!</v>
      </c>
      <c r="BS334" t="e">
        <f>IF(#REF!,"AAAAADvoa0Y=",0)</f>
        <v>#REF!</v>
      </c>
      <c r="BT334" t="e">
        <f>IF(#REF!,"AAAAADvoa0c=",0)</f>
        <v>#REF!</v>
      </c>
      <c r="BU334" t="e">
        <f>IF(#REF!,"AAAAADvoa0g=",0)</f>
        <v>#REF!</v>
      </c>
      <c r="BV334" t="e">
        <f>IF(#REF!,"AAAAADvoa0k=",0)</f>
        <v>#REF!</v>
      </c>
      <c r="BW334" t="e">
        <f>IF(#REF!,"AAAAADvoa0o=",0)</f>
        <v>#REF!</v>
      </c>
      <c r="BX334" t="e">
        <f>IF(#REF!,"AAAAADvoa0s=",0)</f>
        <v>#REF!</v>
      </c>
      <c r="BY334" t="e">
        <f>IF(#REF!,"AAAAADvoa0w=",0)</f>
        <v>#REF!</v>
      </c>
      <c r="BZ334" t="e">
        <f>IF(#REF!,"AAAAADvoa00=",0)</f>
        <v>#REF!</v>
      </c>
      <c r="CA334" t="e">
        <f>IF(#REF!,"AAAAADvoa04=",0)</f>
        <v>#REF!</v>
      </c>
      <c r="CB334" t="e">
        <f>IF(#REF!,"AAAAADvoa08=",0)</f>
        <v>#REF!</v>
      </c>
      <c r="CC334" t="e">
        <f>IF(#REF!,"AAAAADvoa1A=",0)</f>
        <v>#REF!</v>
      </c>
      <c r="CD334" t="e">
        <f>IF(#REF!,"AAAAADvoa1E=",0)</f>
        <v>#REF!</v>
      </c>
      <c r="CE334" t="e">
        <f>IF(#REF!,"AAAAADvoa1I=",0)</f>
        <v>#REF!</v>
      </c>
      <c r="CF334" t="e">
        <f>IF(#REF!,"AAAAADvoa1M=",0)</f>
        <v>#REF!</v>
      </c>
      <c r="CG334" t="e">
        <f>IF(#REF!,"AAAAADvoa1Q=",0)</f>
        <v>#REF!</v>
      </c>
      <c r="CH334" t="e">
        <f>IF(#REF!,"AAAAADvoa1U=",0)</f>
        <v>#REF!</v>
      </c>
      <c r="CI334" t="e">
        <f>IF(#REF!,"AAAAADvoa1Y=",0)</f>
        <v>#REF!</v>
      </c>
      <c r="CJ334" t="e">
        <f>IF(#REF!,"AAAAADvoa1c=",0)</f>
        <v>#REF!</v>
      </c>
      <c r="CK334" t="e">
        <f>IF(#REF!,"AAAAADvoa1g=",0)</f>
        <v>#REF!</v>
      </c>
      <c r="CL334" t="e">
        <f>IF(#REF!,"AAAAADvoa1k=",0)</f>
        <v>#REF!</v>
      </c>
      <c r="CM334" t="e">
        <f>IF(#REF!,"AAAAADvoa1o=",0)</f>
        <v>#REF!</v>
      </c>
      <c r="CN334" t="e">
        <f>IF(#REF!,"AAAAADvoa1s=",0)</f>
        <v>#REF!</v>
      </c>
      <c r="CO334" t="e">
        <f>IF(#REF!,"AAAAADvoa1w=",0)</f>
        <v>#REF!</v>
      </c>
      <c r="CP334" t="e">
        <f>IF(#REF!,"AAAAADvoa10=",0)</f>
        <v>#REF!</v>
      </c>
      <c r="CQ334" t="e">
        <f>IF(#REF!,"AAAAADvoa14=",0)</f>
        <v>#REF!</v>
      </c>
      <c r="CR334" t="e">
        <f>IF(#REF!,"AAAAADvoa18=",0)</f>
        <v>#REF!</v>
      </c>
      <c r="CS334" t="e">
        <f>IF(#REF!,"AAAAADvoa2A=",0)</f>
        <v>#REF!</v>
      </c>
      <c r="CT334" t="e">
        <f>IF(#REF!,"AAAAADvoa2E=",0)</f>
        <v>#REF!</v>
      </c>
      <c r="CU334" t="e">
        <f>IF(#REF!,"AAAAADvoa2I=",0)</f>
        <v>#REF!</v>
      </c>
      <c r="CV334" t="e">
        <f>IF(#REF!,"AAAAADvoa2M=",0)</f>
        <v>#REF!</v>
      </c>
      <c r="CW334" t="e">
        <f>IF(#REF!,"AAAAADvoa2Q=",0)</f>
        <v>#REF!</v>
      </c>
      <c r="CX334" t="e">
        <f>IF(#REF!,"AAAAADvoa2U=",0)</f>
        <v>#REF!</v>
      </c>
      <c r="CY334" t="e">
        <f>IF(#REF!,"AAAAADvoa2Y=",0)</f>
        <v>#REF!</v>
      </c>
      <c r="CZ334" t="e">
        <f>IF(#REF!,"AAAAADvoa2c=",0)</f>
        <v>#REF!</v>
      </c>
      <c r="DA334" t="e">
        <f>IF(#REF!,"AAAAADvoa2g=",0)</f>
        <v>#REF!</v>
      </c>
      <c r="DB334" t="e">
        <f>IF(#REF!,"AAAAADvoa2k=",0)</f>
        <v>#REF!</v>
      </c>
      <c r="DC334" t="e">
        <f>IF(#REF!,"AAAAADvoa2o=",0)</f>
        <v>#REF!</v>
      </c>
      <c r="DD334" t="e">
        <f>IF(#REF!,"AAAAADvoa2s=",0)</f>
        <v>#REF!</v>
      </c>
      <c r="DE334" t="e">
        <f>IF(#REF!,"AAAAADvoa2w=",0)</f>
        <v>#REF!</v>
      </c>
      <c r="DF334" t="e">
        <f>IF(#REF!,"AAAAADvoa20=",0)</f>
        <v>#REF!</v>
      </c>
      <c r="DG334" t="e">
        <f>IF(#REF!,"AAAAADvoa24=",0)</f>
        <v>#REF!</v>
      </c>
      <c r="DH334" t="e">
        <f>IF(#REF!,"AAAAADvoa28=",0)</f>
        <v>#REF!</v>
      </c>
      <c r="DI334" t="e">
        <f>IF(#REF!,"AAAAADvoa3A=",0)</f>
        <v>#REF!</v>
      </c>
      <c r="DJ334" t="e">
        <f>IF(#REF!,"AAAAADvoa3E=",0)</f>
        <v>#REF!</v>
      </c>
      <c r="DK334" t="e">
        <f>IF(#REF!,"AAAAADvoa3I=",0)</f>
        <v>#REF!</v>
      </c>
      <c r="DL334" t="e">
        <f>IF(#REF!,"AAAAADvoa3M=",0)</f>
        <v>#REF!</v>
      </c>
      <c r="DM334" t="e">
        <f>IF(#REF!,"AAAAADvoa3Q=",0)</f>
        <v>#REF!</v>
      </c>
      <c r="DN334" t="e">
        <f>IF(#REF!,"AAAAADvoa3U=",0)</f>
        <v>#REF!</v>
      </c>
      <c r="DO334" t="e">
        <f>IF(#REF!,"AAAAADvoa3Y=",0)</f>
        <v>#REF!</v>
      </c>
      <c r="DP334" t="e">
        <f>IF(#REF!,"AAAAADvoa3c=",0)</f>
        <v>#REF!</v>
      </c>
      <c r="DQ334" t="e">
        <f>IF(#REF!,"AAAAADvoa3g=",0)</f>
        <v>#REF!</v>
      </c>
      <c r="DR334" t="e">
        <f>IF(#REF!,"AAAAADvoa3k=",0)</f>
        <v>#REF!</v>
      </c>
      <c r="DS334" t="e">
        <f>IF(#REF!,"AAAAADvoa3o=",0)</f>
        <v>#REF!</v>
      </c>
      <c r="DT334" t="e">
        <f>IF(#REF!,"AAAAADvoa3s=",0)</f>
        <v>#REF!</v>
      </c>
      <c r="DU334" t="e">
        <f>IF(#REF!,"AAAAADvoa3w=",0)</f>
        <v>#REF!</v>
      </c>
      <c r="DV334" t="e">
        <f>IF(#REF!,"AAAAADvoa30=",0)</f>
        <v>#REF!</v>
      </c>
      <c r="DW334" t="e">
        <f>IF(#REF!,"AAAAADvoa34=",0)</f>
        <v>#REF!</v>
      </c>
      <c r="DX334" t="e">
        <f>IF(#REF!,"AAAAADvoa38=",0)</f>
        <v>#REF!</v>
      </c>
      <c r="DY334" t="e">
        <f>IF(#REF!,"AAAAADvoa4A=",0)</f>
        <v>#REF!</v>
      </c>
      <c r="DZ334" t="e">
        <f>IF(#REF!,"AAAAADvoa4E=",0)</f>
        <v>#REF!</v>
      </c>
      <c r="EA334" t="e">
        <f>IF(#REF!,"AAAAADvoa4I=",0)</f>
        <v>#REF!</v>
      </c>
      <c r="EB334" t="e">
        <f>IF(#REF!,"AAAAADvoa4M=",0)</f>
        <v>#REF!</v>
      </c>
      <c r="EC334" t="e">
        <f>IF(#REF!,"AAAAADvoa4Q=",0)</f>
        <v>#REF!</v>
      </c>
      <c r="ED334" t="e">
        <f>IF(#REF!,"AAAAADvoa4U=",0)</f>
        <v>#REF!</v>
      </c>
      <c r="EE334" t="e">
        <f>IF(#REF!,"AAAAADvoa4Y=",0)</f>
        <v>#REF!</v>
      </c>
      <c r="EF334" t="e">
        <f>IF(#REF!,"AAAAADvoa4c=",0)</f>
        <v>#REF!</v>
      </c>
      <c r="EG334" t="e">
        <f>IF(#REF!,"AAAAADvoa4g=",0)</f>
        <v>#REF!</v>
      </c>
      <c r="EH334" t="e">
        <f>IF(#REF!,"AAAAADvoa4k=",0)</f>
        <v>#REF!</v>
      </c>
      <c r="EI334" t="e">
        <f>IF(#REF!,"AAAAADvoa4o=",0)</f>
        <v>#REF!</v>
      </c>
      <c r="EJ334" t="e">
        <f>IF(#REF!,"AAAAADvoa4s=",0)</f>
        <v>#REF!</v>
      </c>
      <c r="EK334" t="e">
        <f>IF(#REF!,"AAAAADvoa4w=",0)</f>
        <v>#REF!</v>
      </c>
      <c r="EL334" t="e">
        <f>IF(#REF!,"AAAAADvoa40=",0)</f>
        <v>#REF!</v>
      </c>
      <c r="EM334" t="e">
        <f>IF(#REF!,"AAAAADvoa44=",0)</f>
        <v>#REF!</v>
      </c>
      <c r="EN334" t="e">
        <f>IF(#REF!,"AAAAADvoa48=",0)</f>
        <v>#REF!</v>
      </c>
      <c r="EO334" t="e">
        <f>IF(#REF!,"AAAAADvoa5A=",0)</f>
        <v>#REF!</v>
      </c>
      <c r="EP334" t="e">
        <f>IF(#REF!,"AAAAADvoa5E=",0)</f>
        <v>#REF!</v>
      </c>
      <c r="EQ334" t="e">
        <f>IF(#REF!,"AAAAADvoa5I=",0)</f>
        <v>#REF!</v>
      </c>
      <c r="ER334" t="e">
        <f>IF(#REF!,"AAAAADvoa5M=",0)</f>
        <v>#REF!</v>
      </c>
      <c r="ES334" t="e">
        <f>IF(#REF!,"AAAAADvoa5Q=",0)</f>
        <v>#REF!</v>
      </c>
      <c r="ET334" t="e">
        <f>IF(#REF!,"AAAAADvoa5U=",0)</f>
        <v>#REF!</v>
      </c>
      <c r="EU334" t="e">
        <f>IF(#REF!,"AAAAADvoa5Y=",0)</f>
        <v>#REF!</v>
      </c>
      <c r="EV334" t="e">
        <f>IF(#REF!,"AAAAADvoa5c=",0)</f>
        <v>#REF!</v>
      </c>
      <c r="EW334" t="e">
        <f>IF(#REF!,"AAAAADvoa5g=",0)</f>
        <v>#REF!</v>
      </c>
      <c r="EX334" t="e">
        <f>IF(#REF!,"AAAAADvoa5k=",0)</f>
        <v>#REF!</v>
      </c>
      <c r="EY334" t="e">
        <f>IF(#REF!,"AAAAADvoa5o=",0)</f>
        <v>#REF!</v>
      </c>
      <c r="EZ334" t="e">
        <f>IF(#REF!,"AAAAADvoa5s=",0)</f>
        <v>#REF!</v>
      </c>
      <c r="FA334" t="e">
        <f>IF(#REF!,"AAAAADvoa5w=",0)</f>
        <v>#REF!</v>
      </c>
      <c r="FB334" t="e">
        <f>IF(#REF!,"AAAAADvoa50=",0)</f>
        <v>#REF!</v>
      </c>
      <c r="FC334" t="e">
        <f>IF(#REF!,"AAAAADvoa54=",0)</f>
        <v>#REF!</v>
      </c>
      <c r="FD334" t="e">
        <f>IF(#REF!,"AAAAADvoa58=",0)</f>
        <v>#REF!</v>
      </c>
      <c r="FE334" t="e">
        <f>IF(#REF!,"AAAAADvoa6A=",0)</f>
        <v>#REF!</v>
      </c>
      <c r="FF334" t="e">
        <f>IF(#REF!,"AAAAADvoa6E=",0)</f>
        <v>#REF!</v>
      </c>
      <c r="FG334" t="e">
        <f>IF(#REF!,"AAAAADvoa6I=",0)</f>
        <v>#REF!</v>
      </c>
      <c r="FH334" t="e">
        <f>IF(#REF!,"AAAAADvoa6M=",0)</f>
        <v>#REF!</v>
      </c>
      <c r="FI334" t="e">
        <f>IF(#REF!,"AAAAADvoa6Q=",0)</f>
        <v>#REF!</v>
      </c>
      <c r="FJ334" t="e">
        <f>IF(#REF!,"AAAAADvoa6U=",0)</f>
        <v>#REF!</v>
      </c>
      <c r="FK334" t="e">
        <f>IF(#REF!,"AAAAADvoa6Y=",0)</f>
        <v>#REF!</v>
      </c>
      <c r="FL334" t="e">
        <f>IF(#REF!,"AAAAADvoa6c=",0)</f>
        <v>#REF!</v>
      </c>
      <c r="FM334" t="e">
        <f>IF(#REF!,"AAAAADvoa6g=",0)</f>
        <v>#REF!</v>
      </c>
      <c r="FN334" t="e">
        <f>IF(#REF!,"AAAAADvoa6k=",0)</f>
        <v>#REF!</v>
      </c>
      <c r="FO334" t="e">
        <f>IF(#REF!,"AAAAADvoa6o=",0)</f>
        <v>#REF!</v>
      </c>
      <c r="FP334" t="e">
        <f>IF(#REF!,"AAAAADvoa6s=",0)</f>
        <v>#REF!</v>
      </c>
      <c r="FQ334" t="e">
        <f>IF(#REF!,"AAAAADvoa6w=",0)</f>
        <v>#REF!</v>
      </c>
      <c r="FR334" t="e">
        <f>IF(#REF!,"AAAAADvoa60=",0)</f>
        <v>#REF!</v>
      </c>
      <c r="FS334" t="e">
        <f>IF(#REF!,"AAAAADvoa64=",0)</f>
        <v>#REF!</v>
      </c>
      <c r="FT334" t="e">
        <f>IF(#REF!,"AAAAADvoa68=",0)</f>
        <v>#REF!</v>
      </c>
      <c r="FU334" t="e">
        <f>IF(#REF!,"AAAAADvoa7A=",0)</f>
        <v>#REF!</v>
      </c>
      <c r="FV334" t="e">
        <f>IF(#REF!,"AAAAADvoa7E=",0)</f>
        <v>#REF!</v>
      </c>
      <c r="FW334" t="e">
        <f>IF(#REF!,"AAAAADvoa7I=",0)</f>
        <v>#REF!</v>
      </c>
      <c r="FX334" t="e">
        <f>IF(#REF!,"AAAAADvoa7M=",0)</f>
        <v>#REF!</v>
      </c>
      <c r="FY334" t="e">
        <f>IF(#REF!,"AAAAADvoa7Q=",0)</f>
        <v>#REF!</v>
      </c>
      <c r="FZ334" t="e">
        <f>IF(#REF!,"AAAAADvoa7U=",0)</f>
        <v>#REF!</v>
      </c>
      <c r="GA334" t="e">
        <f>IF(#REF!,"AAAAADvoa7Y=",0)</f>
        <v>#REF!</v>
      </c>
      <c r="GB334" t="e">
        <f>IF(#REF!,"AAAAADvoa7c=",0)</f>
        <v>#REF!</v>
      </c>
      <c r="GC334" t="e">
        <f>IF(#REF!,"AAAAADvoa7g=",0)</f>
        <v>#REF!</v>
      </c>
      <c r="GD334" t="e">
        <f>IF(#REF!,"AAAAADvoa7k=",0)</f>
        <v>#REF!</v>
      </c>
      <c r="GE334" t="e">
        <f>IF(#REF!,"AAAAADvoa7o=",0)</f>
        <v>#REF!</v>
      </c>
      <c r="GF334" t="e">
        <f>IF(#REF!,"AAAAADvoa7s=",0)</f>
        <v>#REF!</v>
      </c>
      <c r="GG334" t="e">
        <f>IF(#REF!,"AAAAADvoa7w=",0)</f>
        <v>#REF!</v>
      </c>
      <c r="GH334" t="e">
        <f>IF(#REF!,"AAAAADvoa70=",0)</f>
        <v>#REF!</v>
      </c>
      <c r="GI334" t="e">
        <f>IF(#REF!,"AAAAADvoa74=",0)</f>
        <v>#REF!</v>
      </c>
      <c r="GJ334" t="e">
        <f>IF(#REF!,"AAAAADvoa78=",0)</f>
        <v>#REF!</v>
      </c>
      <c r="GK334" t="e">
        <f>IF(#REF!,"AAAAADvoa8A=",0)</f>
        <v>#REF!</v>
      </c>
      <c r="GL334" t="e">
        <f>IF(#REF!,"AAAAADvoa8E=",0)</f>
        <v>#REF!</v>
      </c>
      <c r="GM334" t="e">
        <f>IF(#REF!,"AAAAADvoa8I=",0)</f>
        <v>#REF!</v>
      </c>
      <c r="GN334" t="e">
        <f>IF(#REF!,"AAAAADvoa8M=",0)</f>
        <v>#REF!</v>
      </c>
      <c r="GO334" t="e">
        <f>IF(#REF!,"AAAAADvoa8Q=",0)</f>
        <v>#REF!</v>
      </c>
      <c r="GP334" t="e">
        <f>IF(#REF!,"AAAAADvoa8U=",0)</f>
        <v>#REF!</v>
      </c>
      <c r="GQ334" t="e">
        <f>IF(#REF!,"AAAAADvoa8Y=",0)</f>
        <v>#REF!</v>
      </c>
      <c r="GR334" t="e">
        <f>IF(#REF!,"AAAAADvoa8c=",0)</f>
        <v>#REF!</v>
      </c>
      <c r="GS334" t="e">
        <f>IF(#REF!,"AAAAADvoa8g=",0)</f>
        <v>#REF!</v>
      </c>
      <c r="GT334" t="e">
        <f>IF(#REF!,"AAAAADvoa8k=",0)</f>
        <v>#REF!</v>
      </c>
      <c r="GU334" t="e">
        <f>IF(#REF!,"AAAAADvoa8o=",0)</f>
        <v>#REF!</v>
      </c>
      <c r="GV334" t="e">
        <f>IF(#REF!,"AAAAADvoa8s=",0)</f>
        <v>#REF!</v>
      </c>
      <c r="GW334" t="e">
        <f>IF(#REF!,"AAAAADvoa8w=",0)</f>
        <v>#REF!</v>
      </c>
      <c r="GX334" t="e">
        <f>IF(#REF!,"AAAAADvoa80=",0)</f>
        <v>#REF!</v>
      </c>
      <c r="GY334" t="e">
        <f>IF(#REF!,"AAAAADvoa84=",0)</f>
        <v>#REF!</v>
      </c>
      <c r="GZ334" t="e">
        <f>IF(#REF!,"AAAAADvoa88=",0)</f>
        <v>#REF!</v>
      </c>
      <c r="HA334" t="e">
        <f>IF(#REF!,"AAAAADvoa9A=",0)</f>
        <v>#REF!</v>
      </c>
      <c r="HB334" t="e">
        <f>IF(#REF!,"AAAAADvoa9E=",0)</f>
        <v>#REF!</v>
      </c>
      <c r="HC334" t="e">
        <f>IF(#REF!,"AAAAADvoa9I=",0)</f>
        <v>#REF!</v>
      </c>
      <c r="HD334" t="e">
        <f>IF(#REF!,"AAAAADvoa9M=",0)</f>
        <v>#REF!</v>
      </c>
      <c r="HE334" t="e">
        <f>IF(#REF!,"AAAAADvoa9Q=",0)</f>
        <v>#REF!</v>
      </c>
      <c r="HF334" t="e">
        <f>IF(#REF!,"AAAAADvoa9U=",0)</f>
        <v>#REF!</v>
      </c>
      <c r="HG334" t="e">
        <f>IF(#REF!,"AAAAADvoa9Y=",0)</f>
        <v>#REF!</v>
      </c>
      <c r="HH334" t="e">
        <f>IF(#REF!,"AAAAADvoa9c=",0)</f>
        <v>#REF!</v>
      </c>
      <c r="HI334" t="e">
        <f>IF(#REF!,"AAAAADvoa9g=",0)</f>
        <v>#REF!</v>
      </c>
      <c r="HJ334" t="e">
        <f>IF(#REF!,"AAAAADvoa9k=",0)</f>
        <v>#REF!</v>
      </c>
      <c r="HK334" t="e">
        <f>IF(#REF!,"AAAAADvoa9o=",0)</f>
        <v>#REF!</v>
      </c>
      <c r="HL334" t="e">
        <f>IF(#REF!,"AAAAADvoa9s=",0)</f>
        <v>#REF!</v>
      </c>
      <c r="HM334" t="e">
        <f>IF(#REF!,"AAAAADvoa9w=",0)</f>
        <v>#REF!</v>
      </c>
      <c r="HN334" t="e">
        <f>IF(#REF!,"AAAAADvoa90=",0)</f>
        <v>#REF!</v>
      </c>
      <c r="HO334" t="e">
        <f>IF(#REF!,"AAAAADvoa94=",0)</f>
        <v>#REF!</v>
      </c>
      <c r="HP334" t="e">
        <f>IF(#REF!,"AAAAADvoa98=",0)</f>
        <v>#REF!</v>
      </c>
      <c r="HQ334" t="e">
        <f>IF(#REF!,"AAAAADvoa+A=",0)</f>
        <v>#REF!</v>
      </c>
      <c r="HR334" t="e">
        <f>IF(#REF!,"AAAAADvoa+E=",0)</f>
        <v>#REF!</v>
      </c>
      <c r="HS334" t="e">
        <f>IF(#REF!,"AAAAADvoa+I=",0)</f>
        <v>#REF!</v>
      </c>
      <c r="HT334" t="e">
        <f>IF(#REF!,"AAAAADvoa+M=",0)</f>
        <v>#REF!</v>
      </c>
      <c r="HU334" t="e">
        <f>IF(#REF!,"AAAAADvoa+Q=",0)</f>
        <v>#REF!</v>
      </c>
      <c r="HV334" t="e">
        <f>IF(#REF!,"AAAAADvoa+U=",0)</f>
        <v>#REF!</v>
      </c>
      <c r="HW334" t="e">
        <f>IF(#REF!,"AAAAADvoa+Y=",0)</f>
        <v>#REF!</v>
      </c>
      <c r="HX334" t="e">
        <f>IF(#REF!,"AAAAADvoa+c=",0)</f>
        <v>#REF!</v>
      </c>
      <c r="HY334" t="e">
        <f>IF(#REF!,"AAAAADvoa+g=",0)</f>
        <v>#REF!</v>
      </c>
      <c r="HZ334" t="e">
        <f>IF(#REF!,"AAAAADvoa+k=",0)</f>
        <v>#REF!</v>
      </c>
      <c r="IA334" t="e">
        <f>IF(#REF!,"AAAAADvoa+o=",0)</f>
        <v>#REF!</v>
      </c>
      <c r="IB334" t="e">
        <f>IF(#REF!,"AAAAADvoa+s=",0)</f>
        <v>#REF!</v>
      </c>
      <c r="IC334" t="e">
        <f>IF(#REF!,"AAAAADvoa+w=",0)</f>
        <v>#REF!</v>
      </c>
      <c r="ID334" t="e">
        <f>IF(#REF!,"AAAAADvoa+0=",0)</f>
        <v>#REF!</v>
      </c>
      <c r="IE334" t="e">
        <f>IF(#REF!,"AAAAADvoa+4=",0)</f>
        <v>#REF!</v>
      </c>
      <c r="IF334" t="e">
        <f>IF(#REF!,"AAAAADvoa+8=",0)</f>
        <v>#REF!</v>
      </c>
      <c r="IG334" t="e">
        <f>IF(#REF!,"AAAAADvoa/A=",0)</f>
        <v>#REF!</v>
      </c>
      <c r="IH334" t="e">
        <f>IF(#REF!,"AAAAADvoa/E=",0)</f>
        <v>#REF!</v>
      </c>
      <c r="II334" t="e">
        <f>IF(#REF!,"AAAAADvoa/I=",0)</f>
        <v>#REF!</v>
      </c>
      <c r="IJ334" t="e">
        <f>IF(#REF!,"AAAAADvoa/M=",0)</f>
        <v>#REF!</v>
      </c>
      <c r="IK334" t="e">
        <f>IF(#REF!,"AAAAADvoa/Q=",0)</f>
        <v>#REF!</v>
      </c>
      <c r="IL334" t="e">
        <f>IF(#REF!,"AAAAADvoa/U=",0)</f>
        <v>#REF!</v>
      </c>
      <c r="IM334" t="e">
        <f>IF(#REF!,"AAAAADvoa/Y=",0)</f>
        <v>#REF!</v>
      </c>
      <c r="IN334" t="e">
        <f>IF(#REF!,"AAAAADvoa/c=",0)</f>
        <v>#REF!</v>
      </c>
      <c r="IO334" t="e">
        <f>IF(#REF!,"AAAAADvoa/g=",0)</f>
        <v>#REF!</v>
      </c>
      <c r="IP334" t="e">
        <f>IF(#REF!,"AAAAADvoa/k=",0)</f>
        <v>#REF!</v>
      </c>
      <c r="IQ334" t="e">
        <f>IF(#REF!,"AAAAADvoa/o=",0)</f>
        <v>#REF!</v>
      </c>
      <c r="IR334" t="e">
        <f>IF(#REF!,"AAAAADvoa/s=",0)</f>
        <v>#REF!</v>
      </c>
      <c r="IS334" t="e">
        <f>IF(#REF!,"AAAAADvoa/w=",0)</f>
        <v>#REF!</v>
      </c>
      <c r="IT334" t="e">
        <f>IF(#REF!,"AAAAADvoa/0=",0)</f>
        <v>#REF!</v>
      </c>
      <c r="IU334" t="e">
        <f>IF(#REF!,"AAAAADvoa/4=",0)</f>
        <v>#REF!</v>
      </c>
      <c r="IV334" t="e">
        <f>IF(#REF!,"AAAAADvoa/8=",0)</f>
        <v>#REF!</v>
      </c>
    </row>
    <row r="335" spans="1:256">
      <c r="A335" t="e">
        <f>IF(#REF!,"AAAAADf7+wA=",0)</f>
        <v>#REF!</v>
      </c>
      <c r="B335" t="e">
        <f>IF(#REF!,"AAAAADf7+wE=",0)</f>
        <v>#REF!</v>
      </c>
      <c r="C335" t="e">
        <f>IF(#REF!,"AAAAADf7+wI=",0)</f>
        <v>#REF!</v>
      </c>
      <c r="D335" t="e">
        <f>IF(#REF!,"AAAAADf7+wM=",0)</f>
        <v>#REF!</v>
      </c>
      <c r="E335" t="e">
        <f>IF(#REF!,"AAAAADf7+wQ=",0)</f>
        <v>#REF!</v>
      </c>
      <c r="F335" t="e">
        <f>IF(#REF!,"AAAAADf7+wU=",0)</f>
        <v>#REF!</v>
      </c>
      <c r="G335" t="e">
        <f>IF(#REF!,"AAAAADf7+wY=",0)</f>
        <v>#REF!</v>
      </c>
      <c r="H335" t="e">
        <f>IF(#REF!,"AAAAADf7+wc=",0)</f>
        <v>#REF!</v>
      </c>
      <c r="I335" t="e">
        <f>IF(#REF!,"AAAAADf7+wg=",0)</f>
        <v>#REF!</v>
      </c>
      <c r="J335" t="e">
        <f>IF(#REF!,"AAAAADf7+wk=",0)</f>
        <v>#REF!</v>
      </c>
      <c r="K335" t="e">
        <f>IF(#REF!,"AAAAADf7+wo=",0)</f>
        <v>#REF!</v>
      </c>
      <c r="L335" t="e">
        <f>IF(#REF!,"AAAAADf7+ws=",0)</f>
        <v>#REF!</v>
      </c>
      <c r="M335" t="e">
        <f>IF(#REF!,"AAAAADf7+ww=",0)</f>
        <v>#REF!</v>
      </c>
      <c r="N335" t="e">
        <f>IF(#REF!,"AAAAADf7+w0=",0)</f>
        <v>#REF!</v>
      </c>
      <c r="O335" t="e">
        <f>IF(#REF!,"AAAAADf7+w4=",0)</f>
        <v>#REF!</v>
      </c>
      <c r="P335" t="e">
        <f>IF(#REF!,"AAAAADf7+w8=",0)</f>
        <v>#REF!</v>
      </c>
      <c r="Q335" t="e">
        <f>IF(#REF!,"AAAAADf7+xA=",0)</f>
        <v>#REF!</v>
      </c>
      <c r="R335" t="e">
        <f>IF(#REF!,"AAAAADf7+xE=",0)</f>
        <v>#REF!</v>
      </c>
      <c r="S335" t="e">
        <f>IF(#REF!,"AAAAADf7+xI=",0)</f>
        <v>#REF!</v>
      </c>
      <c r="T335" t="e">
        <f>IF(#REF!,"AAAAADf7+xM=",0)</f>
        <v>#REF!</v>
      </c>
      <c r="U335" t="e">
        <f>IF(#REF!,"AAAAADf7+xQ=",0)</f>
        <v>#REF!</v>
      </c>
      <c r="V335" t="e">
        <f>IF(#REF!,"AAAAADf7+xU=",0)</f>
        <v>#REF!</v>
      </c>
      <c r="W335" t="e">
        <f>IF(#REF!,"AAAAADf7+xY=",0)</f>
        <v>#REF!</v>
      </c>
      <c r="X335" t="e">
        <f>IF(#REF!,"AAAAADf7+xc=",0)</f>
        <v>#REF!</v>
      </c>
      <c r="Y335" t="e">
        <f>IF(#REF!,"AAAAADf7+xg=",0)</f>
        <v>#REF!</v>
      </c>
      <c r="Z335" t="e">
        <f>IF(#REF!,"AAAAADf7+xk=",0)</f>
        <v>#REF!</v>
      </c>
      <c r="AA335" t="e">
        <f>IF(#REF!,"AAAAADf7+xo=",0)</f>
        <v>#REF!</v>
      </c>
      <c r="AB335" t="e">
        <f>IF(#REF!,"AAAAADf7+xs=",0)</f>
        <v>#REF!</v>
      </c>
      <c r="AC335" t="e">
        <f>IF(#REF!,"AAAAADf7+xw=",0)</f>
        <v>#REF!</v>
      </c>
      <c r="AD335" t="e">
        <f>IF(#REF!,"AAAAADf7+x0=",0)</f>
        <v>#REF!</v>
      </c>
      <c r="AE335" t="e">
        <f>IF(#REF!,"AAAAADf7+x4=",0)</f>
        <v>#REF!</v>
      </c>
      <c r="AF335" t="e">
        <f>IF(#REF!,"AAAAADf7+x8=",0)</f>
        <v>#REF!</v>
      </c>
      <c r="AG335" t="e">
        <f>IF(#REF!,"AAAAADf7+yA=",0)</f>
        <v>#REF!</v>
      </c>
      <c r="AH335" t="e">
        <f>IF(#REF!,"AAAAADf7+yE=",0)</f>
        <v>#REF!</v>
      </c>
      <c r="AI335" t="e">
        <f>IF(#REF!,"AAAAADf7+yI=",0)</f>
        <v>#REF!</v>
      </c>
      <c r="AJ335" t="e">
        <f>IF(#REF!,"AAAAADf7+yM=",0)</f>
        <v>#REF!</v>
      </c>
      <c r="AK335" t="e">
        <f>IF(#REF!,"AAAAADf7+yQ=",0)</f>
        <v>#REF!</v>
      </c>
      <c r="AL335" t="e">
        <f>IF(#REF!,"AAAAADf7+yU=",0)</f>
        <v>#REF!</v>
      </c>
      <c r="AM335" t="e">
        <f>IF(#REF!,"AAAAADf7+yY=",0)</f>
        <v>#REF!</v>
      </c>
      <c r="AN335" t="e">
        <f>IF(#REF!,"AAAAADf7+yc=",0)</f>
        <v>#REF!</v>
      </c>
      <c r="AO335" t="e">
        <f>IF(#REF!,"AAAAADf7+yg=",0)</f>
        <v>#REF!</v>
      </c>
      <c r="AP335" t="e">
        <f>IF(#REF!,"AAAAADf7+yk=",0)</f>
        <v>#REF!</v>
      </c>
      <c r="AQ335" t="e">
        <f>IF(#REF!,"AAAAADf7+yo=",0)</f>
        <v>#REF!</v>
      </c>
      <c r="AR335" t="e">
        <f>IF(#REF!,"AAAAADf7+ys=",0)</f>
        <v>#REF!</v>
      </c>
      <c r="AS335" t="e">
        <f>IF(#REF!,"AAAAADf7+yw=",0)</f>
        <v>#REF!</v>
      </c>
      <c r="AT335" t="e">
        <f>IF(#REF!,"AAAAADf7+y0=",0)</f>
        <v>#REF!</v>
      </c>
      <c r="AU335" t="e">
        <f>IF(#REF!,"AAAAADf7+y4=",0)</f>
        <v>#REF!</v>
      </c>
      <c r="AV335" t="e">
        <f>IF(#REF!,"AAAAADf7+y8=",0)</f>
        <v>#REF!</v>
      </c>
      <c r="AW335" t="e">
        <f>IF(#REF!,"AAAAADf7+zA=",0)</f>
        <v>#REF!</v>
      </c>
      <c r="AX335" t="e">
        <f>IF(#REF!,"AAAAADf7+zE=",0)</f>
        <v>#REF!</v>
      </c>
      <c r="AY335" t="e">
        <f>IF(#REF!,"AAAAADf7+zI=",0)</f>
        <v>#REF!</v>
      </c>
      <c r="AZ335" t="e">
        <f>IF(#REF!,"AAAAADf7+zM=",0)</f>
        <v>#REF!</v>
      </c>
      <c r="BA335" t="e">
        <f>IF(#REF!,"AAAAADf7+zQ=",0)</f>
        <v>#REF!</v>
      </c>
      <c r="BB335" t="e">
        <f>IF(#REF!,"AAAAADf7+zU=",0)</f>
        <v>#REF!</v>
      </c>
      <c r="BC335" t="e">
        <f>IF(#REF!,"AAAAADf7+zY=",0)</f>
        <v>#REF!</v>
      </c>
      <c r="BD335" t="e">
        <f>IF(#REF!,"AAAAADf7+zc=",0)</f>
        <v>#REF!</v>
      </c>
      <c r="BE335" t="e">
        <f>IF(#REF!,"AAAAADf7+zg=",0)</f>
        <v>#REF!</v>
      </c>
      <c r="BF335" t="e">
        <f>IF(#REF!,"AAAAADf7+zk=",0)</f>
        <v>#REF!</v>
      </c>
      <c r="BG335" t="e">
        <f>IF(#REF!,"AAAAADf7+zo=",0)</f>
        <v>#REF!</v>
      </c>
      <c r="BH335" t="e">
        <f>IF(#REF!,"AAAAADf7+zs=",0)</f>
        <v>#REF!</v>
      </c>
      <c r="BI335" t="e">
        <f>IF(#REF!,"AAAAADf7+zw=",0)</f>
        <v>#REF!</v>
      </c>
      <c r="BJ335" t="e">
        <f>IF(#REF!,"AAAAADf7+z0=",0)</f>
        <v>#REF!</v>
      </c>
      <c r="BK335" t="e">
        <f>IF(#REF!,"AAAAADf7+z4=",0)</f>
        <v>#REF!</v>
      </c>
      <c r="BL335" t="e">
        <f>IF(#REF!,"AAAAADf7+z8=",0)</f>
        <v>#REF!</v>
      </c>
      <c r="BM335" t="e">
        <f>IF(#REF!,"AAAAADf7+0A=",0)</f>
        <v>#REF!</v>
      </c>
      <c r="BN335" t="e">
        <f>IF(#REF!,"AAAAADf7+0E=",0)</f>
        <v>#REF!</v>
      </c>
      <c r="BO335" t="e">
        <f>IF(#REF!,"AAAAADf7+0I=",0)</f>
        <v>#REF!</v>
      </c>
      <c r="BP335" t="e">
        <f>IF(#REF!,"AAAAADf7+0M=",0)</f>
        <v>#REF!</v>
      </c>
      <c r="BQ335" t="e">
        <f>IF(#REF!,"AAAAADf7+0Q=",0)</f>
        <v>#REF!</v>
      </c>
      <c r="BR335" t="e">
        <f>IF(#REF!,"AAAAADf7+0U=",0)</f>
        <v>#REF!</v>
      </c>
      <c r="BS335" t="e">
        <f>IF(#REF!,"AAAAADf7+0Y=",0)</f>
        <v>#REF!</v>
      </c>
      <c r="BT335" t="e">
        <f>IF(#REF!,"AAAAADf7+0c=",0)</f>
        <v>#REF!</v>
      </c>
      <c r="BU335" t="e">
        <f>IF(#REF!,"AAAAADf7+0g=",0)</f>
        <v>#REF!</v>
      </c>
      <c r="BV335" t="e">
        <f>IF(#REF!,"AAAAADf7+0k=",0)</f>
        <v>#REF!</v>
      </c>
      <c r="BW335" t="e">
        <f>IF(#REF!,"AAAAADf7+0o=",0)</f>
        <v>#REF!</v>
      </c>
      <c r="BX335" t="e">
        <f>IF(#REF!,"AAAAADf7+0s=",0)</f>
        <v>#REF!</v>
      </c>
      <c r="BY335" t="e">
        <f>IF(#REF!,"AAAAADf7+0w=",0)</f>
        <v>#REF!</v>
      </c>
      <c r="BZ335" t="e">
        <f>IF(#REF!,"AAAAADf7+00=",0)</f>
        <v>#REF!</v>
      </c>
      <c r="CA335" t="e">
        <f>IF(#REF!,"AAAAADf7+04=",0)</f>
        <v>#REF!</v>
      </c>
      <c r="CB335" t="e">
        <f>IF(#REF!,"AAAAADf7+08=",0)</f>
        <v>#REF!</v>
      </c>
      <c r="CC335" t="e">
        <f>IF(#REF!,"AAAAADf7+1A=",0)</f>
        <v>#REF!</v>
      </c>
      <c r="CD335" t="e">
        <f>IF(#REF!,"AAAAADf7+1E=",0)</f>
        <v>#REF!</v>
      </c>
      <c r="CE335" t="e">
        <f>IF(#REF!,"AAAAADf7+1I=",0)</f>
        <v>#REF!</v>
      </c>
      <c r="CF335" t="e">
        <f>IF(#REF!,"AAAAADf7+1M=",0)</f>
        <v>#REF!</v>
      </c>
      <c r="CG335" t="e">
        <f>IF(#REF!,"AAAAADf7+1Q=",0)</f>
        <v>#REF!</v>
      </c>
      <c r="CH335" t="e">
        <f>IF(#REF!,"AAAAADf7+1U=",0)</f>
        <v>#REF!</v>
      </c>
      <c r="CI335" t="e">
        <f>IF(#REF!,"AAAAADf7+1Y=",0)</f>
        <v>#REF!</v>
      </c>
      <c r="CJ335" t="e">
        <f>IF(#REF!,"AAAAADf7+1c=",0)</f>
        <v>#REF!</v>
      </c>
      <c r="CK335" t="e">
        <f>IF(#REF!,"AAAAADf7+1g=",0)</f>
        <v>#REF!</v>
      </c>
      <c r="CL335" t="e">
        <f>IF(#REF!,"AAAAADf7+1k=",0)</f>
        <v>#REF!</v>
      </c>
      <c r="CM335" t="e">
        <f>IF(#REF!,"AAAAADf7+1o=",0)</f>
        <v>#REF!</v>
      </c>
      <c r="CN335" t="e">
        <f>IF(#REF!,"AAAAADf7+1s=",0)</f>
        <v>#REF!</v>
      </c>
      <c r="CO335" t="e">
        <f>IF(#REF!,"AAAAADf7+1w=",0)</f>
        <v>#REF!</v>
      </c>
      <c r="CP335" t="e">
        <f>IF(#REF!,"AAAAADf7+10=",0)</f>
        <v>#REF!</v>
      </c>
      <c r="CQ335" t="e">
        <f>IF(#REF!,"AAAAADf7+14=",0)</f>
        <v>#REF!</v>
      </c>
      <c r="CR335" t="e">
        <f>IF(#REF!,"AAAAADf7+18=",0)</f>
        <v>#REF!</v>
      </c>
      <c r="CS335" t="e">
        <f>IF(#REF!,"AAAAADf7+2A=",0)</f>
        <v>#REF!</v>
      </c>
      <c r="CT335" t="e">
        <f>IF(#REF!,"AAAAADf7+2E=",0)</f>
        <v>#REF!</v>
      </c>
      <c r="CU335" t="e">
        <f>IF(#REF!,"AAAAADf7+2I=",0)</f>
        <v>#REF!</v>
      </c>
      <c r="CV335" t="e">
        <f>IF(#REF!,"AAAAADf7+2M=",0)</f>
        <v>#REF!</v>
      </c>
      <c r="CW335" t="e">
        <f>IF(#REF!,"AAAAADf7+2Q=",0)</f>
        <v>#REF!</v>
      </c>
      <c r="CX335" t="e">
        <f>IF(#REF!,"AAAAADf7+2U=",0)</f>
        <v>#REF!</v>
      </c>
      <c r="CY335" t="e">
        <f>IF(#REF!,"AAAAADf7+2Y=",0)</f>
        <v>#REF!</v>
      </c>
      <c r="CZ335" t="e">
        <f>IF(#REF!,"AAAAADf7+2c=",0)</f>
        <v>#REF!</v>
      </c>
      <c r="DA335" t="e">
        <f>IF(#REF!,"AAAAADf7+2g=",0)</f>
        <v>#REF!</v>
      </c>
      <c r="DB335" t="e">
        <f>IF(#REF!,"AAAAADf7+2k=",0)</f>
        <v>#REF!</v>
      </c>
      <c r="DC335" t="e">
        <f>IF(#REF!,"AAAAADf7+2o=",0)</f>
        <v>#REF!</v>
      </c>
      <c r="DD335" t="e">
        <f>IF(#REF!,"AAAAADf7+2s=",0)</f>
        <v>#REF!</v>
      </c>
      <c r="DE335" t="e">
        <f>IF(#REF!,"AAAAADf7+2w=",0)</f>
        <v>#REF!</v>
      </c>
      <c r="DF335" t="e">
        <f>IF(#REF!,"AAAAADf7+20=",0)</f>
        <v>#REF!</v>
      </c>
      <c r="DG335" t="e">
        <f>IF(#REF!,"AAAAADf7+24=",0)</f>
        <v>#REF!</v>
      </c>
      <c r="DH335" t="e">
        <f>IF(#REF!,"AAAAADf7+28=",0)</f>
        <v>#REF!</v>
      </c>
      <c r="DI335" t="e">
        <f>IF(#REF!,"AAAAADf7+3A=",0)</f>
        <v>#REF!</v>
      </c>
      <c r="DJ335" t="e">
        <f>IF(#REF!,"AAAAADf7+3E=",0)</f>
        <v>#REF!</v>
      </c>
      <c r="DK335" t="e">
        <f>IF(#REF!,"AAAAADf7+3I=",0)</f>
        <v>#REF!</v>
      </c>
      <c r="DL335" t="e">
        <f>IF(#REF!,"AAAAADf7+3M=",0)</f>
        <v>#REF!</v>
      </c>
      <c r="DM335" t="e">
        <f>IF(#REF!,"AAAAADf7+3Q=",0)</f>
        <v>#REF!</v>
      </c>
      <c r="DN335" t="e">
        <f>IF(#REF!,"AAAAADf7+3U=",0)</f>
        <v>#REF!</v>
      </c>
      <c r="DO335" t="e">
        <f>IF(#REF!,"AAAAADf7+3Y=",0)</f>
        <v>#REF!</v>
      </c>
      <c r="DP335" t="e">
        <f>IF(#REF!,"AAAAADf7+3c=",0)</f>
        <v>#REF!</v>
      </c>
      <c r="DQ335" t="e">
        <f>IF(#REF!,"AAAAADf7+3g=",0)</f>
        <v>#REF!</v>
      </c>
      <c r="DR335" t="e">
        <f>IF(#REF!,"AAAAADf7+3k=",0)</f>
        <v>#REF!</v>
      </c>
      <c r="DS335" t="e">
        <f>IF(#REF!,"AAAAADf7+3o=",0)</f>
        <v>#REF!</v>
      </c>
      <c r="DT335" t="e">
        <f>IF(#REF!,"AAAAADf7+3s=",0)</f>
        <v>#REF!</v>
      </c>
      <c r="DU335" t="e">
        <f>IF(#REF!,"AAAAADf7+3w=",0)</f>
        <v>#REF!</v>
      </c>
      <c r="DV335" t="e">
        <f>IF(#REF!,"AAAAADf7+30=",0)</f>
        <v>#REF!</v>
      </c>
      <c r="DW335" t="e">
        <f>IF(#REF!,"AAAAADf7+34=",0)</f>
        <v>#REF!</v>
      </c>
      <c r="DX335" t="e">
        <f>IF(#REF!,"AAAAADf7+38=",0)</f>
        <v>#REF!</v>
      </c>
      <c r="DY335" t="e">
        <f>IF(#REF!,"AAAAADf7+4A=",0)</f>
        <v>#REF!</v>
      </c>
      <c r="DZ335" t="e">
        <f>IF(#REF!,"AAAAADf7+4E=",0)</f>
        <v>#REF!</v>
      </c>
      <c r="EA335" t="e">
        <f>IF(#REF!,"AAAAADf7+4I=",0)</f>
        <v>#REF!</v>
      </c>
      <c r="EB335" t="e">
        <f>IF(#REF!,"AAAAADf7+4M=",0)</f>
        <v>#REF!</v>
      </c>
      <c r="EC335" t="e">
        <f>IF(#REF!,"AAAAADf7+4Q=",0)</f>
        <v>#REF!</v>
      </c>
      <c r="ED335" t="e">
        <f>IF(#REF!,"AAAAADf7+4U=",0)</f>
        <v>#REF!</v>
      </c>
      <c r="EE335" t="e">
        <f>IF(#REF!,"AAAAADf7+4Y=",0)</f>
        <v>#REF!</v>
      </c>
      <c r="EF335" t="e">
        <f>IF(#REF!,"AAAAADf7+4c=",0)</f>
        <v>#REF!</v>
      </c>
      <c r="EG335" t="e">
        <f>IF(#REF!,"AAAAADf7+4g=",0)</f>
        <v>#REF!</v>
      </c>
      <c r="EH335" t="e">
        <f>IF(#REF!,"AAAAADf7+4k=",0)</f>
        <v>#REF!</v>
      </c>
      <c r="EI335" t="e">
        <f>IF(#REF!,"AAAAADf7+4o=",0)</f>
        <v>#REF!</v>
      </c>
      <c r="EJ335" t="e">
        <f>IF(#REF!,"AAAAADf7+4s=",0)</f>
        <v>#REF!</v>
      </c>
      <c r="EK335" t="e">
        <f>IF(#REF!,"AAAAADf7+4w=",0)</f>
        <v>#REF!</v>
      </c>
      <c r="EL335" t="e">
        <f>IF(#REF!,"AAAAADf7+40=",0)</f>
        <v>#REF!</v>
      </c>
      <c r="EM335" t="e">
        <f>IF(#REF!,"AAAAADf7+44=",0)</f>
        <v>#REF!</v>
      </c>
      <c r="EN335" t="e">
        <f>IF(#REF!,"AAAAADf7+48=",0)</f>
        <v>#REF!</v>
      </c>
      <c r="EO335" t="e">
        <f>IF(#REF!,"AAAAADf7+5A=",0)</f>
        <v>#REF!</v>
      </c>
      <c r="EP335" t="e">
        <f>IF(#REF!,"AAAAADf7+5E=",0)</f>
        <v>#REF!</v>
      </c>
      <c r="EQ335" t="e">
        <f>IF(#REF!,"AAAAADf7+5I=",0)</f>
        <v>#REF!</v>
      </c>
      <c r="ER335" t="e">
        <f>IF(#REF!,"AAAAADf7+5M=",0)</f>
        <v>#REF!</v>
      </c>
      <c r="ES335" t="e">
        <f>IF(#REF!,"AAAAADf7+5Q=",0)</f>
        <v>#REF!</v>
      </c>
      <c r="ET335" t="e">
        <f>IF(#REF!,"AAAAADf7+5U=",0)</f>
        <v>#REF!</v>
      </c>
      <c r="EU335" t="e">
        <f>IF(#REF!,"AAAAADf7+5Y=",0)</f>
        <v>#REF!</v>
      </c>
      <c r="EV335" t="e">
        <f>IF(#REF!,"AAAAADf7+5c=",0)</f>
        <v>#REF!</v>
      </c>
      <c r="EW335" t="e">
        <f>IF(#REF!,"AAAAADf7+5g=",0)</f>
        <v>#REF!</v>
      </c>
      <c r="EX335" t="e">
        <f>IF(#REF!,"AAAAADf7+5k=",0)</f>
        <v>#REF!</v>
      </c>
      <c r="EY335" t="e">
        <f>IF(#REF!,"AAAAADf7+5o=",0)</f>
        <v>#REF!</v>
      </c>
      <c r="EZ335" t="e">
        <f>IF(#REF!,"AAAAADf7+5s=",0)</f>
        <v>#REF!</v>
      </c>
      <c r="FA335" t="e">
        <f>IF(#REF!,"AAAAADf7+5w=",0)</f>
        <v>#REF!</v>
      </c>
      <c r="FB335" t="e">
        <f>IF(#REF!,"AAAAADf7+50=",0)</f>
        <v>#REF!</v>
      </c>
      <c r="FC335" t="e">
        <f>IF(#REF!,"AAAAADf7+54=",0)</f>
        <v>#REF!</v>
      </c>
      <c r="FD335" t="e">
        <f>IF(#REF!,"AAAAADf7+58=",0)</f>
        <v>#REF!</v>
      </c>
      <c r="FE335" t="e">
        <f>IF(#REF!,"AAAAADf7+6A=",0)</f>
        <v>#REF!</v>
      </c>
      <c r="FF335" t="e">
        <f>IF(#REF!,"AAAAADf7+6E=",0)</f>
        <v>#REF!</v>
      </c>
      <c r="FG335" t="e">
        <f>IF(#REF!,"AAAAADf7+6I=",0)</f>
        <v>#REF!</v>
      </c>
      <c r="FH335" t="e">
        <f>IF(#REF!,"AAAAADf7+6M=",0)</f>
        <v>#REF!</v>
      </c>
      <c r="FI335" t="e">
        <f>IF(#REF!,"AAAAADf7+6Q=",0)</f>
        <v>#REF!</v>
      </c>
      <c r="FJ335" t="e">
        <f>IF(#REF!,"AAAAADf7+6U=",0)</f>
        <v>#REF!</v>
      </c>
      <c r="FK335" t="e">
        <f>IF(#REF!,"AAAAADf7+6Y=",0)</f>
        <v>#REF!</v>
      </c>
      <c r="FL335" t="e">
        <f>IF(#REF!,"AAAAADf7+6c=",0)</f>
        <v>#REF!</v>
      </c>
      <c r="FM335" t="e">
        <f>IF(#REF!,"AAAAADf7+6g=",0)</f>
        <v>#REF!</v>
      </c>
      <c r="FN335" t="e">
        <f>IF(#REF!,"AAAAADf7+6k=",0)</f>
        <v>#REF!</v>
      </c>
      <c r="FO335" t="e">
        <f>IF(#REF!,"AAAAADf7+6o=",0)</f>
        <v>#REF!</v>
      </c>
      <c r="FP335" t="e">
        <f>IF(#REF!,"AAAAADf7+6s=",0)</f>
        <v>#REF!</v>
      </c>
      <c r="FQ335" t="e">
        <f>IF(#REF!,"AAAAADf7+6w=",0)</f>
        <v>#REF!</v>
      </c>
      <c r="FR335" t="e">
        <f>IF(#REF!,"AAAAADf7+60=",0)</f>
        <v>#REF!</v>
      </c>
      <c r="FS335" t="e">
        <f>IF(#REF!,"AAAAADf7+64=",0)</f>
        <v>#REF!</v>
      </c>
      <c r="FT335" t="e">
        <f>IF(#REF!,"AAAAADf7+68=",0)</f>
        <v>#REF!</v>
      </c>
      <c r="FU335" t="e">
        <f>IF(#REF!,"AAAAADf7+7A=",0)</f>
        <v>#REF!</v>
      </c>
      <c r="FV335" t="e">
        <f>IF(#REF!,"AAAAADf7+7E=",0)</f>
        <v>#REF!</v>
      </c>
      <c r="FW335" t="e">
        <f>IF(#REF!,"AAAAADf7+7I=",0)</f>
        <v>#REF!</v>
      </c>
      <c r="FX335" t="e">
        <f>IF(#REF!,"AAAAADf7+7M=",0)</f>
        <v>#REF!</v>
      </c>
      <c r="FY335" t="e">
        <f>IF(#REF!,"AAAAADf7+7Q=",0)</f>
        <v>#REF!</v>
      </c>
      <c r="FZ335" t="e">
        <f>IF(#REF!,"AAAAADf7+7U=",0)</f>
        <v>#REF!</v>
      </c>
      <c r="GA335" t="e">
        <f>IF(#REF!,"AAAAADf7+7Y=",0)</f>
        <v>#REF!</v>
      </c>
      <c r="GB335" t="e">
        <f>IF(#REF!,"AAAAADf7+7c=",0)</f>
        <v>#REF!</v>
      </c>
      <c r="GC335" t="e">
        <f>IF(#REF!,"AAAAADf7+7g=",0)</f>
        <v>#REF!</v>
      </c>
      <c r="GD335" t="e">
        <f>IF(#REF!,"AAAAADf7+7k=",0)</f>
        <v>#REF!</v>
      </c>
      <c r="GE335" t="e">
        <f>IF(#REF!,"AAAAADf7+7o=",0)</f>
        <v>#REF!</v>
      </c>
      <c r="GF335" t="e">
        <f>IF(#REF!,"AAAAADf7+7s=",0)</f>
        <v>#REF!</v>
      </c>
      <c r="GG335" t="e">
        <f>IF(#REF!,"AAAAADf7+7w=",0)</f>
        <v>#REF!</v>
      </c>
      <c r="GH335" t="e">
        <f>IF(#REF!,"AAAAADf7+70=",0)</f>
        <v>#REF!</v>
      </c>
      <c r="GI335" t="e">
        <f>IF(#REF!,"AAAAADf7+74=",0)</f>
        <v>#REF!</v>
      </c>
      <c r="GJ335" t="e">
        <f>IF(#REF!,"AAAAADf7+78=",0)</f>
        <v>#REF!</v>
      </c>
      <c r="GK335" t="e">
        <f>IF(#REF!,"AAAAADf7+8A=",0)</f>
        <v>#REF!</v>
      </c>
      <c r="GL335" t="e">
        <f>IF(#REF!,"AAAAADf7+8E=",0)</f>
        <v>#REF!</v>
      </c>
      <c r="GM335" t="e">
        <f>IF(#REF!,"AAAAADf7+8I=",0)</f>
        <v>#REF!</v>
      </c>
      <c r="GN335" t="e">
        <f>IF(#REF!,"AAAAADf7+8M=",0)</f>
        <v>#REF!</v>
      </c>
      <c r="GO335" t="e">
        <f>IF(#REF!,"AAAAADf7+8Q=",0)</f>
        <v>#REF!</v>
      </c>
      <c r="GP335" t="e">
        <f>IF(#REF!,"AAAAADf7+8U=",0)</f>
        <v>#REF!</v>
      </c>
      <c r="GQ335" t="e">
        <f>IF(#REF!,"AAAAADf7+8Y=",0)</f>
        <v>#REF!</v>
      </c>
      <c r="GR335" t="e">
        <f>IF(#REF!,"AAAAADf7+8c=",0)</f>
        <v>#REF!</v>
      </c>
      <c r="GS335" t="e">
        <f>IF(#REF!,"AAAAADf7+8g=",0)</f>
        <v>#REF!</v>
      </c>
      <c r="GT335" t="e">
        <f>IF(#REF!,"AAAAADf7+8k=",0)</f>
        <v>#REF!</v>
      </c>
      <c r="GU335" t="e">
        <f>IF(#REF!,"AAAAADf7+8o=",0)</f>
        <v>#REF!</v>
      </c>
      <c r="GV335" t="e">
        <f>IF(#REF!,"AAAAADf7+8s=",0)</f>
        <v>#REF!</v>
      </c>
      <c r="GW335" t="e">
        <f>IF(#REF!,"AAAAADf7+8w=",0)</f>
        <v>#REF!</v>
      </c>
      <c r="GX335" t="e">
        <f>IF(#REF!,"AAAAADf7+80=",0)</f>
        <v>#REF!</v>
      </c>
      <c r="GY335" t="e">
        <f>IF(#REF!,"AAAAADf7+84=",0)</f>
        <v>#REF!</v>
      </c>
      <c r="GZ335" t="e">
        <f>IF(#REF!,"AAAAADf7+88=",0)</f>
        <v>#REF!</v>
      </c>
      <c r="HA335" t="e">
        <f>IF(#REF!,"AAAAADf7+9A=",0)</f>
        <v>#REF!</v>
      </c>
      <c r="HB335" t="e">
        <f>IF(#REF!,"AAAAADf7+9E=",0)</f>
        <v>#REF!</v>
      </c>
      <c r="HC335" t="e">
        <f>IF(#REF!,"AAAAADf7+9I=",0)</f>
        <v>#REF!</v>
      </c>
      <c r="HD335" t="e">
        <f>IF(#REF!,"AAAAADf7+9M=",0)</f>
        <v>#REF!</v>
      </c>
      <c r="HE335" t="e">
        <f>IF(#REF!,"AAAAADf7+9Q=",0)</f>
        <v>#REF!</v>
      </c>
      <c r="HF335" t="e">
        <f>IF(#REF!,"AAAAADf7+9U=",0)</f>
        <v>#REF!</v>
      </c>
      <c r="HG335" t="e">
        <f>IF(#REF!,"AAAAADf7+9Y=",0)</f>
        <v>#REF!</v>
      </c>
      <c r="HH335" t="e">
        <f>IF(#REF!,"AAAAADf7+9c=",0)</f>
        <v>#REF!</v>
      </c>
      <c r="HI335" t="e">
        <f>IF(#REF!,"AAAAADf7+9g=",0)</f>
        <v>#REF!</v>
      </c>
      <c r="HJ335" t="e">
        <f>IF(#REF!,"AAAAADf7+9k=",0)</f>
        <v>#REF!</v>
      </c>
      <c r="HK335" t="e">
        <f>IF(#REF!,"AAAAADf7+9o=",0)</f>
        <v>#REF!</v>
      </c>
      <c r="HL335" t="e">
        <f>IF(#REF!,"AAAAADf7+9s=",0)</f>
        <v>#REF!</v>
      </c>
      <c r="HM335" t="e">
        <f>IF(#REF!,"AAAAADf7+9w=",0)</f>
        <v>#REF!</v>
      </c>
      <c r="HN335" t="e">
        <f>IF(#REF!,"AAAAADf7+90=",0)</f>
        <v>#REF!</v>
      </c>
      <c r="HO335" t="e">
        <f>IF(#REF!,"AAAAADf7+94=",0)</f>
        <v>#REF!</v>
      </c>
      <c r="HP335" t="e">
        <f>IF(#REF!,"AAAAADf7+98=",0)</f>
        <v>#REF!</v>
      </c>
      <c r="HQ335" t="e">
        <f>IF(#REF!,"AAAAADf7++A=",0)</f>
        <v>#REF!</v>
      </c>
      <c r="HR335" t="e">
        <f>IF(#REF!,"AAAAADf7++E=",0)</f>
        <v>#REF!</v>
      </c>
      <c r="HS335" t="e">
        <f>IF(#REF!,"AAAAADf7++I=",0)</f>
        <v>#REF!</v>
      </c>
      <c r="HT335" t="e">
        <f>IF(#REF!,"AAAAADf7++M=",0)</f>
        <v>#REF!</v>
      </c>
      <c r="HU335" t="e">
        <f>IF(#REF!,"AAAAADf7++Q=",0)</f>
        <v>#REF!</v>
      </c>
      <c r="HV335" t="e">
        <f>IF(#REF!,"AAAAADf7++U=",0)</f>
        <v>#REF!</v>
      </c>
      <c r="HW335" t="e">
        <f>IF(#REF!,"AAAAADf7++Y=",0)</f>
        <v>#REF!</v>
      </c>
      <c r="HX335" t="e">
        <f>IF(#REF!,"AAAAADf7++c=",0)</f>
        <v>#REF!</v>
      </c>
      <c r="HY335" t="e">
        <f>IF(#REF!,"AAAAADf7++g=",0)</f>
        <v>#REF!</v>
      </c>
      <c r="HZ335" t="e">
        <f>IF(#REF!,"AAAAADf7++k=",0)</f>
        <v>#REF!</v>
      </c>
      <c r="IA335" t="e">
        <f>IF(#REF!,"AAAAADf7++o=",0)</f>
        <v>#REF!</v>
      </c>
      <c r="IB335" t="e">
        <f>IF(#REF!,"AAAAADf7++s=",0)</f>
        <v>#REF!</v>
      </c>
      <c r="IC335" t="e">
        <f>IF(#REF!,"AAAAADf7++w=",0)</f>
        <v>#REF!</v>
      </c>
      <c r="ID335" t="e">
        <f>IF(#REF!,"AAAAADf7++0=",0)</f>
        <v>#REF!</v>
      </c>
      <c r="IE335" t="e">
        <f>IF(#REF!,"AAAAADf7++4=",0)</f>
        <v>#REF!</v>
      </c>
      <c r="IF335" t="e">
        <f>IF(#REF!,"AAAAADf7++8=",0)</f>
        <v>#REF!</v>
      </c>
      <c r="IG335" t="e">
        <f>IF(#REF!,"AAAAADf7+/A=",0)</f>
        <v>#REF!</v>
      </c>
      <c r="IH335" t="e">
        <f>IF(#REF!,"AAAAADf7+/E=",0)</f>
        <v>#REF!</v>
      </c>
      <c r="II335" t="e">
        <f>IF(#REF!,"AAAAADf7+/I=",0)</f>
        <v>#REF!</v>
      </c>
      <c r="IJ335" t="e">
        <f>IF(#REF!,"AAAAADf7+/M=",0)</f>
        <v>#REF!</v>
      </c>
      <c r="IK335" t="e">
        <f>IF(#REF!,"AAAAADf7+/Q=",0)</f>
        <v>#REF!</v>
      </c>
      <c r="IL335" t="e">
        <f>IF(#REF!,"AAAAADf7+/U=",0)</f>
        <v>#REF!</v>
      </c>
      <c r="IM335" t="e">
        <f>IF(#REF!,"AAAAADf7+/Y=",0)</f>
        <v>#REF!</v>
      </c>
      <c r="IN335" t="e">
        <f>IF(#REF!,"AAAAADf7+/c=",0)</f>
        <v>#REF!</v>
      </c>
      <c r="IO335" t="e">
        <f>IF(#REF!,"AAAAADf7+/g=",0)</f>
        <v>#REF!</v>
      </c>
      <c r="IP335" t="e">
        <f>IF(#REF!,"AAAAADf7+/k=",0)</f>
        <v>#REF!</v>
      </c>
      <c r="IQ335" t="e">
        <f>IF(#REF!,"AAAAADf7+/o=",0)</f>
        <v>#REF!</v>
      </c>
      <c r="IR335" t="e">
        <f>IF(#REF!,"AAAAADf7+/s=",0)</f>
        <v>#REF!</v>
      </c>
      <c r="IS335" t="e">
        <f>IF(#REF!,"AAAAADf7+/w=",0)</f>
        <v>#REF!</v>
      </c>
      <c r="IT335" t="e">
        <f>IF(#REF!,"AAAAADf7+/0=",0)</f>
        <v>#REF!</v>
      </c>
      <c r="IU335" t="e">
        <f>IF(#REF!,"AAAAADf7+/4=",0)</f>
        <v>#REF!</v>
      </c>
      <c r="IV335" t="e">
        <f>IF(#REF!,"AAAAADf7+/8=",0)</f>
        <v>#REF!</v>
      </c>
    </row>
    <row r="336" spans="1:256">
      <c r="A336" t="e">
        <f>IF(#REF!,"AAAAAFNbagA=",0)</f>
        <v>#REF!</v>
      </c>
      <c r="B336" t="e">
        <f>IF(#REF!,"AAAAAFNbagE=",0)</f>
        <v>#REF!</v>
      </c>
      <c r="C336" t="e">
        <f>IF(#REF!,"AAAAAFNbagI=",0)</f>
        <v>#REF!</v>
      </c>
      <c r="D336" t="e">
        <f>IF(#REF!,"AAAAAFNbagM=",0)</f>
        <v>#REF!</v>
      </c>
      <c r="E336" t="e">
        <f>IF(#REF!,"AAAAAFNbagQ=",0)</f>
        <v>#REF!</v>
      </c>
      <c r="F336" t="e">
        <f>IF(#REF!,"AAAAAFNbagU=",0)</f>
        <v>#REF!</v>
      </c>
      <c r="G336" t="e">
        <f>IF(#REF!,"AAAAAFNbagY=",0)</f>
        <v>#REF!</v>
      </c>
      <c r="H336" t="e">
        <f>IF(#REF!,"AAAAAFNbagc=",0)</f>
        <v>#REF!</v>
      </c>
      <c r="I336" t="e">
        <f>IF(#REF!,"AAAAAFNbagg=",0)</f>
        <v>#REF!</v>
      </c>
      <c r="J336" t="e">
        <f>IF(#REF!,"AAAAAFNbagk=",0)</f>
        <v>#REF!</v>
      </c>
      <c r="K336" t="e">
        <f>IF(#REF!,"AAAAAFNbago=",0)</f>
        <v>#REF!</v>
      </c>
      <c r="L336" t="e">
        <f>IF(#REF!,"AAAAAFNbags=",0)</f>
        <v>#REF!</v>
      </c>
      <c r="M336" t="e">
        <f>IF(#REF!,"AAAAAFNbagw=",0)</f>
        <v>#REF!</v>
      </c>
      <c r="N336" t="e">
        <f>IF(#REF!,"AAAAAFNbag0=",0)</f>
        <v>#REF!</v>
      </c>
      <c r="O336" t="e">
        <f>IF(#REF!,"AAAAAFNbag4=",0)</f>
        <v>#REF!</v>
      </c>
      <c r="P336" t="e">
        <f>IF(#REF!,"AAAAAFNbag8=",0)</f>
        <v>#REF!</v>
      </c>
      <c r="Q336" t="e">
        <f>IF(#REF!,"AAAAAFNbahA=",0)</f>
        <v>#REF!</v>
      </c>
      <c r="R336" t="e">
        <f>IF(#REF!,"AAAAAFNbahE=",0)</f>
        <v>#REF!</v>
      </c>
      <c r="S336" t="e">
        <f>IF(#REF!,"AAAAAFNbahI=",0)</f>
        <v>#REF!</v>
      </c>
      <c r="T336" t="e">
        <f>IF(#REF!,"AAAAAFNbahM=",0)</f>
        <v>#REF!</v>
      </c>
      <c r="U336" t="e">
        <f>IF(#REF!,"AAAAAFNbahQ=",0)</f>
        <v>#REF!</v>
      </c>
      <c r="V336" t="e">
        <f>IF(#REF!,"AAAAAFNbahU=",0)</f>
        <v>#REF!</v>
      </c>
      <c r="W336" t="e">
        <f>IF(#REF!,"AAAAAFNbahY=",0)</f>
        <v>#REF!</v>
      </c>
      <c r="X336" t="e">
        <f>IF(#REF!,"AAAAAFNbahc=",0)</f>
        <v>#REF!</v>
      </c>
      <c r="Y336" t="e">
        <f>IF(#REF!,"AAAAAFNbahg=",0)</f>
        <v>#REF!</v>
      </c>
      <c r="Z336" t="e">
        <f>IF(#REF!,"AAAAAFNbahk=",0)</f>
        <v>#REF!</v>
      </c>
      <c r="AA336" t="e">
        <f>IF(#REF!,"AAAAAFNbaho=",0)</f>
        <v>#REF!</v>
      </c>
      <c r="AB336" t="e">
        <f>IF(#REF!,"AAAAAFNbahs=",0)</f>
        <v>#REF!</v>
      </c>
      <c r="AC336" t="e">
        <f>IF(#REF!,"AAAAAFNbahw=",0)</f>
        <v>#REF!</v>
      </c>
      <c r="AD336" t="e">
        <f>IF(#REF!,"AAAAAFNbah0=",0)</f>
        <v>#REF!</v>
      </c>
      <c r="AE336" t="e">
        <f>IF(#REF!,"AAAAAFNbah4=",0)</f>
        <v>#REF!</v>
      </c>
      <c r="AF336" t="e">
        <f>IF(#REF!,"AAAAAFNbah8=",0)</f>
        <v>#REF!</v>
      </c>
      <c r="AG336" t="e">
        <f>IF(#REF!,"AAAAAFNbaiA=",0)</f>
        <v>#REF!</v>
      </c>
      <c r="AH336" t="e">
        <f>IF(#REF!,"AAAAAFNbaiE=",0)</f>
        <v>#REF!</v>
      </c>
      <c r="AI336" t="e">
        <f>IF(#REF!,"AAAAAFNbaiI=",0)</f>
        <v>#REF!</v>
      </c>
      <c r="AJ336" t="e">
        <f>IF(#REF!,"AAAAAFNbaiM=",0)</f>
        <v>#REF!</v>
      </c>
      <c r="AK336" t="e">
        <f>IF(#REF!,"AAAAAFNbaiQ=",0)</f>
        <v>#REF!</v>
      </c>
      <c r="AL336" t="e">
        <f>IF(#REF!,"AAAAAFNbaiU=",0)</f>
        <v>#REF!</v>
      </c>
      <c r="AM336" t="e">
        <f>IF(#REF!,"AAAAAFNbaiY=",0)</f>
        <v>#REF!</v>
      </c>
      <c r="AN336" t="e">
        <f>IF(#REF!,"AAAAAFNbaic=",0)</f>
        <v>#REF!</v>
      </c>
      <c r="AO336" t="e">
        <f>IF(#REF!,"AAAAAFNbaig=",0)</f>
        <v>#REF!</v>
      </c>
      <c r="AP336" t="e">
        <f>IF(#REF!,"AAAAAFNbaik=",0)</f>
        <v>#REF!</v>
      </c>
      <c r="AQ336" t="e">
        <f>IF(#REF!,"AAAAAFNbaio=",0)</f>
        <v>#REF!</v>
      </c>
      <c r="AR336" t="e">
        <f>IF(#REF!,"AAAAAFNbais=",0)</f>
        <v>#REF!</v>
      </c>
      <c r="AS336" t="e">
        <f>IF(#REF!,"AAAAAFNbaiw=",0)</f>
        <v>#REF!</v>
      </c>
      <c r="AT336" t="e">
        <f>IF(#REF!,"AAAAAFNbai0=",0)</f>
        <v>#REF!</v>
      </c>
      <c r="AU336" t="e">
        <f>IF(#REF!,"AAAAAFNbai4=",0)</f>
        <v>#REF!</v>
      </c>
      <c r="AV336" t="e">
        <f>IF(#REF!,"AAAAAFNbai8=",0)</f>
        <v>#REF!</v>
      </c>
      <c r="AW336" t="e">
        <f>IF(#REF!,"AAAAAFNbajA=",0)</f>
        <v>#REF!</v>
      </c>
      <c r="AX336" t="e">
        <f>IF(#REF!,"AAAAAFNbajE=",0)</f>
        <v>#REF!</v>
      </c>
      <c r="AY336" t="e">
        <f>IF(#REF!,"AAAAAFNbajI=",0)</f>
        <v>#REF!</v>
      </c>
      <c r="AZ336" t="e">
        <f>IF(#REF!,"AAAAAFNbajM=",0)</f>
        <v>#REF!</v>
      </c>
      <c r="BA336" t="e">
        <f>IF(#REF!,"AAAAAFNbajQ=",0)</f>
        <v>#REF!</v>
      </c>
      <c r="BB336" t="e">
        <f>IF(#REF!,"AAAAAFNbajU=",0)</f>
        <v>#REF!</v>
      </c>
      <c r="BC336" t="e">
        <f>IF(#REF!,"AAAAAFNbajY=",0)</f>
        <v>#REF!</v>
      </c>
      <c r="BD336" t="e">
        <f>IF(#REF!,"AAAAAFNbajc=",0)</f>
        <v>#REF!</v>
      </c>
      <c r="BE336" t="e">
        <f>IF(#REF!,"AAAAAFNbajg=",0)</f>
        <v>#REF!</v>
      </c>
      <c r="BF336" t="e">
        <f>IF(#REF!,"AAAAAFNbajk=",0)</f>
        <v>#REF!</v>
      </c>
      <c r="BG336" t="e">
        <f>IF(#REF!,"AAAAAFNbajo=",0)</f>
        <v>#REF!</v>
      </c>
      <c r="BH336" t="e">
        <f>IF(#REF!,"AAAAAFNbajs=",0)</f>
        <v>#REF!</v>
      </c>
      <c r="BI336" t="e">
        <f>IF(#REF!,"AAAAAFNbajw=",0)</f>
        <v>#REF!</v>
      </c>
      <c r="BJ336" t="e">
        <f>IF(#REF!,"AAAAAFNbaj0=",0)</f>
        <v>#REF!</v>
      </c>
      <c r="BK336" t="e">
        <f>IF(#REF!,"AAAAAFNbaj4=",0)</f>
        <v>#REF!</v>
      </c>
      <c r="BL336" t="e">
        <f>IF(#REF!,"AAAAAFNbaj8=",0)</f>
        <v>#REF!</v>
      </c>
      <c r="BM336" t="e">
        <f>IF(#REF!,"AAAAAFNbakA=",0)</f>
        <v>#REF!</v>
      </c>
      <c r="BN336" t="e">
        <f>IF(#REF!,"AAAAAFNbakE=",0)</f>
        <v>#REF!</v>
      </c>
      <c r="BO336" t="e">
        <f>IF(#REF!,"AAAAAFNbakI=",0)</f>
        <v>#REF!</v>
      </c>
      <c r="BP336" t="e">
        <f>IF(#REF!,"AAAAAFNbakM=",0)</f>
        <v>#REF!</v>
      </c>
      <c r="BQ336" t="e">
        <f>IF(#REF!,"AAAAAFNbakQ=",0)</f>
        <v>#REF!</v>
      </c>
      <c r="BR336" t="e">
        <f>IF(#REF!,"AAAAAFNbakU=",0)</f>
        <v>#REF!</v>
      </c>
      <c r="BS336" t="e">
        <f>IF(#REF!,"AAAAAFNbakY=",0)</f>
        <v>#REF!</v>
      </c>
      <c r="BT336" t="e">
        <f>IF(#REF!,"AAAAAFNbakc=",0)</f>
        <v>#REF!</v>
      </c>
      <c r="BU336" t="e">
        <f>IF(#REF!,"AAAAAFNbakg=",0)</f>
        <v>#REF!</v>
      </c>
      <c r="BV336" t="e">
        <f>IF(#REF!,"AAAAAFNbakk=",0)</f>
        <v>#REF!</v>
      </c>
      <c r="BW336" t="e">
        <f>IF(#REF!,"AAAAAFNbako=",0)</f>
        <v>#REF!</v>
      </c>
      <c r="BX336" t="e">
        <f>IF(#REF!,"AAAAAFNbaks=",0)</f>
        <v>#REF!</v>
      </c>
      <c r="BY336" t="e">
        <f>IF(#REF!,"AAAAAFNbakw=",0)</f>
        <v>#REF!</v>
      </c>
      <c r="BZ336" t="e">
        <f>IF(#REF!,"AAAAAFNbak0=",0)</f>
        <v>#REF!</v>
      </c>
      <c r="CA336" t="e">
        <f>IF(#REF!,"AAAAAFNbak4=",0)</f>
        <v>#REF!</v>
      </c>
      <c r="CB336" t="e">
        <f>IF(#REF!,"AAAAAFNbak8=",0)</f>
        <v>#REF!</v>
      </c>
      <c r="CC336" t="e">
        <f>IF(#REF!,"AAAAAFNbalA=",0)</f>
        <v>#REF!</v>
      </c>
      <c r="CD336" t="e">
        <f>IF(#REF!,"AAAAAFNbalE=",0)</f>
        <v>#REF!</v>
      </c>
      <c r="CE336" t="e">
        <f>IF(#REF!,"AAAAAFNbalI=",0)</f>
        <v>#REF!</v>
      </c>
      <c r="CF336" t="e">
        <f>IF(#REF!,"AAAAAFNbalM=",0)</f>
        <v>#REF!</v>
      </c>
      <c r="CG336" t="e">
        <f>IF(#REF!,"AAAAAFNbalQ=",0)</f>
        <v>#REF!</v>
      </c>
      <c r="CH336" t="e">
        <f>IF(#REF!,"AAAAAFNbalU=",0)</f>
        <v>#REF!</v>
      </c>
      <c r="CI336" t="e">
        <f>IF(#REF!,"AAAAAFNbalY=",0)</f>
        <v>#REF!</v>
      </c>
      <c r="CJ336" t="e">
        <f>IF(#REF!,"AAAAAFNbalc=",0)</f>
        <v>#REF!</v>
      </c>
      <c r="CK336" t="e">
        <f>IF(#REF!,"AAAAAFNbalg=",0)</f>
        <v>#REF!</v>
      </c>
      <c r="CL336" t="e">
        <f>IF(#REF!,"AAAAAFNbalk=",0)</f>
        <v>#REF!</v>
      </c>
      <c r="CM336" t="e">
        <f>IF(#REF!,"AAAAAFNbalo=",0)</f>
        <v>#REF!</v>
      </c>
      <c r="CN336" t="e">
        <f>IF(#REF!,"AAAAAFNbals=",0)</f>
        <v>#REF!</v>
      </c>
      <c r="CO336" t="e">
        <f>IF(#REF!,"AAAAAFNbalw=",0)</f>
        <v>#REF!</v>
      </c>
      <c r="CP336" t="e">
        <f>IF(#REF!,"AAAAAFNbal0=",0)</f>
        <v>#REF!</v>
      </c>
      <c r="CQ336" t="e">
        <f>IF(#REF!,"AAAAAFNbal4=",0)</f>
        <v>#REF!</v>
      </c>
      <c r="CR336" t="e">
        <f>IF(#REF!,"AAAAAFNbal8=",0)</f>
        <v>#REF!</v>
      </c>
      <c r="CS336" t="e">
        <f>IF(#REF!,"AAAAAFNbamA=",0)</f>
        <v>#REF!</v>
      </c>
      <c r="CT336" t="e">
        <f>IF(#REF!,"AAAAAFNbamE=",0)</f>
        <v>#REF!</v>
      </c>
      <c r="CU336" t="e">
        <f>IF(#REF!,"AAAAAFNbamI=",0)</f>
        <v>#REF!</v>
      </c>
      <c r="CV336" t="e">
        <f>IF(#REF!,"AAAAAFNbamM=",0)</f>
        <v>#REF!</v>
      </c>
      <c r="CW336" t="e">
        <f>IF(#REF!,"AAAAAFNbamQ=",0)</f>
        <v>#REF!</v>
      </c>
      <c r="CX336" t="e">
        <f>IF(#REF!,"AAAAAFNbamU=",0)</f>
        <v>#REF!</v>
      </c>
      <c r="CY336" t="e">
        <f>IF(#REF!,"AAAAAFNbamY=",0)</f>
        <v>#REF!</v>
      </c>
      <c r="CZ336" t="e">
        <f>IF(#REF!,"AAAAAFNbamc=",0)</f>
        <v>#REF!</v>
      </c>
      <c r="DA336" t="e">
        <f>IF(#REF!,"AAAAAFNbamg=",0)</f>
        <v>#REF!</v>
      </c>
      <c r="DB336" t="e">
        <f>IF(#REF!,"AAAAAFNbamk=",0)</f>
        <v>#REF!</v>
      </c>
      <c r="DC336" t="e">
        <f>IF(#REF!,"AAAAAFNbamo=",0)</f>
        <v>#REF!</v>
      </c>
      <c r="DD336" t="e">
        <f>IF(#REF!,"AAAAAFNbams=",0)</f>
        <v>#REF!</v>
      </c>
      <c r="DE336" t="e">
        <f>IF(#REF!,"AAAAAFNbamw=",0)</f>
        <v>#REF!</v>
      </c>
      <c r="DF336" t="e">
        <f>IF(#REF!,"AAAAAFNbam0=",0)</f>
        <v>#REF!</v>
      </c>
      <c r="DG336" t="e">
        <f>IF(#REF!,"AAAAAFNbam4=",0)</f>
        <v>#REF!</v>
      </c>
      <c r="DH336" t="e">
        <f>IF(#REF!,"AAAAAFNbam8=",0)</f>
        <v>#REF!</v>
      </c>
      <c r="DI336" t="e">
        <f>IF(#REF!,"AAAAAFNbanA=",0)</f>
        <v>#REF!</v>
      </c>
      <c r="DJ336" t="e">
        <f>IF(#REF!,"AAAAAFNbanE=",0)</f>
        <v>#REF!</v>
      </c>
      <c r="DK336" t="e">
        <f>IF(#REF!,"AAAAAFNbanI=",0)</f>
        <v>#REF!</v>
      </c>
      <c r="DL336" t="e">
        <f>IF(#REF!,"AAAAAFNbanM=",0)</f>
        <v>#REF!</v>
      </c>
      <c r="DM336" t="e">
        <f>IF(#REF!,"AAAAAFNbanQ=",0)</f>
        <v>#REF!</v>
      </c>
      <c r="DN336" t="e">
        <f>IF(#REF!,"AAAAAFNbanU=",0)</f>
        <v>#REF!</v>
      </c>
      <c r="DO336" t="e">
        <f>IF(#REF!,"AAAAAFNbanY=",0)</f>
        <v>#REF!</v>
      </c>
      <c r="DP336" t="e">
        <f>IF(#REF!,"AAAAAFNbanc=",0)</f>
        <v>#REF!</v>
      </c>
      <c r="DQ336" t="e">
        <f>IF(#REF!,"AAAAAFNbang=",0)</f>
        <v>#REF!</v>
      </c>
      <c r="DR336" t="e">
        <f>IF(#REF!,"AAAAAFNbank=",0)</f>
        <v>#REF!</v>
      </c>
      <c r="DS336" t="e">
        <f>IF(#REF!,"AAAAAFNbano=",0)</f>
        <v>#REF!</v>
      </c>
      <c r="DT336" t="e">
        <f>IF(#REF!,"AAAAAFNbans=",0)</f>
        <v>#REF!</v>
      </c>
      <c r="DU336" t="e">
        <f>IF(#REF!,"AAAAAFNbanw=",0)</f>
        <v>#REF!</v>
      </c>
      <c r="DV336" t="e">
        <f>IF(#REF!,"AAAAAFNban0=",0)</f>
        <v>#REF!</v>
      </c>
      <c r="DW336" t="e">
        <f>IF(#REF!,"AAAAAFNban4=",0)</f>
        <v>#REF!</v>
      </c>
      <c r="DX336" t="e">
        <f>IF(#REF!,"AAAAAFNban8=",0)</f>
        <v>#REF!</v>
      </c>
      <c r="DY336" t="e">
        <f>IF(#REF!,"AAAAAFNbaoA=",0)</f>
        <v>#REF!</v>
      </c>
      <c r="DZ336" t="e">
        <f>IF(#REF!,"AAAAAFNbaoE=",0)</f>
        <v>#REF!</v>
      </c>
      <c r="EA336" t="e">
        <f>IF(#REF!,"AAAAAFNbaoI=",0)</f>
        <v>#REF!</v>
      </c>
      <c r="EB336" t="e">
        <f>IF(#REF!,"AAAAAFNbaoM=",0)</f>
        <v>#REF!</v>
      </c>
      <c r="EC336" t="e">
        <f>IF(#REF!,"AAAAAFNbaoQ=",0)</f>
        <v>#REF!</v>
      </c>
      <c r="ED336" t="e">
        <f>IF(#REF!,"AAAAAFNbaoU=",0)</f>
        <v>#REF!</v>
      </c>
      <c r="EE336" t="e">
        <f>IF(#REF!,"AAAAAFNbaoY=",0)</f>
        <v>#REF!</v>
      </c>
      <c r="EF336" t="e">
        <f>IF(#REF!,"AAAAAFNbaoc=",0)</f>
        <v>#REF!</v>
      </c>
      <c r="EG336" t="e">
        <f>IF(#REF!,"AAAAAFNbaog=",0)</f>
        <v>#REF!</v>
      </c>
      <c r="EH336" t="e">
        <f>IF(#REF!,"AAAAAFNbaok=",0)</f>
        <v>#REF!</v>
      </c>
      <c r="EI336" t="e">
        <f>IF(#REF!,"AAAAAFNbaoo=",0)</f>
        <v>#REF!</v>
      </c>
      <c r="EJ336" t="e">
        <f>IF(#REF!,"AAAAAFNbaos=",0)</f>
        <v>#REF!</v>
      </c>
      <c r="EK336" t="e">
        <f>IF(#REF!,"AAAAAFNbaow=",0)</f>
        <v>#REF!</v>
      </c>
      <c r="EL336" t="e">
        <f>IF(#REF!,"AAAAAFNbao0=",0)</f>
        <v>#REF!</v>
      </c>
      <c r="EM336" t="e">
        <f>IF(#REF!,"AAAAAFNbao4=",0)</f>
        <v>#REF!</v>
      </c>
      <c r="EN336" t="e">
        <f>IF(#REF!,"AAAAAFNbao8=",0)</f>
        <v>#REF!</v>
      </c>
      <c r="EO336" t="e">
        <f>IF(#REF!,"AAAAAFNbapA=",0)</f>
        <v>#REF!</v>
      </c>
      <c r="EP336" t="e">
        <f>IF(#REF!,"AAAAAFNbapE=",0)</f>
        <v>#REF!</v>
      </c>
      <c r="EQ336" t="e">
        <f>IF(#REF!,"AAAAAFNbapI=",0)</f>
        <v>#REF!</v>
      </c>
      <c r="ER336" t="e">
        <f>IF(#REF!,"AAAAAFNbapM=",0)</f>
        <v>#REF!</v>
      </c>
      <c r="ES336" t="e">
        <f>IF(#REF!,"AAAAAFNbapQ=",0)</f>
        <v>#REF!</v>
      </c>
      <c r="ET336" t="e">
        <f>IF(#REF!,"AAAAAFNbapU=",0)</f>
        <v>#REF!</v>
      </c>
      <c r="EU336" t="e">
        <f>IF(#REF!,"AAAAAFNbapY=",0)</f>
        <v>#REF!</v>
      </c>
      <c r="EV336" t="e">
        <f>IF(#REF!,"AAAAAFNbapc=",0)</f>
        <v>#REF!</v>
      </c>
      <c r="EW336" t="e">
        <f>IF(#REF!,"AAAAAFNbapg=",0)</f>
        <v>#REF!</v>
      </c>
      <c r="EX336" t="e">
        <f>IF(#REF!,"AAAAAFNbapk=",0)</f>
        <v>#REF!</v>
      </c>
      <c r="EY336" t="e">
        <f>IF(#REF!,"AAAAAFNbapo=",0)</f>
        <v>#REF!</v>
      </c>
      <c r="EZ336" t="e">
        <f>IF(#REF!,"AAAAAFNbaps=",0)</f>
        <v>#REF!</v>
      </c>
      <c r="FA336" t="e">
        <f>IF(#REF!,"AAAAAFNbapw=",0)</f>
        <v>#REF!</v>
      </c>
      <c r="FB336" t="e">
        <f>IF(#REF!,"AAAAAFNbap0=",0)</f>
        <v>#REF!</v>
      </c>
      <c r="FC336" t="e">
        <f>IF(#REF!,"AAAAAFNbap4=",0)</f>
        <v>#REF!</v>
      </c>
      <c r="FD336" t="e">
        <f>IF(#REF!,"AAAAAFNbap8=",0)</f>
        <v>#REF!</v>
      </c>
      <c r="FE336" t="e">
        <f>IF(#REF!,"AAAAAFNbaqA=",0)</f>
        <v>#REF!</v>
      </c>
      <c r="FF336" t="e">
        <f>IF(#REF!,"AAAAAFNbaqE=",0)</f>
        <v>#REF!</v>
      </c>
      <c r="FG336" t="e">
        <f>IF(#REF!,"AAAAAFNbaqI=",0)</f>
        <v>#REF!</v>
      </c>
      <c r="FH336" t="e">
        <f>IF(#REF!,"AAAAAFNbaqM=",0)</f>
        <v>#REF!</v>
      </c>
      <c r="FI336" t="e">
        <f>IF(#REF!,"AAAAAFNbaqQ=",0)</f>
        <v>#REF!</v>
      </c>
      <c r="FJ336" t="e">
        <f>IF(#REF!,"AAAAAFNbaqU=",0)</f>
        <v>#REF!</v>
      </c>
      <c r="FK336" t="e">
        <f>IF(#REF!,"AAAAAFNbaqY=",0)</f>
        <v>#REF!</v>
      </c>
      <c r="FL336" t="e">
        <f>IF(#REF!,"AAAAAFNbaqc=",0)</f>
        <v>#REF!</v>
      </c>
      <c r="FM336" t="e">
        <f>IF(#REF!,"AAAAAFNbaqg=",0)</f>
        <v>#REF!</v>
      </c>
      <c r="FN336" t="e">
        <f>IF(#REF!,"AAAAAFNbaqk=",0)</f>
        <v>#REF!</v>
      </c>
      <c r="FO336" t="e">
        <f>IF(#REF!,"AAAAAFNbaqo=",0)</f>
        <v>#REF!</v>
      </c>
      <c r="FP336" t="e">
        <f>IF(#REF!,"AAAAAFNbaqs=",0)</f>
        <v>#REF!</v>
      </c>
      <c r="FQ336" t="e">
        <f>IF(#REF!,"AAAAAFNbaqw=",0)</f>
        <v>#REF!</v>
      </c>
      <c r="FR336" t="e">
        <f>IF(#REF!,"AAAAAFNbaq0=",0)</f>
        <v>#REF!</v>
      </c>
      <c r="FS336" t="e">
        <f>IF(#REF!,"AAAAAFNbaq4=",0)</f>
        <v>#REF!</v>
      </c>
      <c r="FT336" t="e">
        <f>IF(#REF!,"AAAAAFNbaq8=",0)</f>
        <v>#REF!</v>
      </c>
      <c r="FU336" t="e">
        <f>IF(#REF!,"AAAAAFNbarA=",0)</f>
        <v>#REF!</v>
      </c>
      <c r="FV336" t="e">
        <f>IF(#REF!,"AAAAAFNbarE=",0)</f>
        <v>#REF!</v>
      </c>
      <c r="FW336" t="e">
        <f>IF(#REF!,"AAAAAFNbarI=",0)</f>
        <v>#REF!</v>
      </c>
      <c r="FX336" t="e">
        <f>IF(#REF!,"AAAAAFNbarM=",0)</f>
        <v>#REF!</v>
      </c>
      <c r="FY336" t="e">
        <f>IF(#REF!,"AAAAAFNbarQ=",0)</f>
        <v>#REF!</v>
      </c>
      <c r="FZ336" t="e">
        <f>IF(#REF!,"AAAAAFNbarU=",0)</f>
        <v>#REF!</v>
      </c>
      <c r="GA336" t="e">
        <f>IF(#REF!,"AAAAAFNbarY=",0)</f>
        <v>#REF!</v>
      </c>
      <c r="GB336" t="e">
        <f>IF(#REF!,"AAAAAFNbarc=",0)</f>
        <v>#REF!</v>
      </c>
      <c r="GC336" t="e">
        <f>IF(#REF!,"AAAAAFNbarg=",0)</f>
        <v>#REF!</v>
      </c>
      <c r="GD336" t="e">
        <f>IF(#REF!,"AAAAAFNbark=",0)</f>
        <v>#REF!</v>
      </c>
      <c r="GE336" t="e">
        <f>IF(#REF!,"AAAAAFNbaro=",0)</f>
        <v>#REF!</v>
      </c>
      <c r="GF336" t="e">
        <f>IF(#REF!,"AAAAAFNbars=",0)</f>
        <v>#REF!</v>
      </c>
      <c r="GG336" t="e">
        <f>IF(#REF!,"AAAAAFNbarw=",0)</f>
        <v>#REF!</v>
      </c>
      <c r="GH336" t="e">
        <f>IF(#REF!,"AAAAAFNbar0=",0)</f>
        <v>#REF!</v>
      </c>
      <c r="GI336" t="e">
        <f>IF(#REF!,"AAAAAFNbar4=",0)</f>
        <v>#REF!</v>
      </c>
      <c r="GJ336" t="e">
        <f>IF(#REF!,"AAAAAFNbar8=",0)</f>
        <v>#REF!</v>
      </c>
      <c r="GK336" t="e">
        <f>IF(#REF!,"AAAAAFNbasA=",0)</f>
        <v>#REF!</v>
      </c>
      <c r="GL336" t="e">
        <f>IF(#REF!,"AAAAAFNbasE=",0)</f>
        <v>#REF!</v>
      </c>
      <c r="GM336" t="e">
        <f>IF(#REF!,"AAAAAFNbasI=",0)</f>
        <v>#REF!</v>
      </c>
      <c r="GN336" t="e">
        <f>IF(#REF!,"AAAAAFNbasM=",0)</f>
        <v>#REF!</v>
      </c>
      <c r="GO336" t="e">
        <f>IF(#REF!,"AAAAAFNbasQ=",0)</f>
        <v>#REF!</v>
      </c>
      <c r="GP336" t="e">
        <f>IF(#REF!,"AAAAAFNbasU=",0)</f>
        <v>#REF!</v>
      </c>
      <c r="GQ336" t="e">
        <f>IF(#REF!,"AAAAAFNbasY=",0)</f>
        <v>#REF!</v>
      </c>
      <c r="GR336" t="e">
        <f>IF(#REF!,"AAAAAFNbasc=",0)</f>
        <v>#REF!</v>
      </c>
      <c r="GS336" t="e">
        <f>IF(#REF!,"AAAAAFNbasg=",0)</f>
        <v>#REF!</v>
      </c>
      <c r="GT336" t="e">
        <f>IF(#REF!,"AAAAAFNbask=",0)</f>
        <v>#REF!</v>
      </c>
      <c r="GU336" t="e">
        <f>IF(#REF!,"AAAAAFNbaso=",0)</f>
        <v>#REF!</v>
      </c>
      <c r="GV336" t="e">
        <f>IF(#REF!,"AAAAAFNbass=",0)</f>
        <v>#REF!</v>
      </c>
      <c r="GW336" t="e">
        <f>IF(#REF!,"AAAAAFNbasw=",0)</f>
        <v>#REF!</v>
      </c>
      <c r="GX336" t="e">
        <f>IF(#REF!,"AAAAAFNbas0=",0)</f>
        <v>#REF!</v>
      </c>
      <c r="GY336" t="e">
        <f>IF(#REF!,"AAAAAFNbas4=",0)</f>
        <v>#REF!</v>
      </c>
      <c r="GZ336" t="e">
        <f>IF(#REF!,"AAAAAFNbas8=",0)</f>
        <v>#REF!</v>
      </c>
      <c r="HA336" t="e">
        <f>IF(#REF!,"AAAAAFNbatA=",0)</f>
        <v>#REF!</v>
      </c>
      <c r="HB336" t="e">
        <f>IF(#REF!,"AAAAAFNbatE=",0)</f>
        <v>#REF!</v>
      </c>
      <c r="HC336" t="e">
        <f>IF(#REF!,"AAAAAFNbatI=",0)</f>
        <v>#REF!</v>
      </c>
      <c r="HD336" t="e">
        <f>IF(#REF!,"AAAAAFNbatM=",0)</f>
        <v>#REF!</v>
      </c>
      <c r="HE336" t="e">
        <f>IF(#REF!,"AAAAAFNbatQ=",0)</f>
        <v>#REF!</v>
      </c>
      <c r="HF336" t="e">
        <f>IF(#REF!,"AAAAAFNbatU=",0)</f>
        <v>#REF!</v>
      </c>
      <c r="HG336" t="e">
        <f>IF(#REF!,"AAAAAFNbatY=",0)</f>
        <v>#REF!</v>
      </c>
      <c r="HH336" t="e">
        <f>IF(#REF!,"AAAAAFNbatc=",0)</f>
        <v>#REF!</v>
      </c>
      <c r="HI336" t="e">
        <f>IF(#REF!,"AAAAAFNbatg=",0)</f>
        <v>#REF!</v>
      </c>
      <c r="HJ336" t="e">
        <f>IF(#REF!,"AAAAAFNbatk=",0)</f>
        <v>#REF!</v>
      </c>
      <c r="HK336" t="e">
        <f>IF(#REF!,"AAAAAFNbato=",0)</f>
        <v>#REF!</v>
      </c>
      <c r="HL336" t="e">
        <f>IF(#REF!,"AAAAAFNbats=",0)</f>
        <v>#REF!</v>
      </c>
      <c r="HM336" t="e">
        <f>IF(#REF!,"AAAAAFNbatw=",0)</f>
        <v>#REF!</v>
      </c>
      <c r="HN336" t="e">
        <f>IF(#REF!,"AAAAAFNbat0=",0)</f>
        <v>#REF!</v>
      </c>
      <c r="HO336" t="e">
        <f>IF(#REF!,"AAAAAFNbat4=",0)</f>
        <v>#REF!</v>
      </c>
      <c r="HP336" t="e">
        <f>IF(#REF!,"AAAAAFNbat8=",0)</f>
        <v>#REF!</v>
      </c>
      <c r="HQ336" t="e">
        <f>IF(#REF!,"AAAAAFNbauA=",0)</f>
        <v>#REF!</v>
      </c>
      <c r="HR336" t="e">
        <f>IF(#REF!,"AAAAAFNbauE=",0)</f>
        <v>#REF!</v>
      </c>
      <c r="HS336" t="e">
        <f>IF(#REF!,"AAAAAFNbauI=",0)</f>
        <v>#REF!</v>
      </c>
      <c r="HT336" t="e">
        <f>IF(#REF!,"AAAAAFNbauM=",0)</f>
        <v>#REF!</v>
      </c>
      <c r="HU336" t="e">
        <f>IF(#REF!,"AAAAAFNbauQ=",0)</f>
        <v>#REF!</v>
      </c>
      <c r="HV336" t="e">
        <f>IF(#REF!,"AAAAAFNbauU=",0)</f>
        <v>#REF!</v>
      </c>
      <c r="HW336" t="e">
        <f>IF(#REF!,"AAAAAFNbauY=",0)</f>
        <v>#REF!</v>
      </c>
      <c r="HX336" t="e">
        <f>IF(#REF!,"AAAAAFNbauc=",0)</f>
        <v>#REF!</v>
      </c>
      <c r="HY336" t="e">
        <f>IF(#REF!,"AAAAAFNbaug=",0)</f>
        <v>#REF!</v>
      </c>
      <c r="HZ336" t="e">
        <f>IF(#REF!,"AAAAAFNbauk=",0)</f>
        <v>#REF!</v>
      </c>
      <c r="IA336" t="e">
        <f>IF(#REF!,"AAAAAFNbauo=",0)</f>
        <v>#REF!</v>
      </c>
      <c r="IB336" t="e">
        <f>IF(#REF!,"AAAAAFNbaus=",0)</f>
        <v>#REF!</v>
      </c>
      <c r="IC336" t="e">
        <f>IF(#REF!,"AAAAAFNbauw=",0)</f>
        <v>#REF!</v>
      </c>
      <c r="ID336" t="e">
        <f>IF(#REF!,"AAAAAFNbau0=",0)</f>
        <v>#REF!</v>
      </c>
      <c r="IE336" t="e">
        <f>IF(#REF!,"AAAAAFNbau4=",0)</f>
        <v>#REF!</v>
      </c>
      <c r="IF336" t="e">
        <f>IF(#REF!,"AAAAAFNbau8=",0)</f>
        <v>#REF!</v>
      </c>
      <c r="IG336" t="e">
        <f>IF(#REF!,"AAAAAFNbavA=",0)</f>
        <v>#REF!</v>
      </c>
      <c r="IH336" t="e">
        <f>IF(#REF!,"AAAAAFNbavE=",0)</f>
        <v>#REF!</v>
      </c>
      <c r="II336" t="e">
        <f>IF(#REF!,"AAAAAFNbavI=",0)</f>
        <v>#REF!</v>
      </c>
      <c r="IJ336" t="e">
        <f>IF(#REF!,"AAAAAFNbavM=",0)</f>
        <v>#REF!</v>
      </c>
      <c r="IK336" t="e">
        <f>IF(#REF!,"AAAAAFNbavQ=",0)</f>
        <v>#REF!</v>
      </c>
      <c r="IL336" t="e">
        <f>IF(#REF!,"AAAAAFNbavU=",0)</f>
        <v>#REF!</v>
      </c>
      <c r="IM336" t="e">
        <f>IF(#REF!,"AAAAAFNbavY=",0)</f>
        <v>#REF!</v>
      </c>
      <c r="IN336" t="e">
        <f>IF(#REF!,"AAAAAFNbavc=",0)</f>
        <v>#REF!</v>
      </c>
      <c r="IO336" t="e">
        <f>IF(#REF!,"AAAAAFNbavg=",0)</f>
        <v>#REF!</v>
      </c>
      <c r="IP336" t="e">
        <f>IF(#REF!,"AAAAAFNbavk=",0)</f>
        <v>#REF!</v>
      </c>
      <c r="IQ336" t="e">
        <f>IF(#REF!,"AAAAAFNbavo=",0)</f>
        <v>#REF!</v>
      </c>
      <c r="IR336" t="e">
        <f>IF(#REF!,"AAAAAFNbavs=",0)</f>
        <v>#REF!</v>
      </c>
      <c r="IS336" t="e">
        <f>IF(#REF!,"AAAAAFNbavw=",0)</f>
        <v>#REF!</v>
      </c>
      <c r="IT336" t="e">
        <f>IF(#REF!,"AAAAAFNbav0=",0)</f>
        <v>#REF!</v>
      </c>
      <c r="IU336" t="e">
        <f>IF(#REF!,"AAAAAFNbav4=",0)</f>
        <v>#REF!</v>
      </c>
      <c r="IV336" t="e">
        <f>IF(#REF!,"AAAAAFNbav8=",0)</f>
        <v>#REF!</v>
      </c>
    </row>
    <row r="337" spans="1:256">
      <c r="A337" t="e">
        <f>IF(#REF!,"AAAAAH7+eQA=",0)</f>
        <v>#REF!</v>
      </c>
      <c r="B337" t="e">
        <f>IF(#REF!,"AAAAAH7+eQE=",0)</f>
        <v>#REF!</v>
      </c>
      <c r="C337" t="e">
        <f>IF(#REF!,"AAAAAH7+eQI=",0)</f>
        <v>#REF!</v>
      </c>
      <c r="D337" t="e">
        <f>IF(#REF!,"AAAAAH7+eQM=",0)</f>
        <v>#REF!</v>
      </c>
      <c r="E337" t="e">
        <f>IF(#REF!,"AAAAAH7+eQQ=",0)</f>
        <v>#REF!</v>
      </c>
      <c r="F337" t="e">
        <f>IF(#REF!,"AAAAAH7+eQU=",0)</f>
        <v>#REF!</v>
      </c>
      <c r="G337" t="e">
        <f>IF(#REF!,"AAAAAH7+eQY=",0)</f>
        <v>#REF!</v>
      </c>
      <c r="H337" t="e">
        <f>IF(#REF!,"AAAAAH7+eQc=",0)</f>
        <v>#REF!</v>
      </c>
      <c r="I337" t="e">
        <f>IF(#REF!,"AAAAAH7+eQg=",0)</f>
        <v>#REF!</v>
      </c>
      <c r="J337" t="e">
        <f>IF(#REF!,"AAAAAH7+eQk=",0)</f>
        <v>#REF!</v>
      </c>
      <c r="K337" t="e">
        <f>IF(#REF!,"AAAAAH7+eQo=",0)</f>
        <v>#REF!</v>
      </c>
      <c r="L337" t="e">
        <f>IF(#REF!,"AAAAAH7+eQs=",0)</f>
        <v>#REF!</v>
      </c>
      <c r="M337" t="e">
        <f>IF(#REF!,"AAAAAH7+eQw=",0)</f>
        <v>#REF!</v>
      </c>
      <c r="N337" t="e">
        <f>IF(#REF!,"AAAAAH7+eQ0=",0)</f>
        <v>#REF!</v>
      </c>
      <c r="O337" t="e">
        <f>IF(#REF!,"AAAAAH7+eQ4=",0)</f>
        <v>#REF!</v>
      </c>
      <c r="P337" t="e">
        <f>IF(#REF!,"AAAAAH7+eQ8=",0)</f>
        <v>#REF!</v>
      </c>
      <c r="Q337" t="e">
        <f>IF(#REF!,"AAAAAH7+eRA=",0)</f>
        <v>#REF!</v>
      </c>
      <c r="R337" t="e">
        <f>IF(#REF!,"AAAAAH7+eRE=",0)</f>
        <v>#REF!</v>
      </c>
      <c r="S337" t="e">
        <f>IF(#REF!,"AAAAAH7+eRI=",0)</f>
        <v>#REF!</v>
      </c>
      <c r="T337" t="e">
        <f>IF(#REF!,"AAAAAH7+eRM=",0)</f>
        <v>#REF!</v>
      </c>
      <c r="U337" t="e">
        <f>IF(#REF!,"AAAAAH7+eRQ=",0)</f>
        <v>#REF!</v>
      </c>
      <c r="V337" t="e">
        <f>IF(#REF!,"AAAAAH7+eRU=",0)</f>
        <v>#REF!</v>
      </c>
      <c r="W337" t="e">
        <f>IF(#REF!,"AAAAAH7+eRY=",0)</f>
        <v>#REF!</v>
      </c>
      <c r="X337" t="e">
        <f>IF(#REF!,"AAAAAH7+eRc=",0)</f>
        <v>#REF!</v>
      </c>
      <c r="Y337" t="e">
        <f>IF(#REF!,"AAAAAH7+eRg=",0)</f>
        <v>#REF!</v>
      </c>
      <c r="Z337" t="e">
        <f>IF(#REF!,"AAAAAH7+eRk=",0)</f>
        <v>#REF!</v>
      </c>
      <c r="AA337" t="e">
        <f>IF(#REF!,"AAAAAH7+eRo=",0)</f>
        <v>#REF!</v>
      </c>
      <c r="AB337" t="e">
        <f>IF(#REF!,"AAAAAH7+eRs=",0)</f>
        <v>#REF!</v>
      </c>
      <c r="AC337" t="e">
        <f>IF(#REF!,"AAAAAH7+eRw=",0)</f>
        <v>#REF!</v>
      </c>
      <c r="AD337" t="e">
        <f>IF(#REF!,"AAAAAH7+eR0=",0)</f>
        <v>#REF!</v>
      </c>
      <c r="AE337" t="e">
        <f>IF(#REF!,"AAAAAH7+eR4=",0)</f>
        <v>#REF!</v>
      </c>
      <c r="AF337" t="e">
        <f>IF(#REF!,"AAAAAH7+eR8=",0)</f>
        <v>#REF!</v>
      </c>
      <c r="AG337" t="e">
        <f>IF(#REF!,"AAAAAH7+eSA=",0)</f>
        <v>#REF!</v>
      </c>
      <c r="AH337" t="e">
        <f>IF(#REF!,"AAAAAH7+eSE=",0)</f>
        <v>#REF!</v>
      </c>
      <c r="AI337" t="e">
        <f>IF(#REF!,"AAAAAH7+eSI=",0)</f>
        <v>#REF!</v>
      </c>
      <c r="AJ337" t="e">
        <f>IF(#REF!,"AAAAAH7+eSM=",0)</f>
        <v>#REF!</v>
      </c>
      <c r="AK337" t="e">
        <f>IF(#REF!,"AAAAAH7+eSQ=",0)</f>
        <v>#REF!</v>
      </c>
      <c r="AL337" t="e">
        <f>IF(#REF!,"AAAAAH7+eSU=",0)</f>
        <v>#REF!</v>
      </c>
      <c r="AM337" t="e">
        <f>IF(#REF!,"AAAAAH7+eSY=",0)</f>
        <v>#REF!</v>
      </c>
      <c r="AN337" t="e">
        <f>IF(#REF!,"AAAAAH7+eSc=",0)</f>
        <v>#REF!</v>
      </c>
      <c r="AO337" t="e">
        <f>IF(#REF!,"AAAAAH7+eSg=",0)</f>
        <v>#REF!</v>
      </c>
      <c r="AP337" t="e">
        <f>IF(#REF!,"AAAAAH7+eSk=",0)</f>
        <v>#REF!</v>
      </c>
      <c r="AQ337" t="e">
        <f>IF(#REF!,"AAAAAH7+eSo=",0)</f>
        <v>#REF!</v>
      </c>
      <c r="AR337" t="e">
        <f>IF(#REF!,"AAAAAH7+eSs=",0)</f>
        <v>#REF!</v>
      </c>
      <c r="AS337" t="e">
        <f>IF(#REF!,"AAAAAH7+eSw=",0)</f>
        <v>#REF!</v>
      </c>
      <c r="AT337" t="e">
        <f>IF(#REF!,"AAAAAH7+eS0=",0)</f>
        <v>#REF!</v>
      </c>
      <c r="AU337" t="e">
        <f>IF(#REF!,"AAAAAH7+eS4=",0)</f>
        <v>#REF!</v>
      </c>
      <c r="AV337" t="e">
        <f>IF(#REF!,"AAAAAH7+eS8=",0)</f>
        <v>#REF!</v>
      </c>
      <c r="AW337" t="e">
        <f>IF(#REF!,"AAAAAH7+eTA=",0)</f>
        <v>#REF!</v>
      </c>
      <c r="AX337" t="e">
        <f>IF(#REF!,"AAAAAH7+eTE=",0)</f>
        <v>#REF!</v>
      </c>
      <c r="AY337" t="e">
        <f>IF(#REF!,"AAAAAH7+eTI=",0)</f>
        <v>#REF!</v>
      </c>
      <c r="AZ337" t="e">
        <f>IF(#REF!,"AAAAAH7+eTM=",0)</f>
        <v>#REF!</v>
      </c>
      <c r="BA337" t="e">
        <f>IF(#REF!,"AAAAAH7+eTQ=",0)</f>
        <v>#REF!</v>
      </c>
      <c r="BB337" t="e">
        <f>IF(#REF!,"AAAAAH7+eTU=",0)</f>
        <v>#REF!</v>
      </c>
      <c r="BC337" t="e">
        <f>IF(#REF!,"AAAAAH7+eTY=",0)</f>
        <v>#REF!</v>
      </c>
      <c r="BD337" t="e">
        <f>IF(#REF!,"AAAAAH7+eTc=",0)</f>
        <v>#REF!</v>
      </c>
      <c r="BE337" t="e">
        <f>IF(#REF!,"AAAAAH7+eTg=",0)</f>
        <v>#REF!</v>
      </c>
      <c r="BF337" t="e">
        <f>IF(#REF!,"AAAAAH7+eTk=",0)</f>
        <v>#REF!</v>
      </c>
      <c r="BG337" t="e">
        <f>IF(#REF!,"AAAAAH7+eTo=",0)</f>
        <v>#REF!</v>
      </c>
      <c r="BH337" t="e">
        <f>IF(#REF!,"AAAAAH7+eTs=",0)</f>
        <v>#REF!</v>
      </c>
      <c r="BI337" t="e">
        <f>IF(#REF!,"AAAAAH7+eTw=",0)</f>
        <v>#REF!</v>
      </c>
      <c r="BJ337" t="e">
        <f>IF(#REF!,"AAAAAH7+eT0=",0)</f>
        <v>#REF!</v>
      </c>
      <c r="BK337" t="e">
        <f>IF(#REF!,"AAAAAH7+eT4=",0)</f>
        <v>#REF!</v>
      </c>
      <c r="BL337" t="e">
        <f>IF(#REF!,"AAAAAH7+eT8=",0)</f>
        <v>#REF!</v>
      </c>
      <c r="BM337" t="e">
        <f>IF(#REF!,"AAAAAH7+eUA=",0)</f>
        <v>#REF!</v>
      </c>
      <c r="BN337" t="e">
        <f>IF(#REF!,"AAAAAH7+eUE=",0)</f>
        <v>#REF!</v>
      </c>
      <c r="BO337" t="e">
        <f>IF(#REF!,"AAAAAH7+eUI=",0)</f>
        <v>#REF!</v>
      </c>
      <c r="BP337" t="e">
        <f>IF(#REF!,"AAAAAH7+eUM=",0)</f>
        <v>#REF!</v>
      </c>
      <c r="BQ337" t="e">
        <f>IF(#REF!,"AAAAAH7+eUQ=",0)</f>
        <v>#REF!</v>
      </c>
      <c r="BR337" t="e">
        <f>IF(#REF!,"AAAAAH7+eUU=",0)</f>
        <v>#REF!</v>
      </c>
      <c r="BS337" t="e">
        <f>IF(#REF!,"AAAAAH7+eUY=",0)</f>
        <v>#REF!</v>
      </c>
      <c r="BT337" t="e">
        <f>IF(#REF!,"AAAAAH7+eUc=",0)</f>
        <v>#REF!</v>
      </c>
      <c r="BU337" t="e">
        <f>IF(#REF!,"AAAAAH7+eUg=",0)</f>
        <v>#REF!</v>
      </c>
      <c r="BV337" t="e">
        <f>IF(#REF!,"AAAAAH7+eUk=",0)</f>
        <v>#REF!</v>
      </c>
      <c r="BW337" t="e">
        <f>IF(#REF!,"AAAAAH7+eUo=",0)</f>
        <v>#REF!</v>
      </c>
      <c r="BX337" t="e">
        <f>IF(#REF!,"AAAAAH7+eUs=",0)</f>
        <v>#REF!</v>
      </c>
      <c r="BY337" t="e">
        <f>IF(#REF!,"AAAAAH7+eUw=",0)</f>
        <v>#REF!</v>
      </c>
      <c r="BZ337" t="e">
        <f>IF(#REF!,"AAAAAH7+eU0=",0)</f>
        <v>#REF!</v>
      </c>
      <c r="CA337" t="e">
        <f>IF(#REF!,"AAAAAH7+eU4=",0)</f>
        <v>#REF!</v>
      </c>
      <c r="CB337" t="e">
        <f>IF(#REF!,"AAAAAH7+eU8=",0)</f>
        <v>#REF!</v>
      </c>
      <c r="CC337" t="e">
        <f>IF(#REF!,"AAAAAH7+eVA=",0)</f>
        <v>#REF!</v>
      </c>
      <c r="CD337" t="e">
        <f>IF(#REF!,"AAAAAH7+eVE=",0)</f>
        <v>#REF!</v>
      </c>
      <c r="CE337" t="e">
        <f>IF(#REF!,"AAAAAH7+eVI=",0)</f>
        <v>#REF!</v>
      </c>
      <c r="CF337" t="e">
        <f>IF(#REF!,"AAAAAH7+eVM=",0)</f>
        <v>#REF!</v>
      </c>
      <c r="CG337" t="e">
        <f>IF(#REF!,"AAAAAH7+eVQ=",0)</f>
        <v>#REF!</v>
      </c>
      <c r="CH337" t="e">
        <f>IF(#REF!,"AAAAAH7+eVU=",0)</f>
        <v>#REF!</v>
      </c>
      <c r="CI337" t="e">
        <f>IF(#REF!,"AAAAAH7+eVY=",0)</f>
        <v>#REF!</v>
      </c>
      <c r="CJ337" t="e">
        <f>IF(#REF!,"AAAAAH7+eVc=",0)</f>
        <v>#REF!</v>
      </c>
      <c r="CK337" t="e">
        <f>IF(#REF!,"AAAAAH7+eVg=",0)</f>
        <v>#REF!</v>
      </c>
      <c r="CL337" t="e">
        <f>IF(#REF!,"AAAAAH7+eVk=",0)</f>
        <v>#REF!</v>
      </c>
      <c r="CM337" t="e">
        <f>IF(#REF!,"AAAAAH7+eVo=",0)</f>
        <v>#REF!</v>
      </c>
      <c r="CN337" t="e">
        <f>IF(#REF!,"AAAAAH7+eVs=",0)</f>
        <v>#REF!</v>
      </c>
      <c r="CO337" t="e">
        <f>IF(#REF!,"AAAAAH7+eVw=",0)</f>
        <v>#REF!</v>
      </c>
      <c r="CP337" t="e">
        <f>IF(#REF!,"AAAAAH7+eV0=",0)</f>
        <v>#REF!</v>
      </c>
      <c r="CQ337" t="e">
        <f>IF(#REF!,"AAAAAH7+eV4=",0)</f>
        <v>#REF!</v>
      </c>
      <c r="CR337" t="e">
        <f>IF(#REF!,"AAAAAH7+eV8=",0)</f>
        <v>#REF!</v>
      </c>
      <c r="CS337" t="e">
        <f>IF(#REF!,"AAAAAH7+eWA=",0)</f>
        <v>#REF!</v>
      </c>
      <c r="CT337" t="e">
        <f>IF(#REF!,"AAAAAH7+eWE=",0)</f>
        <v>#REF!</v>
      </c>
      <c r="CU337" t="e">
        <f>IF(#REF!,"AAAAAH7+eWI=",0)</f>
        <v>#REF!</v>
      </c>
      <c r="CV337" t="e">
        <f>IF(#REF!,"AAAAAH7+eWM=",0)</f>
        <v>#REF!</v>
      </c>
      <c r="CW337" t="e">
        <f>IF(#REF!,"AAAAAH7+eWQ=",0)</f>
        <v>#REF!</v>
      </c>
      <c r="CX337" t="e">
        <f>IF(#REF!,"AAAAAH7+eWU=",0)</f>
        <v>#REF!</v>
      </c>
      <c r="CY337" t="e">
        <f>IF(#REF!,"AAAAAH7+eWY=",0)</f>
        <v>#REF!</v>
      </c>
      <c r="CZ337" t="e">
        <f>IF(#REF!,"AAAAAH7+eWc=",0)</f>
        <v>#REF!</v>
      </c>
      <c r="DA337" t="e">
        <f>IF(#REF!,"AAAAAH7+eWg=",0)</f>
        <v>#REF!</v>
      </c>
      <c r="DB337" t="e">
        <f>IF(#REF!,"AAAAAH7+eWk=",0)</f>
        <v>#REF!</v>
      </c>
      <c r="DC337" t="e">
        <f>IF(#REF!,"AAAAAH7+eWo=",0)</f>
        <v>#REF!</v>
      </c>
      <c r="DD337" t="e">
        <f>IF(#REF!,"AAAAAH7+eWs=",0)</f>
        <v>#REF!</v>
      </c>
      <c r="DE337" t="e">
        <f>IF(#REF!,"AAAAAH7+eWw=",0)</f>
        <v>#REF!</v>
      </c>
      <c r="DF337" t="e">
        <f>IF(#REF!,"AAAAAH7+eW0=",0)</f>
        <v>#REF!</v>
      </c>
      <c r="DG337" t="e">
        <f>IF(#REF!,"AAAAAH7+eW4=",0)</f>
        <v>#REF!</v>
      </c>
      <c r="DH337" t="e">
        <f>IF(#REF!,"AAAAAH7+eW8=",0)</f>
        <v>#REF!</v>
      </c>
      <c r="DI337" t="e">
        <f>IF(#REF!,"AAAAAH7+eXA=",0)</f>
        <v>#REF!</v>
      </c>
      <c r="DJ337" t="e">
        <f>IF(#REF!,"AAAAAH7+eXE=",0)</f>
        <v>#REF!</v>
      </c>
      <c r="DK337" t="e">
        <f>IF(#REF!,"AAAAAH7+eXI=",0)</f>
        <v>#REF!</v>
      </c>
      <c r="DL337" t="e">
        <f>IF(#REF!,"AAAAAH7+eXM=",0)</f>
        <v>#REF!</v>
      </c>
      <c r="DM337" t="e">
        <f>IF(#REF!,"AAAAAH7+eXQ=",0)</f>
        <v>#REF!</v>
      </c>
      <c r="DN337" t="e">
        <f>IF(#REF!,"AAAAAH7+eXU=",0)</f>
        <v>#REF!</v>
      </c>
      <c r="DO337" t="e">
        <f>IF(#REF!,"AAAAAH7+eXY=",0)</f>
        <v>#REF!</v>
      </c>
      <c r="DP337" t="e">
        <f>IF(#REF!,"AAAAAH7+eXc=",0)</f>
        <v>#REF!</v>
      </c>
      <c r="DQ337" t="e">
        <f>IF(#REF!,"AAAAAH7+eXg=",0)</f>
        <v>#REF!</v>
      </c>
      <c r="DR337" t="e">
        <f>IF(#REF!,"AAAAAH7+eXk=",0)</f>
        <v>#REF!</v>
      </c>
      <c r="DS337" t="e">
        <f>IF(#REF!,"AAAAAH7+eXo=",0)</f>
        <v>#REF!</v>
      </c>
      <c r="DT337" t="e">
        <f>IF(#REF!,"AAAAAH7+eXs=",0)</f>
        <v>#REF!</v>
      </c>
      <c r="DU337" t="e">
        <f>IF(#REF!,"AAAAAH7+eXw=",0)</f>
        <v>#REF!</v>
      </c>
      <c r="DV337" t="e">
        <f>IF(#REF!,"AAAAAH7+eX0=",0)</f>
        <v>#REF!</v>
      </c>
      <c r="DW337" t="e">
        <f>IF(#REF!,"AAAAAH7+eX4=",0)</f>
        <v>#REF!</v>
      </c>
      <c r="DX337" t="e">
        <f>IF(#REF!,"AAAAAH7+eX8=",0)</f>
        <v>#REF!</v>
      </c>
      <c r="DY337" t="e">
        <f>IF(#REF!,"AAAAAH7+eYA=",0)</f>
        <v>#REF!</v>
      </c>
      <c r="DZ337" t="e">
        <f>IF(#REF!,"AAAAAH7+eYE=",0)</f>
        <v>#REF!</v>
      </c>
      <c r="EA337" t="e">
        <f>IF(#REF!,"AAAAAH7+eYI=",0)</f>
        <v>#REF!</v>
      </c>
      <c r="EB337" t="e">
        <f>IF(#REF!,"AAAAAH7+eYM=",0)</f>
        <v>#REF!</v>
      </c>
      <c r="EC337" t="e">
        <f>IF(#REF!,"AAAAAH7+eYQ=",0)</f>
        <v>#REF!</v>
      </c>
      <c r="ED337" t="e">
        <f>IF(#REF!,"AAAAAH7+eYU=",0)</f>
        <v>#REF!</v>
      </c>
      <c r="EE337" t="e">
        <f>IF(#REF!,"AAAAAH7+eYY=",0)</f>
        <v>#REF!</v>
      </c>
      <c r="EF337" t="e">
        <f>IF(#REF!,"AAAAAH7+eYc=",0)</f>
        <v>#REF!</v>
      </c>
      <c r="EG337" t="e">
        <f>IF(#REF!,"AAAAAH7+eYg=",0)</f>
        <v>#REF!</v>
      </c>
      <c r="EH337" t="e">
        <f>IF(#REF!,"AAAAAH7+eYk=",0)</f>
        <v>#REF!</v>
      </c>
      <c r="EI337" t="e">
        <f>IF(#REF!,"AAAAAH7+eYo=",0)</f>
        <v>#REF!</v>
      </c>
      <c r="EJ337" t="e">
        <f>IF(#REF!,"AAAAAH7+eYs=",0)</f>
        <v>#REF!</v>
      </c>
      <c r="EK337" t="e">
        <f>IF(#REF!,"AAAAAH7+eYw=",0)</f>
        <v>#REF!</v>
      </c>
      <c r="EL337" t="e">
        <f>IF(#REF!,"AAAAAH7+eY0=",0)</f>
        <v>#REF!</v>
      </c>
      <c r="EM337" t="e">
        <f>IF(#REF!,"AAAAAH7+eY4=",0)</f>
        <v>#REF!</v>
      </c>
      <c r="EN337" t="e">
        <f>IF(#REF!,"AAAAAH7+eY8=",0)</f>
        <v>#REF!</v>
      </c>
      <c r="EO337" t="e">
        <f>IF(#REF!,"AAAAAH7+eZA=",0)</f>
        <v>#REF!</v>
      </c>
      <c r="EP337" t="e">
        <f>IF(#REF!,"AAAAAH7+eZE=",0)</f>
        <v>#REF!</v>
      </c>
      <c r="EQ337" t="e">
        <f>IF(#REF!,"AAAAAH7+eZI=",0)</f>
        <v>#REF!</v>
      </c>
      <c r="ER337" t="e">
        <f>IF(#REF!,"AAAAAH7+eZM=",0)</f>
        <v>#REF!</v>
      </c>
      <c r="ES337" t="e">
        <f>IF(#REF!,"AAAAAH7+eZQ=",0)</f>
        <v>#REF!</v>
      </c>
      <c r="ET337" t="e">
        <f>IF(#REF!,"AAAAAH7+eZU=",0)</f>
        <v>#REF!</v>
      </c>
      <c r="EU337" t="e">
        <f>IF(#REF!,"AAAAAH7+eZY=",0)</f>
        <v>#REF!</v>
      </c>
      <c r="EV337" t="e">
        <f>IF(#REF!,"AAAAAH7+eZc=",0)</f>
        <v>#REF!</v>
      </c>
      <c r="EW337" t="e">
        <f>IF(#REF!,"AAAAAH7+eZg=",0)</f>
        <v>#REF!</v>
      </c>
      <c r="EX337" t="e">
        <f>IF(#REF!,"AAAAAH7+eZk=",0)</f>
        <v>#REF!</v>
      </c>
      <c r="EY337" t="e">
        <f>IF(#REF!,"AAAAAH7+eZo=",0)</f>
        <v>#REF!</v>
      </c>
      <c r="EZ337" t="e">
        <f>IF(#REF!,"AAAAAH7+eZs=",0)</f>
        <v>#REF!</v>
      </c>
      <c r="FA337" t="e">
        <f>IF(#REF!,"AAAAAH7+eZw=",0)</f>
        <v>#REF!</v>
      </c>
      <c r="FB337" t="e">
        <f>IF(#REF!,"AAAAAH7+eZ0=",0)</f>
        <v>#REF!</v>
      </c>
      <c r="FC337" t="e">
        <f>IF(#REF!,"AAAAAH7+eZ4=",0)</f>
        <v>#REF!</v>
      </c>
      <c r="FD337" t="e">
        <f>IF(#REF!,"AAAAAH7+eZ8=",0)</f>
        <v>#REF!</v>
      </c>
      <c r="FE337" t="e">
        <f>IF(#REF!,"AAAAAH7+eaA=",0)</f>
        <v>#REF!</v>
      </c>
      <c r="FF337" t="e">
        <f>IF(#REF!,"AAAAAH7+eaE=",0)</f>
        <v>#REF!</v>
      </c>
      <c r="FG337" t="e">
        <f>IF(#REF!,"AAAAAH7+eaI=",0)</f>
        <v>#REF!</v>
      </c>
      <c r="FH337" t="e">
        <f>IF(#REF!,"AAAAAH7+eaM=",0)</f>
        <v>#REF!</v>
      </c>
      <c r="FI337" t="e">
        <f>IF(#REF!,"AAAAAH7+eaQ=",0)</f>
        <v>#REF!</v>
      </c>
      <c r="FJ337" t="e">
        <f>IF(#REF!,"AAAAAH7+eaU=",0)</f>
        <v>#REF!</v>
      </c>
      <c r="FK337" t="e">
        <f>IF(#REF!,"AAAAAH7+eaY=",0)</f>
        <v>#REF!</v>
      </c>
      <c r="FL337" t="e">
        <f>IF(#REF!,"AAAAAH7+eac=",0)</f>
        <v>#REF!</v>
      </c>
      <c r="FM337" t="e">
        <f>IF(#REF!,"AAAAAH7+eag=",0)</f>
        <v>#REF!</v>
      </c>
      <c r="FN337" t="e">
        <f>IF(#REF!,"AAAAAH7+eak=",0)</f>
        <v>#REF!</v>
      </c>
      <c r="FO337" t="e">
        <f>IF(#REF!,"AAAAAH7+eao=",0)</f>
        <v>#REF!</v>
      </c>
      <c r="FP337" t="e">
        <f>IF(#REF!,"AAAAAH7+eas=",0)</f>
        <v>#REF!</v>
      </c>
      <c r="FQ337" t="e">
        <f>IF(#REF!,"AAAAAH7+eaw=",0)</f>
        <v>#REF!</v>
      </c>
      <c r="FR337" t="e">
        <f>IF(#REF!,"AAAAAH7+ea0=",0)</f>
        <v>#REF!</v>
      </c>
      <c r="FS337" t="e">
        <f>IF(#REF!,"AAAAAH7+ea4=",0)</f>
        <v>#REF!</v>
      </c>
      <c r="FT337" t="e">
        <f>IF(#REF!,"AAAAAH7+ea8=",0)</f>
        <v>#REF!</v>
      </c>
      <c r="FU337" t="e">
        <f>IF(#REF!,"AAAAAH7+ebA=",0)</f>
        <v>#REF!</v>
      </c>
      <c r="FV337" t="e">
        <f>IF(#REF!,"AAAAAH7+ebE=",0)</f>
        <v>#REF!</v>
      </c>
      <c r="FW337" t="e">
        <f>IF(#REF!,"AAAAAH7+ebI=",0)</f>
        <v>#REF!</v>
      </c>
      <c r="FX337" t="e">
        <f>IF(#REF!,"AAAAAH7+ebM=",0)</f>
        <v>#REF!</v>
      </c>
      <c r="FY337" t="e">
        <f>IF(#REF!,"AAAAAH7+ebQ=",0)</f>
        <v>#REF!</v>
      </c>
      <c r="FZ337" t="e">
        <f>IF(#REF!,"AAAAAH7+ebU=",0)</f>
        <v>#REF!</v>
      </c>
      <c r="GA337" t="e">
        <f>IF(#REF!,"AAAAAH7+ebY=",0)</f>
        <v>#REF!</v>
      </c>
      <c r="GB337" t="e">
        <f>IF(#REF!,"AAAAAH7+ebc=",0)</f>
        <v>#REF!</v>
      </c>
      <c r="GC337" t="e">
        <f>IF(#REF!,"AAAAAH7+ebg=",0)</f>
        <v>#REF!</v>
      </c>
      <c r="GD337" t="e">
        <f>IF(#REF!,"AAAAAH7+ebk=",0)</f>
        <v>#REF!</v>
      </c>
      <c r="GE337" t="e">
        <f>IF(#REF!,"AAAAAH7+ebo=",0)</f>
        <v>#REF!</v>
      </c>
      <c r="GF337" t="e">
        <f>IF(#REF!,"AAAAAH7+ebs=",0)</f>
        <v>#REF!</v>
      </c>
      <c r="GG337" t="e">
        <f>IF(#REF!,"AAAAAH7+ebw=",0)</f>
        <v>#REF!</v>
      </c>
      <c r="GH337" t="e">
        <f>IF(#REF!,"AAAAAH7+eb0=",0)</f>
        <v>#REF!</v>
      </c>
      <c r="GI337" t="e">
        <f>IF(#REF!,"AAAAAH7+eb4=",0)</f>
        <v>#REF!</v>
      </c>
      <c r="GJ337" t="e">
        <f>IF(#REF!,"AAAAAH7+eb8=",0)</f>
        <v>#REF!</v>
      </c>
      <c r="GK337" t="e">
        <f>IF(#REF!,"AAAAAH7+ecA=",0)</f>
        <v>#REF!</v>
      </c>
      <c r="GL337" t="e">
        <f>IF(#REF!,"AAAAAH7+ecE=",0)</f>
        <v>#REF!</v>
      </c>
      <c r="GM337" t="e">
        <f>IF(#REF!,"AAAAAH7+ecI=",0)</f>
        <v>#REF!</v>
      </c>
      <c r="GN337" t="e">
        <f>IF(#REF!,"AAAAAH7+ecM=",0)</f>
        <v>#REF!</v>
      </c>
      <c r="GO337" t="e">
        <f>IF(#REF!,"AAAAAH7+ecQ=",0)</f>
        <v>#REF!</v>
      </c>
      <c r="GP337" t="e">
        <f>IF(#REF!,"AAAAAH7+ecU=",0)</f>
        <v>#REF!</v>
      </c>
      <c r="GQ337" t="e">
        <f>IF(#REF!,"AAAAAH7+ecY=",0)</f>
        <v>#REF!</v>
      </c>
      <c r="GR337" t="e">
        <f>IF(#REF!,"AAAAAH7+ecc=",0)</f>
        <v>#REF!</v>
      </c>
      <c r="GS337" t="e">
        <f>IF(#REF!,"AAAAAH7+ecg=",0)</f>
        <v>#REF!</v>
      </c>
      <c r="GT337" t="e">
        <f>IF(#REF!,"AAAAAH7+eck=",0)</f>
        <v>#REF!</v>
      </c>
      <c r="GU337" t="e">
        <f>IF(#REF!,"AAAAAH7+eco=",0)</f>
        <v>#REF!</v>
      </c>
      <c r="GV337" t="e">
        <f>IF(#REF!,"AAAAAH7+ecs=",0)</f>
        <v>#REF!</v>
      </c>
      <c r="GW337" t="e">
        <f>IF(#REF!,"AAAAAH7+ecw=",0)</f>
        <v>#REF!</v>
      </c>
      <c r="GX337" t="e">
        <f>IF(#REF!,"AAAAAH7+ec0=",0)</f>
        <v>#REF!</v>
      </c>
      <c r="GY337" t="e">
        <f>IF(#REF!,"AAAAAH7+ec4=",0)</f>
        <v>#REF!</v>
      </c>
      <c r="GZ337" t="e">
        <f>IF(#REF!,"AAAAAH7+ec8=",0)</f>
        <v>#REF!</v>
      </c>
      <c r="HA337" t="e">
        <f>IF(#REF!,"AAAAAH7+edA=",0)</f>
        <v>#REF!</v>
      </c>
      <c r="HB337" t="e">
        <f>IF(#REF!,"AAAAAH7+edE=",0)</f>
        <v>#REF!</v>
      </c>
      <c r="HC337" t="e">
        <f>IF(#REF!,"AAAAAH7+edI=",0)</f>
        <v>#REF!</v>
      </c>
      <c r="HD337" t="e">
        <f>IF(#REF!,"AAAAAH7+edM=",0)</f>
        <v>#REF!</v>
      </c>
      <c r="HE337" t="e">
        <f>IF(#REF!,"AAAAAH7+edQ=",0)</f>
        <v>#REF!</v>
      </c>
      <c r="HF337" t="e">
        <f>IF(#REF!,"AAAAAH7+edU=",0)</f>
        <v>#REF!</v>
      </c>
      <c r="HG337" t="e">
        <f>IF(#REF!,"AAAAAH7+edY=",0)</f>
        <v>#REF!</v>
      </c>
      <c r="HH337" t="e">
        <f>IF(#REF!,"AAAAAH7+edc=",0)</f>
        <v>#REF!</v>
      </c>
      <c r="HI337" t="e">
        <f>IF(#REF!,"AAAAAH7+edg=",0)</f>
        <v>#REF!</v>
      </c>
      <c r="HJ337" t="e">
        <f>IF(#REF!,"AAAAAH7+edk=",0)</f>
        <v>#REF!</v>
      </c>
      <c r="HK337" t="e">
        <f>IF(#REF!,"AAAAAH7+edo=",0)</f>
        <v>#REF!</v>
      </c>
      <c r="HL337" t="e">
        <f>IF(#REF!,"AAAAAH7+eds=",0)</f>
        <v>#REF!</v>
      </c>
      <c r="HM337" t="e">
        <f>IF(#REF!,"AAAAAH7+edw=",0)</f>
        <v>#REF!</v>
      </c>
      <c r="HN337" t="e">
        <f>IF(#REF!,"AAAAAH7+ed0=",0)</f>
        <v>#REF!</v>
      </c>
      <c r="HO337" t="e">
        <f>IF(#REF!,"AAAAAH7+ed4=",0)</f>
        <v>#REF!</v>
      </c>
      <c r="HP337" t="e">
        <f>IF(#REF!,"AAAAAH7+ed8=",0)</f>
        <v>#REF!</v>
      </c>
      <c r="HQ337" t="e">
        <f>IF(#REF!,"AAAAAH7+eeA=",0)</f>
        <v>#REF!</v>
      </c>
      <c r="HR337" t="e">
        <f>IF(#REF!,"AAAAAH7+eeE=",0)</f>
        <v>#REF!</v>
      </c>
      <c r="HS337" t="e">
        <f>IF(#REF!,"AAAAAH7+eeI=",0)</f>
        <v>#REF!</v>
      </c>
      <c r="HT337" t="e">
        <f>IF(#REF!,"AAAAAH7+eeM=",0)</f>
        <v>#REF!</v>
      </c>
      <c r="HU337" t="e">
        <f>IF(#REF!,"AAAAAH7+eeQ=",0)</f>
        <v>#REF!</v>
      </c>
      <c r="HV337" t="e">
        <f>IF(#REF!,"AAAAAH7+eeU=",0)</f>
        <v>#REF!</v>
      </c>
      <c r="HW337" t="e">
        <f>IF(#REF!,"AAAAAH7+eeY=",0)</f>
        <v>#REF!</v>
      </c>
      <c r="HX337" t="e">
        <f>IF(#REF!,"AAAAAH7+eec=",0)</f>
        <v>#REF!</v>
      </c>
      <c r="HY337" t="e">
        <f>IF(#REF!,"AAAAAH7+eeg=",0)</f>
        <v>#REF!</v>
      </c>
      <c r="HZ337" t="e">
        <f>IF(#REF!,"AAAAAH7+eek=",0)</f>
        <v>#REF!</v>
      </c>
      <c r="IA337" t="e">
        <f>IF(#REF!,"AAAAAH7+eeo=",0)</f>
        <v>#REF!</v>
      </c>
      <c r="IB337" t="e">
        <f>IF(#REF!,"AAAAAH7+ees=",0)</f>
        <v>#REF!</v>
      </c>
      <c r="IC337" t="e">
        <f>IF(#REF!,"AAAAAH7+eew=",0)</f>
        <v>#REF!</v>
      </c>
      <c r="ID337" t="e">
        <f>IF(#REF!,"AAAAAH7+ee0=",0)</f>
        <v>#REF!</v>
      </c>
      <c r="IE337" t="e">
        <f>IF(#REF!,"AAAAAH7+ee4=",0)</f>
        <v>#REF!</v>
      </c>
      <c r="IF337" t="e">
        <f>IF(#REF!,"AAAAAH7+ee8=",0)</f>
        <v>#REF!</v>
      </c>
      <c r="IG337" t="e">
        <f>IF(#REF!,"AAAAAH7+efA=",0)</f>
        <v>#REF!</v>
      </c>
      <c r="IH337" t="e">
        <f>IF(#REF!,"AAAAAH7+efE=",0)</f>
        <v>#REF!</v>
      </c>
      <c r="II337" t="e">
        <f>IF(#REF!,"AAAAAH7+efI=",0)</f>
        <v>#REF!</v>
      </c>
      <c r="IJ337" t="e">
        <f>IF(#REF!,"AAAAAH7+efM=",0)</f>
        <v>#REF!</v>
      </c>
      <c r="IK337" t="e">
        <f>IF(#REF!,"AAAAAH7+efQ=",0)</f>
        <v>#REF!</v>
      </c>
      <c r="IL337" t="e">
        <f>IF(#REF!,"AAAAAH7+efU=",0)</f>
        <v>#REF!</v>
      </c>
      <c r="IM337" t="e">
        <f>IF(#REF!,"AAAAAH7+efY=",0)</f>
        <v>#REF!</v>
      </c>
      <c r="IN337" t="e">
        <f>IF(#REF!,"AAAAAH7+efc=",0)</f>
        <v>#REF!</v>
      </c>
      <c r="IO337" t="e">
        <f>IF(#REF!,"AAAAAH7+efg=",0)</f>
        <v>#REF!</v>
      </c>
      <c r="IP337" t="e">
        <f>IF(#REF!,"AAAAAH7+efk=",0)</f>
        <v>#REF!</v>
      </c>
      <c r="IQ337" t="e">
        <f>IF(#REF!,"AAAAAH7+efo=",0)</f>
        <v>#REF!</v>
      </c>
      <c r="IR337" t="e">
        <f>IF(#REF!,"AAAAAH7+efs=",0)</f>
        <v>#REF!</v>
      </c>
      <c r="IS337" t="e">
        <f>IF(#REF!,"AAAAAH7+efw=",0)</f>
        <v>#REF!</v>
      </c>
      <c r="IT337" t="e">
        <f>IF(#REF!,"AAAAAH7+ef0=",0)</f>
        <v>#REF!</v>
      </c>
      <c r="IU337" t="e">
        <f>IF(#REF!,"AAAAAH7+ef4=",0)</f>
        <v>#REF!</v>
      </c>
      <c r="IV337" t="e">
        <f>IF(#REF!,"AAAAAH7+ef8=",0)</f>
        <v>#REF!</v>
      </c>
    </row>
    <row r="338" spans="1:256">
      <c r="A338" t="e">
        <f>IF(#REF!,"AAAAAH93/gA=",0)</f>
        <v>#REF!</v>
      </c>
      <c r="B338" t="e">
        <f>IF(#REF!,"AAAAAH93/gE=",0)</f>
        <v>#REF!</v>
      </c>
      <c r="C338" t="e">
        <f>IF(#REF!,"AAAAAH93/gI=",0)</f>
        <v>#REF!</v>
      </c>
      <c r="D338" t="e">
        <f>IF(#REF!,"AAAAAH93/gM=",0)</f>
        <v>#REF!</v>
      </c>
      <c r="E338" t="e">
        <f>IF(#REF!,"AAAAAH93/gQ=",0)</f>
        <v>#REF!</v>
      </c>
      <c r="F338" t="e">
        <f>IF(#REF!,"AAAAAH93/gU=",0)</f>
        <v>#REF!</v>
      </c>
      <c r="G338" t="e">
        <f>IF(#REF!,"AAAAAH93/gY=",0)</f>
        <v>#REF!</v>
      </c>
      <c r="H338" t="e">
        <f>IF(#REF!,"AAAAAH93/gc=",0)</f>
        <v>#REF!</v>
      </c>
      <c r="I338" t="e">
        <f>IF(#REF!,"AAAAAH93/gg=",0)</f>
        <v>#REF!</v>
      </c>
      <c r="J338" t="e">
        <f>IF(#REF!,"AAAAAH93/gk=",0)</f>
        <v>#REF!</v>
      </c>
      <c r="K338" t="e">
        <f>IF(#REF!,"AAAAAH93/go=",0)</f>
        <v>#REF!</v>
      </c>
      <c r="L338" t="e">
        <f>IF(#REF!,"AAAAAH93/gs=",0)</f>
        <v>#REF!</v>
      </c>
      <c r="M338" t="e">
        <f>IF(#REF!,"AAAAAH93/gw=",0)</f>
        <v>#REF!</v>
      </c>
      <c r="N338" t="e">
        <f>IF(#REF!,"AAAAAH93/g0=",0)</f>
        <v>#REF!</v>
      </c>
      <c r="O338" t="e">
        <f>IF(#REF!,"AAAAAH93/g4=",0)</f>
        <v>#REF!</v>
      </c>
      <c r="P338" t="e">
        <f>IF(#REF!,"AAAAAH93/g8=",0)</f>
        <v>#REF!</v>
      </c>
      <c r="Q338" t="e">
        <f>IF(#REF!,"AAAAAH93/hA=",0)</f>
        <v>#REF!</v>
      </c>
      <c r="R338" t="e">
        <f>IF(#REF!,"AAAAAH93/hE=",0)</f>
        <v>#REF!</v>
      </c>
      <c r="S338" t="e">
        <f>IF(#REF!,"AAAAAH93/hI=",0)</f>
        <v>#REF!</v>
      </c>
      <c r="T338" t="e">
        <f>IF(#REF!,"AAAAAH93/hM=",0)</f>
        <v>#REF!</v>
      </c>
      <c r="U338" t="e">
        <f>IF(#REF!,"AAAAAH93/hQ=",0)</f>
        <v>#REF!</v>
      </c>
      <c r="V338" t="e">
        <f>IF(#REF!,"AAAAAH93/hU=",0)</f>
        <v>#REF!</v>
      </c>
      <c r="W338" t="e">
        <f>IF(#REF!,"AAAAAH93/hY=",0)</f>
        <v>#REF!</v>
      </c>
      <c r="X338" t="e">
        <f>IF(#REF!,"AAAAAH93/hc=",0)</f>
        <v>#REF!</v>
      </c>
      <c r="Y338" t="e">
        <f>IF(#REF!,"AAAAAH93/hg=",0)</f>
        <v>#REF!</v>
      </c>
      <c r="Z338" t="e">
        <f>IF(#REF!,"AAAAAH93/hk=",0)</f>
        <v>#REF!</v>
      </c>
      <c r="AA338" t="e">
        <f>IF(#REF!,"AAAAAH93/ho=",0)</f>
        <v>#REF!</v>
      </c>
      <c r="AB338" t="e">
        <f>IF(#REF!,"AAAAAH93/hs=",0)</f>
        <v>#REF!</v>
      </c>
      <c r="AC338" t="e">
        <f>IF(#REF!,"AAAAAH93/hw=",0)</f>
        <v>#REF!</v>
      </c>
      <c r="AD338" t="e">
        <f>IF(#REF!,"AAAAAH93/h0=",0)</f>
        <v>#REF!</v>
      </c>
      <c r="AE338" t="e">
        <f>IF(#REF!,"AAAAAH93/h4=",0)</f>
        <v>#REF!</v>
      </c>
      <c r="AF338" t="e">
        <f>IF(#REF!,"AAAAAH93/h8=",0)</f>
        <v>#REF!</v>
      </c>
      <c r="AG338" t="e">
        <f>IF(#REF!,"AAAAAH93/iA=",0)</f>
        <v>#REF!</v>
      </c>
      <c r="AH338" t="e">
        <f>IF(#REF!,"AAAAAH93/iE=",0)</f>
        <v>#REF!</v>
      </c>
      <c r="AI338" t="e">
        <f>IF(#REF!,"AAAAAH93/iI=",0)</f>
        <v>#REF!</v>
      </c>
      <c r="AJ338" t="e">
        <f>IF(#REF!,"AAAAAH93/iM=",0)</f>
        <v>#REF!</v>
      </c>
      <c r="AK338" t="e">
        <f>IF(#REF!,"AAAAAH93/iQ=",0)</f>
        <v>#REF!</v>
      </c>
      <c r="AL338" t="e">
        <f>IF(#REF!,"AAAAAH93/iU=",0)</f>
        <v>#REF!</v>
      </c>
      <c r="AM338" t="e">
        <f>IF(#REF!,"AAAAAH93/iY=",0)</f>
        <v>#REF!</v>
      </c>
      <c r="AN338" t="e">
        <f>IF(#REF!,"AAAAAH93/ic=",0)</f>
        <v>#REF!</v>
      </c>
      <c r="AO338" t="e">
        <f>IF(#REF!,"AAAAAH93/ig=",0)</f>
        <v>#REF!</v>
      </c>
      <c r="AP338" t="e">
        <f>IF(#REF!,"AAAAAH93/ik=",0)</f>
        <v>#REF!</v>
      </c>
      <c r="AQ338" t="e">
        <f>IF(#REF!,"AAAAAH93/io=",0)</f>
        <v>#REF!</v>
      </c>
      <c r="AR338" t="e">
        <f>IF(#REF!,"AAAAAH93/is=",0)</f>
        <v>#REF!</v>
      </c>
      <c r="AS338" t="e">
        <f>IF(#REF!,"AAAAAH93/iw=",0)</f>
        <v>#REF!</v>
      </c>
      <c r="AT338" t="e">
        <f>IF(#REF!,"AAAAAH93/i0=",0)</f>
        <v>#REF!</v>
      </c>
      <c r="AU338" t="e">
        <f>IF(#REF!,"AAAAAH93/i4=",0)</f>
        <v>#REF!</v>
      </c>
      <c r="AV338" t="e">
        <f>IF(#REF!,"AAAAAH93/i8=",0)</f>
        <v>#REF!</v>
      </c>
      <c r="AW338" t="e">
        <f>IF(#REF!,"AAAAAH93/jA=",0)</f>
        <v>#REF!</v>
      </c>
      <c r="AX338" t="e">
        <f>IF(#REF!,"AAAAAH93/jE=",0)</f>
        <v>#REF!</v>
      </c>
      <c r="AY338" t="e">
        <f>IF(#REF!,"AAAAAH93/jI=",0)</f>
        <v>#REF!</v>
      </c>
      <c r="AZ338" t="e">
        <f>IF(#REF!,"AAAAAH93/jM=",0)</f>
        <v>#REF!</v>
      </c>
      <c r="BA338" t="e">
        <f>IF(#REF!,"AAAAAH93/jQ=",0)</f>
        <v>#REF!</v>
      </c>
      <c r="BB338" t="e">
        <f>IF(#REF!,"AAAAAH93/jU=",0)</f>
        <v>#REF!</v>
      </c>
      <c r="BC338" t="e">
        <f>IF(#REF!,"AAAAAH93/jY=",0)</f>
        <v>#REF!</v>
      </c>
      <c r="BD338" t="e">
        <f>IF(#REF!,"AAAAAH93/jc=",0)</f>
        <v>#REF!</v>
      </c>
      <c r="BE338" t="e">
        <f>IF(#REF!,"AAAAAH93/jg=",0)</f>
        <v>#REF!</v>
      </c>
      <c r="BF338" t="e">
        <f>IF(#REF!,"AAAAAH93/jk=",0)</f>
        <v>#REF!</v>
      </c>
      <c r="BG338" t="e">
        <f>IF(#REF!,"AAAAAH93/jo=",0)</f>
        <v>#REF!</v>
      </c>
      <c r="BH338" t="e">
        <f>IF(#REF!,"AAAAAH93/js=",0)</f>
        <v>#REF!</v>
      </c>
      <c r="BI338" t="e">
        <f>IF(#REF!,"AAAAAH93/jw=",0)</f>
        <v>#REF!</v>
      </c>
      <c r="BJ338" t="e">
        <f>IF(#REF!,"AAAAAH93/j0=",0)</f>
        <v>#REF!</v>
      </c>
      <c r="BK338" t="e">
        <f>IF(#REF!,"AAAAAH93/j4=",0)</f>
        <v>#REF!</v>
      </c>
      <c r="BL338" t="e">
        <f>IF(#REF!,"AAAAAH93/j8=",0)</f>
        <v>#REF!</v>
      </c>
      <c r="BM338" t="e">
        <f>IF(#REF!,"AAAAAH93/kA=",0)</f>
        <v>#REF!</v>
      </c>
      <c r="BN338" t="e">
        <f>IF(#REF!,"AAAAAH93/kE=",0)</f>
        <v>#REF!</v>
      </c>
      <c r="BO338" t="e">
        <f>IF(#REF!,"AAAAAH93/kI=",0)</f>
        <v>#REF!</v>
      </c>
      <c r="BP338" t="e">
        <f>IF(#REF!,"AAAAAH93/kM=",0)</f>
        <v>#REF!</v>
      </c>
      <c r="BQ338" t="e">
        <f>IF(#REF!,"AAAAAH93/kQ=",0)</f>
        <v>#REF!</v>
      </c>
      <c r="BR338" t="e">
        <f>IF(#REF!,"AAAAAH93/kU=",0)</f>
        <v>#REF!</v>
      </c>
      <c r="BS338" t="e">
        <f>IF(#REF!,"AAAAAH93/kY=",0)</f>
        <v>#REF!</v>
      </c>
      <c r="BT338" t="e">
        <f>IF(#REF!,"AAAAAH93/kc=",0)</f>
        <v>#REF!</v>
      </c>
      <c r="BU338" t="e">
        <f>IF(#REF!,"AAAAAH93/kg=",0)</f>
        <v>#REF!</v>
      </c>
      <c r="BV338" t="e">
        <f>IF(#REF!,"AAAAAH93/kk=",0)</f>
        <v>#REF!</v>
      </c>
      <c r="BW338" t="e">
        <f>IF(#REF!,"AAAAAH93/ko=",0)</f>
        <v>#REF!</v>
      </c>
      <c r="BX338" t="e">
        <f>IF(#REF!,"AAAAAH93/ks=",0)</f>
        <v>#REF!</v>
      </c>
      <c r="BY338" t="e">
        <f>IF(#REF!,"AAAAAH93/kw=",0)</f>
        <v>#REF!</v>
      </c>
      <c r="BZ338" t="e">
        <f>IF(#REF!,"AAAAAH93/k0=",0)</f>
        <v>#REF!</v>
      </c>
      <c r="CA338" t="e">
        <f>IF(#REF!,"AAAAAH93/k4=",0)</f>
        <v>#REF!</v>
      </c>
      <c r="CB338" t="e">
        <f>IF(#REF!,"AAAAAH93/k8=",0)</f>
        <v>#REF!</v>
      </c>
      <c r="CC338" t="e">
        <f>IF(#REF!,"AAAAAH93/lA=",0)</f>
        <v>#REF!</v>
      </c>
      <c r="CD338" t="e">
        <f>IF(#REF!,"AAAAAH93/lE=",0)</f>
        <v>#REF!</v>
      </c>
      <c r="CE338" t="e">
        <f>IF(#REF!,"AAAAAH93/lI=",0)</f>
        <v>#REF!</v>
      </c>
      <c r="CF338" t="e">
        <f>IF(#REF!,"AAAAAH93/lM=",0)</f>
        <v>#REF!</v>
      </c>
      <c r="CG338" t="e">
        <f>IF(#REF!,"AAAAAH93/lQ=",0)</f>
        <v>#REF!</v>
      </c>
      <c r="CH338" t="e">
        <f>IF(#REF!,"AAAAAH93/lU=",0)</f>
        <v>#REF!</v>
      </c>
      <c r="CI338" t="e">
        <f>IF(#REF!,"AAAAAH93/lY=",0)</f>
        <v>#REF!</v>
      </c>
      <c r="CJ338" t="e">
        <f>IF(#REF!,"AAAAAH93/lc=",0)</f>
        <v>#REF!</v>
      </c>
      <c r="CK338" t="e">
        <f>IF(#REF!,"AAAAAH93/lg=",0)</f>
        <v>#REF!</v>
      </c>
      <c r="CL338" t="e">
        <f>IF(#REF!,"AAAAAH93/lk=",0)</f>
        <v>#REF!</v>
      </c>
      <c r="CM338" t="e">
        <f>IF(#REF!,"AAAAAH93/lo=",0)</f>
        <v>#REF!</v>
      </c>
      <c r="CN338" t="e">
        <f>IF(#REF!,"AAAAAH93/ls=",0)</f>
        <v>#REF!</v>
      </c>
      <c r="CO338" t="e">
        <f>IF(#REF!,"AAAAAH93/lw=",0)</f>
        <v>#REF!</v>
      </c>
      <c r="CP338" t="e">
        <f>IF(#REF!,"AAAAAH93/l0=",0)</f>
        <v>#REF!</v>
      </c>
      <c r="CQ338" t="e">
        <f>IF(#REF!,"AAAAAH93/l4=",0)</f>
        <v>#REF!</v>
      </c>
      <c r="CR338" t="e">
        <f>IF(#REF!,"AAAAAH93/l8=",0)</f>
        <v>#REF!</v>
      </c>
      <c r="CS338" t="e">
        <f>IF(#REF!,"AAAAAH93/mA=",0)</f>
        <v>#REF!</v>
      </c>
      <c r="CT338" t="e">
        <f>IF(#REF!,"AAAAAH93/mE=",0)</f>
        <v>#REF!</v>
      </c>
      <c r="CU338" t="e">
        <f>IF(#REF!,"AAAAAH93/mI=",0)</f>
        <v>#REF!</v>
      </c>
      <c r="CV338" t="e">
        <f>IF(#REF!,"AAAAAH93/mM=",0)</f>
        <v>#REF!</v>
      </c>
      <c r="CW338" t="e">
        <f>IF(#REF!,"AAAAAH93/mQ=",0)</f>
        <v>#REF!</v>
      </c>
      <c r="CX338" t="e">
        <f>IF(#REF!,"AAAAAH93/mU=",0)</f>
        <v>#REF!</v>
      </c>
      <c r="CY338" t="e">
        <f>IF(#REF!,"AAAAAH93/mY=",0)</f>
        <v>#REF!</v>
      </c>
      <c r="CZ338" t="e">
        <f>IF(#REF!,"AAAAAH93/mc=",0)</f>
        <v>#REF!</v>
      </c>
      <c r="DA338" t="e">
        <f>IF(#REF!,"AAAAAH93/mg=",0)</f>
        <v>#REF!</v>
      </c>
      <c r="DB338" t="e">
        <f>IF(#REF!,"AAAAAH93/mk=",0)</f>
        <v>#REF!</v>
      </c>
      <c r="DC338" t="e">
        <f>IF(#REF!,"AAAAAH93/mo=",0)</f>
        <v>#REF!</v>
      </c>
      <c r="DD338" t="e">
        <f>IF(#REF!,"AAAAAH93/ms=",0)</f>
        <v>#REF!</v>
      </c>
      <c r="DE338" t="e">
        <f>IF(#REF!,"AAAAAH93/mw=",0)</f>
        <v>#REF!</v>
      </c>
      <c r="DF338" t="e">
        <f>IF(#REF!,"AAAAAH93/m0=",0)</f>
        <v>#REF!</v>
      </c>
      <c r="DG338" t="e">
        <f>IF(#REF!,"AAAAAH93/m4=",0)</f>
        <v>#REF!</v>
      </c>
      <c r="DH338" t="e">
        <f>IF(#REF!,"AAAAAH93/m8=",0)</f>
        <v>#REF!</v>
      </c>
      <c r="DI338" t="e">
        <f>IF(#REF!,"AAAAAH93/nA=",0)</f>
        <v>#REF!</v>
      </c>
      <c r="DJ338" t="e">
        <f>IF(#REF!,"AAAAAH93/nE=",0)</f>
        <v>#REF!</v>
      </c>
      <c r="DK338" t="e">
        <f>IF(#REF!,"AAAAAH93/nI=",0)</f>
        <v>#REF!</v>
      </c>
      <c r="DL338" t="e">
        <f>IF(#REF!,"AAAAAH93/nM=",0)</f>
        <v>#REF!</v>
      </c>
      <c r="DM338" t="e">
        <f>IF(#REF!,"AAAAAH93/nQ=",0)</f>
        <v>#REF!</v>
      </c>
      <c r="DN338" t="e">
        <f>IF(#REF!,"AAAAAH93/nU=",0)</f>
        <v>#REF!</v>
      </c>
      <c r="DO338" t="e">
        <f>IF(#REF!,"AAAAAH93/nY=",0)</f>
        <v>#REF!</v>
      </c>
      <c r="DP338" t="e">
        <f>IF(#REF!,"AAAAAH93/nc=",0)</f>
        <v>#REF!</v>
      </c>
      <c r="DQ338" t="e">
        <f>IF(#REF!,"AAAAAH93/ng=",0)</f>
        <v>#REF!</v>
      </c>
      <c r="DR338" t="e">
        <f>IF(#REF!,"AAAAAH93/nk=",0)</f>
        <v>#REF!</v>
      </c>
      <c r="DS338" t="e">
        <f>IF(#REF!,"AAAAAH93/no=",0)</f>
        <v>#REF!</v>
      </c>
      <c r="DT338" t="e">
        <f>IF(#REF!,"AAAAAH93/ns=",0)</f>
        <v>#REF!</v>
      </c>
      <c r="DU338" t="e">
        <f>IF(#REF!,"AAAAAH93/nw=",0)</f>
        <v>#REF!</v>
      </c>
      <c r="DV338" t="e">
        <f>IF(#REF!,"AAAAAH93/n0=",0)</f>
        <v>#REF!</v>
      </c>
      <c r="DW338" t="e">
        <f>IF(#REF!,"AAAAAH93/n4=",0)</f>
        <v>#REF!</v>
      </c>
      <c r="DX338" t="e">
        <f>IF(#REF!,"AAAAAH93/n8=",0)</f>
        <v>#REF!</v>
      </c>
      <c r="DY338" t="e">
        <f>IF(#REF!,"AAAAAH93/oA=",0)</f>
        <v>#REF!</v>
      </c>
      <c r="DZ338" t="e">
        <f>IF(#REF!,"AAAAAH93/oE=",0)</f>
        <v>#REF!</v>
      </c>
      <c r="EA338" t="e">
        <f>IF(#REF!,"AAAAAH93/oI=",0)</f>
        <v>#REF!</v>
      </c>
      <c r="EB338" t="e">
        <f>IF(#REF!,"AAAAAH93/oM=",0)</f>
        <v>#REF!</v>
      </c>
      <c r="EC338" t="e">
        <f>IF(#REF!,"AAAAAH93/oQ=",0)</f>
        <v>#REF!</v>
      </c>
      <c r="ED338" t="e">
        <f>IF(#REF!,"AAAAAH93/oU=",0)</f>
        <v>#REF!</v>
      </c>
      <c r="EE338" t="e">
        <f>IF(#REF!,"AAAAAH93/oY=",0)</f>
        <v>#REF!</v>
      </c>
      <c r="EF338" t="e">
        <f>IF(#REF!,"AAAAAH93/oc=",0)</f>
        <v>#REF!</v>
      </c>
      <c r="EG338" t="e">
        <f>IF(#REF!,"AAAAAH93/og=",0)</f>
        <v>#REF!</v>
      </c>
      <c r="EH338" t="e">
        <f>IF(#REF!,"AAAAAH93/ok=",0)</f>
        <v>#REF!</v>
      </c>
      <c r="EI338" t="e">
        <f>IF(#REF!,"AAAAAH93/oo=",0)</f>
        <v>#REF!</v>
      </c>
      <c r="EJ338" t="e">
        <f>IF(#REF!,"AAAAAH93/os=",0)</f>
        <v>#REF!</v>
      </c>
      <c r="EK338" t="e">
        <f>IF(#REF!,"AAAAAH93/ow=",0)</f>
        <v>#REF!</v>
      </c>
      <c r="EL338" t="e">
        <f>IF(#REF!,"AAAAAH93/o0=",0)</f>
        <v>#REF!</v>
      </c>
      <c r="EM338" t="e">
        <f>IF(#REF!,"AAAAAH93/o4=",0)</f>
        <v>#REF!</v>
      </c>
      <c r="EN338" t="e">
        <f>IF(#REF!,"AAAAAH93/o8=",0)</f>
        <v>#REF!</v>
      </c>
      <c r="EO338" t="e">
        <f>IF(#REF!,"AAAAAH93/pA=",0)</f>
        <v>#REF!</v>
      </c>
      <c r="EP338" t="e">
        <f>IF(#REF!,"AAAAAH93/pE=",0)</f>
        <v>#REF!</v>
      </c>
      <c r="EQ338" t="e">
        <f>IF(#REF!,"AAAAAH93/pI=",0)</f>
        <v>#REF!</v>
      </c>
      <c r="ER338" t="e">
        <f>IF(#REF!,"AAAAAH93/pM=",0)</f>
        <v>#REF!</v>
      </c>
      <c r="ES338" t="e">
        <f>IF(#REF!,"AAAAAH93/pQ=",0)</f>
        <v>#REF!</v>
      </c>
      <c r="ET338" t="e">
        <f>IF(#REF!,"AAAAAH93/pU=",0)</f>
        <v>#REF!</v>
      </c>
      <c r="EU338" t="e">
        <f>IF(#REF!,"AAAAAH93/pY=",0)</f>
        <v>#REF!</v>
      </c>
      <c r="EV338" t="e">
        <f>IF(#REF!,"AAAAAH93/pc=",0)</f>
        <v>#REF!</v>
      </c>
      <c r="EW338" t="e">
        <f>IF(#REF!,"AAAAAH93/pg=",0)</f>
        <v>#REF!</v>
      </c>
      <c r="EX338" t="e">
        <f>IF(#REF!,"AAAAAH93/pk=",0)</f>
        <v>#REF!</v>
      </c>
      <c r="EY338" t="e">
        <f>IF(#REF!,"AAAAAH93/po=",0)</f>
        <v>#REF!</v>
      </c>
      <c r="EZ338" t="e">
        <f>IF(#REF!,"AAAAAH93/ps=",0)</f>
        <v>#REF!</v>
      </c>
      <c r="FA338" t="e">
        <f>IF(#REF!,"AAAAAH93/pw=",0)</f>
        <v>#REF!</v>
      </c>
      <c r="FB338" t="e">
        <f>IF(#REF!,"AAAAAH93/p0=",0)</f>
        <v>#REF!</v>
      </c>
      <c r="FC338" t="e">
        <f>IF(#REF!,"AAAAAH93/p4=",0)</f>
        <v>#REF!</v>
      </c>
      <c r="FD338" t="e">
        <f>IF(#REF!,"AAAAAH93/p8=",0)</f>
        <v>#REF!</v>
      </c>
      <c r="FE338" t="e">
        <f>IF(#REF!,"AAAAAH93/qA=",0)</f>
        <v>#REF!</v>
      </c>
      <c r="FF338" t="e">
        <f>IF(#REF!,"AAAAAH93/qE=",0)</f>
        <v>#REF!</v>
      </c>
      <c r="FG338" t="e">
        <f>IF(#REF!,"AAAAAH93/qI=",0)</f>
        <v>#REF!</v>
      </c>
      <c r="FH338" t="e">
        <f>IF(#REF!,"AAAAAH93/qM=",0)</f>
        <v>#REF!</v>
      </c>
      <c r="FI338" t="e">
        <f>IF(#REF!,"AAAAAH93/qQ=",0)</f>
        <v>#REF!</v>
      </c>
      <c r="FJ338" t="e">
        <f>IF(#REF!,"AAAAAH93/qU=",0)</f>
        <v>#REF!</v>
      </c>
      <c r="FK338" t="e">
        <f>IF(#REF!,"AAAAAH93/qY=",0)</f>
        <v>#REF!</v>
      </c>
      <c r="FL338" t="e">
        <f>IF(#REF!,"AAAAAH93/qc=",0)</f>
        <v>#REF!</v>
      </c>
      <c r="FM338" t="e">
        <f>IF(#REF!,"AAAAAH93/qg=",0)</f>
        <v>#REF!</v>
      </c>
      <c r="FN338" t="e">
        <f>IF(#REF!,"AAAAAH93/qk=",0)</f>
        <v>#REF!</v>
      </c>
      <c r="FO338" t="e">
        <f>IF(#REF!,"AAAAAH93/qo=",0)</f>
        <v>#REF!</v>
      </c>
      <c r="FP338" t="e">
        <f>IF(#REF!,"AAAAAH93/qs=",0)</f>
        <v>#REF!</v>
      </c>
      <c r="FQ338" t="e">
        <f>IF(#REF!,"AAAAAH93/qw=",0)</f>
        <v>#REF!</v>
      </c>
      <c r="FR338" t="e">
        <f>IF(#REF!,"AAAAAH93/q0=",0)</f>
        <v>#REF!</v>
      </c>
      <c r="FS338" t="e">
        <f>IF(#REF!,"AAAAAH93/q4=",0)</f>
        <v>#REF!</v>
      </c>
      <c r="FT338" t="e">
        <f>IF(#REF!,"AAAAAH93/q8=",0)</f>
        <v>#REF!</v>
      </c>
      <c r="FU338" t="e">
        <f>IF(#REF!,"AAAAAH93/rA=",0)</f>
        <v>#REF!</v>
      </c>
      <c r="FV338" t="e">
        <f>IF(#REF!,"AAAAAH93/rE=",0)</f>
        <v>#REF!</v>
      </c>
      <c r="FW338" t="e">
        <f>IF(#REF!,"AAAAAH93/rI=",0)</f>
        <v>#REF!</v>
      </c>
      <c r="FX338" t="e">
        <f>IF(#REF!,"AAAAAH93/rM=",0)</f>
        <v>#REF!</v>
      </c>
      <c r="FY338" t="e">
        <f>IF(#REF!,"AAAAAH93/rQ=",0)</f>
        <v>#REF!</v>
      </c>
      <c r="FZ338" t="e">
        <f>IF(#REF!,"AAAAAH93/rU=",0)</f>
        <v>#REF!</v>
      </c>
      <c r="GA338" t="e">
        <f>IF(#REF!,"AAAAAH93/rY=",0)</f>
        <v>#REF!</v>
      </c>
      <c r="GB338" t="e">
        <f>IF(#REF!,"AAAAAH93/rc=",0)</f>
        <v>#REF!</v>
      </c>
      <c r="GC338" t="e">
        <f>IF(#REF!,"AAAAAH93/rg=",0)</f>
        <v>#REF!</v>
      </c>
      <c r="GD338" t="e">
        <f>IF(#REF!,"AAAAAH93/rk=",0)</f>
        <v>#REF!</v>
      </c>
      <c r="GE338" t="e">
        <f>IF(#REF!,"AAAAAH93/ro=",0)</f>
        <v>#REF!</v>
      </c>
      <c r="GF338" t="e">
        <f>IF(#REF!,"AAAAAH93/rs=",0)</f>
        <v>#REF!</v>
      </c>
      <c r="GG338" t="e">
        <f>IF(#REF!,"AAAAAH93/rw=",0)</f>
        <v>#REF!</v>
      </c>
      <c r="GH338" t="e">
        <f>IF(#REF!,"AAAAAH93/r0=",0)</f>
        <v>#REF!</v>
      </c>
      <c r="GI338" t="e">
        <f>IF(#REF!,"AAAAAH93/r4=",0)</f>
        <v>#REF!</v>
      </c>
      <c r="GJ338" t="e">
        <f>IF(#REF!,"AAAAAH93/r8=",0)</f>
        <v>#REF!</v>
      </c>
      <c r="GK338" t="e">
        <f>IF(#REF!,"AAAAAH93/sA=",0)</f>
        <v>#REF!</v>
      </c>
      <c r="GL338" t="e">
        <f>IF(#REF!,"AAAAAH93/sE=",0)</f>
        <v>#REF!</v>
      </c>
      <c r="GM338" t="e">
        <f>IF(#REF!,"AAAAAH93/sI=",0)</f>
        <v>#REF!</v>
      </c>
      <c r="GN338" t="e">
        <f>IF(#REF!,"AAAAAH93/sM=",0)</f>
        <v>#REF!</v>
      </c>
      <c r="GO338" t="e">
        <f>IF(#REF!,"AAAAAH93/sQ=",0)</f>
        <v>#REF!</v>
      </c>
      <c r="GP338" t="e">
        <f>IF(#REF!,"AAAAAH93/sU=",0)</f>
        <v>#REF!</v>
      </c>
      <c r="GQ338" t="e">
        <f>IF(#REF!,"AAAAAH93/sY=",0)</f>
        <v>#REF!</v>
      </c>
      <c r="GR338" t="e">
        <f>IF(#REF!,"AAAAAH93/sc=",0)</f>
        <v>#REF!</v>
      </c>
      <c r="GS338" t="e">
        <f>IF(#REF!,"AAAAAH93/sg=",0)</f>
        <v>#REF!</v>
      </c>
      <c r="GT338" t="e">
        <f>IF(#REF!,"AAAAAH93/sk=",0)</f>
        <v>#REF!</v>
      </c>
      <c r="GU338" t="e">
        <f>IF(#REF!,"AAAAAH93/so=",0)</f>
        <v>#REF!</v>
      </c>
      <c r="GV338" t="e">
        <f>IF(#REF!,"AAAAAH93/ss=",0)</f>
        <v>#REF!</v>
      </c>
      <c r="GW338" t="e">
        <f>IF(#REF!,"AAAAAH93/sw=",0)</f>
        <v>#REF!</v>
      </c>
      <c r="GX338" t="e">
        <f>IF(#REF!,"AAAAAH93/s0=",0)</f>
        <v>#REF!</v>
      </c>
      <c r="GY338" t="e">
        <f>IF(#REF!,"AAAAAH93/s4=",0)</f>
        <v>#REF!</v>
      </c>
      <c r="GZ338" t="e">
        <f>IF(#REF!,"AAAAAH93/s8=",0)</f>
        <v>#REF!</v>
      </c>
      <c r="HA338" t="e">
        <f>IF(#REF!,"AAAAAH93/tA=",0)</f>
        <v>#REF!</v>
      </c>
      <c r="HB338" t="e">
        <f>IF(#REF!,"AAAAAH93/tE=",0)</f>
        <v>#REF!</v>
      </c>
      <c r="HC338" t="e">
        <f>IF(#REF!,"AAAAAH93/tI=",0)</f>
        <v>#REF!</v>
      </c>
      <c r="HD338" t="e">
        <f>IF(#REF!,"AAAAAH93/tM=",0)</f>
        <v>#REF!</v>
      </c>
      <c r="HE338" t="e">
        <f>IF(#REF!,"AAAAAH93/tQ=",0)</f>
        <v>#REF!</v>
      </c>
      <c r="HF338" t="e">
        <f>IF(#REF!,"AAAAAH93/tU=",0)</f>
        <v>#REF!</v>
      </c>
      <c r="HG338" t="e">
        <f>IF(#REF!,"AAAAAH93/tY=",0)</f>
        <v>#REF!</v>
      </c>
      <c r="HH338" t="e">
        <f>IF(#REF!,"AAAAAH93/tc=",0)</f>
        <v>#REF!</v>
      </c>
      <c r="HI338" t="e">
        <f>IF(#REF!,"AAAAAH93/tg=",0)</f>
        <v>#REF!</v>
      </c>
      <c r="HJ338" t="e">
        <f>IF(#REF!,"AAAAAH93/tk=",0)</f>
        <v>#REF!</v>
      </c>
      <c r="HK338" t="e">
        <f>IF(#REF!,"AAAAAH93/to=",0)</f>
        <v>#REF!</v>
      </c>
      <c r="HL338" t="e">
        <f>IF(#REF!,"AAAAAH93/ts=",0)</f>
        <v>#REF!</v>
      </c>
      <c r="HM338" t="e">
        <f>IF(#REF!,"AAAAAH93/tw=",0)</f>
        <v>#REF!</v>
      </c>
      <c r="HN338" t="e">
        <f>IF(#REF!,"AAAAAH93/t0=",0)</f>
        <v>#REF!</v>
      </c>
      <c r="HO338" t="e">
        <f>IF(#REF!,"AAAAAH93/t4=",0)</f>
        <v>#REF!</v>
      </c>
      <c r="HP338" t="e">
        <f>IF(#REF!,"AAAAAH93/t8=",0)</f>
        <v>#REF!</v>
      </c>
      <c r="HQ338" t="e">
        <f>IF(#REF!,"AAAAAH93/uA=",0)</f>
        <v>#REF!</v>
      </c>
      <c r="HR338" t="e">
        <f>IF(#REF!,"AAAAAH93/uE=",0)</f>
        <v>#REF!</v>
      </c>
      <c r="HS338" t="e">
        <f>IF(#REF!,"AAAAAH93/uI=",0)</f>
        <v>#REF!</v>
      </c>
      <c r="HT338" t="e">
        <f>IF(#REF!,"AAAAAH93/uM=",0)</f>
        <v>#REF!</v>
      </c>
      <c r="HU338" t="e">
        <f>IF(#REF!,"AAAAAH93/uQ=",0)</f>
        <v>#REF!</v>
      </c>
      <c r="HV338" t="e">
        <f>IF(#REF!,"AAAAAH93/uU=",0)</f>
        <v>#REF!</v>
      </c>
      <c r="HW338" t="e">
        <f>IF(#REF!,"AAAAAH93/uY=",0)</f>
        <v>#REF!</v>
      </c>
      <c r="HX338" t="e">
        <f>IF(#REF!,"AAAAAH93/uc=",0)</f>
        <v>#REF!</v>
      </c>
      <c r="HY338" t="e">
        <f>IF(#REF!,"AAAAAH93/ug=",0)</f>
        <v>#REF!</v>
      </c>
      <c r="HZ338" t="e">
        <f>IF(#REF!,"AAAAAH93/uk=",0)</f>
        <v>#REF!</v>
      </c>
      <c r="IA338" t="e">
        <f>IF(#REF!,"AAAAAH93/uo=",0)</f>
        <v>#REF!</v>
      </c>
      <c r="IB338" t="e">
        <f>IF(#REF!,"AAAAAH93/us=",0)</f>
        <v>#REF!</v>
      </c>
      <c r="IC338" t="e">
        <f>IF(#REF!,"AAAAAH93/uw=",0)</f>
        <v>#REF!</v>
      </c>
      <c r="ID338" t="e">
        <f>IF(#REF!,"AAAAAH93/u0=",0)</f>
        <v>#REF!</v>
      </c>
      <c r="IE338" t="e">
        <f>IF(#REF!,"AAAAAH93/u4=",0)</f>
        <v>#REF!</v>
      </c>
      <c r="IF338" t="e">
        <f>IF(#REF!,"AAAAAH93/u8=",0)</f>
        <v>#REF!</v>
      </c>
      <c r="IG338" t="e">
        <f>IF(#REF!,"AAAAAH93/vA=",0)</f>
        <v>#REF!</v>
      </c>
      <c r="IH338" t="e">
        <f>IF(#REF!,"AAAAAH93/vE=",0)</f>
        <v>#REF!</v>
      </c>
      <c r="II338" t="e">
        <f>IF(#REF!,"AAAAAH93/vI=",0)</f>
        <v>#REF!</v>
      </c>
      <c r="IJ338" t="e">
        <f>IF(#REF!,"AAAAAH93/vM=",0)</f>
        <v>#REF!</v>
      </c>
      <c r="IK338" t="e">
        <f>IF(#REF!,"AAAAAH93/vQ=",0)</f>
        <v>#REF!</v>
      </c>
      <c r="IL338" t="e">
        <f>IF(#REF!,"AAAAAH93/vU=",0)</f>
        <v>#REF!</v>
      </c>
      <c r="IM338" t="e">
        <f>IF(#REF!,"AAAAAH93/vY=",0)</f>
        <v>#REF!</v>
      </c>
      <c r="IN338" t="e">
        <f>IF(#REF!,"AAAAAH93/vc=",0)</f>
        <v>#REF!</v>
      </c>
      <c r="IO338" t="e">
        <f>IF(#REF!,"AAAAAH93/vg=",0)</f>
        <v>#REF!</v>
      </c>
      <c r="IP338" t="e">
        <f>IF(#REF!,"AAAAAH93/vk=",0)</f>
        <v>#REF!</v>
      </c>
      <c r="IQ338" t="e">
        <f>IF(#REF!,"AAAAAH93/vo=",0)</f>
        <v>#REF!</v>
      </c>
      <c r="IR338" t="e">
        <f>IF(#REF!,"AAAAAH93/vs=",0)</f>
        <v>#REF!</v>
      </c>
      <c r="IS338" t="e">
        <f>IF(#REF!,"AAAAAH93/vw=",0)</f>
        <v>#REF!</v>
      </c>
      <c r="IT338" t="e">
        <f>IF(#REF!,"AAAAAH93/v0=",0)</f>
        <v>#REF!</v>
      </c>
      <c r="IU338" t="e">
        <f>IF(#REF!,"AAAAAH93/v4=",0)</f>
        <v>#REF!</v>
      </c>
      <c r="IV338" t="e">
        <f>IF(#REF!,"AAAAAH93/v8=",0)</f>
        <v>#REF!</v>
      </c>
    </row>
    <row r="339" spans="1:256">
      <c r="A339" t="e">
        <f>IF(#REF!,"AAAAAB8urwA=",0)</f>
        <v>#REF!</v>
      </c>
      <c r="B339" t="e">
        <f>IF(#REF!,"AAAAAB8urwE=",0)</f>
        <v>#REF!</v>
      </c>
      <c r="C339" t="e">
        <f>IF(#REF!,"AAAAAB8urwI=",0)</f>
        <v>#REF!</v>
      </c>
      <c r="D339" t="e">
        <f>IF(#REF!,"AAAAAB8urwM=",0)</f>
        <v>#REF!</v>
      </c>
      <c r="E339" t="e">
        <f>IF(#REF!,"AAAAAB8urwQ=",0)</f>
        <v>#REF!</v>
      </c>
      <c r="F339" t="e">
        <f>IF(#REF!,"AAAAAB8urwU=",0)</f>
        <v>#REF!</v>
      </c>
      <c r="G339" t="e">
        <f>IF(#REF!,"AAAAAB8urwY=",0)</f>
        <v>#REF!</v>
      </c>
      <c r="H339" t="e">
        <f>IF(#REF!,"AAAAAB8urwc=",0)</f>
        <v>#REF!</v>
      </c>
      <c r="I339" t="e">
        <f>IF(#REF!,"AAAAAB8urwg=",0)</f>
        <v>#REF!</v>
      </c>
      <c r="J339" t="e">
        <f>IF(#REF!,"AAAAAB8urwk=",0)</f>
        <v>#REF!</v>
      </c>
      <c r="K339" t="e">
        <f>IF(#REF!,"AAAAAB8urwo=",0)</f>
        <v>#REF!</v>
      </c>
      <c r="L339" t="e">
        <f>IF(#REF!,"AAAAAB8urws=",0)</f>
        <v>#REF!</v>
      </c>
      <c r="M339" t="e">
        <f>IF(#REF!,"AAAAAB8urww=",0)</f>
        <v>#REF!</v>
      </c>
      <c r="N339" t="e">
        <f>IF(#REF!,"AAAAAB8urw0=",0)</f>
        <v>#REF!</v>
      </c>
      <c r="O339" t="e">
        <f>IF(#REF!,"AAAAAB8urw4=",0)</f>
        <v>#REF!</v>
      </c>
      <c r="P339" t="e">
        <f>IF(#REF!,"AAAAAB8urw8=",0)</f>
        <v>#REF!</v>
      </c>
      <c r="Q339" t="e">
        <f>IF(#REF!,"AAAAAB8urxA=",0)</f>
        <v>#REF!</v>
      </c>
      <c r="R339" t="e">
        <f>IF(#REF!,"AAAAAB8urxE=",0)</f>
        <v>#REF!</v>
      </c>
      <c r="S339" t="e">
        <f>IF(#REF!,"AAAAAB8urxI=",0)</f>
        <v>#REF!</v>
      </c>
      <c r="T339" t="e">
        <f>IF(#REF!,"AAAAAB8urxM=",0)</f>
        <v>#REF!</v>
      </c>
      <c r="U339" t="e">
        <f>IF(#REF!,"AAAAAB8urxQ=",0)</f>
        <v>#REF!</v>
      </c>
      <c r="V339" t="e">
        <f>IF(#REF!,"AAAAAB8urxU=",0)</f>
        <v>#REF!</v>
      </c>
      <c r="W339" t="e">
        <f>IF(#REF!,"AAAAAB8urxY=",0)</f>
        <v>#REF!</v>
      </c>
      <c r="X339" t="e">
        <f>IF(#REF!,"AAAAAB8urxc=",0)</f>
        <v>#REF!</v>
      </c>
      <c r="Y339" t="e">
        <f>IF(#REF!,"AAAAAB8urxg=",0)</f>
        <v>#REF!</v>
      </c>
      <c r="Z339" t="e">
        <f>IF(#REF!,"AAAAAB8urxk=",0)</f>
        <v>#REF!</v>
      </c>
      <c r="AA339" t="e">
        <f>IF(#REF!,"AAAAAB8urxo=",0)</f>
        <v>#REF!</v>
      </c>
      <c r="AB339" t="e">
        <f>IF(#REF!,"AAAAAB8urxs=",0)</f>
        <v>#REF!</v>
      </c>
      <c r="AC339" t="e">
        <f>IF(#REF!,"AAAAAB8urxw=",0)</f>
        <v>#REF!</v>
      </c>
      <c r="AD339" t="e">
        <f>IF(#REF!,"AAAAAB8urx0=",0)</f>
        <v>#REF!</v>
      </c>
      <c r="AE339" t="e">
        <f>IF(#REF!,"AAAAAB8urx4=",0)</f>
        <v>#REF!</v>
      </c>
      <c r="AF339" t="e">
        <f>IF(#REF!,"AAAAAB8urx8=",0)</f>
        <v>#REF!</v>
      </c>
      <c r="AG339" t="e">
        <f>IF(#REF!,"AAAAAB8uryA=",0)</f>
        <v>#REF!</v>
      </c>
      <c r="AH339" t="e">
        <f>IF(#REF!,"AAAAAB8uryE=",0)</f>
        <v>#REF!</v>
      </c>
      <c r="AI339" t="e">
        <f>IF(#REF!,"AAAAAB8uryI=",0)</f>
        <v>#REF!</v>
      </c>
      <c r="AJ339" t="e">
        <f>IF(#REF!,"AAAAAB8uryM=",0)</f>
        <v>#REF!</v>
      </c>
      <c r="AK339" t="e">
        <f>IF(#REF!,"AAAAAB8uryQ=",0)</f>
        <v>#REF!</v>
      </c>
      <c r="AL339" t="e">
        <f>IF(#REF!,"AAAAAB8uryU=",0)</f>
        <v>#REF!</v>
      </c>
      <c r="AM339" t="e">
        <f>IF(#REF!,"AAAAAB8uryY=",0)</f>
        <v>#REF!</v>
      </c>
      <c r="AN339" t="e">
        <f>IF(#REF!,"AAAAAB8uryc=",0)</f>
        <v>#REF!</v>
      </c>
      <c r="AO339" t="e">
        <f>IF(#REF!,"AAAAAB8uryg=",0)</f>
        <v>#REF!</v>
      </c>
      <c r="AP339" t="e">
        <f>IF(#REF!,"AAAAAB8uryk=",0)</f>
        <v>#REF!</v>
      </c>
      <c r="AQ339" t="e">
        <f>IF(#REF!,"AAAAAB8uryo=",0)</f>
        <v>#REF!</v>
      </c>
      <c r="AR339" t="e">
        <f>IF(#REF!,"AAAAAB8urys=",0)</f>
        <v>#REF!</v>
      </c>
      <c r="AS339" t="e">
        <f>IF(#REF!,"AAAAAB8uryw=",0)</f>
        <v>#REF!</v>
      </c>
      <c r="AT339" t="e">
        <f>IF(#REF!,"AAAAAB8ury0=",0)</f>
        <v>#REF!</v>
      </c>
      <c r="AU339" t="e">
        <f>IF(#REF!,"AAAAAB8ury4=",0)</f>
        <v>#REF!</v>
      </c>
      <c r="AV339" t="e">
        <f>IF(#REF!,"AAAAAB8ury8=",0)</f>
        <v>#REF!</v>
      </c>
      <c r="AW339" t="e">
        <f>IF(#REF!,"AAAAAB8urzA=",0)</f>
        <v>#REF!</v>
      </c>
      <c r="AX339" t="e">
        <f>IF(#REF!,"AAAAAB8urzE=",0)</f>
        <v>#REF!</v>
      </c>
      <c r="AY339" t="e">
        <f>IF(#REF!,"AAAAAB8urzI=",0)</f>
        <v>#REF!</v>
      </c>
      <c r="AZ339" t="e">
        <f>IF(#REF!,"AAAAAB8urzM=",0)</f>
        <v>#REF!</v>
      </c>
      <c r="BA339" t="e">
        <f>IF(#REF!,"AAAAAB8urzQ=",0)</f>
        <v>#REF!</v>
      </c>
      <c r="BB339" t="e">
        <f>IF(#REF!,"AAAAAB8urzU=",0)</f>
        <v>#REF!</v>
      </c>
      <c r="BC339" t="e">
        <f>IF(#REF!,"AAAAAB8urzY=",0)</f>
        <v>#REF!</v>
      </c>
      <c r="BD339" t="e">
        <f>IF(#REF!,"AAAAAB8urzc=",0)</f>
        <v>#REF!</v>
      </c>
      <c r="BE339" t="e">
        <f>IF(#REF!,"AAAAAB8urzg=",0)</f>
        <v>#REF!</v>
      </c>
      <c r="BF339" t="e">
        <f>IF(#REF!,"AAAAAB8urzk=",0)</f>
        <v>#REF!</v>
      </c>
      <c r="BG339" t="e">
        <f>IF(#REF!,"AAAAAB8urzo=",0)</f>
        <v>#REF!</v>
      </c>
      <c r="BH339" t="e">
        <f>IF(#REF!,"AAAAAB8urzs=",0)</f>
        <v>#REF!</v>
      </c>
      <c r="BI339" t="e">
        <f>IF(#REF!,"AAAAAB8urzw=",0)</f>
        <v>#REF!</v>
      </c>
      <c r="BJ339" t="e">
        <f>IF(#REF!,"AAAAAB8urz0=",0)</f>
        <v>#REF!</v>
      </c>
      <c r="BK339" t="e">
        <f>IF(#REF!,"AAAAAB8urz4=",0)</f>
        <v>#REF!</v>
      </c>
      <c r="BL339" t="e">
        <f>IF(#REF!,"AAAAAB8urz8=",0)</f>
        <v>#REF!</v>
      </c>
      <c r="BM339" t="e">
        <f>IF(#REF!,"AAAAAB8ur0A=",0)</f>
        <v>#REF!</v>
      </c>
      <c r="BN339" t="e">
        <f>IF(#REF!,"AAAAAB8ur0E=",0)</f>
        <v>#REF!</v>
      </c>
      <c r="BO339" t="e">
        <f>IF(#REF!,"AAAAAB8ur0I=",0)</f>
        <v>#REF!</v>
      </c>
      <c r="BP339" t="e">
        <f>IF(#REF!,"AAAAAB8ur0M=",0)</f>
        <v>#REF!</v>
      </c>
      <c r="BQ339" t="e">
        <f>IF(#REF!,"AAAAAB8ur0Q=",0)</f>
        <v>#REF!</v>
      </c>
      <c r="BR339" t="e">
        <f>IF(#REF!,"AAAAAB8ur0U=",0)</f>
        <v>#REF!</v>
      </c>
      <c r="BS339" t="e">
        <f>IF(#REF!,"AAAAAB8ur0Y=",0)</f>
        <v>#REF!</v>
      </c>
      <c r="BT339" t="e">
        <f>IF(#REF!,"AAAAAB8ur0c=",0)</f>
        <v>#REF!</v>
      </c>
      <c r="BU339" t="e">
        <f>IF(#REF!,"AAAAAB8ur0g=",0)</f>
        <v>#REF!</v>
      </c>
      <c r="BV339" t="e">
        <f>IF(#REF!,"AAAAAB8ur0k=",0)</f>
        <v>#REF!</v>
      </c>
      <c r="BW339" t="e">
        <f>IF(#REF!,"AAAAAB8ur0o=",0)</f>
        <v>#REF!</v>
      </c>
      <c r="BX339" t="e">
        <f>IF(#REF!,"AAAAAB8ur0s=",0)</f>
        <v>#REF!</v>
      </c>
      <c r="BY339" t="e">
        <f>IF(#REF!,"AAAAAB8ur0w=",0)</f>
        <v>#REF!</v>
      </c>
      <c r="BZ339" t="e">
        <f>IF(#REF!,"AAAAAB8ur00=",0)</f>
        <v>#REF!</v>
      </c>
      <c r="CA339" t="e">
        <f>IF(#REF!,"AAAAAB8ur04=",0)</f>
        <v>#REF!</v>
      </c>
      <c r="CB339" t="e">
        <f>IF(#REF!,"AAAAAB8ur08=",0)</f>
        <v>#REF!</v>
      </c>
      <c r="CC339" t="e">
        <f>IF(#REF!,"AAAAAB8ur1A=",0)</f>
        <v>#REF!</v>
      </c>
      <c r="CD339" t="e">
        <f>IF(#REF!,"AAAAAB8ur1E=",0)</f>
        <v>#REF!</v>
      </c>
      <c r="CE339" t="e">
        <f>IF(#REF!,"AAAAAB8ur1I=",0)</f>
        <v>#REF!</v>
      </c>
      <c r="CF339" t="e">
        <f>IF(#REF!,"AAAAAB8ur1M=",0)</f>
        <v>#REF!</v>
      </c>
      <c r="CG339" t="e">
        <f>IF(#REF!,"AAAAAB8ur1Q=",0)</f>
        <v>#REF!</v>
      </c>
      <c r="CH339" t="e">
        <f>IF(#REF!,"AAAAAB8ur1U=",0)</f>
        <v>#REF!</v>
      </c>
      <c r="CI339" t="e">
        <f>IF(#REF!,"AAAAAB8ur1Y=",0)</f>
        <v>#REF!</v>
      </c>
      <c r="CJ339" t="e">
        <f>IF(#REF!,"AAAAAB8ur1c=",0)</f>
        <v>#REF!</v>
      </c>
      <c r="CK339" t="e">
        <f>IF(#REF!,"AAAAAB8ur1g=",0)</f>
        <v>#REF!</v>
      </c>
      <c r="CL339" t="e">
        <f>IF(#REF!,"AAAAAB8ur1k=",0)</f>
        <v>#REF!</v>
      </c>
      <c r="CM339" t="e">
        <f>IF(#REF!,"AAAAAB8ur1o=",0)</f>
        <v>#REF!</v>
      </c>
      <c r="CN339" t="e">
        <f>IF(#REF!,"AAAAAB8ur1s=",0)</f>
        <v>#REF!</v>
      </c>
      <c r="CO339" t="e">
        <f>IF(#REF!,"AAAAAB8ur1w=",0)</f>
        <v>#REF!</v>
      </c>
      <c r="CP339" t="e">
        <f>IF(#REF!,"AAAAAB8ur10=",0)</f>
        <v>#REF!</v>
      </c>
      <c r="CQ339" t="e">
        <f>IF(#REF!,"AAAAAB8ur14=",0)</f>
        <v>#REF!</v>
      </c>
      <c r="CR339" t="e">
        <f>IF(#REF!,"AAAAAB8ur18=",0)</f>
        <v>#REF!</v>
      </c>
      <c r="CS339" t="e">
        <f>IF(#REF!,"AAAAAB8ur2A=",0)</f>
        <v>#REF!</v>
      </c>
      <c r="CT339" t="e">
        <f>IF(#REF!,"AAAAAB8ur2E=",0)</f>
        <v>#REF!</v>
      </c>
      <c r="CU339" t="e">
        <f>IF(#REF!,"AAAAAB8ur2I=",0)</f>
        <v>#REF!</v>
      </c>
      <c r="CV339" t="e">
        <f>IF(#REF!,"AAAAAB8ur2M=",0)</f>
        <v>#REF!</v>
      </c>
      <c r="CW339" t="e">
        <f>IF(#REF!,"AAAAAB8ur2Q=",0)</f>
        <v>#REF!</v>
      </c>
      <c r="CX339" t="e">
        <f>IF(#REF!,"AAAAAB8ur2U=",0)</f>
        <v>#REF!</v>
      </c>
      <c r="CY339" t="e">
        <f>IF(#REF!,"AAAAAB8ur2Y=",0)</f>
        <v>#REF!</v>
      </c>
      <c r="CZ339" t="e">
        <f>IF(#REF!,"AAAAAB8ur2c=",0)</f>
        <v>#REF!</v>
      </c>
      <c r="DA339" t="e">
        <f>IF(#REF!,"AAAAAB8ur2g=",0)</f>
        <v>#REF!</v>
      </c>
      <c r="DB339" t="e">
        <f>IF(#REF!,"AAAAAB8ur2k=",0)</f>
        <v>#REF!</v>
      </c>
      <c r="DC339" t="e">
        <f>IF(#REF!,"AAAAAB8ur2o=",0)</f>
        <v>#REF!</v>
      </c>
      <c r="DD339" t="e">
        <f>IF(#REF!,"AAAAAB8ur2s=",0)</f>
        <v>#REF!</v>
      </c>
      <c r="DE339" t="e">
        <f>IF(#REF!,"AAAAAB8ur2w=",0)</f>
        <v>#REF!</v>
      </c>
      <c r="DF339" t="e">
        <f>IF(#REF!,"AAAAAB8ur20=",0)</f>
        <v>#REF!</v>
      </c>
      <c r="DG339" t="e">
        <f>IF(#REF!,"AAAAAB8ur24=",0)</f>
        <v>#REF!</v>
      </c>
      <c r="DH339" t="e">
        <f>IF(#REF!,"AAAAAB8ur28=",0)</f>
        <v>#REF!</v>
      </c>
      <c r="DI339" t="e">
        <f>IF(#REF!,"AAAAAB8ur3A=",0)</f>
        <v>#REF!</v>
      </c>
      <c r="DJ339" t="e">
        <f>IF(#REF!,"AAAAAB8ur3E=",0)</f>
        <v>#REF!</v>
      </c>
      <c r="DK339" t="e">
        <f>IF(#REF!,"AAAAAB8ur3I=",0)</f>
        <v>#REF!</v>
      </c>
      <c r="DL339" t="e">
        <f>IF(#REF!,"AAAAAB8ur3M=",0)</f>
        <v>#REF!</v>
      </c>
      <c r="DM339" t="e">
        <f>IF(#REF!,"AAAAAB8ur3Q=",0)</f>
        <v>#REF!</v>
      </c>
      <c r="DN339" t="e">
        <f>IF(#REF!,"AAAAAB8ur3U=",0)</f>
        <v>#REF!</v>
      </c>
      <c r="DO339" t="e">
        <f>IF(#REF!,"AAAAAB8ur3Y=",0)</f>
        <v>#REF!</v>
      </c>
      <c r="DP339" t="e">
        <f>IF(#REF!,"AAAAAB8ur3c=",0)</f>
        <v>#REF!</v>
      </c>
      <c r="DQ339" t="e">
        <f>IF(#REF!,"AAAAAB8ur3g=",0)</f>
        <v>#REF!</v>
      </c>
      <c r="DR339" t="e">
        <f>IF(#REF!,"AAAAAB8ur3k=",0)</f>
        <v>#REF!</v>
      </c>
      <c r="DS339" t="e">
        <f>IF(#REF!,"AAAAAB8ur3o=",0)</f>
        <v>#REF!</v>
      </c>
      <c r="DT339" t="e">
        <f>IF(#REF!,"AAAAAB8ur3s=",0)</f>
        <v>#REF!</v>
      </c>
      <c r="DU339" t="e">
        <f>IF(#REF!,"AAAAAB8ur3w=",0)</f>
        <v>#REF!</v>
      </c>
      <c r="DV339" t="e">
        <f>IF(#REF!,"AAAAAB8ur30=",0)</f>
        <v>#REF!</v>
      </c>
      <c r="DW339" t="e">
        <f>IF(#REF!,"AAAAAB8ur34=",0)</f>
        <v>#REF!</v>
      </c>
      <c r="DX339" t="e">
        <f>IF(#REF!,"AAAAAB8ur38=",0)</f>
        <v>#REF!</v>
      </c>
      <c r="DY339" t="e">
        <f>IF(#REF!,"AAAAAB8ur4A=",0)</f>
        <v>#REF!</v>
      </c>
      <c r="DZ339" t="e">
        <f>IF(#REF!,"AAAAAB8ur4E=",0)</f>
        <v>#REF!</v>
      </c>
      <c r="EA339" t="e">
        <f>IF(#REF!,"AAAAAB8ur4I=",0)</f>
        <v>#REF!</v>
      </c>
      <c r="EB339" t="e">
        <f>IF(#REF!,"AAAAAB8ur4M=",0)</f>
        <v>#REF!</v>
      </c>
      <c r="EC339" t="e">
        <f>IF(#REF!,"AAAAAB8ur4Q=",0)</f>
        <v>#REF!</v>
      </c>
      <c r="ED339" t="e">
        <f>IF(#REF!,"AAAAAB8ur4U=",0)</f>
        <v>#REF!</v>
      </c>
      <c r="EE339" t="e">
        <f>IF(#REF!,"AAAAAB8ur4Y=",0)</f>
        <v>#REF!</v>
      </c>
      <c r="EF339" t="e">
        <f>IF(#REF!,"AAAAAB8ur4c=",0)</f>
        <v>#REF!</v>
      </c>
      <c r="EG339" t="e">
        <f>IF(#REF!,"AAAAAB8ur4g=",0)</f>
        <v>#REF!</v>
      </c>
      <c r="EH339" t="e">
        <f>IF(#REF!,"AAAAAB8ur4k=",0)</f>
        <v>#REF!</v>
      </c>
      <c r="EI339" t="e">
        <f>IF(#REF!,"AAAAAB8ur4o=",0)</f>
        <v>#REF!</v>
      </c>
      <c r="EJ339" t="e">
        <f>IF(#REF!,"AAAAAB8ur4s=",0)</f>
        <v>#REF!</v>
      </c>
      <c r="EK339" t="e">
        <f>IF(#REF!,"AAAAAB8ur4w=",0)</f>
        <v>#REF!</v>
      </c>
      <c r="EL339" t="e">
        <f>IF(#REF!,"AAAAAB8ur40=",0)</f>
        <v>#REF!</v>
      </c>
      <c r="EM339" t="e">
        <f>IF(#REF!,"AAAAAB8ur44=",0)</f>
        <v>#REF!</v>
      </c>
      <c r="EN339" t="e">
        <f>IF(#REF!,"AAAAAB8ur48=",0)</f>
        <v>#REF!</v>
      </c>
      <c r="EO339" t="e">
        <f>IF(#REF!,"AAAAAB8ur5A=",0)</f>
        <v>#REF!</v>
      </c>
      <c r="EP339" t="e">
        <f>IF(#REF!,"AAAAAB8ur5E=",0)</f>
        <v>#REF!</v>
      </c>
      <c r="EQ339" t="e">
        <f>IF(#REF!,"AAAAAB8ur5I=",0)</f>
        <v>#REF!</v>
      </c>
      <c r="ER339" t="e">
        <f>IF(#REF!,"AAAAAB8ur5M=",0)</f>
        <v>#REF!</v>
      </c>
      <c r="ES339" t="e">
        <f>IF(#REF!,"AAAAAB8ur5Q=",0)</f>
        <v>#REF!</v>
      </c>
      <c r="ET339" t="e">
        <f>IF(#REF!,"AAAAAB8ur5U=",0)</f>
        <v>#REF!</v>
      </c>
      <c r="EU339" t="e">
        <f>IF(#REF!,"AAAAAB8ur5Y=",0)</f>
        <v>#REF!</v>
      </c>
      <c r="EV339" t="e">
        <f>IF(#REF!,"AAAAAB8ur5c=",0)</f>
        <v>#REF!</v>
      </c>
      <c r="EW339" t="e">
        <f>IF(#REF!,"AAAAAB8ur5g=",0)</f>
        <v>#REF!</v>
      </c>
      <c r="EX339" t="e">
        <f>IF(#REF!,"AAAAAB8ur5k=",0)</f>
        <v>#REF!</v>
      </c>
      <c r="EY339" t="e">
        <f>IF(#REF!,"AAAAAB8ur5o=",0)</f>
        <v>#REF!</v>
      </c>
      <c r="EZ339" t="e">
        <f>IF(#REF!,"AAAAAB8ur5s=",0)</f>
        <v>#REF!</v>
      </c>
      <c r="FA339" t="e">
        <f>IF(#REF!,"AAAAAB8ur5w=",0)</f>
        <v>#REF!</v>
      </c>
      <c r="FB339" t="e">
        <f>IF(#REF!,"AAAAAB8ur50=",0)</f>
        <v>#REF!</v>
      </c>
      <c r="FC339" t="e">
        <f>IF(#REF!,"AAAAAB8ur54=",0)</f>
        <v>#REF!</v>
      </c>
      <c r="FD339" t="e">
        <f>IF(#REF!,"AAAAAB8ur58=",0)</f>
        <v>#REF!</v>
      </c>
      <c r="FE339" t="e">
        <f>IF(#REF!,"AAAAAB8ur6A=",0)</f>
        <v>#REF!</v>
      </c>
      <c r="FF339" t="e">
        <f>IF(#REF!,"AAAAAB8ur6E=",0)</f>
        <v>#REF!</v>
      </c>
      <c r="FG339" t="e">
        <f>IF(#REF!,"AAAAAB8ur6I=",0)</f>
        <v>#REF!</v>
      </c>
      <c r="FH339" t="e">
        <f>IF(#REF!,"AAAAAB8ur6M=",0)</f>
        <v>#REF!</v>
      </c>
      <c r="FI339" t="e">
        <f>IF(#REF!,"AAAAAB8ur6Q=",0)</f>
        <v>#REF!</v>
      </c>
      <c r="FJ339" t="e">
        <f>IF(#REF!,"AAAAAB8ur6U=",0)</f>
        <v>#REF!</v>
      </c>
      <c r="FK339" t="e">
        <f>IF(#REF!,"AAAAAB8ur6Y=",0)</f>
        <v>#REF!</v>
      </c>
      <c r="FL339" t="e">
        <f>IF(#REF!,"AAAAAB8ur6c=",0)</f>
        <v>#REF!</v>
      </c>
      <c r="FM339" t="e">
        <f>IF(#REF!,"AAAAAB8ur6g=",0)</f>
        <v>#REF!</v>
      </c>
      <c r="FN339" t="e">
        <f>IF(#REF!,"AAAAAB8ur6k=",0)</f>
        <v>#REF!</v>
      </c>
      <c r="FO339" t="e">
        <f>IF(#REF!,"AAAAAB8ur6o=",0)</f>
        <v>#REF!</v>
      </c>
      <c r="FP339" t="e">
        <f>IF(#REF!,"AAAAAB8ur6s=",0)</f>
        <v>#REF!</v>
      </c>
      <c r="FQ339" t="e">
        <f>IF(#REF!,"AAAAAB8ur6w=",0)</f>
        <v>#REF!</v>
      </c>
      <c r="FR339" t="e">
        <f>IF(#REF!,"AAAAAB8ur60=",0)</f>
        <v>#REF!</v>
      </c>
      <c r="FS339" t="e">
        <f>IF(#REF!,"AAAAAB8ur64=",0)</f>
        <v>#REF!</v>
      </c>
      <c r="FT339" t="e">
        <f>IF(#REF!,"AAAAAB8ur68=",0)</f>
        <v>#REF!</v>
      </c>
      <c r="FU339" t="e">
        <f>IF(#REF!,"AAAAAB8ur7A=",0)</f>
        <v>#REF!</v>
      </c>
      <c r="FV339" t="e">
        <f>IF(#REF!,"AAAAAB8ur7E=",0)</f>
        <v>#REF!</v>
      </c>
      <c r="FW339" t="e">
        <f>IF(#REF!,"AAAAAB8ur7I=",0)</f>
        <v>#REF!</v>
      </c>
      <c r="FX339" t="e">
        <f>IF(#REF!,"AAAAAB8ur7M=",0)</f>
        <v>#REF!</v>
      </c>
      <c r="FY339" t="e">
        <f>IF(#REF!,"AAAAAB8ur7Q=",0)</f>
        <v>#REF!</v>
      </c>
      <c r="FZ339" t="e">
        <f>IF(#REF!,"AAAAAB8ur7U=",0)</f>
        <v>#REF!</v>
      </c>
      <c r="GA339" t="e">
        <f>IF(#REF!,"AAAAAB8ur7Y=",0)</f>
        <v>#REF!</v>
      </c>
      <c r="GB339" t="e">
        <f>IF(#REF!,"AAAAAB8ur7c=",0)</f>
        <v>#REF!</v>
      </c>
      <c r="GC339" t="e">
        <f>IF(#REF!,"AAAAAB8ur7g=",0)</f>
        <v>#REF!</v>
      </c>
      <c r="GD339" t="e">
        <f>IF(#REF!,"AAAAAB8ur7k=",0)</f>
        <v>#REF!</v>
      </c>
      <c r="GE339" t="e">
        <f>IF(#REF!,"AAAAAB8ur7o=",0)</f>
        <v>#REF!</v>
      </c>
      <c r="GF339" t="e">
        <f>IF(#REF!,"AAAAAB8ur7s=",0)</f>
        <v>#REF!</v>
      </c>
      <c r="GG339" t="e">
        <f>IF(#REF!,"AAAAAB8ur7w=",0)</f>
        <v>#REF!</v>
      </c>
      <c r="GH339" t="e">
        <f>IF(#REF!,"AAAAAB8ur70=",0)</f>
        <v>#REF!</v>
      </c>
      <c r="GI339" t="e">
        <f>IF(#REF!,"AAAAAB8ur74=",0)</f>
        <v>#REF!</v>
      </c>
      <c r="GJ339" t="e">
        <f>IF(#REF!,"AAAAAB8ur78=",0)</f>
        <v>#REF!</v>
      </c>
      <c r="GK339" t="e">
        <f>IF(#REF!,"AAAAAB8ur8A=",0)</f>
        <v>#REF!</v>
      </c>
      <c r="GL339" t="e">
        <f>IF(#REF!,"AAAAAB8ur8E=",0)</f>
        <v>#REF!</v>
      </c>
      <c r="GM339" t="e">
        <f>IF(#REF!,"AAAAAB8ur8I=",0)</f>
        <v>#REF!</v>
      </c>
      <c r="GN339" t="e">
        <f>IF(#REF!,"AAAAAB8ur8M=",0)</f>
        <v>#REF!</v>
      </c>
      <c r="GO339" t="e">
        <f>IF(#REF!,"AAAAAB8ur8Q=",0)</f>
        <v>#REF!</v>
      </c>
      <c r="GP339" t="e">
        <f>IF(#REF!,"AAAAAB8ur8U=",0)</f>
        <v>#REF!</v>
      </c>
      <c r="GQ339" t="e">
        <f>IF(#REF!,"AAAAAB8ur8Y=",0)</f>
        <v>#REF!</v>
      </c>
      <c r="GR339" t="e">
        <f>IF(#REF!,"AAAAAB8ur8c=",0)</f>
        <v>#REF!</v>
      </c>
      <c r="GS339" t="e">
        <f>IF(#REF!,"AAAAAB8ur8g=",0)</f>
        <v>#REF!</v>
      </c>
      <c r="GT339" t="e">
        <f>IF(#REF!,"AAAAAB8ur8k=",0)</f>
        <v>#REF!</v>
      </c>
      <c r="GU339" t="e">
        <f>IF(#REF!,"AAAAAB8ur8o=",0)</f>
        <v>#REF!</v>
      </c>
      <c r="GV339" t="e">
        <f>IF(#REF!,"AAAAAB8ur8s=",0)</f>
        <v>#REF!</v>
      </c>
      <c r="GW339" t="e">
        <f>IF(#REF!,"AAAAAB8ur8w=",0)</f>
        <v>#REF!</v>
      </c>
      <c r="GX339" t="e">
        <f>IF(#REF!,"AAAAAB8ur80=",0)</f>
        <v>#REF!</v>
      </c>
      <c r="GY339" t="e">
        <f>IF(#REF!,"AAAAAB8ur84=",0)</f>
        <v>#REF!</v>
      </c>
      <c r="GZ339" t="e">
        <f>IF(#REF!,"AAAAAB8ur88=",0)</f>
        <v>#REF!</v>
      </c>
      <c r="HA339" t="e">
        <f>IF(#REF!,"AAAAAB8ur9A=",0)</f>
        <v>#REF!</v>
      </c>
      <c r="HB339" t="e">
        <f>IF(#REF!,"AAAAAB8ur9E=",0)</f>
        <v>#REF!</v>
      </c>
      <c r="HC339" t="e">
        <f>IF(#REF!,"AAAAAB8ur9I=",0)</f>
        <v>#REF!</v>
      </c>
      <c r="HD339" t="e">
        <f>IF(#REF!,"AAAAAB8ur9M=",0)</f>
        <v>#REF!</v>
      </c>
      <c r="HE339" t="e">
        <f>IF(#REF!,"AAAAAB8ur9Q=",0)</f>
        <v>#REF!</v>
      </c>
      <c r="HF339" t="e">
        <f>IF(#REF!,"AAAAAB8ur9U=",0)</f>
        <v>#REF!</v>
      </c>
      <c r="HG339" t="e">
        <f>IF(#REF!,"AAAAAB8ur9Y=",0)</f>
        <v>#REF!</v>
      </c>
      <c r="HH339" t="e">
        <f>IF(#REF!,"AAAAAB8ur9c=",0)</f>
        <v>#REF!</v>
      </c>
      <c r="HI339" t="e">
        <f>IF(#REF!,"AAAAAB8ur9g=",0)</f>
        <v>#REF!</v>
      </c>
      <c r="HJ339" t="e">
        <f>IF(#REF!,"AAAAAB8ur9k=",0)</f>
        <v>#REF!</v>
      </c>
      <c r="HK339" t="e">
        <f>IF(#REF!,"AAAAAB8ur9o=",0)</f>
        <v>#REF!</v>
      </c>
      <c r="HL339" t="e">
        <f>IF(#REF!,"AAAAAB8ur9s=",0)</f>
        <v>#REF!</v>
      </c>
      <c r="HM339" t="e">
        <f>IF(#REF!,"AAAAAB8ur9w=",0)</f>
        <v>#REF!</v>
      </c>
      <c r="HN339" t="e">
        <f>IF(#REF!,"AAAAAB8ur90=",0)</f>
        <v>#REF!</v>
      </c>
      <c r="HO339" t="e">
        <f>IF(#REF!,"AAAAAB8ur94=",0)</f>
        <v>#REF!</v>
      </c>
      <c r="HP339" t="e">
        <f>IF(#REF!,"AAAAAB8ur98=",0)</f>
        <v>#REF!</v>
      </c>
      <c r="HQ339" t="e">
        <f>IF(#REF!,"AAAAAB8ur+A=",0)</f>
        <v>#REF!</v>
      </c>
      <c r="HR339" t="e">
        <f>IF(#REF!,"AAAAAB8ur+E=",0)</f>
        <v>#REF!</v>
      </c>
      <c r="HS339" t="e">
        <f>IF(#REF!,"AAAAAB8ur+I=",0)</f>
        <v>#REF!</v>
      </c>
      <c r="HT339" t="e">
        <f>IF(#REF!,"AAAAAB8ur+M=",0)</f>
        <v>#REF!</v>
      </c>
      <c r="HU339" t="e">
        <f>IF(#REF!,"AAAAAB8ur+Q=",0)</f>
        <v>#REF!</v>
      </c>
      <c r="HV339" t="e">
        <f>IF(#REF!,"AAAAAB8ur+U=",0)</f>
        <v>#REF!</v>
      </c>
      <c r="HW339" t="e">
        <f>IF(#REF!,"AAAAAB8ur+Y=",0)</f>
        <v>#REF!</v>
      </c>
      <c r="HX339" t="e">
        <f>IF(#REF!,"AAAAAB8ur+c=",0)</f>
        <v>#REF!</v>
      </c>
      <c r="HY339" t="e">
        <f>IF(#REF!,"AAAAAB8ur+g=",0)</f>
        <v>#REF!</v>
      </c>
      <c r="HZ339" t="e">
        <f>IF(#REF!,"AAAAAB8ur+k=",0)</f>
        <v>#REF!</v>
      </c>
      <c r="IA339" t="e">
        <f>IF(#REF!,"AAAAAB8ur+o=",0)</f>
        <v>#REF!</v>
      </c>
      <c r="IB339" t="e">
        <f>IF(#REF!,"AAAAAB8ur+s=",0)</f>
        <v>#REF!</v>
      </c>
      <c r="IC339" t="e">
        <f>IF(#REF!,"AAAAAB8ur+w=",0)</f>
        <v>#REF!</v>
      </c>
      <c r="ID339" t="e">
        <f>IF(#REF!,"AAAAAB8ur+0=",0)</f>
        <v>#REF!</v>
      </c>
      <c r="IE339" t="e">
        <f>IF(#REF!,"AAAAAB8ur+4=",0)</f>
        <v>#REF!</v>
      </c>
      <c r="IF339" t="e">
        <f>IF(#REF!,"AAAAAB8ur+8=",0)</f>
        <v>#REF!</v>
      </c>
      <c r="IG339" t="e">
        <f>IF(#REF!,"AAAAAB8ur/A=",0)</f>
        <v>#REF!</v>
      </c>
      <c r="IH339" t="e">
        <f>IF(#REF!,"AAAAAB8ur/E=",0)</f>
        <v>#REF!</v>
      </c>
      <c r="II339" t="e">
        <f>IF(#REF!,"AAAAAB8ur/I=",0)</f>
        <v>#REF!</v>
      </c>
      <c r="IJ339" t="e">
        <f>IF(#REF!,"AAAAAB8ur/M=",0)</f>
        <v>#REF!</v>
      </c>
      <c r="IK339" t="e">
        <f>IF(#REF!,"AAAAAB8ur/Q=",0)</f>
        <v>#REF!</v>
      </c>
      <c r="IL339" t="e">
        <f>IF(#REF!,"AAAAAB8ur/U=",0)</f>
        <v>#REF!</v>
      </c>
      <c r="IM339" t="e">
        <f>IF(#REF!,"AAAAAB8ur/Y=",0)</f>
        <v>#REF!</v>
      </c>
      <c r="IN339" t="e">
        <f>IF(#REF!,"AAAAAB8ur/c=",0)</f>
        <v>#REF!</v>
      </c>
      <c r="IO339" t="e">
        <f>IF(#REF!,"AAAAAB8ur/g=",0)</f>
        <v>#REF!</v>
      </c>
      <c r="IP339" t="e">
        <f>IF(#REF!,"AAAAAB8ur/k=",0)</f>
        <v>#REF!</v>
      </c>
      <c r="IQ339" t="e">
        <f>IF(#REF!,"AAAAAB8ur/o=",0)</f>
        <v>#REF!</v>
      </c>
      <c r="IR339" t="e">
        <f>IF(#REF!,"AAAAAB8ur/s=",0)</f>
        <v>#REF!</v>
      </c>
      <c r="IS339" t="e">
        <f>IF(#REF!,"AAAAAB8ur/w=",0)</f>
        <v>#REF!</v>
      </c>
      <c r="IT339" t="e">
        <f>IF(#REF!,"AAAAAB8ur/0=",0)</f>
        <v>#REF!</v>
      </c>
      <c r="IU339" t="e">
        <f>IF(#REF!,"AAAAAB8ur/4=",0)</f>
        <v>#REF!</v>
      </c>
      <c r="IV339" t="e">
        <f>IF(#REF!,"AAAAAB8ur/8=",0)</f>
        <v>#REF!</v>
      </c>
    </row>
    <row r="340" spans="1:256">
      <c r="A340" t="e">
        <f>IF(#REF!,"AAAAAF/evwA=",0)</f>
        <v>#REF!</v>
      </c>
      <c r="B340" t="e">
        <f>IF(#REF!,"AAAAAF/evwE=",0)</f>
        <v>#REF!</v>
      </c>
      <c r="C340" t="e">
        <f>IF(#REF!,"AAAAAF/evwI=",0)</f>
        <v>#REF!</v>
      </c>
      <c r="D340" t="e">
        <f>IF(#REF!,"AAAAAF/evwM=",0)</f>
        <v>#REF!</v>
      </c>
      <c r="E340" t="e">
        <f>IF(#REF!,"AAAAAF/evwQ=",0)</f>
        <v>#REF!</v>
      </c>
      <c r="F340" t="e">
        <f>IF(#REF!,"AAAAAF/evwU=",0)</f>
        <v>#REF!</v>
      </c>
      <c r="G340" t="e">
        <f>IF(#REF!,"AAAAAF/evwY=",0)</f>
        <v>#REF!</v>
      </c>
      <c r="H340" t="e">
        <f>IF(#REF!,"AAAAAF/evwc=",0)</f>
        <v>#REF!</v>
      </c>
      <c r="I340" t="e">
        <f>IF(#REF!,"AAAAAF/evwg=",0)</f>
        <v>#REF!</v>
      </c>
      <c r="J340" t="e">
        <f>IF(#REF!,"AAAAAF/evwk=",0)</f>
        <v>#REF!</v>
      </c>
      <c r="K340" t="e">
        <f>IF(#REF!,"AAAAAF/evwo=",0)</f>
        <v>#REF!</v>
      </c>
      <c r="L340" t="e">
        <f>IF(#REF!,"AAAAAF/evws=",0)</f>
        <v>#REF!</v>
      </c>
      <c r="M340" t="e">
        <f>IF(#REF!,"AAAAAF/evww=",0)</f>
        <v>#REF!</v>
      </c>
      <c r="N340" t="e">
        <f>IF(#REF!,"AAAAAF/evw0=",0)</f>
        <v>#REF!</v>
      </c>
      <c r="O340" t="e">
        <f>IF(#REF!,"AAAAAF/evw4=",0)</f>
        <v>#REF!</v>
      </c>
      <c r="P340" t="e">
        <f>IF(#REF!,"AAAAAF/evw8=",0)</f>
        <v>#REF!</v>
      </c>
      <c r="Q340" t="e">
        <f>IF(#REF!,"AAAAAF/evxA=",0)</f>
        <v>#REF!</v>
      </c>
      <c r="R340" t="e">
        <f>IF(#REF!,"AAAAAF/evxE=",0)</f>
        <v>#REF!</v>
      </c>
      <c r="S340" t="e">
        <f>IF(#REF!,"AAAAAF/evxI=",0)</f>
        <v>#REF!</v>
      </c>
      <c r="T340" t="e">
        <f>IF(#REF!,"AAAAAF/evxM=",0)</f>
        <v>#REF!</v>
      </c>
      <c r="U340" t="e">
        <f>IF(#REF!,"AAAAAF/evxQ=",0)</f>
        <v>#REF!</v>
      </c>
      <c r="V340" t="e">
        <f>IF(#REF!,"AAAAAF/evxU=",0)</f>
        <v>#REF!</v>
      </c>
      <c r="W340" t="e">
        <f>IF(#REF!,"AAAAAF/evxY=",0)</f>
        <v>#REF!</v>
      </c>
      <c r="X340" t="e">
        <f>IF(#REF!,"AAAAAF/evxc=",0)</f>
        <v>#REF!</v>
      </c>
      <c r="Y340" t="e">
        <f>IF(#REF!,"AAAAAF/evxg=",0)</f>
        <v>#REF!</v>
      </c>
      <c r="Z340" t="e">
        <f>IF(#REF!,"AAAAAF/evxk=",0)</f>
        <v>#REF!</v>
      </c>
      <c r="AA340" t="e">
        <f>IF(#REF!,"AAAAAF/evxo=",0)</f>
        <v>#REF!</v>
      </c>
      <c r="AB340" t="e">
        <f>IF(#REF!,"AAAAAF/evxs=",0)</f>
        <v>#REF!</v>
      </c>
      <c r="AC340" t="e">
        <f>IF(#REF!,"AAAAAF/evxw=",0)</f>
        <v>#REF!</v>
      </c>
      <c r="AD340" t="e">
        <f>IF(#REF!,"AAAAAF/evx0=",0)</f>
        <v>#REF!</v>
      </c>
      <c r="AE340" t="e">
        <f>IF(#REF!,"AAAAAF/evx4=",0)</f>
        <v>#REF!</v>
      </c>
      <c r="AF340" t="e">
        <f>IF(#REF!,"AAAAAF/evx8=",0)</f>
        <v>#REF!</v>
      </c>
      <c r="AG340" t="e">
        <f>IF(#REF!,"AAAAAF/evyA=",0)</f>
        <v>#REF!</v>
      </c>
      <c r="AH340" t="e">
        <f>IF(#REF!,"AAAAAF/evyE=",0)</f>
        <v>#REF!</v>
      </c>
      <c r="AI340" t="e">
        <f>IF(#REF!,"AAAAAF/evyI=",0)</f>
        <v>#REF!</v>
      </c>
      <c r="AJ340" t="e">
        <f>IF(#REF!,"AAAAAF/evyM=",0)</f>
        <v>#REF!</v>
      </c>
      <c r="AK340" t="e">
        <f>IF(#REF!,"AAAAAF/evyQ=",0)</f>
        <v>#REF!</v>
      </c>
      <c r="AL340" t="e">
        <f>IF(#REF!,"AAAAAF/evyU=",0)</f>
        <v>#REF!</v>
      </c>
      <c r="AM340" t="e">
        <f>IF(#REF!,"AAAAAF/evyY=",0)</f>
        <v>#REF!</v>
      </c>
      <c r="AN340" t="e">
        <f>IF(#REF!,"AAAAAF/evyc=",0)</f>
        <v>#REF!</v>
      </c>
      <c r="AO340" t="e">
        <f>IF(#REF!,"AAAAAF/evyg=",0)</f>
        <v>#REF!</v>
      </c>
      <c r="AP340" t="e">
        <f>IF(#REF!,"AAAAAF/evyk=",0)</f>
        <v>#REF!</v>
      </c>
      <c r="AQ340" t="e">
        <f>IF(#REF!,"AAAAAF/evyo=",0)</f>
        <v>#REF!</v>
      </c>
      <c r="AR340" t="e">
        <f>IF(#REF!,"AAAAAF/evys=",0)</f>
        <v>#REF!</v>
      </c>
      <c r="AS340" t="e">
        <f>IF(#REF!,"AAAAAF/evyw=",0)</f>
        <v>#REF!</v>
      </c>
      <c r="AT340" t="e">
        <f>IF(#REF!,"AAAAAF/evy0=",0)</f>
        <v>#REF!</v>
      </c>
      <c r="AU340" t="e">
        <f>IF(#REF!,"AAAAAF/evy4=",0)</f>
        <v>#REF!</v>
      </c>
      <c r="AV340" t="e">
        <f>IF(#REF!,"AAAAAF/evy8=",0)</f>
        <v>#REF!</v>
      </c>
      <c r="AW340" t="e">
        <f>IF(#REF!,"AAAAAF/evzA=",0)</f>
        <v>#REF!</v>
      </c>
      <c r="AX340" t="e">
        <f>IF(#REF!,"AAAAAF/evzE=",0)</f>
        <v>#REF!</v>
      </c>
      <c r="AY340" t="e">
        <f>IF(#REF!,"AAAAAF/evzI=",0)</f>
        <v>#REF!</v>
      </c>
      <c r="AZ340" t="e">
        <f>IF(#REF!,"AAAAAF/evzM=",0)</f>
        <v>#REF!</v>
      </c>
      <c r="BA340" t="e">
        <f>IF(#REF!,"AAAAAF/evzQ=",0)</f>
        <v>#REF!</v>
      </c>
      <c r="BB340" t="e">
        <f>IF(#REF!,"AAAAAF/evzU=",0)</f>
        <v>#REF!</v>
      </c>
      <c r="BC340" t="e">
        <f>IF(#REF!,"AAAAAF/evzY=",0)</f>
        <v>#REF!</v>
      </c>
      <c r="BD340" t="e">
        <f>IF(#REF!,"AAAAAF/evzc=",0)</f>
        <v>#REF!</v>
      </c>
      <c r="BE340" t="e">
        <f>IF(#REF!,"AAAAAF/evzg=",0)</f>
        <v>#REF!</v>
      </c>
      <c r="BF340" t="e">
        <f>IF(#REF!,"AAAAAF/evzk=",0)</f>
        <v>#REF!</v>
      </c>
      <c r="BG340" t="e">
        <f>IF(#REF!,"AAAAAF/evzo=",0)</f>
        <v>#REF!</v>
      </c>
      <c r="BH340" t="e">
        <f>IF(#REF!,"AAAAAF/evzs=",0)</f>
        <v>#REF!</v>
      </c>
      <c r="BI340" t="e">
        <f>IF(#REF!,"AAAAAF/evzw=",0)</f>
        <v>#REF!</v>
      </c>
      <c r="BJ340" t="e">
        <f>IF(#REF!,"AAAAAF/evz0=",0)</f>
        <v>#REF!</v>
      </c>
      <c r="BK340" t="e">
        <f>IF(#REF!,"AAAAAF/evz4=",0)</f>
        <v>#REF!</v>
      </c>
      <c r="BL340" t="e">
        <f>IF(#REF!,"AAAAAF/evz8=",0)</f>
        <v>#REF!</v>
      </c>
      <c r="BM340" t="e">
        <f>IF(#REF!,"AAAAAF/ev0A=",0)</f>
        <v>#REF!</v>
      </c>
      <c r="BN340" t="e">
        <f>IF(#REF!,"AAAAAF/ev0E=",0)</f>
        <v>#REF!</v>
      </c>
      <c r="BO340" t="e">
        <f>IF(#REF!,"AAAAAF/ev0I=",0)</f>
        <v>#REF!</v>
      </c>
      <c r="BP340" t="e">
        <f>IF(#REF!,"AAAAAF/ev0M=",0)</f>
        <v>#REF!</v>
      </c>
      <c r="BQ340" t="e">
        <f>IF(#REF!,"AAAAAF/ev0Q=",0)</f>
        <v>#REF!</v>
      </c>
      <c r="BR340" t="e">
        <f>IF(#REF!,"AAAAAF/ev0U=",0)</f>
        <v>#REF!</v>
      </c>
      <c r="BS340" t="e">
        <f>IF(#REF!,"AAAAAF/ev0Y=",0)</f>
        <v>#REF!</v>
      </c>
      <c r="BT340" t="e">
        <f>IF(#REF!,"AAAAAF/ev0c=",0)</f>
        <v>#REF!</v>
      </c>
      <c r="BU340" t="e">
        <f>IF(#REF!,"AAAAAF/ev0g=",0)</f>
        <v>#REF!</v>
      </c>
      <c r="BV340" t="e">
        <f>IF(#REF!,"AAAAAF/ev0k=",0)</f>
        <v>#REF!</v>
      </c>
      <c r="BW340" t="e">
        <f>IF(#REF!,"AAAAAF/ev0o=",0)</f>
        <v>#REF!</v>
      </c>
      <c r="BX340" t="e">
        <f>IF(#REF!,"AAAAAF/ev0s=",0)</f>
        <v>#REF!</v>
      </c>
      <c r="BY340" t="e">
        <f>IF(#REF!,"AAAAAF/ev0w=",0)</f>
        <v>#REF!</v>
      </c>
      <c r="BZ340" t="e">
        <f>IF(#REF!,"AAAAAF/ev00=",0)</f>
        <v>#REF!</v>
      </c>
      <c r="CA340" t="e">
        <f>IF(#REF!,"AAAAAF/ev04=",0)</f>
        <v>#REF!</v>
      </c>
      <c r="CB340" t="e">
        <f>IF(#REF!,"AAAAAF/ev08=",0)</f>
        <v>#REF!</v>
      </c>
      <c r="CC340" t="e">
        <f>IF(#REF!,"AAAAAF/ev1A=",0)</f>
        <v>#REF!</v>
      </c>
      <c r="CD340" t="e">
        <f>IF(#REF!,"AAAAAF/ev1E=",0)</f>
        <v>#REF!</v>
      </c>
      <c r="CE340" t="e">
        <f>IF(#REF!,"AAAAAF/ev1I=",0)</f>
        <v>#REF!</v>
      </c>
      <c r="CF340" t="e">
        <f>IF(#REF!,"AAAAAF/ev1M=",0)</f>
        <v>#REF!</v>
      </c>
      <c r="CG340" t="e">
        <f>IF(#REF!,"AAAAAF/ev1Q=",0)</f>
        <v>#REF!</v>
      </c>
      <c r="CH340" t="e">
        <f>IF(#REF!,"AAAAAF/ev1U=",0)</f>
        <v>#REF!</v>
      </c>
      <c r="CI340" t="e">
        <f>IF(#REF!,"AAAAAF/ev1Y=",0)</f>
        <v>#REF!</v>
      </c>
      <c r="CJ340" t="e">
        <f>IF(#REF!,"AAAAAF/ev1c=",0)</f>
        <v>#REF!</v>
      </c>
      <c r="CK340" t="e">
        <f>IF(#REF!,"AAAAAF/ev1g=",0)</f>
        <v>#REF!</v>
      </c>
      <c r="CL340" t="e">
        <f>IF(#REF!,"AAAAAF/ev1k=",0)</f>
        <v>#REF!</v>
      </c>
      <c r="CM340" t="e">
        <f>IF(#REF!,"AAAAAF/ev1o=",0)</f>
        <v>#REF!</v>
      </c>
      <c r="CN340" t="e">
        <f>IF(#REF!,"AAAAAF/ev1s=",0)</f>
        <v>#REF!</v>
      </c>
      <c r="CO340" t="e">
        <f>IF(#REF!,"AAAAAF/ev1w=",0)</f>
        <v>#REF!</v>
      </c>
      <c r="CP340" t="e">
        <f>IF(#REF!,"AAAAAF/ev10=",0)</f>
        <v>#REF!</v>
      </c>
      <c r="CQ340" t="e">
        <f>IF(#REF!,"AAAAAF/ev14=",0)</f>
        <v>#REF!</v>
      </c>
      <c r="CR340" t="e">
        <f>IF(#REF!,"AAAAAF/ev18=",0)</f>
        <v>#REF!</v>
      </c>
      <c r="CS340" t="e">
        <f>IF(#REF!,"AAAAAF/ev2A=",0)</f>
        <v>#REF!</v>
      </c>
      <c r="CT340" t="e">
        <f>IF(#REF!,"AAAAAF/ev2E=",0)</f>
        <v>#REF!</v>
      </c>
      <c r="CU340" t="e">
        <f>IF(#REF!,"AAAAAF/ev2I=",0)</f>
        <v>#REF!</v>
      </c>
      <c r="CV340" t="e">
        <f>IF(#REF!,"AAAAAF/ev2M=",0)</f>
        <v>#REF!</v>
      </c>
      <c r="CW340" t="e">
        <f>IF(#REF!,"AAAAAF/ev2Q=",0)</f>
        <v>#REF!</v>
      </c>
      <c r="CX340" t="e">
        <f>IF(#REF!,"AAAAAF/ev2U=",0)</f>
        <v>#REF!</v>
      </c>
      <c r="CY340" t="e">
        <f>IF(#REF!,"AAAAAF/ev2Y=",0)</f>
        <v>#REF!</v>
      </c>
      <c r="CZ340" t="e">
        <f>IF(#REF!,"AAAAAF/ev2c=",0)</f>
        <v>#REF!</v>
      </c>
      <c r="DA340" t="e">
        <f>IF(#REF!,"AAAAAF/ev2g=",0)</f>
        <v>#REF!</v>
      </c>
      <c r="DB340" t="e">
        <f>IF(#REF!,"AAAAAF/ev2k=",0)</f>
        <v>#REF!</v>
      </c>
      <c r="DC340" t="e">
        <f>IF(#REF!,"AAAAAF/ev2o=",0)</f>
        <v>#REF!</v>
      </c>
      <c r="DD340" t="e">
        <f>IF(#REF!,"AAAAAF/ev2s=",0)</f>
        <v>#REF!</v>
      </c>
      <c r="DE340" t="e">
        <f>IF(#REF!,"AAAAAF/ev2w=",0)</f>
        <v>#REF!</v>
      </c>
      <c r="DF340" t="e">
        <f>IF(#REF!,"AAAAAF/ev20=",0)</f>
        <v>#REF!</v>
      </c>
      <c r="DG340" t="e">
        <f>IF(#REF!,"AAAAAF/ev24=",0)</f>
        <v>#REF!</v>
      </c>
      <c r="DH340" t="e">
        <f>IF(#REF!,"AAAAAF/ev28=",0)</f>
        <v>#REF!</v>
      </c>
      <c r="DI340" t="e">
        <f>IF(#REF!,"AAAAAF/ev3A=",0)</f>
        <v>#REF!</v>
      </c>
      <c r="DJ340" t="e">
        <f>IF(#REF!,"AAAAAF/ev3E=",0)</f>
        <v>#REF!</v>
      </c>
      <c r="DK340" t="e">
        <f>IF(#REF!,"AAAAAF/ev3I=",0)</f>
        <v>#REF!</v>
      </c>
      <c r="DL340" t="e">
        <f>IF(#REF!,"AAAAAF/ev3M=",0)</f>
        <v>#REF!</v>
      </c>
      <c r="DM340" t="e">
        <f>IF(#REF!,"AAAAAF/ev3Q=",0)</f>
        <v>#REF!</v>
      </c>
      <c r="DN340" t="e">
        <f>IF(#REF!,"AAAAAF/ev3U=",0)</f>
        <v>#REF!</v>
      </c>
      <c r="DO340" t="e">
        <f>IF(#REF!,"AAAAAF/ev3Y=",0)</f>
        <v>#REF!</v>
      </c>
      <c r="DP340" t="e">
        <f>IF(#REF!,"AAAAAF/ev3c=",0)</f>
        <v>#REF!</v>
      </c>
      <c r="DQ340" t="e">
        <f>IF(#REF!,"AAAAAF/ev3g=",0)</f>
        <v>#REF!</v>
      </c>
      <c r="DR340" t="e">
        <f>IF(#REF!,"AAAAAF/ev3k=",0)</f>
        <v>#REF!</v>
      </c>
      <c r="DS340" t="e">
        <f>IF(#REF!,"AAAAAF/ev3o=",0)</f>
        <v>#REF!</v>
      </c>
      <c r="DT340" t="e">
        <f>IF(#REF!,"AAAAAF/ev3s=",0)</f>
        <v>#REF!</v>
      </c>
      <c r="DU340" t="e">
        <f>IF(#REF!,"AAAAAF/ev3w=",0)</f>
        <v>#REF!</v>
      </c>
      <c r="DV340" t="e">
        <f>IF(#REF!,"AAAAAF/ev30=",0)</f>
        <v>#REF!</v>
      </c>
      <c r="DW340" t="e">
        <f>IF(#REF!,"AAAAAF/ev34=",0)</f>
        <v>#REF!</v>
      </c>
      <c r="DX340" t="e">
        <f>IF(#REF!,"AAAAAF/ev38=",0)</f>
        <v>#REF!</v>
      </c>
      <c r="DY340" t="e">
        <f>IF(#REF!,"AAAAAF/ev4A=",0)</f>
        <v>#REF!</v>
      </c>
      <c r="DZ340" t="e">
        <f>IF(#REF!,"AAAAAF/ev4E=",0)</f>
        <v>#REF!</v>
      </c>
      <c r="EA340" t="e">
        <f>IF(#REF!,"AAAAAF/ev4I=",0)</f>
        <v>#REF!</v>
      </c>
      <c r="EB340" t="e">
        <f>IF(#REF!,"AAAAAF/ev4M=",0)</f>
        <v>#REF!</v>
      </c>
      <c r="EC340" t="e">
        <f>IF(#REF!,"AAAAAF/ev4Q=",0)</f>
        <v>#REF!</v>
      </c>
      <c r="ED340" t="e">
        <f>IF(#REF!,"AAAAAF/ev4U=",0)</f>
        <v>#REF!</v>
      </c>
      <c r="EE340" t="e">
        <f>IF(#REF!,"AAAAAF/ev4Y=",0)</f>
        <v>#REF!</v>
      </c>
      <c r="EF340" t="e">
        <f>IF(#REF!,"AAAAAF/ev4c=",0)</f>
        <v>#REF!</v>
      </c>
      <c r="EG340" t="e">
        <f>IF(#REF!,"AAAAAF/ev4g=",0)</f>
        <v>#REF!</v>
      </c>
      <c r="EH340" t="e">
        <f>IF(#REF!,"AAAAAF/ev4k=",0)</f>
        <v>#REF!</v>
      </c>
      <c r="EI340" t="e">
        <f>IF(#REF!,"AAAAAF/ev4o=",0)</f>
        <v>#REF!</v>
      </c>
      <c r="EJ340" t="e">
        <f>IF(#REF!,"AAAAAF/ev4s=",0)</f>
        <v>#REF!</v>
      </c>
      <c r="EK340" t="e">
        <f>IF(#REF!,"AAAAAF/ev4w=",0)</f>
        <v>#REF!</v>
      </c>
      <c r="EL340" t="e">
        <f>IF(#REF!,"AAAAAF/ev40=",0)</f>
        <v>#REF!</v>
      </c>
      <c r="EM340" t="e">
        <f>IF(#REF!,"AAAAAF/ev44=",0)</f>
        <v>#REF!</v>
      </c>
      <c r="EN340" t="e">
        <f>IF(#REF!,"AAAAAF/ev48=",0)</f>
        <v>#REF!</v>
      </c>
      <c r="EO340" t="e">
        <f>IF(#REF!,"AAAAAF/ev5A=",0)</f>
        <v>#REF!</v>
      </c>
      <c r="EP340" t="e">
        <f>IF(#REF!,"AAAAAF/ev5E=",0)</f>
        <v>#REF!</v>
      </c>
      <c r="EQ340" t="e">
        <f>IF(#REF!,"AAAAAF/ev5I=",0)</f>
        <v>#REF!</v>
      </c>
      <c r="ER340" t="e">
        <f>IF(#REF!,"AAAAAF/ev5M=",0)</f>
        <v>#REF!</v>
      </c>
      <c r="ES340" t="e">
        <f>IF(#REF!,"AAAAAF/ev5Q=",0)</f>
        <v>#REF!</v>
      </c>
      <c r="ET340" t="e">
        <f>IF(#REF!,"AAAAAF/ev5U=",0)</f>
        <v>#REF!</v>
      </c>
      <c r="EU340" t="e">
        <f>IF(#REF!,"AAAAAF/ev5Y=",0)</f>
        <v>#REF!</v>
      </c>
      <c r="EV340" t="e">
        <f>IF(#REF!,"AAAAAF/ev5c=",0)</f>
        <v>#REF!</v>
      </c>
      <c r="EW340" t="e">
        <f>IF(#REF!,"AAAAAF/ev5g=",0)</f>
        <v>#REF!</v>
      </c>
      <c r="EX340" t="e">
        <f>IF(#REF!,"AAAAAF/ev5k=",0)</f>
        <v>#REF!</v>
      </c>
      <c r="EY340" t="e">
        <f>IF(#REF!,"AAAAAF/ev5o=",0)</f>
        <v>#REF!</v>
      </c>
      <c r="EZ340" t="e">
        <f>IF(#REF!,"AAAAAF/ev5s=",0)</f>
        <v>#REF!</v>
      </c>
      <c r="FA340" t="e">
        <f>IF(#REF!,"AAAAAF/ev5w=",0)</f>
        <v>#REF!</v>
      </c>
      <c r="FB340" t="e">
        <f>IF(#REF!,"AAAAAF/ev50=",0)</f>
        <v>#REF!</v>
      </c>
      <c r="FC340" t="e">
        <f>IF(#REF!,"AAAAAF/ev54=",0)</f>
        <v>#REF!</v>
      </c>
      <c r="FD340" t="e">
        <f>IF(#REF!,"AAAAAF/ev58=",0)</f>
        <v>#REF!</v>
      </c>
      <c r="FE340" t="e">
        <f>IF(#REF!,"AAAAAF/ev6A=",0)</f>
        <v>#REF!</v>
      </c>
      <c r="FF340" t="e">
        <f>IF(#REF!,"AAAAAF/ev6E=",0)</f>
        <v>#REF!</v>
      </c>
      <c r="FG340" t="e">
        <f>IF(#REF!,"AAAAAF/ev6I=",0)</f>
        <v>#REF!</v>
      </c>
      <c r="FH340" t="e">
        <f>IF(#REF!,"AAAAAF/ev6M=",0)</f>
        <v>#REF!</v>
      </c>
      <c r="FI340" t="e">
        <f>IF(#REF!,"AAAAAF/ev6Q=",0)</f>
        <v>#REF!</v>
      </c>
      <c r="FJ340" t="e">
        <f>IF(#REF!,"AAAAAF/ev6U=",0)</f>
        <v>#REF!</v>
      </c>
      <c r="FK340" t="e">
        <f>IF(#REF!,"AAAAAF/ev6Y=",0)</f>
        <v>#REF!</v>
      </c>
      <c r="FL340" t="e">
        <f>IF(#REF!,"AAAAAF/ev6c=",0)</f>
        <v>#REF!</v>
      </c>
      <c r="FM340" t="e">
        <f>IF(#REF!,"AAAAAF/ev6g=",0)</f>
        <v>#REF!</v>
      </c>
      <c r="FN340" t="e">
        <f>IF(#REF!,"AAAAAF/ev6k=",0)</f>
        <v>#REF!</v>
      </c>
      <c r="FO340" t="e">
        <f>IF(#REF!,"AAAAAF/ev6o=",0)</f>
        <v>#REF!</v>
      </c>
      <c r="FP340" t="e">
        <f>IF(#REF!,"AAAAAF/ev6s=",0)</f>
        <v>#REF!</v>
      </c>
      <c r="FQ340" t="e">
        <f>IF(#REF!,"AAAAAF/ev6w=",0)</f>
        <v>#REF!</v>
      </c>
      <c r="FR340" t="e">
        <f>IF(#REF!,"AAAAAF/ev60=",0)</f>
        <v>#REF!</v>
      </c>
      <c r="FS340" t="e">
        <f>IF(#REF!,"AAAAAF/ev64=",0)</f>
        <v>#REF!</v>
      </c>
      <c r="FT340" t="e">
        <f>IF(#REF!,"AAAAAF/ev68=",0)</f>
        <v>#REF!</v>
      </c>
      <c r="FU340" t="e">
        <f>IF(#REF!,"AAAAAF/ev7A=",0)</f>
        <v>#REF!</v>
      </c>
      <c r="FV340" t="e">
        <f>IF(#REF!,"AAAAAF/ev7E=",0)</f>
        <v>#REF!</v>
      </c>
      <c r="FW340" t="e">
        <f>IF(#REF!,"AAAAAF/ev7I=",0)</f>
        <v>#REF!</v>
      </c>
      <c r="FX340" t="e">
        <f>IF(#REF!,"AAAAAF/ev7M=",0)</f>
        <v>#REF!</v>
      </c>
      <c r="FY340" t="e">
        <f>IF(#REF!,"AAAAAF/ev7Q=",0)</f>
        <v>#REF!</v>
      </c>
      <c r="FZ340" t="e">
        <f>IF(#REF!,"AAAAAF/ev7U=",0)</f>
        <v>#REF!</v>
      </c>
      <c r="GA340" t="e">
        <f>IF(#REF!,"AAAAAF/ev7Y=",0)</f>
        <v>#REF!</v>
      </c>
      <c r="GB340" t="e">
        <f>IF(#REF!,"AAAAAF/ev7c=",0)</f>
        <v>#REF!</v>
      </c>
      <c r="GC340" t="e">
        <f>IF(#REF!,"AAAAAF/ev7g=",0)</f>
        <v>#REF!</v>
      </c>
      <c r="GD340" t="e">
        <f>IF(#REF!,"AAAAAF/ev7k=",0)</f>
        <v>#REF!</v>
      </c>
      <c r="GE340" t="e">
        <f>IF(#REF!,"AAAAAF/ev7o=",0)</f>
        <v>#REF!</v>
      </c>
      <c r="GF340" t="e">
        <f>IF(#REF!,"AAAAAF/ev7s=",0)</f>
        <v>#REF!</v>
      </c>
      <c r="GG340" t="e">
        <f>IF(#REF!,"AAAAAF/ev7w=",0)</f>
        <v>#REF!</v>
      </c>
      <c r="GH340" t="e">
        <f>IF(#REF!,"AAAAAF/ev70=",0)</f>
        <v>#REF!</v>
      </c>
      <c r="GI340" t="e">
        <f>IF(#REF!,"AAAAAF/ev74=",0)</f>
        <v>#REF!</v>
      </c>
      <c r="GJ340" t="e">
        <f>IF(#REF!,"AAAAAF/ev78=",0)</f>
        <v>#REF!</v>
      </c>
      <c r="GK340" t="e">
        <f>IF(#REF!,"AAAAAF/ev8A=",0)</f>
        <v>#REF!</v>
      </c>
      <c r="GL340" t="e">
        <f>IF(#REF!,"AAAAAF/ev8E=",0)</f>
        <v>#REF!</v>
      </c>
      <c r="GM340" t="e">
        <f>IF(#REF!,"AAAAAF/ev8I=",0)</f>
        <v>#REF!</v>
      </c>
      <c r="GN340" t="e">
        <f>IF(#REF!,"AAAAAF/ev8M=",0)</f>
        <v>#REF!</v>
      </c>
      <c r="GO340" t="e">
        <f>IF(#REF!,"AAAAAF/ev8Q=",0)</f>
        <v>#REF!</v>
      </c>
      <c r="GP340" t="e">
        <f>IF(#REF!,"AAAAAF/ev8U=",0)</f>
        <v>#REF!</v>
      </c>
      <c r="GQ340" t="e">
        <f>IF(#REF!,"AAAAAF/ev8Y=",0)</f>
        <v>#REF!</v>
      </c>
      <c r="GR340" t="e">
        <f>IF(#REF!,"AAAAAF/ev8c=",0)</f>
        <v>#REF!</v>
      </c>
      <c r="GS340" t="e">
        <f>IF(#REF!,"AAAAAF/ev8g=",0)</f>
        <v>#REF!</v>
      </c>
      <c r="GT340" t="e">
        <f>IF(#REF!,"AAAAAF/ev8k=",0)</f>
        <v>#REF!</v>
      </c>
      <c r="GU340" t="e">
        <f>IF(#REF!,"AAAAAF/ev8o=",0)</f>
        <v>#REF!</v>
      </c>
      <c r="GV340" t="e">
        <f>IF(#REF!,"AAAAAF/ev8s=",0)</f>
        <v>#REF!</v>
      </c>
      <c r="GW340" t="e">
        <f>IF(#REF!,"AAAAAF/ev8w=",0)</f>
        <v>#REF!</v>
      </c>
      <c r="GX340" t="e">
        <f>IF(#REF!,"AAAAAF/ev80=",0)</f>
        <v>#REF!</v>
      </c>
      <c r="GY340" t="e">
        <f>IF(#REF!,"AAAAAF/ev84=",0)</f>
        <v>#REF!</v>
      </c>
      <c r="GZ340" t="e">
        <f>IF(#REF!,"AAAAAF/ev88=",0)</f>
        <v>#REF!</v>
      </c>
      <c r="HA340" t="e">
        <f>IF(#REF!,"AAAAAF/ev9A=",0)</f>
        <v>#REF!</v>
      </c>
      <c r="HB340" t="e">
        <f>IF(#REF!,"AAAAAF/ev9E=",0)</f>
        <v>#REF!</v>
      </c>
      <c r="HC340" t="e">
        <f>IF(#REF!,"AAAAAF/ev9I=",0)</f>
        <v>#REF!</v>
      </c>
      <c r="HD340" t="e">
        <f>IF(#REF!,"AAAAAF/ev9M=",0)</f>
        <v>#REF!</v>
      </c>
      <c r="HE340" t="e">
        <f>IF(#REF!,"AAAAAF/ev9Q=",0)</f>
        <v>#REF!</v>
      </c>
      <c r="HF340" t="e">
        <f>IF(#REF!,"AAAAAF/ev9U=",0)</f>
        <v>#REF!</v>
      </c>
      <c r="HG340" t="e">
        <f>IF(#REF!,"AAAAAF/ev9Y=",0)</f>
        <v>#REF!</v>
      </c>
      <c r="HH340" t="e">
        <f>IF(#REF!,"AAAAAF/ev9c=",0)</f>
        <v>#REF!</v>
      </c>
      <c r="HI340" t="e">
        <f>IF(#REF!,"AAAAAF/ev9g=",0)</f>
        <v>#REF!</v>
      </c>
      <c r="HJ340" t="e">
        <f>IF(#REF!,"AAAAAF/ev9k=",0)</f>
        <v>#REF!</v>
      </c>
      <c r="HK340" t="e">
        <f>IF(#REF!,"AAAAAF/ev9o=",0)</f>
        <v>#REF!</v>
      </c>
      <c r="HL340" t="e">
        <f>IF(#REF!,"AAAAAF/ev9s=",0)</f>
        <v>#REF!</v>
      </c>
      <c r="HM340" t="e">
        <f>IF(#REF!,"AAAAAF/ev9w=",0)</f>
        <v>#REF!</v>
      </c>
      <c r="HN340" t="e">
        <f>IF(#REF!,"AAAAAF/ev90=",0)</f>
        <v>#REF!</v>
      </c>
      <c r="HO340" t="e">
        <f>IF(#REF!,"AAAAAF/ev94=",0)</f>
        <v>#REF!</v>
      </c>
      <c r="HP340" t="e">
        <f>IF(#REF!,"AAAAAF/ev98=",0)</f>
        <v>#REF!</v>
      </c>
      <c r="HQ340" t="e">
        <f>IF(#REF!,"AAAAAF/ev+A=",0)</f>
        <v>#REF!</v>
      </c>
      <c r="HR340" t="e">
        <f>IF(#REF!,"AAAAAF/ev+E=",0)</f>
        <v>#REF!</v>
      </c>
      <c r="HS340" t="e">
        <f>IF(#REF!,"AAAAAF/ev+I=",0)</f>
        <v>#REF!</v>
      </c>
      <c r="HT340" t="e">
        <f>IF(#REF!,"AAAAAF/ev+M=",0)</f>
        <v>#REF!</v>
      </c>
      <c r="HU340" t="e">
        <f>IF(#REF!,"AAAAAF/ev+Q=",0)</f>
        <v>#REF!</v>
      </c>
      <c r="HV340" t="e">
        <f>IF(#REF!,"AAAAAF/ev+U=",0)</f>
        <v>#REF!</v>
      </c>
      <c r="HW340" t="e">
        <f>IF(#REF!,"AAAAAF/ev+Y=",0)</f>
        <v>#REF!</v>
      </c>
      <c r="HX340" t="e">
        <f>IF(#REF!,"AAAAAF/ev+c=",0)</f>
        <v>#REF!</v>
      </c>
      <c r="HY340" t="e">
        <f>IF(#REF!,"AAAAAF/ev+g=",0)</f>
        <v>#REF!</v>
      </c>
      <c r="HZ340" t="e">
        <f>IF(#REF!,"AAAAAF/ev+k=",0)</f>
        <v>#REF!</v>
      </c>
      <c r="IA340" t="e">
        <f>IF(#REF!,"AAAAAF/ev+o=",0)</f>
        <v>#REF!</v>
      </c>
      <c r="IB340" t="e">
        <f>IF(#REF!,"AAAAAF/ev+s=",0)</f>
        <v>#REF!</v>
      </c>
      <c r="IC340" t="e">
        <f>IF(#REF!,"AAAAAF/ev+w=",0)</f>
        <v>#REF!</v>
      </c>
      <c r="ID340" t="e">
        <f>IF(#REF!,"AAAAAF/ev+0=",0)</f>
        <v>#REF!</v>
      </c>
      <c r="IE340" t="e">
        <f>IF(#REF!,"AAAAAF/ev+4=",0)</f>
        <v>#REF!</v>
      </c>
      <c r="IF340" t="e">
        <f>IF(#REF!,"AAAAAF/ev+8=",0)</f>
        <v>#REF!</v>
      </c>
      <c r="IG340" t="e">
        <f>IF(#REF!,"AAAAAF/ev/A=",0)</f>
        <v>#REF!</v>
      </c>
      <c r="IH340" t="e">
        <f>IF(#REF!,"AAAAAF/ev/E=",0)</f>
        <v>#REF!</v>
      </c>
      <c r="II340" t="e">
        <f>IF(#REF!,"AAAAAF/ev/I=",0)</f>
        <v>#REF!</v>
      </c>
      <c r="IJ340" t="e">
        <f>IF(#REF!,"AAAAAF/ev/M=",0)</f>
        <v>#REF!</v>
      </c>
      <c r="IK340" t="e">
        <f>IF(#REF!,"AAAAAF/ev/Q=",0)</f>
        <v>#REF!</v>
      </c>
      <c r="IL340" t="e">
        <f>IF(#REF!,"AAAAAF/ev/U=",0)</f>
        <v>#REF!</v>
      </c>
      <c r="IM340" t="e">
        <f>IF(#REF!,"AAAAAF/ev/Y=",0)</f>
        <v>#REF!</v>
      </c>
      <c r="IN340" t="e">
        <f>IF(#REF!,"AAAAAF/ev/c=",0)</f>
        <v>#REF!</v>
      </c>
      <c r="IO340" t="e">
        <f>IF(#REF!,"AAAAAF/ev/g=",0)</f>
        <v>#REF!</v>
      </c>
      <c r="IP340" t="e">
        <f>IF(#REF!,"AAAAAF/ev/k=",0)</f>
        <v>#REF!</v>
      </c>
      <c r="IQ340" t="e">
        <f>IF(#REF!,"AAAAAF/ev/o=",0)</f>
        <v>#REF!</v>
      </c>
      <c r="IR340" t="e">
        <f>IF(#REF!,"AAAAAF/ev/s=",0)</f>
        <v>#REF!</v>
      </c>
      <c r="IS340" t="e">
        <f>IF(#REF!,"AAAAAF/ev/w=",0)</f>
        <v>#REF!</v>
      </c>
      <c r="IT340" t="e">
        <f>IF(#REF!,"AAAAAF/ev/0=",0)</f>
        <v>#REF!</v>
      </c>
      <c r="IU340" t="e">
        <f>IF(#REF!,"AAAAAF/ev/4=",0)</f>
        <v>#REF!</v>
      </c>
      <c r="IV340" t="e">
        <f>IF(#REF!,"AAAAAF/ev/8=",0)</f>
        <v>#REF!</v>
      </c>
    </row>
    <row r="341" spans="1:256">
      <c r="A341" t="e">
        <f>IF(#REF!,"AAAAAHee/QA=",0)</f>
        <v>#REF!</v>
      </c>
      <c r="B341" t="e">
        <f>IF(#REF!,"AAAAAHee/QE=",0)</f>
        <v>#REF!</v>
      </c>
      <c r="C341" t="e">
        <f>IF(#REF!,"AAAAAHee/QI=",0)</f>
        <v>#REF!</v>
      </c>
      <c r="D341" t="e">
        <f>IF(#REF!,"AAAAAHee/QM=",0)</f>
        <v>#REF!</v>
      </c>
      <c r="E341" t="e">
        <f>IF(#REF!,"AAAAAHee/QQ=",0)</f>
        <v>#REF!</v>
      </c>
      <c r="F341" t="e">
        <f>IF(#REF!,"AAAAAHee/QU=",0)</f>
        <v>#REF!</v>
      </c>
      <c r="G341" t="e">
        <f>IF(#REF!,"AAAAAHee/QY=",0)</f>
        <v>#REF!</v>
      </c>
      <c r="H341" t="e">
        <f>IF(#REF!,"AAAAAHee/Qc=",0)</f>
        <v>#REF!</v>
      </c>
      <c r="I341" t="e">
        <f>IF(#REF!,"AAAAAHee/Qg=",0)</f>
        <v>#REF!</v>
      </c>
      <c r="J341" t="e">
        <f>IF(#REF!,"AAAAAHee/Qk=",0)</f>
        <v>#REF!</v>
      </c>
      <c r="K341" t="e">
        <f>IF(#REF!,"AAAAAHee/Qo=",0)</f>
        <v>#REF!</v>
      </c>
      <c r="L341" t="e">
        <f>IF(#REF!,"AAAAAHee/Qs=",0)</f>
        <v>#REF!</v>
      </c>
      <c r="M341" t="e">
        <f>IF(#REF!,"AAAAAHee/Qw=",0)</f>
        <v>#REF!</v>
      </c>
      <c r="N341" t="e">
        <f>IF(#REF!,"AAAAAHee/Q0=",0)</f>
        <v>#REF!</v>
      </c>
      <c r="O341" t="e">
        <f>IF(#REF!,"AAAAAHee/Q4=",0)</f>
        <v>#REF!</v>
      </c>
      <c r="P341" t="e">
        <f>IF(#REF!,"AAAAAHee/Q8=",0)</f>
        <v>#REF!</v>
      </c>
      <c r="Q341" t="e">
        <f>IF(#REF!,"AAAAAHee/RA=",0)</f>
        <v>#REF!</v>
      </c>
      <c r="R341" t="e">
        <f>IF(#REF!,"AAAAAHee/RE=",0)</f>
        <v>#REF!</v>
      </c>
      <c r="S341" t="e">
        <f>IF(#REF!,"AAAAAHee/RI=",0)</f>
        <v>#REF!</v>
      </c>
      <c r="T341" t="e">
        <f>IF(#REF!,"AAAAAHee/RM=",0)</f>
        <v>#REF!</v>
      </c>
      <c r="U341" t="e">
        <f>IF(#REF!,"AAAAAHee/RQ=",0)</f>
        <v>#REF!</v>
      </c>
      <c r="V341" t="e">
        <f>IF(#REF!,"AAAAAHee/RU=",0)</f>
        <v>#REF!</v>
      </c>
      <c r="W341" t="e">
        <f>IF(#REF!,"AAAAAHee/RY=",0)</f>
        <v>#REF!</v>
      </c>
      <c r="X341" t="e">
        <f>IF(#REF!,"AAAAAHee/Rc=",0)</f>
        <v>#REF!</v>
      </c>
      <c r="Y341" t="e">
        <f>IF(#REF!,"AAAAAHee/Rg=",0)</f>
        <v>#REF!</v>
      </c>
      <c r="Z341" t="e">
        <f>IF(#REF!,"AAAAAHee/Rk=",0)</f>
        <v>#REF!</v>
      </c>
      <c r="AA341" t="e">
        <f>IF(#REF!,"AAAAAHee/Ro=",0)</f>
        <v>#REF!</v>
      </c>
      <c r="AB341" t="e">
        <f>IF(#REF!,"AAAAAHee/Rs=",0)</f>
        <v>#REF!</v>
      </c>
      <c r="AC341" t="e">
        <f>IF(#REF!,"AAAAAHee/Rw=",0)</f>
        <v>#REF!</v>
      </c>
      <c r="AD341" t="e">
        <f>IF(#REF!,"AAAAAHee/R0=",0)</f>
        <v>#REF!</v>
      </c>
      <c r="AE341" t="e">
        <f>IF(#REF!,"AAAAAHee/R4=",0)</f>
        <v>#REF!</v>
      </c>
      <c r="AF341" t="e">
        <f>IF(#REF!,"AAAAAHee/R8=",0)</f>
        <v>#REF!</v>
      </c>
      <c r="AG341" t="e">
        <f>IF(#REF!,"AAAAAHee/SA=",0)</f>
        <v>#REF!</v>
      </c>
      <c r="AH341" t="e">
        <f>IF(#REF!,"AAAAAHee/SE=",0)</f>
        <v>#REF!</v>
      </c>
      <c r="AI341" t="e">
        <f>IF(#REF!,"AAAAAHee/SI=",0)</f>
        <v>#REF!</v>
      </c>
      <c r="AJ341" t="e">
        <f>IF(#REF!,"AAAAAHee/SM=",0)</f>
        <v>#REF!</v>
      </c>
      <c r="AK341" t="e">
        <f>IF(#REF!,"AAAAAHee/SQ=",0)</f>
        <v>#REF!</v>
      </c>
      <c r="AL341" t="e">
        <f>IF(#REF!,"AAAAAHee/SU=",0)</f>
        <v>#REF!</v>
      </c>
      <c r="AM341" t="e">
        <f>IF(#REF!,"AAAAAHee/SY=",0)</f>
        <v>#REF!</v>
      </c>
      <c r="AN341" t="e">
        <f>IF(#REF!,"AAAAAHee/Sc=",0)</f>
        <v>#REF!</v>
      </c>
      <c r="AO341" t="e">
        <f>IF(#REF!,"AAAAAHee/Sg=",0)</f>
        <v>#REF!</v>
      </c>
      <c r="AP341" t="e">
        <f>IF(#REF!,"AAAAAHee/Sk=",0)</f>
        <v>#REF!</v>
      </c>
      <c r="AQ341" t="e">
        <f>IF(#REF!,"AAAAAHee/So=",0)</f>
        <v>#REF!</v>
      </c>
      <c r="AR341" t="e">
        <f>IF(#REF!,"AAAAAHee/Ss=",0)</f>
        <v>#REF!</v>
      </c>
      <c r="AS341" t="e">
        <f>IF(#REF!,"AAAAAHee/Sw=",0)</f>
        <v>#REF!</v>
      </c>
      <c r="AT341" t="e">
        <f>IF(#REF!,"AAAAAHee/S0=",0)</f>
        <v>#REF!</v>
      </c>
      <c r="AU341" t="e">
        <f>IF(#REF!,"AAAAAHee/S4=",0)</f>
        <v>#REF!</v>
      </c>
      <c r="AV341" t="e">
        <f>IF(#REF!,"AAAAAHee/S8=",0)</f>
        <v>#REF!</v>
      </c>
      <c r="AW341" t="e">
        <f>IF(#REF!,"AAAAAHee/TA=",0)</f>
        <v>#REF!</v>
      </c>
      <c r="AX341" t="e">
        <f>IF(#REF!,"AAAAAHee/TE=",0)</f>
        <v>#REF!</v>
      </c>
      <c r="AY341" t="e">
        <f>IF(#REF!,"AAAAAHee/TI=",0)</f>
        <v>#REF!</v>
      </c>
      <c r="AZ341" t="e">
        <f>IF(#REF!,"AAAAAHee/TM=",0)</f>
        <v>#REF!</v>
      </c>
      <c r="BA341" t="e">
        <f>IF(#REF!,"AAAAAHee/TQ=",0)</f>
        <v>#REF!</v>
      </c>
      <c r="BB341" t="e">
        <f>IF(#REF!,"AAAAAHee/TU=",0)</f>
        <v>#REF!</v>
      </c>
      <c r="BC341" t="e">
        <f>IF(#REF!,"AAAAAHee/TY=",0)</f>
        <v>#REF!</v>
      </c>
      <c r="BD341" t="e">
        <f>IF(#REF!,"AAAAAHee/Tc=",0)</f>
        <v>#REF!</v>
      </c>
      <c r="BE341" t="e">
        <f>IF(#REF!,"AAAAAHee/Tg=",0)</f>
        <v>#REF!</v>
      </c>
      <c r="BF341" t="e">
        <f>IF(#REF!,"AAAAAHee/Tk=",0)</f>
        <v>#REF!</v>
      </c>
      <c r="BG341" t="e">
        <f>IF(#REF!,"AAAAAHee/To=",0)</f>
        <v>#REF!</v>
      </c>
      <c r="BH341" t="e">
        <f>IF(#REF!,"AAAAAHee/Ts=",0)</f>
        <v>#REF!</v>
      </c>
      <c r="BI341" t="e">
        <f>IF(#REF!,"AAAAAHee/Tw=",0)</f>
        <v>#REF!</v>
      </c>
      <c r="BJ341" t="e">
        <f>IF(#REF!,"AAAAAHee/T0=",0)</f>
        <v>#REF!</v>
      </c>
      <c r="BK341" t="e">
        <f>IF(#REF!,"AAAAAHee/T4=",0)</f>
        <v>#REF!</v>
      </c>
      <c r="BL341" t="e">
        <f>IF(#REF!,"AAAAAHee/T8=",0)</f>
        <v>#REF!</v>
      </c>
      <c r="BM341" t="e">
        <f>IF(#REF!,"AAAAAHee/UA=",0)</f>
        <v>#REF!</v>
      </c>
      <c r="BN341" t="e">
        <f>IF(#REF!,"AAAAAHee/UE=",0)</f>
        <v>#REF!</v>
      </c>
      <c r="BO341" t="e">
        <f>IF(#REF!,"AAAAAHee/UI=",0)</f>
        <v>#REF!</v>
      </c>
      <c r="BP341" t="e">
        <f>IF(#REF!,"AAAAAHee/UM=",0)</f>
        <v>#REF!</v>
      </c>
      <c r="BQ341" t="e">
        <f>IF(#REF!,"AAAAAHee/UQ=",0)</f>
        <v>#REF!</v>
      </c>
      <c r="BR341" t="e">
        <f>IF(#REF!,"AAAAAHee/UU=",0)</f>
        <v>#REF!</v>
      </c>
      <c r="BS341" t="e">
        <f>IF(#REF!,"AAAAAHee/UY=",0)</f>
        <v>#REF!</v>
      </c>
      <c r="BT341" t="e">
        <f>IF(#REF!,"AAAAAHee/Uc=",0)</f>
        <v>#REF!</v>
      </c>
      <c r="BU341" t="e">
        <f>IF(#REF!,"AAAAAHee/Ug=",0)</f>
        <v>#REF!</v>
      </c>
      <c r="BV341" t="e">
        <f>IF(#REF!,"AAAAAHee/Uk=",0)</f>
        <v>#REF!</v>
      </c>
      <c r="BW341" t="e">
        <f>IF(#REF!,"AAAAAHee/Uo=",0)</f>
        <v>#REF!</v>
      </c>
      <c r="BX341" t="e">
        <f>IF(#REF!,"AAAAAHee/Us=",0)</f>
        <v>#REF!</v>
      </c>
      <c r="BY341" t="e">
        <f>IF(#REF!,"AAAAAHee/Uw=",0)</f>
        <v>#REF!</v>
      </c>
      <c r="BZ341" t="e">
        <f>IF(#REF!,"AAAAAHee/U0=",0)</f>
        <v>#REF!</v>
      </c>
      <c r="CA341" t="e">
        <f>IF(#REF!,"AAAAAHee/U4=",0)</f>
        <v>#REF!</v>
      </c>
      <c r="CB341" t="e">
        <f>IF(#REF!,"AAAAAHee/U8=",0)</f>
        <v>#REF!</v>
      </c>
      <c r="CC341" t="e">
        <f>IF(#REF!,"AAAAAHee/VA=",0)</f>
        <v>#REF!</v>
      </c>
      <c r="CD341" t="e">
        <f>IF(#REF!,"AAAAAHee/VE=",0)</f>
        <v>#REF!</v>
      </c>
      <c r="CE341" t="e">
        <f>IF(#REF!,"AAAAAHee/VI=",0)</f>
        <v>#REF!</v>
      </c>
      <c r="CF341" t="e">
        <f>IF(#REF!,"AAAAAHee/VM=",0)</f>
        <v>#REF!</v>
      </c>
      <c r="CG341" t="e">
        <f>IF(#REF!,"AAAAAHee/VQ=",0)</f>
        <v>#REF!</v>
      </c>
      <c r="CH341" t="e">
        <f>IF(#REF!,"AAAAAHee/VU=",0)</f>
        <v>#REF!</v>
      </c>
      <c r="CI341" t="e">
        <f>IF(#REF!,"AAAAAHee/VY=",0)</f>
        <v>#REF!</v>
      </c>
      <c r="CJ341" t="e">
        <f>IF(#REF!,"AAAAAHee/Vc=",0)</f>
        <v>#REF!</v>
      </c>
      <c r="CK341" t="e">
        <f>IF(#REF!,"AAAAAHee/Vg=",0)</f>
        <v>#REF!</v>
      </c>
      <c r="CL341" t="e">
        <f>IF(#REF!,"AAAAAHee/Vk=",0)</f>
        <v>#REF!</v>
      </c>
      <c r="CM341" t="e">
        <f>IF(#REF!,"AAAAAHee/Vo=",0)</f>
        <v>#REF!</v>
      </c>
      <c r="CN341" t="e">
        <f>IF(#REF!,"AAAAAHee/Vs=",0)</f>
        <v>#REF!</v>
      </c>
      <c r="CO341" t="e">
        <f>IF(#REF!,"AAAAAHee/Vw=",0)</f>
        <v>#REF!</v>
      </c>
      <c r="CP341" t="e">
        <f>IF(#REF!,"AAAAAHee/V0=",0)</f>
        <v>#REF!</v>
      </c>
      <c r="CQ341" t="e">
        <f>IF(#REF!,"AAAAAHee/V4=",0)</f>
        <v>#REF!</v>
      </c>
      <c r="CR341" t="e">
        <f>IF(#REF!,"AAAAAHee/V8=",0)</f>
        <v>#REF!</v>
      </c>
      <c r="CS341" t="e">
        <f>IF(#REF!,"AAAAAHee/WA=",0)</f>
        <v>#REF!</v>
      </c>
      <c r="CT341" t="e">
        <f>IF(#REF!,"AAAAAHee/WE=",0)</f>
        <v>#REF!</v>
      </c>
      <c r="CU341" t="e">
        <f>IF(#REF!,"AAAAAHee/WI=",0)</f>
        <v>#REF!</v>
      </c>
      <c r="CV341" t="e">
        <f>IF(#REF!,"AAAAAHee/WM=",0)</f>
        <v>#REF!</v>
      </c>
      <c r="CW341" t="e">
        <f>IF(#REF!,"AAAAAHee/WQ=",0)</f>
        <v>#REF!</v>
      </c>
      <c r="CX341" t="e">
        <f>IF(#REF!,"AAAAAHee/WU=",0)</f>
        <v>#REF!</v>
      </c>
      <c r="CY341" t="e">
        <f>IF(#REF!,"AAAAAHee/WY=",0)</f>
        <v>#REF!</v>
      </c>
      <c r="CZ341" t="e">
        <f>IF(#REF!,"AAAAAHee/Wc=",0)</f>
        <v>#REF!</v>
      </c>
      <c r="DA341" t="e">
        <f>IF(#REF!,"AAAAAHee/Wg=",0)</f>
        <v>#REF!</v>
      </c>
      <c r="DB341" t="e">
        <f>IF(#REF!,"AAAAAHee/Wk=",0)</f>
        <v>#REF!</v>
      </c>
      <c r="DC341" t="e">
        <f>IF(#REF!,"AAAAAHee/Wo=",0)</f>
        <v>#REF!</v>
      </c>
      <c r="DD341" t="e">
        <f>IF(#REF!,"AAAAAHee/Ws=",0)</f>
        <v>#REF!</v>
      </c>
      <c r="DE341" t="e">
        <f>IF(#REF!,"AAAAAHee/Ww=",0)</f>
        <v>#REF!</v>
      </c>
      <c r="DF341" t="e">
        <f>IF(#REF!,"AAAAAHee/W0=",0)</f>
        <v>#REF!</v>
      </c>
      <c r="DG341" t="e">
        <f>IF(#REF!,"AAAAAHee/W4=",0)</f>
        <v>#REF!</v>
      </c>
      <c r="DH341" t="e">
        <f>IF(#REF!,"AAAAAHee/W8=",0)</f>
        <v>#REF!</v>
      </c>
      <c r="DI341" t="e">
        <f>IF(#REF!,"AAAAAHee/XA=",0)</f>
        <v>#REF!</v>
      </c>
      <c r="DJ341" t="e">
        <f>IF(#REF!,"AAAAAHee/XE=",0)</f>
        <v>#REF!</v>
      </c>
      <c r="DK341" t="e">
        <f>IF(#REF!,"AAAAAHee/XI=",0)</f>
        <v>#REF!</v>
      </c>
      <c r="DL341" t="e">
        <f>IF(#REF!,"AAAAAHee/XM=",0)</f>
        <v>#REF!</v>
      </c>
      <c r="DM341" t="e">
        <f>IF(#REF!,"AAAAAHee/XQ=",0)</f>
        <v>#REF!</v>
      </c>
      <c r="DN341" t="e">
        <f>IF(#REF!,"AAAAAHee/XU=",0)</f>
        <v>#REF!</v>
      </c>
      <c r="DO341" t="e">
        <f>IF(#REF!,"AAAAAHee/XY=",0)</f>
        <v>#REF!</v>
      </c>
      <c r="DP341" t="e">
        <f>IF(#REF!,"AAAAAHee/Xc=",0)</f>
        <v>#REF!</v>
      </c>
      <c r="DQ341" t="e">
        <f>IF(#REF!,"AAAAAHee/Xg=",0)</f>
        <v>#REF!</v>
      </c>
      <c r="DR341" t="e">
        <f>IF(#REF!,"AAAAAHee/Xk=",0)</f>
        <v>#REF!</v>
      </c>
      <c r="DS341" t="e">
        <f>IF(#REF!,"AAAAAHee/Xo=",0)</f>
        <v>#REF!</v>
      </c>
      <c r="DT341" t="e">
        <f>IF(#REF!,"AAAAAHee/Xs=",0)</f>
        <v>#REF!</v>
      </c>
      <c r="DU341" t="e">
        <f>IF(#REF!,"AAAAAHee/Xw=",0)</f>
        <v>#REF!</v>
      </c>
      <c r="DV341" t="e">
        <f>IF(#REF!,"AAAAAHee/X0=",0)</f>
        <v>#REF!</v>
      </c>
      <c r="DW341" t="e">
        <f>IF(#REF!,"AAAAAHee/X4=",0)</f>
        <v>#REF!</v>
      </c>
      <c r="DX341" t="e">
        <f>IF(#REF!,"AAAAAHee/X8=",0)</f>
        <v>#REF!</v>
      </c>
      <c r="DY341" t="e">
        <f>IF(#REF!,"AAAAAHee/YA=",0)</f>
        <v>#REF!</v>
      </c>
      <c r="DZ341" t="e">
        <f>IF(#REF!,"AAAAAHee/YE=",0)</f>
        <v>#REF!</v>
      </c>
      <c r="EA341" t="e">
        <f>IF(#REF!,"AAAAAHee/YI=",0)</f>
        <v>#REF!</v>
      </c>
      <c r="EB341" t="e">
        <f>IF(#REF!,"AAAAAHee/YM=",0)</f>
        <v>#REF!</v>
      </c>
      <c r="EC341" t="e">
        <f>IF(#REF!,"AAAAAHee/YQ=",0)</f>
        <v>#REF!</v>
      </c>
      <c r="ED341" t="e">
        <f>IF(#REF!,"AAAAAHee/YU=",0)</f>
        <v>#REF!</v>
      </c>
      <c r="EE341" t="e">
        <f>IF(#REF!,"AAAAAHee/YY=",0)</f>
        <v>#REF!</v>
      </c>
      <c r="EF341" t="e">
        <f>IF(#REF!,"AAAAAHee/Yc=",0)</f>
        <v>#REF!</v>
      </c>
      <c r="EG341" t="e">
        <f>IF(#REF!,"AAAAAHee/Yg=",0)</f>
        <v>#REF!</v>
      </c>
      <c r="EH341" t="e">
        <f>IF(#REF!,"AAAAAHee/Yk=",0)</f>
        <v>#REF!</v>
      </c>
      <c r="EI341" t="e">
        <f>IF(#REF!,"AAAAAHee/Yo=",0)</f>
        <v>#REF!</v>
      </c>
      <c r="EJ341" t="e">
        <f>IF(#REF!,"AAAAAHee/Ys=",0)</f>
        <v>#REF!</v>
      </c>
      <c r="EK341" t="e">
        <f>IF(#REF!,"AAAAAHee/Yw=",0)</f>
        <v>#REF!</v>
      </c>
      <c r="EL341" t="e">
        <f>IF(#REF!,"AAAAAHee/Y0=",0)</f>
        <v>#REF!</v>
      </c>
      <c r="EM341" t="e">
        <f>IF(#REF!,"AAAAAHee/Y4=",0)</f>
        <v>#REF!</v>
      </c>
      <c r="EN341" t="e">
        <f>IF(#REF!,"AAAAAHee/Y8=",0)</f>
        <v>#REF!</v>
      </c>
      <c r="EO341" t="e">
        <f>IF(#REF!,"AAAAAHee/ZA=",0)</f>
        <v>#REF!</v>
      </c>
      <c r="EP341" t="e">
        <f>IF(#REF!,"AAAAAHee/ZE=",0)</f>
        <v>#REF!</v>
      </c>
      <c r="EQ341" t="e">
        <f>IF(#REF!,"AAAAAHee/ZI=",0)</f>
        <v>#REF!</v>
      </c>
      <c r="ER341" t="e">
        <f>IF(#REF!,"AAAAAHee/ZM=",0)</f>
        <v>#REF!</v>
      </c>
      <c r="ES341" t="e">
        <f>IF(#REF!,"AAAAAHee/ZQ=",0)</f>
        <v>#REF!</v>
      </c>
      <c r="ET341" t="e">
        <f>IF(#REF!,"AAAAAHee/ZU=",0)</f>
        <v>#REF!</v>
      </c>
      <c r="EU341" t="e">
        <f>IF(#REF!,"AAAAAHee/ZY=",0)</f>
        <v>#REF!</v>
      </c>
      <c r="EV341" t="e">
        <f>IF(#REF!,"AAAAAHee/Zc=",0)</f>
        <v>#REF!</v>
      </c>
      <c r="EW341" t="e">
        <f>IF(#REF!,"AAAAAHee/Zg=",0)</f>
        <v>#REF!</v>
      </c>
      <c r="EX341" t="e">
        <f>IF(#REF!,"AAAAAHee/Zk=",0)</f>
        <v>#REF!</v>
      </c>
      <c r="EY341" t="e">
        <f>IF(#REF!,"AAAAAHee/Zo=",0)</f>
        <v>#REF!</v>
      </c>
      <c r="EZ341" t="e">
        <f>IF(#REF!,"AAAAAHee/Zs=",0)</f>
        <v>#REF!</v>
      </c>
      <c r="FA341" t="e">
        <f>IF(#REF!,"AAAAAHee/Zw=",0)</f>
        <v>#REF!</v>
      </c>
      <c r="FB341" t="e">
        <f>IF(#REF!,"AAAAAHee/Z0=",0)</f>
        <v>#REF!</v>
      </c>
      <c r="FC341" t="e">
        <f>IF(#REF!,"AAAAAHee/Z4=",0)</f>
        <v>#REF!</v>
      </c>
      <c r="FD341" t="e">
        <f>IF(#REF!,"AAAAAHee/Z8=",0)</f>
        <v>#REF!</v>
      </c>
      <c r="FE341" t="e">
        <f>IF(#REF!,"AAAAAHee/aA=",0)</f>
        <v>#REF!</v>
      </c>
      <c r="FF341" t="e">
        <f>IF(#REF!,"AAAAAHee/aE=",0)</f>
        <v>#REF!</v>
      </c>
      <c r="FG341" t="e">
        <f>IF(#REF!,"AAAAAHee/aI=",0)</f>
        <v>#REF!</v>
      </c>
      <c r="FH341" t="e">
        <f>IF(#REF!,"AAAAAHee/aM=",0)</f>
        <v>#REF!</v>
      </c>
      <c r="FI341" t="e">
        <f>IF(#REF!,"AAAAAHee/aQ=",0)</f>
        <v>#REF!</v>
      </c>
      <c r="FJ341" t="e">
        <f>IF(#REF!,"AAAAAHee/aU=",0)</f>
        <v>#REF!</v>
      </c>
      <c r="FK341" t="e">
        <f>IF(#REF!,"AAAAAHee/aY=",0)</f>
        <v>#REF!</v>
      </c>
      <c r="FL341" t="e">
        <f>IF(#REF!,"AAAAAHee/ac=",0)</f>
        <v>#REF!</v>
      </c>
      <c r="FM341" t="e">
        <f>IF(#REF!,"AAAAAHee/ag=",0)</f>
        <v>#REF!</v>
      </c>
      <c r="FN341" t="e">
        <f>IF(#REF!,"AAAAAHee/ak=",0)</f>
        <v>#REF!</v>
      </c>
      <c r="FO341" t="e">
        <f>IF(#REF!,"AAAAAHee/ao=",0)</f>
        <v>#REF!</v>
      </c>
      <c r="FP341" t="e">
        <f>IF(#REF!,"AAAAAHee/as=",0)</f>
        <v>#REF!</v>
      </c>
      <c r="FQ341" t="e">
        <f>IF(#REF!,"AAAAAHee/aw=",0)</f>
        <v>#REF!</v>
      </c>
      <c r="FR341" t="e">
        <f>IF(#REF!,"AAAAAHee/a0=",0)</f>
        <v>#REF!</v>
      </c>
      <c r="FS341" t="e">
        <f>IF(#REF!,"AAAAAHee/a4=",0)</f>
        <v>#REF!</v>
      </c>
      <c r="FT341" t="e">
        <f>IF(#REF!,"AAAAAHee/a8=",0)</f>
        <v>#REF!</v>
      </c>
      <c r="FU341" t="e">
        <f>IF(#REF!,"AAAAAHee/bA=",0)</f>
        <v>#REF!</v>
      </c>
      <c r="FV341" t="e">
        <f>IF(#REF!,"AAAAAHee/bE=",0)</f>
        <v>#REF!</v>
      </c>
      <c r="FW341" t="e">
        <f>IF(#REF!,"AAAAAHee/bI=",0)</f>
        <v>#REF!</v>
      </c>
      <c r="FX341" t="e">
        <f>IF(#REF!,"AAAAAHee/bM=",0)</f>
        <v>#REF!</v>
      </c>
      <c r="FY341" t="e">
        <f>IF(#REF!,"AAAAAHee/bQ=",0)</f>
        <v>#REF!</v>
      </c>
      <c r="FZ341" t="e">
        <f>IF(#REF!,"AAAAAHee/bU=",0)</f>
        <v>#REF!</v>
      </c>
      <c r="GA341" t="e">
        <f>IF(#REF!,"AAAAAHee/bY=",0)</f>
        <v>#REF!</v>
      </c>
      <c r="GB341" t="e">
        <f>IF(#REF!,"AAAAAHee/bc=",0)</f>
        <v>#REF!</v>
      </c>
      <c r="GC341" t="e">
        <f>IF(#REF!,"AAAAAHee/bg=",0)</f>
        <v>#REF!</v>
      </c>
      <c r="GD341" t="e">
        <f>IF(#REF!,"AAAAAHee/bk=",0)</f>
        <v>#REF!</v>
      </c>
      <c r="GE341" t="e">
        <f>IF(#REF!,"AAAAAHee/bo=",0)</f>
        <v>#REF!</v>
      </c>
      <c r="GF341" t="e">
        <f>IF(#REF!,"AAAAAHee/bs=",0)</f>
        <v>#REF!</v>
      </c>
      <c r="GG341" t="e">
        <f>IF(#REF!,"AAAAAHee/bw=",0)</f>
        <v>#REF!</v>
      </c>
      <c r="GH341" t="e">
        <f>IF(#REF!,"AAAAAHee/b0=",0)</f>
        <v>#REF!</v>
      </c>
      <c r="GI341" t="e">
        <f>IF(#REF!,"AAAAAHee/b4=",0)</f>
        <v>#REF!</v>
      </c>
      <c r="GJ341" t="e">
        <f>IF(#REF!,"AAAAAHee/b8=",0)</f>
        <v>#REF!</v>
      </c>
      <c r="GK341" t="e">
        <f>IF(#REF!,"AAAAAHee/cA=",0)</f>
        <v>#REF!</v>
      </c>
      <c r="GL341" t="e">
        <f>IF(#REF!,"AAAAAHee/cE=",0)</f>
        <v>#REF!</v>
      </c>
      <c r="GM341" t="e">
        <f>IF(#REF!,"AAAAAHee/cI=",0)</f>
        <v>#REF!</v>
      </c>
      <c r="GN341" t="e">
        <f>IF(#REF!,"AAAAAHee/cM=",0)</f>
        <v>#REF!</v>
      </c>
      <c r="GO341" t="e">
        <f>IF(#REF!,"AAAAAHee/cQ=",0)</f>
        <v>#REF!</v>
      </c>
      <c r="GP341" t="e">
        <f>IF(#REF!,"AAAAAHee/cU=",0)</f>
        <v>#REF!</v>
      </c>
      <c r="GQ341" t="e">
        <f>IF(#REF!,"AAAAAHee/cY=",0)</f>
        <v>#REF!</v>
      </c>
      <c r="GR341" t="e">
        <f>IF(#REF!,"AAAAAHee/cc=",0)</f>
        <v>#REF!</v>
      </c>
      <c r="GS341" t="e">
        <f>IF(#REF!,"AAAAAHee/cg=",0)</f>
        <v>#REF!</v>
      </c>
      <c r="GT341" t="e">
        <f>IF(#REF!,"AAAAAHee/ck=",0)</f>
        <v>#REF!</v>
      </c>
      <c r="GU341" t="e">
        <f>IF(#REF!,"AAAAAHee/co=",0)</f>
        <v>#REF!</v>
      </c>
      <c r="GV341" t="e">
        <f>IF(#REF!,"AAAAAHee/cs=",0)</f>
        <v>#REF!</v>
      </c>
      <c r="GW341" t="e">
        <f>IF(#REF!,"AAAAAHee/cw=",0)</f>
        <v>#REF!</v>
      </c>
      <c r="GX341" t="e">
        <f>IF(#REF!,"AAAAAHee/c0=",0)</f>
        <v>#REF!</v>
      </c>
      <c r="GY341" t="e">
        <f>IF(#REF!,"AAAAAHee/c4=",0)</f>
        <v>#REF!</v>
      </c>
      <c r="GZ341" t="e">
        <f>IF(#REF!,"AAAAAHee/c8=",0)</f>
        <v>#REF!</v>
      </c>
      <c r="HA341" t="e">
        <f>IF(#REF!,"AAAAAHee/dA=",0)</f>
        <v>#REF!</v>
      </c>
      <c r="HB341" t="e">
        <f>IF(#REF!,"AAAAAHee/dE=",0)</f>
        <v>#REF!</v>
      </c>
      <c r="HC341" t="e">
        <f>IF(#REF!,"AAAAAHee/dI=",0)</f>
        <v>#REF!</v>
      </c>
      <c r="HD341" t="e">
        <f>IF(#REF!,"AAAAAHee/dM=",0)</f>
        <v>#REF!</v>
      </c>
      <c r="HE341" t="e">
        <f>IF(#REF!,"AAAAAHee/dQ=",0)</f>
        <v>#REF!</v>
      </c>
      <c r="HF341" t="e">
        <f>IF(#REF!,"AAAAAHee/dU=",0)</f>
        <v>#REF!</v>
      </c>
      <c r="HG341" t="e">
        <f>IF(#REF!,"AAAAAHee/dY=",0)</f>
        <v>#REF!</v>
      </c>
      <c r="HH341" t="e">
        <f>IF(#REF!,"AAAAAHee/dc=",0)</f>
        <v>#REF!</v>
      </c>
      <c r="HI341" t="e">
        <f>IF(#REF!,"AAAAAHee/dg=",0)</f>
        <v>#REF!</v>
      </c>
      <c r="HJ341" t="e">
        <f>IF(#REF!,"AAAAAHee/dk=",0)</f>
        <v>#REF!</v>
      </c>
      <c r="HK341" t="e">
        <f>IF(#REF!,"AAAAAHee/do=",0)</f>
        <v>#REF!</v>
      </c>
      <c r="HL341" t="e">
        <f>IF(#REF!,"AAAAAHee/ds=",0)</f>
        <v>#REF!</v>
      </c>
      <c r="HM341" t="e">
        <f>IF(#REF!,"AAAAAHee/dw=",0)</f>
        <v>#REF!</v>
      </c>
      <c r="HN341" t="e">
        <f>IF(#REF!,"AAAAAHee/d0=",0)</f>
        <v>#REF!</v>
      </c>
      <c r="HO341" t="e">
        <f>IF(#REF!,"AAAAAHee/d4=",0)</f>
        <v>#REF!</v>
      </c>
      <c r="HP341" t="e">
        <f>IF(#REF!,"AAAAAHee/d8=",0)</f>
        <v>#REF!</v>
      </c>
      <c r="HQ341" t="e">
        <f>IF(#REF!,"AAAAAHee/eA=",0)</f>
        <v>#REF!</v>
      </c>
      <c r="HR341" t="e">
        <f>IF(#REF!,"AAAAAHee/eE=",0)</f>
        <v>#REF!</v>
      </c>
      <c r="HS341" t="e">
        <f>IF(#REF!,"AAAAAHee/eI=",0)</f>
        <v>#REF!</v>
      </c>
      <c r="HT341" t="e">
        <f>IF(#REF!,"AAAAAHee/eM=",0)</f>
        <v>#REF!</v>
      </c>
      <c r="HU341" t="e">
        <f>IF(#REF!,"AAAAAHee/eQ=",0)</f>
        <v>#REF!</v>
      </c>
      <c r="HV341" t="e">
        <f>IF(#REF!,"AAAAAHee/eU=",0)</f>
        <v>#REF!</v>
      </c>
      <c r="HW341" t="e">
        <f>IF(#REF!,"AAAAAHee/eY=",0)</f>
        <v>#REF!</v>
      </c>
      <c r="HX341" t="e">
        <f>IF(#REF!,"AAAAAHee/ec=",0)</f>
        <v>#REF!</v>
      </c>
      <c r="HY341" t="e">
        <f>IF(#REF!,"AAAAAHee/eg=",0)</f>
        <v>#REF!</v>
      </c>
      <c r="HZ341" t="e">
        <f>IF(#REF!,"AAAAAHee/ek=",0)</f>
        <v>#REF!</v>
      </c>
      <c r="IA341" t="e">
        <f>IF(#REF!,"AAAAAHee/eo=",0)</f>
        <v>#REF!</v>
      </c>
      <c r="IB341" t="e">
        <f>IF(#REF!,"AAAAAHee/es=",0)</f>
        <v>#REF!</v>
      </c>
      <c r="IC341" t="e">
        <f>IF(#REF!,"AAAAAHee/ew=",0)</f>
        <v>#REF!</v>
      </c>
      <c r="ID341" t="e">
        <f>IF(#REF!,"AAAAAHee/e0=",0)</f>
        <v>#REF!</v>
      </c>
      <c r="IE341" t="e">
        <f>IF(#REF!,"AAAAAHee/e4=",0)</f>
        <v>#REF!</v>
      </c>
      <c r="IF341" t="e">
        <f>IF(#REF!,"AAAAAHee/e8=",0)</f>
        <v>#REF!</v>
      </c>
      <c r="IG341" t="e">
        <f>IF(#REF!,"AAAAAHee/fA=",0)</f>
        <v>#REF!</v>
      </c>
      <c r="IH341" t="e">
        <f>IF(#REF!,"AAAAAHee/fE=",0)</f>
        <v>#REF!</v>
      </c>
      <c r="II341" t="e">
        <f>IF(#REF!,"AAAAAHee/fI=",0)</f>
        <v>#REF!</v>
      </c>
      <c r="IJ341" t="e">
        <f>IF(#REF!,"AAAAAHee/fM=",0)</f>
        <v>#REF!</v>
      </c>
      <c r="IK341" t="e">
        <f>IF(#REF!,"AAAAAHee/fQ=",0)</f>
        <v>#REF!</v>
      </c>
      <c r="IL341" t="e">
        <f>IF(#REF!,"AAAAAHee/fU=",0)</f>
        <v>#REF!</v>
      </c>
      <c r="IM341" t="e">
        <f>IF(#REF!,"AAAAAHee/fY=",0)</f>
        <v>#REF!</v>
      </c>
      <c r="IN341" t="e">
        <f>IF(#REF!,"AAAAAHee/fc=",0)</f>
        <v>#REF!</v>
      </c>
      <c r="IO341" t="e">
        <f>IF(#REF!,"AAAAAHee/fg=",0)</f>
        <v>#REF!</v>
      </c>
      <c r="IP341" t="e">
        <f>IF(#REF!,"AAAAAHee/fk=",0)</f>
        <v>#REF!</v>
      </c>
      <c r="IQ341" t="e">
        <f>IF(#REF!,"AAAAAHee/fo=",0)</f>
        <v>#REF!</v>
      </c>
      <c r="IR341" t="e">
        <f>IF(#REF!,"AAAAAHee/fs=",0)</f>
        <v>#REF!</v>
      </c>
      <c r="IS341" t="e">
        <f>IF(#REF!,"AAAAAHee/fw=",0)</f>
        <v>#REF!</v>
      </c>
      <c r="IT341" t="e">
        <f>IF(#REF!,"AAAAAHee/f0=",0)</f>
        <v>#REF!</v>
      </c>
      <c r="IU341" t="e">
        <f>IF(#REF!,"AAAAAHee/f4=",0)</f>
        <v>#REF!</v>
      </c>
      <c r="IV341" t="e">
        <f>IF(#REF!,"AAAAAHee/f8=",0)</f>
        <v>#REF!</v>
      </c>
    </row>
    <row r="342" spans="1:256">
      <c r="A342" t="e">
        <f>IF(#REF!,"AAAAAHfudwA=",0)</f>
        <v>#REF!</v>
      </c>
      <c r="B342" t="e">
        <f>IF(#REF!,"AAAAAHfudwE=",0)</f>
        <v>#REF!</v>
      </c>
      <c r="C342" t="e">
        <f>IF(#REF!,"AAAAAHfudwI=",0)</f>
        <v>#REF!</v>
      </c>
      <c r="D342" t="e">
        <f>IF(#REF!,"AAAAAHfudwM=",0)</f>
        <v>#REF!</v>
      </c>
      <c r="E342" t="e">
        <f>IF(#REF!,"AAAAAHfudwQ=",0)</f>
        <v>#REF!</v>
      </c>
      <c r="F342" t="e">
        <f>IF(#REF!,"AAAAAHfudwU=",0)</f>
        <v>#REF!</v>
      </c>
      <c r="G342" t="e">
        <f>IF(#REF!,"AAAAAHfudwY=",0)</f>
        <v>#REF!</v>
      </c>
      <c r="H342" t="e">
        <f>IF(#REF!,"AAAAAHfudwc=",0)</f>
        <v>#REF!</v>
      </c>
      <c r="I342" t="e">
        <f>IF(#REF!,"AAAAAHfudwg=",0)</f>
        <v>#REF!</v>
      </c>
      <c r="J342" t="e">
        <f>IF(#REF!,"AAAAAHfudwk=",0)</f>
        <v>#REF!</v>
      </c>
      <c r="K342" t="e">
        <f>IF(#REF!,"AAAAAHfudwo=",0)</f>
        <v>#REF!</v>
      </c>
      <c r="L342" t="e">
        <f>IF(#REF!,"AAAAAHfudws=",0)</f>
        <v>#REF!</v>
      </c>
      <c r="M342" t="e">
        <f>IF(#REF!,"AAAAAHfudww=",0)</f>
        <v>#REF!</v>
      </c>
      <c r="N342" t="e">
        <f>IF(#REF!,"AAAAAHfudw0=",0)</f>
        <v>#REF!</v>
      </c>
      <c r="O342" t="e">
        <f>IF(#REF!,"AAAAAHfudw4=",0)</f>
        <v>#REF!</v>
      </c>
      <c r="P342" t="e">
        <f>IF(#REF!,"AAAAAHfudw8=",0)</f>
        <v>#REF!</v>
      </c>
      <c r="Q342" t="e">
        <f>IF(#REF!,"AAAAAHfudxA=",0)</f>
        <v>#REF!</v>
      </c>
      <c r="R342" t="e">
        <f>IF(#REF!,"AAAAAHfudxE=",0)</f>
        <v>#REF!</v>
      </c>
      <c r="S342" t="e">
        <f>IF(#REF!,"AAAAAHfudxI=",0)</f>
        <v>#REF!</v>
      </c>
      <c r="T342" t="e">
        <f>IF(#REF!,"AAAAAHfudxM=",0)</f>
        <v>#REF!</v>
      </c>
      <c r="U342" t="e">
        <f>IF(#REF!,"AAAAAHfudxQ=",0)</f>
        <v>#REF!</v>
      </c>
      <c r="V342" t="e">
        <f>IF(#REF!,"AAAAAHfudxU=",0)</f>
        <v>#REF!</v>
      </c>
      <c r="W342" t="e">
        <f>IF(#REF!,"AAAAAHfudxY=",0)</f>
        <v>#REF!</v>
      </c>
      <c r="X342" t="e">
        <f>IF(#REF!,"AAAAAHfudxc=",0)</f>
        <v>#REF!</v>
      </c>
      <c r="Y342" t="e">
        <f>IF(#REF!,"AAAAAHfudxg=",0)</f>
        <v>#REF!</v>
      </c>
      <c r="Z342" t="e">
        <f>IF(#REF!,"AAAAAHfudxk=",0)</f>
        <v>#REF!</v>
      </c>
      <c r="AA342" t="e">
        <f>IF(#REF!,"AAAAAHfudxo=",0)</f>
        <v>#REF!</v>
      </c>
      <c r="AB342" t="e">
        <f>IF(#REF!,"AAAAAHfudxs=",0)</f>
        <v>#REF!</v>
      </c>
      <c r="AC342" t="e">
        <f>IF(#REF!,"AAAAAHfudxw=",0)</f>
        <v>#REF!</v>
      </c>
      <c r="AD342" t="e">
        <f>IF(#REF!,"AAAAAHfudx0=",0)</f>
        <v>#REF!</v>
      </c>
      <c r="AE342" t="e">
        <f>IF(#REF!,"AAAAAHfudx4=",0)</f>
        <v>#REF!</v>
      </c>
      <c r="AF342" t="e">
        <f>IF(#REF!,"AAAAAHfudx8=",0)</f>
        <v>#REF!</v>
      </c>
      <c r="AG342" t="e">
        <f>IF(#REF!,"AAAAAHfudyA=",0)</f>
        <v>#REF!</v>
      </c>
      <c r="AH342" t="e">
        <f>IF(#REF!,"AAAAAHfudyE=",0)</f>
        <v>#REF!</v>
      </c>
      <c r="AI342" t="e">
        <f>IF(#REF!,"AAAAAHfudyI=",0)</f>
        <v>#REF!</v>
      </c>
      <c r="AJ342" t="e">
        <f>IF(#REF!,"AAAAAHfudyM=",0)</f>
        <v>#REF!</v>
      </c>
      <c r="AK342" t="e">
        <f>IF(#REF!,"AAAAAHfudyQ=",0)</f>
        <v>#REF!</v>
      </c>
      <c r="AL342" t="e">
        <f>IF(#REF!,"AAAAAHfudyU=",0)</f>
        <v>#REF!</v>
      </c>
      <c r="AM342" t="e">
        <f>IF(#REF!,"AAAAAHfudyY=",0)</f>
        <v>#REF!</v>
      </c>
      <c r="AN342" t="e">
        <f>IF(#REF!,"AAAAAHfudyc=",0)</f>
        <v>#REF!</v>
      </c>
      <c r="AO342" t="e">
        <f>IF(#REF!,"AAAAAHfudyg=",0)</f>
        <v>#REF!</v>
      </c>
      <c r="AP342" t="e">
        <f>IF(#REF!,"AAAAAHfudyk=",0)</f>
        <v>#REF!</v>
      </c>
      <c r="AQ342" t="e">
        <f>IF(#REF!,"AAAAAHfudyo=",0)</f>
        <v>#REF!</v>
      </c>
      <c r="AR342" t="e">
        <f>IF(#REF!,"AAAAAHfudys=",0)</f>
        <v>#REF!</v>
      </c>
      <c r="AS342" t="e">
        <f>IF(#REF!,"AAAAAHfudyw=",0)</f>
        <v>#REF!</v>
      </c>
      <c r="AT342" t="e">
        <f>IF(#REF!,"AAAAAHfudy0=",0)</f>
        <v>#REF!</v>
      </c>
      <c r="AU342" t="e">
        <f>IF(#REF!,"AAAAAHfudy4=",0)</f>
        <v>#REF!</v>
      </c>
      <c r="AV342" t="e">
        <f>IF(#REF!,"AAAAAHfudy8=",0)</f>
        <v>#REF!</v>
      </c>
      <c r="AW342" t="e">
        <f>IF(#REF!,"AAAAAHfudzA=",0)</f>
        <v>#REF!</v>
      </c>
      <c r="AX342" t="e">
        <f>IF(#REF!,"AAAAAHfudzE=",0)</f>
        <v>#REF!</v>
      </c>
      <c r="AY342" t="e">
        <f>IF(#REF!,"AAAAAHfudzI=",0)</f>
        <v>#REF!</v>
      </c>
      <c r="AZ342" t="e">
        <f>IF(#REF!,"AAAAAHfudzM=",0)</f>
        <v>#REF!</v>
      </c>
      <c r="BA342" t="e">
        <f>IF(#REF!,"AAAAAHfudzQ=",0)</f>
        <v>#REF!</v>
      </c>
      <c r="BB342" t="e">
        <f>IF(#REF!,"AAAAAHfudzU=",0)</f>
        <v>#REF!</v>
      </c>
      <c r="BC342" t="e">
        <f>IF(#REF!,"AAAAAHfudzY=",0)</f>
        <v>#REF!</v>
      </c>
      <c r="BD342" t="e">
        <f>IF(#REF!,"AAAAAHfudzc=",0)</f>
        <v>#REF!</v>
      </c>
      <c r="BE342" t="e">
        <f>IF(#REF!,"AAAAAHfudzg=",0)</f>
        <v>#REF!</v>
      </c>
      <c r="BF342" t="e">
        <f>IF(#REF!,"AAAAAHfudzk=",0)</f>
        <v>#REF!</v>
      </c>
      <c r="BG342" t="e">
        <f>IF(#REF!,"AAAAAHfudzo=",0)</f>
        <v>#REF!</v>
      </c>
      <c r="BH342" t="e">
        <f>IF(#REF!,"AAAAAHfudzs=",0)</f>
        <v>#REF!</v>
      </c>
      <c r="BI342" t="e">
        <f>IF(#REF!,"AAAAAHfudzw=",0)</f>
        <v>#REF!</v>
      </c>
      <c r="BJ342" t="e">
        <f>IF(#REF!,"AAAAAHfudz0=",0)</f>
        <v>#REF!</v>
      </c>
      <c r="BK342" t="e">
        <f>IF(#REF!,"AAAAAHfudz4=",0)</f>
        <v>#REF!</v>
      </c>
      <c r="BL342" t="e">
        <f>IF(#REF!,"AAAAAHfudz8=",0)</f>
        <v>#REF!</v>
      </c>
      <c r="BM342" t="e">
        <f>IF(#REF!,"AAAAAHfud0A=",0)</f>
        <v>#REF!</v>
      </c>
      <c r="BN342" t="e">
        <f>IF(#REF!,"AAAAAHfud0E=",0)</f>
        <v>#REF!</v>
      </c>
      <c r="BO342" t="e">
        <f>IF(#REF!,"AAAAAHfud0I=",0)</f>
        <v>#REF!</v>
      </c>
      <c r="BP342" t="e">
        <f>IF(#REF!,"AAAAAHfud0M=",0)</f>
        <v>#REF!</v>
      </c>
      <c r="BQ342" t="e">
        <f>IF(#REF!,"AAAAAHfud0Q=",0)</f>
        <v>#REF!</v>
      </c>
      <c r="BR342" t="e">
        <f>IF(#REF!,"AAAAAHfud0U=",0)</f>
        <v>#REF!</v>
      </c>
      <c r="BS342" t="e">
        <f>IF(#REF!,"AAAAAHfud0Y=",0)</f>
        <v>#REF!</v>
      </c>
      <c r="BT342" t="e">
        <f>IF(#REF!,"AAAAAHfud0c=",0)</f>
        <v>#REF!</v>
      </c>
      <c r="BU342" t="e">
        <f>IF(#REF!,"AAAAAHfud0g=",0)</f>
        <v>#REF!</v>
      </c>
      <c r="BV342" t="e">
        <f>IF(#REF!,"AAAAAHfud0k=",0)</f>
        <v>#REF!</v>
      </c>
      <c r="BW342" t="e">
        <f>IF(#REF!,"AAAAAHfud0o=",0)</f>
        <v>#REF!</v>
      </c>
      <c r="BX342" t="e">
        <f>IF(#REF!,"AAAAAHfud0s=",0)</f>
        <v>#REF!</v>
      </c>
      <c r="BY342" t="e">
        <f>IF(#REF!,"AAAAAHfud0w=",0)</f>
        <v>#REF!</v>
      </c>
      <c r="BZ342" t="e">
        <f>IF(#REF!,"AAAAAHfud00=",0)</f>
        <v>#REF!</v>
      </c>
      <c r="CA342" t="e">
        <f>IF(#REF!,"AAAAAHfud04=",0)</f>
        <v>#REF!</v>
      </c>
      <c r="CB342" t="e">
        <f>IF(#REF!,"AAAAAHfud08=",0)</f>
        <v>#REF!</v>
      </c>
      <c r="CC342" t="e">
        <f>IF(#REF!,"AAAAAHfud1A=",0)</f>
        <v>#REF!</v>
      </c>
      <c r="CD342" t="e">
        <f>IF(#REF!,"AAAAAHfud1E=",0)</f>
        <v>#REF!</v>
      </c>
      <c r="CE342" t="e">
        <f>IF(#REF!,"AAAAAHfud1I=",0)</f>
        <v>#REF!</v>
      </c>
      <c r="CF342" t="e">
        <f>IF(#REF!,"AAAAAHfud1M=",0)</f>
        <v>#REF!</v>
      </c>
      <c r="CG342" t="e">
        <f>IF(#REF!,"AAAAAHfud1Q=",0)</f>
        <v>#REF!</v>
      </c>
      <c r="CH342" t="e">
        <f>IF(#REF!,"AAAAAHfud1U=",0)</f>
        <v>#REF!</v>
      </c>
      <c r="CI342" t="e">
        <f>IF(#REF!,"AAAAAHfud1Y=",0)</f>
        <v>#REF!</v>
      </c>
      <c r="CJ342" t="e">
        <f>IF(#REF!,"AAAAAHfud1c=",0)</f>
        <v>#REF!</v>
      </c>
      <c r="CK342" t="e">
        <f>IF(#REF!,"AAAAAHfud1g=",0)</f>
        <v>#REF!</v>
      </c>
      <c r="CL342" t="e">
        <f>IF(#REF!,"AAAAAHfud1k=",0)</f>
        <v>#REF!</v>
      </c>
      <c r="CM342" t="e">
        <f>IF(#REF!,"AAAAAHfud1o=",0)</f>
        <v>#REF!</v>
      </c>
      <c r="CN342" t="e">
        <f>IF(#REF!,"AAAAAHfud1s=",0)</f>
        <v>#REF!</v>
      </c>
      <c r="CO342" t="e">
        <f>IF(#REF!,"AAAAAHfud1w=",0)</f>
        <v>#REF!</v>
      </c>
      <c r="CP342" t="e">
        <f>IF(#REF!,"AAAAAHfud10=",0)</f>
        <v>#REF!</v>
      </c>
      <c r="CQ342" t="e">
        <f>IF(#REF!,"AAAAAHfud14=",0)</f>
        <v>#REF!</v>
      </c>
      <c r="CR342" t="e">
        <f>IF(#REF!,"AAAAAHfud18=",0)</f>
        <v>#REF!</v>
      </c>
      <c r="CS342" t="e">
        <f>IF(#REF!,"AAAAAHfud2A=",0)</f>
        <v>#REF!</v>
      </c>
      <c r="CT342" t="e">
        <f>IF(#REF!,"AAAAAHfud2E=",0)</f>
        <v>#REF!</v>
      </c>
      <c r="CU342" t="e">
        <f>IF(#REF!,"AAAAAHfud2I=",0)</f>
        <v>#REF!</v>
      </c>
      <c r="CV342" t="e">
        <f>IF(#REF!,"AAAAAHfud2M=",0)</f>
        <v>#REF!</v>
      </c>
      <c r="CW342" t="e">
        <f>IF(#REF!,"AAAAAHfud2Q=",0)</f>
        <v>#REF!</v>
      </c>
      <c r="CX342" t="e">
        <f>IF(#REF!,"AAAAAHfud2U=",0)</f>
        <v>#REF!</v>
      </c>
      <c r="CY342" t="e">
        <f>IF(#REF!,"AAAAAHfud2Y=",0)</f>
        <v>#REF!</v>
      </c>
      <c r="CZ342" t="e">
        <f>IF(#REF!,"AAAAAHfud2c=",0)</f>
        <v>#REF!</v>
      </c>
      <c r="DA342" t="e">
        <f>IF(#REF!,"AAAAAHfud2g=",0)</f>
        <v>#REF!</v>
      </c>
      <c r="DB342" t="e">
        <f>IF(#REF!,"AAAAAHfud2k=",0)</f>
        <v>#REF!</v>
      </c>
      <c r="DC342" t="e">
        <f>IF(#REF!,"AAAAAHfud2o=",0)</f>
        <v>#REF!</v>
      </c>
      <c r="DD342" t="e">
        <f>IF(#REF!,"AAAAAHfud2s=",0)</f>
        <v>#REF!</v>
      </c>
      <c r="DE342" t="e">
        <f>IF(#REF!,"AAAAAHfud2w=",0)</f>
        <v>#REF!</v>
      </c>
      <c r="DF342" t="e">
        <f>IF(#REF!,"AAAAAHfud20=",0)</f>
        <v>#REF!</v>
      </c>
      <c r="DG342" t="e">
        <f>IF(#REF!,"AAAAAHfud24=",0)</f>
        <v>#REF!</v>
      </c>
      <c r="DH342" t="e">
        <f>IF(#REF!,"AAAAAHfud28=",0)</f>
        <v>#REF!</v>
      </c>
      <c r="DI342" t="e">
        <f>IF(#REF!,"AAAAAHfud3A=",0)</f>
        <v>#REF!</v>
      </c>
      <c r="DJ342" t="e">
        <f>IF(#REF!,"AAAAAHfud3E=",0)</f>
        <v>#REF!</v>
      </c>
      <c r="DK342" t="e">
        <f>IF(#REF!,"AAAAAHfud3I=",0)</f>
        <v>#REF!</v>
      </c>
      <c r="DL342" t="e">
        <f>IF(#REF!,"AAAAAHfud3M=",0)</f>
        <v>#REF!</v>
      </c>
      <c r="DM342" t="e">
        <f>IF(#REF!,"AAAAAHfud3Q=",0)</f>
        <v>#REF!</v>
      </c>
      <c r="DN342" t="e">
        <f>IF(#REF!,"AAAAAHfud3U=",0)</f>
        <v>#REF!</v>
      </c>
      <c r="DO342" t="e">
        <f>IF(#REF!,"AAAAAHfud3Y=",0)</f>
        <v>#REF!</v>
      </c>
      <c r="DP342" t="e">
        <f>IF(#REF!,"AAAAAHfud3c=",0)</f>
        <v>#REF!</v>
      </c>
      <c r="DQ342" t="e">
        <f>IF(#REF!,"AAAAAHfud3g=",0)</f>
        <v>#REF!</v>
      </c>
      <c r="DR342" t="e">
        <f>IF(#REF!,"AAAAAHfud3k=",0)</f>
        <v>#REF!</v>
      </c>
      <c r="DS342" t="e">
        <f>IF(#REF!,"AAAAAHfud3o=",0)</f>
        <v>#REF!</v>
      </c>
      <c r="DT342" t="e">
        <f>IF(#REF!,"AAAAAHfud3s=",0)</f>
        <v>#REF!</v>
      </c>
      <c r="DU342" t="e">
        <f>IF(#REF!,"AAAAAHfud3w=",0)</f>
        <v>#REF!</v>
      </c>
      <c r="DV342" t="e">
        <f>IF(#REF!,"AAAAAHfud30=",0)</f>
        <v>#REF!</v>
      </c>
      <c r="DW342" t="e">
        <f>IF(#REF!,"AAAAAHfud34=",0)</f>
        <v>#REF!</v>
      </c>
      <c r="DX342" t="e">
        <f>IF(#REF!,"AAAAAHfud38=",0)</f>
        <v>#REF!</v>
      </c>
      <c r="DY342" t="e">
        <f>IF(#REF!,"AAAAAHfud4A=",0)</f>
        <v>#REF!</v>
      </c>
      <c r="DZ342" t="e">
        <f>IF(#REF!,"AAAAAHfud4E=",0)</f>
        <v>#REF!</v>
      </c>
      <c r="EA342" t="e">
        <f>IF(#REF!,"AAAAAHfud4I=",0)</f>
        <v>#REF!</v>
      </c>
      <c r="EB342" t="e">
        <f>IF(#REF!,"AAAAAHfud4M=",0)</f>
        <v>#REF!</v>
      </c>
      <c r="EC342" t="e">
        <f>IF(#REF!,"AAAAAHfud4Q=",0)</f>
        <v>#REF!</v>
      </c>
      <c r="ED342" t="e">
        <f>IF(#REF!,"AAAAAHfud4U=",0)</f>
        <v>#REF!</v>
      </c>
      <c r="EE342" t="e">
        <f>IF(#REF!,"AAAAAHfud4Y=",0)</f>
        <v>#REF!</v>
      </c>
      <c r="EF342" t="e">
        <f>IF(#REF!,"AAAAAHfud4c=",0)</f>
        <v>#REF!</v>
      </c>
      <c r="EG342" t="e">
        <f>IF(#REF!,"AAAAAHfud4g=",0)</f>
        <v>#REF!</v>
      </c>
      <c r="EH342" t="e">
        <f>IF(#REF!,"AAAAAHfud4k=",0)</f>
        <v>#REF!</v>
      </c>
      <c r="EI342" t="e">
        <f>IF(#REF!,"AAAAAHfud4o=",0)</f>
        <v>#REF!</v>
      </c>
      <c r="EJ342" t="e">
        <f>IF(#REF!,"AAAAAHfud4s=",0)</f>
        <v>#REF!</v>
      </c>
      <c r="EK342" t="e">
        <f>IF(#REF!,"AAAAAHfud4w=",0)</f>
        <v>#REF!</v>
      </c>
      <c r="EL342" t="e">
        <f>IF(#REF!,"AAAAAHfud40=",0)</f>
        <v>#REF!</v>
      </c>
      <c r="EM342" t="e">
        <f>IF(#REF!,"AAAAAHfud44=",0)</f>
        <v>#REF!</v>
      </c>
      <c r="EN342" t="e">
        <f>IF(#REF!,"AAAAAHfud48=",0)</f>
        <v>#REF!</v>
      </c>
      <c r="EO342" t="e">
        <f>IF(#REF!,"AAAAAHfud5A=",0)</f>
        <v>#REF!</v>
      </c>
      <c r="EP342" t="e">
        <f>IF(#REF!,"AAAAAHfud5E=",0)</f>
        <v>#REF!</v>
      </c>
      <c r="EQ342" t="e">
        <f>IF(#REF!,"AAAAAHfud5I=",0)</f>
        <v>#REF!</v>
      </c>
      <c r="ER342" t="e">
        <f>IF(#REF!,"AAAAAHfud5M=",0)</f>
        <v>#REF!</v>
      </c>
      <c r="ES342" t="e">
        <f>IF(#REF!,"AAAAAHfud5Q=",0)</f>
        <v>#REF!</v>
      </c>
      <c r="ET342" t="e">
        <f>IF(#REF!,"AAAAAHfud5U=",0)</f>
        <v>#REF!</v>
      </c>
      <c r="EU342" t="e">
        <f>IF(#REF!,"AAAAAHfud5Y=",0)</f>
        <v>#REF!</v>
      </c>
      <c r="EV342" t="e">
        <f>IF(#REF!,"AAAAAHfud5c=",0)</f>
        <v>#REF!</v>
      </c>
      <c r="EW342" t="e">
        <f>IF(#REF!,"AAAAAHfud5g=",0)</f>
        <v>#REF!</v>
      </c>
      <c r="EX342" t="e">
        <f>IF(#REF!,"AAAAAHfud5k=",0)</f>
        <v>#REF!</v>
      </c>
      <c r="EY342" t="e">
        <f>IF(#REF!,"AAAAAHfud5o=",0)</f>
        <v>#REF!</v>
      </c>
      <c r="EZ342" t="e">
        <f>IF(#REF!,"AAAAAHfud5s=",0)</f>
        <v>#REF!</v>
      </c>
      <c r="FA342" t="e">
        <f>IF(#REF!,"AAAAAHfud5w=",0)</f>
        <v>#REF!</v>
      </c>
      <c r="FB342" t="e">
        <f>IF(#REF!,"AAAAAHfud50=",0)</f>
        <v>#REF!</v>
      </c>
      <c r="FC342" t="e">
        <f>IF(#REF!,"AAAAAHfud54=",0)</f>
        <v>#REF!</v>
      </c>
      <c r="FD342" t="e">
        <f>IF(#REF!,"AAAAAHfud58=",0)</f>
        <v>#REF!</v>
      </c>
      <c r="FE342" t="e">
        <f>IF(#REF!,"AAAAAHfud6A=",0)</f>
        <v>#REF!</v>
      </c>
      <c r="FF342" t="e">
        <f>IF(#REF!,"AAAAAHfud6E=",0)</f>
        <v>#REF!</v>
      </c>
      <c r="FG342" t="e">
        <f>IF(#REF!,"AAAAAHfud6I=",0)</f>
        <v>#REF!</v>
      </c>
      <c r="FH342" t="e">
        <f>IF(#REF!,"AAAAAHfud6M=",0)</f>
        <v>#REF!</v>
      </c>
      <c r="FI342" t="e">
        <f>IF(#REF!,"AAAAAHfud6Q=",0)</f>
        <v>#REF!</v>
      </c>
      <c r="FJ342" t="e">
        <f>IF(#REF!,"AAAAAHfud6U=",0)</f>
        <v>#REF!</v>
      </c>
      <c r="FK342" t="e">
        <f>IF(#REF!,"AAAAAHfud6Y=",0)</f>
        <v>#REF!</v>
      </c>
      <c r="FL342" t="e">
        <f>IF(#REF!,"AAAAAHfud6c=",0)</f>
        <v>#REF!</v>
      </c>
      <c r="FM342" t="e">
        <f>IF(#REF!,"AAAAAHfud6g=",0)</f>
        <v>#REF!</v>
      </c>
      <c r="FN342" t="e">
        <f>IF(#REF!,"AAAAAHfud6k=",0)</f>
        <v>#REF!</v>
      </c>
      <c r="FO342" t="e">
        <f>IF(#REF!,"AAAAAHfud6o=",0)</f>
        <v>#REF!</v>
      </c>
      <c r="FP342" t="e">
        <f>IF(#REF!,"AAAAAHfud6s=",0)</f>
        <v>#REF!</v>
      </c>
      <c r="FQ342" t="e">
        <f>IF(#REF!,"AAAAAHfud6w=",0)</f>
        <v>#REF!</v>
      </c>
      <c r="FR342" t="e">
        <f>IF(#REF!,"AAAAAHfud60=",0)</f>
        <v>#REF!</v>
      </c>
      <c r="FS342" t="e">
        <f>IF(#REF!,"AAAAAHfud64=",0)</f>
        <v>#REF!</v>
      </c>
      <c r="FT342" t="e">
        <f>IF(#REF!,"AAAAAHfud68=",0)</f>
        <v>#REF!</v>
      </c>
      <c r="FU342" t="e">
        <f>IF(#REF!,"AAAAAHfud7A=",0)</f>
        <v>#REF!</v>
      </c>
      <c r="FV342" t="e">
        <f>IF(#REF!,"AAAAAHfud7E=",0)</f>
        <v>#REF!</v>
      </c>
      <c r="FW342" t="e">
        <f>IF(#REF!,"AAAAAHfud7I=",0)</f>
        <v>#REF!</v>
      </c>
      <c r="FX342" t="e">
        <f>IF(#REF!,"AAAAAHfud7M=",0)</f>
        <v>#REF!</v>
      </c>
      <c r="FY342" t="e">
        <f>IF(#REF!,"AAAAAHfud7Q=",0)</f>
        <v>#REF!</v>
      </c>
      <c r="FZ342" t="e">
        <f>IF(#REF!,"AAAAAHfud7U=",0)</f>
        <v>#REF!</v>
      </c>
      <c r="GA342" t="e">
        <f>IF(#REF!,"AAAAAHfud7Y=",0)</f>
        <v>#REF!</v>
      </c>
      <c r="GB342" t="e">
        <f>IF(#REF!,"AAAAAHfud7c=",0)</f>
        <v>#REF!</v>
      </c>
      <c r="GC342" t="e">
        <f>IF(#REF!,"AAAAAHfud7g=",0)</f>
        <v>#REF!</v>
      </c>
      <c r="GD342" t="e">
        <f>IF(#REF!,"AAAAAHfud7k=",0)</f>
        <v>#REF!</v>
      </c>
      <c r="GE342" t="e">
        <f>IF(#REF!,"AAAAAHfud7o=",0)</f>
        <v>#REF!</v>
      </c>
      <c r="GF342" t="e">
        <f>IF(#REF!,"AAAAAHfud7s=",0)</f>
        <v>#REF!</v>
      </c>
      <c r="GG342" t="e">
        <f>IF(#REF!,"AAAAAHfud7w=",0)</f>
        <v>#REF!</v>
      </c>
      <c r="GH342" t="e">
        <f>IF(#REF!,"AAAAAHfud70=",0)</f>
        <v>#REF!</v>
      </c>
      <c r="GI342" t="e">
        <f>IF(#REF!,"AAAAAHfud74=",0)</f>
        <v>#REF!</v>
      </c>
      <c r="GJ342" t="e">
        <f>IF(#REF!,"AAAAAHfud78=",0)</f>
        <v>#REF!</v>
      </c>
      <c r="GK342" t="e">
        <f>IF(#REF!,"AAAAAHfud8A=",0)</f>
        <v>#REF!</v>
      </c>
      <c r="GL342" t="e">
        <f>IF(#REF!,"AAAAAHfud8E=",0)</f>
        <v>#REF!</v>
      </c>
      <c r="GM342" t="e">
        <f>IF(#REF!,"AAAAAHfud8I=",0)</f>
        <v>#REF!</v>
      </c>
      <c r="GN342" t="e">
        <f>IF(#REF!,"AAAAAHfud8M=",0)</f>
        <v>#REF!</v>
      </c>
      <c r="GO342" t="e">
        <f>IF(#REF!,"AAAAAHfud8Q=",0)</f>
        <v>#REF!</v>
      </c>
      <c r="GP342" t="e">
        <f>IF(#REF!,"AAAAAHfud8U=",0)</f>
        <v>#REF!</v>
      </c>
      <c r="GQ342" t="e">
        <f>IF(#REF!,"AAAAAHfud8Y=",0)</f>
        <v>#REF!</v>
      </c>
      <c r="GR342" t="e">
        <f>IF(#REF!,"AAAAAHfud8c=",0)</f>
        <v>#REF!</v>
      </c>
      <c r="GS342" t="e">
        <f>IF(#REF!,"AAAAAHfud8g=",0)</f>
        <v>#REF!</v>
      </c>
      <c r="GT342" t="e">
        <f>IF(#REF!,"AAAAAHfud8k=",0)</f>
        <v>#REF!</v>
      </c>
      <c r="GU342" t="e">
        <f>IF(#REF!,"AAAAAHfud8o=",0)</f>
        <v>#REF!</v>
      </c>
      <c r="GV342" t="e">
        <f>IF(#REF!,"AAAAAHfud8s=",0)</f>
        <v>#REF!</v>
      </c>
      <c r="GW342" t="e">
        <f>IF(#REF!,"AAAAAHfud8w=",0)</f>
        <v>#REF!</v>
      </c>
      <c r="GX342" t="e">
        <f>IF(#REF!,"AAAAAHfud80=",0)</f>
        <v>#REF!</v>
      </c>
      <c r="GY342" t="e">
        <f>IF(#REF!,"AAAAAHfud84=",0)</f>
        <v>#REF!</v>
      </c>
      <c r="GZ342" t="e">
        <f>IF(#REF!,"AAAAAHfud88=",0)</f>
        <v>#REF!</v>
      </c>
      <c r="HA342" t="e">
        <f>IF(#REF!,"AAAAAHfud9A=",0)</f>
        <v>#REF!</v>
      </c>
      <c r="HB342" t="e">
        <f>IF(#REF!,"AAAAAHfud9E=",0)</f>
        <v>#REF!</v>
      </c>
      <c r="HC342" t="e">
        <f>IF(#REF!,"AAAAAHfud9I=",0)</f>
        <v>#REF!</v>
      </c>
      <c r="HD342" t="e">
        <f>IF(#REF!,"AAAAAHfud9M=",0)</f>
        <v>#REF!</v>
      </c>
      <c r="HE342" t="e">
        <f>IF(#REF!,"AAAAAHfud9Q=",0)</f>
        <v>#REF!</v>
      </c>
      <c r="HF342" t="e">
        <f>IF(#REF!,"AAAAAHfud9U=",0)</f>
        <v>#REF!</v>
      </c>
      <c r="HG342" t="e">
        <f>IF(#REF!,"AAAAAHfud9Y=",0)</f>
        <v>#REF!</v>
      </c>
      <c r="HH342" t="e">
        <f>IF(#REF!,"AAAAAHfud9c=",0)</f>
        <v>#REF!</v>
      </c>
      <c r="HI342" t="e">
        <f>IF(#REF!,"AAAAAHfud9g=",0)</f>
        <v>#REF!</v>
      </c>
      <c r="HJ342" t="e">
        <f>IF(#REF!,"AAAAAHfud9k=",0)</f>
        <v>#REF!</v>
      </c>
      <c r="HK342" t="e">
        <f>IF(#REF!,"AAAAAHfud9o=",0)</f>
        <v>#REF!</v>
      </c>
      <c r="HL342" t="e">
        <f>IF(#REF!,"AAAAAHfud9s=",0)</f>
        <v>#REF!</v>
      </c>
      <c r="HM342" t="e">
        <f>IF(#REF!,"AAAAAHfud9w=",0)</f>
        <v>#REF!</v>
      </c>
      <c r="HN342" t="e">
        <f>IF(#REF!,"AAAAAHfud90=",0)</f>
        <v>#REF!</v>
      </c>
      <c r="HO342" t="e">
        <f>IF(#REF!,"AAAAAHfud94=",0)</f>
        <v>#REF!</v>
      </c>
      <c r="HP342" t="e">
        <f>IF(#REF!,"AAAAAHfud98=",0)</f>
        <v>#REF!</v>
      </c>
      <c r="HQ342" t="e">
        <f>IF(#REF!,"AAAAAHfud+A=",0)</f>
        <v>#REF!</v>
      </c>
      <c r="HR342" t="e">
        <f>IF(#REF!,"AAAAAHfud+E=",0)</f>
        <v>#REF!</v>
      </c>
      <c r="HS342" t="e">
        <f>IF(#REF!,"AAAAAHfud+I=",0)</f>
        <v>#REF!</v>
      </c>
      <c r="HT342" t="e">
        <f>IF(#REF!,"AAAAAHfud+M=",0)</f>
        <v>#REF!</v>
      </c>
      <c r="HU342" t="e">
        <f>IF(#REF!,"AAAAAHfud+Q=",0)</f>
        <v>#REF!</v>
      </c>
      <c r="HV342" t="e">
        <f>IF(#REF!,"AAAAAHfud+U=",0)</f>
        <v>#REF!</v>
      </c>
      <c r="HW342" t="e">
        <f>IF(#REF!,"AAAAAHfud+Y=",0)</f>
        <v>#REF!</v>
      </c>
      <c r="HX342" t="e">
        <f>IF(#REF!,"AAAAAHfud+c=",0)</f>
        <v>#REF!</v>
      </c>
      <c r="HY342" t="e">
        <f>IF(#REF!,"AAAAAHfud+g=",0)</f>
        <v>#REF!</v>
      </c>
      <c r="HZ342" t="e">
        <f>IF(#REF!,"AAAAAHfud+k=",0)</f>
        <v>#REF!</v>
      </c>
      <c r="IA342" t="e">
        <f>IF(#REF!,"AAAAAHfud+o=",0)</f>
        <v>#REF!</v>
      </c>
      <c r="IB342" t="e">
        <f>IF(#REF!,"AAAAAHfud+s=",0)</f>
        <v>#REF!</v>
      </c>
      <c r="IC342" t="e">
        <f>IF(#REF!,"AAAAAHfud+w=",0)</f>
        <v>#REF!</v>
      </c>
      <c r="ID342" t="e">
        <f>IF(#REF!,"AAAAAHfud+0=",0)</f>
        <v>#REF!</v>
      </c>
      <c r="IE342" t="e">
        <f>IF(#REF!,"AAAAAHfud+4=",0)</f>
        <v>#REF!</v>
      </c>
      <c r="IF342" t="e">
        <f>IF(#REF!,"AAAAAHfud+8=",0)</f>
        <v>#REF!</v>
      </c>
      <c r="IG342" t="e">
        <f>IF(#REF!,"AAAAAHfud/A=",0)</f>
        <v>#REF!</v>
      </c>
      <c r="IH342" t="e">
        <f>IF(#REF!,"AAAAAHfud/E=",0)</f>
        <v>#REF!</v>
      </c>
      <c r="II342" t="e">
        <f>IF(#REF!,"AAAAAHfud/I=",0)</f>
        <v>#REF!</v>
      </c>
      <c r="IJ342" t="e">
        <f>IF(#REF!,"AAAAAHfud/M=",0)</f>
        <v>#REF!</v>
      </c>
      <c r="IK342" t="e">
        <f>IF(#REF!,"AAAAAHfud/Q=",0)</f>
        <v>#REF!</v>
      </c>
      <c r="IL342" t="e">
        <f>IF(#REF!,"AAAAAHfud/U=",0)</f>
        <v>#REF!</v>
      </c>
      <c r="IM342" t="e">
        <f>IF(#REF!,"AAAAAHfud/Y=",0)</f>
        <v>#REF!</v>
      </c>
      <c r="IN342" t="e">
        <f>IF(#REF!,"AAAAAHfud/c=",0)</f>
        <v>#REF!</v>
      </c>
      <c r="IO342" t="e">
        <f>IF(#REF!,"AAAAAHfud/g=",0)</f>
        <v>#REF!</v>
      </c>
      <c r="IP342" t="e">
        <f>IF(#REF!,"AAAAAHfud/k=",0)</f>
        <v>#REF!</v>
      </c>
      <c r="IQ342" t="e">
        <f>IF(#REF!,"AAAAAHfud/o=",0)</f>
        <v>#REF!</v>
      </c>
      <c r="IR342" t="e">
        <f>IF(#REF!,"AAAAAHfud/s=",0)</f>
        <v>#REF!</v>
      </c>
      <c r="IS342" t="e">
        <f>IF(#REF!,"AAAAAHfud/w=",0)</f>
        <v>#REF!</v>
      </c>
      <c r="IT342" t="e">
        <f>IF(#REF!,"AAAAAHfud/0=",0)</f>
        <v>#REF!</v>
      </c>
      <c r="IU342" t="e">
        <f>IF(#REF!,"AAAAAHfud/4=",0)</f>
        <v>#REF!</v>
      </c>
      <c r="IV342" t="e">
        <f>IF(#REF!,"AAAAAHfud/8=",0)</f>
        <v>#REF!</v>
      </c>
    </row>
    <row r="343" spans="1:256">
      <c r="A343" t="e">
        <f>IF(#REF!,"AAAAAG+rfQA=",0)</f>
        <v>#REF!</v>
      </c>
      <c r="B343" t="e">
        <f>IF(#REF!,"AAAAAG+rfQE=",0)</f>
        <v>#REF!</v>
      </c>
      <c r="C343" t="e">
        <f>IF(#REF!,"AAAAAG+rfQI=",0)</f>
        <v>#REF!</v>
      </c>
      <c r="D343" t="e">
        <f>IF(#REF!,"AAAAAG+rfQM=",0)</f>
        <v>#REF!</v>
      </c>
      <c r="E343" t="e">
        <f>IF(#REF!,"AAAAAG+rfQQ=",0)</f>
        <v>#REF!</v>
      </c>
      <c r="F343" t="e">
        <f>IF(#REF!,"AAAAAG+rfQU=",0)</f>
        <v>#REF!</v>
      </c>
      <c r="G343" t="e">
        <f>IF(#REF!,"AAAAAG+rfQY=",0)</f>
        <v>#REF!</v>
      </c>
      <c r="H343" t="e">
        <f>IF(#REF!,"AAAAAG+rfQc=",0)</f>
        <v>#REF!</v>
      </c>
      <c r="I343" t="e">
        <f>IF(#REF!,"AAAAAG+rfQg=",0)</f>
        <v>#REF!</v>
      </c>
      <c r="J343" t="e">
        <f>IF(#REF!,"AAAAAG+rfQk=",0)</f>
        <v>#REF!</v>
      </c>
      <c r="K343" t="e">
        <f>IF(#REF!,"AAAAAG+rfQo=",0)</f>
        <v>#REF!</v>
      </c>
      <c r="L343" t="e">
        <f>IF(#REF!,"AAAAAG+rfQs=",0)</f>
        <v>#REF!</v>
      </c>
      <c r="M343" t="e">
        <f>IF(#REF!,"AAAAAG+rfQw=",0)</f>
        <v>#REF!</v>
      </c>
      <c r="N343" t="e">
        <f>IF(#REF!,"AAAAAG+rfQ0=",0)</f>
        <v>#REF!</v>
      </c>
      <c r="O343" t="e">
        <f>IF(#REF!,"AAAAAG+rfQ4=",0)</f>
        <v>#REF!</v>
      </c>
      <c r="P343" t="e">
        <f>IF(#REF!,"AAAAAG+rfQ8=",0)</f>
        <v>#REF!</v>
      </c>
      <c r="Q343" t="e">
        <f>IF(#REF!,"AAAAAG+rfRA=",0)</f>
        <v>#REF!</v>
      </c>
      <c r="R343" t="e">
        <f>IF(#REF!,"AAAAAG+rfRE=",0)</f>
        <v>#REF!</v>
      </c>
      <c r="S343" t="e">
        <f>IF(#REF!,"AAAAAG+rfRI=",0)</f>
        <v>#REF!</v>
      </c>
      <c r="T343" t="e">
        <f>IF(#REF!,"AAAAAG+rfRM=",0)</f>
        <v>#REF!</v>
      </c>
      <c r="U343" t="e">
        <f>IF(#REF!,"AAAAAG+rfRQ=",0)</f>
        <v>#REF!</v>
      </c>
      <c r="V343" t="e">
        <f>IF(#REF!,"AAAAAG+rfRU=",0)</f>
        <v>#REF!</v>
      </c>
      <c r="W343" t="e">
        <f>IF(#REF!,"AAAAAG+rfRY=",0)</f>
        <v>#REF!</v>
      </c>
      <c r="X343" t="e">
        <f>IF(#REF!,"AAAAAG+rfRc=",0)</f>
        <v>#REF!</v>
      </c>
      <c r="Y343" t="e">
        <f>IF(#REF!,"AAAAAG+rfRg=",0)</f>
        <v>#REF!</v>
      </c>
      <c r="Z343" t="e">
        <f>IF(#REF!,"AAAAAG+rfRk=",0)</f>
        <v>#REF!</v>
      </c>
      <c r="AA343" t="e">
        <f>IF(#REF!,"AAAAAG+rfRo=",0)</f>
        <v>#REF!</v>
      </c>
      <c r="AB343" t="e">
        <f>IF(#REF!,"AAAAAG+rfRs=",0)</f>
        <v>#REF!</v>
      </c>
      <c r="AC343" t="e">
        <f>IF(#REF!,"AAAAAG+rfRw=",0)</f>
        <v>#REF!</v>
      </c>
      <c r="AD343" t="e">
        <f>IF(#REF!,"AAAAAG+rfR0=",0)</f>
        <v>#REF!</v>
      </c>
      <c r="AE343" t="e">
        <f>IF(#REF!,"AAAAAG+rfR4=",0)</f>
        <v>#REF!</v>
      </c>
      <c r="AF343" t="e">
        <f>IF(#REF!,"AAAAAG+rfR8=",0)</f>
        <v>#REF!</v>
      </c>
      <c r="AG343" t="e">
        <f>IF(#REF!,"AAAAAG+rfSA=",0)</f>
        <v>#REF!</v>
      </c>
      <c r="AH343" t="e">
        <f>IF(#REF!,"AAAAAG+rfSE=",0)</f>
        <v>#REF!</v>
      </c>
      <c r="AI343" t="e">
        <f>IF(#REF!,"AAAAAG+rfSI=",0)</f>
        <v>#REF!</v>
      </c>
      <c r="AJ343" t="e">
        <f>IF(#REF!,"AAAAAG+rfSM=",0)</f>
        <v>#REF!</v>
      </c>
      <c r="AK343" t="e">
        <f>IF(#REF!,"AAAAAG+rfSQ=",0)</f>
        <v>#REF!</v>
      </c>
      <c r="AL343" t="e">
        <f>IF(#REF!,"AAAAAG+rfSU=",0)</f>
        <v>#REF!</v>
      </c>
      <c r="AM343" t="e">
        <f>IF(#REF!,"AAAAAG+rfSY=",0)</f>
        <v>#REF!</v>
      </c>
      <c r="AN343" t="e">
        <f>IF(#REF!,"AAAAAG+rfSc=",0)</f>
        <v>#REF!</v>
      </c>
      <c r="AO343" t="e">
        <f>IF(#REF!,"AAAAAG+rfSg=",0)</f>
        <v>#REF!</v>
      </c>
      <c r="AP343" t="e">
        <f>IF(#REF!,"AAAAAG+rfSk=",0)</f>
        <v>#REF!</v>
      </c>
      <c r="AQ343" t="e">
        <f>IF(#REF!,"AAAAAG+rfSo=",0)</f>
        <v>#REF!</v>
      </c>
      <c r="AR343" t="e">
        <f>IF(#REF!,"AAAAAG+rfSs=",0)</f>
        <v>#REF!</v>
      </c>
      <c r="AS343" t="e">
        <f>IF(#REF!,"AAAAAG+rfSw=",0)</f>
        <v>#REF!</v>
      </c>
      <c r="AT343" t="e">
        <f>IF(#REF!,"AAAAAG+rfS0=",0)</f>
        <v>#REF!</v>
      </c>
      <c r="AU343" t="e">
        <f>IF(#REF!,"AAAAAG+rfS4=",0)</f>
        <v>#REF!</v>
      </c>
      <c r="AV343" t="e">
        <f>IF(#REF!,"AAAAAG+rfS8=",0)</f>
        <v>#REF!</v>
      </c>
      <c r="AW343" t="e">
        <f>IF(#REF!,"AAAAAG+rfTA=",0)</f>
        <v>#REF!</v>
      </c>
      <c r="AX343" t="e">
        <f>IF(#REF!,"AAAAAG+rfTE=",0)</f>
        <v>#REF!</v>
      </c>
      <c r="AY343" t="e">
        <f>IF(#REF!,"AAAAAG+rfTI=",0)</f>
        <v>#REF!</v>
      </c>
      <c r="AZ343" t="e">
        <f>IF(#REF!,"AAAAAG+rfTM=",0)</f>
        <v>#REF!</v>
      </c>
      <c r="BA343" t="e">
        <f>IF(#REF!,"AAAAAG+rfTQ=",0)</f>
        <v>#REF!</v>
      </c>
      <c r="BB343" t="e">
        <f>IF(#REF!,"AAAAAG+rfTU=",0)</f>
        <v>#REF!</v>
      </c>
      <c r="BC343" t="e">
        <f>IF(#REF!,"AAAAAG+rfTY=",0)</f>
        <v>#REF!</v>
      </c>
      <c r="BD343" t="e">
        <f>IF(#REF!,"AAAAAG+rfTc=",0)</f>
        <v>#REF!</v>
      </c>
      <c r="BE343" t="e">
        <f>IF(#REF!,"AAAAAG+rfTg=",0)</f>
        <v>#REF!</v>
      </c>
      <c r="BF343" t="e">
        <f>IF(#REF!,"AAAAAG+rfTk=",0)</f>
        <v>#REF!</v>
      </c>
      <c r="BG343" t="e">
        <f>IF(#REF!,"AAAAAG+rfTo=",0)</f>
        <v>#REF!</v>
      </c>
      <c r="BH343" t="e">
        <f>IF(#REF!,"AAAAAG+rfTs=",0)</f>
        <v>#REF!</v>
      </c>
      <c r="BI343" t="e">
        <f>IF(#REF!,"AAAAAG+rfTw=",0)</f>
        <v>#REF!</v>
      </c>
      <c r="BJ343" t="e">
        <f>IF(#REF!,"AAAAAG+rfT0=",0)</f>
        <v>#REF!</v>
      </c>
      <c r="BK343" t="e">
        <f>IF(#REF!,"AAAAAG+rfT4=",0)</f>
        <v>#REF!</v>
      </c>
      <c r="BL343" t="e">
        <f>IF(#REF!,"AAAAAG+rfT8=",0)</f>
        <v>#REF!</v>
      </c>
      <c r="BM343" t="e">
        <f>IF(#REF!,"AAAAAG+rfUA=",0)</f>
        <v>#REF!</v>
      </c>
      <c r="BN343" t="e">
        <f>IF(#REF!,"AAAAAG+rfUE=",0)</f>
        <v>#REF!</v>
      </c>
      <c r="BO343" t="e">
        <f>IF(#REF!,"AAAAAG+rfUI=",0)</f>
        <v>#REF!</v>
      </c>
      <c r="BP343" t="e">
        <f>IF(#REF!,"AAAAAG+rfUM=",0)</f>
        <v>#REF!</v>
      </c>
      <c r="BQ343" t="e">
        <f>IF(#REF!,"AAAAAG+rfUQ=",0)</f>
        <v>#REF!</v>
      </c>
      <c r="BR343" t="e">
        <f>IF(#REF!,"AAAAAG+rfUU=",0)</f>
        <v>#REF!</v>
      </c>
      <c r="BS343" t="e">
        <f>IF(#REF!,"AAAAAG+rfUY=",0)</f>
        <v>#REF!</v>
      </c>
      <c r="BT343" t="e">
        <f>IF(#REF!,"AAAAAG+rfUc=",0)</f>
        <v>#REF!</v>
      </c>
      <c r="BU343" t="e">
        <f>IF(#REF!,"AAAAAG+rfUg=",0)</f>
        <v>#REF!</v>
      </c>
      <c r="BV343" t="e">
        <f>IF(#REF!,"AAAAAG+rfUk=",0)</f>
        <v>#REF!</v>
      </c>
      <c r="BW343" t="e">
        <f>IF(#REF!,"AAAAAG+rfUo=",0)</f>
        <v>#REF!</v>
      </c>
      <c r="BX343" t="e">
        <f>IF(#REF!,"AAAAAG+rfUs=",0)</f>
        <v>#REF!</v>
      </c>
      <c r="BY343" t="e">
        <f>IF(#REF!,"AAAAAG+rfUw=",0)</f>
        <v>#REF!</v>
      </c>
      <c r="BZ343" t="e">
        <f>IF(#REF!,"AAAAAG+rfU0=",0)</f>
        <v>#REF!</v>
      </c>
      <c r="CA343" t="e">
        <f>IF(#REF!,"AAAAAG+rfU4=",0)</f>
        <v>#REF!</v>
      </c>
      <c r="CB343" t="e">
        <f>IF(#REF!,"AAAAAG+rfU8=",0)</f>
        <v>#REF!</v>
      </c>
      <c r="CC343" t="e">
        <f>IF(#REF!,"AAAAAG+rfVA=",0)</f>
        <v>#REF!</v>
      </c>
      <c r="CD343" t="e">
        <f>IF(#REF!,"AAAAAG+rfVE=",0)</f>
        <v>#REF!</v>
      </c>
      <c r="CE343" t="e">
        <f>IF(#REF!,"AAAAAG+rfVI=",0)</f>
        <v>#REF!</v>
      </c>
      <c r="CF343" t="e">
        <f>IF(#REF!,"AAAAAG+rfVM=",0)</f>
        <v>#REF!</v>
      </c>
      <c r="CG343" t="e">
        <f>IF(#REF!,"AAAAAG+rfVQ=",0)</f>
        <v>#REF!</v>
      </c>
      <c r="CH343" t="e">
        <f>IF(#REF!,"AAAAAG+rfVU=",0)</f>
        <v>#REF!</v>
      </c>
      <c r="CI343" t="e">
        <f>IF(#REF!,"AAAAAG+rfVY=",0)</f>
        <v>#REF!</v>
      </c>
      <c r="CJ343" t="e">
        <f>IF(#REF!,"AAAAAG+rfVc=",0)</f>
        <v>#REF!</v>
      </c>
      <c r="CK343" t="e">
        <f>IF(#REF!,"AAAAAG+rfVg=",0)</f>
        <v>#REF!</v>
      </c>
      <c r="CL343" t="e">
        <f>IF(#REF!,"AAAAAG+rfVk=",0)</f>
        <v>#REF!</v>
      </c>
      <c r="CM343" t="e">
        <f>IF(#REF!,"AAAAAG+rfVo=",0)</f>
        <v>#REF!</v>
      </c>
      <c r="CN343" t="e">
        <f>IF(#REF!,"AAAAAG+rfVs=",0)</f>
        <v>#REF!</v>
      </c>
      <c r="CO343" t="e">
        <f>IF(#REF!,"AAAAAG+rfVw=",0)</f>
        <v>#REF!</v>
      </c>
      <c r="CP343" t="e">
        <f>IF(#REF!,"AAAAAG+rfV0=",0)</f>
        <v>#REF!</v>
      </c>
      <c r="CQ343" t="e">
        <f>IF(#REF!,"AAAAAG+rfV4=",0)</f>
        <v>#REF!</v>
      </c>
      <c r="CR343" t="e">
        <f>IF(#REF!,"AAAAAG+rfV8=",0)</f>
        <v>#REF!</v>
      </c>
      <c r="CS343" t="e">
        <f>IF(#REF!,"AAAAAG+rfWA=",0)</f>
        <v>#REF!</v>
      </c>
      <c r="CT343" t="e">
        <f>IF(#REF!,"AAAAAG+rfWE=",0)</f>
        <v>#REF!</v>
      </c>
      <c r="CU343" t="e">
        <f>IF(#REF!,"AAAAAG+rfWI=",0)</f>
        <v>#REF!</v>
      </c>
      <c r="CV343" t="e">
        <f>IF(#REF!,"AAAAAG+rfWM=",0)</f>
        <v>#REF!</v>
      </c>
      <c r="CW343" t="e">
        <f>IF(#REF!,"AAAAAG+rfWQ=",0)</f>
        <v>#REF!</v>
      </c>
      <c r="CX343" t="e">
        <f>IF(#REF!,"AAAAAG+rfWU=",0)</f>
        <v>#REF!</v>
      </c>
      <c r="CY343" t="e">
        <f>IF(#REF!,"AAAAAG+rfWY=",0)</f>
        <v>#REF!</v>
      </c>
      <c r="CZ343" t="e">
        <f>IF(#REF!,"AAAAAG+rfWc=",0)</f>
        <v>#REF!</v>
      </c>
      <c r="DA343" t="e">
        <f>IF(#REF!,"AAAAAG+rfWg=",0)</f>
        <v>#REF!</v>
      </c>
      <c r="DB343" t="e">
        <f>IF(#REF!,"AAAAAG+rfWk=",0)</f>
        <v>#REF!</v>
      </c>
      <c r="DC343" t="e">
        <f>IF(#REF!,"AAAAAG+rfWo=",0)</f>
        <v>#REF!</v>
      </c>
      <c r="DD343" t="e">
        <f>IF(#REF!,"AAAAAG+rfWs=",0)</f>
        <v>#REF!</v>
      </c>
      <c r="DE343" t="e">
        <f>IF(#REF!,"AAAAAG+rfWw=",0)</f>
        <v>#REF!</v>
      </c>
      <c r="DF343" t="e">
        <f>IF(#REF!,"AAAAAG+rfW0=",0)</f>
        <v>#REF!</v>
      </c>
      <c r="DG343" t="e">
        <f>IF(#REF!,"AAAAAG+rfW4=",0)</f>
        <v>#REF!</v>
      </c>
      <c r="DH343" t="e">
        <f>IF(#REF!,"AAAAAG+rfW8=",0)</f>
        <v>#REF!</v>
      </c>
      <c r="DI343" t="e">
        <f>IF(#REF!,"AAAAAG+rfXA=",0)</f>
        <v>#REF!</v>
      </c>
      <c r="DJ343" t="e">
        <f>IF(#REF!,"AAAAAG+rfXE=",0)</f>
        <v>#REF!</v>
      </c>
      <c r="DK343" t="e">
        <f>IF(#REF!,"AAAAAG+rfXI=",0)</f>
        <v>#REF!</v>
      </c>
      <c r="DL343" t="e">
        <f>IF(#REF!,"AAAAAG+rfXM=",0)</f>
        <v>#REF!</v>
      </c>
      <c r="DM343" t="e">
        <f>IF(#REF!,"AAAAAG+rfXQ=",0)</f>
        <v>#REF!</v>
      </c>
      <c r="DN343" t="e">
        <f>IF(#REF!,"AAAAAG+rfXU=",0)</f>
        <v>#REF!</v>
      </c>
      <c r="DO343" t="e">
        <f>IF(#REF!,"AAAAAG+rfXY=",0)</f>
        <v>#REF!</v>
      </c>
      <c r="DP343" t="e">
        <f>IF(#REF!,"AAAAAG+rfXc=",0)</f>
        <v>#REF!</v>
      </c>
      <c r="DQ343" t="e">
        <f>IF(#REF!,"AAAAAG+rfXg=",0)</f>
        <v>#REF!</v>
      </c>
      <c r="DR343" t="e">
        <f>IF(#REF!,"AAAAAG+rfXk=",0)</f>
        <v>#REF!</v>
      </c>
      <c r="DS343" t="e">
        <f>IF(#REF!,"AAAAAG+rfXo=",0)</f>
        <v>#REF!</v>
      </c>
      <c r="DT343" t="e">
        <f>IF(#REF!,"AAAAAG+rfXs=",0)</f>
        <v>#REF!</v>
      </c>
      <c r="DU343" t="e">
        <f>IF(#REF!,"AAAAAG+rfXw=",0)</f>
        <v>#REF!</v>
      </c>
      <c r="DV343" t="e">
        <f>IF(#REF!,"AAAAAG+rfX0=",0)</f>
        <v>#REF!</v>
      </c>
      <c r="DW343" t="e">
        <f>IF(#REF!,"AAAAAG+rfX4=",0)</f>
        <v>#REF!</v>
      </c>
      <c r="DX343" t="e">
        <f>IF(#REF!,"AAAAAG+rfX8=",0)</f>
        <v>#REF!</v>
      </c>
      <c r="DY343" t="e">
        <f>IF(#REF!,"AAAAAG+rfYA=",0)</f>
        <v>#REF!</v>
      </c>
      <c r="DZ343" t="e">
        <f>IF(#REF!,"AAAAAG+rfYE=",0)</f>
        <v>#REF!</v>
      </c>
      <c r="EA343" t="e">
        <f>IF(#REF!,"AAAAAG+rfYI=",0)</f>
        <v>#REF!</v>
      </c>
      <c r="EB343" t="e">
        <f>IF(#REF!,"AAAAAG+rfYM=",0)</f>
        <v>#REF!</v>
      </c>
      <c r="EC343" t="e">
        <f>IF(#REF!,"AAAAAG+rfYQ=",0)</f>
        <v>#REF!</v>
      </c>
      <c r="ED343" t="e">
        <f>IF(#REF!,"AAAAAG+rfYU=",0)</f>
        <v>#REF!</v>
      </c>
      <c r="EE343" t="e">
        <f>IF(#REF!,"AAAAAG+rfYY=",0)</f>
        <v>#REF!</v>
      </c>
      <c r="EF343" t="e">
        <f>IF(#REF!,"AAAAAG+rfYc=",0)</f>
        <v>#REF!</v>
      </c>
      <c r="EG343" t="e">
        <f>IF(#REF!,"AAAAAG+rfYg=",0)</f>
        <v>#REF!</v>
      </c>
      <c r="EH343" t="e">
        <f>IF(#REF!,"AAAAAG+rfYk=",0)</f>
        <v>#REF!</v>
      </c>
      <c r="EI343" t="e">
        <f>IF(#REF!,"AAAAAG+rfYo=",0)</f>
        <v>#REF!</v>
      </c>
      <c r="EJ343" t="e">
        <f>IF(#REF!,"AAAAAG+rfYs=",0)</f>
        <v>#REF!</v>
      </c>
      <c r="EK343" t="e">
        <f>IF(#REF!,"AAAAAG+rfYw=",0)</f>
        <v>#REF!</v>
      </c>
      <c r="EL343" t="e">
        <f>IF(#REF!,"AAAAAG+rfY0=",0)</f>
        <v>#REF!</v>
      </c>
      <c r="EM343" t="e">
        <f>IF(#REF!,"AAAAAG+rfY4=",0)</f>
        <v>#REF!</v>
      </c>
      <c r="EN343" t="e">
        <f>IF(#REF!,"AAAAAG+rfY8=",0)</f>
        <v>#REF!</v>
      </c>
      <c r="EO343" t="e">
        <f>IF(#REF!,"AAAAAG+rfZA=",0)</f>
        <v>#REF!</v>
      </c>
      <c r="EP343" t="e">
        <f>IF(#REF!,"AAAAAG+rfZE=",0)</f>
        <v>#REF!</v>
      </c>
      <c r="EQ343" t="e">
        <f>IF(#REF!,"AAAAAG+rfZI=",0)</f>
        <v>#REF!</v>
      </c>
      <c r="ER343" t="e">
        <f>IF(#REF!,"AAAAAG+rfZM=",0)</f>
        <v>#REF!</v>
      </c>
      <c r="ES343" t="e">
        <f>IF(#REF!,"AAAAAG+rfZQ=",0)</f>
        <v>#REF!</v>
      </c>
      <c r="ET343" t="e">
        <f>IF(#REF!,"AAAAAG+rfZU=",0)</f>
        <v>#REF!</v>
      </c>
      <c r="EU343" t="e">
        <f>IF(#REF!,"AAAAAG+rfZY=",0)</f>
        <v>#REF!</v>
      </c>
      <c r="EV343" t="e">
        <f>IF(#REF!,"AAAAAG+rfZc=",0)</f>
        <v>#REF!</v>
      </c>
      <c r="EW343" t="e">
        <f>IF(#REF!,"AAAAAG+rfZg=",0)</f>
        <v>#REF!</v>
      </c>
      <c r="EX343" t="e">
        <f>IF(#REF!,"AAAAAG+rfZk=",0)</f>
        <v>#REF!</v>
      </c>
      <c r="EY343" t="e">
        <f>IF(#REF!,"AAAAAG+rfZo=",0)</f>
        <v>#REF!</v>
      </c>
      <c r="EZ343" t="e">
        <f>IF(#REF!,"AAAAAG+rfZs=",0)</f>
        <v>#REF!</v>
      </c>
      <c r="FA343" t="e">
        <f>IF(#REF!,"AAAAAG+rfZw=",0)</f>
        <v>#REF!</v>
      </c>
      <c r="FB343" t="e">
        <f>IF(#REF!,"AAAAAG+rfZ0=",0)</f>
        <v>#REF!</v>
      </c>
      <c r="FC343" t="e">
        <f>IF(#REF!,"AAAAAG+rfZ4=",0)</f>
        <v>#REF!</v>
      </c>
      <c r="FD343" t="e">
        <f>IF(#REF!,"AAAAAG+rfZ8=",0)</f>
        <v>#REF!</v>
      </c>
      <c r="FE343" t="e">
        <f>IF(#REF!,"AAAAAG+rfaA=",0)</f>
        <v>#REF!</v>
      </c>
      <c r="FF343" t="e">
        <f>IF(#REF!,"AAAAAG+rfaE=",0)</f>
        <v>#REF!</v>
      </c>
      <c r="FG343" t="e">
        <f>IF(#REF!,"AAAAAG+rfaI=",0)</f>
        <v>#REF!</v>
      </c>
      <c r="FH343" t="e">
        <f>IF(#REF!,"AAAAAG+rfaM=",0)</f>
        <v>#REF!</v>
      </c>
      <c r="FI343" t="e">
        <f>IF(#REF!,"AAAAAG+rfaQ=",0)</f>
        <v>#REF!</v>
      </c>
      <c r="FJ343" t="e">
        <f>IF(#REF!,"AAAAAG+rfaU=",0)</f>
        <v>#REF!</v>
      </c>
      <c r="FK343" t="e">
        <f>IF(#REF!,"AAAAAG+rfaY=",0)</f>
        <v>#REF!</v>
      </c>
      <c r="FL343" t="e">
        <f>IF(#REF!,"AAAAAG+rfac=",0)</f>
        <v>#REF!</v>
      </c>
      <c r="FM343" t="e">
        <f>IF(#REF!,"AAAAAG+rfag=",0)</f>
        <v>#REF!</v>
      </c>
      <c r="FN343" t="e">
        <f>IF(#REF!,"AAAAAG+rfak=",0)</f>
        <v>#REF!</v>
      </c>
      <c r="FO343" t="e">
        <f>IF(#REF!,"AAAAAG+rfao=",0)</f>
        <v>#REF!</v>
      </c>
      <c r="FP343" t="e">
        <f>IF(#REF!,"AAAAAG+rfas=",0)</f>
        <v>#REF!</v>
      </c>
      <c r="FQ343" t="e">
        <f>IF(#REF!,"AAAAAG+rfaw=",0)</f>
        <v>#REF!</v>
      </c>
      <c r="FR343" t="e">
        <f>IF(#REF!,"AAAAAG+rfa0=",0)</f>
        <v>#REF!</v>
      </c>
      <c r="FS343" t="e">
        <f>IF(#REF!,"AAAAAG+rfa4=",0)</f>
        <v>#REF!</v>
      </c>
      <c r="FT343" t="e">
        <f>IF(#REF!,"AAAAAG+rfa8=",0)</f>
        <v>#REF!</v>
      </c>
      <c r="FU343" t="e">
        <f>IF(#REF!,"AAAAAG+rfbA=",0)</f>
        <v>#REF!</v>
      </c>
      <c r="FV343" t="e">
        <f>IF(#REF!,"AAAAAG+rfbE=",0)</f>
        <v>#REF!</v>
      </c>
      <c r="FW343" t="e">
        <f>IF(#REF!,"AAAAAG+rfbI=",0)</f>
        <v>#REF!</v>
      </c>
      <c r="FX343" t="e">
        <f>IF(#REF!,"AAAAAG+rfbM=",0)</f>
        <v>#REF!</v>
      </c>
      <c r="FY343" t="e">
        <f>IF(#REF!,"AAAAAG+rfbQ=",0)</f>
        <v>#REF!</v>
      </c>
      <c r="FZ343" t="e">
        <f>IF(#REF!,"AAAAAG+rfbU=",0)</f>
        <v>#REF!</v>
      </c>
      <c r="GA343" t="e">
        <f>IF(#REF!,"AAAAAG+rfbY=",0)</f>
        <v>#REF!</v>
      </c>
      <c r="GB343" t="e">
        <f>IF(#REF!,"AAAAAG+rfbc=",0)</f>
        <v>#REF!</v>
      </c>
      <c r="GC343" t="e">
        <f>IF(#REF!,"AAAAAG+rfbg=",0)</f>
        <v>#REF!</v>
      </c>
      <c r="GD343" t="e">
        <f>IF(#REF!,"AAAAAG+rfbk=",0)</f>
        <v>#REF!</v>
      </c>
      <c r="GE343" t="e">
        <f>IF(#REF!,"AAAAAG+rfbo=",0)</f>
        <v>#REF!</v>
      </c>
      <c r="GF343" t="e">
        <f>IF(#REF!,"AAAAAG+rfbs=",0)</f>
        <v>#REF!</v>
      </c>
      <c r="GG343" t="e">
        <f>IF(#REF!,"AAAAAG+rfbw=",0)</f>
        <v>#REF!</v>
      </c>
      <c r="GH343" t="e">
        <f>IF(#REF!,"AAAAAG+rfb0=",0)</f>
        <v>#REF!</v>
      </c>
      <c r="GI343" t="e">
        <f>IF(#REF!,"AAAAAG+rfb4=",0)</f>
        <v>#REF!</v>
      </c>
      <c r="GJ343" t="e">
        <f>IF(#REF!,"AAAAAG+rfb8=",0)</f>
        <v>#REF!</v>
      </c>
      <c r="GK343" t="e">
        <f>IF(#REF!,"AAAAAG+rfcA=",0)</f>
        <v>#REF!</v>
      </c>
      <c r="GL343" t="e">
        <f>IF(#REF!,"AAAAAG+rfcE=",0)</f>
        <v>#REF!</v>
      </c>
      <c r="GM343" t="e">
        <f>IF(#REF!,"AAAAAG+rfcI=",0)</f>
        <v>#REF!</v>
      </c>
      <c r="GN343" t="e">
        <f>IF(#REF!,"AAAAAG+rfcM=",0)</f>
        <v>#REF!</v>
      </c>
      <c r="GO343" t="e">
        <f>IF(#REF!,"AAAAAG+rfcQ=",0)</f>
        <v>#REF!</v>
      </c>
      <c r="GP343" t="e">
        <f>IF(#REF!,"AAAAAG+rfcU=",0)</f>
        <v>#REF!</v>
      </c>
      <c r="GQ343" t="e">
        <f>IF(#REF!,"AAAAAG+rfcY=",0)</f>
        <v>#REF!</v>
      </c>
      <c r="GR343" t="e">
        <f>IF(#REF!,"AAAAAG+rfcc=",0)</f>
        <v>#REF!</v>
      </c>
      <c r="GS343" t="e">
        <f>IF(#REF!,"AAAAAG+rfcg=",0)</f>
        <v>#REF!</v>
      </c>
      <c r="GT343" t="e">
        <f>IF(#REF!,"AAAAAG+rfck=",0)</f>
        <v>#REF!</v>
      </c>
      <c r="GU343" t="e">
        <f>IF(#REF!,"AAAAAG+rfco=",0)</f>
        <v>#REF!</v>
      </c>
      <c r="GV343" t="e">
        <f>IF(#REF!,"AAAAAG+rfcs=",0)</f>
        <v>#REF!</v>
      </c>
      <c r="GW343" t="e">
        <f>IF(#REF!,"AAAAAG+rfcw=",0)</f>
        <v>#REF!</v>
      </c>
      <c r="GX343" t="e">
        <f>IF(#REF!,"AAAAAG+rfc0=",0)</f>
        <v>#REF!</v>
      </c>
      <c r="GY343" t="e">
        <f>IF(#REF!,"AAAAAG+rfc4=",0)</f>
        <v>#REF!</v>
      </c>
      <c r="GZ343" t="e">
        <f>IF(#REF!,"AAAAAG+rfc8=",0)</f>
        <v>#REF!</v>
      </c>
      <c r="HA343" t="e">
        <f>IF(#REF!,"AAAAAG+rfdA=",0)</f>
        <v>#REF!</v>
      </c>
      <c r="HB343" t="e">
        <f>IF(#REF!,"AAAAAG+rfdE=",0)</f>
        <v>#REF!</v>
      </c>
      <c r="HC343" t="e">
        <f>IF(#REF!,"AAAAAG+rfdI=",0)</f>
        <v>#REF!</v>
      </c>
      <c r="HD343" t="e">
        <f>IF(#REF!,"AAAAAG+rfdM=",0)</f>
        <v>#REF!</v>
      </c>
      <c r="HE343" t="e">
        <f>IF(#REF!,"AAAAAG+rfdQ=",0)</f>
        <v>#REF!</v>
      </c>
      <c r="HF343" t="e">
        <f>IF(#REF!,"AAAAAG+rfdU=",0)</f>
        <v>#REF!</v>
      </c>
      <c r="HG343" t="e">
        <f>IF(#REF!,"AAAAAG+rfdY=",0)</f>
        <v>#REF!</v>
      </c>
      <c r="HH343" t="e">
        <f>IF(#REF!,"AAAAAG+rfdc=",0)</f>
        <v>#REF!</v>
      </c>
      <c r="HI343" t="e">
        <f>IF(#REF!,"AAAAAG+rfdg=",0)</f>
        <v>#REF!</v>
      </c>
      <c r="HJ343" t="e">
        <f>IF(#REF!,"AAAAAG+rfdk=",0)</f>
        <v>#REF!</v>
      </c>
      <c r="HK343" t="e">
        <f>IF(#REF!,"AAAAAG+rfdo=",0)</f>
        <v>#REF!</v>
      </c>
      <c r="HL343" t="e">
        <f>IF(#REF!,"AAAAAG+rfds=",0)</f>
        <v>#REF!</v>
      </c>
      <c r="HM343" t="e">
        <f>IF(#REF!,"AAAAAG+rfdw=",0)</f>
        <v>#REF!</v>
      </c>
      <c r="HN343" t="e">
        <f>IF(#REF!,"AAAAAG+rfd0=",0)</f>
        <v>#REF!</v>
      </c>
      <c r="HO343" t="e">
        <f>IF(#REF!,"AAAAAG+rfd4=",0)</f>
        <v>#REF!</v>
      </c>
      <c r="HP343" t="e">
        <f>IF(#REF!,"AAAAAG+rfd8=",0)</f>
        <v>#REF!</v>
      </c>
      <c r="HQ343" t="e">
        <f>IF(#REF!,"AAAAAG+rfeA=",0)</f>
        <v>#REF!</v>
      </c>
      <c r="HR343" t="e">
        <f>IF(#REF!,"AAAAAG+rfeE=",0)</f>
        <v>#REF!</v>
      </c>
      <c r="HS343" t="e">
        <f>IF(#REF!,"AAAAAG+rfeI=",0)</f>
        <v>#REF!</v>
      </c>
      <c r="HT343" t="e">
        <f>IF(#REF!,"AAAAAG+rfeM=",0)</f>
        <v>#REF!</v>
      </c>
      <c r="HU343" t="e">
        <f>IF(#REF!,"AAAAAG+rfeQ=",0)</f>
        <v>#REF!</v>
      </c>
      <c r="HV343" t="e">
        <f>IF(#REF!,"AAAAAG+rfeU=",0)</f>
        <v>#REF!</v>
      </c>
      <c r="HW343" t="e">
        <f>IF(#REF!,"AAAAAG+rfeY=",0)</f>
        <v>#REF!</v>
      </c>
      <c r="HX343" t="e">
        <f>IF(#REF!,"AAAAAG+rfec=",0)</f>
        <v>#REF!</v>
      </c>
      <c r="HY343" t="e">
        <f>IF(#REF!,"AAAAAG+rfeg=",0)</f>
        <v>#REF!</v>
      </c>
      <c r="HZ343" t="e">
        <f>IF(#REF!,"AAAAAG+rfek=",0)</f>
        <v>#REF!</v>
      </c>
      <c r="IA343" t="e">
        <f>IF(#REF!,"AAAAAG+rfeo=",0)</f>
        <v>#REF!</v>
      </c>
      <c r="IB343" t="e">
        <f>IF(#REF!,"AAAAAG+rfes=",0)</f>
        <v>#REF!</v>
      </c>
      <c r="IC343" t="e">
        <f>IF(#REF!,"AAAAAG+rfew=",0)</f>
        <v>#REF!</v>
      </c>
      <c r="ID343" t="e">
        <f>IF(#REF!,"AAAAAG+rfe0=",0)</f>
        <v>#REF!</v>
      </c>
      <c r="IE343" t="e">
        <f>IF(#REF!,"AAAAAG+rfe4=",0)</f>
        <v>#REF!</v>
      </c>
      <c r="IF343" t="e">
        <f>IF(#REF!,"AAAAAG+rfe8=",0)</f>
        <v>#REF!</v>
      </c>
      <c r="IG343" t="e">
        <f>IF(#REF!,"AAAAAG+rffA=",0)</f>
        <v>#REF!</v>
      </c>
      <c r="IH343" t="e">
        <f>IF(#REF!,"AAAAAG+rffE=",0)</f>
        <v>#REF!</v>
      </c>
      <c r="II343" t="e">
        <f>IF(#REF!,"AAAAAG+rffI=",0)</f>
        <v>#REF!</v>
      </c>
      <c r="IJ343" t="e">
        <f>IF(#REF!,"AAAAAG+rffM=",0)</f>
        <v>#REF!</v>
      </c>
      <c r="IK343" t="e">
        <f>IF(#REF!,"AAAAAG+rffQ=",0)</f>
        <v>#REF!</v>
      </c>
      <c r="IL343" t="e">
        <f>IF(#REF!,"AAAAAG+rffU=",0)</f>
        <v>#REF!</v>
      </c>
      <c r="IM343" t="e">
        <f>IF(#REF!,"AAAAAG+rffY=",0)</f>
        <v>#REF!</v>
      </c>
      <c r="IN343" t="e">
        <f>IF(#REF!,"AAAAAG+rffc=",0)</f>
        <v>#REF!</v>
      </c>
      <c r="IO343" t="e">
        <f>IF(#REF!,"AAAAAG+rffg=",0)</f>
        <v>#REF!</v>
      </c>
      <c r="IP343" t="e">
        <f>IF(#REF!,"AAAAAG+rffk=",0)</f>
        <v>#REF!</v>
      </c>
      <c r="IQ343" t="e">
        <f>IF(#REF!,"AAAAAG+rffo=",0)</f>
        <v>#REF!</v>
      </c>
      <c r="IR343" t="e">
        <f>IF(#REF!,"AAAAAG+rffs=",0)</f>
        <v>#REF!</v>
      </c>
      <c r="IS343" t="e">
        <f>IF(#REF!,"AAAAAG+rffw=",0)</f>
        <v>#REF!</v>
      </c>
      <c r="IT343" t="e">
        <f>IF(#REF!,"AAAAAG+rff0=",0)</f>
        <v>#REF!</v>
      </c>
      <c r="IU343" t="e">
        <f>IF(#REF!,"AAAAAG+rff4=",0)</f>
        <v>#REF!</v>
      </c>
      <c r="IV343" t="e">
        <f>IF(#REF!,"AAAAAG+rff8=",0)</f>
        <v>#REF!</v>
      </c>
    </row>
    <row r="344" spans="1:256">
      <c r="A344" t="e">
        <f>IF(#REF!,"AAAAAH/+VgA=",0)</f>
        <v>#REF!</v>
      </c>
      <c r="B344" t="e">
        <f>IF(#REF!,"AAAAAH/+VgE=",0)</f>
        <v>#REF!</v>
      </c>
      <c r="C344" t="e">
        <f>IF(#REF!,"AAAAAH/+VgI=",0)</f>
        <v>#REF!</v>
      </c>
      <c r="D344" t="e">
        <f>IF(#REF!,"AAAAAH/+VgM=",0)</f>
        <v>#REF!</v>
      </c>
      <c r="E344" t="e">
        <f>IF(#REF!,"AAAAAH/+VgQ=",0)</f>
        <v>#REF!</v>
      </c>
      <c r="F344" t="e">
        <f>IF(#REF!,"AAAAAH/+VgU=",0)</f>
        <v>#REF!</v>
      </c>
      <c r="G344" t="e">
        <f>IF(#REF!,"AAAAAH/+VgY=",0)</f>
        <v>#REF!</v>
      </c>
      <c r="H344" t="e">
        <f>IF(#REF!,"AAAAAH/+Vgc=",0)</f>
        <v>#REF!</v>
      </c>
      <c r="I344" t="e">
        <f>IF(#REF!,"AAAAAH/+Vgg=",0)</f>
        <v>#REF!</v>
      </c>
      <c r="J344" t="e">
        <f>IF(#REF!,"AAAAAH/+Vgk=",0)</f>
        <v>#REF!</v>
      </c>
      <c r="K344" t="e">
        <f>IF(#REF!,"AAAAAH/+Vgo=",0)</f>
        <v>#REF!</v>
      </c>
      <c r="L344" t="e">
        <f>IF(#REF!,"AAAAAH/+Vgs=",0)</f>
        <v>#REF!</v>
      </c>
      <c r="M344" t="e">
        <f>IF(#REF!,"AAAAAH/+Vgw=",0)</f>
        <v>#REF!</v>
      </c>
      <c r="N344" t="e">
        <f>IF(#REF!,"AAAAAH/+Vg0=",0)</f>
        <v>#REF!</v>
      </c>
      <c r="O344" t="e">
        <f>IF(#REF!,"AAAAAH/+Vg4=",0)</f>
        <v>#REF!</v>
      </c>
      <c r="P344" t="e">
        <f>IF(#REF!,"AAAAAH/+Vg8=",0)</f>
        <v>#REF!</v>
      </c>
      <c r="Q344" t="e">
        <f>IF(#REF!,"AAAAAH/+VhA=",0)</f>
        <v>#REF!</v>
      </c>
      <c r="R344" t="e">
        <f>IF(#REF!,"AAAAAH/+VhE=",0)</f>
        <v>#REF!</v>
      </c>
      <c r="S344" t="e">
        <f>IF(#REF!,"AAAAAH/+VhI=",0)</f>
        <v>#REF!</v>
      </c>
      <c r="T344" t="e">
        <f>IF(#REF!,"AAAAAH/+VhM=",0)</f>
        <v>#REF!</v>
      </c>
      <c r="U344" t="e">
        <f>IF(#REF!,"AAAAAH/+VhQ=",0)</f>
        <v>#REF!</v>
      </c>
      <c r="V344" t="e">
        <f>IF(#REF!,"AAAAAH/+VhU=",0)</f>
        <v>#REF!</v>
      </c>
      <c r="W344" t="e">
        <f>IF(#REF!,"AAAAAH/+VhY=",0)</f>
        <v>#REF!</v>
      </c>
      <c r="X344" t="e">
        <f>IF(#REF!,"AAAAAH/+Vhc=",0)</f>
        <v>#REF!</v>
      </c>
      <c r="Y344" t="e">
        <f>IF(#REF!,"AAAAAH/+Vhg=",0)</f>
        <v>#REF!</v>
      </c>
      <c r="Z344" t="e">
        <f>IF(#REF!,"AAAAAH/+Vhk=",0)</f>
        <v>#REF!</v>
      </c>
      <c r="AA344" t="e">
        <f>IF(#REF!,"AAAAAH/+Vho=",0)</f>
        <v>#REF!</v>
      </c>
      <c r="AB344" t="e">
        <f>IF(#REF!,"AAAAAH/+Vhs=",0)</f>
        <v>#REF!</v>
      </c>
      <c r="AC344" t="e">
        <f>IF(#REF!,"AAAAAH/+Vhw=",0)</f>
        <v>#REF!</v>
      </c>
      <c r="AD344" t="e">
        <f>IF(#REF!,"AAAAAH/+Vh0=",0)</f>
        <v>#REF!</v>
      </c>
      <c r="AE344" t="e">
        <f>IF(#REF!,"AAAAAH/+Vh4=",0)</f>
        <v>#REF!</v>
      </c>
      <c r="AF344" t="e">
        <f>IF(#REF!,"AAAAAH/+Vh8=",0)</f>
        <v>#REF!</v>
      </c>
      <c r="AG344" t="e">
        <f>IF(#REF!,"AAAAAH/+ViA=",0)</f>
        <v>#REF!</v>
      </c>
      <c r="AH344" t="e">
        <f>IF(#REF!,"AAAAAH/+ViE=",0)</f>
        <v>#REF!</v>
      </c>
      <c r="AI344" t="e">
        <f>IF(#REF!,"AAAAAH/+ViI=",0)</f>
        <v>#REF!</v>
      </c>
      <c r="AJ344" t="e">
        <f>IF(#REF!,"AAAAAH/+ViM=",0)</f>
        <v>#REF!</v>
      </c>
      <c r="AK344" t="e">
        <f>IF(#REF!,"AAAAAH/+ViQ=",0)</f>
        <v>#REF!</v>
      </c>
      <c r="AL344" t="e">
        <f>IF(#REF!,"AAAAAH/+ViU=",0)</f>
        <v>#REF!</v>
      </c>
      <c r="AM344" t="e">
        <f>IF(#REF!,"AAAAAH/+ViY=",0)</f>
        <v>#REF!</v>
      </c>
      <c r="AN344" t="e">
        <f>IF(#REF!,"AAAAAH/+Vic=",0)</f>
        <v>#REF!</v>
      </c>
      <c r="AO344" t="e">
        <f>IF(#REF!,"AAAAAH/+Vig=",0)</f>
        <v>#REF!</v>
      </c>
      <c r="AP344" t="e">
        <f>IF(#REF!,"AAAAAH/+Vik=",0)</f>
        <v>#REF!</v>
      </c>
      <c r="AQ344" t="e">
        <f>IF(#REF!,"AAAAAH/+Vio=",0)</f>
        <v>#REF!</v>
      </c>
      <c r="AR344" t="e">
        <f>IF(#REF!,"AAAAAH/+Vis=",0)</f>
        <v>#REF!</v>
      </c>
      <c r="AS344" t="e">
        <f>IF(#REF!,"AAAAAH/+Viw=",0)</f>
        <v>#REF!</v>
      </c>
      <c r="AT344" t="e">
        <f>IF(#REF!,"AAAAAH/+Vi0=",0)</f>
        <v>#REF!</v>
      </c>
      <c r="AU344" t="e">
        <f>IF(#REF!,"AAAAAH/+Vi4=",0)</f>
        <v>#REF!</v>
      </c>
      <c r="AV344" t="e">
        <f>IF(#REF!,"AAAAAH/+Vi8=",0)</f>
        <v>#REF!</v>
      </c>
      <c r="AW344" t="e">
        <f>IF(#REF!,"AAAAAH/+VjA=",0)</f>
        <v>#REF!</v>
      </c>
      <c r="AX344" t="e">
        <f>IF(#REF!,"AAAAAH/+VjE=",0)</f>
        <v>#REF!</v>
      </c>
      <c r="AY344" t="e">
        <f>IF(#REF!,"AAAAAH/+VjI=",0)</f>
        <v>#REF!</v>
      </c>
      <c r="AZ344" t="e">
        <f>IF(#REF!,"AAAAAH/+VjM=",0)</f>
        <v>#REF!</v>
      </c>
      <c r="BA344" t="e">
        <f>IF(#REF!,"AAAAAH/+VjQ=",0)</f>
        <v>#REF!</v>
      </c>
      <c r="BB344" t="e">
        <f>IF(#REF!,"AAAAAH/+VjU=",0)</f>
        <v>#REF!</v>
      </c>
      <c r="BC344" t="e">
        <f>IF(#REF!,"AAAAAH/+VjY=",0)</f>
        <v>#REF!</v>
      </c>
      <c r="BD344" t="e">
        <f>IF(#REF!,"AAAAAH/+Vjc=",0)</f>
        <v>#REF!</v>
      </c>
      <c r="BE344" t="e">
        <f>IF(#REF!,"AAAAAH/+Vjg=",0)</f>
        <v>#REF!</v>
      </c>
      <c r="BF344" t="e">
        <f>IF(#REF!,"AAAAAH/+Vjk=",0)</f>
        <v>#REF!</v>
      </c>
      <c r="BG344" t="e">
        <f>IF(#REF!,"AAAAAH/+Vjo=",0)</f>
        <v>#REF!</v>
      </c>
      <c r="BH344" t="e">
        <f>IF(#REF!,"AAAAAH/+Vjs=",0)</f>
        <v>#REF!</v>
      </c>
      <c r="BI344" t="e">
        <f>IF(#REF!,"AAAAAH/+Vjw=",0)</f>
        <v>#REF!</v>
      </c>
      <c r="BJ344" t="e">
        <f>IF(#REF!,"AAAAAH/+Vj0=",0)</f>
        <v>#REF!</v>
      </c>
      <c r="BK344" t="e">
        <f>IF(#REF!,"AAAAAH/+Vj4=",0)</f>
        <v>#REF!</v>
      </c>
      <c r="BL344" t="e">
        <f>IF(#REF!,"AAAAAH/+Vj8=",0)</f>
        <v>#REF!</v>
      </c>
      <c r="BM344" t="e">
        <f>IF(#REF!,"AAAAAH/+VkA=",0)</f>
        <v>#REF!</v>
      </c>
      <c r="BN344" t="e">
        <f>IF(#REF!,"AAAAAH/+VkE=",0)</f>
        <v>#REF!</v>
      </c>
      <c r="BO344" t="e">
        <f>IF(#REF!,"AAAAAH/+VkI=",0)</f>
        <v>#REF!</v>
      </c>
      <c r="BP344" t="e">
        <f>IF(#REF!,"AAAAAH/+VkM=",0)</f>
        <v>#REF!</v>
      </c>
      <c r="BQ344" t="e">
        <f>IF(#REF!,"AAAAAH/+VkQ=",0)</f>
        <v>#REF!</v>
      </c>
      <c r="BR344" t="e">
        <f>IF(#REF!,"AAAAAH/+VkU=",0)</f>
        <v>#REF!</v>
      </c>
      <c r="BS344" t="e">
        <f>IF(#REF!,"AAAAAH/+VkY=",0)</f>
        <v>#REF!</v>
      </c>
      <c r="BT344" t="e">
        <f>IF(#REF!,"AAAAAH/+Vkc=",0)</f>
        <v>#REF!</v>
      </c>
      <c r="BU344" t="e">
        <f>IF(#REF!,"AAAAAH/+Vkg=",0)</f>
        <v>#REF!</v>
      </c>
      <c r="BV344" t="e">
        <f>IF(#REF!,"AAAAAH/+Vkk=",0)</f>
        <v>#REF!</v>
      </c>
      <c r="BW344" t="e">
        <f>IF(#REF!,"AAAAAH/+Vko=",0)</f>
        <v>#REF!</v>
      </c>
      <c r="BX344" t="e">
        <f>IF(#REF!,"AAAAAH/+Vks=",0)</f>
        <v>#REF!</v>
      </c>
      <c r="BY344" t="e">
        <f>IF(#REF!,"AAAAAH/+Vkw=",0)</f>
        <v>#REF!</v>
      </c>
      <c r="BZ344" t="e">
        <f>IF(#REF!,"AAAAAH/+Vk0=",0)</f>
        <v>#REF!</v>
      </c>
      <c r="CA344" t="e">
        <f>IF(#REF!,"AAAAAH/+Vk4=",0)</f>
        <v>#REF!</v>
      </c>
      <c r="CB344" t="e">
        <f>IF(#REF!,"AAAAAH/+Vk8=",0)</f>
        <v>#REF!</v>
      </c>
      <c r="CC344" t="e">
        <f>IF(#REF!,"AAAAAH/+VlA=",0)</f>
        <v>#REF!</v>
      </c>
      <c r="CD344" t="e">
        <f>IF(#REF!,"AAAAAH/+VlE=",0)</f>
        <v>#REF!</v>
      </c>
      <c r="CE344" t="e">
        <f>IF(#REF!,"AAAAAH/+VlI=",0)</f>
        <v>#REF!</v>
      </c>
      <c r="CF344" t="e">
        <f>IF(#REF!,"AAAAAH/+VlM=",0)</f>
        <v>#REF!</v>
      </c>
      <c r="CG344" t="e">
        <f>IF(#REF!,"AAAAAH/+VlQ=",0)</f>
        <v>#REF!</v>
      </c>
      <c r="CH344" t="e">
        <f>IF(#REF!,"AAAAAH/+VlU=",0)</f>
        <v>#REF!</v>
      </c>
      <c r="CI344" t="e">
        <f>IF(#REF!,"AAAAAH/+VlY=",0)</f>
        <v>#REF!</v>
      </c>
      <c r="CJ344" t="e">
        <f>IF(#REF!,"AAAAAH/+Vlc=",0)</f>
        <v>#REF!</v>
      </c>
      <c r="CK344" t="e">
        <f>IF(#REF!,"AAAAAH/+Vlg=",0)</f>
        <v>#REF!</v>
      </c>
      <c r="CL344" t="e">
        <f>IF(#REF!,"AAAAAH/+Vlk=",0)</f>
        <v>#REF!</v>
      </c>
      <c r="CM344" t="e">
        <f>IF(#REF!,"AAAAAH/+Vlo=",0)</f>
        <v>#REF!</v>
      </c>
      <c r="CN344" t="e">
        <f>IF(#REF!,"AAAAAH/+Vls=",0)</f>
        <v>#REF!</v>
      </c>
      <c r="CO344" t="e">
        <f>IF(#REF!,"AAAAAH/+Vlw=",0)</f>
        <v>#REF!</v>
      </c>
      <c r="CP344" t="e">
        <f>IF(#REF!,"AAAAAH/+Vl0=",0)</f>
        <v>#REF!</v>
      </c>
      <c r="CQ344" t="e">
        <f>IF(#REF!,"AAAAAH/+Vl4=",0)</f>
        <v>#REF!</v>
      </c>
      <c r="CR344" t="e">
        <f>IF(#REF!,"AAAAAH/+Vl8=",0)</f>
        <v>#REF!</v>
      </c>
      <c r="CS344" t="e">
        <f>IF(#REF!,"AAAAAH/+VmA=",0)</f>
        <v>#REF!</v>
      </c>
      <c r="CT344" t="e">
        <f>IF(#REF!,"AAAAAH/+VmE=",0)</f>
        <v>#REF!</v>
      </c>
      <c r="CU344" t="e">
        <f>IF(#REF!,"AAAAAH/+VmI=",0)</f>
        <v>#REF!</v>
      </c>
      <c r="CV344" t="e">
        <f>IF(#REF!,"AAAAAH/+VmM=",0)</f>
        <v>#REF!</v>
      </c>
      <c r="CW344" t="e">
        <f>IF(#REF!,"AAAAAH/+VmQ=",0)</f>
        <v>#REF!</v>
      </c>
      <c r="CX344" t="e">
        <f>IF(#REF!,"AAAAAH/+VmU=",0)</f>
        <v>#REF!</v>
      </c>
      <c r="CY344" t="e">
        <f>IF(#REF!,"AAAAAH/+VmY=",0)</f>
        <v>#REF!</v>
      </c>
      <c r="CZ344" t="e">
        <f>IF(#REF!,"AAAAAH/+Vmc=",0)</f>
        <v>#REF!</v>
      </c>
      <c r="DA344" t="e">
        <f>IF(#REF!,"AAAAAH/+Vmg=",0)</f>
        <v>#REF!</v>
      </c>
      <c r="DB344" t="e">
        <f>IF(#REF!,"AAAAAH/+Vmk=",0)</f>
        <v>#REF!</v>
      </c>
      <c r="DC344" t="e">
        <f>IF(#REF!,"AAAAAH/+Vmo=",0)</f>
        <v>#REF!</v>
      </c>
      <c r="DD344" t="e">
        <f>IF(#REF!,"AAAAAH/+Vms=",0)</f>
        <v>#REF!</v>
      </c>
      <c r="DE344" t="e">
        <f>IF(#REF!,"AAAAAH/+Vmw=",0)</f>
        <v>#REF!</v>
      </c>
      <c r="DF344" t="e">
        <f>IF(#REF!,"AAAAAH/+Vm0=",0)</f>
        <v>#REF!</v>
      </c>
      <c r="DG344" t="e">
        <f>IF(#REF!,"AAAAAH/+Vm4=",0)</f>
        <v>#REF!</v>
      </c>
      <c r="DH344" t="e">
        <f>IF(#REF!,"AAAAAH/+Vm8=",0)</f>
        <v>#REF!</v>
      </c>
      <c r="DI344" t="e">
        <f>IF(#REF!,"AAAAAH/+VnA=",0)</f>
        <v>#REF!</v>
      </c>
      <c r="DJ344" t="e">
        <f>IF(#REF!,"AAAAAH/+VnE=",0)</f>
        <v>#REF!</v>
      </c>
      <c r="DK344" t="e">
        <f>IF(#REF!,"AAAAAH/+VnI=",0)</f>
        <v>#REF!</v>
      </c>
      <c r="DL344" t="e">
        <f>IF(#REF!,"AAAAAH/+VnM=",0)</f>
        <v>#REF!</v>
      </c>
      <c r="DM344" t="e">
        <f>IF(#REF!,"AAAAAH/+VnQ=",0)</f>
        <v>#REF!</v>
      </c>
      <c r="DN344" t="e">
        <f>IF(#REF!,"AAAAAH/+VnU=",0)</f>
        <v>#REF!</v>
      </c>
      <c r="DO344" t="e">
        <f>IF(#REF!,"AAAAAH/+VnY=",0)</f>
        <v>#REF!</v>
      </c>
      <c r="DP344" t="e">
        <f>IF(#REF!,"AAAAAH/+Vnc=",0)</f>
        <v>#REF!</v>
      </c>
      <c r="DQ344" t="e">
        <f>IF(#REF!,"AAAAAH/+Vng=",0)</f>
        <v>#REF!</v>
      </c>
      <c r="DR344" t="e">
        <f>IF(#REF!,"AAAAAH/+Vnk=",0)</f>
        <v>#REF!</v>
      </c>
      <c r="DS344" t="e">
        <f>IF(#REF!,"AAAAAH/+Vno=",0)</f>
        <v>#REF!</v>
      </c>
      <c r="DT344" t="e">
        <f>IF(#REF!,"AAAAAH/+Vns=",0)</f>
        <v>#REF!</v>
      </c>
      <c r="DU344" t="e">
        <f>IF(#REF!,"AAAAAH/+Vnw=",0)</f>
        <v>#REF!</v>
      </c>
      <c r="DV344" t="e">
        <f>IF(#REF!,"AAAAAH/+Vn0=",0)</f>
        <v>#REF!</v>
      </c>
      <c r="DW344" t="e">
        <f>IF(#REF!,"AAAAAH/+Vn4=",0)</f>
        <v>#REF!</v>
      </c>
      <c r="DX344" t="e">
        <f>IF(#REF!,"AAAAAH/+Vn8=",0)</f>
        <v>#REF!</v>
      </c>
      <c r="DY344" t="e">
        <f>IF(#REF!,"AAAAAH/+VoA=",0)</f>
        <v>#REF!</v>
      </c>
      <c r="DZ344" t="e">
        <f>IF(#REF!,"AAAAAH/+VoE=",0)</f>
        <v>#REF!</v>
      </c>
      <c r="EA344" t="e">
        <f>IF(#REF!,"AAAAAH/+VoI=",0)</f>
        <v>#REF!</v>
      </c>
      <c r="EB344" t="e">
        <f>IF(#REF!,"AAAAAH/+VoM=",0)</f>
        <v>#REF!</v>
      </c>
      <c r="EC344" t="e">
        <f>IF(#REF!,"AAAAAH/+VoQ=",0)</f>
        <v>#REF!</v>
      </c>
      <c r="ED344" t="e">
        <f>IF(#REF!,"AAAAAH/+VoU=",0)</f>
        <v>#REF!</v>
      </c>
      <c r="EE344" t="e">
        <f>IF(#REF!,"AAAAAH/+VoY=",0)</f>
        <v>#REF!</v>
      </c>
      <c r="EF344" t="e">
        <f>IF(#REF!,"AAAAAH/+Voc=",0)</f>
        <v>#REF!</v>
      </c>
      <c r="EG344" t="e">
        <f>IF(#REF!,"AAAAAH/+Vog=",0)</f>
        <v>#REF!</v>
      </c>
      <c r="EH344" t="e">
        <f>IF(#REF!,"AAAAAH/+Vok=",0)</f>
        <v>#REF!</v>
      </c>
      <c r="EI344" t="e">
        <f>IF(#REF!,"AAAAAH/+Voo=",0)</f>
        <v>#REF!</v>
      </c>
      <c r="EJ344" t="e">
        <f>IF(#REF!,"AAAAAH/+Vos=",0)</f>
        <v>#REF!</v>
      </c>
      <c r="EK344" t="e">
        <f>IF(#REF!,"AAAAAH/+Vow=",0)</f>
        <v>#REF!</v>
      </c>
      <c r="EL344" t="e">
        <f>IF(#REF!,"AAAAAH/+Vo0=",0)</f>
        <v>#REF!</v>
      </c>
      <c r="EM344" t="e">
        <f>IF(#REF!,"AAAAAH/+Vo4=",0)</f>
        <v>#REF!</v>
      </c>
      <c r="EN344" t="e">
        <f>IF(#REF!,"AAAAAH/+Vo8=",0)</f>
        <v>#REF!</v>
      </c>
      <c r="EO344" t="e">
        <f>IF(#REF!,"AAAAAH/+VpA=",0)</f>
        <v>#REF!</v>
      </c>
      <c r="EP344" t="e">
        <f>IF(#REF!,"AAAAAH/+VpE=",0)</f>
        <v>#REF!</v>
      </c>
      <c r="EQ344" t="e">
        <f>IF(#REF!,"AAAAAH/+VpI=",0)</f>
        <v>#REF!</v>
      </c>
      <c r="ER344" t="e">
        <f>IF(#REF!,"AAAAAH/+VpM=",0)</f>
        <v>#REF!</v>
      </c>
      <c r="ES344" t="e">
        <f>IF(#REF!,"AAAAAH/+VpQ=",0)</f>
        <v>#REF!</v>
      </c>
      <c r="ET344" t="e">
        <f>IF(#REF!,"AAAAAH/+VpU=",0)</f>
        <v>#REF!</v>
      </c>
      <c r="EU344" t="e">
        <f>IF(#REF!,"AAAAAH/+VpY=",0)</f>
        <v>#REF!</v>
      </c>
      <c r="EV344" t="e">
        <f>IF(#REF!,"AAAAAH/+Vpc=",0)</f>
        <v>#REF!</v>
      </c>
      <c r="EW344" t="e">
        <f>IF(#REF!,"AAAAAH/+Vpg=",0)</f>
        <v>#REF!</v>
      </c>
      <c r="EX344" t="e">
        <f>IF(#REF!,"AAAAAH/+Vpk=",0)</f>
        <v>#REF!</v>
      </c>
      <c r="EY344" t="e">
        <f>IF(#REF!,"AAAAAH/+Vpo=",0)</f>
        <v>#REF!</v>
      </c>
      <c r="EZ344" t="e">
        <f>IF(#REF!,"AAAAAH/+Vps=",0)</f>
        <v>#REF!</v>
      </c>
      <c r="FA344" t="e">
        <f>IF(#REF!,"AAAAAH/+Vpw=",0)</f>
        <v>#REF!</v>
      </c>
      <c r="FB344" t="e">
        <f>IF(#REF!,"AAAAAH/+Vp0=",0)</f>
        <v>#REF!</v>
      </c>
      <c r="FC344" t="e">
        <f>IF(#REF!,"AAAAAH/+Vp4=",0)</f>
        <v>#REF!</v>
      </c>
      <c r="FD344" t="e">
        <f>IF(#REF!,"AAAAAH/+Vp8=",0)</f>
        <v>#REF!</v>
      </c>
      <c r="FE344" t="e">
        <f>IF(#REF!,"AAAAAH/+VqA=",0)</f>
        <v>#REF!</v>
      </c>
      <c r="FF344" t="e">
        <f>IF(#REF!,"AAAAAH/+VqE=",0)</f>
        <v>#REF!</v>
      </c>
      <c r="FG344" t="e">
        <f>IF(#REF!,"AAAAAH/+VqI=",0)</f>
        <v>#REF!</v>
      </c>
      <c r="FH344" t="e">
        <f>IF(#REF!,"AAAAAH/+VqM=",0)</f>
        <v>#REF!</v>
      </c>
      <c r="FI344" t="e">
        <f>IF(#REF!,"AAAAAH/+VqQ=",0)</f>
        <v>#REF!</v>
      </c>
      <c r="FJ344" t="e">
        <f>IF(#REF!,"AAAAAH/+VqU=",0)</f>
        <v>#REF!</v>
      </c>
      <c r="FK344" t="e">
        <f>IF(#REF!,"AAAAAH/+VqY=",0)</f>
        <v>#REF!</v>
      </c>
      <c r="FL344" t="e">
        <f>IF(#REF!,"AAAAAH/+Vqc=",0)</f>
        <v>#REF!</v>
      </c>
      <c r="FM344" t="e">
        <f>IF(#REF!,"AAAAAH/+Vqg=",0)</f>
        <v>#REF!</v>
      </c>
      <c r="FN344" t="e">
        <f>IF(#REF!,"AAAAAH/+Vqk=",0)</f>
        <v>#REF!</v>
      </c>
      <c r="FO344" t="e">
        <f>IF(#REF!,"AAAAAH/+Vqo=",0)</f>
        <v>#REF!</v>
      </c>
      <c r="FP344" t="e">
        <f>IF(#REF!,"AAAAAH/+Vqs=",0)</f>
        <v>#REF!</v>
      </c>
      <c r="FQ344" t="e">
        <f>IF(#REF!,"AAAAAH/+Vqw=",0)</f>
        <v>#REF!</v>
      </c>
      <c r="FR344" t="e">
        <f>IF(#REF!,"AAAAAH/+Vq0=",0)</f>
        <v>#REF!</v>
      </c>
      <c r="FS344" t="e">
        <f>IF(#REF!,"AAAAAH/+Vq4=",0)</f>
        <v>#REF!</v>
      </c>
      <c r="FT344" t="e">
        <f>IF(#REF!,"AAAAAH/+Vq8=",0)</f>
        <v>#REF!</v>
      </c>
      <c r="FU344" t="e">
        <f>IF(#REF!,"AAAAAH/+VrA=",0)</f>
        <v>#REF!</v>
      </c>
      <c r="FV344" t="e">
        <f>IF(#REF!,"AAAAAH/+VrE=",0)</f>
        <v>#REF!</v>
      </c>
      <c r="FW344" t="e">
        <f>IF(#REF!,"AAAAAH/+VrI=",0)</f>
        <v>#REF!</v>
      </c>
      <c r="FX344" t="e">
        <f>IF(#REF!,"AAAAAH/+VrM=",0)</f>
        <v>#REF!</v>
      </c>
      <c r="FY344" t="e">
        <f>IF(#REF!,"AAAAAH/+VrQ=",0)</f>
        <v>#REF!</v>
      </c>
      <c r="FZ344" t="e">
        <f>IF(#REF!,"AAAAAH/+VrU=",0)</f>
        <v>#REF!</v>
      </c>
      <c r="GA344" t="e">
        <f>IF(#REF!,"AAAAAH/+VrY=",0)</f>
        <v>#REF!</v>
      </c>
      <c r="GB344" t="e">
        <f>IF(#REF!,"AAAAAH/+Vrc=",0)</f>
        <v>#REF!</v>
      </c>
      <c r="GC344" t="e">
        <f>IF(#REF!,"AAAAAH/+Vrg=",0)</f>
        <v>#REF!</v>
      </c>
      <c r="GD344" t="e">
        <f>IF(#REF!,"AAAAAH/+Vrk=",0)</f>
        <v>#REF!</v>
      </c>
      <c r="GE344" t="e">
        <f>IF(#REF!,"AAAAAH/+Vro=",0)</f>
        <v>#REF!</v>
      </c>
      <c r="GF344" t="e">
        <f>IF(#REF!,"AAAAAH/+Vrs=",0)</f>
        <v>#REF!</v>
      </c>
      <c r="GG344" t="e">
        <f>IF(#REF!,"AAAAAH/+Vrw=",0)</f>
        <v>#REF!</v>
      </c>
      <c r="GH344" t="e">
        <f>IF(#REF!,"AAAAAH/+Vr0=",0)</f>
        <v>#REF!</v>
      </c>
      <c r="GI344" t="e">
        <f>IF(#REF!,"AAAAAH/+Vr4=",0)</f>
        <v>#REF!</v>
      </c>
      <c r="GJ344" t="e">
        <f>IF(#REF!,"AAAAAH/+Vr8=",0)</f>
        <v>#REF!</v>
      </c>
      <c r="GK344" t="e">
        <f>IF(#REF!,"AAAAAH/+VsA=",0)</f>
        <v>#REF!</v>
      </c>
      <c r="GL344" t="e">
        <f>IF(#REF!,"AAAAAH/+VsE=",0)</f>
        <v>#REF!</v>
      </c>
      <c r="GM344" t="e">
        <f>IF(#REF!,"AAAAAH/+VsI=",0)</f>
        <v>#REF!</v>
      </c>
      <c r="GN344" t="e">
        <f>IF(#REF!,"AAAAAH/+VsM=",0)</f>
        <v>#REF!</v>
      </c>
      <c r="GO344" t="e">
        <f>IF(#REF!,"AAAAAH/+VsQ=",0)</f>
        <v>#REF!</v>
      </c>
      <c r="GP344" t="e">
        <f>IF(#REF!,"AAAAAH/+VsU=",0)</f>
        <v>#REF!</v>
      </c>
      <c r="GQ344" t="e">
        <f>IF(#REF!,"AAAAAH/+VsY=",0)</f>
        <v>#REF!</v>
      </c>
      <c r="GR344" t="e">
        <f>IF(#REF!,"AAAAAH/+Vsc=",0)</f>
        <v>#REF!</v>
      </c>
      <c r="GS344" t="e">
        <f>IF(#REF!,"AAAAAH/+Vsg=",0)</f>
        <v>#REF!</v>
      </c>
      <c r="GT344" t="e">
        <f>IF(#REF!,"AAAAAH/+Vsk=",0)</f>
        <v>#REF!</v>
      </c>
      <c r="GU344" t="e">
        <f>IF(#REF!,"AAAAAH/+Vso=",0)</f>
        <v>#REF!</v>
      </c>
      <c r="GV344" t="e">
        <f>IF(#REF!,"AAAAAH/+Vss=",0)</f>
        <v>#REF!</v>
      </c>
      <c r="GW344" t="e">
        <f>IF(#REF!,"AAAAAH/+Vsw=",0)</f>
        <v>#REF!</v>
      </c>
      <c r="GX344" t="e">
        <f>IF(#REF!,"AAAAAH/+Vs0=",0)</f>
        <v>#REF!</v>
      </c>
      <c r="GY344" t="e">
        <f>IF(#REF!,"AAAAAH/+Vs4=",0)</f>
        <v>#REF!</v>
      </c>
      <c r="GZ344" t="e">
        <f>IF(#REF!,"AAAAAH/+Vs8=",0)</f>
        <v>#REF!</v>
      </c>
      <c r="HA344" t="e">
        <f>IF(#REF!,"AAAAAH/+VtA=",0)</f>
        <v>#REF!</v>
      </c>
      <c r="HB344" t="e">
        <f>IF(#REF!,"AAAAAH/+VtE=",0)</f>
        <v>#REF!</v>
      </c>
      <c r="HC344" t="e">
        <f>IF(#REF!,"AAAAAH/+VtI=",0)</f>
        <v>#REF!</v>
      </c>
      <c r="HD344" t="e">
        <f>IF(#REF!,"AAAAAH/+VtM=",0)</f>
        <v>#REF!</v>
      </c>
      <c r="HE344" t="e">
        <f>IF(#REF!,"AAAAAH/+VtQ=",0)</f>
        <v>#REF!</v>
      </c>
      <c r="HF344" t="e">
        <f>IF(#REF!,"AAAAAH/+VtU=",0)</f>
        <v>#REF!</v>
      </c>
      <c r="HG344" t="e">
        <f>IF(#REF!,"AAAAAH/+VtY=",0)</f>
        <v>#REF!</v>
      </c>
      <c r="HH344" t="e">
        <f>IF(#REF!,"AAAAAH/+Vtc=",0)</f>
        <v>#REF!</v>
      </c>
      <c r="HI344" t="e">
        <f>IF(#REF!,"AAAAAH/+Vtg=",0)</f>
        <v>#REF!</v>
      </c>
      <c r="HJ344" t="e">
        <f>IF(#REF!,"AAAAAH/+Vtk=",0)</f>
        <v>#REF!</v>
      </c>
      <c r="HK344" t="e">
        <f>IF(#REF!,"AAAAAH/+Vto=",0)</f>
        <v>#REF!</v>
      </c>
      <c r="HL344" t="e">
        <f>IF(#REF!,"AAAAAH/+Vts=",0)</f>
        <v>#REF!</v>
      </c>
      <c r="HM344" t="e">
        <f>IF(#REF!,"AAAAAH/+Vtw=",0)</f>
        <v>#REF!</v>
      </c>
      <c r="HN344" t="e">
        <f>IF(#REF!,"AAAAAH/+Vt0=",0)</f>
        <v>#REF!</v>
      </c>
      <c r="HO344" t="e">
        <f>IF(#REF!,"AAAAAH/+Vt4=",0)</f>
        <v>#REF!</v>
      </c>
      <c r="HP344" t="e">
        <f>IF(#REF!,"AAAAAH/+Vt8=",0)</f>
        <v>#REF!</v>
      </c>
      <c r="HQ344" t="e">
        <f>IF(#REF!,"AAAAAH/+VuA=",0)</f>
        <v>#REF!</v>
      </c>
      <c r="HR344" t="e">
        <f>IF(#REF!,"AAAAAH/+VuE=",0)</f>
        <v>#REF!</v>
      </c>
      <c r="HS344" t="e">
        <f>IF(#REF!,"AAAAAH/+VuI=",0)</f>
        <v>#REF!</v>
      </c>
      <c r="HT344" t="e">
        <f>IF(#REF!,"AAAAAH/+VuM=",0)</f>
        <v>#REF!</v>
      </c>
      <c r="HU344" t="e">
        <f>IF(#REF!,"AAAAAH/+VuQ=",0)</f>
        <v>#REF!</v>
      </c>
      <c r="HV344" t="e">
        <f>IF(#REF!,"AAAAAH/+VuU=",0)</f>
        <v>#REF!</v>
      </c>
      <c r="HW344" t="e">
        <f>IF(#REF!,"AAAAAH/+VuY=",0)</f>
        <v>#REF!</v>
      </c>
      <c r="HX344" t="e">
        <f>IF(#REF!,"AAAAAH/+Vuc=",0)</f>
        <v>#REF!</v>
      </c>
      <c r="HY344" t="e">
        <f>IF(#REF!,"AAAAAH/+Vug=",0)</f>
        <v>#REF!</v>
      </c>
      <c r="HZ344" t="e">
        <f>IF(#REF!,"AAAAAH/+Vuk=",0)</f>
        <v>#REF!</v>
      </c>
      <c r="IA344" t="e">
        <f>IF(#REF!,"AAAAAH/+Vuo=",0)</f>
        <v>#REF!</v>
      </c>
      <c r="IB344" t="e">
        <f>IF(#REF!,"AAAAAH/+Vus=",0)</f>
        <v>#REF!</v>
      </c>
      <c r="IC344" t="e">
        <f>IF(#REF!,"AAAAAH/+Vuw=",0)</f>
        <v>#REF!</v>
      </c>
      <c r="ID344" t="e">
        <f>IF(#REF!,"AAAAAH/+Vu0=",0)</f>
        <v>#REF!</v>
      </c>
      <c r="IE344" t="e">
        <f>IF(#REF!,"AAAAAH/+Vu4=",0)</f>
        <v>#REF!</v>
      </c>
      <c r="IF344" t="e">
        <f>IF(#REF!,"AAAAAH/+Vu8=",0)</f>
        <v>#REF!</v>
      </c>
      <c r="IG344" t="e">
        <f>IF(#REF!,"AAAAAH/+VvA=",0)</f>
        <v>#REF!</v>
      </c>
      <c r="IH344" t="e">
        <f>IF(#REF!,"AAAAAH/+VvE=",0)</f>
        <v>#REF!</v>
      </c>
      <c r="II344" t="e">
        <f>IF(#REF!,"AAAAAH/+VvI=",0)</f>
        <v>#REF!</v>
      </c>
      <c r="IJ344" t="e">
        <f>IF(#REF!,"AAAAAH/+VvM=",0)</f>
        <v>#REF!</v>
      </c>
      <c r="IK344" t="e">
        <f>IF(#REF!,"AAAAAH/+VvQ=",0)</f>
        <v>#REF!</v>
      </c>
      <c r="IL344" t="e">
        <f>IF(#REF!,"AAAAAH/+VvU=",0)</f>
        <v>#REF!</v>
      </c>
      <c r="IM344" t="e">
        <f>IF(#REF!,"AAAAAH/+VvY=",0)</f>
        <v>#REF!</v>
      </c>
      <c r="IN344" t="e">
        <f>IF(#REF!,"AAAAAH/+Vvc=",0)</f>
        <v>#REF!</v>
      </c>
      <c r="IO344" t="e">
        <f>IF(#REF!,"AAAAAH/+Vvg=",0)</f>
        <v>#REF!</v>
      </c>
      <c r="IP344" t="e">
        <f>IF(#REF!,"AAAAAH/+Vvk=",0)</f>
        <v>#REF!</v>
      </c>
      <c r="IQ344" t="e">
        <f>IF(#REF!,"AAAAAH/+Vvo=",0)</f>
        <v>#REF!</v>
      </c>
      <c r="IR344" t="e">
        <f>IF(#REF!,"AAAAAH/+Vvs=",0)</f>
        <v>#REF!</v>
      </c>
      <c r="IS344" t="e">
        <f>IF(#REF!,"AAAAAH/+Vvw=",0)</f>
        <v>#REF!</v>
      </c>
      <c r="IT344" t="e">
        <f>IF(#REF!,"AAAAAH/+Vv0=",0)</f>
        <v>#REF!</v>
      </c>
      <c r="IU344" t="e">
        <f>IF(#REF!,"AAAAAH/+Vv4=",0)</f>
        <v>#REF!</v>
      </c>
      <c r="IV344" t="e">
        <f>IF(#REF!,"AAAAAH/+Vv8=",0)</f>
        <v>#REF!</v>
      </c>
    </row>
    <row r="345" spans="1:256">
      <c r="A345" t="e">
        <f>IF(#REF!,"AAAAAH7+NwA=",0)</f>
        <v>#REF!</v>
      </c>
      <c r="B345" t="e">
        <f>IF(#REF!,"AAAAAH7+NwE=",0)</f>
        <v>#REF!</v>
      </c>
      <c r="C345" t="e">
        <f>IF(#REF!,"AAAAAH7+NwI=",0)</f>
        <v>#REF!</v>
      </c>
      <c r="D345" t="e">
        <f>IF(#REF!,"AAAAAH7+NwM=",0)</f>
        <v>#REF!</v>
      </c>
      <c r="E345" t="e">
        <f>IF(#REF!,"AAAAAH7+NwQ=",0)</f>
        <v>#REF!</v>
      </c>
      <c r="F345" t="e">
        <f>IF(#REF!,"AAAAAH7+NwU=",0)</f>
        <v>#REF!</v>
      </c>
      <c r="G345" t="e">
        <f>IF(#REF!,"AAAAAH7+NwY=",0)</f>
        <v>#REF!</v>
      </c>
      <c r="H345" t="e">
        <f>IF(#REF!,"AAAAAH7+Nwc=",0)</f>
        <v>#REF!</v>
      </c>
      <c r="I345" t="e">
        <f>IF(#REF!,"AAAAAH7+Nwg=",0)</f>
        <v>#REF!</v>
      </c>
      <c r="J345" t="e">
        <f>IF(#REF!,"AAAAAH7+Nwk=",0)</f>
        <v>#REF!</v>
      </c>
      <c r="K345" t="e">
        <f>IF(#REF!,"AAAAAH7+Nwo=",0)</f>
        <v>#REF!</v>
      </c>
      <c r="L345" t="e">
        <f>IF(#REF!,"AAAAAH7+Nws=",0)</f>
        <v>#REF!</v>
      </c>
      <c r="M345" t="e">
        <f>IF(#REF!,"AAAAAH7+Nww=",0)</f>
        <v>#REF!</v>
      </c>
      <c r="N345" t="e">
        <f>IF(#REF!,"AAAAAH7+Nw0=",0)</f>
        <v>#REF!</v>
      </c>
      <c r="O345" t="e">
        <f>IF(#REF!,"AAAAAH7+Nw4=",0)</f>
        <v>#REF!</v>
      </c>
      <c r="P345" t="e">
        <f>IF(#REF!,"AAAAAH7+Nw8=",0)</f>
        <v>#REF!</v>
      </c>
      <c r="Q345" t="e">
        <f>IF(#REF!,"AAAAAH7+NxA=",0)</f>
        <v>#REF!</v>
      </c>
      <c r="R345" t="e">
        <f>IF(#REF!,"AAAAAH7+NxE=",0)</f>
        <v>#REF!</v>
      </c>
      <c r="S345" t="e">
        <f>IF(#REF!,"AAAAAH7+NxI=",0)</f>
        <v>#REF!</v>
      </c>
      <c r="T345" t="e">
        <f>IF(#REF!,"AAAAAH7+NxM=",0)</f>
        <v>#REF!</v>
      </c>
      <c r="U345" t="e">
        <f>IF(#REF!,"AAAAAH7+NxQ=",0)</f>
        <v>#REF!</v>
      </c>
      <c r="V345" t="e">
        <f>IF(#REF!,"AAAAAH7+NxU=",0)</f>
        <v>#REF!</v>
      </c>
      <c r="W345" t="e">
        <f>IF(#REF!,"AAAAAH7+NxY=",0)</f>
        <v>#REF!</v>
      </c>
      <c r="X345" t="e">
        <f>IF(#REF!,"AAAAAH7+Nxc=",0)</f>
        <v>#REF!</v>
      </c>
      <c r="Y345" t="e">
        <f>IF(#REF!,"AAAAAH7+Nxg=",0)</f>
        <v>#REF!</v>
      </c>
      <c r="Z345" t="e">
        <f>IF(#REF!,"AAAAAH7+Nxk=",0)</f>
        <v>#REF!</v>
      </c>
      <c r="AA345" t="e">
        <f>IF(#REF!,"AAAAAH7+Nxo=",0)</f>
        <v>#REF!</v>
      </c>
      <c r="AB345" t="e">
        <f>IF(#REF!,"AAAAAH7+Nxs=",0)</f>
        <v>#REF!</v>
      </c>
      <c r="AC345" t="e">
        <f>IF(#REF!,"AAAAAH7+Nxw=",0)</f>
        <v>#REF!</v>
      </c>
      <c r="AD345" t="e">
        <f>IF(#REF!,"AAAAAH7+Nx0=",0)</f>
        <v>#REF!</v>
      </c>
      <c r="AE345" t="e">
        <f>IF(#REF!,"AAAAAH7+Nx4=",0)</f>
        <v>#REF!</v>
      </c>
      <c r="AF345" t="e">
        <f>IF(#REF!,"AAAAAH7+Nx8=",0)</f>
        <v>#REF!</v>
      </c>
      <c r="AG345" t="e">
        <f>IF(#REF!,"AAAAAH7+NyA=",0)</f>
        <v>#REF!</v>
      </c>
      <c r="AH345" t="e">
        <f>IF(#REF!,"AAAAAH7+NyE=",0)</f>
        <v>#REF!</v>
      </c>
      <c r="AI345" t="e">
        <f>IF(#REF!,"AAAAAH7+NyI=",0)</f>
        <v>#REF!</v>
      </c>
      <c r="AJ345" t="e">
        <f>IF(#REF!,"AAAAAH7+NyM=",0)</f>
        <v>#REF!</v>
      </c>
      <c r="AK345" t="e">
        <f>IF(#REF!,"AAAAAH7+NyQ=",0)</f>
        <v>#REF!</v>
      </c>
      <c r="AL345" t="e">
        <f>IF(#REF!,"AAAAAH7+NyU=",0)</f>
        <v>#REF!</v>
      </c>
      <c r="AM345" t="e">
        <f>IF(#REF!,"AAAAAH7+NyY=",0)</f>
        <v>#REF!</v>
      </c>
      <c r="AN345" t="e">
        <f>IF(#REF!,"AAAAAH7+Nyc=",0)</f>
        <v>#REF!</v>
      </c>
      <c r="AO345" t="e">
        <f>IF(#REF!,"AAAAAH7+Nyg=",0)</f>
        <v>#REF!</v>
      </c>
      <c r="AP345" t="e">
        <f>IF(#REF!,"AAAAAH7+Nyk=",0)</f>
        <v>#REF!</v>
      </c>
      <c r="AQ345" t="e">
        <f>IF(#REF!,"AAAAAH7+Nyo=",0)</f>
        <v>#REF!</v>
      </c>
      <c r="AR345" t="e">
        <f>IF(#REF!,"AAAAAH7+Nys=",0)</f>
        <v>#REF!</v>
      </c>
      <c r="AS345" t="e">
        <f>IF(#REF!,"AAAAAH7+Nyw=",0)</f>
        <v>#REF!</v>
      </c>
      <c r="AT345" t="e">
        <f>IF(#REF!,"AAAAAH7+Ny0=",0)</f>
        <v>#REF!</v>
      </c>
      <c r="AU345" t="e">
        <f>IF(#REF!,"AAAAAH7+Ny4=",0)</f>
        <v>#REF!</v>
      </c>
      <c r="AV345" t="e">
        <f>IF(#REF!,"AAAAAH7+Ny8=",0)</f>
        <v>#REF!</v>
      </c>
      <c r="AW345" t="e">
        <f>IF(#REF!,"AAAAAH7+NzA=",0)</f>
        <v>#REF!</v>
      </c>
      <c r="AX345" t="e">
        <f>IF(#REF!,"AAAAAH7+NzE=",0)</f>
        <v>#REF!</v>
      </c>
      <c r="AY345" t="e">
        <f>IF(#REF!,"AAAAAH7+NzI=",0)</f>
        <v>#REF!</v>
      </c>
      <c r="AZ345" t="e">
        <f>IF(#REF!,"AAAAAH7+NzM=",0)</f>
        <v>#REF!</v>
      </c>
      <c r="BA345" t="e">
        <f>IF(#REF!,"AAAAAH7+NzQ=",0)</f>
        <v>#REF!</v>
      </c>
      <c r="BB345" t="e">
        <f>IF(#REF!,"AAAAAH7+NzU=",0)</f>
        <v>#REF!</v>
      </c>
      <c r="BC345" t="e">
        <f>IF(#REF!,"AAAAAH7+NzY=",0)</f>
        <v>#REF!</v>
      </c>
      <c r="BD345" t="e">
        <f>IF(#REF!,"AAAAAH7+Nzc=",0)</f>
        <v>#REF!</v>
      </c>
      <c r="BE345" t="e">
        <f>IF(#REF!,"AAAAAH7+Nzg=",0)</f>
        <v>#REF!</v>
      </c>
      <c r="BF345" t="e">
        <f>IF(#REF!,"AAAAAH7+Nzk=",0)</f>
        <v>#REF!</v>
      </c>
      <c r="BG345" t="e">
        <f>IF(#REF!,"AAAAAH7+Nzo=",0)</f>
        <v>#REF!</v>
      </c>
      <c r="BH345" t="e">
        <f>IF(#REF!,"AAAAAH7+Nzs=",0)</f>
        <v>#REF!</v>
      </c>
      <c r="BI345" t="e">
        <f>IF(#REF!,"AAAAAH7+Nzw=",0)</f>
        <v>#REF!</v>
      </c>
      <c r="BJ345" t="e">
        <f>IF(#REF!,"AAAAAH7+Nz0=",0)</f>
        <v>#REF!</v>
      </c>
      <c r="BK345" t="e">
        <f>IF(#REF!,"AAAAAH7+Nz4=",0)</f>
        <v>#REF!</v>
      </c>
      <c r="BL345" t="e">
        <f>IF(#REF!,"AAAAAH7+Nz8=",0)</f>
        <v>#REF!</v>
      </c>
      <c r="BM345" t="e">
        <f>IF(#REF!,"AAAAAH7+N0A=",0)</f>
        <v>#REF!</v>
      </c>
      <c r="BN345" t="e">
        <f>IF(#REF!,"AAAAAH7+N0E=",0)</f>
        <v>#REF!</v>
      </c>
      <c r="BO345" t="e">
        <f>IF(#REF!,"AAAAAH7+N0I=",0)</f>
        <v>#REF!</v>
      </c>
      <c r="BP345" t="e">
        <f>IF(#REF!,"AAAAAH7+N0M=",0)</f>
        <v>#REF!</v>
      </c>
      <c r="BQ345" t="e">
        <f>IF(#REF!,"AAAAAH7+N0Q=",0)</f>
        <v>#REF!</v>
      </c>
      <c r="BR345" t="e">
        <f>IF(#REF!,"AAAAAH7+N0U=",0)</f>
        <v>#REF!</v>
      </c>
      <c r="BS345" t="e">
        <f>IF(#REF!,"AAAAAH7+N0Y=",0)</f>
        <v>#REF!</v>
      </c>
      <c r="BT345" t="e">
        <f>IF(#REF!,"AAAAAH7+N0c=",0)</f>
        <v>#REF!</v>
      </c>
      <c r="BU345" t="e">
        <f>IF(#REF!,"AAAAAH7+N0g=",0)</f>
        <v>#REF!</v>
      </c>
      <c r="BV345" t="e">
        <f>IF(#REF!,"AAAAAH7+N0k=",0)</f>
        <v>#REF!</v>
      </c>
      <c r="BW345" t="e">
        <f>IF(#REF!,"AAAAAH7+N0o=",0)</f>
        <v>#REF!</v>
      </c>
      <c r="BX345" t="e">
        <f>IF(#REF!,"AAAAAH7+N0s=",0)</f>
        <v>#REF!</v>
      </c>
      <c r="BY345" t="e">
        <f>IF(#REF!,"AAAAAH7+N0w=",0)</f>
        <v>#REF!</v>
      </c>
      <c r="BZ345" t="e">
        <f>IF(#REF!,"AAAAAH7+N00=",0)</f>
        <v>#REF!</v>
      </c>
      <c r="CA345" t="e">
        <f>IF(#REF!,"AAAAAH7+N04=",0)</f>
        <v>#REF!</v>
      </c>
      <c r="CB345" t="e">
        <f>IF(#REF!,"AAAAAH7+N08=",0)</f>
        <v>#REF!</v>
      </c>
      <c r="CC345" t="e">
        <f>IF(#REF!,"AAAAAH7+N1A=",0)</f>
        <v>#REF!</v>
      </c>
      <c r="CD345" t="e">
        <f>IF(#REF!,"AAAAAH7+N1E=",0)</f>
        <v>#REF!</v>
      </c>
      <c r="CE345" t="e">
        <f>IF(#REF!,"AAAAAH7+N1I=",0)</f>
        <v>#REF!</v>
      </c>
      <c r="CF345" t="e">
        <f>IF(#REF!,"AAAAAH7+N1M=",0)</f>
        <v>#REF!</v>
      </c>
      <c r="CG345" t="e">
        <f>IF(#REF!,"AAAAAH7+N1Q=",0)</f>
        <v>#REF!</v>
      </c>
      <c r="CH345" t="e">
        <f>IF(#REF!,"AAAAAH7+N1U=",0)</f>
        <v>#REF!</v>
      </c>
      <c r="CI345" t="e">
        <f>IF(#REF!,"AAAAAH7+N1Y=",0)</f>
        <v>#REF!</v>
      </c>
      <c r="CJ345" t="e">
        <f>IF(#REF!,"AAAAAH7+N1c=",0)</f>
        <v>#REF!</v>
      </c>
      <c r="CK345" t="e">
        <f>IF(#REF!,"AAAAAH7+N1g=",0)</f>
        <v>#REF!</v>
      </c>
      <c r="CL345" t="e">
        <f>IF(#REF!,"AAAAAH7+N1k=",0)</f>
        <v>#REF!</v>
      </c>
      <c r="CM345" t="e">
        <f>IF(#REF!,"AAAAAH7+N1o=",0)</f>
        <v>#REF!</v>
      </c>
      <c r="CN345" t="e">
        <f>IF(#REF!,"AAAAAH7+N1s=",0)</f>
        <v>#REF!</v>
      </c>
      <c r="CO345" t="e">
        <f>IF(#REF!,"AAAAAH7+N1w=",0)</f>
        <v>#REF!</v>
      </c>
      <c r="CP345" t="e">
        <f>IF(#REF!,"AAAAAH7+N10=",0)</f>
        <v>#REF!</v>
      </c>
      <c r="CQ345" t="e">
        <f>IF(#REF!,"AAAAAH7+N14=",0)</f>
        <v>#REF!</v>
      </c>
      <c r="CR345" t="e">
        <f>IF(#REF!,"AAAAAH7+N18=",0)</f>
        <v>#REF!</v>
      </c>
      <c r="CS345" t="e">
        <f>IF(#REF!,"AAAAAH7+N2A=",0)</f>
        <v>#REF!</v>
      </c>
      <c r="CT345" t="e">
        <f>IF(#REF!,"AAAAAH7+N2E=",0)</f>
        <v>#REF!</v>
      </c>
      <c r="CU345" t="e">
        <f>IF(#REF!,"AAAAAH7+N2I=",0)</f>
        <v>#REF!</v>
      </c>
      <c r="CV345" t="e">
        <f>IF(#REF!,"AAAAAH7+N2M=",0)</f>
        <v>#REF!</v>
      </c>
      <c r="CW345" t="e">
        <f>IF(#REF!,"AAAAAH7+N2Q=",0)</f>
        <v>#REF!</v>
      </c>
      <c r="CX345" t="e">
        <f>IF(#REF!,"AAAAAH7+N2U=",0)</f>
        <v>#REF!</v>
      </c>
      <c r="CY345" t="e">
        <f>IF(#REF!,"AAAAAH7+N2Y=",0)</f>
        <v>#REF!</v>
      </c>
      <c r="CZ345" t="e">
        <f>IF(#REF!,"AAAAAH7+N2c=",0)</f>
        <v>#REF!</v>
      </c>
      <c r="DA345" t="e">
        <f>IF(#REF!,"AAAAAH7+N2g=",0)</f>
        <v>#REF!</v>
      </c>
      <c r="DB345" t="e">
        <f>IF(#REF!,"AAAAAH7+N2k=",0)</f>
        <v>#REF!</v>
      </c>
      <c r="DC345" t="e">
        <f>IF(#REF!,"AAAAAH7+N2o=",0)</f>
        <v>#REF!</v>
      </c>
      <c r="DD345" t="e">
        <f>IF(#REF!,"AAAAAH7+N2s=",0)</f>
        <v>#REF!</v>
      </c>
      <c r="DE345" t="e">
        <f>IF(#REF!,"AAAAAH7+N2w=",0)</f>
        <v>#REF!</v>
      </c>
      <c r="DF345" t="e">
        <f>IF(#REF!,"AAAAAH7+N20=",0)</f>
        <v>#REF!</v>
      </c>
      <c r="DG345" t="e">
        <f>IF(#REF!,"AAAAAH7+N24=",0)</f>
        <v>#REF!</v>
      </c>
      <c r="DH345" t="e">
        <f>IF(#REF!,"AAAAAH7+N28=",0)</f>
        <v>#REF!</v>
      </c>
      <c r="DI345" t="e">
        <f>IF(#REF!,"AAAAAH7+N3A=",0)</f>
        <v>#REF!</v>
      </c>
      <c r="DJ345" t="e">
        <f>IF(#REF!,"AAAAAH7+N3E=",0)</f>
        <v>#REF!</v>
      </c>
      <c r="DK345" t="e">
        <f>IF(#REF!,"AAAAAH7+N3I=",0)</f>
        <v>#REF!</v>
      </c>
      <c r="DL345" t="e">
        <f>IF(#REF!,"AAAAAH7+N3M=",0)</f>
        <v>#REF!</v>
      </c>
      <c r="DM345" t="e">
        <f>IF(#REF!,"AAAAAH7+N3Q=",0)</f>
        <v>#REF!</v>
      </c>
      <c r="DN345" t="e">
        <f>IF(#REF!,"AAAAAH7+N3U=",0)</f>
        <v>#REF!</v>
      </c>
      <c r="DO345" t="e">
        <f>IF(#REF!,"AAAAAH7+N3Y=",0)</f>
        <v>#REF!</v>
      </c>
      <c r="DP345" t="e">
        <f>IF(#REF!,"AAAAAH7+N3c=",0)</f>
        <v>#REF!</v>
      </c>
      <c r="DQ345" t="e">
        <f>IF(#REF!,"AAAAAH7+N3g=",0)</f>
        <v>#REF!</v>
      </c>
      <c r="DR345" t="e">
        <f>IF(#REF!,"AAAAAH7+N3k=",0)</f>
        <v>#REF!</v>
      </c>
      <c r="DS345" t="e">
        <f>IF(#REF!,"AAAAAH7+N3o=",0)</f>
        <v>#REF!</v>
      </c>
      <c r="DT345" t="e">
        <f>IF(#REF!,"AAAAAH7+N3s=",0)</f>
        <v>#REF!</v>
      </c>
      <c r="DU345" t="e">
        <f>IF(#REF!,"AAAAAH7+N3w=",0)</f>
        <v>#REF!</v>
      </c>
      <c r="DV345" t="e">
        <f>IF(#REF!,"AAAAAH7+N30=",0)</f>
        <v>#REF!</v>
      </c>
      <c r="DW345" t="e">
        <f>IF(#REF!,"AAAAAH7+N34=",0)</f>
        <v>#REF!</v>
      </c>
      <c r="DX345" t="e">
        <f>IF(#REF!,"AAAAAH7+N38=",0)</f>
        <v>#REF!</v>
      </c>
      <c r="DY345" t="e">
        <f>IF(#REF!,"AAAAAH7+N4A=",0)</f>
        <v>#REF!</v>
      </c>
      <c r="DZ345" t="e">
        <f>IF(#REF!,"AAAAAH7+N4E=",0)</f>
        <v>#REF!</v>
      </c>
      <c r="EA345" t="e">
        <f>IF(#REF!,"AAAAAH7+N4I=",0)</f>
        <v>#REF!</v>
      </c>
      <c r="EB345" t="e">
        <f>IF(#REF!,"AAAAAH7+N4M=",0)</f>
        <v>#REF!</v>
      </c>
      <c r="EC345" t="e">
        <f>IF(#REF!,"AAAAAH7+N4Q=",0)</f>
        <v>#REF!</v>
      </c>
      <c r="ED345" t="e">
        <f>IF(#REF!,"AAAAAH7+N4U=",0)</f>
        <v>#REF!</v>
      </c>
      <c r="EE345" t="e">
        <f>IF(#REF!,"AAAAAH7+N4Y=",0)</f>
        <v>#REF!</v>
      </c>
      <c r="EF345" t="e">
        <f>IF(#REF!,"AAAAAH7+N4c=",0)</f>
        <v>#REF!</v>
      </c>
      <c r="EG345" t="e">
        <f>IF(#REF!,"AAAAAH7+N4g=",0)</f>
        <v>#REF!</v>
      </c>
      <c r="EH345" t="e">
        <f>IF(#REF!,"AAAAAH7+N4k=",0)</f>
        <v>#REF!</v>
      </c>
      <c r="EI345" t="e">
        <f>IF(#REF!,"AAAAAH7+N4o=",0)</f>
        <v>#REF!</v>
      </c>
      <c r="EJ345" t="e">
        <f>IF(#REF!,"AAAAAH7+N4s=",0)</f>
        <v>#REF!</v>
      </c>
      <c r="EK345" t="e">
        <f>IF(#REF!,"AAAAAH7+N4w=",0)</f>
        <v>#REF!</v>
      </c>
      <c r="EL345" t="e">
        <f>IF(#REF!,"AAAAAH7+N40=",0)</f>
        <v>#REF!</v>
      </c>
      <c r="EM345" t="e">
        <f>IF(#REF!,"AAAAAH7+N44=",0)</f>
        <v>#REF!</v>
      </c>
      <c r="EN345" t="e">
        <f>IF(#REF!,"AAAAAH7+N48=",0)</f>
        <v>#REF!</v>
      </c>
      <c r="EO345" t="e">
        <f>IF(#REF!,"AAAAAH7+N5A=",0)</f>
        <v>#REF!</v>
      </c>
      <c r="EP345" t="e">
        <f>IF(#REF!,"AAAAAH7+N5E=",0)</f>
        <v>#REF!</v>
      </c>
      <c r="EQ345" t="e">
        <f>IF(#REF!,"AAAAAH7+N5I=",0)</f>
        <v>#REF!</v>
      </c>
      <c r="ER345" t="e">
        <f>IF(#REF!,"AAAAAH7+N5M=",0)</f>
        <v>#REF!</v>
      </c>
      <c r="ES345" t="e">
        <f>IF(#REF!,"AAAAAH7+N5Q=",0)</f>
        <v>#REF!</v>
      </c>
      <c r="ET345" t="e">
        <f>IF(#REF!,"AAAAAH7+N5U=",0)</f>
        <v>#REF!</v>
      </c>
      <c r="EU345" t="e">
        <f>IF(#REF!,"AAAAAH7+N5Y=",0)</f>
        <v>#REF!</v>
      </c>
      <c r="EV345" t="e">
        <f>IF(#REF!,"AAAAAH7+N5c=",0)</f>
        <v>#REF!</v>
      </c>
      <c r="EW345" t="e">
        <f>IF(#REF!,"AAAAAH7+N5g=",0)</f>
        <v>#REF!</v>
      </c>
      <c r="EX345" t="e">
        <f>IF(#REF!,"AAAAAH7+N5k=",0)</f>
        <v>#REF!</v>
      </c>
      <c r="EY345" t="e">
        <f>IF(#REF!,"AAAAAH7+N5o=",0)</f>
        <v>#REF!</v>
      </c>
      <c r="EZ345" t="e">
        <f>IF(#REF!,"AAAAAH7+N5s=",0)</f>
        <v>#REF!</v>
      </c>
      <c r="FA345" t="e">
        <f>IF(#REF!,"AAAAAH7+N5w=",0)</f>
        <v>#REF!</v>
      </c>
      <c r="FB345" t="e">
        <f>IF(#REF!,"AAAAAH7+N50=",0)</f>
        <v>#REF!</v>
      </c>
      <c r="FC345" t="e">
        <f>IF(#REF!,"AAAAAH7+N54=",0)</f>
        <v>#REF!</v>
      </c>
      <c r="FD345" t="e">
        <f>IF(#REF!,"AAAAAH7+N58=",0)</f>
        <v>#REF!</v>
      </c>
      <c r="FE345" t="e">
        <f>IF(#REF!,"AAAAAH7+N6A=",0)</f>
        <v>#REF!</v>
      </c>
      <c r="FF345" t="e">
        <f>IF(#REF!,"AAAAAH7+N6E=",0)</f>
        <v>#REF!</v>
      </c>
      <c r="FG345" t="e">
        <f>IF(#REF!,"AAAAAH7+N6I=",0)</f>
        <v>#REF!</v>
      </c>
      <c r="FH345" t="e">
        <f>IF(#REF!,"AAAAAH7+N6M=",0)</f>
        <v>#REF!</v>
      </c>
      <c r="FI345" t="e">
        <f>IF(#REF!,"AAAAAH7+N6Q=",0)</f>
        <v>#REF!</v>
      </c>
      <c r="FJ345" t="e">
        <f>IF(#REF!,"AAAAAH7+N6U=",0)</f>
        <v>#REF!</v>
      </c>
      <c r="FK345" t="e">
        <f>IF(#REF!,"AAAAAH7+N6Y=",0)</f>
        <v>#REF!</v>
      </c>
      <c r="FL345" t="e">
        <f>IF(#REF!,"AAAAAH7+N6c=",0)</f>
        <v>#REF!</v>
      </c>
      <c r="FM345" t="e">
        <f>IF(#REF!,"AAAAAH7+N6g=",0)</f>
        <v>#REF!</v>
      </c>
      <c r="FN345" t="e">
        <f>IF(#REF!,"AAAAAH7+N6k=",0)</f>
        <v>#REF!</v>
      </c>
      <c r="FO345" t="e">
        <f>IF(#REF!,"AAAAAH7+N6o=",0)</f>
        <v>#REF!</v>
      </c>
      <c r="FP345" t="e">
        <f>IF(#REF!,"AAAAAH7+N6s=",0)</f>
        <v>#REF!</v>
      </c>
      <c r="FQ345" t="e">
        <f>IF(#REF!,"AAAAAH7+N6w=",0)</f>
        <v>#REF!</v>
      </c>
      <c r="FR345" t="e">
        <f>IF(#REF!,"AAAAAH7+N60=",0)</f>
        <v>#REF!</v>
      </c>
      <c r="FS345" t="e">
        <f>IF(#REF!,"AAAAAH7+N64=",0)</f>
        <v>#REF!</v>
      </c>
      <c r="FT345" t="e">
        <f>IF(#REF!,"AAAAAH7+N68=",0)</f>
        <v>#REF!</v>
      </c>
      <c r="FU345" t="e">
        <f>IF(#REF!,"AAAAAH7+N7A=",0)</f>
        <v>#REF!</v>
      </c>
      <c r="FV345" t="e">
        <f>IF(#REF!,"AAAAAH7+N7E=",0)</f>
        <v>#REF!</v>
      </c>
      <c r="FW345" t="e">
        <f>IF(#REF!,"AAAAAH7+N7I=",0)</f>
        <v>#REF!</v>
      </c>
      <c r="FX345" t="e">
        <f>IF(#REF!,"AAAAAH7+N7M=",0)</f>
        <v>#REF!</v>
      </c>
      <c r="FY345" t="e">
        <f>IF(#REF!,"AAAAAH7+N7Q=",0)</f>
        <v>#REF!</v>
      </c>
      <c r="FZ345" t="e">
        <f>IF(#REF!,"AAAAAH7+N7U=",0)</f>
        <v>#REF!</v>
      </c>
      <c r="GA345" t="e">
        <f>IF(#REF!,"AAAAAH7+N7Y=",0)</f>
        <v>#REF!</v>
      </c>
      <c r="GB345" t="e">
        <f>IF(#REF!,"AAAAAH7+N7c=",0)</f>
        <v>#REF!</v>
      </c>
      <c r="GC345" t="e">
        <f>IF(#REF!,"AAAAAH7+N7g=",0)</f>
        <v>#REF!</v>
      </c>
      <c r="GD345" t="e">
        <f>IF(#REF!,"AAAAAH7+N7k=",0)</f>
        <v>#REF!</v>
      </c>
      <c r="GE345" t="e">
        <f>IF(#REF!,"AAAAAH7+N7o=",0)</f>
        <v>#REF!</v>
      </c>
      <c r="GF345" t="e">
        <f>IF(#REF!,"AAAAAH7+N7s=",0)</f>
        <v>#REF!</v>
      </c>
      <c r="GG345" t="e">
        <f>IF(#REF!,"AAAAAH7+N7w=",0)</f>
        <v>#REF!</v>
      </c>
      <c r="GH345" t="e">
        <f>IF(#REF!,"AAAAAH7+N70=",0)</f>
        <v>#REF!</v>
      </c>
      <c r="GI345" t="e">
        <f>IF(#REF!,"AAAAAH7+N74=",0)</f>
        <v>#REF!</v>
      </c>
      <c r="GJ345" t="e">
        <f>IF(#REF!,"AAAAAH7+N78=",0)</f>
        <v>#REF!</v>
      </c>
      <c r="GK345" t="e">
        <f>IF(#REF!,"AAAAAH7+N8A=",0)</f>
        <v>#REF!</v>
      </c>
      <c r="GL345" t="e">
        <f>IF(#REF!,"AAAAAH7+N8E=",0)</f>
        <v>#REF!</v>
      </c>
      <c r="GM345" t="e">
        <f>IF(#REF!,"AAAAAH7+N8I=",0)</f>
        <v>#REF!</v>
      </c>
      <c r="GN345" t="e">
        <f>IF(#REF!,"AAAAAH7+N8M=",0)</f>
        <v>#REF!</v>
      </c>
      <c r="GO345" t="e">
        <f>IF(#REF!,"AAAAAH7+N8Q=",0)</f>
        <v>#REF!</v>
      </c>
      <c r="GP345" t="e">
        <f>IF(#REF!,"AAAAAH7+N8U=",0)</f>
        <v>#REF!</v>
      </c>
      <c r="GQ345" t="e">
        <f>IF(#REF!,"AAAAAH7+N8Y=",0)</f>
        <v>#REF!</v>
      </c>
      <c r="GR345" t="e">
        <f>IF(#REF!,"AAAAAH7+N8c=",0)</f>
        <v>#REF!</v>
      </c>
      <c r="GS345" t="e">
        <f>IF(#REF!,"AAAAAH7+N8g=",0)</f>
        <v>#REF!</v>
      </c>
      <c r="GT345" t="e">
        <f>IF(#REF!,"AAAAAH7+N8k=",0)</f>
        <v>#REF!</v>
      </c>
      <c r="GU345" t="e">
        <f>IF(#REF!,"AAAAAH7+N8o=",0)</f>
        <v>#REF!</v>
      </c>
      <c r="GV345" t="e">
        <f>IF(#REF!,"AAAAAH7+N8s=",0)</f>
        <v>#REF!</v>
      </c>
      <c r="GW345" t="e">
        <f>IF(#REF!,"AAAAAH7+N8w=",0)</f>
        <v>#REF!</v>
      </c>
      <c r="GX345" t="e">
        <f>IF(#REF!,"AAAAAH7+N80=",0)</f>
        <v>#REF!</v>
      </c>
      <c r="GY345" t="e">
        <f>IF(#REF!,"AAAAAH7+N84=",0)</f>
        <v>#REF!</v>
      </c>
      <c r="GZ345" t="e">
        <f>IF(#REF!,"AAAAAH7+N88=",0)</f>
        <v>#REF!</v>
      </c>
      <c r="HA345" t="e">
        <f>IF(#REF!,"AAAAAH7+N9A=",0)</f>
        <v>#REF!</v>
      </c>
      <c r="HB345" t="e">
        <f>IF(#REF!,"AAAAAH7+N9E=",0)</f>
        <v>#REF!</v>
      </c>
      <c r="HC345" t="e">
        <f>IF(#REF!,"AAAAAH7+N9I=",0)</f>
        <v>#REF!</v>
      </c>
      <c r="HD345" t="e">
        <f>IF(#REF!,"AAAAAH7+N9M=",0)</f>
        <v>#REF!</v>
      </c>
      <c r="HE345" t="e">
        <f>IF(#REF!,"AAAAAH7+N9Q=",0)</f>
        <v>#REF!</v>
      </c>
      <c r="HF345" t="e">
        <f>IF(#REF!,"AAAAAH7+N9U=",0)</f>
        <v>#REF!</v>
      </c>
      <c r="HG345" t="e">
        <f>IF(#REF!,"AAAAAH7+N9Y=",0)</f>
        <v>#REF!</v>
      </c>
      <c r="HH345" t="e">
        <f>IF(#REF!,"AAAAAH7+N9c=",0)</f>
        <v>#REF!</v>
      </c>
      <c r="HI345" t="e">
        <f>IF(#REF!,"AAAAAH7+N9g=",0)</f>
        <v>#REF!</v>
      </c>
      <c r="HJ345" t="e">
        <f>IF(#REF!,"AAAAAH7+N9k=",0)</f>
        <v>#REF!</v>
      </c>
      <c r="HK345" t="e">
        <f>IF(#REF!,"AAAAAH7+N9o=",0)</f>
        <v>#REF!</v>
      </c>
      <c r="HL345" t="e">
        <f>IF(#REF!,"AAAAAH7+N9s=",0)</f>
        <v>#REF!</v>
      </c>
      <c r="HM345" t="e">
        <f>IF(#REF!,"AAAAAH7+N9w=",0)</f>
        <v>#REF!</v>
      </c>
      <c r="HN345" t="e">
        <f>IF(#REF!,"AAAAAH7+N90=",0)</f>
        <v>#REF!</v>
      </c>
      <c r="HO345" t="e">
        <f>IF(#REF!,"AAAAAH7+N94=",0)</f>
        <v>#REF!</v>
      </c>
      <c r="HP345" t="e">
        <f>IF(#REF!,"AAAAAH7+N98=",0)</f>
        <v>#REF!</v>
      </c>
      <c r="HQ345" t="e">
        <f>IF(#REF!,"AAAAAH7+N+A=",0)</f>
        <v>#REF!</v>
      </c>
      <c r="HR345" t="e">
        <f>IF(#REF!,"AAAAAH7+N+E=",0)</f>
        <v>#REF!</v>
      </c>
      <c r="HS345" t="e">
        <f>IF(#REF!,"AAAAAH7+N+I=",0)</f>
        <v>#REF!</v>
      </c>
      <c r="HT345" t="e">
        <f>IF(#REF!,"AAAAAH7+N+M=",0)</f>
        <v>#REF!</v>
      </c>
      <c r="HU345" t="e">
        <f>IF(#REF!,"AAAAAH7+N+Q=",0)</f>
        <v>#REF!</v>
      </c>
      <c r="HV345" t="e">
        <f>IF(#REF!,"AAAAAH7+N+U=",0)</f>
        <v>#REF!</v>
      </c>
      <c r="HW345" t="e">
        <f>IF(#REF!,"AAAAAH7+N+Y=",0)</f>
        <v>#REF!</v>
      </c>
      <c r="HX345" t="e">
        <f>IF(#REF!,"AAAAAH7+N+c=",0)</f>
        <v>#REF!</v>
      </c>
      <c r="HY345" t="e">
        <f>IF(#REF!,"AAAAAH7+N+g=",0)</f>
        <v>#REF!</v>
      </c>
      <c r="HZ345" t="e">
        <f>IF(#REF!,"AAAAAH7+N+k=",0)</f>
        <v>#REF!</v>
      </c>
      <c r="IA345" t="e">
        <f>IF(#REF!,"AAAAAH7+N+o=",0)</f>
        <v>#REF!</v>
      </c>
      <c r="IB345" t="e">
        <f>IF(#REF!,"AAAAAH7+N+s=",0)</f>
        <v>#REF!</v>
      </c>
      <c r="IC345" t="e">
        <f>IF(#REF!,"AAAAAH7+N+w=",0)</f>
        <v>#REF!</v>
      </c>
      <c r="ID345" t="e">
        <f>IF(#REF!,"AAAAAH7+N+0=",0)</f>
        <v>#REF!</v>
      </c>
      <c r="IE345" t="e">
        <f>IF(#REF!,"AAAAAH7+N+4=",0)</f>
        <v>#REF!</v>
      </c>
      <c r="IF345" t="e">
        <f>IF(#REF!,"AAAAAH7+N+8=",0)</f>
        <v>#REF!</v>
      </c>
      <c r="IG345" t="e">
        <f>IF(#REF!,"AAAAAH7+N/A=",0)</f>
        <v>#REF!</v>
      </c>
      <c r="IH345" t="e">
        <f>IF(#REF!,"AAAAAH7+N/E=",0)</f>
        <v>#REF!</v>
      </c>
      <c r="II345" t="e">
        <f>IF(#REF!,"AAAAAH7+N/I=",0)</f>
        <v>#REF!</v>
      </c>
      <c r="IJ345" t="e">
        <f>IF(#REF!,"AAAAAH7+N/M=",0)</f>
        <v>#REF!</v>
      </c>
      <c r="IK345" t="e">
        <f>IF(#REF!,"AAAAAH7+N/Q=",0)</f>
        <v>#REF!</v>
      </c>
      <c r="IL345" t="e">
        <f>IF(#REF!,"AAAAAH7+N/U=",0)</f>
        <v>#REF!</v>
      </c>
      <c r="IM345" t="e">
        <f>IF(#REF!,"AAAAAH7+N/Y=",0)</f>
        <v>#REF!</v>
      </c>
      <c r="IN345" t="e">
        <f>IF(#REF!,"AAAAAH7+N/c=",0)</f>
        <v>#REF!</v>
      </c>
      <c r="IO345" t="e">
        <f>IF(#REF!,"AAAAAH7+N/g=",0)</f>
        <v>#REF!</v>
      </c>
      <c r="IP345" t="e">
        <f>IF(#REF!,"AAAAAH7+N/k=",0)</f>
        <v>#REF!</v>
      </c>
      <c r="IQ345" t="e">
        <f>IF(#REF!,"AAAAAH7+N/o=",0)</f>
        <v>#REF!</v>
      </c>
      <c r="IR345" t="e">
        <f>IF(#REF!,"AAAAAH7+N/s=",0)</f>
        <v>#REF!</v>
      </c>
      <c r="IS345" t="e">
        <f>IF(#REF!,"AAAAAH7+N/w=",0)</f>
        <v>#REF!</v>
      </c>
      <c r="IT345" t="e">
        <f>IF(#REF!,"AAAAAH7+N/0=",0)</f>
        <v>#REF!</v>
      </c>
      <c r="IU345" t="e">
        <f>IF(#REF!,"AAAAAH7+N/4=",0)</f>
        <v>#REF!</v>
      </c>
      <c r="IV345" t="e">
        <f>IF(#REF!,"AAAAAH7+N/8=",0)</f>
        <v>#REF!</v>
      </c>
    </row>
    <row r="346" spans="1:256">
      <c r="A346" t="e">
        <f>IF(#REF!,"AAAAAH+MbwA=",0)</f>
        <v>#REF!</v>
      </c>
      <c r="B346" t="e">
        <f>IF(#REF!,"AAAAAH+MbwE=",0)</f>
        <v>#REF!</v>
      </c>
      <c r="C346" t="e">
        <f>IF(#REF!,"AAAAAH+MbwI=",0)</f>
        <v>#REF!</v>
      </c>
      <c r="D346" t="e">
        <f>IF(#REF!,"AAAAAH+MbwM=",0)</f>
        <v>#REF!</v>
      </c>
      <c r="E346" t="e">
        <f>IF(#REF!,"AAAAAH+MbwQ=",0)</f>
        <v>#REF!</v>
      </c>
      <c r="F346" t="e">
        <f>IF(#REF!,"AAAAAH+MbwU=",0)</f>
        <v>#REF!</v>
      </c>
      <c r="G346" t="e">
        <f>IF(#REF!,"AAAAAH+MbwY=",0)</f>
        <v>#REF!</v>
      </c>
      <c r="H346" t="e">
        <f>IF(#REF!,"AAAAAH+Mbwc=",0)</f>
        <v>#REF!</v>
      </c>
      <c r="I346" t="e">
        <f>IF(#REF!,"AAAAAH+Mbwg=",0)</f>
        <v>#REF!</v>
      </c>
      <c r="J346" t="e">
        <f>IF(#REF!,"AAAAAH+Mbwk=",0)</f>
        <v>#REF!</v>
      </c>
      <c r="K346" t="e">
        <f>IF(#REF!,"AAAAAH+Mbwo=",0)</f>
        <v>#REF!</v>
      </c>
      <c r="L346" t="e">
        <f>IF(#REF!,"AAAAAH+Mbws=",0)</f>
        <v>#REF!</v>
      </c>
      <c r="M346" t="e">
        <f>IF(#REF!,"AAAAAH+Mbww=",0)</f>
        <v>#REF!</v>
      </c>
      <c r="N346" t="e">
        <f>IF(#REF!,"AAAAAH+Mbw0=",0)</f>
        <v>#REF!</v>
      </c>
      <c r="O346" t="e">
        <f>IF(#REF!,"AAAAAH+Mbw4=",0)</f>
        <v>#REF!</v>
      </c>
      <c r="P346" t="e">
        <f>IF(#REF!,"AAAAAH+Mbw8=",0)</f>
        <v>#REF!</v>
      </c>
      <c r="Q346" t="e">
        <f>IF(#REF!,"AAAAAH+MbxA=",0)</f>
        <v>#REF!</v>
      </c>
      <c r="R346" t="e">
        <f>IF(#REF!,"AAAAAH+MbxE=",0)</f>
        <v>#REF!</v>
      </c>
      <c r="S346" t="e">
        <f>IF(#REF!,"AAAAAH+MbxI=",0)</f>
        <v>#REF!</v>
      </c>
      <c r="T346" t="e">
        <f>IF(#REF!,"AAAAAH+MbxM=",0)</f>
        <v>#REF!</v>
      </c>
      <c r="U346" t="e">
        <f>IF(#REF!,"AAAAAH+MbxQ=",0)</f>
        <v>#REF!</v>
      </c>
      <c r="V346" t="e">
        <f>IF(#REF!,"AAAAAH+MbxU=",0)</f>
        <v>#REF!</v>
      </c>
      <c r="W346" t="e">
        <f>IF(#REF!,"AAAAAH+MbxY=",0)</f>
        <v>#REF!</v>
      </c>
      <c r="X346" t="e">
        <f>IF(#REF!,"AAAAAH+Mbxc=",0)</f>
        <v>#REF!</v>
      </c>
      <c r="Y346" t="e">
        <f>IF(#REF!,"AAAAAH+Mbxg=",0)</f>
        <v>#REF!</v>
      </c>
      <c r="Z346" t="e">
        <f>IF(#REF!,"AAAAAH+Mbxk=",0)</f>
        <v>#REF!</v>
      </c>
      <c r="AA346" t="e">
        <f>IF(#REF!,"AAAAAH+Mbxo=",0)</f>
        <v>#REF!</v>
      </c>
      <c r="AB346" t="e">
        <f>IF(#REF!,"AAAAAH+Mbxs=",0)</f>
        <v>#REF!</v>
      </c>
      <c r="AC346" t="e">
        <f>IF(#REF!,"AAAAAH+Mbxw=",0)</f>
        <v>#REF!</v>
      </c>
      <c r="AD346" t="e">
        <f>IF(#REF!,"AAAAAH+Mbx0=",0)</f>
        <v>#REF!</v>
      </c>
      <c r="AE346" t="e">
        <f>IF(#REF!,"AAAAAH+Mbx4=",0)</f>
        <v>#REF!</v>
      </c>
      <c r="AF346" t="e">
        <f>IF(#REF!,"AAAAAH+Mbx8=",0)</f>
        <v>#REF!</v>
      </c>
      <c r="AG346" t="e">
        <f>IF(#REF!,"AAAAAH+MbyA=",0)</f>
        <v>#REF!</v>
      </c>
      <c r="AH346" t="e">
        <f>IF(#REF!,"AAAAAH+MbyE=",0)</f>
        <v>#REF!</v>
      </c>
      <c r="AI346" t="e">
        <f>IF(#REF!,"AAAAAH+MbyI=",0)</f>
        <v>#REF!</v>
      </c>
      <c r="AJ346" t="e">
        <f>IF(#REF!,"AAAAAH+MbyM=",0)</f>
        <v>#REF!</v>
      </c>
      <c r="AK346" t="e">
        <f>IF(#REF!,"AAAAAH+MbyQ=",0)</f>
        <v>#REF!</v>
      </c>
      <c r="AL346" t="e">
        <f>IF(#REF!,"AAAAAH+MbyU=",0)</f>
        <v>#REF!</v>
      </c>
      <c r="AM346" t="e">
        <f>IF(#REF!,"AAAAAH+MbyY=",0)</f>
        <v>#REF!</v>
      </c>
      <c r="AN346" t="e">
        <f>IF(#REF!,"AAAAAH+Mbyc=",0)</f>
        <v>#REF!</v>
      </c>
      <c r="AO346" t="e">
        <f>IF(#REF!,"AAAAAH+Mbyg=",0)</f>
        <v>#REF!</v>
      </c>
      <c r="AP346" t="e">
        <f>IF(#REF!,"AAAAAH+Mbyk=",0)</f>
        <v>#REF!</v>
      </c>
      <c r="AQ346" t="e">
        <f>IF(#REF!,"AAAAAH+Mbyo=",0)</f>
        <v>#REF!</v>
      </c>
      <c r="AR346" t="e">
        <f>IF(#REF!,"AAAAAH+Mbys=",0)</f>
        <v>#REF!</v>
      </c>
      <c r="AS346" t="e">
        <f>IF(#REF!,"AAAAAH+Mbyw=",0)</f>
        <v>#REF!</v>
      </c>
      <c r="AT346" t="e">
        <f>IF(#REF!,"AAAAAH+Mby0=",0)</f>
        <v>#REF!</v>
      </c>
      <c r="AU346" t="e">
        <f>IF(#REF!,"AAAAAH+Mby4=",0)</f>
        <v>#REF!</v>
      </c>
      <c r="AV346" t="e">
        <f>IF(#REF!,"AAAAAH+Mby8=",0)</f>
        <v>#REF!</v>
      </c>
      <c r="AW346" t="e">
        <f>IF(#REF!,"AAAAAH+MbzA=",0)</f>
        <v>#REF!</v>
      </c>
      <c r="AX346" t="e">
        <f>IF(#REF!,"AAAAAH+MbzE=",0)</f>
        <v>#REF!</v>
      </c>
      <c r="AY346" t="e">
        <f>IF(#REF!,"AAAAAH+MbzI=",0)</f>
        <v>#REF!</v>
      </c>
      <c r="AZ346" t="e">
        <f>IF(#REF!,"AAAAAH+MbzM=",0)</f>
        <v>#REF!</v>
      </c>
      <c r="BA346" t="e">
        <f>IF(#REF!,"AAAAAH+MbzQ=",0)</f>
        <v>#REF!</v>
      </c>
      <c r="BB346" t="e">
        <f>IF(#REF!,"AAAAAH+MbzU=",0)</f>
        <v>#REF!</v>
      </c>
      <c r="BC346" t="e">
        <f>IF(#REF!,"AAAAAH+MbzY=",0)</f>
        <v>#REF!</v>
      </c>
      <c r="BD346" t="e">
        <f>IF(#REF!,"AAAAAH+Mbzc=",0)</f>
        <v>#REF!</v>
      </c>
      <c r="BE346" t="e">
        <f>IF(#REF!,"AAAAAH+Mbzg=",0)</f>
        <v>#REF!</v>
      </c>
      <c r="BF346" t="e">
        <f>IF(#REF!,"AAAAAH+Mbzk=",0)</f>
        <v>#REF!</v>
      </c>
      <c r="BG346" t="e">
        <f>IF(#REF!,"AAAAAH+Mbzo=",0)</f>
        <v>#REF!</v>
      </c>
      <c r="BH346" t="e">
        <f>IF(#REF!,"AAAAAH+Mbzs=",0)</f>
        <v>#REF!</v>
      </c>
      <c r="BI346" t="e">
        <f>IF(#REF!,"AAAAAH+Mbzw=",0)</f>
        <v>#REF!</v>
      </c>
      <c r="BJ346" t="e">
        <f>IF(#REF!,"AAAAAH+Mbz0=",0)</f>
        <v>#REF!</v>
      </c>
      <c r="BK346" t="e">
        <f>IF(#REF!,"AAAAAH+Mbz4=",0)</f>
        <v>#REF!</v>
      </c>
      <c r="BL346" t="e">
        <f>IF(#REF!,"AAAAAH+Mbz8=",0)</f>
        <v>#REF!</v>
      </c>
      <c r="BM346" t="e">
        <f>IF(#REF!,"AAAAAH+Mb0A=",0)</f>
        <v>#REF!</v>
      </c>
      <c r="BN346" t="e">
        <f>IF(#REF!,"AAAAAH+Mb0E=",0)</f>
        <v>#REF!</v>
      </c>
      <c r="BO346" t="e">
        <f>IF(#REF!,"AAAAAH+Mb0I=",0)</f>
        <v>#REF!</v>
      </c>
      <c r="BP346" t="e">
        <f>IF(#REF!,"AAAAAH+Mb0M=",0)</f>
        <v>#REF!</v>
      </c>
      <c r="BQ346" t="e">
        <f>IF(#REF!,"AAAAAH+Mb0Q=",0)</f>
        <v>#REF!</v>
      </c>
      <c r="BR346" t="e">
        <f>IF(#REF!,"AAAAAH+Mb0U=",0)</f>
        <v>#REF!</v>
      </c>
      <c r="BS346" t="e">
        <f>IF(#REF!,"AAAAAH+Mb0Y=",0)</f>
        <v>#REF!</v>
      </c>
      <c r="BT346" t="e">
        <f>IF(#REF!,"AAAAAH+Mb0c=",0)</f>
        <v>#REF!</v>
      </c>
      <c r="BU346" t="e">
        <f>IF(#REF!,"AAAAAH+Mb0g=",0)</f>
        <v>#REF!</v>
      </c>
      <c r="BV346" t="e">
        <f>IF(#REF!,"AAAAAH+Mb0k=",0)</f>
        <v>#REF!</v>
      </c>
      <c r="BW346" t="e">
        <f>IF(#REF!,"AAAAAH+Mb0o=",0)</f>
        <v>#REF!</v>
      </c>
      <c r="BX346" t="e">
        <f>IF(#REF!,"AAAAAH+Mb0s=",0)</f>
        <v>#REF!</v>
      </c>
      <c r="BY346" t="e">
        <f>IF(#REF!,"AAAAAH+Mb0w=",0)</f>
        <v>#REF!</v>
      </c>
      <c r="BZ346" t="e">
        <f>IF(#REF!,"AAAAAH+Mb00=",0)</f>
        <v>#REF!</v>
      </c>
      <c r="CA346" t="e">
        <f>IF(#REF!,"AAAAAH+Mb04=",0)</f>
        <v>#REF!</v>
      </c>
      <c r="CB346" t="e">
        <f>IF(#REF!,"AAAAAH+Mb08=",0)</f>
        <v>#REF!</v>
      </c>
      <c r="CC346" t="e">
        <f>IF(#REF!,"AAAAAH+Mb1A=",0)</f>
        <v>#REF!</v>
      </c>
      <c r="CD346" t="e">
        <f>IF(#REF!,"AAAAAH+Mb1E=",0)</f>
        <v>#REF!</v>
      </c>
      <c r="CE346" t="e">
        <f>IF(#REF!,"AAAAAH+Mb1I=",0)</f>
        <v>#REF!</v>
      </c>
      <c r="CF346" t="e">
        <f>IF(#REF!,"AAAAAH+Mb1M=",0)</f>
        <v>#REF!</v>
      </c>
      <c r="CG346" t="e">
        <f>IF(#REF!,"AAAAAH+Mb1Q=",0)</f>
        <v>#REF!</v>
      </c>
      <c r="CH346" t="e">
        <f>IF(#REF!,"AAAAAH+Mb1U=",0)</f>
        <v>#REF!</v>
      </c>
      <c r="CI346" t="e">
        <f>IF(#REF!,"AAAAAH+Mb1Y=",0)</f>
        <v>#REF!</v>
      </c>
      <c r="CJ346" t="e">
        <f>IF(#REF!,"AAAAAH+Mb1c=",0)</f>
        <v>#REF!</v>
      </c>
      <c r="CK346" t="e">
        <f>IF(#REF!,"AAAAAH+Mb1g=",0)</f>
        <v>#REF!</v>
      </c>
      <c r="CL346" t="e">
        <f>IF(#REF!,"AAAAAH+Mb1k=",0)</f>
        <v>#REF!</v>
      </c>
      <c r="CM346" t="e">
        <f>IF(#REF!,"AAAAAH+Mb1o=",0)</f>
        <v>#REF!</v>
      </c>
      <c r="CN346" t="e">
        <f>IF(#REF!,"AAAAAH+Mb1s=",0)</f>
        <v>#REF!</v>
      </c>
      <c r="CO346" t="e">
        <f>IF(#REF!,"AAAAAH+Mb1w=",0)</f>
        <v>#REF!</v>
      </c>
      <c r="CP346" t="e">
        <f>IF(#REF!,"AAAAAH+Mb10=",0)</f>
        <v>#REF!</v>
      </c>
      <c r="CQ346" t="e">
        <f>IF(#REF!,"AAAAAH+Mb14=",0)</f>
        <v>#REF!</v>
      </c>
      <c r="CR346" t="e">
        <f>IF(#REF!,"AAAAAH+Mb18=",0)</f>
        <v>#REF!</v>
      </c>
      <c r="CS346" t="e">
        <f>IF(#REF!,"AAAAAH+Mb2A=",0)</f>
        <v>#REF!</v>
      </c>
      <c r="CT346" t="e">
        <f>IF(#REF!,"AAAAAH+Mb2E=",0)</f>
        <v>#REF!</v>
      </c>
      <c r="CU346" t="e">
        <f>IF(#REF!,"AAAAAH+Mb2I=",0)</f>
        <v>#REF!</v>
      </c>
      <c r="CV346" t="e">
        <f>IF(#REF!,"AAAAAH+Mb2M=",0)</f>
        <v>#REF!</v>
      </c>
      <c r="CW346" t="e">
        <f>IF(#REF!,"AAAAAH+Mb2Q=",0)</f>
        <v>#REF!</v>
      </c>
      <c r="CX346" t="e">
        <f>IF(#REF!,"AAAAAH+Mb2U=",0)</f>
        <v>#REF!</v>
      </c>
      <c r="CY346" t="e">
        <f>IF(#REF!,"AAAAAH+Mb2Y=",0)</f>
        <v>#REF!</v>
      </c>
      <c r="CZ346" t="e">
        <f>IF(#REF!,"AAAAAH+Mb2c=",0)</f>
        <v>#REF!</v>
      </c>
      <c r="DA346" t="e">
        <f>IF(#REF!,"AAAAAH+Mb2g=",0)</f>
        <v>#REF!</v>
      </c>
      <c r="DB346" t="e">
        <f>IF(#REF!,"AAAAAH+Mb2k=",0)</f>
        <v>#REF!</v>
      </c>
      <c r="DC346" t="e">
        <f>IF(#REF!,"AAAAAH+Mb2o=",0)</f>
        <v>#REF!</v>
      </c>
      <c r="DD346" t="e">
        <f>IF(#REF!,"AAAAAH+Mb2s=",0)</f>
        <v>#REF!</v>
      </c>
      <c r="DE346" t="e">
        <f>IF(#REF!,"AAAAAH+Mb2w=",0)</f>
        <v>#REF!</v>
      </c>
      <c r="DF346" t="e">
        <f>IF(#REF!,"AAAAAH+Mb20=",0)</f>
        <v>#REF!</v>
      </c>
      <c r="DG346" t="e">
        <f>IF(#REF!,"AAAAAH+Mb24=",0)</f>
        <v>#REF!</v>
      </c>
      <c r="DH346" t="e">
        <f>IF(#REF!,"AAAAAH+Mb28=",0)</f>
        <v>#REF!</v>
      </c>
      <c r="DI346" t="e">
        <f>IF(#REF!,"AAAAAH+Mb3A=",0)</f>
        <v>#REF!</v>
      </c>
      <c r="DJ346" t="e">
        <f>IF(#REF!,"AAAAAH+Mb3E=",0)</f>
        <v>#REF!</v>
      </c>
      <c r="DK346" t="e">
        <f>IF(#REF!,"AAAAAH+Mb3I=",0)</f>
        <v>#REF!</v>
      </c>
      <c r="DL346" t="e">
        <f>IF(#REF!,"AAAAAH+Mb3M=",0)</f>
        <v>#REF!</v>
      </c>
      <c r="DM346" t="e">
        <f>IF(#REF!,"AAAAAH+Mb3Q=",0)</f>
        <v>#REF!</v>
      </c>
      <c r="DN346" t="e">
        <f>IF(#REF!,"AAAAAH+Mb3U=",0)</f>
        <v>#REF!</v>
      </c>
      <c r="DO346" t="e">
        <f>IF(#REF!,"AAAAAH+Mb3Y=",0)</f>
        <v>#REF!</v>
      </c>
      <c r="DP346" t="e">
        <f>IF(#REF!,"AAAAAH+Mb3c=",0)</f>
        <v>#REF!</v>
      </c>
      <c r="DQ346" t="e">
        <f>IF(#REF!,"AAAAAH+Mb3g=",0)</f>
        <v>#REF!</v>
      </c>
      <c r="DR346" t="e">
        <f>IF(#REF!,"AAAAAH+Mb3k=",0)</f>
        <v>#REF!</v>
      </c>
      <c r="DS346" t="e">
        <f>IF(#REF!,"AAAAAH+Mb3o=",0)</f>
        <v>#REF!</v>
      </c>
      <c r="DT346" t="e">
        <f>IF(#REF!,"AAAAAH+Mb3s=",0)</f>
        <v>#REF!</v>
      </c>
      <c r="DU346" t="e">
        <f>IF(#REF!,"AAAAAH+Mb3w=",0)</f>
        <v>#REF!</v>
      </c>
      <c r="DV346" t="e">
        <f>IF(#REF!,"AAAAAH+Mb30=",0)</f>
        <v>#REF!</v>
      </c>
      <c r="DW346" t="e">
        <f>IF(#REF!,"AAAAAH+Mb34=",0)</f>
        <v>#REF!</v>
      </c>
      <c r="DX346" t="e">
        <f>IF(#REF!,"AAAAAH+Mb38=",0)</f>
        <v>#REF!</v>
      </c>
      <c r="DY346" t="e">
        <f>IF(#REF!,"AAAAAH+Mb4A=",0)</f>
        <v>#REF!</v>
      </c>
      <c r="DZ346" t="e">
        <f>IF(#REF!,"AAAAAH+Mb4E=",0)</f>
        <v>#REF!</v>
      </c>
      <c r="EA346" t="e">
        <f>IF(#REF!,"AAAAAH+Mb4I=",0)</f>
        <v>#REF!</v>
      </c>
      <c r="EB346" t="e">
        <f>IF(#REF!,"AAAAAH+Mb4M=",0)</f>
        <v>#REF!</v>
      </c>
      <c r="EC346" t="e">
        <f>IF(#REF!,"AAAAAH+Mb4Q=",0)</f>
        <v>#REF!</v>
      </c>
      <c r="ED346" t="e">
        <f>IF(#REF!,"AAAAAH+Mb4U=",0)</f>
        <v>#REF!</v>
      </c>
      <c r="EE346" t="e">
        <f>IF(#REF!,"AAAAAH+Mb4Y=",0)</f>
        <v>#REF!</v>
      </c>
      <c r="EF346" t="e">
        <f>IF(#REF!,"AAAAAH+Mb4c=",0)</f>
        <v>#REF!</v>
      </c>
      <c r="EG346" t="e">
        <f>IF(#REF!,"AAAAAH+Mb4g=",0)</f>
        <v>#REF!</v>
      </c>
      <c r="EH346" t="e">
        <f>IF(#REF!,"AAAAAH+Mb4k=",0)</f>
        <v>#REF!</v>
      </c>
      <c r="EI346" t="e">
        <f>IF(#REF!,"AAAAAH+Mb4o=",0)</f>
        <v>#REF!</v>
      </c>
      <c r="EJ346" t="e">
        <f>IF(#REF!,"AAAAAH+Mb4s=",0)</f>
        <v>#REF!</v>
      </c>
      <c r="EK346" t="e">
        <f>IF(#REF!,"AAAAAH+Mb4w=",0)</f>
        <v>#REF!</v>
      </c>
      <c r="EL346" t="e">
        <f>IF(#REF!,"AAAAAH+Mb40=",0)</f>
        <v>#REF!</v>
      </c>
      <c r="EM346" t="e">
        <f>IF(#REF!,"AAAAAH+Mb44=",0)</f>
        <v>#REF!</v>
      </c>
      <c r="EN346" t="e">
        <f>IF(#REF!,"AAAAAH+Mb48=",0)</f>
        <v>#REF!</v>
      </c>
      <c r="EO346" t="e">
        <f>IF(#REF!,"AAAAAH+Mb5A=",0)</f>
        <v>#REF!</v>
      </c>
      <c r="EP346" t="e">
        <f>IF(#REF!,"AAAAAH+Mb5E=",0)</f>
        <v>#REF!</v>
      </c>
      <c r="EQ346" t="e">
        <f>IF(#REF!,"AAAAAH+Mb5I=",0)</f>
        <v>#REF!</v>
      </c>
      <c r="ER346" t="e">
        <f>IF(#REF!,"AAAAAH+Mb5M=",0)</f>
        <v>#REF!</v>
      </c>
      <c r="ES346" t="e">
        <f>IF(#REF!,"AAAAAH+Mb5Q=",0)</f>
        <v>#REF!</v>
      </c>
      <c r="ET346" t="e">
        <f>IF(#REF!,"AAAAAH+Mb5U=",0)</f>
        <v>#REF!</v>
      </c>
      <c r="EU346" t="e">
        <f>IF(#REF!,"AAAAAH+Mb5Y=",0)</f>
        <v>#REF!</v>
      </c>
      <c r="EV346" t="e">
        <f>IF(#REF!,"AAAAAH+Mb5c=",0)</f>
        <v>#REF!</v>
      </c>
      <c r="EW346" t="e">
        <f>IF(#REF!,"AAAAAH+Mb5g=",0)</f>
        <v>#REF!</v>
      </c>
      <c r="EX346" t="e">
        <f>IF(#REF!,"AAAAAH+Mb5k=",0)</f>
        <v>#REF!</v>
      </c>
      <c r="EY346" t="e">
        <f>IF(#REF!,"AAAAAH+Mb5o=",0)</f>
        <v>#REF!</v>
      </c>
      <c r="EZ346" t="e">
        <f>IF(#REF!,"AAAAAH+Mb5s=",0)</f>
        <v>#REF!</v>
      </c>
      <c r="FA346" t="e">
        <f>IF(#REF!,"AAAAAH+Mb5w=",0)</f>
        <v>#REF!</v>
      </c>
      <c r="FB346" t="e">
        <f>IF(#REF!,"AAAAAH+Mb50=",0)</f>
        <v>#REF!</v>
      </c>
      <c r="FC346" t="e">
        <f>IF(#REF!,"AAAAAH+Mb54=",0)</f>
        <v>#REF!</v>
      </c>
      <c r="FD346" t="e">
        <f>IF(#REF!,"AAAAAH+Mb58=",0)</f>
        <v>#REF!</v>
      </c>
      <c r="FE346" t="e">
        <f>IF(#REF!,"AAAAAH+Mb6A=",0)</f>
        <v>#REF!</v>
      </c>
      <c r="FF346" t="e">
        <f>IF(#REF!,"AAAAAH+Mb6E=",0)</f>
        <v>#REF!</v>
      </c>
      <c r="FG346" t="e">
        <f>IF(#REF!,"AAAAAH+Mb6I=",0)</f>
        <v>#REF!</v>
      </c>
      <c r="FH346" t="e">
        <f>IF(#REF!,"AAAAAH+Mb6M=",0)</f>
        <v>#REF!</v>
      </c>
      <c r="FI346" t="e">
        <f>IF(#REF!,"AAAAAH+Mb6Q=",0)</f>
        <v>#REF!</v>
      </c>
      <c r="FJ346" t="e">
        <f>IF(#REF!,"AAAAAH+Mb6U=",0)</f>
        <v>#REF!</v>
      </c>
      <c r="FK346" t="e">
        <f>IF(#REF!,"AAAAAH+Mb6Y=",0)</f>
        <v>#REF!</v>
      </c>
      <c r="FL346" t="e">
        <f>IF(#REF!,"AAAAAH+Mb6c=",0)</f>
        <v>#REF!</v>
      </c>
      <c r="FM346" t="e">
        <f>IF(#REF!,"AAAAAH+Mb6g=",0)</f>
        <v>#REF!</v>
      </c>
      <c r="FN346" t="e">
        <f>IF(#REF!,"AAAAAH+Mb6k=",0)</f>
        <v>#REF!</v>
      </c>
      <c r="FO346" t="e">
        <f>IF(#REF!,"AAAAAH+Mb6o=",0)</f>
        <v>#REF!</v>
      </c>
      <c r="FP346" t="e">
        <f>IF(#REF!,"AAAAAH+Mb6s=",0)</f>
        <v>#REF!</v>
      </c>
      <c r="FQ346" t="e">
        <f>IF(#REF!,"AAAAAH+Mb6w=",0)</f>
        <v>#REF!</v>
      </c>
      <c r="FR346" t="e">
        <f>IF(#REF!,"AAAAAH+Mb60=",0)</f>
        <v>#REF!</v>
      </c>
      <c r="FS346" t="e">
        <f>IF(#REF!,"AAAAAH+Mb64=",0)</f>
        <v>#REF!</v>
      </c>
      <c r="FT346" t="e">
        <f>IF(#REF!,"AAAAAH+Mb68=",0)</f>
        <v>#REF!</v>
      </c>
      <c r="FU346" t="e">
        <f>IF(#REF!,"AAAAAH+Mb7A=",0)</f>
        <v>#REF!</v>
      </c>
      <c r="FV346" t="e">
        <f>IF(#REF!,"AAAAAH+Mb7E=",0)</f>
        <v>#REF!</v>
      </c>
      <c r="FW346" t="e">
        <f>IF(#REF!,"AAAAAH+Mb7I=",0)</f>
        <v>#REF!</v>
      </c>
      <c r="FX346" t="e">
        <f>IF(#REF!,"AAAAAH+Mb7M=",0)</f>
        <v>#REF!</v>
      </c>
      <c r="FY346" t="e">
        <f>IF(#REF!,"AAAAAH+Mb7Q=",0)</f>
        <v>#REF!</v>
      </c>
      <c r="FZ346" t="e">
        <f>IF(#REF!,"AAAAAH+Mb7U=",0)</f>
        <v>#REF!</v>
      </c>
      <c r="GA346" t="e">
        <f>IF(#REF!,"AAAAAH+Mb7Y=",0)</f>
        <v>#REF!</v>
      </c>
      <c r="GB346" t="e">
        <f>IF(#REF!,"AAAAAH+Mb7c=",0)</f>
        <v>#REF!</v>
      </c>
      <c r="GC346" t="e">
        <f>IF(#REF!,"AAAAAH+Mb7g=",0)</f>
        <v>#REF!</v>
      </c>
      <c r="GD346" t="e">
        <f>IF(#REF!,"AAAAAH+Mb7k=",0)</f>
        <v>#REF!</v>
      </c>
      <c r="GE346" t="e">
        <f>IF(#REF!,"AAAAAH+Mb7o=",0)</f>
        <v>#REF!</v>
      </c>
      <c r="GF346" t="e">
        <f>IF(#REF!,"AAAAAH+Mb7s=",0)</f>
        <v>#REF!</v>
      </c>
      <c r="GG346" t="e">
        <f>IF(#REF!,"AAAAAH+Mb7w=",0)</f>
        <v>#REF!</v>
      </c>
      <c r="GH346" t="e">
        <f>IF(#REF!,"AAAAAH+Mb70=",0)</f>
        <v>#REF!</v>
      </c>
      <c r="GI346" t="e">
        <f>IF(#REF!,"AAAAAH+Mb74=",0)</f>
        <v>#REF!</v>
      </c>
      <c r="GJ346" t="e">
        <f>IF(#REF!,"AAAAAH+Mb78=",0)</f>
        <v>#REF!</v>
      </c>
      <c r="GK346" t="e">
        <f>IF(#REF!,"AAAAAH+Mb8A=",0)</f>
        <v>#REF!</v>
      </c>
      <c r="GL346" t="e">
        <f>IF(#REF!,"AAAAAH+Mb8E=",0)</f>
        <v>#REF!</v>
      </c>
      <c r="GM346" t="e">
        <f>IF(#REF!,"AAAAAH+Mb8I=",0)</f>
        <v>#REF!</v>
      </c>
      <c r="GN346" t="e">
        <f>IF(#REF!,"AAAAAH+Mb8M=",0)</f>
        <v>#REF!</v>
      </c>
      <c r="GO346" t="e">
        <f>IF(#REF!,"AAAAAH+Mb8Q=",0)</f>
        <v>#REF!</v>
      </c>
      <c r="GP346" t="e">
        <f>IF(#REF!,"AAAAAH+Mb8U=",0)</f>
        <v>#REF!</v>
      </c>
      <c r="GQ346" t="e">
        <f>IF(#REF!,"AAAAAH+Mb8Y=",0)</f>
        <v>#REF!</v>
      </c>
      <c r="GR346" t="e">
        <f>IF(#REF!,"AAAAAH+Mb8c=",0)</f>
        <v>#REF!</v>
      </c>
      <c r="GS346" t="e">
        <f>IF(#REF!,"AAAAAH+Mb8g=",0)</f>
        <v>#REF!</v>
      </c>
      <c r="GT346" t="e">
        <f>IF(#REF!,"AAAAAH+Mb8k=",0)</f>
        <v>#REF!</v>
      </c>
      <c r="GU346" t="e">
        <f>IF(#REF!,"AAAAAH+Mb8o=",0)</f>
        <v>#REF!</v>
      </c>
      <c r="GV346" t="e">
        <f>IF(#REF!,"AAAAAH+Mb8s=",0)</f>
        <v>#REF!</v>
      </c>
      <c r="GW346" t="e">
        <f>IF(#REF!,"AAAAAH+Mb8w=",0)</f>
        <v>#REF!</v>
      </c>
      <c r="GX346" t="e">
        <f>IF(#REF!,"AAAAAH+Mb80=",0)</f>
        <v>#REF!</v>
      </c>
      <c r="GY346" t="e">
        <f>IF(#REF!,"AAAAAH+Mb84=",0)</f>
        <v>#REF!</v>
      </c>
      <c r="GZ346" t="e">
        <f>IF(#REF!,"AAAAAH+Mb88=",0)</f>
        <v>#REF!</v>
      </c>
      <c r="HA346" t="e">
        <f>IF(#REF!,"AAAAAH+Mb9A=",0)</f>
        <v>#REF!</v>
      </c>
      <c r="HB346" t="e">
        <f>IF(#REF!,"AAAAAH+Mb9E=",0)</f>
        <v>#REF!</v>
      </c>
      <c r="HC346" t="e">
        <f>IF(#REF!,"AAAAAH+Mb9I=",0)</f>
        <v>#REF!</v>
      </c>
      <c r="HD346" t="e">
        <f>IF(#REF!,"AAAAAH+Mb9M=",0)</f>
        <v>#REF!</v>
      </c>
      <c r="HE346" t="e">
        <f>IF(#REF!,"AAAAAH+Mb9Q=",0)</f>
        <v>#REF!</v>
      </c>
      <c r="HF346" t="e">
        <f>IF(#REF!,"AAAAAH+Mb9U=",0)</f>
        <v>#REF!</v>
      </c>
      <c r="HG346" t="e">
        <f>IF(#REF!,"AAAAAH+Mb9Y=",0)</f>
        <v>#REF!</v>
      </c>
      <c r="HH346" t="e">
        <f>IF(#REF!,"AAAAAH+Mb9c=",0)</f>
        <v>#REF!</v>
      </c>
      <c r="HI346" t="e">
        <f>IF(#REF!,"AAAAAH+Mb9g=",0)</f>
        <v>#REF!</v>
      </c>
      <c r="HJ346" t="e">
        <f>IF(#REF!,"AAAAAH+Mb9k=",0)</f>
        <v>#REF!</v>
      </c>
      <c r="HK346" t="e">
        <f>IF(#REF!,"AAAAAH+Mb9o=",0)</f>
        <v>#REF!</v>
      </c>
      <c r="HL346" t="e">
        <f>IF(#REF!,"AAAAAH+Mb9s=",0)</f>
        <v>#REF!</v>
      </c>
      <c r="HM346" t="e">
        <f>IF(#REF!,"AAAAAH+Mb9w=",0)</f>
        <v>#REF!</v>
      </c>
      <c r="HN346" t="e">
        <f>IF(#REF!,"AAAAAH+Mb90=",0)</f>
        <v>#REF!</v>
      </c>
      <c r="HO346" t="e">
        <f>IF(#REF!,"AAAAAH+Mb94=",0)</f>
        <v>#REF!</v>
      </c>
      <c r="HP346" t="e">
        <f>IF(#REF!,"AAAAAH+Mb98=",0)</f>
        <v>#REF!</v>
      </c>
      <c r="HQ346" t="e">
        <f>IF(#REF!,"AAAAAH+Mb+A=",0)</f>
        <v>#REF!</v>
      </c>
      <c r="HR346" t="e">
        <f>IF(#REF!,"AAAAAH+Mb+E=",0)</f>
        <v>#REF!</v>
      </c>
      <c r="HS346" t="e">
        <f>IF(#REF!,"AAAAAH+Mb+I=",0)</f>
        <v>#REF!</v>
      </c>
      <c r="HT346" t="e">
        <f>IF(#REF!,"AAAAAH+Mb+M=",0)</f>
        <v>#REF!</v>
      </c>
      <c r="HU346" t="e">
        <f>IF(#REF!,"AAAAAH+Mb+Q=",0)</f>
        <v>#REF!</v>
      </c>
      <c r="HV346" t="e">
        <f>IF(#REF!,"AAAAAH+Mb+U=",0)</f>
        <v>#REF!</v>
      </c>
      <c r="HW346" t="e">
        <f>IF(#REF!,"AAAAAH+Mb+Y=",0)</f>
        <v>#REF!</v>
      </c>
      <c r="HX346" t="e">
        <f>IF(#REF!,"AAAAAH+Mb+c=",0)</f>
        <v>#REF!</v>
      </c>
      <c r="HY346" t="e">
        <f>IF(#REF!,"AAAAAH+Mb+g=",0)</f>
        <v>#REF!</v>
      </c>
      <c r="HZ346" t="e">
        <f>IF(#REF!,"AAAAAH+Mb+k=",0)</f>
        <v>#REF!</v>
      </c>
      <c r="IA346" t="e">
        <f>IF(#REF!,"AAAAAH+Mb+o=",0)</f>
        <v>#REF!</v>
      </c>
      <c r="IB346" t="e">
        <f>IF(#REF!,"AAAAAH+Mb+s=",0)</f>
        <v>#REF!</v>
      </c>
      <c r="IC346" t="e">
        <f>IF(#REF!,"AAAAAH+Mb+w=",0)</f>
        <v>#REF!</v>
      </c>
      <c r="ID346" t="e">
        <f>IF(#REF!,"AAAAAH+Mb+0=",0)</f>
        <v>#REF!</v>
      </c>
      <c r="IE346" t="e">
        <f>IF(#REF!,"AAAAAH+Mb+4=",0)</f>
        <v>#REF!</v>
      </c>
      <c r="IF346" t="e">
        <f>IF(#REF!,"AAAAAH+Mb+8=",0)</f>
        <v>#REF!</v>
      </c>
      <c r="IG346" t="e">
        <f>IF(#REF!,"AAAAAH+Mb/A=",0)</f>
        <v>#REF!</v>
      </c>
      <c r="IH346" t="e">
        <f>IF(#REF!,"AAAAAH+Mb/E=",0)</f>
        <v>#REF!</v>
      </c>
      <c r="II346" t="e">
        <f>IF(#REF!,"AAAAAH+Mb/I=",0)</f>
        <v>#REF!</v>
      </c>
      <c r="IJ346" t="e">
        <f>IF(#REF!,"AAAAAH+Mb/M=",0)</f>
        <v>#REF!</v>
      </c>
      <c r="IK346" t="e">
        <f>IF(#REF!,"AAAAAH+Mb/Q=",0)</f>
        <v>#REF!</v>
      </c>
      <c r="IL346" t="e">
        <f>IF(#REF!,"AAAAAH+Mb/U=",0)</f>
        <v>#REF!</v>
      </c>
      <c r="IM346" t="e">
        <f>IF(#REF!,"AAAAAH+Mb/Y=",0)</f>
        <v>#REF!</v>
      </c>
      <c r="IN346" t="e">
        <f>IF(#REF!,"AAAAAH+Mb/c=",0)</f>
        <v>#REF!</v>
      </c>
      <c r="IO346" t="e">
        <f>IF(#REF!,"AAAAAH+Mb/g=",0)</f>
        <v>#REF!</v>
      </c>
      <c r="IP346" t="e">
        <f>IF(#REF!,"AAAAAH+Mb/k=",0)</f>
        <v>#REF!</v>
      </c>
      <c r="IQ346" t="e">
        <f>IF(#REF!,"AAAAAH+Mb/o=",0)</f>
        <v>#REF!</v>
      </c>
      <c r="IR346" t="e">
        <f>IF(#REF!,"AAAAAH+Mb/s=",0)</f>
        <v>#REF!</v>
      </c>
      <c r="IS346" t="e">
        <f>IF(#REF!,"AAAAAH+Mb/w=",0)</f>
        <v>#REF!</v>
      </c>
      <c r="IT346" t="e">
        <f>IF(#REF!,"AAAAAH+Mb/0=",0)</f>
        <v>#REF!</v>
      </c>
      <c r="IU346" t="e">
        <f>IF(#REF!,"AAAAAH+Mb/4=",0)</f>
        <v>#REF!</v>
      </c>
      <c r="IV346" t="e">
        <f>IF(#REF!,"AAAAAH+Mb/8=",0)</f>
        <v>#REF!</v>
      </c>
    </row>
    <row r="347" spans="1:256">
      <c r="A347" t="e">
        <f>IF(#REF!,"AAAAAF+3fwA=",0)</f>
        <v>#REF!</v>
      </c>
      <c r="B347" t="e">
        <f>IF(#REF!,"AAAAAF+3fwE=",0)</f>
        <v>#REF!</v>
      </c>
      <c r="C347" t="e">
        <f>IF(#REF!,"AAAAAF+3fwI=",0)</f>
        <v>#REF!</v>
      </c>
      <c r="D347" t="e">
        <f>IF(#REF!,"AAAAAF+3fwM=",0)</f>
        <v>#REF!</v>
      </c>
      <c r="E347" t="e">
        <f>IF(#REF!,"AAAAAF+3fwQ=",0)</f>
        <v>#REF!</v>
      </c>
      <c r="F347" t="e">
        <f>IF(#REF!,"AAAAAF+3fwU=",0)</f>
        <v>#REF!</v>
      </c>
      <c r="G347" t="e">
        <f>IF(#REF!,"AAAAAF+3fwY=",0)</f>
        <v>#REF!</v>
      </c>
      <c r="H347" t="e">
        <f>IF(#REF!,"AAAAAF+3fwc=",0)</f>
        <v>#REF!</v>
      </c>
      <c r="I347" t="e">
        <f>IF(#REF!,"AAAAAF+3fwg=",0)</f>
        <v>#REF!</v>
      </c>
      <c r="J347" t="e">
        <f>IF(#REF!,"AAAAAF+3fwk=",0)</f>
        <v>#REF!</v>
      </c>
      <c r="K347" t="e">
        <f>IF(#REF!,"AAAAAF+3fwo=",0)</f>
        <v>#REF!</v>
      </c>
      <c r="L347" t="e">
        <f>IF(#REF!,"AAAAAF+3fws=",0)</f>
        <v>#REF!</v>
      </c>
      <c r="M347" t="e">
        <f>IF(#REF!,"AAAAAF+3fww=",0)</f>
        <v>#REF!</v>
      </c>
      <c r="N347" t="e">
        <f>IF(#REF!,"AAAAAF+3fw0=",0)</f>
        <v>#REF!</v>
      </c>
      <c r="O347" t="e">
        <f>IF(#REF!,"AAAAAF+3fw4=",0)</f>
        <v>#REF!</v>
      </c>
      <c r="P347" t="e">
        <f>IF(#REF!,"AAAAAF+3fw8=",0)</f>
        <v>#REF!</v>
      </c>
      <c r="Q347" t="e">
        <f>IF(#REF!,"AAAAAF+3fxA=",0)</f>
        <v>#REF!</v>
      </c>
      <c r="R347" t="e">
        <f>IF(#REF!,"AAAAAF+3fxE=",0)</f>
        <v>#REF!</v>
      </c>
      <c r="S347" t="e">
        <f>IF(#REF!,"AAAAAF+3fxI=",0)</f>
        <v>#REF!</v>
      </c>
      <c r="T347" t="e">
        <f>IF(#REF!,"AAAAAF+3fxM=",0)</f>
        <v>#REF!</v>
      </c>
      <c r="U347" t="e">
        <f>IF(#REF!,"AAAAAF+3fxQ=",0)</f>
        <v>#REF!</v>
      </c>
      <c r="V347" t="e">
        <f>IF(#REF!,"AAAAAF+3fxU=",0)</f>
        <v>#REF!</v>
      </c>
      <c r="W347" t="e">
        <f>IF(#REF!,"AAAAAF+3fxY=",0)</f>
        <v>#REF!</v>
      </c>
      <c r="X347" t="e">
        <f>IF(#REF!,"AAAAAF+3fxc=",0)</f>
        <v>#REF!</v>
      </c>
      <c r="Y347" t="e">
        <f>IF(#REF!,"AAAAAF+3fxg=",0)</f>
        <v>#REF!</v>
      </c>
      <c r="Z347" t="e">
        <f>IF(#REF!,"AAAAAF+3fxk=",0)</f>
        <v>#REF!</v>
      </c>
      <c r="AA347" t="e">
        <f>IF(#REF!,"AAAAAF+3fxo=",0)</f>
        <v>#REF!</v>
      </c>
      <c r="AB347" t="e">
        <f>IF(#REF!,"AAAAAF+3fxs=",0)</f>
        <v>#REF!</v>
      </c>
      <c r="AC347" t="e">
        <f>IF(#REF!,"AAAAAF+3fxw=",0)</f>
        <v>#REF!</v>
      </c>
      <c r="AD347" t="e">
        <f>IF(#REF!,"AAAAAF+3fx0=",0)</f>
        <v>#REF!</v>
      </c>
      <c r="AE347" t="e">
        <f>IF(#REF!,"AAAAAF+3fx4=",0)</f>
        <v>#REF!</v>
      </c>
      <c r="AF347" t="e">
        <f>IF(#REF!,"AAAAAF+3fx8=",0)</f>
        <v>#REF!</v>
      </c>
      <c r="AG347" t="e">
        <f>IF(#REF!,"AAAAAF+3fyA=",0)</f>
        <v>#REF!</v>
      </c>
      <c r="AH347" t="e">
        <f>IF(#REF!,"AAAAAF+3fyE=",0)</f>
        <v>#REF!</v>
      </c>
      <c r="AI347" t="e">
        <f>IF(#REF!,"AAAAAF+3fyI=",0)</f>
        <v>#REF!</v>
      </c>
      <c r="AJ347" t="e">
        <f>IF(#REF!,"AAAAAF+3fyM=",0)</f>
        <v>#REF!</v>
      </c>
      <c r="AK347" t="e">
        <f>IF(#REF!,"AAAAAF+3fyQ=",0)</f>
        <v>#REF!</v>
      </c>
      <c r="AL347" t="e">
        <f>IF(#REF!,"AAAAAF+3fyU=",0)</f>
        <v>#REF!</v>
      </c>
      <c r="AM347" t="e">
        <f>IF(#REF!,"AAAAAF+3fyY=",0)</f>
        <v>#REF!</v>
      </c>
      <c r="AN347" t="e">
        <f>IF(#REF!,"AAAAAF+3fyc=",0)</f>
        <v>#REF!</v>
      </c>
      <c r="AO347" t="e">
        <f>IF(#REF!,"AAAAAF+3fyg=",0)</f>
        <v>#REF!</v>
      </c>
      <c r="AP347" t="e">
        <f>IF(#REF!,"AAAAAF+3fyk=",0)</f>
        <v>#REF!</v>
      </c>
      <c r="AQ347" t="e">
        <f>IF(#REF!,"AAAAAF+3fyo=",0)</f>
        <v>#REF!</v>
      </c>
      <c r="AR347" t="e">
        <f>IF(#REF!,"AAAAAF+3fys=",0)</f>
        <v>#REF!</v>
      </c>
      <c r="AS347" t="e">
        <f>IF(#REF!,"AAAAAF+3fyw=",0)</f>
        <v>#REF!</v>
      </c>
      <c r="AT347" t="e">
        <f>IF(#REF!,"AAAAAF+3fy0=",0)</f>
        <v>#REF!</v>
      </c>
      <c r="AU347" t="e">
        <f>IF(#REF!,"AAAAAF+3fy4=",0)</f>
        <v>#REF!</v>
      </c>
      <c r="AV347" t="e">
        <f>IF(#REF!,"AAAAAF+3fy8=",0)</f>
        <v>#REF!</v>
      </c>
      <c r="AW347" t="e">
        <f>IF(#REF!,"AAAAAF+3fzA=",0)</f>
        <v>#REF!</v>
      </c>
      <c r="AX347" t="e">
        <f>IF(#REF!,"AAAAAF+3fzE=",0)</f>
        <v>#REF!</v>
      </c>
      <c r="AY347" t="e">
        <f>IF(#REF!,"AAAAAF+3fzI=",0)</f>
        <v>#REF!</v>
      </c>
      <c r="AZ347" t="e">
        <f>IF(#REF!,"AAAAAF+3fzM=",0)</f>
        <v>#REF!</v>
      </c>
      <c r="BA347" t="e">
        <f>IF(#REF!,"AAAAAF+3fzQ=",0)</f>
        <v>#REF!</v>
      </c>
      <c r="BB347" t="e">
        <f>IF(#REF!,"AAAAAF+3fzU=",0)</f>
        <v>#REF!</v>
      </c>
      <c r="BC347" t="e">
        <f>IF(#REF!,"AAAAAF+3fzY=",0)</f>
        <v>#REF!</v>
      </c>
      <c r="BD347" t="e">
        <f>IF(#REF!,"AAAAAF+3fzc=",0)</f>
        <v>#REF!</v>
      </c>
      <c r="BE347" t="e">
        <f>IF(#REF!,"AAAAAF+3fzg=",0)</f>
        <v>#REF!</v>
      </c>
      <c r="BF347" t="e">
        <f>IF(#REF!,"AAAAAF+3fzk=",0)</f>
        <v>#REF!</v>
      </c>
      <c r="BG347" t="e">
        <f>IF(#REF!,"AAAAAF+3fzo=",0)</f>
        <v>#REF!</v>
      </c>
      <c r="BH347" t="e">
        <f>IF(#REF!,"AAAAAF+3fzs=",0)</f>
        <v>#REF!</v>
      </c>
      <c r="BI347" t="e">
        <f>IF(#REF!,"AAAAAF+3fzw=",0)</f>
        <v>#REF!</v>
      </c>
      <c r="BJ347" t="e">
        <f>IF(#REF!,"AAAAAF+3fz0=",0)</f>
        <v>#REF!</v>
      </c>
      <c r="BK347" t="e">
        <f>IF(#REF!,"AAAAAF+3fz4=",0)</f>
        <v>#REF!</v>
      </c>
      <c r="BL347" t="e">
        <f>IF(#REF!,"AAAAAF+3fz8=",0)</f>
        <v>#REF!</v>
      </c>
      <c r="BM347" t="e">
        <f>IF(#REF!,"AAAAAF+3f0A=",0)</f>
        <v>#REF!</v>
      </c>
      <c r="BN347" t="e">
        <f>IF(#REF!,"AAAAAF+3f0E=",0)</f>
        <v>#REF!</v>
      </c>
      <c r="BO347" t="e">
        <f>IF(#REF!,"AAAAAF+3f0I=",0)</f>
        <v>#REF!</v>
      </c>
      <c r="BP347" t="e">
        <f>IF(#REF!,"AAAAAF+3f0M=",0)</f>
        <v>#REF!</v>
      </c>
      <c r="BQ347" t="e">
        <f>IF(#REF!,"AAAAAF+3f0Q=",0)</f>
        <v>#REF!</v>
      </c>
      <c r="BR347" t="e">
        <f>IF(#REF!,"AAAAAF+3f0U=",0)</f>
        <v>#REF!</v>
      </c>
      <c r="BS347" t="e">
        <f>IF(#REF!,"AAAAAF+3f0Y=",0)</f>
        <v>#REF!</v>
      </c>
      <c r="BT347" t="e">
        <f>IF(#REF!,"AAAAAF+3f0c=",0)</f>
        <v>#REF!</v>
      </c>
      <c r="BU347" t="e">
        <f>IF(#REF!,"AAAAAF+3f0g=",0)</f>
        <v>#REF!</v>
      </c>
      <c r="BV347" t="e">
        <f>IF(#REF!,"AAAAAF+3f0k=",0)</f>
        <v>#REF!</v>
      </c>
      <c r="BW347" t="e">
        <f>IF(#REF!,"AAAAAF+3f0o=",0)</f>
        <v>#REF!</v>
      </c>
      <c r="BX347" t="e">
        <f>IF(#REF!,"AAAAAF+3f0s=",0)</f>
        <v>#REF!</v>
      </c>
      <c r="BY347" t="e">
        <f>IF(#REF!,"AAAAAF+3f0w=",0)</f>
        <v>#REF!</v>
      </c>
      <c r="BZ347" t="e">
        <f>IF(#REF!,"AAAAAF+3f00=",0)</f>
        <v>#REF!</v>
      </c>
      <c r="CA347" t="e">
        <f>IF(#REF!,"AAAAAF+3f04=",0)</f>
        <v>#REF!</v>
      </c>
      <c r="CB347" t="e">
        <f>IF(#REF!,"AAAAAF+3f08=",0)</f>
        <v>#REF!</v>
      </c>
      <c r="CC347" t="e">
        <f>IF(#REF!,"AAAAAF+3f1A=",0)</f>
        <v>#REF!</v>
      </c>
      <c r="CD347" t="e">
        <f>IF(#REF!,"AAAAAF+3f1E=",0)</f>
        <v>#REF!</v>
      </c>
      <c r="CE347" t="e">
        <f>IF(#REF!,"AAAAAF+3f1I=",0)</f>
        <v>#REF!</v>
      </c>
      <c r="CF347" t="e">
        <f>IF(#REF!,"AAAAAF+3f1M=",0)</f>
        <v>#REF!</v>
      </c>
      <c r="CG347" t="e">
        <f>IF(#REF!,"AAAAAF+3f1Q=",0)</f>
        <v>#REF!</v>
      </c>
      <c r="CH347" t="e">
        <f>IF(#REF!,"AAAAAF+3f1U=",0)</f>
        <v>#REF!</v>
      </c>
      <c r="CI347" t="e">
        <f>IF(#REF!,"AAAAAF+3f1Y=",0)</f>
        <v>#REF!</v>
      </c>
      <c r="CJ347" t="e">
        <f>IF(#REF!,"AAAAAF+3f1c=",0)</f>
        <v>#REF!</v>
      </c>
      <c r="CK347" t="e">
        <f>IF(#REF!,"AAAAAF+3f1g=",0)</f>
        <v>#REF!</v>
      </c>
      <c r="CL347" t="e">
        <f>IF(#REF!,"AAAAAF+3f1k=",0)</f>
        <v>#REF!</v>
      </c>
      <c r="CM347" t="e">
        <f>IF(#REF!,"AAAAAF+3f1o=",0)</f>
        <v>#REF!</v>
      </c>
      <c r="CN347" t="e">
        <f>IF(#REF!,"AAAAAF+3f1s=",0)</f>
        <v>#REF!</v>
      </c>
      <c r="CO347" t="e">
        <f>IF(#REF!,"AAAAAF+3f1w=",0)</f>
        <v>#REF!</v>
      </c>
      <c r="CP347" t="e">
        <f>IF(#REF!,"AAAAAF+3f10=",0)</f>
        <v>#REF!</v>
      </c>
      <c r="CQ347" t="e">
        <f>IF(#REF!,"AAAAAF+3f14=",0)</f>
        <v>#REF!</v>
      </c>
      <c r="CR347" t="e">
        <f>IF(#REF!,"AAAAAF+3f18=",0)</f>
        <v>#REF!</v>
      </c>
      <c r="CS347" t="e">
        <f>IF(#REF!,"AAAAAF+3f2A=",0)</f>
        <v>#REF!</v>
      </c>
      <c r="CT347" t="e">
        <f>IF(#REF!,"AAAAAF+3f2E=",0)</f>
        <v>#REF!</v>
      </c>
      <c r="CU347" t="e">
        <f>IF(#REF!,"AAAAAF+3f2I=",0)</f>
        <v>#REF!</v>
      </c>
      <c r="CV347" t="e">
        <f>IF(#REF!,"AAAAAF+3f2M=",0)</f>
        <v>#REF!</v>
      </c>
      <c r="CW347" t="e">
        <f>IF(#REF!,"AAAAAF+3f2Q=",0)</f>
        <v>#REF!</v>
      </c>
      <c r="CX347" t="e">
        <f>IF(#REF!,"AAAAAF+3f2U=",0)</f>
        <v>#REF!</v>
      </c>
      <c r="CY347" t="e">
        <f>IF(#REF!,"AAAAAF+3f2Y=",0)</f>
        <v>#REF!</v>
      </c>
      <c r="CZ347" t="e">
        <f>IF(#REF!,"AAAAAF+3f2c=",0)</f>
        <v>#REF!</v>
      </c>
      <c r="DA347" t="e">
        <f>IF(#REF!,"AAAAAF+3f2g=",0)</f>
        <v>#REF!</v>
      </c>
      <c r="DB347" t="e">
        <f>IF(#REF!,"AAAAAF+3f2k=",0)</f>
        <v>#REF!</v>
      </c>
      <c r="DC347" t="e">
        <f>IF(#REF!,"AAAAAF+3f2o=",0)</f>
        <v>#REF!</v>
      </c>
      <c r="DD347" t="e">
        <f>IF(#REF!,"AAAAAF+3f2s=",0)</f>
        <v>#REF!</v>
      </c>
      <c r="DE347" t="e">
        <f>IF(#REF!,"AAAAAF+3f2w=",0)</f>
        <v>#REF!</v>
      </c>
      <c r="DF347" t="e">
        <f>IF(#REF!,"AAAAAF+3f20=",0)</f>
        <v>#REF!</v>
      </c>
      <c r="DG347" t="e">
        <f>IF(#REF!,"AAAAAF+3f24=",0)</f>
        <v>#REF!</v>
      </c>
      <c r="DH347" t="e">
        <f>IF(#REF!,"AAAAAF+3f28=",0)</f>
        <v>#REF!</v>
      </c>
      <c r="DI347" t="e">
        <f>IF(#REF!,"AAAAAF+3f3A=",0)</f>
        <v>#REF!</v>
      </c>
      <c r="DJ347" t="e">
        <f>IF(#REF!,"AAAAAF+3f3E=",0)</f>
        <v>#REF!</v>
      </c>
      <c r="DK347" t="e">
        <f>IF(#REF!,"AAAAAF+3f3I=",0)</f>
        <v>#REF!</v>
      </c>
      <c r="DL347" t="e">
        <f>IF(#REF!,"AAAAAF+3f3M=",0)</f>
        <v>#REF!</v>
      </c>
      <c r="DM347" t="e">
        <f>IF(#REF!,"AAAAAF+3f3Q=",0)</f>
        <v>#REF!</v>
      </c>
      <c r="DN347" t="e">
        <f>IF(#REF!,"AAAAAF+3f3U=",0)</f>
        <v>#REF!</v>
      </c>
      <c r="DO347" t="e">
        <f>IF(#REF!,"AAAAAF+3f3Y=",0)</f>
        <v>#REF!</v>
      </c>
      <c r="DP347" t="e">
        <f>IF(#REF!,"AAAAAF+3f3c=",0)</f>
        <v>#REF!</v>
      </c>
      <c r="DQ347" t="e">
        <f>IF(#REF!,"AAAAAF+3f3g=",0)</f>
        <v>#REF!</v>
      </c>
      <c r="DR347" t="e">
        <f>IF(#REF!,"AAAAAF+3f3k=",0)</f>
        <v>#REF!</v>
      </c>
      <c r="DS347" t="e">
        <f>IF(#REF!,"AAAAAF+3f3o=",0)</f>
        <v>#REF!</v>
      </c>
      <c r="DT347" t="e">
        <f>IF(#REF!,"AAAAAF+3f3s=",0)</f>
        <v>#REF!</v>
      </c>
      <c r="DU347" t="e">
        <f>IF(#REF!,"AAAAAF+3f3w=",0)</f>
        <v>#REF!</v>
      </c>
      <c r="DV347" t="e">
        <f>IF(#REF!,"AAAAAF+3f30=",0)</f>
        <v>#REF!</v>
      </c>
      <c r="DW347" t="e">
        <f>IF(#REF!,"AAAAAF+3f34=",0)</f>
        <v>#REF!</v>
      </c>
      <c r="DX347" t="e">
        <f>IF(#REF!,"AAAAAF+3f38=",0)</f>
        <v>#REF!</v>
      </c>
      <c r="DY347" t="e">
        <f>IF(#REF!,"AAAAAF+3f4A=",0)</f>
        <v>#REF!</v>
      </c>
      <c r="DZ347" t="e">
        <f>IF(#REF!,"AAAAAF+3f4E=",0)</f>
        <v>#REF!</v>
      </c>
      <c r="EA347" t="e">
        <f>IF(#REF!,"AAAAAF+3f4I=",0)</f>
        <v>#REF!</v>
      </c>
      <c r="EB347" t="e">
        <f>IF(#REF!,"AAAAAF+3f4M=",0)</f>
        <v>#REF!</v>
      </c>
      <c r="EC347" t="e">
        <f>IF(#REF!,"AAAAAF+3f4Q=",0)</f>
        <v>#REF!</v>
      </c>
      <c r="ED347" t="e">
        <f>IF(#REF!,"AAAAAF+3f4U=",0)</f>
        <v>#REF!</v>
      </c>
      <c r="EE347" t="e">
        <f>IF(#REF!,"AAAAAF+3f4Y=",0)</f>
        <v>#REF!</v>
      </c>
      <c r="EF347" t="e">
        <f>IF(#REF!,"AAAAAF+3f4c=",0)</f>
        <v>#REF!</v>
      </c>
      <c r="EG347" t="e">
        <f>IF(#REF!,"AAAAAF+3f4g=",0)</f>
        <v>#REF!</v>
      </c>
      <c r="EH347" t="e">
        <f>IF(#REF!,"AAAAAF+3f4k=",0)</f>
        <v>#REF!</v>
      </c>
      <c r="EI347" t="e">
        <f>IF(#REF!,"AAAAAF+3f4o=",0)</f>
        <v>#REF!</v>
      </c>
      <c r="EJ347" t="e">
        <f>IF(#REF!,"AAAAAF+3f4s=",0)</f>
        <v>#REF!</v>
      </c>
      <c r="EK347" t="e">
        <f>IF(#REF!,"AAAAAF+3f4w=",0)</f>
        <v>#REF!</v>
      </c>
      <c r="EL347" t="e">
        <f>IF(#REF!,"AAAAAF+3f40=",0)</f>
        <v>#REF!</v>
      </c>
      <c r="EM347" t="e">
        <f>IF(#REF!,"AAAAAF+3f44=",0)</f>
        <v>#REF!</v>
      </c>
      <c r="EN347" t="e">
        <f>IF(#REF!,"AAAAAF+3f48=",0)</f>
        <v>#REF!</v>
      </c>
      <c r="EO347" t="e">
        <f>IF(#REF!,"AAAAAF+3f5A=",0)</f>
        <v>#REF!</v>
      </c>
      <c r="EP347" t="e">
        <f>IF(#REF!,"AAAAAF+3f5E=",0)</f>
        <v>#REF!</v>
      </c>
      <c r="EQ347" t="e">
        <f>IF(#REF!,"AAAAAF+3f5I=",0)</f>
        <v>#REF!</v>
      </c>
      <c r="ER347" t="e">
        <f>IF(#REF!,"AAAAAF+3f5M=",0)</f>
        <v>#REF!</v>
      </c>
      <c r="ES347" t="e">
        <f>IF(#REF!,"AAAAAF+3f5Q=",0)</f>
        <v>#REF!</v>
      </c>
      <c r="ET347" t="e">
        <f>IF(#REF!,"AAAAAF+3f5U=",0)</f>
        <v>#REF!</v>
      </c>
      <c r="EU347" t="e">
        <f>IF(#REF!,"AAAAAF+3f5Y=",0)</f>
        <v>#REF!</v>
      </c>
      <c r="EV347" t="e">
        <f>IF(#REF!,"AAAAAF+3f5c=",0)</f>
        <v>#REF!</v>
      </c>
      <c r="EW347" t="e">
        <f>IF(#REF!,"AAAAAF+3f5g=",0)</f>
        <v>#REF!</v>
      </c>
      <c r="EX347" t="e">
        <f>IF(#REF!,"AAAAAF+3f5k=",0)</f>
        <v>#REF!</v>
      </c>
      <c r="EY347" t="e">
        <f>IF(#REF!,"AAAAAF+3f5o=",0)</f>
        <v>#REF!</v>
      </c>
      <c r="EZ347" t="e">
        <f>IF(#REF!,"AAAAAF+3f5s=",0)</f>
        <v>#REF!</v>
      </c>
      <c r="FA347" t="e">
        <f>IF(#REF!,"AAAAAF+3f5w=",0)</f>
        <v>#REF!</v>
      </c>
      <c r="FB347" t="e">
        <f>IF(#REF!,"AAAAAF+3f50=",0)</f>
        <v>#REF!</v>
      </c>
      <c r="FC347" t="e">
        <f>IF(#REF!,"AAAAAF+3f54=",0)</f>
        <v>#REF!</v>
      </c>
      <c r="FD347" t="e">
        <f>IF(#REF!,"AAAAAF+3f58=",0)</f>
        <v>#REF!</v>
      </c>
      <c r="FE347" t="e">
        <f>IF(#REF!,"AAAAAF+3f6A=",0)</f>
        <v>#REF!</v>
      </c>
      <c r="FF347" t="e">
        <f>IF(#REF!,"AAAAAF+3f6E=",0)</f>
        <v>#REF!</v>
      </c>
      <c r="FG347" t="e">
        <f>IF(#REF!,"AAAAAF+3f6I=",0)</f>
        <v>#REF!</v>
      </c>
      <c r="FH347" t="e">
        <f>IF(#REF!,"AAAAAF+3f6M=",0)</f>
        <v>#REF!</v>
      </c>
      <c r="FI347" t="e">
        <f>IF(#REF!,"AAAAAF+3f6Q=",0)</f>
        <v>#REF!</v>
      </c>
      <c r="FJ347" t="e">
        <f>IF(#REF!,"AAAAAF+3f6U=",0)</f>
        <v>#REF!</v>
      </c>
      <c r="FK347" t="e">
        <f>IF(#REF!,"AAAAAF+3f6Y=",0)</f>
        <v>#REF!</v>
      </c>
      <c r="FL347" t="e">
        <f>IF(#REF!,"AAAAAF+3f6c=",0)</f>
        <v>#REF!</v>
      </c>
      <c r="FM347" t="e">
        <f>IF(#REF!,"AAAAAF+3f6g=",0)</f>
        <v>#REF!</v>
      </c>
      <c r="FN347" t="e">
        <f>IF(#REF!,"AAAAAF+3f6k=",0)</f>
        <v>#REF!</v>
      </c>
      <c r="FO347" t="e">
        <f>IF(#REF!,"AAAAAF+3f6o=",0)</f>
        <v>#REF!</v>
      </c>
      <c r="FP347" t="e">
        <f>IF(#REF!,"AAAAAF+3f6s=",0)</f>
        <v>#REF!</v>
      </c>
      <c r="FQ347" t="e">
        <f>IF(#REF!,"AAAAAF+3f6w=",0)</f>
        <v>#REF!</v>
      </c>
      <c r="FR347" t="e">
        <f>IF(#REF!,"AAAAAF+3f60=",0)</f>
        <v>#REF!</v>
      </c>
      <c r="FS347" t="e">
        <f>IF(#REF!,"AAAAAF+3f64=",0)</f>
        <v>#REF!</v>
      </c>
      <c r="FT347" t="e">
        <f>IF(#REF!,"AAAAAF+3f68=",0)</f>
        <v>#REF!</v>
      </c>
      <c r="FU347" t="e">
        <f>IF(#REF!,"AAAAAF+3f7A=",0)</f>
        <v>#REF!</v>
      </c>
      <c r="FV347" t="e">
        <f>IF(#REF!,"AAAAAF+3f7E=",0)</f>
        <v>#REF!</v>
      </c>
      <c r="FW347" t="e">
        <f>IF(#REF!,"AAAAAF+3f7I=",0)</f>
        <v>#REF!</v>
      </c>
      <c r="FX347" t="e">
        <f>IF(#REF!,"AAAAAF+3f7M=",0)</f>
        <v>#REF!</v>
      </c>
      <c r="FY347" t="e">
        <f>IF(#REF!,"AAAAAF+3f7Q=",0)</f>
        <v>#REF!</v>
      </c>
      <c r="FZ347" t="e">
        <f>IF(#REF!,"AAAAAF+3f7U=",0)</f>
        <v>#REF!</v>
      </c>
      <c r="GA347" t="e">
        <f>IF(#REF!,"AAAAAF+3f7Y=",0)</f>
        <v>#REF!</v>
      </c>
      <c r="GB347" t="e">
        <f>IF(#REF!,"AAAAAF+3f7c=",0)</f>
        <v>#REF!</v>
      </c>
      <c r="GC347" t="e">
        <f>IF(#REF!,"AAAAAF+3f7g=",0)</f>
        <v>#REF!</v>
      </c>
      <c r="GD347" t="e">
        <f>IF(#REF!,"AAAAAF+3f7k=",0)</f>
        <v>#REF!</v>
      </c>
      <c r="GE347" t="e">
        <f>IF(#REF!,"AAAAAF+3f7o=",0)</f>
        <v>#REF!</v>
      </c>
      <c r="GF347" t="e">
        <f>IF(#REF!,"AAAAAF+3f7s=",0)</f>
        <v>#REF!</v>
      </c>
      <c r="GG347" t="e">
        <f>IF(#REF!,"AAAAAF+3f7w=",0)</f>
        <v>#REF!</v>
      </c>
      <c r="GH347" t="e">
        <f>IF(#REF!,"AAAAAF+3f70=",0)</f>
        <v>#REF!</v>
      </c>
      <c r="GI347" t="e">
        <f>IF(#REF!,"AAAAAF+3f74=",0)</f>
        <v>#REF!</v>
      </c>
      <c r="GJ347" t="e">
        <f>IF(#REF!,"AAAAAF+3f78=",0)</f>
        <v>#REF!</v>
      </c>
      <c r="GK347" t="e">
        <f>IF(#REF!,"AAAAAF+3f8A=",0)</f>
        <v>#REF!</v>
      </c>
      <c r="GL347" t="e">
        <f>IF(#REF!,"AAAAAF+3f8E=",0)</f>
        <v>#REF!</v>
      </c>
      <c r="GM347" t="e">
        <f>IF(#REF!,"AAAAAF+3f8I=",0)</f>
        <v>#REF!</v>
      </c>
      <c r="GN347" t="e">
        <f>IF(#REF!,"AAAAAF+3f8M=",0)</f>
        <v>#REF!</v>
      </c>
      <c r="GO347" t="e">
        <f>IF(#REF!,"AAAAAF+3f8Q=",0)</f>
        <v>#REF!</v>
      </c>
      <c r="GP347" t="e">
        <f>IF(#REF!,"AAAAAF+3f8U=",0)</f>
        <v>#REF!</v>
      </c>
      <c r="GQ347" t="e">
        <f>IF(#REF!,"AAAAAF+3f8Y=",0)</f>
        <v>#REF!</v>
      </c>
      <c r="GR347" t="e">
        <f>IF(#REF!,"AAAAAF+3f8c=",0)</f>
        <v>#REF!</v>
      </c>
      <c r="GS347" t="e">
        <f>IF(#REF!,"AAAAAF+3f8g=",0)</f>
        <v>#REF!</v>
      </c>
      <c r="GT347" t="e">
        <f>IF(#REF!,"AAAAAF+3f8k=",0)</f>
        <v>#REF!</v>
      </c>
      <c r="GU347" t="e">
        <f>IF(#REF!,"AAAAAF+3f8o=",0)</f>
        <v>#REF!</v>
      </c>
      <c r="GV347" t="e">
        <f>IF(#REF!,"AAAAAF+3f8s=",0)</f>
        <v>#REF!</v>
      </c>
      <c r="GW347" t="e">
        <f>IF(#REF!,"AAAAAF+3f8w=",0)</f>
        <v>#REF!</v>
      </c>
      <c r="GX347" t="e">
        <f>IF(#REF!,"AAAAAF+3f80=",0)</f>
        <v>#REF!</v>
      </c>
      <c r="GY347" t="e">
        <f>IF(#REF!,"AAAAAF+3f84=",0)</f>
        <v>#REF!</v>
      </c>
      <c r="GZ347" t="e">
        <f>IF(#REF!,"AAAAAF+3f88=",0)</f>
        <v>#REF!</v>
      </c>
      <c r="HA347" t="e">
        <f>IF(#REF!,"AAAAAF+3f9A=",0)</f>
        <v>#REF!</v>
      </c>
      <c r="HB347" t="e">
        <f>IF(#REF!,"AAAAAF+3f9E=",0)</f>
        <v>#REF!</v>
      </c>
      <c r="HC347" t="e">
        <f>IF(#REF!,"AAAAAF+3f9I=",0)</f>
        <v>#REF!</v>
      </c>
      <c r="HD347" t="e">
        <f>IF(#REF!,"AAAAAF+3f9M=",0)</f>
        <v>#REF!</v>
      </c>
      <c r="HE347" t="e">
        <f>IF(#REF!,"AAAAAF+3f9Q=",0)</f>
        <v>#REF!</v>
      </c>
      <c r="HF347" t="e">
        <f>IF(#REF!,"AAAAAF+3f9U=",0)</f>
        <v>#REF!</v>
      </c>
      <c r="HG347" t="e">
        <f>IF(#REF!,"AAAAAF+3f9Y=",0)</f>
        <v>#REF!</v>
      </c>
      <c r="HH347" t="e">
        <f>IF(#REF!,"AAAAAF+3f9c=",0)</f>
        <v>#REF!</v>
      </c>
      <c r="HI347" t="e">
        <f>IF(#REF!,"AAAAAF+3f9g=",0)</f>
        <v>#REF!</v>
      </c>
      <c r="HJ347" t="e">
        <f>IF(#REF!,"AAAAAF+3f9k=",0)</f>
        <v>#REF!</v>
      </c>
      <c r="HK347" t="e">
        <f>IF(#REF!,"AAAAAF+3f9o=",0)</f>
        <v>#REF!</v>
      </c>
      <c r="HL347" t="e">
        <f>IF(#REF!,"AAAAAF+3f9s=",0)</f>
        <v>#REF!</v>
      </c>
      <c r="HM347" t="e">
        <f>IF(#REF!,"AAAAAF+3f9w=",0)</f>
        <v>#REF!</v>
      </c>
      <c r="HN347" t="e">
        <f>IF(#REF!,"AAAAAF+3f90=",0)</f>
        <v>#REF!</v>
      </c>
      <c r="HO347" t="e">
        <f>IF(#REF!,"AAAAAF+3f94=",0)</f>
        <v>#REF!</v>
      </c>
      <c r="HP347" t="e">
        <f>IF(#REF!,"AAAAAF+3f98=",0)</f>
        <v>#REF!</v>
      </c>
      <c r="HQ347" t="e">
        <f>IF(#REF!,"AAAAAF+3f+A=",0)</f>
        <v>#REF!</v>
      </c>
      <c r="HR347" t="e">
        <f>IF(#REF!,"AAAAAF+3f+E=",0)</f>
        <v>#REF!</v>
      </c>
      <c r="HS347" t="e">
        <f>IF(#REF!,"AAAAAF+3f+I=",0)</f>
        <v>#REF!</v>
      </c>
      <c r="HT347" t="e">
        <f>IF(#REF!,"AAAAAF+3f+M=",0)</f>
        <v>#REF!</v>
      </c>
      <c r="HU347" t="e">
        <f>IF(#REF!,"AAAAAF+3f+Q=",0)</f>
        <v>#REF!</v>
      </c>
      <c r="HV347" t="e">
        <f>IF(#REF!,"AAAAAF+3f+U=",0)</f>
        <v>#REF!</v>
      </c>
      <c r="HW347" t="e">
        <f>IF(#REF!,"AAAAAF+3f+Y=",0)</f>
        <v>#REF!</v>
      </c>
      <c r="HX347" t="e">
        <f>IF(#REF!,"AAAAAF+3f+c=",0)</f>
        <v>#REF!</v>
      </c>
      <c r="HY347" t="e">
        <f>IF(#REF!,"AAAAAF+3f+g=",0)</f>
        <v>#REF!</v>
      </c>
      <c r="HZ347" t="e">
        <f>IF(#REF!,"AAAAAF+3f+k=",0)</f>
        <v>#REF!</v>
      </c>
      <c r="IA347" t="e">
        <f>IF(#REF!,"AAAAAF+3f+o=",0)</f>
        <v>#REF!</v>
      </c>
      <c r="IB347" t="e">
        <f>IF(#REF!,"AAAAAF+3f+s=",0)</f>
        <v>#REF!</v>
      </c>
      <c r="IC347" t="e">
        <f>IF(#REF!,"AAAAAF+3f+w=",0)</f>
        <v>#REF!</v>
      </c>
      <c r="ID347" t="e">
        <f>IF(#REF!,"AAAAAF+3f+0=",0)</f>
        <v>#REF!</v>
      </c>
      <c r="IE347" t="e">
        <f>IF(#REF!,"AAAAAF+3f+4=",0)</f>
        <v>#REF!</v>
      </c>
      <c r="IF347" t="e">
        <f>IF(#REF!,"AAAAAF+3f+8=",0)</f>
        <v>#REF!</v>
      </c>
      <c r="IG347" t="e">
        <f>IF(#REF!,"AAAAAF+3f/A=",0)</f>
        <v>#REF!</v>
      </c>
      <c r="IH347" t="e">
        <f>IF(#REF!,"AAAAAF+3f/E=",0)</f>
        <v>#REF!</v>
      </c>
      <c r="II347" t="e">
        <f>IF(#REF!,"AAAAAF+3f/I=",0)</f>
        <v>#REF!</v>
      </c>
      <c r="IJ347" t="e">
        <f>IF(#REF!,"AAAAAF+3f/M=",0)</f>
        <v>#REF!</v>
      </c>
      <c r="IK347" t="e">
        <f>IF(#REF!,"AAAAAF+3f/Q=",0)</f>
        <v>#REF!</v>
      </c>
      <c r="IL347" t="e">
        <f>IF(#REF!,"AAAAAF+3f/U=",0)</f>
        <v>#REF!</v>
      </c>
      <c r="IM347" t="e">
        <f>IF(#REF!,"AAAAAF+3f/Y=",0)</f>
        <v>#REF!</v>
      </c>
      <c r="IN347" t="e">
        <f>IF(#REF!,"AAAAAF+3f/c=",0)</f>
        <v>#REF!</v>
      </c>
      <c r="IO347" t="e">
        <f>IF(#REF!,"AAAAAF+3f/g=",0)</f>
        <v>#REF!</v>
      </c>
      <c r="IP347" t="e">
        <f>IF(#REF!,"AAAAAF+3f/k=",0)</f>
        <v>#REF!</v>
      </c>
      <c r="IQ347" t="e">
        <f>IF(#REF!,"AAAAAF+3f/o=",0)</f>
        <v>#REF!</v>
      </c>
      <c r="IR347" t="e">
        <f>IF(#REF!,"AAAAAF+3f/s=",0)</f>
        <v>#REF!</v>
      </c>
      <c r="IS347" t="e">
        <f>IF(#REF!,"AAAAAF+3f/w=",0)</f>
        <v>#REF!</v>
      </c>
      <c r="IT347" t="e">
        <f>IF(#REF!,"AAAAAF+3f/0=",0)</f>
        <v>#REF!</v>
      </c>
      <c r="IU347" t="e">
        <f>IF(#REF!,"AAAAAF+3f/4=",0)</f>
        <v>#REF!</v>
      </c>
      <c r="IV347" t="e">
        <f>IF(#REF!,"AAAAAF+3f/8=",0)</f>
        <v>#REF!</v>
      </c>
    </row>
    <row r="348" spans="1:256">
      <c r="A348" t="e">
        <f>IF(#REF!,"AAAAAHk7+QA=",0)</f>
        <v>#REF!</v>
      </c>
      <c r="B348" t="e">
        <f>IF(#REF!,"AAAAAHk7+QE=",0)</f>
        <v>#REF!</v>
      </c>
      <c r="C348" t="e">
        <f>IF(#REF!,"AAAAAHk7+QI=",0)</f>
        <v>#REF!</v>
      </c>
      <c r="D348" t="e">
        <f>IF(#REF!,"AAAAAHk7+QM=",0)</f>
        <v>#REF!</v>
      </c>
      <c r="E348" t="e">
        <f>IF(#REF!,"AAAAAHk7+QQ=",0)</f>
        <v>#REF!</v>
      </c>
      <c r="F348" t="e">
        <f>IF(#REF!,"AAAAAHk7+QU=",0)</f>
        <v>#REF!</v>
      </c>
      <c r="G348" t="e">
        <f>IF(#REF!,"AAAAAHk7+QY=",0)</f>
        <v>#REF!</v>
      </c>
      <c r="H348" t="e">
        <f>IF(#REF!,"AAAAAHk7+Qc=",0)</f>
        <v>#REF!</v>
      </c>
      <c r="I348" t="e">
        <f>IF(#REF!,"AAAAAHk7+Qg=",0)</f>
        <v>#REF!</v>
      </c>
      <c r="J348" t="e">
        <f>IF(#REF!,"AAAAAHk7+Qk=",0)</f>
        <v>#REF!</v>
      </c>
      <c r="K348" t="e">
        <f>IF(#REF!,"AAAAAHk7+Qo=",0)</f>
        <v>#REF!</v>
      </c>
      <c r="L348" t="e">
        <f>IF(#REF!,"AAAAAHk7+Qs=",0)</f>
        <v>#REF!</v>
      </c>
      <c r="M348" t="e">
        <f>IF(#REF!,"AAAAAHk7+Qw=",0)</f>
        <v>#REF!</v>
      </c>
      <c r="N348" t="e">
        <f>IF(#REF!,"AAAAAHk7+Q0=",0)</f>
        <v>#REF!</v>
      </c>
      <c r="O348" t="e">
        <f>IF(#REF!,"AAAAAHk7+Q4=",0)</f>
        <v>#REF!</v>
      </c>
      <c r="P348" t="e">
        <f>IF(#REF!,"AAAAAHk7+Q8=",0)</f>
        <v>#REF!</v>
      </c>
      <c r="Q348" t="e">
        <f>IF(#REF!,"AAAAAHk7+RA=",0)</f>
        <v>#REF!</v>
      </c>
      <c r="R348" t="e">
        <f>IF(#REF!,"AAAAAHk7+RE=",0)</f>
        <v>#REF!</v>
      </c>
      <c r="S348" t="e">
        <f>IF(#REF!,"AAAAAHk7+RI=",0)</f>
        <v>#REF!</v>
      </c>
      <c r="T348" t="e">
        <f>IF(#REF!,"AAAAAHk7+RM=",0)</f>
        <v>#REF!</v>
      </c>
      <c r="U348" t="e">
        <f>IF(#REF!,"AAAAAHk7+RQ=",0)</f>
        <v>#REF!</v>
      </c>
      <c r="V348" t="e">
        <f>IF(#REF!,"AAAAAHk7+RU=",0)</f>
        <v>#REF!</v>
      </c>
      <c r="W348" t="e">
        <f>IF(#REF!,"AAAAAHk7+RY=",0)</f>
        <v>#REF!</v>
      </c>
      <c r="X348" t="e">
        <f>IF(#REF!,"AAAAAHk7+Rc=",0)</f>
        <v>#REF!</v>
      </c>
      <c r="Y348" t="e">
        <f>IF(#REF!,"AAAAAHk7+Rg=",0)</f>
        <v>#REF!</v>
      </c>
      <c r="Z348" t="e">
        <f>IF(#REF!,"AAAAAHk7+Rk=",0)</f>
        <v>#REF!</v>
      </c>
      <c r="AA348" t="e">
        <f>IF(#REF!,"AAAAAHk7+Ro=",0)</f>
        <v>#REF!</v>
      </c>
      <c r="AB348" t="e">
        <f>IF(#REF!,"AAAAAHk7+Rs=",0)</f>
        <v>#REF!</v>
      </c>
      <c r="AC348" t="e">
        <f>IF(#REF!,"AAAAAHk7+Rw=",0)</f>
        <v>#REF!</v>
      </c>
      <c r="AD348" t="e">
        <f>IF(#REF!,"AAAAAHk7+R0=",0)</f>
        <v>#REF!</v>
      </c>
      <c r="AE348" t="e">
        <f>IF(#REF!,"AAAAAHk7+R4=",0)</f>
        <v>#REF!</v>
      </c>
      <c r="AF348" t="e">
        <f>IF(#REF!,"AAAAAHk7+R8=",0)</f>
        <v>#REF!</v>
      </c>
      <c r="AG348" t="e">
        <f>IF(#REF!,"AAAAAHk7+SA=",0)</f>
        <v>#REF!</v>
      </c>
      <c r="AH348" t="e">
        <f>IF(#REF!,"AAAAAHk7+SE=",0)</f>
        <v>#REF!</v>
      </c>
      <c r="AI348" t="e">
        <f>IF(#REF!,"AAAAAHk7+SI=",0)</f>
        <v>#REF!</v>
      </c>
      <c r="AJ348" t="e">
        <f>IF(#REF!,"AAAAAHk7+SM=",0)</f>
        <v>#REF!</v>
      </c>
      <c r="AK348" t="e">
        <f>IF(#REF!,"AAAAAHk7+SQ=",0)</f>
        <v>#REF!</v>
      </c>
      <c r="AL348" t="e">
        <f>IF(#REF!,"AAAAAHk7+SU=",0)</f>
        <v>#REF!</v>
      </c>
      <c r="AM348" t="e">
        <f>IF(#REF!,"AAAAAHk7+SY=",0)</f>
        <v>#REF!</v>
      </c>
      <c r="AN348" t="e">
        <f>IF(#REF!,"AAAAAHk7+Sc=",0)</f>
        <v>#REF!</v>
      </c>
      <c r="AO348" t="e">
        <f>IF(#REF!,"AAAAAHk7+Sg=",0)</f>
        <v>#REF!</v>
      </c>
      <c r="AP348" t="e">
        <f>IF(#REF!,"AAAAAHk7+Sk=",0)</f>
        <v>#REF!</v>
      </c>
      <c r="AQ348" t="e">
        <f>IF(#REF!,"AAAAAHk7+So=",0)</f>
        <v>#REF!</v>
      </c>
      <c r="AR348" t="e">
        <f>IF(#REF!,"AAAAAHk7+Ss=",0)</f>
        <v>#REF!</v>
      </c>
      <c r="AS348" t="e">
        <f>IF(#REF!,"AAAAAHk7+Sw=",0)</f>
        <v>#REF!</v>
      </c>
      <c r="AT348" t="e">
        <f>IF(#REF!,"AAAAAHk7+S0=",0)</f>
        <v>#REF!</v>
      </c>
      <c r="AU348" t="e">
        <f>IF(#REF!,"AAAAAHk7+S4=",0)</f>
        <v>#REF!</v>
      </c>
      <c r="AV348" t="e">
        <f>IF(#REF!,"AAAAAHk7+S8=",0)</f>
        <v>#REF!</v>
      </c>
      <c r="AW348" t="e">
        <f>IF(#REF!,"AAAAAHk7+TA=",0)</f>
        <v>#REF!</v>
      </c>
      <c r="AX348" t="e">
        <f>IF(#REF!,"AAAAAHk7+TE=",0)</f>
        <v>#REF!</v>
      </c>
      <c r="AY348" t="e">
        <f>IF(#REF!,"AAAAAHk7+TI=",0)</f>
        <v>#REF!</v>
      </c>
      <c r="AZ348" t="e">
        <f>IF(#REF!,"AAAAAHk7+TM=",0)</f>
        <v>#REF!</v>
      </c>
      <c r="BA348" t="e">
        <f>IF(#REF!,"AAAAAHk7+TQ=",0)</f>
        <v>#REF!</v>
      </c>
      <c r="BB348" t="e">
        <f>IF(#REF!,"AAAAAHk7+TU=",0)</f>
        <v>#REF!</v>
      </c>
      <c r="BC348" t="e">
        <f>IF(#REF!,"AAAAAHk7+TY=",0)</f>
        <v>#REF!</v>
      </c>
      <c r="BD348" t="e">
        <f>IF(#REF!,"AAAAAHk7+Tc=",0)</f>
        <v>#REF!</v>
      </c>
      <c r="BE348" t="e">
        <f>IF(#REF!,"AAAAAHk7+Tg=",0)</f>
        <v>#REF!</v>
      </c>
      <c r="BF348" t="e">
        <f>IF(#REF!,"AAAAAHk7+Tk=",0)</f>
        <v>#REF!</v>
      </c>
      <c r="BG348" t="e">
        <f>IF(#REF!,"AAAAAHk7+To=",0)</f>
        <v>#REF!</v>
      </c>
      <c r="BH348" t="e">
        <f>IF(#REF!,"AAAAAHk7+Ts=",0)</f>
        <v>#REF!</v>
      </c>
      <c r="BI348" t="e">
        <f>IF(#REF!,"AAAAAHk7+Tw=",0)</f>
        <v>#REF!</v>
      </c>
      <c r="BJ348" t="e">
        <f>IF(#REF!,"AAAAAHk7+T0=",0)</f>
        <v>#REF!</v>
      </c>
      <c r="BK348" t="e">
        <f>IF(#REF!,"AAAAAHk7+T4=",0)</f>
        <v>#REF!</v>
      </c>
      <c r="BL348" t="e">
        <f>IF(#REF!,"AAAAAHk7+T8=",0)</f>
        <v>#REF!</v>
      </c>
      <c r="BM348" t="e">
        <f>IF(#REF!,"AAAAAHk7+UA=",0)</f>
        <v>#REF!</v>
      </c>
      <c r="BN348" t="e">
        <f>IF(#REF!,"AAAAAHk7+UE=",0)</f>
        <v>#REF!</v>
      </c>
      <c r="BO348" t="e">
        <f>IF(#REF!,"AAAAAHk7+UI=",0)</f>
        <v>#REF!</v>
      </c>
      <c r="BP348" t="e">
        <f>IF(#REF!,"AAAAAHk7+UM=",0)</f>
        <v>#REF!</v>
      </c>
      <c r="BQ348" t="e">
        <f>IF(#REF!,"AAAAAHk7+UQ=",0)</f>
        <v>#REF!</v>
      </c>
      <c r="BR348" t="e">
        <f>IF(#REF!,"AAAAAHk7+UU=",0)</f>
        <v>#REF!</v>
      </c>
      <c r="BS348" t="e">
        <f>IF(#REF!,"AAAAAHk7+UY=",0)</f>
        <v>#REF!</v>
      </c>
      <c r="BT348" t="e">
        <f>IF(#REF!,"AAAAAHk7+Uc=",0)</f>
        <v>#REF!</v>
      </c>
      <c r="BU348" t="e">
        <f>IF(#REF!,"AAAAAHk7+Ug=",0)</f>
        <v>#REF!</v>
      </c>
      <c r="BV348" t="e">
        <f>IF(#REF!,"AAAAAHk7+Uk=",0)</f>
        <v>#REF!</v>
      </c>
      <c r="BW348" t="e">
        <f>IF(#REF!,"AAAAAHk7+Uo=",0)</f>
        <v>#REF!</v>
      </c>
      <c r="BX348" t="e">
        <f>IF(#REF!,"AAAAAHk7+Us=",0)</f>
        <v>#REF!</v>
      </c>
      <c r="BY348" t="e">
        <f>IF(#REF!,"AAAAAHk7+Uw=",0)</f>
        <v>#REF!</v>
      </c>
      <c r="BZ348" t="e">
        <f>IF(#REF!,"AAAAAHk7+U0=",0)</f>
        <v>#REF!</v>
      </c>
      <c r="CA348" t="e">
        <f>IF(#REF!,"AAAAAHk7+U4=",0)</f>
        <v>#REF!</v>
      </c>
      <c r="CB348" t="e">
        <f>IF(#REF!,"AAAAAHk7+U8=",0)</f>
        <v>#REF!</v>
      </c>
      <c r="CC348" t="e">
        <f>IF(#REF!,"AAAAAHk7+VA=",0)</f>
        <v>#REF!</v>
      </c>
      <c r="CD348" t="e">
        <f>IF(#REF!,"AAAAAHk7+VE=",0)</f>
        <v>#REF!</v>
      </c>
      <c r="CE348" t="e">
        <f>IF(#REF!,"AAAAAHk7+VI=",0)</f>
        <v>#REF!</v>
      </c>
      <c r="CF348" t="e">
        <f>IF(#REF!,"AAAAAHk7+VM=",0)</f>
        <v>#REF!</v>
      </c>
      <c r="CG348" t="e">
        <f>IF(#REF!,"AAAAAHk7+VQ=",0)</f>
        <v>#REF!</v>
      </c>
      <c r="CH348" t="e">
        <f>IF(#REF!,"AAAAAHk7+VU=",0)</f>
        <v>#REF!</v>
      </c>
      <c r="CI348" t="e">
        <f>IF(#REF!,"AAAAAHk7+VY=",0)</f>
        <v>#REF!</v>
      </c>
      <c r="CJ348" t="e">
        <f>IF(#REF!,"AAAAAHk7+Vc=",0)</f>
        <v>#REF!</v>
      </c>
      <c r="CK348" t="e">
        <f>IF(#REF!,"AAAAAHk7+Vg=",0)</f>
        <v>#REF!</v>
      </c>
      <c r="CL348" t="e">
        <f>IF(#REF!,"AAAAAHk7+Vk=",0)</f>
        <v>#REF!</v>
      </c>
      <c r="CM348" t="e">
        <f>IF(#REF!,"AAAAAHk7+Vo=",0)</f>
        <v>#REF!</v>
      </c>
      <c r="CN348" t="e">
        <f>IF(#REF!,"AAAAAHk7+Vs=",0)</f>
        <v>#REF!</v>
      </c>
      <c r="CO348" t="e">
        <f>IF(#REF!,"AAAAAHk7+Vw=",0)</f>
        <v>#REF!</v>
      </c>
      <c r="CP348" t="e">
        <f>IF(#REF!,"AAAAAHk7+V0=",0)</f>
        <v>#REF!</v>
      </c>
      <c r="CQ348" t="e">
        <f>IF(#REF!,"AAAAAHk7+V4=",0)</f>
        <v>#REF!</v>
      </c>
      <c r="CR348" t="e">
        <f>IF(#REF!,"AAAAAHk7+V8=",0)</f>
        <v>#REF!</v>
      </c>
      <c r="CS348" t="e">
        <f>IF(#REF!,"AAAAAHk7+WA=",0)</f>
        <v>#REF!</v>
      </c>
      <c r="CT348" t="e">
        <f>IF(#REF!,"AAAAAHk7+WE=",0)</f>
        <v>#REF!</v>
      </c>
      <c r="CU348" t="e">
        <f>IF(#REF!,"AAAAAHk7+WI=",0)</f>
        <v>#REF!</v>
      </c>
      <c r="CV348" t="e">
        <f>IF(#REF!,"AAAAAHk7+WM=",0)</f>
        <v>#REF!</v>
      </c>
      <c r="CW348" t="e">
        <f>IF(#REF!,"AAAAAHk7+WQ=",0)</f>
        <v>#REF!</v>
      </c>
      <c r="CX348" t="e">
        <f>IF(#REF!,"AAAAAHk7+WU=",0)</f>
        <v>#REF!</v>
      </c>
      <c r="CY348" t="e">
        <f>IF(#REF!,"AAAAAHk7+WY=",0)</f>
        <v>#REF!</v>
      </c>
      <c r="CZ348" t="e">
        <f>IF(#REF!,"AAAAAHk7+Wc=",0)</f>
        <v>#REF!</v>
      </c>
      <c r="DA348" t="e">
        <f>IF(#REF!,"AAAAAHk7+Wg=",0)</f>
        <v>#REF!</v>
      </c>
      <c r="DB348" t="e">
        <f>IF(#REF!,"AAAAAHk7+Wk=",0)</f>
        <v>#REF!</v>
      </c>
      <c r="DC348" t="e">
        <f>IF(#REF!,"AAAAAHk7+Wo=",0)</f>
        <v>#REF!</v>
      </c>
      <c r="DD348" t="e">
        <f>IF(#REF!,"AAAAAHk7+Ws=",0)</f>
        <v>#REF!</v>
      </c>
      <c r="DE348" t="e">
        <f>IF(#REF!,"AAAAAHk7+Ww=",0)</f>
        <v>#REF!</v>
      </c>
      <c r="DF348" t="e">
        <f>IF(#REF!,"AAAAAHk7+W0=",0)</f>
        <v>#REF!</v>
      </c>
      <c r="DG348" t="e">
        <f>IF(#REF!,"AAAAAHk7+W4=",0)</f>
        <v>#REF!</v>
      </c>
      <c r="DH348" t="e">
        <f>IF(#REF!,"AAAAAHk7+W8=",0)</f>
        <v>#REF!</v>
      </c>
      <c r="DI348" t="e">
        <f>IF(#REF!,"AAAAAHk7+XA=",0)</f>
        <v>#REF!</v>
      </c>
      <c r="DJ348" t="e">
        <f>IF(#REF!,"AAAAAHk7+XE=",0)</f>
        <v>#REF!</v>
      </c>
      <c r="DK348" t="e">
        <f>IF(#REF!,"AAAAAHk7+XI=",0)</f>
        <v>#REF!</v>
      </c>
      <c r="DL348" t="e">
        <f>IF(#REF!,"AAAAAHk7+XM=",0)</f>
        <v>#REF!</v>
      </c>
      <c r="DM348" t="e">
        <f>IF(#REF!,"AAAAAHk7+XQ=",0)</f>
        <v>#REF!</v>
      </c>
      <c r="DN348" t="e">
        <f>IF(#REF!,"AAAAAHk7+XU=",0)</f>
        <v>#REF!</v>
      </c>
      <c r="DO348" t="e">
        <f>IF(#REF!,"AAAAAHk7+XY=",0)</f>
        <v>#REF!</v>
      </c>
      <c r="DP348" t="e">
        <f>IF(#REF!,"AAAAAHk7+Xc=",0)</f>
        <v>#REF!</v>
      </c>
      <c r="DQ348" t="e">
        <f>IF(#REF!,"AAAAAHk7+Xg=",0)</f>
        <v>#REF!</v>
      </c>
      <c r="DR348" t="e">
        <f>IF(#REF!,"AAAAAHk7+Xk=",0)</f>
        <v>#REF!</v>
      </c>
      <c r="DS348" t="e">
        <f>IF(#REF!,"AAAAAHk7+Xo=",0)</f>
        <v>#REF!</v>
      </c>
      <c r="DT348" t="e">
        <f>IF(#REF!,"AAAAAHk7+Xs=",0)</f>
        <v>#REF!</v>
      </c>
      <c r="DU348" t="e">
        <f>IF(#REF!,"AAAAAHk7+Xw=",0)</f>
        <v>#REF!</v>
      </c>
      <c r="DV348" t="e">
        <f>IF(#REF!,"AAAAAHk7+X0=",0)</f>
        <v>#REF!</v>
      </c>
      <c r="DW348" t="e">
        <f>IF(#REF!,"AAAAAHk7+X4=",0)</f>
        <v>#REF!</v>
      </c>
      <c r="DX348" t="e">
        <f>IF(#REF!,"AAAAAHk7+X8=",0)</f>
        <v>#REF!</v>
      </c>
      <c r="DY348" t="e">
        <f>IF(#REF!,"AAAAAHk7+YA=",0)</f>
        <v>#REF!</v>
      </c>
      <c r="DZ348" t="e">
        <f>IF(#REF!,"AAAAAHk7+YE=",0)</f>
        <v>#REF!</v>
      </c>
      <c r="EA348" t="e">
        <f>IF(#REF!,"AAAAAHk7+YI=",0)</f>
        <v>#REF!</v>
      </c>
      <c r="EB348" t="e">
        <f>IF(#REF!,"AAAAAHk7+YM=",0)</f>
        <v>#REF!</v>
      </c>
      <c r="EC348" t="e">
        <f>IF(#REF!,"AAAAAHk7+YQ=",0)</f>
        <v>#REF!</v>
      </c>
      <c r="ED348" t="e">
        <f>IF(#REF!,"AAAAAHk7+YU=",0)</f>
        <v>#REF!</v>
      </c>
      <c r="EE348" t="e">
        <f>IF(#REF!,"AAAAAHk7+YY=",0)</f>
        <v>#REF!</v>
      </c>
      <c r="EF348" t="e">
        <f>IF(#REF!,"AAAAAHk7+Yc=",0)</f>
        <v>#REF!</v>
      </c>
      <c r="EG348" t="e">
        <f>IF(#REF!,"AAAAAHk7+Yg=",0)</f>
        <v>#REF!</v>
      </c>
      <c r="EH348" t="e">
        <f>IF(#REF!,"AAAAAHk7+Yk=",0)</f>
        <v>#REF!</v>
      </c>
      <c r="EI348" t="e">
        <f>IF(#REF!,"AAAAAHk7+Yo=",0)</f>
        <v>#REF!</v>
      </c>
      <c r="EJ348" t="e">
        <f>IF(#REF!,"AAAAAHk7+Ys=",0)</f>
        <v>#REF!</v>
      </c>
      <c r="EK348" t="e">
        <f>IF(#REF!,"AAAAAHk7+Yw=",0)</f>
        <v>#REF!</v>
      </c>
      <c r="EL348" t="e">
        <f>IF(#REF!,"AAAAAHk7+Y0=",0)</f>
        <v>#REF!</v>
      </c>
      <c r="EM348" t="e">
        <f>IF(#REF!,"AAAAAHk7+Y4=",0)</f>
        <v>#REF!</v>
      </c>
      <c r="EN348" t="e">
        <f>IF(#REF!,"AAAAAHk7+Y8=",0)</f>
        <v>#REF!</v>
      </c>
      <c r="EO348" t="e">
        <f>IF(#REF!,"AAAAAHk7+ZA=",0)</f>
        <v>#REF!</v>
      </c>
      <c r="EP348" t="e">
        <f>IF(#REF!,"AAAAAHk7+ZE=",0)</f>
        <v>#REF!</v>
      </c>
      <c r="EQ348" t="e">
        <f>IF(#REF!,"AAAAAHk7+ZI=",0)</f>
        <v>#REF!</v>
      </c>
      <c r="ER348" t="e">
        <f>IF(#REF!,"AAAAAHk7+ZM=",0)</f>
        <v>#REF!</v>
      </c>
      <c r="ES348" t="e">
        <f>IF(#REF!,"AAAAAHk7+ZQ=",0)</f>
        <v>#REF!</v>
      </c>
      <c r="ET348" t="e">
        <f>IF(#REF!,"AAAAAHk7+ZU=",0)</f>
        <v>#REF!</v>
      </c>
      <c r="EU348" t="e">
        <f>IF(#REF!,"AAAAAHk7+ZY=",0)</f>
        <v>#REF!</v>
      </c>
      <c r="EV348" t="e">
        <f>IF(#REF!,"AAAAAHk7+Zc=",0)</f>
        <v>#REF!</v>
      </c>
      <c r="EW348" t="e">
        <f>IF(#REF!,"AAAAAHk7+Zg=",0)</f>
        <v>#REF!</v>
      </c>
      <c r="EX348" t="e">
        <f>IF(#REF!,"AAAAAHk7+Zk=",0)</f>
        <v>#REF!</v>
      </c>
      <c r="EY348" t="e">
        <f>IF(#REF!,"AAAAAHk7+Zo=",0)</f>
        <v>#REF!</v>
      </c>
      <c r="EZ348" t="e">
        <f>IF(#REF!,"AAAAAHk7+Zs=",0)</f>
        <v>#REF!</v>
      </c>
      <c r="FA348" t="e">
        <f>IF(#REF!,"AAAAAHk7+Zw=",0)</f>
        <v>#REF!</v>
      </c>
      <c r="FB348" t="e">
        <f>IF(#REF!,"AAAAAHk7+Z0=",0)</f>
        <v>#REF!</v>
      </c>
      <c r="FC348" t="e">
        <f>IF(#REF!,"AAAAAHk7+Z4=",0)</f>
        <v>#REF!</v>
      </c>
      <c r="FD348" t="e">
        <f>IF(#REF!,"AAAAAHk7+Z8=",0)</f>
        <v>#REF!</v>
      </c>
      <c r="FE348" t="e">
        <f>IF(#REF!,"AAAAAHk7+aA=",0)</f>
        <v>#REF!</v>
      </c>
      <c r="FF348" t="e">
        <f>IF(#REF!,"AAAAAHk7+aE=",0)</f>
        <v>#REF!</v>
      </c>
      <c r="FG348" t="e">
        <f>IF(#REF!,"AAAAAHk7+aI=",0)</f>
        <v>#REF!</v>
      </c>
      <c r="FH348" t="e">
        <f>IF(#REF!,"AAAAAHk7+aM=",0)</f>
        <v>#REF!</v>
      </c>
      <c r="FI348" t="e">
        <f>IF(#REF!,"AAAAAHk7+aQ=",0)</f>
        <v>#REF!</v>
      </c>
      <c r="FJ348" t="e">
        <f>IF(#REF!,"AAAAAHk7+aU=",0)</f>
        <v>#REF!</v>
      </c>
      <c r="FK348" t="e">
        <f>IF(#REF!,"AAAAAHk7+aY=",0)</f>
        <v>#REF!</v>
      </c>
      <c r="FL348" t="e">
        <f>IF(#REF!,"AAAAAHk7+ac=",0)</f>
        <v>#REF!</v>
      </c>
      <c r="FM348" t="e">
        <f>IF(#REF!,"AAAAAHk7+ag=",0)</f>
        <v>#REF!</v>
      </c>
      <c r="FN348" t="e">
        <f>IF(#REF!,"AAAAAHk7+ak=",0)</f>
        <v>#REF!</v>
      </c>
      <c r="FO348" t="e">
        <f>IF(#REF!,"AAAAAHk7+ao=",0)</f>
        <v>#REF!</v>
      </c>
      <c r="FP348" t="e">
        <f>IF(#REF!,"AAAAAHk7+as=",0)</f>
        <v>#REF!</v>
      </c>
      <c r="FQ348" t="e">
        <f>IF(#REF!,"AAAAAHk7+aw=",0)</f>
        <v>#REF!</v>
      </c>
      <c r="FR348" t="e">
        <f>IF(#REF!,"AAAAAHk7+a0=",0)</f>
        <v>#REF!</v>
      </c>
      <c r="FS348" t="e">
        <f>IF(#REF!,"AAAAAHk7+a4=",0)</f>
        <v>#REF!</v>
      </c>
      <c r="FT348" t="e">
        <f>IF(#REF!,"AAAAAHk7+a8=",0)</f>
        <v>#REF!</v>
      </c>
      <c r="FU348" t="e">
        <f>IF(#REF!,"AAAAAHk7+bA=",0)</f>
        <v>#REF!</v>
      </c>
      <c r="FV348" t="e">
        <f>IF(#REF!,"AAAAAHk7+bE=",0)</f>
        <v>#REF!</v>
      </c>
      <c r="FW348" t="e">
        <f>IF(#REF!,"AAAAAHk7+bI=",0)</f>
        <v>#REF!</v>
      </c>
      <c r="FX348" t="e">
        <f>IF(#REF!,"AAAAAHk7+bM=",0)</f>
        <v>#REF!</v>
      </c>
      <c r="FY348" t="e">
        <f>IF(#REF!,"AAAAAHk7+bQ=",0)</f>
        <v>#REF!</v>
      </c>
      <c r="FZ348" t="e">
        <f>IF(#REF!,"AAAAAHk7+bU=",0)</f>
        <v>#REF!</v>
      </c>
      <c r="GA348" t="e">
        <f>IF(#REF!,"AAAAAHk7+bY=",0)</f>
        <v>#REF!</v>
      </c>
      <c r="GB348" t="e">
        <f>IF(#REF!,"AAAAAHk7+bc=",0)</f>
        <v>#REF!</v>
      </c>
      <c r="GC348" t="e">
        <f>IF(#REF!,"AAAAAHk7+bg=",0)</f>
        <v>#REF!</v>
      </c>
      <c r="GD348" t="e">
        <f>IF(#REF!,"AAAAAHk7+bk=",0)</f>
        <v>#REF!</v>
      </c>
      <c r="GE348" t="e">
        <f>IF(#REF!,"AAAAAHk7+bo=",0)</f>
        <v>#REF!</v>
      </c>
      <c r="GF348" t="e">
        <f>IF(#REF!,"AAAAAHk7+bs=",0)</f>
        <v>#REF!</v>
      </c>
      <c r="GG348" t="e">
        <f>IF(#REF!,"AAAAAHk7+bw=",0)</f>
        <v>#REF!</v>
      </c>
      <c r="GH348" t="e">
        <f>IF(#REF!,"AAAAAHk7+b0=",0)</f>
        <v>#REF!</v>
      </c>
      <c r="GI348" t="e">
        <f>IF(#REF!,"AAAAAHk7+b4=",0)</f>
        <v>#REF!</v>
      </c>
      <c r="GJ348" t="e">
        <f>IF(#REF!,"AAAAAHk7+b8=",0)</f>
        <v>#REF!</v>
      </c>
      <c r="GK348" t="e">
        <f>IF(#REF!,"AAAAAHk7+cA=",0)</f>
        <v>#REF!</v>
      </c>
      <c r="GL348" t="e">
        <f>IF(#REF!,"AAAAAHk7+cE=",0)</f>
        <v>#REF!</v>
      </c>
      <c r="GM348" t="e">
        <f>IF(#REF!,"AAAAAHk7+cI=",0)</f>
        <v>#REF!</v>
      </c>
      <c r="GN348" t="e">
        <f>IF(#REF!,"AAAAAHk7+cM=",0)</f>
        <v>#REF!</v>
      </c>
      <c r="GO348" t="e">
        <f>IF(#REF!,"AAAAAHk7+cQ=",0)</f>
        <v>#REF!</v>
      </c>
      <c r="GP348" t="e">
        <f>IF(#REF!,"AAAAAHk7+cU=",0)</f>
        <v>#REF!</v>
      </c>
      <c r="GQ348" t="e">
        <f>IF(#REF!,"AAAAAHk7+cY=",0)</f>
        <v>#REF!</v>
      </c>
      <c r="GR348" t="e">
        <f>IF(#REF!,"AAAAAHk7+cc=",0)</f>
        <v>#REF!</v>
      </c>
      <c r="GS348" t="e">
        <f>IF(#REF!,"AAAAAHk7+cg=",0)</f>
        <v>#REF!</v>
      </c>
      <c r="GT348" t="e">
        <f>IF(#REF!,"AAAAAHk7+ck=",0)</f>
        <v>#REF!</v>
      </c>
      <c r="GU348" t="e">
        <f>IF(#REF!,"AAAAAHk7+co=",0)</f>
        <v>#REF!</v>
      </c>
      <c r="GV348" t="e">
        <f>IF(#REF!,"AAAAAHk7+cs=",0)</f>
        <v>#REF!</v>
      </c>
      <c r="GW348" t="e">
        <f>IF(#REF!,"AAAAAHk7+cw=",0)</f>
        <v>#REF!</v>
      </c>
      <c r="GX348" t="e">
        <f>IF(#REF!,"AAAAAHk7+c0=",0)</f>
        <v>#REF!</v>
      </c>
      <c r="GY348" t="e">
        <f>IF(#REF!,"AAAAAHk7+c4=",0)</f>
        <v>#REF!</v>
      </c>
      <c r="GZ348" t="e">
        <f>IF(#REF!,"AAAAAHk7+c8=",0)</f>
        <v>#REF!</v>
      </c>
      <c r="HA348" t="e">
        <f>IF(#REF!,"AAAAAHk7+dA=",0)</f>
        <v>#REF!</v>
      </c>
      <c r="HB348" t="e">
        <f>IF(#REF!,"AAAAAHk7+dE=",0)</f>
        <v>#REF!</v>
      </c>
      <c r="HC348" t="e">
        <f>IF(#REF!,"AAAAAHk7+dI=",0)</f>
        <v>#REF!</v>
      </c>
      <c r="HD348" t="e">
        <f>IF(#REF!,"AAAAAHk7+dM=",0)</f>
        <v>#REF!</v>
      </c>
      <c r="HE348" t="e">
        <f>IF(#REF!,"AAAAAHk7+dQ=",0)</f>
        <v>#REF!</v>
      </c>
      <c r="HF348" t="e">
        <f>IF(#REF!,"AAAAAHk7+dU=",0)</f>
        <v>#REF!</v>
      </c>
      <c r="HG348" t="e">
        <f>IF(#REF!,"AAAAAHk7+dY=",0)</f>
        <v>#REF!</v>
      </c>
      <c r="HH348" t="e">
        <f>IF(#REF!,"AAAAAHk7+dc=",0)</f>
        <v>#REF!</v>
      </c>
      <c r="HI348" t="e">
        <f>IF(#REF!,"AAAAAHk7+dg=",0)</f>
        <v>#REF!</v>
      </c>
      <c r="HJ348" t="e">
        <f>IF(#REF!,"AAAAAHk7+dk=",0)</f>
        <v>#REF!</v>
      </c>
      <c r="HK348" t="e">
        <f>IF(#REF!,"AAAAAHk7+do=",0)</f>
        <v>#REF!</v>
      </c>
      <c r="HL348" t="e">
        <f>IF(#REF!,"AAAAAHk7+ds=",0)</f>
        <v>#REF!</v>
      </c>
      <c r="HM348" t="e">
        <f>IF(#REF!,"AAAAAHk7+dw=",0)</f>
        <v>#REF!</v>
      </c>
      <c r="HN348" t="e">
        <f>IF(#REF!,"AAAAAHk7+d0=",0)</f>
        <v>#REF!</v>
      </c>
      <c r="HO348" t="e">
        <f>IF(#REF!,"AAAAAHk7+d4=",0)</f>
        <v>#REF!</v>
      </c>
      <c r="HP348" t="e">
        <f>IF(#REF!,"AAAAAHk7+d8=",0)</f>
        <v>#REF!</v>
      </c>
      <c r="HQ348" t="e">
        <f>IF(#REF!,"AAAAAHk7+eA=",0)</f>
        <v>#REF!</v>
      </c>
      <c r="HR348" t="e">
        <f>IF(#REF!,"AAAAAHk7+eE=",0)</f>
        <v>#REF!</v>
      </c>
      <c r="HS348" t="e">
        <f>IF(#REF!,"AAAAAHk7+eI=",0)</f>
        <v>#REF!</v>
      </c>
      <c r="HT348" t="e">
        <f>IF(#REF!,"AAAAAHk7+eM=",0)</f>
        <v>#REF!</v>
      </c>
      <c r="HU348" t="e">
        <f>IF(#REF!,"AAAAAHk7+eQ=",0)</f>
        <v>#REF!</v>
      </c>
      <c r="HV348" t="e">
        <f>IF(#REF!,"AAAAAHk7+eU=",0)</f>
        <v>#REF!</v>
      </c>
      <c r="HW348" t="e">
        <f>IF(#REF!,"AAAAAHk7+eY=",0)</f>
        <v>#REF!</v>
      </c>
      <c r="HX348" t="e">
        <f>IF(#REF!,"AAAAAHk7+ec=",0)</f>
        <v>#REF!</v>
      </c>
      <c r="HY348" t="e">
        <f>IF(#REF!,"AAAAAHk7+eg=",0)</f>
        <v>#REF!</v>
      </c>
      <c r="HZ348" t="e">
        <f>IF(#REF!,"AAAAAHk7+ek=",0)</f>
        <v>#REF!</v>
      </c>
      <c r="IA348" t="e">
        <f>IF(#REF!,"AAAAAHk7+eo=",0)</f>
        <v>#REF!</v>
      </c>
      <c r="IB348" t="e">
        <f>IF(#REF!,"AAAAAHk7+es=",0)</f>
        <v>#REF!</v>
      </c>
      <c r="IC348" t="e">
        <f>IF(#REF!,"AAAAAHk7+ew=",0)</f>
        <v>#REF!</v>
      </c>
      <c r="ID348" t="e">
        <f>IF(#REF!,"AAAAAHk7+e0=",0)</f>
        <v>#REF!</v>
      </c>
      <c r="IE348" t="e">
        <f>IF(#REF!,"AAAAAHk7+e4=",0)</f>
        <v>#REF!</v>
      </c>
      <c r="IF348" t="e">
        <f>IF(#REF!,"AAAAAHk7+e8=",0)</f>
        <v>#REF!</v>
      </c>
      <c r="IG348" t="e">
        <f>IF(#REF!,"AAAAAHk7+fA=",0)</f>
        <v>#REF!</v>
      </c>
      <c r="IH348" t="e">
        <f>IF(#REF!,"AAAAAHk7+fE=",0)</f>
        <v>#REF!</v>
      </c>
      <c r="II348" t="e">
        <f>IF(#REF!,"AAAAAHk7+fI=",0)</f>
        <v>#REF!</v>
      </c>
      <c r="IJ348" t="e">
        <f>IF(#REF!,"AAAAAHk7+fM=",0)</f>
        <v>#REF!</v>
      </c>
      <c r="IK348" t="e">
        <f>IF(#REF!,"AAAAAHk7+fQ=",0)</f>
        <v>#REF!</v>
      </c>
      <c r="IL348" t="e">
        <f>IF(#REF!,"AAAAAHk7+fU=",0)</f>
        <v>#REF!</v>
      </c>
      <c r="IM348" t="e">
        <f>IF(#REF!,"AAAAAHk7+fY=",0)</f>
        <v>#REF!</v>
      </c>
      <c r="IN348" t="e">
        <f>IF(#REF!,"AAAAAHk7+fc=",0)</f>
        <v>#REF!</v>
      </c>
      <c r="IO348" t="e">
        <f>IF(#REF!,"AAAAAHk7+fg=",0)</f>
        <v>#REF!</v>
      </c>
      <c r="IP348" t="e">
        <f>IF(#REF!,"AAAAAHk7+fk=",0)</f>
        <v>#REF!</v>
      </c>
      <c r="IQ348" t="e">
        <f>IF(#REF!,"AAAAAHk7+fo=",0)</f>
        <v>#REF!</v>
      </c>
      <c r="IR348" t="e">
        <f>IF(#REF!,"AAAAAHk7+fs=",0)</f>
        <v>#REF!</v>
      </c>
      <c r="IS348" t="e">
        <f>IF(#REF!,"AAAAAHk7+fw=",0)</f>
        <v>#REF!</v>
      </c>
      <c r="IT348" t="e">
        <f>IF(#REF!,"AAAAAHk7+f0=",0)</f>
        <v>#REF!</v>
      </c>
      <c r="IU348" t="e">
        <f>IF(#REF!,"AAAAAHk7+f4=",0)</f>
        <v>#REF!</v>
      </c>
      <c r="IV348" t="e">
        <f>IF(#REF!,"AAAAAHk7+f8=",0)</f>
        <v>#REF!</v>
      </c>
    </row>
    <row r="349" spans="1:256">
      <c r="A349" t="e">
        <f>IF(#REF!,"AAAAAFsHIgA=",0)</f>
        <v>#REF!</v>
      </c>
      <c r="B349" t="e">
        <f>IF(#REF!,"AAAAAFsHIgE=",0)</f>
        <v>#REF!</v>
      </c>
      <c r="C349" t="e">
        <f>IF(#REF!,"AAAAAFsHIgI=",0)</f>
        <v>#REF!</v>
      </c>
      <c r="D349" t="e">
        <f>IF(#REF!,"AAAAAFsHIgM=",0)</f>
        <v>#REF!</v>
      </c>
      <c r="E349" t="e">
        <f>IF(#REF!,"AAAAAFsHIgQ=",0)</f>
        <v>#REF!</v>
      </c>
      <c r="F349" t="e">
        <f>IF(#REF!,"AAAAAFsHIgU=",0)</f>
        <v>#REF!</v>
      </c>
      <c r="G349" t="e">
        <f>IF(#REF!,"AAAAAFsHIgY=",0)</f>
        <v>#REF!</v>
      </c>
      <c r="H349" t="e">
        <f>IF(#REF!,"AAAAAFsHIgc=",0)</f>
        <v>#REF!</v>
      </c>
      <c r="I349" t="e">
        <f>IF(#REF!,"AAAAAFsHIgg=",0)</f>
        <v>#REF!</v>
      </c>
      <c r="J349" t="e">
        <f>IF(#REF!,"AAAAAFsHIgk=",0)</f>
        <v>#REF!</v>
      </c>
      <c r="K349" t="e">
        <f>IF(#REF!,"AAAAAFsHIgo=",0)</f>
        <v>#REF!</v>
      </c>
      <c r="L349" t="e">
        <f>IF(#REF!,"AAAAAFsHIgs=",0)</f>
        <v>#REF!</v>
      </c>
      <c r="M349" t="e">
        <f>IF(#REF!,"AAAAAFsHIgw=",0)</f>
        <v>#REF!</v>
      </c>
      <c r="N349" t="e">
        <f>IF(#REF!,"AAAAAFsHIg0=",0)</f>
        <v>#REF!</v>
      </c>
      <c r="O349" t="e">
        <f>IF(#REF!,"AAAAAFsHIg4=",0)</f>
        <v>#REF!</v>
      </c>
      <c r="P349" t="e">
        <f>IF(#REF!,"AAAAAFsHIg8=",0)</f>
        <v>#REF!</v>
      </c>
      <c r="Q349" t="e">
        <f>IF(#REF!,"AAAAAFsHIhA=",0)</f>
        <v>#REF!</v>
      </c>
      <c r="R349" t="e">
        <f>IF(#REF!,"AAAAAFsHIhE=",0)</f>
        <v>#REF!</v>
      </c>
      <c r="S349" t="e">
        <f>IF(#REF!,"AAAAAFsHIhI=",0)</f>
        <v>#REF!</v>
      </c>
      <c r="T349" t="e">
        <f>IF(#REF!,"AAAAAFsHIhM=",0)</f>
        <v>#REF!</v>
      </c>
      <c r="U349" t="e">
        <f>IF(#REF!,"AAAAAFsHIhQ=",0)</f>
        <v>#REF!</v>
      </c>
      <c r="V349" t="e">
        <f>IF(#REF!,"AAAAAFsHIhU=",0)</f>
        <v>#REF!</v>
      </c>
      <c r="W349" t="e">
        <f>IF(#REF!,"AAAAAFsHIhY=",0)</f>
        <v>#REF!</v>
      </c>
      <c r="X349" t="e">
        <f>IF(#REF!,"AAAAAFsHIhc=",0)</f>
        <v>#REF!</v>
      </c>
      <c r="Y349" t="e">
        <f>IF(#REF!,"AAAAAFsHIhg=",0)</f>
        <v>#REF!</v>
      </c>
      <c r="Z349" t="e">
        <f>IF(#REF!,"AAAAAFsHIhk=",0)</f>
        <v>#REF!</v>
      </c>
      <c r="AA349" t="e">
        <f>IF(#REF!,"AAAAAFsHIho=",0)</f>
        <v>#REF!</v>
      </c>
      <c r="AB349" t="e">
        <f>IF(#REF!,"AAAAAFsHIhs=",0)</f>
        <v>#REF!</v>
      </c>
      <c r="AC349" t="e">
        <f>IF(#REF!,"AAAAAFsHIhw=",0)</f>
        <v>#REF!</v>
      </c>
      <c r="AD349" t="e">
        <f>IF(#REF!,"AAAAAFsHIh0=",0)</f>
        <v>#REF!</v>
      </c>
      <c r="AE349" t="e">
        <f>IF(#REF!,"AAAAAFsHIh4=",0)</f>
        <v>#REF!</v>
      </c>
      <c r="AF349" t="e">
        <f>IF(#REF!,"AAAAAFsHIh8=",0)</f>
        <v>#REF!</v>
      </c>
      <c r="AG349" t="e">
        <f>IF(#REF!,"AAAAAFsHIiA=",0)</f>
        <v>#REF!</v>
      </c>
      <c r="AH349" t="e">
        <f>IF(#REF!,"AAAAAFsHIiE=",0)</f>
        <v>#REF!</v>
      </c>
      <c r="AI349" t="e">
        <f>IF(#REF!,"AAAAAFsHIiI=",0)</f>
        <v>#REF!</v>
      </c>
      <c r="AJ349" t="e">
        <f>IF(#REF!,"AAAAAFsHIiM=",0)</f>
        <v>#REF!</v>
      </c>
      <c r="AK349" t="e">
        <f>IF(#REF!,"AAAAAFsHIiQ=",0)</f>
        <v>#REF!</v>
      </c>
      <c r="AL349" t="e">
        <f>IF(#REF!,"AAAAAFsHIiU=",0)</f>
        <v>#REF!</v>
      </c>
      <c r="AM349" t="e">
        <f>IF(#REF!,"AAAAAFsHIiY=",0)</f>
        <v>#REF!</v>
      </c>
      <c r="AN349" t="e">
        <f>IF(#REF!,"AAAAAFsHIic=",0)</f>
        <v>#REF!</v>
      </c>
      <c r="AO349" t="e">
        <f>IF(#REF!,"AAAAAFsHIig=",0)</f>
        <v>#REF!</v>
      </c>
      <c r="AP349" t="e">
        <f>IF(#REF!,"AAAAAFsHIik=",0)</f>
        <v>#REF!</v>
      </c>
      <c r="AQ349" t="e">
        <f>IF(#REF!,"AAAAAFsHIio=",0)</f>
        <v>#REF!</v>
      </c>
      <c r="AR349" t="e">
        <f>IF(#REF!,"AAAAAFsHIis=",0)</f>
        <v>#REF!</v>
      </c>
      <c r="AS349" t="e">
        <f>IF(#REF!,"AAAAAFsHIiw=",0)</f>
        <v>#REF!</v>
      </c>
      <c r="AT349" t="e">
        <f>IF(#REF!,"AAAAAFsHIi0=",0)</f>
        <v>#REF!</v>
      </c>
      <c r="AU349" t="e">
        <f>IF(#REF!,"AAAAAFsHIi4=",0)</f>
        <v>#REF!</v>
      </c>
      <c r="AV349" t="e">
        <f>IF(#REF!,"AAAAAFsHIi8=",0)</f>
        <v>#REF!</v>
      </c>
      <c r="AW349" t="e">
        <f>IF(#REF!,"AAAAAFsHIjA=",0)</f>
        <v>#REF!</v>
      </c>
      <c r="AX349" t="e">
        <f>IF(#REF!,"AAAAAFsHIjE=",0)</f>
        <v>#REF!</v>
      </c>
      <c r="AY349" t="e">
        <f>IF(#REF!,"AAAAAFsHIjI=",0)</f>
        <v>#REF!</v>
      </c>
      <c r="AZ349" t="e">
        <f>IF(#REF!,"AAAAAFsHIjM=",0)</f>
        <v>#REF!</v>
      </c>
      <c r="BA349" t="e">
        <f>IF(#REF!,"AAAAAFsHIjQ=",0)</f>
        <v>#REF!</v>
      </c>
      <c r="BB349" t="e">
        <f>IF(#REF!,"AAAAAFsHIjU=",0)</f>
        <v>#REF!</v>
      </c>
      <c r="BC349" t="e">
        <f>IF(#REF!,"AAAAAFsHIjY=",0)</f>
        <v>#REF!</v>
      </c>
      <c r="BD349" t="e">
        <f>IF(#REF!,"AAAAAFsHIjc=",0)</f>
        <v>#REF!</v>
      </c>
      <c r="BE349" t="e">
        <f>IF(#REF!,"AAAAAFsHIjg=",0)</f>
        <v>#REF!</v>
      </c>
      <c r="BF349" t="e">
        <f>IF(#REF!,"AAAAAFsHIjk=",0)</f>
        <v>#REF!</v>
      </c>
      <c r="BG349" t="e">
        <f>IF(#REF!,"AAAAAFsHIjo=",0)</f>
        <v>#REF!</v>
      </c>
      <c r="BH349" t="e">
        <f>IF(#REF!,"AAAAAFsHIjs=",0)</f>
        <v>#REF!</v>
      </c>
      <c r="BI349" t="e">
        <f>IF(#REF!,"AAAAAFsHIjw=",0)</f>
        <v>#REF!</v>
      </c>
      <c r="BJ349" t="e">
        <f>IF(#REF!,"AAAAAFsHIj0=",0)</f>
        <v>#REF!</v>
      </c>
      <c r="BK349" t="e">
        <f>IF(#REF!,"AAAAAFsHIj4=",0)</f>
        <v>#REF!</v>
      </c>
      <c r="BL349" t="e">
        <f>IF(#REF!,"AAAAAFsHIj8=",0)</f>
        <v>#REF!</v>
      </c>
      <c r="BM349" t="e">
        <f>IF(#REF!,"AAAAAFsHIkA=",0)</f>
        <v>#REF!</v>
      </c>
      <c r="BN349" t="e">
        <f>IF(#REF!,"AAAAAFsHIkE=",0)</f>
        <v>#REF!</v>
      </c>
      <c r="BO349" t="e">
        <f>IF(#REF!,"AAAAAFsHIkI=",0)</f>
        <v>#REF!</v>
      </c>
      <c r="BP349" t="e">
        <f>IF(#REF!,"AAAAAFsHIkM=",0)</f>
        <v>#REF!</v>
      </c>
      <c r="BQ349" t="e">
        <f>IF(#REF!,"AAAAAFsHIkQ=",0)</f>
        <v>#REF!</v>
      </c>
      <c r="BR349" t="e">
        <f>IF(#REF!,"AAAAAFsHIkU=",0)</f>
        <v>#REF!</v>
      </c>
      <c r="BS349" t="e">
        <f>IF(#REF!,"AAAAAFsHIkY=",0)</f>
        <v>#REF!</v>
      </c>
      <c r="BT349" t="e">
        <f>IF(#REF!,"AAAAAFsHIkc=",0)</f>
        <v>#REF!</v>
      </c>
      <c r="BU349" t="e">
        <f>IF(#REF!,"AAAAAFsHIkg=",0)</f>
        <v>#REF!</v>
      </c>
      <c r="BV349" t="e">
        <f>IF(#REF!,"AAAAAFsHIkk=",0)</f>
        <v>#REF!</v>
      </c>
      <c r="BW349" t="e">
        <f>IF(#REF!,"AAAAAFsHIko=",0)</f>
        <v>#REF!</v>
      </c>
      <c r="BX349" t="e">
        <f>IF(#REF!,"AAAAAFsHIks=",0)</f>
        <v>#REF!</v>
      </c>
      <c r="BY349" t="e">
        <f>IF(#REF!,"AAAAAFsHIkw=",0)</f>
        <v>#REF!</v>
      </c>
      <c r="BZ349" t="e">
        <f>IF(#REF!,"AAAAAFsHIk0=",0)</f>
        <v>#REF!</v>
      </c>
      <c r="CA349" t="e">
        <f>IF(#REF!,"AAAAAFsHIk4=",0)</f>
        <v>#REF!</v>
      </c>
      <c r="CB349" t="e">
        <f>IF(#REF!,"AAAAAFsHIk8=",0)</f>
        <v>#REF!</v>
      </c>
      <c r="CC349" t="e">
        <f>IF(#REF!,"AAAAAFsHIlA=",0)</f>
        <v>#REF!</v>
      </c>
      <c r="CD349" t="e">
        <f>IF(#REF!,"AAAAAFsHIlE=",0)</f>
        <v>#REF!</v>
      </c>
      <c r="CE349" t="e">
        <f>IF(#REF!,"AAAAAFsHIlI=",0)</f>
        <v>#REF!</v>
      </c>
      <c r="CF349" t="e">
        <f>IF(#REF!,"AAAAAFsHIlM=",0)</f>
        <v>#REF!</v>
      </c>
      <c r="CG349" t="e">
        <f>IF(#REF!,"AAAAAFsHIlQ=",0)</f>
        <v>#REF!</v>
      </c>
      <c r="CH349" t="e">
        <f>IF(#REF!,"AAAAAFsHIlU=",0)</f>
        <v>#REF!</v>
      </c>
      <c r="CI349" t="e">
        <f>IF(#REF!,"AAAAAFsHIlY=",0)</f>
        <v>#REF!</v>
      </c>
      <c r="CJ349" t="e">
        <f>IF(#REF!,"AAAAAFsHIlc=",0)</f>
        <v>#REF!</v>
      </c>
      <c r="CK349" t="e">
        <f>IF(#REF!,"AAAAAFsHIlg=",0)</f>
        <v>#REF!</v>
      </c>
      <c r="CL349" t="e">
        <f>IF(#REF!,"AAAAAFsHIlk=",0)</f>
        <v>#REF!</v>
      </c>
      <c r="CM349" t="e">
        <f>IF(#REF!,"AAAAAFsHIlo=",0)</f>
        <v>#REF!</v>
      </c>
      <c r="CN349" t="e">
        <f>IF(#REF!,"AAAAAFsHIls=",0)</f>
        <v>#REF!</v>
      </c>
      <c r="CO349" t="e">
        <f>IF(#REF!,"AAAAAFsHIlw=",0)</f>
        <v>#REF!</v>
      </c>
      <c r="CP349" t="e">
        <f>IF(#REF!,"AAAAAFsHIl0=",0)</f>
        <v>#REF!</v>
      </c>
      <c r="CQ349" t="e">
        <f>IF(#REF!,"AAAAAFsHIl4=",0)</f>
        <v>#REF!</v>
      </c>
      <c r="CR349" t="e">
        <f>IF(#REF!,"AAAAAFsHIl8=",0)</f>
        <v>#REF!</v>
      </c>
      <c r="CS349" t="e">
        <f>IF(#REF!,"AAAAAFsHImA=",0)</f>
        <v>#REF!</v>
      </c>
      <c r="CT349" t="e">
        <f>IF(#REF!,"AAAAAFsHImE=",0)</f>
        <v>#REF!</v>
      </c>
      <c r="CU349" t="e">
        <f>IF(#REF!,"AAAAAFsHImI=",0)</f>
        <v>#REF!</v>
      </c>
      <c r="CV349" t="e">
        <f>IF(#REF!,"AAAAAFsHImM=",0)</f>
        <v>#REF!</v>
      </c>
      <c r="CW349" t="e">
        <f>IF(#REF!,"AAAAAFsHImQ=",0)</f>
        <v>#REF!</v>
      </c>
      <c r="CX349" t="e">
        <f>IF(#REF!,"AAAAAFsHImU=",0)</f>
        <v>#REF!</v>
      </c>
      <c r="CY349" t="e">
        <f>IF(#REF!,"AAAAAFsHImY=",0)</f>
        <v>#REF!</v>
      </c>
      <c r="CZ349" t="e">
        <f>IF(#REF!,"AAAAAFsHImc=",0)</f>
        <v>#REF!</v>
      </c>
      <c r="DA349" t="e">
        <f>IF(#REF!,"AAAAAFsHImg=",0)</f>
        <v>#REF!</v>
      </c>
      <c r="DB349" t="e">
        <f>IF(#REF!,"AAAAAFsHImk=",0)</f>
        <v>#REF!</v>
      </c>
      <c r="DC349" t="e">
        <f>IF(#REF!,"AAAAAFsHImo=",0)</f>
        <v>#REF!</v>
      </c>
      <c r="DD349" t="e">
        <f>IF(#REF!,"AAAAAFsHIms=",0)</f>
        <v>#REF!</v>
      </c>
      <c r="DE349" t="e">
        <f>IF(#REF!,"AAAAAFsHImw=",0)</f>
        <v>#REF!</v>
      </c>
      <c r="DF349" t="e">
        <f>IF(#REF!,"AAAAAFsHIm0=",0)</f>
        <v>#REF!</v>
      </c>
      <c r="DG349" t="e">
        <f>IF(#REF!,"AAAAAFsHIm4=",0)</f>
        <v>#REF!</v>
      </c>
      <c r="DH349" t="e">
        <f>IF(#REF!,"AAAAAFsHIm8=",0)</f>
        <v>#REF!</v>
      </c>
      <c r="DI349" t="e">
        <f>IF(#REF!,"AAAAAFsHInA=",0)</f>
        <v>#REF!</v>
      </c>
      <c r="DJ349" t="e">
        <f>IF(#REF!,"AAAAAFsHInE=",0)</f>
        <v>#REF!</v>
      </c>
      <c r="DK349" t="e">
        <f>IF(#REF!,"AAAAAFsHInI=",0)</f>
        <v>#REF!</v>
      </c>
      <c r="DL349" t="e">
        <f>IF(#REF!,"AAAAAFsHInM=",0)</f>
        <v>#REF!</v>
      </c>
      <c r="DM349" t="e">
        <f>IF(#REF!,"AAAAAFsHInQ=",0)</f>
        <v>#REF!</v>
      </c>
      <c r="DN349" t="e">
        <f>IF(#REF!,"AAAAAFsHInU=",0)</f>
        <v>#REF!</v>
      </c>
      <c r="DO349" t="e">
        <f>IF(#REF!,"AAAAAFsHInY=",0)</f>
        <v>#REF!</v>
      </c>
      <c r="DP349" t="e">
        <f>IF(#REF!,"AAAAAFsHInc=",0)</f>
        <v>#REF!</v>
      </c>
      <c r="DQ349" t="e">
        <f>IF(#REF!,"AAAAAFsHIng=",0)</f>
        <v>#REF!</v>
      </c>
      <c r="DR349" t="e">
        <f>IF(#REF!,"AAAAAFsHInk=",0)</f>
        <v>#REF!</v>
      </c>
      <c r="DS349" t="e">
        <f>IF(#REF!,"AAAAAFsHIno=",0)</f>
        <v>#REF!</v>
      </c>
      <c r="DT349" t="e">
        <f>IF(#REF!,"AAAAAFsHIns=",0)</f>
        <v>#REF!</v>
      </c>
      <c r="DU349" t="e">
        <f>IF(#REF!,"AAAAAFsHInw=",0)</f>
        <v>#REF!</v>
      </c>
      <c r="DV349" t="e">
        <f>IF(#REF!,"AAAAAFsHIn0=",0)</f>
        <v>#REF!</v>
      </c>
      <c r="DW349" t="e">
        <f>IF(#REF!,"AAAAAFsHIn4=",0)</f>
        <v>#REF!</v>
      </c>
      <c r="DX349" t="e">
        <f>IF(#REF!,"AAAAAFsHIn8=",0)</f>
        <v>#REF!</v>
      </c>
      <c r="DY349" t="e">
        <f>IF(#REF!,"AAAAAFsHIoA=",0)</f>
        <v>#REF!</v>
      </c>
      <c r="DZ349" t="e">
        <f>IF(#REF!,"AAAAAFsHIoE=",0)</f>
        <v>#REF!</v>
      </c>
      <c r="EA349" t="e">
        <f>IF(#REF!,"AAAAAFsHIoI=",0)</f>
        <v>#REF!</v>
      </c>
      <c r="EB349" t="e">
        <f>IF(#REF!,"AAAAAFsHIoM=",0)</f>
        <v>#REF!</v>
      </c>
      <c r="EC349" t="e">
        <f>IF(#REF!,"AAAAAFsHIoQ=",0)</f>
        <v>#REF!</v>
      </c>
      <c r="ED349" t="e">
        <f>IF(#REF!,"AAAAAFsHIoU=",0)</f>
        <v>#REF!</v>
      </c>
      <c r="EE349" t="e">
        <f>IF(#REF!,"AAAAAFsHIoY=",0)</f>
        <v>#REF!</v>
      </c>
      <c r="EF349" t="e">
        <f>IF(#REF!,"AAAAAFsHIoc=",0)</f>
        <v>#REF!</v>
      </c>
      <c r="EG349" t="e">
        <f>IF(#REF!,"AAAAAFsHIog=",0)</f>
        <v>#REF!</v>
      </c>
      <c r="EH349" t="e">
        <f>IF(#REF!,"AAAAAFsHIok=",0)</f>
        <v>#REF!</v>
      </c>
      <c r="EI349" t="e">
        <f>IF(#REF!,"AAAAAFsHIoo=",0)</f>
        <v>#REF!</v>
      </c>
      <c r="EJ349" t="e">
        <f>IF(#REF!,"AAAAAFsHIos=",0)</f>
        <v>#REF!</v>
      </c>
      <c r="EK349" t="e">
        <f>IF(#REF!,"AAAAAFsHIow=",0)</f>
        <v>#REF!</v>
      </c>
      <c r="EL349" t="e">
        <f>IF(#REF!,"AAAAAFsHIo0=",0)</f>
        <v>#REF!</v>
      </c>
      <c r="EM349" t="e">
        <f>IF(#REF!,"AAAAAFsHIo4=",0)</f>
        <v>#REF!</v>
      </c>
      <c r="EN349" t="e">
        <f>IF(#REF!,"AAAAAFsHIo8=",0)</f>
        <v>#REF!</v>
      </c>
      <c r="EO349" t="e">
        <f>IF(#REF!,"AAAAAFsHIpA=",0)</f>
        <v>#REF!</v>
      </c>
      <c r="EP349" t="e">
        <f>IF(#REF!,"AAAAAFsHIpE=",0)</f>
        <v>#REF!</v>
      </c>
      <c r="EQ349" t="e">
        <f>IF(#REF!,"AAAAAFsHIpI=",0)</f>
        <v>#REF!</v>
      </c>
      <c r="ER349" t="e">
        <f>IF(#REF!,"AAAAAFsHIpM=",0)</f>
        <v>#REF!</v>
      </c>
      <c r="ES349" t="e">
        <f>IF(#REF!,"AAAAAFsHIpQ=",0)</f>
        <v>#REF!</v>
      </c>
      <c r="ET349" t="e">
        <f>IF(#REF!,"AAAAAFsHIpU=",0)</f>
        <v>#REF!</v>
      </c>
      <c r="EU349" t="e">
        <f>IF(#REF!,"AAAAAFsHIpY=",0)</f>
        <v>#REF!</v>
      </c>
      <c r="EV349" t="e">
        <f>IF(#REF!,"AAAAAFsHIpc=",0)</f>
        <v>#REF!</v>
      </c>
      <c r="EW349" t="e">
        <f>IF(#REF!,"AAAAAFsHIpg=",0)</f>
        <v>#REF!</v>
      </c>
      <c r="EX349" t="e">
        <f>IF(#REF!,"AAAAAFsHIpk=",0)</f>
        <v>#REF!</v>
      </c>
      <c r="EY349" t="e">
        <f>IF(#REF!,"AAAAAFsHIpo=",0)</f>
        <v>#REF!</v>
      </c>
      <c r="EZ349" t="e">
        <f>IF(#REF!,"AAAAAFsHIps=",0)</f>
        <v>#REF!</v>
      </c>
      <c r="FA349" t="e">
        <f>IF(#REF!,"AAAAAFsHIpw=",0)</f>
        <v>#REF!</v>
      </c>
      <c r="FB349" t="e">
        <f>IF(#REF!,"AAAAAFsHIp0=",0)</f>
        <v>#REF!</v>
      </c>
      <c r="FC349" t="e">
        <f>IF(#REF!,"AAAAAFsHIp4=",0)</f>
        <v>#REF!</v>
      </c>
      <c r="FD349" t="e">
        <f>IF(#REF!,"AAAAAFsHIp8=",0)</f>
        <v>#REF!</v>
      </c>
      <c r="FE349" t="e">
        <f>IF(#REF!,"AAAAAFsHIqA=",0)</f>
        <v>#REF!</v>
      </c>
      <c r="FF349" t="e">
        <f>IF(#REF!,"AAAAAFsHIqE=",0)</f>
        <v>#REF!</v>
      </c>
      <c r="FG349" t="e">
        <f>IF(#REF!,"AAAAAFsHIqI=",0)</f>
        <v>#REF!</v>
      </c>
      <c r="FH349" t="e">
        <f>IF(#REF!,"AAAAAFsHIqM=",0)</f>
        <v>#REF!</v>
      </c>
      <c r="FI349" t="e">
        <f>IF(#REF!,"AAAAAFsHIqQ=",0)</f>
        <v>#REF!</v>
      </c>
      <c r="FJ349" t="e">
        <f>IF(#REF!,"AAAAAFsHIqU=",0)</f>
        <v>#REF!</v>
      </c>
      <c r="FK349" t="e">
        <f>IF(#REF!,"AAAAAFsHIqY=",0)</f>
        <v>#REF!</v>
      </c>
      <c r="FL349" t="e">
        <f>IF(#REF!,"AAAAAFsHIqc=",0)</f>
        <v>#REF!</v>
      </c>
      <c r="FM349" t="e">
        <f>IF(#REF!,"AAAAAFsHIqg=",0)</f>
        <v>#REF!</v>
      </c>
      <c r="FN349" t="e">
        <f>IF(#REF!,"AAAAAFsHIqk=",0)</f>
        <v>#REF!</v>
      </c>
      <c r="FO349" t="e">
        <f>IF(#REF!,"AAAAAFsHIqo=",0)</f>
        <v>#REF!</v>
      </c>
      <c r="FP349" t="e">
        <f>IF(#REF!,"AAAAAFsHIqs=",0)</f>
        <v>#REF!</v>
      </c>
      <c r="FQ349" t="e">
        <f>IF(#REF!,"AAAAAFsHIqw=",0)</f>
        <v>#REF!</v>
      </c>
      <c r="FR349" t="e">
        <f>IF(#REF!,"AAAAAFsHIq0=",0)</f>
        <v>#REF!</v>
      </c>
      <c r="FS349" t="e">
        <f>IF(#REF!,"AAAAAFsHIq4=",0)</f>
        <v>#REF!</v>
      </c>
      <c r="FT349" t="e">
        <f>IF(#REF!,"AAAAAFsHIq8=",0)</f>
        <v>#REF!</v>
      </c>
      <c r="FU349" t="e">
        <f>IF(#REF!,"AAAAAFsHIrA=",0)</f>
        <v>#REF!</v>
      </c>
      <c r="FV349" t="e">
        <f>IF(#REF!,"AAAAAFsHIrE=",0)</f>
        <v>#REF!</v>
      </c>
      <c r="FW349" t="e">
        <f>IF(#REF!,"AAAAAFsHIrI=",0)</f>
        <v>#REF!</v>
      </c>
      <c r="FX349" t="e">
        <f>IF(#REF!,"AAAAAFsHIrM=",0)</f>
        <v>#REF!</v>
      </c>
      <c r="FY349" t="e">
        <f>IF(#REF!,"AAAAAFsHIrQ=",0)</f>
        <v>#REF!</v>
      </c>
      <c r="FZ349" t="e">
        <f>IF(#REF!,"AAAAAFsHIrU=",0)</f>
        <v>#REF!</v>
      </c>
      <c r="GA349" t="e">
        <f>IF(#REF!,"AAAAAFsHIrY=",0)</f>
        <v>#REF!</v>
      </c>
      <c r="GB349" t="e">
        <f>IF(#REF!,"AAAAAFsHIrc=",0)</f>
        <v>#REF!</v>
      </c>
      <c r="GC349" t="e">
        <f>IF(#REF!,"AAAAAFsHIrg=",0)</f>
        <v>#REF!</v>
      </c>
      <c r="GD349" t="e">
        <f>IF(#REF!,"AAAAAFsHIrk=",0)</f>
        <v>#REF!</v>
      </c>
      <c r="GE349" t="e">
        <f>IF(#REF!,"AAAAAFsHIro=",0)</f>
        <v>#REF!</v>
      </c>
      <c r="GF349" t="e">
        <f>IF(#REF!,"AAAAAFsHIrs=",0)</f>
        <v>#REF!</v>
      </c>
      <c r="GG349" t="e">
        <f>IF(#REF!,"AAAAAFsHIrw=",0)</f>
        <v>#REF!</v>
      </c>
      <c r="GH349" t="e">
        <f>IF(#REF!,"AAAAAFsHIr0=",0)</f>
        <v>#REF!</v>
      </c>
      <c r="GI349" t="e">
        <f>IF(#REF!,"AAAAAFsHIr4=",0)</f>
        <v>#REF!</v>
      </c>
      <c r="GJ349" t="e">
        <f>IF(#REF!,"AAAAAFsHIr8=",0)</f>
        <v>#REF!</v>
      </c>
      <c r="GK349" t="e">
        <f>IF(#REF!,"AAAAAFsHIsA=",0)</f>
        <v>#REF!</v>
      </c>
      <c r="GL349" t="e">
        <f>IF(#REF!,"AAAAAFsHIsE=",0)</f>
        <v>#REF!</v>
      </c>
      <c r="GM349" t="e">
        <f>IF(#REF!,"AAAAAFsHIsI=",0)</f>
        <v>#REF!</v>
      </c>
      <c r="GN349" t="e">
        <f>IF(#REF!,"AAAAAFsHIsM=",0)</f>
        <v>#REF!</v>
      </c>
      <c r="GO349" t="e">
        <f>IF(#REF!,"AAAAAFsHIsQ=",0)</f>
        <v>#REF!</v>
      </c>
      <c r="GP349" t="e">
        <f>IF(#REF!,"AAAAAFsHIsU=",0)</f>
        <v>#REF!</v>
      </c>
      <c r="GQ349" t="e">
        <f>IF(#REF!,"AAAAAFsHIsY=",0)</f>
        <v>#REF!</v>
      </c>
      <c r="GR349" t="e">
        <f>IF(#REF!,"AAAAAFsHIsc=",0)</f>
        <v>#REF!</v>
      </c>
      <c r="GS349" t="e">
        <f>IF(#REF!,"AAAAAFsHIsg=",0)</f>
        <v>#REF!</v>
      </c>
      <c r="GT349" t="e">
        <f>IF(#REF!,"AAAAAFsHIsk=",0)</f>
        <v>#REF!</v>
      </c>
      <c r="GU349" t="e">
        <f>IF(#REF!,"AAAAAFsHIso=",0)</f>
        <v>#REF!</v>
      </c>
      <c r="GV349" t="e">
        <f>IF(#REF!,"AAAAAFsHIss=",0)</f>
        <v>#REF!</v>
      </c>
      <c r="GW349" t="e">
        <f>IF(#REF!,"AAAAAFsHIsw=",0)</f>
        <v>#REF!</v>
      </c>
      <c r="GX349" t="e">
        <f>IF(#REF!,"AAAAAFsHIs0=",0)</f>
        <v>#REF!</v>
      </c>
      <c r="GY349" t="e">
        <f>IF(#REF!,"AAAAAFsHIs4=",0)</f>
        <v>#REF!</v>
      </c>
      <c r="GZ349" t="e">
        <f>IF(#REF!,"AAAAAFsHIs8=",0)</f>
        <v>#REF!</v>
      </c>
      <c r="HA349" t="e">
        <f>IF(#REF!,"AAAAAFsHItA=",0)</f>
        <v>#REF!</v>
      </c>
      <c r="HB349" t="e">
        <f>IF(#REF!,"AAAAAFsHItE=",0)</f>
        <v>#REF!</v>
      </c>
      <c r="HC349" t="e">
        <f>IF(#REF!,"AAAAAFsHItI=",0)</f>
        <v>#REF!</v>
      </c>
      <c r="HD349" t="e">
        <f>IF(#REF!,"AAAAAFsHItM=",0)</f>
        <v>#REF!</v>
      </c>
      <c r="HE349" t="e">
        <f>IF(#REF!,"AAAAAFsHItQ=",0)</f>
        <v>#REF!</v>
      </c>
      <c r="HF349" t="e">
        <f>IF(#REF!,"AAAAAFsHItU=",0)</f>
        <v>#REF!</v>
      </c>
      <c r="HG349" t="e">
        <f>IF(#REF!,"AAAAAFsHItY=",0)</f>
        <v>#REF!</v>
      </c>
      <c r="HH349" t="e">
        <f>IF(#REF!,"AAAAAFsHItc=",0)</f>
        <v>#REF!</v>
      </c>
      <c r="HI349" t="e">
        <f>IF(#REF!,"AAAAAFsHItg=",0)</f>
        <v>#REF!</v>
      </c>
      <c r="HJ349" t="e">
        <f>IF(#REF!,"AAAAAFsHItk=",0)</f>
        <v>#REF!</v>
      </c>
      <c r="HK349" t="e">
        <f>IF(#REF!,"AAAAAFsHIto=",0)</f>
        <v>#REF!</v>
      </c>
      <c r="HL349" t="e">
        <f>IF(#REF!,"AAAAAFsHIts=",0)</f>
        <v>#REF!</v>
      </c>
      <c r="HM349" t="e">
        <f>IF(#REF!,"AAAAAFsHItw=",0)</f>
        <v>#REF!</v>
      </c>
      <c r="HN349" t="e">
        <f>IF(#REF!,"AAAAAFsHIt0=",0)</f>
        <v>#REF!</v>
      </c>
      <c r="HO349" t="e">
        <f>IF(#REF!,"AAAAAFsHIt4=",0)</f>
        <v>#REF!</v>
      </c>
      <c r="HP349" t="e">
        <f>IF(#REF!,"AAAAAFsHIt8=",0)</f>
        <v>#REF!</v>
      </c>
      <c r="HQ349" t="e">
        <f>IF(#REF!,"AAAAAFsHIuA=",0)</f>
        <v>#REF!</v>
      </c>
      <c r="HR349" t="e">
        <f>IF(#REF!,"AAAAAFsHIuE=",0)</f>
        <v>#REF!</v>
      </c>
      <c r="HS349" t="e">
        <f>IF(#REF!,"AAAAAFsHIuI=",0)</f>
        <v>#REF!</v>
      </c>
      <c r="HT349" t="e">
        <f>IF(#REF!,"AAAAAFsHIuM=",0)</f>
        <v>#REF!</v>
      </c>
      <c r="HU349" t="e">
        <f>IF(#REF!,"AAAAAFsHIuQ=",0)</f>
        <v>#REF!</v>
      </c>
      <c r="HV349" t="e">
        <f>IF(#REF!,"AAAAAFsHIuU=",0)</f>
        <v>#REF!</v>
      </c>
      <c r="HW349" t="e">
        <f>IF(#REF!,"AAAAAFsHIuY=",0)</f>
        <v>#REF!</v>
      </c>
      <c r="HX349" t="e">
        <f>IF(#REF!,"AAAAAFsHIuc=",0)</f>
        <v>#REF!</v>
      </c>
      <c r="HY349" t="e">
        <f>IF(#REF!,"AAAAAFsHIug=",0)</f>
        <v>#REF!</v>
      </c>
      <c r="HZ349" t="e">
        <f>IF(#REF!,"AAAAAFsHIuk=",0)</f>
        <v>#REF!</v>
      </c>
      <c r="IA349" t="e">
        <f>IF(#REF!,"AAAAAFsHIuo=",0)</f>
        <v>#REF!</v>
      </c>
      <c r="IB349" t="e">
        <f>IF(#REF!,"AAAAAFsHIus=",0)</f>
        <v>#REF!</v>
      </c>
      <c r="IC349" t="e">
        <f>IF(#REF!,"AAAAAFsHIuw=",0)</f>
        <v>#REF!</v>
      </c>
      <c r="ID349" t="e">
        <f>IF(#REF!,"AAAAAFsHIu0=",0)</f>
        <v>#REF!</v>
      </c>
      <c r="IE349" t="e">
        <f>IF(#REF!,"AAAAAFsHIu4=",0)</f>
        <v>#REF!</v>
      </c>
      <c r="IF349" t="e">
        <f>IF(#REF!,"AAAAAFsHIu8=",0)</f>
        <v>#REF!</v>
      </c>
      <c r="IG349" t="e">
        <f>IF(#REF!,"AAAAAFsHIvA=",0)</f>
        <v>#REF!</v>
      </c>
      <c r="IH349" t="e">
        <f>IF(#REF!,"AAAAAFsHIvE=",0)</f>
        <v>#REF!</v>
      </c>
      <c r="II349" t="e">
        <f>IF(#REF!,"AAAAAFsHIvI=",0)</f>
        <v>#REF!</v>
      </c>
      <c r="IJ349" t="e">
        <f>IF(#REF!,"AAAAAFsHIvM=",0)</f>
        <v>#REF!</v>
      </c>
      <c r="IK349" t="e">
        <f>IF(#REF!,"AAAAAFsHIvQ=",0)</f>
        <v>#REF!</v>
      </c>
      <c r="IL349" t="e">
        <f>IF(#REF!,"AAAAAFsHIvU=",0)</f>
        <v>#REF!</v>
      </c>
      <c r="IM349" t="e">
        <f>IF(#REF!,"AAAAAFsHIvY=",0)</f>
        <v>#REF!</v>
      </c>
      <c r="IN349" t="e">
        <f>IF(#REF!,"AAAAAFsHIvc=",0)</f>
        <v>#REF!</v>
      </c>
      <c r="IO349" t="e">
        <f>IF(#REF!,"AAAAAFsHIvg=",0)</f>
        <v>#REF!</v>
      </c>
      <c r="IP349" t="e">
        <f>IF(#REF!,"AAAAAFsHIvk=",0)</f>
        <v>#REF!</v>
      </c>
      <c r="IQ349" t="e">
        <f>IF(#REF!,"AAAAAFsHIvo=",0)</f>
        <v>#REF!</v>
      </c>
      <c r="IR349" t="e">
        <f>IF(#REF!,"AAAAAFsHIvs=",0)</f>
        <v>#REF!</v>
      </c>
      <c r="IS349" t="e">
        <f>IF(#REF!,"AAAAAFsHIvw=",0)</f>
        <v>#REF!</v>
      </c>
      <c r="IT349" t="e">
        <f>IF(#REF!,"AAAAAFsHIv0=",0)</f>
        <v>#REF!</v>
      </c>
      <c r="IU349" t="e">
        <f>IF(#REF!,"AAAAAFsHIv4=",0)</f>
        <v>#REF!</v>
      </c>
      <c r="IV349" t="e">
        <f>IF(#REF!,"AAAAAFsHIv8=",0)</f>
        <v>#REF!</v>
      </c>
    </row>
    <row r="350" spans="1:256">
      <c r="A350" t="e">
        <f>IF(#REF!,"AAAAAH97fgA=",0)</f>
        <v>#REF!</v>
      </c>
      <c r="B350" t="e">
        <f>IF(#REF!,"AAAAAH97fgE=",0)</f>
        <v>#REF!</v>
      </c>
      <c r="C350" t="e">
        <f>IF(#REF!,"AAAAAH97fgI=",0)</f>
        <v>#REF!</v>
      </c>
      <c r="D350" t="e">
        <f>IF(#REF!,"AAAAAH97fgM=",0)</f>
        <v>#REF!</v>
      </c>
      <c r="E350" t="e">
        <f>IF(#REF!,"AAAAAH97fgQ=",0)</f>
        <v>#REF!</v>
      </c>
      <c r="F350" t="e">
        <f>IF(#REF!,"AAAAAH97fgU=",0)</f>
        <v>#REF!</v>
      </c>
      <c r="G350" t="e">
        <f>IF(#REF!,"AAAAAH97fgY=",0)</f>
        <v>#REF!</v>
      </c>
      <c r="H350" t="e">
        <f>IF(#REF!,"AAAAAH97fgc=",0)</f>
        <v>#REF!</v>
      </c>
      <c r="I350" t="e">
        <f>IF(#REF!,"AAAAAH97fgg=",0)</f>
        <v>#REF!</v>
      </c>
      <c r="J350" t="e">
        <f>IF(#REF!,"AAAAAH97fgk=",0)</f>
        <v>#REF!</v>
      </c>
      <c r="K350" t="e">
        <f>IF(#REF!,"AAAAAH97fgo=",0)</f>
        <v>#REF!</v>
      </c>
      <c r="L350" t="e">
        <f>IF(#REF!,"AAAAAH97fgs=",0)</f>
        <v>#REF!</v>
      </c>
      <c r="M350" t="e">
        <f>IF(#REF!,"AAAAAH97fgw=",0)</f>
        <v>#REF!</v>
      </c>
      <c r="N350" t="e">
        <f>IF(#REF!,"AAAAAH97fg0=",0)</f>
        <v>#REF!</v>
      </c>
      <c r="O350" t="e">
        <f>IF(#REF!,"AAAAAH97fg4=",0)</f>
        <v>#REF!</v>
      </c>
      <c r="P350" t="e">
        <f>IF(#REF!,"AAAAAH97fg8=",0)</f>
        <v>#REF!</v>
      </c>
      <c r="Q350" t="e">
        <f>IF(#REF!,"AAAAAH97fhA=",0)</f>
        <v>#REF!</v>
      </c>
      <c r="R350" t="e">
        <f>IF(#REF!,"AAAAAH97fhE=",0)</f>
        <v>#REF!</v>
      </c>
      <c r="S350" t="e">
        <f>IF(#REF!,"AAAAAH97fhI=",0)</f>
        <v>#REF!</v>
      </c>
      <c r="T350" t="e">
        <f>IF(#REF!,"AAAAAH97fhM=",0)</f>
        <v>#REF!</v>
      </c>
      <c r="U350" t="e">
        <f>IF(#REF!,"AAAAAH97fhQ=",0)</f>
        <v>#REF!</v>
      </c>
      <c r="V350" t="e">
        <f>IF(#REF!,"AAAAAH97fhU=",0)</f>
        <v>#REF!</v>
      </c>
      <c r="W350" t="e">
        <f>IF(#REF!,"AAAAAH97fhY=",0)</f>
        <v>#REF!</v>
      </c>
      <c r="X350" t="e">
        <f>IF(#REF!,"AAAAAH97fhc=",0)</f>
        <v>#REF!</v>
      </c>
      <c r="Y350" t="e">
        <f>IF(#REF!,"AAAAAH97fhg=",0)</f>
        <v>#REF!</v>
      </c>
      <c r="Z350" t="e">
        <f>IF(#REF!,"AAAAAH97fhk=",0)</f>
        <v>#REF!</v>
      </c>
      <c r="AA350" t="e">
        <f>IF(#REF!,"AAAAAH97fho=",0)</f>
        <v>#REF!</v>
      </c>
      <c r="AB350" t="e">
        <f>IF(#REF!,"AAAAAH97fhs=",0)</f>
        <v>#REF!</v>
      </c>
      <c r="AC350" t="e">
        <f>IF(#REF!,"AAAAAH97fhw=",0)</f>
        <v>#REF!</v>
      </c>
      <c r="AD350" t="e">
        <f>IF(#REF!,"AAAAAH97fh0=",0)</f>
        <v>#REF!</v>
      </c>
      <c r="AE350" t="e">
        <f>IF(#REF!,"AAAAAH97fh4=",0)</f>
        <v>#REF!</v>
      </c>
      <c r="AF350" t="e">
        <f>IF(#REF!,"AAAAAH97fh8=",0)</f>
        <v>#REF!</v>
      </c>
      <c r="AG350" t="e">
        <f>IF(#REF!,"AAAAAH97fiA=",0)</f>
        <v>#REF!</v>
      </c>
      <c r="AH350" t="e">
        <f>IF(#REF!,"AAAAAH97fiE=",0)</f>
        <v>#REF!</v>
      </c>
      <c r="AI350" t="e">
        <f>IF(#REF!,"AAAAAH97fiI=",0)</f>
        <v>#REF!</v>
      </c>
      <c r="AJ350" t="e">
        <f>IF(#REF!,"AAAAAH97fiM=",0)</f>
        <v>#REF!</v>
      </c>
      <c r="AK350" t="e">
        <f>IF(#REF!,"AAAAAH97fiQ=",0)</f>
        <v>#REF!</v>
      </c>
      <c r="AL350" t="e">
        <f>IF(#REF!,"AAAAAH97fiU=",0)</f>
        <v>#REF!</v>
      </c>
      <c r="AM350" t="e">
        <f>IF(#REF!,"AAAAAH97fiY=",0)</f>
        <v>#REF!</v>
      </c>
      <c r="AN350" t="e">
        <f>IF(#REF!,"AAAAAH97fic=",0)</f>
        <v>#REF!</v>
      </c>
      <c r="AO350" t="e">
        <f>IF(#REF!,"AAAAAH97fig=",0)</f>
        <v>#REF!</v>
      </c>
      <c r="AP350" t="e">
        <f>IF(#REF!,"AAAAAH97fik=",0)</f>
        <v>#REF!</v>
      </c>
      <c r="AQ350" t="e">
        <f>IF(#REF!,"AAAAAH97fio=",0)</f>
        <v>#REF!</v>
      </c>
      <c r="AR350" t="e">
        <f>IF(#REF!,"AAAAAH97fis=",0)</f>
        <v>#REF!</v>
      </c>
      <c r="AS350" t="e">
        <f>IF(#REF!,"AAAAAH97fiw=",0)</f>
        <v>#REF!</v>
      </c>
      <c r="AT350" t="e">
        <f>IF(#REF!,"AAAAAH97fi0=",0)</f>
        <v>#REF!</v>
      </c>
      <c r="AU350" t="e">
        <f>IF(#REF!,"AAAAAH97fi4=",0)</f>
        <v>#REF!</v>
      </c>
      <c r="AV350" t="e">
        <f>IF(#REF!,"AAAAAH97fi8=",0)</f>
        <v>#REF!</v>
      </c>
      <c r="AW350" t="e">
        <f>IF(#REF!,"AAAAAH97fjA=",0)</f>
        <v>#REF!</v>
      </c>
      <c r="AX350" t="e">
        <f>IF(#REF!,"AAAAAH97fjE=",0)</f>
        <v>#REF!</v>
      </c>
      <c r="AY350" t="e">
        <f>IF(#REF!,"AAAAAH97fjI=",0)</f>
        <v>#REF!</v>
      </c>
      <c r="AZ350" t="e">
        <f>IF(#REF!,"AAAAAH97fjM=",0)</f>
        <v>#REF!</v>
      </c>
      <c r="BA350" t="e">
        <f>IF(#REF!,"AAAAAH97fjQ=",0)</f>
        <v>#REF!</v>
      </c>
      <c r="BB350" t="e">
        <f>IF(#REF!,"AAAAAH97fjU=",0)</f>
        <v>#REF!</v>
      </c>
      <c r="BC350" t="e">
        <f>IF(#REF!,"AAAAAH97fjY=",0)</f>
        <v>#REF!</v>
      </c>
      <c r="BD350" t="e">
        <f>IF(#REF!,"AAAAAH97fjc=",0)</f>
        <v>#REF!</v>
      </c>
      <c r="BE350" t="e">
        <f>IF(#REF!,"AAAAAH97fjg=",0)</f>
        <v>#REF!</v>
      </c>
      <c r="BF350" t="e">
        <f>IF(#REF!,"AAAAAH97fjk=",0)</f>
        <v>#REF!</v>
      </c>
      <c r="BG350" t="e">
        <f>IF(#REF!,"AAAAAH97fjo=",0)</f>
        <v>#REF!</v>
      </c>
      <c r="BH350" t="e">
        <f>IF(#REF!,"AAAAAH97fjs=",0)</f>
        <v>#REF!</v>
      </c>
      <c r="BI350" t="e">
        <f>IF(#REF!,"AAAAAH97fjw=",0)</f>
        <v>#REF!</v>
      </c>
      <c r="BJ350" t="e">
        <f>IF(#REF!,"AAAAAH97fj0=",0)</f>
        <v>#REF!</v>
      </c>
      <c r="BK350" t="e">
        <f>IF(#REF!,"AAAAAH97fj4=",0)</f>
        <v>#REF!</v>
      </c>
      <c r="BL350" t="e">
        <f>IF(#REF!,"AAAAAH97fj8=",0)</f>
        <v>#REF!</v>
      </c>
      <c r="BM350" t="e">
        <f>IF(#REF!,"AAAAAH97fkA=",0)</f>
        <v>#REF!</v>
      </c>
      <c r="BN350" t="e">
        <f>IF(#REF!,"AAAAAH97fkE=",0)</f>
        <v>#REF!</v>
      </c>
      <c r="BO350" t="e">
        <f>IF(#REF!,"AAAAAH97fkI=",0)</f>
        <v>#REF!</v>
      </c>
      <c r="BP350" t="e">
        <f>IF(#REF!,"AAAAAH97fkM=",0)</f>
        <v>#REF!</v>
      </c>
      <c r="BQ350" t="e">
        <f>IF(#REF!,"AAAAAH97fkQ=",0)</f>
        <v>#REF!</v>
      </c>
      <c r="BR350" t="e">
        <f>IF(#REF!,"AAAAAH97fkU=",0)</f>
        <v>#REF!</v>
      </c>
      <c r="BS350" t="e">
        <f>IF(#REF!,"AAAAAH97fkY=",0)</f>
        <v>#REF!</v>
      </c>
      <c r="BT350" t="e">
        <f>IF(#REF!,"AAAAAH97fkc=",0)</f>
        <v>#REF!</v>
      </c>
      <c r="BU350" t="e">
        <f>IF(#REF!,"AAAAAH97fkg=",0)</f>
        <v>#REF!</v>
      </c>
      <c r="BV350" t="e">
        <f>IF(#REF!,"AAAAAH97fkk=",0)</f>
        <v>#REF!</v>
      </c>
      <c r="BW350" t="e">
        <f>IF(#REF!,"AAAAAH97fko=",0)</f>
        <v>#REF!</v>
      </c>
      <c r="BX350" t="e">
        <f>IF(#REF!,"AAAAAH97fks=",0)</f>
        <v>#REF!</v>
      </c>
      <c r="BY350" t="e">
        <f>IF(#REF!,"AAAAAH97fkw=",0)</f>
        <v>#REF!</v>
      </c>
      <c r="BZ350" t="e">
        <f>IF(#REF!,"AAAAAH97fk0=",0)</f>
        <v>#REF!</v>
      </c>
      <c r="CA350" t="e">
        <f>IF(#REF!,"AAAAAH97fk4=",0)</f>
        <v>#REF!</v>
      </c>
      <c r="CB350" t="e">
        <f>IF(#REF!,"AAAAAH97fk8=",0)</f>
        <v>#REF!</v>
      </c>
      <c r="CC350" t="e">
        <f>IF(#REF!,"AAAAAH97flA=",0)</f>
        <v>#REF!</v>
      </c>
      <c r="CD350" t="e">
        <f>IF(#REF!,"AAAAAH97flE=",0)</f>
        <v>#REF!</v>
      </c>
      <c r="CE350" t="e">
        <f>IF(#REF!,"AAAAAH97flI=",0)</f>
        <v>#REF!</v>
      </c>
      <c r="CF350" t="e">
        <f>IF(#REF!,"AAAAAH97flM=",0)</f>
        <v>#REF!</v>
      </c>
      <c r="CG350" t="e">
        <f>IF(#REF!,"AAAAAH97flQ=",0)</f>
        <v>#REF!</v>
      </c>
      <c r="CH350" t="e">
        <f>IF(#REF!,"AAAAAH97flU=",0)</f>
        <v>#REF!</v>
      </c>
      <c r="CI350" t="e">
        <f>IF(#REF!,"AAAAAH97flY=",0)</f>
        <v>#REF!</v>
      </c>
      <c r="CJ350" t="e">
        <f>IF(#REF!,"AAAAAH97flc=",0)</f>
        <v>#REF!</v>
      </c>
      <c r="CK350" t="e">
        <f>IF(#REF!,"AAAAAH97flg=",0)</f>
        <v>#REF!</v>
      </c>
      <c r="CL350" t="e">
        <f>IF(#REF!,"AAAAAH97flk=",0)</f>
        <v>#REF!</v>
      </c>
      <c r="CM350" t="e">
        <f>IF(#REF!,"AAAAAH97flo=",0)</f>
        <v>#REF!</v>
      </c>
      <c r="CN350" t="e">
        <f>IF(#REF!,"AAAAAH97fls=",0)</f>
        <v>#REF!</v>
      </c>
      <c r="CO350" t="e">
        <f>IF(#REF!,"AAAAAH97flw=",0)</f>
        <v>#REF!</v>
      </c>
      <c r="CP350" t="e">
        <f>IF(#REF!,"AAAAAH97fl0=",0)</f>
        <v>#REF!</v>
      </c>
      <c r="CQ350" t="e">
        <f>IF(#REF!,"AAAAAH97fl4=",0)</f>
        <v>#REF!</v>
      </c>
      <c r="CR350" t="e">
        <f>IF(#REF!,"AAAAAH97fl8=",0)</f>
        <v>#REF!</v>
      </c>
      <c r="CS350" t="e">
        <f>IF(#REF!,"AAAAAH97fmA=",0)</f>
        <v>#REF!</v>
      </c>
      <c r="CT350" t="e">
        <f>IF(#REF!,"AAAAAH97fmE=",0)</f>
        <v>#REF!</v>
      </c>
      <c r="CU350" t="e">
        <f>IF(#REF!,"AAAAAH97fmI=",0)</f>
        <v>#REF!</v>
      </c>
      <c r="CV350" t="e">
        <f>IF(#REF!,"AAAAAH97fmM=",0)</f>
        <v>#REF!</v>
      </c>
      <c r="CW350" t="e">
        <f>IF(#REF!,"AAAAAH97fmQ=",0)</f>
        <v>#REF!</v>
      </c>
      <c r="CX350" t="e">
        <f>IF(#REF!,"AAAAAH97fmU=",0)</f>
        <v>#REF!</v>
      </c>
      <c r="CY350" t="e">
        <f>IF(#REF!,"AAAAAH97fmY=",0)</f>
        <v>#REF!</v>
      </c>
      <c r="CZ350" t="e">
        <f>IF(#REF!,"AAAAAH97fmc=",0)</f>
        <v>#REF!</v>
      </c>
      <c r="DA350" t="e">
        <f>IF(#REF!,"AAAAAH97fmg=",0)</f>
        <v>#REF!</v>
      </c>
      <c r="DB350" t="e">
        <f>IF(#REF!,"AAAAAH97fmk=",0)</f>
        <v>#REF!</v>
      </c>
      <c r="DC350" t="e">
        <f>IF(#REF!,"AAAAAH97fmo=",0)</f>
        <v>#REF!</v>
      </c>
      <c r="DD350" t="e">
        <f>IF(#REF!,"AAAAAH97fms=",0)</f>
        <v>#REF!</v>
      </c>
      <c r="DE350" t="e">
        <f>IF(#REF!,"AAAAAH97fmw=",0)</f>
        <v>#REF!</v>
      </c>
      <c r="DF350" t="e">
        <f>IF(#REF!,"AAAAAH97fm0=",0)</f>
        <v>#REF!</v>
      </c>
      <c r="DG350" t="e">
        <f>IF(#REF!,"AAAAAH97fm4=",0)</f>
        <v>#REF!</v>
      </c>
      <c r="DH350" t="e">
        <f>IF(#REF!,"AAAAAH97fm8=",0)</f>
        <v>#REF!</v>
      </c>
      <c r="DI350" t="e">
        <f>IF(#REF!,"AAAAAH97fnA=",0)</f>
        <v>#REF!</v>
      </c>
      <c r="DJ350" t="e">
        <f>IF(#REF!,"AAAAAH97fnE=",0)</f>
        <v>#REF!</v>
      </c>
      <c r="DK350" t="e">
        <f>IF(#REF!,"AAAAAH97fnI=",0)</f>
        <v>#REF!</v>
      </c>
      <c r="DL350" t="e">
        <f>IF(#REF!,"AAAAAH97fnM=",0)</f>
        <v>#REF!</v>
      </c>
      <c r="DM350" t="e">
        <f>IF(#REF!,"AAAAAH97fnQ=",0)</f>
        <v>#REF!</v>
      </c>
      <c r="DN350" t="e">
        <f>IF(#REF!,"AAAAAH97fnU=",0)</f>
        <v>#REF!</v>
      </c>
      <c r="DO350" t="e">
        <f>IF(#REF!,"AAAAAH97fnY=",0)</f>
        <v>#REF!</v>
      </c>
      <c r="DP350" t="e">
        <f>IF(#REF!,"AAAAAH97fnc=",0)</f>
        <v>#REF!</v>
      </c>
      <c r="DQ350" t="e">
        <f>IF(#REF!,"AAAAAH97fng=",0)</f>
        <v>#REF!</v>
      </c>
      <c r="DR350" t="e">
        <f>IF(#REF!,"AAAAAH97fnk=",0)</f>
        <v>#REF!</v>
      </c>
      <c r="DS350" t="e">
        <f>IF(#REF!,"AAAAAH97fno=",0)</f>
        <v>#REF!</v>
      </c>
      <c r="DT350" t="e">
        <f>IF(#REF!,"AAAAAH97fns=",0)</f>
        <v>#REF!</v>
      </c>
      <c r="DU350" t="e">
        <f>IF(#REF!,"AAAAAH97fnw=",0)</f>
        <v>#REF!</v>
      </c>
      <c r="DV350" t="e">
        <f>IF(#REF!,"AAAAAH97fn0=",0)</f>
        <v>#REF!</v>
      </c>
      <c r="DW350" t="e">
        <f>IF(#REF!,"AAAAAH97fn4=",0)</f>
        <v>#REF!</v>
      </c>
      <c r="DX350" t="e">
        <f>IF(#REF!,"AAAAAH97fn8=",0)</f>
        <v>#REF!</v>
      </c>
      <c r="DY350" t="e">
        <f>IF(#REF!,"AAAAAH97foA=",0)</f>
        <v>#REF!</v>
      </c>
      <c r="DZ350" t="e">
        <f>IF(#REF!,"AAAAAH97foE=",0)</f>
        <v>#REF!</v>
      </c>
      <c r="EA350" t="e">
        <f>IF(#REF!,"AAAAAH97foI=",0)</f>
        <v>#REF!</v>
      </c>
      <c r="EB350" t="e">
        <f>IF(#REF!,"AAAAAH97foM=",0)</f>
        <v>#REF!</v>
      </c>
      <c r="EC350" t="e">
        <f>IF(#REF!,"AAAAAH97foQ=",0)</f>
        <v>#REF!</v>
      </c>
      <c r="ED350" t="e">
        <f>IF(#REF!,"AAAAAH97foU=",0)</f>
        <v>#REF!</v>
      </c>
      <c r="EE350" t="e">
        <f>IF(#REF!,"AAAAAH97foY=",0)</f>
        <v>#REF!</v>
      </c>
      <c r="EF350" t="e">
        <f>IF(#REF!,"AAAAAH97foc=",0)</f>
        <v>#REF!</v>
      </c>
      <c r="EG350" t="e">
        <f>IF(#REF!,"AAAAAH97fog=",0)</f>
        <v>#REF!</v>
      </c>
      <c r="EH350" t="e">
        <f>IF(#REF!,"AAAAAH97fok=",0)</f>
        <v>#REF!</v>
      </c>
      <c r="EI350" t="e">
        <f>IF(#REF!,"AAAAAH97foo=",0)</f>
        <v>#REF!</v>
      </c>
      <c r="EJ350" t="e">
        <f>IF(#REF!,"AAAAAH97fos=",0)</f>
        <v>#REF!</v>
      </c>
      <c r="EK350" t="e">
        <f>IF(#REF!,"AAAAAH97fow=",0)</f>
        <v>#REF!</v>
      </c>
      <c r="EL350" t="e">
        <f>IF(#REF!,"AAAAAH97fo0=",0)</f>
        <v>#REF!</v>
      </c>
      <c r="EM350" t="e">
        <f>IF(#REF!,"AAAAAH97fo4=",0)</f>
        <v>#REF!</v>
      </c>
      <c r="EN350" t="e">
        <f>IF(#REF!,"AAAAAH97fo8=",0)</f>
        <v>#REF!</v>
      </c>
      <c r="EO350" t="e">
        <f>IF(#REF!,"AAAAAH97fpA=",0)</f>
        <v>#REF!</v>
      </c>
      <c r="EP350" t="e">
        <f>IF(#REF!,"AAAAAH97fpE=",0)</f>
        <v>#REF!</v>
      </c>
      <c r="EQ350" t="e">
        <f>IF(#REF!,"AAAAAH97fpI=",0)</f>
        <v>#REF!</v>
      </c>
      <c r="ER350" t="e">
        <f>IF(#REF!,"AAAAAH97fpM=",0)</f>
        <v>#REF!</v>
      </c>
      <c r="ES350" t="e">
        <f>IF(#REF!,"AAAAAH97fpQ=",0)</f>
        <v>#REF!</v>
      </c>
      <c r="ET350" t="e">
        <f>IF(#REF!,"AAAAAH97fpU=",0)</f>
        <v>#REF!</v>
      </c>
      <c r="EU350" t="e">
        <f>IF(#REF!,"AAAAAH97fpY=",0)</f>
        <v>#REF!</v>
      </c>
      <c r="EV350" t="e">
        <f>IF(#REF!,"AAAAAH97fpc=",0)</f>
        <v>#REF!</v>
      </c>
      <c r="EW350" t="e">
        <f>IF(#REF!,"AAAAAH97fpg=",0)</f>
        <v>#REF!</v>
      </c>
      <c r="EX350" t="e">
        <f>IF(#REF!,"AAAAAH97fpk=",0)</f>
        <v>#REF!</v>
      </c>
      <c r="EY350" t="e">
        <f>IF(#REF!,"AAAAAH97fpo=",0)</f>
        <v>#REF!</v>
      </c>
      <c r="EZ350" t="e">
        <f>IF(#REF!,"AAAAAH97fps=",0)</f>
        <v>#REF!</v>
      </c>
      <c r="FA350" t="e">
        <f>IF(#REF!,"AAAAAH97fpw=",0)</f>
        <v>#REF!</v>
      </c>
      <c r="FB350" t="e">
        <f>IF(#REF!,"AAAAAH97fp0=",0)</f>
        <v>#REF!</v>
      </c>
      <c r="FC350" t="e">
        <f>IF(#REF!,"AAAAAH97fp4=",0)</f>
        <v>#REF!</v>
      </c>
      <c r="FD350" t="e">
        <f>IF(#REF!,"AAAAAH97fp8=",0)</f>
        <v>#REF!</v>
      </c>
      <c r="FE350" t="e">
        <f>IF(#REF!,"AAAAAH97fqA=",0)</f>
        <v>#REF!</v>
      </c>
      <c r="FF350" t="e">
        <f>IF(#REF!,"AAAAAH97fqE=",0)</f>
        <v>#REF!</v>
      </c>
      <c r="FG350" t="e">
        <f>IF(#REF!,"AAAAAH97fqI=",0)</f>
        <v>#REF!</v>
      </c>
      <c r="FH350" t="e">
        <f>IF(#REF!,"AAAAAH97fqM=",0)</f>
        <v>#REF!</v>
      </c>
      <c r="FI350" t="e">
        <f>IF(#REF!,"AAAAAH97fqQ=",0)</f>
        <v>#REF!</v>
      </c>
      <c r="FJ350" t="e">
        <f>IF(#REF!,"AAAAAH97fqU=",0)</f>
        <v>#REF!</v>
      </c>
      <c r="FK350" t="e">
        <f>IF(#REF!,"AAAAAH97fqY=",0)</f>
        <v>#REF!</v>
      </c>
      <c r="FL350" t="e">
        <f>IF(#REF!,"AAAAAH97fqc=",0)</f>
        <v>#REF!</v>
      </c>
      <c r="FM350" t="e">
        <f>IF(#REF!,"AAAAAH97fqg=",0)</f>
        <v>#REF!</v>
      </c>
      <c r="FN350" t="e">
        <f>IF(#REF!,"AAAAAH97fqk=",0)</f>
        <v>#REF!</v>
      </c>
      <c r="FO350" t="e">
        <f>IF(#REF!,"AAAAAH97fqo=",0)</f>
        <v>#REF!</v>
      </c>
      <c r="FP350" t="e">
        <f>IF(#REF!,"AAAAAH97fqs=",0)</f>
        <v>#REF!</v>
      </c>
      <c r="FQ350" t="e">
        <f>IF(#REF!,"AAAAAH97fqw=",0)</f>
        <v>#REF!</v>
      </c>
      <c r="FR350" t="e">
        <f>IF(#REF!,"AAAAAH97fq0=",0)</f>
        <v>#REF!</v>
      </c>
      <c r="FS350" t="e">
        <f>IF(#REF!,"AAAAAH97fq4=",0)</f>
        <v>#REF!</v>
      </c>
      <c r="FT350" t="e">
        <f>IF(#REF!,"AAAAAH97fq8=",0)</f>
        <v>#REF!</v>
      </c>
      <c r="FU350" t="e">
        <f>IF(#REF!,"AAAAAH97frA=",0)</f>
        <v>#REF!</v>
      </c>
      <c r="FV350" t="e">
        <f>IF(#REF!,"AAAAAH97frE=",0)</f>
        <v>#REF!</v>
      </c>
      <c r="FW350" t="e">
        <f>IF(#REF!,"AAAAAH97frI=",0)</f>
        <v>#REF!</v>
      </c>
      <c r="FX350" t="e">
        <f>IF(#REF!,"AAAAAH97frM=",0)</f>
        <v>#REF!</v>
      </c>
      <c r="FY350" t="e">
        <f>IF(#REF!,"AAAAAH97frQ=",0)</f>
        <v>#REF!</v>
      </c>
      <c r="FZ350" t="e">
        <f>IF(#REF!,"AAAAAH97frU=",0)</f>
        <v>#REF!</v>
      </c>
      <c r="GA350" t="e">
        <f>IF(#REF!,"AAAAAH97frY=",0)</f>
        <v>#REF!</v>
      </c>
      <c r="GB350" t="e">
        <f>IF(#REF!,"AAAAAH97frc=",0)</f>
        <v>#REF!</v>
      </c>
      <c r="GC350" t="e">
        <f>IF(#REF!,"AAAAAH97frg=",0)</f>
        <v>#REF!</v>
      </c>
      <c r="GD350" t="e">
        <f>IF(#REF!,"AAAAAH97frk=",0)</f>
        <v>#REF!</v>
      </c>
      <c r="GE350" t="e">
        <f>IF(#REF!,"AAAAAH97fro=",0)</f>
        <v>#REF!</v>
      </c>
      <c r="GF350" t="e">
        <f>IF(#REF!,"AAAAAH97frs=",0)</f>
        <v>#REF!</v>
      </c>
      <c r="GG350" t="e">
        <f>IF(#REF!,"AAAAAH97frw=",0)</f>
        <v>#REF!</v>
      </c>
      <c r="GH350" t="e">
        <f>IF(#REF!,"AAAAAH97fr0=",0)</f>
        <v>#REF!</v>
      </c>
      <c r="GI350" t="e">
        <f>IF(#REF!,"AAAAAH97fr4=",0)</f>
        <v>#REF!</v>
      </c>
      <c r="GJ350" t="e">
        <f>IF(#REF!,"AAAAAH97fr8=",0)</f>
        <v>#REF!</v>
      </c>
      <c r="GK350" t="e">
        <f>IF(#REF!,"AAAAAH97fsA=",0)</f>
        <v>#REF!</v>
      </c>
      <c r="GL350" t="e">
        <f>IF(#REF!,"AAAAAH97fsE=",0)</f>
        <v>#REF!</v>
      </c>
      <c r="GM350" t="e">
        <f>IF(#REF!,"AAAAAH97fsI=",0)</f>
        <v>#REF!</v>
      </c>
      <c r="GN350" t="e">
        <f>IF(#REF!,"AAAAAH97fsM=",0)</f>
        <v>#REF!</v>
      </c>
      <c r="GO350" t="e">
        <f>IF(#REF!,"AAAAAH97fsQ=",0)</f>
        <v>#REF!</v>
      </c>
      <c r="GP350" t="e">
        <f>IF(#REF!,"AAAAAH97fsU=",0)</f>
        <v>#REF!</v>
      </c>
      <c r="GQ350" t="e">
        <f>IF(#REF!,"AAAAAH97fsY=",0)</f>
        <v>#REF!</v>
      </c>
      <c r="GR350" t="e">
        <f>IF(#REF!,"AAAAAH97fsc=",0)</f>
        <v>#REF!</v>
      </c>
      <c r="GS350" t="e">
        <f>IF(#REF!,"AAAAAH97fsg=",0)</f>
        <v>#REF!</v>
      </c>
      <c r="GT350" t="e">
        <f>IF(#REF!,"AAAAAH97fsk=",0)</f>
        <v>#REF!</v>
      </c>
      <c r="GU350" t="e">
        <f>IF(#REF!,"AAAAAH97fso=",0)</f>
        <v>#REF!</v>
      </c>
      <c r="GV350" t="e">
        <f>IF(#REF!,"AAAAAH97fss=",0)</f>
        <v>#REF!</v>
      </c>
      <c r="GW350" t="e">
        <f>IF(#REF!,"AAAAAH97fsw=",0)</f>
        <v>#REF!</v>
      </c>
      <c r="GX350" t="e">
        <f>IF(#REF!,"AAAAAH97fs0=",0)</f>
        <v>#REF!</v>
      </c>
      <c r="GY350" t="e">
        <f>IF(#REF!,"AAAAAH97fs4=",0)</f>
        <v>#REF!</v>
      </c>
      <c r="GZ350" t="e">
        <f>IF(#REF!,"AAAAAH97fs8=",0)</f>
        <v>#REF!</v>
      </c>
      <c r="HA350" t="e">
        <f>IF(#REF!,"AAAAAH97ftA=",0)</f>
        <v>#REF!</v>
      </c>
      <c r="HB350" t="e">
        <f>IF(#REF!,"AAAAAH97ftE=",0)</f>
        <v>#REF!</v>
      </c>
      <c r="HC350" t="e">
        <f>IF(#REF!,"AAAAAH97ftI=",0)</f>
        <v>#REF!</v>
      </c>
      <c r="HD350" t="e">
        <f>IF(#REF!,"AAAAAH97ftM=",0)</f>
        <v>#REF!</v>
      </c>
      <c r="HE350" t="e">
        <f>IF(#REF!,"AAAAAH97ftQ=",0)</f>
        <v>#REF!</v>
      </c>
      <c r="HF350" t="e">
        <f>IF(#REF!,"AAAAAH97ftU=",0)</f>
        <v>#REF!</v>
      </c>
      <c r="HG350" t="e">
        <f>IF(#REF!,"AAAAAH97ftY=",0)</f>
        <v>#REF!</v>
      </c>
      <c r="HH350" t="e">
        <f>IF(#REF!,"AAAAAH97ftc=",0)</f>
        <v>#REF!</v>
      </c>
      <c r="HI350" t="e">
        <f>IF(#REF!,"AAAAAH97ftg=",0)</f>
        <v>#REF!</v>
      </c>
      <c r="HJ350" t="e">
        <f>IF(#REF!,"AAAAAH97ftk=",0)</f>
        <v>#REF!</v>
      </c>
      <c r="HK350" t="e">
        <f>IF(#REF!,"AAAAAH97fto=",0)</f>
        <v>#REF!</v>
      </c>
      <c r="HL350" t="e">
        <f>IF(#REF!,"AAAAAH97fts=",0)</f>
        <v>#REF!</v>
      </c>
      <c r="HM350" t="e">
        <f>IF(#REF!,"AAAAAH97ftw=",0)</f>
        <v>#REF!</v>
      </c>
      <c r="HN350" t="e">
        <f>IF(#REF!,"AAAAAH97ft0=",0)</f>
        <v>#REF!</v>
      </c>
      <c r="HO350" t="e">
        <f>IF(#REF!,"AAAAAH97ft4=",0)</f>
        <v>#REF!</v>
      </c>
      <c r="HP350" t="e">
        <f>IF(#REF!,"AAAAAH97ft8=",0)</f>
        <v>#REF!</v>
      </c>
      <c r="HQ350" t="e">
        <f>IF(#REF!,"AAAAAH97fuA=",0)</f>
        <v>#REF!</v>
      </c>
      <c r="HR350" t="e">
        <f>IF(#REF!,"AAAAAH97fuE=",0)</f>
        <v>#REF!</v>
      </c>
      <c r="HS350" t="e">
        <f>IF(#REF!,"AAAAAH97fuI=",0)</f>
        <v>#REF!</v>
      </c>
      <c r="HT350" t="e">
        <f>IF(#REF!,"AAAAAH97fuM=",0)</f>
        <v>#REF!</v>
      </c>
      <c r="HU350" t="e">
        <f>IF(#REF!,"AAAAAH97fuQ=",0)</f>
        <v>#REF!</v>
      </c>
      <c r="HV350" t="e">
        <f>IF(#REF!,"AAAAAH97fuU=",0)</f>
        <v>#REF!</v>
      </c>
      <c r="HW350" t="e">
        <f>IF(#REF!,"AAAAAH97fuY=",0)</f>
        <v>#REF!</v>
      </c>
      <c r="HX350" t="e">
        <f>IF(#REF!,"AAAAAH97fuc=",0)</f>
        <v>#REF!</v>
      </c>
      <c r="HY350" t="e">
        <f>IF(#REF!,"AAAAAH97fug=",0)</f>
        <v>#REF!</v>
      </c>
      <c r="HZ350" t="e">
        <f>IF(#REF!,"AAAAAH97fuk=",0)</f>
        <v>#REF!</v>
      </c>
      <c r="IA350" t="e">
        <f>IF(#REF!,"AAAAAH97fuo=",0)</f>
        <v>#REF!</v>
      </c>
      <c r="IB350" t="e">
        <f>IF(#REF!,"AAAAAH97fus=",0)</f>
        <v>#REF!</v>
      </c>
      <c r="IC350" t="e">
        <f>IF(#REF!,"AAAAAH97fuw=",0)</f>
        <v>#REF!</v>
      </c>
      <c r="ID350" t="e">
        <f>IF(#REF!,"AAAAAH97fu0=",0)</f>
        <v>#REF!</v>
      </c>
      <c r="IE350" t="e">
        <f>IF(#REF!,"AAAAAH97fu4=",0)</f>
        <v>#REF!</v>
      </c>
      <c r="IF350" t="e">
        <f>IF(#REF!,"AAAAAH97fu8=",0)</f>
        <v>#REF!</v>
      </c>
      <c r="IG350" t="e">
        <f>IF(#REF!,"AAAAAH97fvA=",0)</f>
        <v>#REF!</v>
      </c>
      <c r="IH350" t="e">
        <f>IF(#REF!,"AAAAAH97fvE=",0)</f>
        <v>#REF!</v>
      </c>
      <c r="II350" t="e">
        <f>IF(#REF!,"AAAAAH97fvI=",0)</f>
        <v>#REF!</v>
      </c>
      <c r="IJ350" t="e">
        <f>IF(#REF!,"AAAAAH97fvM=",0)</f>
        <v>#REF!</v>
      </c>
      <c r="IK350" t="e">
        <f>IF(#REF!,"AAAAAH97fvQ=",0)</f>
        <v>#REF!</v>
      </c>
      <c r="IL350" t="e">
        <f>IF(#REF!,"AAAAAH97fvU=",0)</f>
        <v>#REF!</v>
      </c>
      <c r="IM350" t="e">
        <f>IF(#REF!,"AAAAAH97fvY=",0)</f>
        <v>#REF!</v>
      </c>
      <c r="IN350" t="e">
        <f>IF(#REF!,"AAAAAH97fvc=",0)</f>
        <v>#REF!</v>
      </c>
      <c r="IO350" t="e">
        <f>IF(#REF!,"AAAAAH97fvg=",0)</f>
        <v>#REF!</v>
      </c>
      <c r="IP350" t="e">
        <f>IF(#REF!,"AAAAAH97fvk=",0)</f>
        <v>#REF!</v>
      </c>
      <c r="IQ350" t="e">
        <f>IF(#REF!,"AAAAAH97fvo=",0)</f>
        <v>#REF!</v>
      </c>
      <c r="IR350" t="e">
        <f>IF(#REF!,"AAAAAH97fvs=",0)</f>
        <v>#REF!</v>
      </c>
      <c r="IS350" t="e">
        <f>IF(#REF!,"AAAAAH97fvw=",0)</f>
        <v>#REF!</v>
      </c>
      <c r="IT350" t="e">
        <f>IF(#REF!,"AAAAAH97fv0=",0)</f>
        <v>#REF!</v>
      </c>
      <c r="IU350" t="e">
        <f>IF(#REF!,"AAAAAH97fv4=",0)</f>
        <v>#REF!</v>
      </c>
      <c r="IV350" t="e">
        <f>IF(#REF!,"AAAAAH97fv8=",0)</f>
        <v>#REF!</v>
      </c>
    </row>
    <row r="351" spans="1:256">
      <c r="A351" t="e">
        <f>IF(#REF!,"AAAAAHZnhwA=",0)</f>
        <v>#REF!</v>
      </c>
      <c r="B351" t="e">
        <f>IF(#REF!,"AAAAAHZnhwE=",0)</f>
        <v>#REF!</v>
      </c>
      <c r="C351" t="e">
        <f>IF(#REF!,"AAAAAHZnhwI=",0)</f>
        <v>#REF!</v>
      </c>
      <c r="D351" t="e">
        <f>IF(#REF!,"AAAAAHZnhwM=",0)</f>
        <v>#REF!</v>
      </c>
      <c r="E351" t="e">
        <f>IF(#REF!,"AAAAAHZnhwQ=",0)</f>
        <v>#REF!</v>
      </c>
      <c r="F351" t="e">
        <f>IF(#REF!,"AAAAAHZnhwU=",0)</f>
        <v>#REF!</v>
      </c>
      <c r="G351" t="e">
        <f>IF(#REF!,"AAAAAHZnhwY=",0)</f>
        <v>#REF!</v>
      </c>
      <c r="H351" t="e">
        <f>IF(#REF!,"AAAAAHZnhwc=",0)</f>
        <v>#REF!</v>
      </c>
      <c r="I351" t="e">
        <f>IF(#REF!,"AAAAAHZnhwg=",0)</f>
        <v>#REF!</v>
      </c>
      <c r="J351" t="e">
        <f>IF(#REF!,"AAAAAHZnhwk=",0)</f>
        <v>#REF!</v>
      </c>
      <c r="K351" t="e">
        <f>IF(#REF!,"AAAAAHZnhwo=",0)</f>
        <v>#REF!</v>
      </c>
      <c r="L351" t="e">
        <f>IF(#REF!,"AAAAAHZnhws=",0)</f>
        <v>#REF!</v>
      </c>
      <c r="M351" t="e">
        <f>IF(#REF!,"AAAAAHZnhww=",0)</f>
        <v>#REF!</v>
      </c>
      <c r="N351" t="e">
        <f>IF(#REF!,"AAAAAHZnhw0=",0)</f>
        <v>#REF!</v>
      </c>
      <c r="O351" t="e">
        <f>IF(#REF!,"AAAAAHZnhw4=",0)</f>
        <v>#REF!</v>
      </c>
      <c r="P351" t="e">
        <f>IF(#REF!,"AAAAAHZnhw8=",0)</f>
        <v>#REF!</v>
      </c>
      <c r="Q351" t="e">
        <f>IF(#REF!,"AAAAAHZnhxA=",0)</f>
        <v>#REF!</v>
      </c>
      <c r="R351" t="e">
        <f>IF(#REF!,"AAAAAHZnhxE=",0)</f>
        <v>#REF!</v>
      </c>
      <c r="S351" t="e">
        <f>IF(#REF!,"AAAAAHZnhxI=",0)</f>
        <v>#REF!</v>
      </c>
      <c r="T351" t="e">
        <f>IF(#REF!,"AAAAAHZnhxM=",0)</f>
        <v>#REF!</v>
      </c>
      <c r="U351" t="e">
        <f>IF(#REF!,"AAAAAHZnhxQ=",0)</f>
        <v>#REF!</v>
      </c>
      <c r="V351" t="e">
        <f>IF(#REF!,"AAAAAHZnhxU=",0)</f>
        <v>#REF!</v>
      </c>
      <c r="W351" t="e">
        <f>IF(#REF!,"AAAAAHZnhxY=",0)</f>
        <v>#REF!</v>
      </c>
      <c r="X351" t="e">
        <f>IF(#REF!,"AAAAAHZnhxc=",0)</f>
        <v>#REF!</v>
      </c>
      <c r="Y351" t="e">
        <f>IF(#REF!,"AAAAAHZnhxg=",0)</f>
        <v>#REF!</v>
      </c>
      <c r="Z351" t="e">
        <f>IF(#REF!,"AAAAAHZnhxk=",0)</f>
        <v>#REF!</v>
      </c>
      <c r="AA351" t="e">
        <f>IF(#REF!,"AAAAAHZnhxo=",0)</f>
        <v>#REF!</v>
      </c>
      <c r="AB351" t="e">
        <f>IF(#REF!,"AAAAAHZnhxs=",0)</f>
        <v>#REF!</v>
      </c>
      <c r="AC351" t="e">
        <f>IF(#REF!,"AAAAAHZnhxw=",0)</f>
        <v>#REF!</v>
      </c>
      <c r="AD351" t="e">
        <f>IF(#REF!,"AAAAAHZnhx0=",0)</f>
        <v>#REF!</v>
      </c>
      <c r="AE351" t="e">
        <f>IF(#REF!,"AAAAAHZnhx4=",0)</f>
        <v>#REF!</v>
      </c>
      <c r="AF351" t="e">
        <f>IF(#REF!,"AAAAAHZnhx8=",0)</f>
        <v>#REF!</v>
      </c>
      <c r="AG351" t="e">
        <f>IF(#REF!,"AAAAAHZnhyA=",0)</f>
        <v>#REF!</v>
      </c>
      <c r="AH351" t="e">
        <f>IF(#REF!,"AAAAAHZnhyE=",0)</f>
        <v>#REF!</v>
      </c>
      <c r="AI351" t="e">
        <f>IF(#REF!,"AAAAAHZnhyI=",0)</f>
        <v>#REF!</v>
      </c>
      <c r="AJ351" t="e">
        <f>IF(#REF!,"AAAAAHZnhyM=",0)</f>
        <v>#REF!</v>
      </c>
      <c r="AK351" t="e">
        <f>IF(#REF!,"AAAAAHZnhyQ=",0)</f>
        <v>#REF!</v>
      </c>
      <c r="AL351" t="e">
        <f>IF(#REF!,"AAAAAHZnhyU=",0)</f>
        <v>#REF!</v>
      </c>
      <c r="AM351" t="e">
        <f>IF(#REF!,"AAAAAHZnhyY=",0)</f>
        <v>#REF!</v>
      </c>
      <c r="AN351" t="e">
        <f>IF(#REF!,"AAAAAHZnhyc=",0)</f>
        <v>#REF!</v>
      </c>
      <c r="AO351" t="e">
        <f>IF(#REF!,"AAAAAHZnhyg=",0)</f>
        <v>#REF!</v>
      </c>
      <c r="AP351" t="e">
        <f>IF(#REF!,"AAAAAHZnhyk=",0)</f>
        <v>#REF!</v>
      </c>
      <c r="AQ351" t="e">
        <f>IF(#REF!,"AAAAAHZnhyo=",0)</f>
        <v>#REF!</v>
      </c>
      <c r="AR351" t="e">
        <f>IF(#REF!,"AAAAAHZnhys=",0)</f>
        <v>#REF!</v>
      </c>
      <c r="AS351" t="e">
        <f>IF(#REF!,"AAAAAHZnhyw=",0)</f>
        <v>#REF!</v>
      </c>
      <c r="AT351" t="e">
        <f>IF(#REF!,"AAAAAHZnhy0=",0)</f>
        <v>#REF!</v>
      </c>
      <c r="AU351" t="e">
        <f>IF(#REF!,"AAAAAHZnhy4=",0)</f>
        <v>#REF!</v>
      </c>
      <c r="AV351" t="e">
        <f>IF(#REF!,"AAAAAHZnhy8=",0)</f>
        <v>#REF!</v>
      </c>
      <c r="AW351" t="e">
        <f>IF(#REF!,"AAAAAHZnhzA=",0)</f>
        <v>#REF!</v>
      </c>
      <c r="AX351" t="e">
        <f>IF(#REF!,"AAAAAHZnhzE=",0)</f>
        <v>#REF!</v>
      </c>
      <c r="AY351" t="e">
        <f>IF(#REF!,"AAAAAHZnhzI=",0)</f>
        <v>#REF!</v>
      </c>
      <c r="AZ351" t="e">
        <f>IF(#REF!,"AAAAAHZnhzM=",0)</f>
        <v>#REF!</v>
      </c>
      <c r="BA351" t="e">
        <f>IF(#REF!,"AAAAAHZnhzQ=",0)</f>
        <v>#REF!</v>
      </c>
      <c r="BB351" t="e">
        <f>IF(#REF!,"AAAAAHZnhzU=",0)</f>
        <v>#REF!</v>
      </c>
      <c r="BC351" t="e">
        <f>IF(#REF!,"AAAAAHZnhzY=",0)</f>
        <v>#REF!</v>
      </c>
      <c r="BD351" t="e">
        <f>IF(#REF!,"AAAAAHZnhzc=",0)</f>
        <v>#REF!</v>
      </c>
      <c r="BE351" t="e">
        <f>IF(#REF!,"AAAAAHZnhzg=",0)</f>
        <v>#REF!</v>
      </c>
      <c r="BF351" t="e">
        <f>IF(#REF!,"AAAAAHZnhzk=",0)</f>
        <v>#REF!</v>
      </c>
      <c r="BG351" t="e">
        <f>IF(#REF!,"AAAAAHZnhzo=",0)</f>
        <v>#REF!</v>
      </c>
      <c r="BH351" t="e">
        <f>IF(#REF!,"AAAAAHZnhzs=",0)</f>
        <v>#REF!</v>
      </c>
      <c r="BI351" t="e">
        <f>IF(#REF!,"AAAAAHZnhzw=",0)</f>
        <v>#REF!</v>
      </c>
      <c r="BJ351" t="e">
        <f>IF(#REF!,"AAAAAHZnhz0=",0)</f>
        <v>#REF!</v>
      </c>
      <c r="BK351" t="e">
        <f>IF(#REF!,"AAAAAHZnhz4=",0)</f>
        <v>#REF!</v>
      </c>
      <c r="BL351" t="e">
        <f>IF(#REF!,"AAAAAHZnhz8=",0)</f>
        <v>#REF!</v>
      </c>
      <c r="BM351" t="e">
        <f>IF(#REF!,"AAAAAHZnh0A=",0)</f>
        <v>#REF!</v>
      </c>
      <c r="BN351" t="e">
        <f>IF(#REF!,"AAAAAHZnh0E=",0)</f>
        <v>#REF!</v>
      </c>
      <c r="BO351" t="e">
        <f>IF(#REF!,"AAAAAHZnh0I=",0)</f>
        <v>#REF!</v>
      </c>
      <c r="BP351" t="e">
        <f>IF(#REF!,"AAAAAHZnh0M=",0)</f>
        <v>#REF!</v>
      </c>
      <c r="BQ351" t="e">
        <f>IF(#REF!,"AAAAAHZnh0Q=",0)</f>
        <v>#REF!</v>
      </c>
      <c r="BR351" t="e">
        <f>IF(#REF!,"AAAAAHZnh0U=",0)</f>
        <v>#REF!</v>
      </c>
      <c r="BS351" t="e">
        <f>IF(#REF!,"AAAAAHZnh0Y=",0)</f>
        <v>#REF!</v>
      </c>
      <c r="BT351" t="e">
        <f>IF(#REF!,"AAAAAHZnh0c=",0)</f>
        <v>#REF!</v>
      </c>
      <c r="BU351" t="e">
        <f>IF(#REF!,"AAAAAHZnh0g=",0)</f>
        <v>#REF!</v>
      </c>
      <c r="BV351" t="e">
        <f>IF(#REF!,"AAAAAHZnh0k=",0)</f>
        <v>#REF!</v>
      </c>
      <c r="BW351" t="e">
        <f>IF(#REF!,"AAAAAHZnh0o=",0)</f>
        <v>#REF!</v>
      </c>
      <c r="BX351" t="e">
        <f>IF(#REF!,"AAAAAHZnh0s=",0)</f>
        <v>#REF!</v>
      </c>
      <c r="BY351" t="e">
        <f>IF(#REF!,"AAAAAHZnh0w=",0)</f>
        <v>#REF!</v>
      </c>
      <c r="BZ351" t="e">
        <f>IF(#REF!,"AAAAAHZnh00=",0)</f>
        <v>#REF!</v>
      </c>
      <c r="CA351" t="e">
        <f>IF(#REF!,"AAAAAHZnh04=",0)</f>
        <v>#REF!</v>
      </c>
      <c r="CB351" t="e">
        <f>IF(#REF!,"AAAAAHZnh08=",0)</f>
        <v>#REF!</v>
      </c>
      <c r="CC351" t="e">
        <f>IF(#REF!,"AAAAAHZnh1A=",0)</f>
        <v>#REF!</v>
      </c>
      <c r="CD351" t="e">
        <f>IF(#REF!,"AAAAAHZnh1E=",0)</f>
        <v>#REF!</v>
      </c>
      <c r="CE351" t="e">
        <f>IF(#REF!,"AAAAAHZnh1I=",0)</f>
        <v>#REF!</v>
      </c>
      <c r="CF351" t="e">
        <f>IF(#REF!,"AAAAAHZnh1M=",0)</f>
        <v>#REF!</v>
      </c>
      <c r="CG351" t="e">
        <f>IF(#REF!,"AAAAAHZnh1Q=",0)</f>
        <v>#REF!</v>
      </c>
      <c r="CH351" t="e">
        <f>IF(#REF!,"AAAAAHZnh1U=",0)</f>
        <v>#REF!</v>
      </c>
      <c r="CI351" t="e">
        <f>IF(#REF!,"AAAAAHZnh1Y=",0)</f>
        <v>#REF!</v>
      </c>
      <c r="CJ351" t="e">
        <f>IF(#REF!,"AAAAAHZnh1c=",0)</f>
        <v>#REF!</v>
      </c>
      <c r="CK351" t="e">
        <f>IF(#REF!,"AAAAAHZnh1g=",0)</f>
        <v>#REF!</v>
      </c>
      <c r="CL351" t="e">
        <f>IF(#REF!,"AAAAAHZnh1k=",0)</f>
        <v>#REF!</v>
      </c>
      <c r="CM351" t="e">
        <f>IF(#REF!,"AAAAAHZnh1o=",0)</f>
        <v>#REF!</v>
      </c>
      <c r="CN351" t="e">
        <f>IF(#REF!,"AAAAAHZnh1s=",0)</f>
        <v>#REF!</v>
      </c>
      <c r="CO351" t="e">
        <f>IF(#REF!,"AAAAAHZnh1w=",0)</f>
        <v>#REF!</v>
      </c>
      <c r="CP351" t="e">
        <f>IF(#REF!,"AAAAAHZnh10=",0)</f>
        <v>#REF!</v>
      </c>
      <c r="CQ351" t="e">
        <f>IF(#REF!,"AAAAAHZnh14=",0)</f>
        <v>#REF!</v>
      </c>
      <c r="CR351" t="e">
        <f>IF(#REF!,"AAAAAHZnh18=",0)</f>
        <v>#REF!</v>
      </c>
      <c r="CS351" t="e">
        <f>IF(#REF!,"AAAAAHZnh2A=",0)</f>
        <v>#REF!</v>
      </c>
      <c r="CT351" t="e">
        <f>IF(#REF!,"AAAAAHZnh2E=",0)</f>
        <v>#REF!</v>
      </c>
      <c r="CU351" t="e">
        <f>IF(#REF!,"AAAAAHZnh2I=",0)</f>
        <v>#REF!</v>
      </c>
      <c r="CV351" t="e">
        <f>IF(#REF!,"AAAAAHZnh2M=",0)</f>
        <v>#REF!</v>
      </c>
      <c r="CW351" t="e">
        <f>IF(#REF!,"AAAAAHZnh2Q=",0)</f>
        <v>#REF!</v>
      </c>
      <c r="CX351" t="e">
        <f>IF(#REF!,"AAAAAHZnh2U=",0)</f>
        <v>#REF!</v>
      </c>
      <c r="CY351" t="e">
        <f>IF(#REF!,"AAAAAHZnh2Y=",0)</f>
        <v>#REF!</v>
      </c>
      <c r="CZ351" t="e">
        <f>IF(#REF!,"AAAAAHZnh2c=",0)</f>
        <v>#REF!</v>
      </c>
      <c r="DA351" t="e">
        <f>IF(#REF!,"AAAAAHZnh2g=",0)</f>
        <v>#REF!</v>
      </c>
      <c r="DB351" t="e">
        <f>IF(#REF!,"AAAAAHZnh2k=",0)</f>
        <v>#REF!</v>
      </c>
      <c r="DC351" t="e">
        <f>IF(#REF!,"AAAAAHZnh2o=",0)</f>
        <v>#REF!</v>
      </c>
      <c r="DD351" t="e">
        <f>IF(#REF!,"AAAAAHZnh2s=",0)</f>
        <v>#REF!</v>
      </c>
      <c r="DE351" t="e">
        <f>IF(#REF!,"AAAAAHZnh2w=",0)</f>
        <v>#REF!</v>
      </c>
      <c r="DF351" t="e">
        <f>IF(#REF!,"AAAAAHZnh20=",0)</f>
        <v>#REF!</v>
      </c>
      <c r="DG351" t="e">
        <f>IF(#REF!,"AAAAAHZnh24=",0)</f>
        <v>#REF!</v>
      </c>
      <c r="DH351" t="e">
        <f>IF(#REF!,"AAAAAHZnh28=",0)</f>
        <v>#REF!</v>
      </c>
      <c r="DI351" t="e">
        <f>IF(#REF!,"AAAAAHZnh3A=",0)</f>
        <v>#REF!</v>
      </c>
      <c r="DJ351" t="e">
        <f>IF(#REF!,"AAAAAHZnh3E=",0)</f>
        <v>#REF!</v>
      </c>
      <c r="DK351" t="e">
        <f>IF(#REF!,"AAAAAHZnh3I=",0)</f>
        <v>#REF!</v>
      </c>
      <c r="DL351" t="e">
        <f>IF(#REF!,"AAAAAHZnh3M=",0)</f>
        <v>#REF!</v>
      </c>
      <c r="DM351" t="e">
        <f>IF(#REF!,"AAAAAHZnh3Q=",0)</f>
        <v>#REF!</v>
      </c>
      <c r="DN351" t="e">
        <f>IF(#REF!,"AAAAAHZnh3U=",0)</f>
        <v>#REF!</v>
      </c>
      <c r="DO351" t="e">
        <f>IF(#REF!,"AAAAAHZnh3Y=",0)</f>
        <v>#REF!</v>
      </c>
      <c r="DP351" t="e">
        <f>IF(#REF!,"AAAAAHZnh3c=",0)</f>
        <v>#REF!</v>
      </c>
      <c r="DQ351" t="e">
        <f>IF(#REF!,"AAAAAHZnh3g=",0)</f>
        <v>#REF!</v>
      </c>
      <c r="DR351" t="e">
        <f>IF(#REF!,"AAAAAHZnh3k=",0)</f>
        <v>#REF!</v>
      </c>
      <c r="DS351" t="e">
        <f>IF(#REF!,"AAAAAHZnh3o=",0)</f>
        <v>#REF!</v>
      </c>
      <c r="DT351" t="e">
        <f>IF(#REF!,"AAAAAHZnh3s=",0)</f>
        <v>#REF!</v>
      </c>
      <c r="DU351" t="e">
        <f>IF(#REF!,"AAAAAHZnh3w=",0)</f>
        <v>#REF!</v>
      </c>
      <c r="DV351" t="e">
        <f>IF(#REF!,"AAAAAHZnh30=",0)</f>
        <v>#REF!</v>
      </c>
      <c r="DW351" t="e">
        <f>IF(#REF!,"AAAAAHZnh34=",0)</f>
        <v>#REF!</v>
      </c>
      <c r="DX351" t="e">
        <f>IF(#REF!,"AAAAAHZnh38=",0)</f>
        <v>#REF!</v>
      </c>
      <c r="DY351" t="e">
        <f>IF(#REF!,"AAAAAHZnh4A=",0)</f>
        <v>#REF!</v>
      </c>
      <c r="DZ351" t="e">
        <f>IF(#REF!,"AAAAAHZnh4E=",0)</f>
        <v>#REF!</v>
      </c>
      <c r="EA351" t="e">
        <f>IF(#REF!,"AAAAAHZnh4I=",0)</f>
        <v>#REF!</v>
      </c>
      <c r="EB351" t="e">
        <f>IF(#REF!,"AAAAAHZnh4M=",0)</f>
        <v>#REF!</v>
      </c>
      <c r="EC351" t="e">
        <f>IF(#REF!,"AAAAAHZnh4Q=",0)</f>
        <v>#REF!</v>
      </c>
      <c r="ED351" t="e">
        <f>IF(#REF!,"AAAAAHZnh4U=",0)</f>
        <v>#REF!</v>
      </c>
      <c r="EE351" t="e">
        <f>IF(#REF!,"AAAAAHZnh4Y=",0)</f>
        <v>#REF!</v>
      </c>
      <c r="EF351" t="e">
        <f>IF(#REF!,"AAAAAHZnh4c=",0)</f>
        <v>#REF!</v>
      </c>
      <c r="EG351" t="e">
        <f>IF(#REF!,"AAAAAHZnh4g=",0)</f>
        <v>#REF!</v>
      </c>
      <c r="EH351" t="e">
        <f>IF(#REF!,"AAAAAHZnh4k=",0)</f>
        <v>#REF!</v>
      </c>
      <c r="EI351" t="e">
        <f>IF(#REF!,"AAAAAHZnh4o=",0)</f>
        <v>#REF!</v>
      </c>
      <c r="EJ351" t="e">
        <f>IF(#REF!,"AAAAAHZnh4s=",0)</f>
        <v>#REF!</v>
      </c>
      <c r="EK351" t="e">
        <f>IF(#REF!,"AAAAAHZnh4w=",0)</f>
        <v>#REF!</v>
      </c>
      <c r="EL351" t="e">
        <f>IF(#REF!,"AAAAAHZnh40=",0)</f>
        <v>#REF!</v>
      </c>
      <c r="EM351" t="e">
        <f>IF(#REF!,"AAAAAHZnh44=",0)</f>
        <v>#REF!</v>
      </c>
      <c r="EN351" t="e">
        <f>IF(#REF!,"AAAAAHZnh48=",0)</f>
        <v>#REF!</v>
      </c>
      <c r="EO351" t="e">
        <f>IF(#REF!,"AAAAAHZnh5A=",0)</f>
        <v>#REF!</v>
      </c>
      <c r="EP351" t="e">
        <f>IF(#REF!,"AAAAAHZnh5E=",0)</f>
        <v>#REF!</v>
      </c>
      <c r="EQ351" t="e">
        <f>IF(#REF!,"AAAAAHZnh5I=",0)</f>
        <v>#REF!</v>
      </c>
      <c r="ER351" t="e">
        <f>IF(#REF!,"AAAAAHZnh5M=",0)</f>
        <v>#REF!</v>
      </c>
      <c r="ES351" t="e">
        <f>IF(#REF!,"AAAAAHZnh5Q=",0)</f>
        <v>#REF!</v>
      </c>
      <c r="ET351" t="e">
        <f>IF(#REF!,"AAAAAHZnh5U=",0)</f>
        <v>#REF!</v>
      </c>
      <c r="EU351" t="e">
        <f>IF(#REF!,"AAAAAHZnh5Y=",0)</f>
        <v>#REF!</v>
      </c>
      <c r="EV351" t="e">
        <f>IF(#REF!,"AAAAAHZnh5c=",0)</f>
        <v>#REF!</v>
      </c>
      <c r="EW351" t="e">
        <f>IF(#REF!,"AAAAAHZnh5g=",0)</f>
        <v>#REF!</v>
      </c>
      <c r="EX351" t="e">
        <f>IF(#REF!,"AAAAAHZnh5k=",0)</f>
        <v>#REF!</v>
      </c>
      <c r="EY351" t="e">
        <f>IF(#REF!,"AAAAAHZnh5o=",0)</f>
        <v>#REF!</v>
      </c>
      <c r="EZ351" t="e">
        <f>IF(#REF!,"AAAAAHZnh5s=",0)</f>
        <v>#REF!</v>
      </c>
      <c r="FA351" t="e">
        <f>IF(#REF!,"AAAAAHZnh5w=",0)</f>
        <v>#REF!</v>
      </c>
      <c r="FB351" t="e">
        <f>IF(#REF!,"AAAAAHZnh50=",0)</f>
        <v>#REF!</v>
      </c>
      <c r="FC351" t="e">
        <f>IF(#REF!,"AAAAAHZnh54=",0)</f>
        <v>#REF!</v>
      </c>
      <c r="FD351" t="e">
        <f>IF(#REF!,"AAAAAHZnh58=",0)</f>
        <v>#REF!</v>
      </c>
      <c r="FE351" t="e">
        <f>IF(#REF!,"AAAAAHZnh6A=",0)</f>
        <v>#REF!</v>
      </c>
      <c r="FF351" t="e">
        <f>IF(#REF!,"AAAAAHZnh6E=",0)</f>
        <v>#REF!</v>
      </c>
      <c r="FG351" t="e">
        <f>IF(#REF!,"AAAAAHZnh6I=",0)</f>
        <v>#REF!</v>
      </c>
      <c r="FH351" t="e">
        <f>IF(#REF!,"AAAAAHZnh6M=",0)</f>
        <v>#REF!</v>
      </c>
      <c r="FI351" t="e">
        <f>IF(#REF!,"AAAAAHZnh6Q=",0)</f>
        <v>#REF!</v>
      </c>
      <c r="FJ351" t="e">
        <f>IF(#REF!,"AAAAAHZnh6U=",0)</f>
        <v>#REF!</v>
      </c>
      <c r="FK351" t="e">
        <f>IF(#REF!,"AAAAAHZnh6Y=",0)</f>
        <v>#REF!</v>
      </c>
      <c r="FL351" t="e">
        <f>IF(#REF!,"AAAAAHZnh6c=",0)</f>
        <v>#REF!</v>
      </c>
      <c r="FM351" t="e">
        <f>IF(#REF!,"AAAAAHZnh6g=",0)</f>
        <v>#REF!</v>
      </c>
      <c r="FN351" t="e">
        <f>IF(#REF!,"AAAAAHZnh6k=",0)</f>
        <v>#REF!</v>
      </c>
      <c r="FO351" t="e">
        <f>IF(#REF!,"AAAAAHZnh6o=",0)</f>
        <v>#REF!</v>
      </c>
      <c r="FP351" t="e">
        <f>IF(#REF!,"AAAAAHZnh6s=",0)</f>
        <v>#REF!</v>
      </c>
      <c r="FQ351" t="e">
        <f>IF(#REF!,"AAAAAHZnh6w=",0)</f>
        <v>#REF!</v>
      </c>
      <c r="FR351" t="e">
        <f>IF(#REF!,"AAAAAHZnh60=",0)</f>
        <v>#REF!</v>
      </c>
      <c r="FS351" t="e">
        <f>IF(#REF!,"AAAAAHZnh64=",0)</f>
        <v>#REF!</v>
      </c>
      <c r="FT351" t="e">
        <f>IF(#REF!,"AAAAAHZnh68=",0)</f>
        <v>#REF!</v>
      </c>
      <c r="FU351" t="e">
        <f>IF(#REF!,"AAAAAHZnh7A=",0)</f>
        <v>#REF!</v>
      </c>
      <c r="FV351" t="e">
        <f>IF(#REF!,"AAAAAHZnh7E=",0)</f>
        <v>#REF!</v>
      </c>
      <c r="FW351" t="e">
        <f>IF(#REF!,"AAAAAHZnh7I=",0)</f>
        <v>#REF!</v>
      </c>
      <c r="FX351" t="e">
        <f>IF(#REF!,"AAAAAHZnh7M=",0)</f>
        <v>#REF!</v>
      </c>
      <c r="FY351" t="e">
        <f>IF(#REF!,"AAAAAHZnh7Q=",0)</f>
        <v>#REF!</v>
      </c>
      <c r="FZ351" t="e">
        <f>IF(#REF!,"AAAAAHZnh7U=",0)</f>
        <v>#REF!</v>
      </c>
      <c r="GA351" t="e">
        <f>IF(#REF!,"AAAAAHZnh7Y=",0)</f>
        <v>#REF!</v>
      </c>
      <c r="GB351" t="e">
        <f>IF(#REF!,"AAAAAHZnh7c=",0)</f>
        <v>#REF!</v>
      </c>
      <c r="GC351" t="e">
        <f>IF(#REF!,"AAAAAHZnh7g=",0)</f>
        <v>#REF!</v>
      </c>
      <c r="GD351" t="e">
        <f>IF(#REF!,"AAAAAHZnh7k=",0)</f>
        <v>#REF!</v>
      </c>
      <c r="GE351" t="e">
        <f>IF(#REF!,"AAAAAHZnh7o=",0)</f>
        <v>#REF!</v>
      </c>
      <c r="GF351" t="e">
        <f>IF(#REF!,"AAAAAHZnh7s=",0)</f>
        <v>#REF!</v>
      </c>
      <c r="GG351" t="e">
        <f>IF(#REF!,"AAAAAHZnh7w=",0)</f>
        <v>#REF!</v>
      </c>
      <c r="GH351" t="e">
        <f>IF(#REF!,"AAAAAHZnh70=",0)</f>
        <v>#REF!</v>
      </c>
      <c r="GI351" t="e">
        <f>IF(#REF!,"AAAAAHZnh74=",0)</f>
        <v>#REF!</v>
      </c>
      <c r="GJ351" t="e">
        <f>IF(#REF!,"AAAAAHZnh78=",0)</f>
        <v>#REF!</v>
      </c>
      <c r="GK351" t="e">
        <f>IF(#REF!,"AAAAAHZnh8A=",0)</f>
        <v>#REF!</v>
      </c>
      <c r="GL351" t="e">
        <f>IF(#REF!,"AAAAAHZnh8E=",0)</f>
        <v>#REF!</v>
      </c>
      <c r="GM351" t="e">
        <f>IF(#REF!,"AAAAAHZnh8I=",0)</f>
        <v>#REF!</v>
      </c>
      <c r="GN351" t="e">
        <f>IF(#REF!,"AAAAAHZnh8M=",0)</f>
        <v>#REF!</v>
      </c>
      <c r="GO351" t="e">
        <f>IF(#REF!,"AAAAAHZnh8Q=",0)</f>
        <v>#REF!</v>
      </c>
      <c r="GP351" t="e">
        <f>IF(#REF!,"AAAAAHZnh8U=",0)</f>
        <v>#REF!</v>
      </c>
      <c r="GQ351" t="e">
        <f>IF(#REF!,"AAAAAHZnh8Y=",0)</f>
        <v>#REF!</v>
      </c>
      <c r="GR351" t="e">
        <f>IF(#REF!,"AAAAAHZnh8c=",0)</f>
        <v>#REF!</v>
      </c>
      <c r="GS351" t="e">
        <f>IF(#REF!,"AAAAAHZnh8g=",0)</f>
        <v>#REF!</v>
      </c>
      <c r="GT351" t="e">
        <f>IF(#REF!,"AAAAAHZnh8k=",0)</f>
        <v>#REF!</v>
      </c>
      <c r="GU351" t="e">
        <f>IF(#REF!,"AAAAAHZnh8o=",0)</f>
        <v>#REF!</v>
      </c>
      <c r="GV351" t="e">
        <f>IF(#REF!,"AAAAAHZnh8s=",0)</f>
        <v>#REF!</v>
      </c>
      <c r="GW351" t="e">
        <f>IF(#REF!,"AAAAAHZnh8w=",0)</f>
        <v>#REF!</v>
      </c>
      <c r="GX351" t="e">
        <f>IF(#REF!,"AAAAAHZnh80=",0)</f>
        <v>#REF!</v>
      </c>
      <c r="GY351" t="e">
        <f>IF(#REF!,"AAAAAHZnh84=",0)</f>
        <v>#REF!</v>
      </c>
      <c r="GZ351" t="e">
        <f>IF(#REF!,"AAAAAHZnh88=",0)</f>
        <v>#REF!</v>
      </c>
      <c r="HA351" t="e">
        <f>IF(#REF!,"AAAAAHZnh9A=",0)</f>
        <v>#REF!</v>
      </c>
      <c r="HB351" t="e">
        <f>IF(#REF!,"AAAAAHZnh9E=",0)</f>
        <v>#REF!</v>
      </c>
      <c r="HC351" t="e">
        <f>IF(#REF!,"AAAAAHZnh9I=",0)</f>
        <v>#REF!</v>
      </c>
      <c r="HD351" t="e">
        <f>IF(#REF!,"AAAAAHZnh9M=",0)</f>
        <v>#REF!</v>
      </c>
      <c r="HE351" t="e">
        <f>IF(#REF!,"AAAAAHZnh9Q=",0)</f>
        <v>#REF!</v>
      </c>
      <c r="HF351" t="e">
        <f>IF(#REF!,"AAAAAHZnh9U=",0)</f>
        <v>#REF!</v>
      </c>
      <c r="HG351" t="e">
        <f>IF(#REF!,"AAAAAHZnh9Y=",0)</f>
        <v>#REF!</v>
      </c>
      <c r="HH351" t="e">
        <f>IF(#REF!,"AAAAAHZnh9c=",0)</f>
        <v>#REF!</v>
      </c>
      <c r="HI351" t="e">
        <f>IF(#REF!,"AAAAAHZnh9g=",0)</f>
        <v>#REF!</v>
      </c>
      <c r="HJ351" t="e">
        <f>IF(#REF!,"AAAAAHZnh9k=",0)</f>
        <v>#REF!</v>
      </c>
      <c r="HK351" t="e">
        <f>IF(#REF!,"AAAAAHZnh9o=",0)</f>
        <v>#REF!</v>
      </c>
      <c r="HL351" t="e">
        <f>IF(#REF!,"AAAAAHZnh9s=",0)</f>
        <v>#REF!</v>
      </c>
      <c r="HM351" t="e">
        <f>IF(#REF!,"AAAAAHZnh9w=",0)</f>
        <v>#REF!</v>
      </c>
      <c r="HN351" t="e">
        <f>IF(#REF!,"AAAAAHZnh90=",0)</f>
        <v>#REF!</v>
      </c>
      <c r="HO351" t="e">
        <f>IF(#REF!,"AAAAAHZnh94=",0)</f>
        <v>#REF!</v>
      </c>
      <c r="HP351" t="e">
        <f>IF(#REF!,"AAAAAHZnh98=",0)</f>
        <v>#REF!</v>
      </c>
      <c r="HQ351" t="e">
        <f>IF(#REF!,"AAAAAHZnh+A=",0)</f>
        <v>#REF!</v>
      </c>
      <c r="HR351" t="e">
        <f>IF(#REF!,"AAAAAHZnh+E=",0)</f>
        <v>#REF!</v>
      </c>
      <c r="HS351" t="e">
        <f>IF(#REF!,"AAAAAHZnh+I=",0)</f>
        <v>#REF!</v>
      </c>
      <c r="HT351" t="e">
        <f>IF(#REF!,"AAAAAHZnh+M=",0)</f>
        <v>#REF!</v>
      </c>
      <c r="HU351" t="e">
        <f>IF(#REF!,"AAAAAHZnh+Q=",0)</f>
        <v>#REF!</v>
      </c>
      <c r="HV351" t="e">
        <f>IF(#REF!,"AAAAAHZnh+U=",0)</f>
        <v>#REF!</v>
      </c>
      <c r="HW351" t="e">
        <f>IF(#REF!,"AAAAAHZnh+Y=",0)</f>
        <v>#REF!</v>
      </c>
      <c r="HX351" t="e">
        <f>IF(#REF!,"AAAAAHZnh+c=",0)</f>
        <v>#REF!</v>
      </c>
      <c r="HY351" t="e">
        <f>IF(#REF!,"AAAAAHZnh+g=",0)</f>
        <v>#REF!</v>
      </c>
      <c r="HZ351" t="e">
        <f>IF(#REF!,"AAAAAHZnh+k=",0)</f>
        <v>#REF!</v>
      </c>
      <c r="IA351" t="e">
        <f>IF(#REF!,"AAAAAHZnh+o=",0)</f>
        <v>#REF!</v>
      </c>
      <c r="IB351" t="e">
        <f>IF(#REF!,"AAAAAHZnh+s=",0)</f>
        <v>#REF!</v>
      </c>
      <c r="IC351" t="e">
        <f>IF(#REF!,"AAAAAHZnh+w=",0)</f>
        <v>#REF!</v>
      </c>
      <c r="ID351" t="e">
        <f>IF(#REF!,"AAAAAHZnh+0=",0)</f>
        <v>#REF!</v>
      </c>
      <c r="IE351" t="e">
        <f>IF(#REF!,"AAAAAHZnh+4=",0)</f>
        <v>#REF!</v>
      </c>
      <c r="IF351" t="e">
        <f>IF(#REF!,"AAAAAHZnh+8=",0)</f>
        <v>#REF!</v>
      </c>
      <c r="IG351" t="e">
        <f>IF(#REF!,"AAAAAHZnh/A=",0)</f>
        <v>#REF!</v>
      </c>
      <c r="IH351" t="e">
        <f>IF(#REF!,"AAAAAHZnh/E=",0)</f>
        <v>#REF!</v>
      </c>
      <c r="II351" t="e">
        <f>IF(#REF!,"AAAAAHZnh/I=",0)</f>
        <v>#REF!</v>
      </c>
      <c r="IJ351" t="e">
        <f>IF(#REF!,"AAAAAHZnh/M=",0)</f>
        <v>#REF!</v>
      </c>
      <c r="IK351" t="e">
        <f>IF(#REF!,"AAAAAHZnh/Q=",0)</f>
        <v>#REF!</v>
      </c>
      <c r="IL351" t="e">
        <f>IF(#REF!,"AAAAAHZnh/U=",0)</f>
        <v>#REF!</v>
      </c>
      <c r="IM351" t="e">
        <f>IF(#REF!,"AAAAAHZnh/Y=",0)</f>
        <v>#REF!</v>
      </c>
      <c r="IN351" t="e">
        <f>IF(#REF!,"AAAAAHZnh/c=",0)</f>
        <v>#REF!</v>
      </c>
      <c r="IO351" t="e">
        <f>IF(#REF!,"AAAAAHZnh/g=",0)</f>
        <v>#REF!</v>
      </c>
      <c r="IP351" t="e">
        <f>IF(#REF!,"AAAAAHZnh/k=",0)</f>
        <v>#REF!</v>
      </c>
      <c r="IQ351" t="e">
        <f>IF(#REF!,"AAAAAHZnh/o=",0)</f>
        <v>#REF!</v>
      </c>
      <c r="IR351" t="e">
        <f>IF(#REF!,"AAAAAHZnh/s=",0)</f>
        <v>#REF!</v>
      </c>
      <c r="IS351" t="e">
        <f>IF(#REF!,"AAAAAHZnh/w=",0)</f>
        <v>#REF!</v>
      </c>
      <c r="IT351" t="e">
        <f>IF(#REF!,"AAAAAHZnh/0=",0)</f>
        <v>#REF!</v>
      </c>
      <c r="IU351" t="e">
        <f>IF(#REF!,"AAAAAHZnh/4=",0)</f>
        <v>#REF!</v>
      </c>
      <c r="IV351" t="e">
        <f>IF(#REF!,"AAAAAHZnh/8=",0)</f>
        <v>#REF!</v>
      </c>
    </row>
    <row r="352" spans="1:256">
      <c r="A352" t="e">
        <f>IF(#REF!,"AAAAAFtu+wA=",0)</f>
        <v>#REF!</v>
      </c>
      <c r="B352" t="e">
        <f>IF(#REF!,"AAAAAFtu+wE=",0)</f>
        <v>#REF!</v>
      </c>
      <c r="C352" t="e">
        <f>IF(#REF!,"AAAAAFtu+wI=",0)</f>
        <v>#REF!</v>
      </c>
      <c r="D352" t="e">
        <f>IF(#REF!,"AAAAAFtu+wM=",0)</f>
        <v>#REF!</v>
      </c>
      <c r="E352" t="e">
        <f>IF(#REF!,"AAAAAFtu+wQ=",0)</f>
        <v>#REF!</v>
      </c>
      <c r="F352" t="e">
        <f>IF(#REF!,"AAAAAFtu+wU=",0)</f>
        <v>#REF!</v>
      </c>
      <c r="G352" t="e">
        <f>IF(#REF!,"AAAAAFtu+wY=",0)</f>
        <v>#REF!</v>
      </c>
      <c r="H352" t="e">
        <f>IF(#REF!,"AAAAAFtu+wc=",0)</f>
        <v>#REF!</v>
      </c>
      <c r="I352" t="e">
        <f>IF(#REF!,"AAAAAFtu+wg=",0)</f>
        <v>#REF!</v>
      </c>
      <c r="J352" t="e">
        <f>IF(#REF!,"AAAAAFtu+wk=",0)</f>
        <v>#REF!</v>
      </c>
      <c r="K352" t="e">
        <f>IF(#REF!,"AAAAAFtu+wo=",0)</f>
        <v>#REF!</v>
      </c>
      <c r="L352" t="e">
        <f>IF(#REF!,"AAAAAFtu+ws=",0)</f>
        <v>#REF!</v>
      </c>
      <c r="M352" t="e">
        <f>IF(#REF!,"AAAAAFtu+ww=",0)</f>
        <v>#REF!</v>
      </c>
      <c r="N352" t="e">
        <f>IF(#REF!,"AAAAAFtu+w0=",0)</f>
        <v>#REF!</v>
      </c>
      <c r="O352" t="e">
        <f>IF(#REF!,"AAAAAFtu+w4=",0)</f>
        <v>#REF!</v>
      </c>
      <c r="P352" t="e">
        <f>IF(#REF!,"AAAAAFtu+w8=",0)</f>
        <v>#REF!</v>
      </c>
      <c r="Q352" t="e">
        <f>IF(#REF!,"AAAAAFtu+xA=",0)</f>
        <v>#REF!</v>
      </c>
      <c r="R352" t="e">
        <f>IF(#REF!,"AAAAAFtu+xE=",0)</f>
        <v>#REF!</v>
      </c>
      <c r="S352" t="e">
        <f>IF(#REF!,"AAAAAFtu+xI=",0)</f>
        <v>#REF!</v>
      </c>
      <c r="T352" t="e">
        <f>IF(#REF!,"AAAAAFtu+xM=",0)</f>
        <v>#REF!</v>
      </c>
      <c r="U352" t="e">
        <f>IF(#REF!,"AAAAAFtu+xQ=",0)</f>
        <v>#REF!</v>
      </c>
      <c r="V352" t="e">
        <f>IF(#REF!,"AAAAAFtu+xU=",0)</f>
        <v>#REF!</v>
      </c>
      <c r="W352" t="e">
        <f>IF(#REF!,"AAAAAFtu+xY=",0)</f>
        <v>#REF!</v>
      </c>
      <c r="X352" t="e">
        <f>IF(#REF!,"AAAAAFtu+xc=",0)</f>
        <v>#REF!</v>
      </c>
      <c r="Y352" t="e">
        <f>IF(#REF!,"AAAAAFtu+xg=",0)</f>
        <v>#REF!</v>
      </c>
      <c r="Z352" t="e">
        <f>IF(#REF!,"AAAAAFtu+xk=",0)</f>
        <v>#REF!</v>
      </c>
      <c r="AA352" t="e">
        <f>IF(#REF!,"AAAAAFtu+xo=",0)</f>
        <v>#REF!</v>
      </c>
      <c r="AB352" t="e">
        <f>IF(#REF!,"AAAAAFtu+xs=",0)</f>
        <v>#REF!</v>
      </c>
      <c r="AC352" t="e">
        <f>IF(#REF!,"AAAAAFtu+xw=",0)</f>
        <v>#REF!</v>
      </c>
      <c r="AD352" t="e">
        <f>IF(#REF!,"AAAAAFtu+x0=",0)</f>
        <v>#REF!</v>
      </c>
      <c r="AE352" t="e">
        <f>IF(#REF!,"AAAAAFtu+x4=",0)</f>
        <v>#REF!</v>
      </c>
      <c r="AF352" t="e">
        <f>IF(#REF!,"AAAAAFtu+x8=",0)</f>
        <v>#REF!</v>
      </c>
      <c r="AG352" t="e">
        <f>IF(#REF!,"AAAAAFtu+yA=",0)</f>
        <v>#REF!</v>
      </c>
      <c r="AH352" t="e">
        <f>IF(#REF!,"AAAAAFtu+yE=",0)</f>
        <v>#REF!</v>
      </c>
      <c r="AI352" t="e">
        <f>IF(#REF!,"AAAAAFtu+yI=",0)</f>
        <v>#REF!</v>
      </c>
      <c r="AJ352" t="e">
        <f>IF(#REF!,"AAAAAFtu+yM=",0)</f>
        <v>#REF!</v>
      </c>
      <c r="AK352" t="e">
        <f>IF(#REF!,"AAAAAFtu+yQ=",0)</f>
        <v>#REF!</v>
      </c>
      <c r="AL352" t="e">
        <f>IF(#REF!,"AAAAAFtu+yU=",0)</f>
        <v>#REF!</v>
      </c>
      <c r="AM352" t="e">
        <f>IF(#REF!,"AAAAAFtu+yY=",0)</f>
        <v>#REF!</v>
      </c>
      <c r="AN352" t="e">
        <f>IF(#REF!,"AAAAAFtu+yc=",0)</f>
        <v>#REF!</v>
      </c>
      <c r="AO352" t="e">
        <f>IF(#REF!,"AAAAAFtu+yg=",0)</f>
        <v>#REF!</v>
      </c>
      <c r="AP352" t="e">
        <f>IF(#REF!,"AAAAAFtu+yk=",0)</f>
        <v>#REF!</v>
      </c>
      <c r="AQ352" t="e">
        <f>IF(#REF!,"AAAAAFtu+yo=",0)</f>
        <v>#REF!</v>
      </c>
      <c r="AR352" t="e">
        <f>IF(#REF!,"AAAAAFtu+ys=",0)</f>
        <v>#REF!</v>
      </c>
      <c r="AS352" t="e">
        <f>IF(#REF!,"AAAAAFtu+yw=",0)</f>
        <v>#REF!</v>
      </c>
      <c r="AT352" t="e">
        <f>IF(#REF!,"AAAAAFtu+y0=",0)</f>
        <v>#REF!</v>
      </c>
      <c r="AU352" t="e">
        <f>IF(#REF!,"AAAAAFtu+y4=",0)</f>
        <v>#REF!</v>
      </c>
      <c r="AV352" t="e">
        <f>IF(#REF!,"AAAAAFtu+y8=",0)</f>
        <v>#REF!</v>
      </c>
      <c r="AW352" t="e">
        <f>IF(#REF!,"AAAAAFtu+zA=",0)</f>
        <v>#REF!</v>
      </c>
      <c r="AX352" t="e">
        <f>IF(#REF!,"AAAAAFtu+zE=",0)</f>
        <v>#REF!</v>
      </c>
      <c r="AY352" t="e">
        <f>IF(#REF!,"AAAAAFtu+zI=",0)</f>
        <v>#REF!</v>
      </c>
      <c r="AZ352" t="e">
        <f>IF(#REF!,"AAAAAFtu+zM=",0)</f>
        <v>#REF!</v>
      </c>
      <c r="BA352" t="e">
        <f>IF(#REF!,"AAAAAFtu+zQ=",0)</f>
        <v>#REF!</v>
      </c>
      <c r="BB352" t="e">
        <f>IF(#REF!,"AAAAAFtu+zU=",0)</f>
        <v>#REF!</v>
      </c>
      <c r="BC352" t="e">
        <f>IF(#REF!,"AAAAAFtu+zY=",0)</f>
        <v>#REF!</v>
      </c>
      <c r="BD352" t="e">
        <f>IF(#REF!,"AAAAAFtu+zc=",0)</f>
        <v>#REF!</v>
      </c>
      <c r="BE352" t="e">
        <f>IF(#REF!,"AAAAAFtu+zg=",0)</f>
        <v>#REF!</v>
      </c>
      <c r="BF352" t="e">
        <f>IF(#REF!,"AAAAAFtu+zk=",0)</f>
        <v>#REF!</v>
      </c>
      <c r="BG352" t="e">
        <f>IF(#REF!,"AAAAAFtu+zo=",0)</f>
        <v>#REF!</v>
      </c>
      <c r="BH352" t="e">
        <f>IF(#REF!,"AAAAAFtu+zs=",0)</f>
        <v>#REF!</v>
      </c>
      <c r="BI352" t="e">
        <f>IF(#REF!,"AAAAAFtu+zw=",0)</f>
        <v>#REF!</v>
      </c>
      <c r="BJ352" t="e">
        <f>IF(#REF!,"AAAAAFtu+z0=",0)</f>
        <v>#REF!</v>
      </c>
      <c r="BK352" t="e">
        <f>IF(#REF!,"AAAAAFtu+z4=",0)</f>
        <v>#REF!</v>
      </c>
      <c r="BL352" t="e">
        <f>IF(#REF!,"AAAAAFtu+z8=",0)</f>
        <v>#REF!</v>
      </c>
      <c r="BM352" t="e">
        <f>IF(#REF!,"AAAAAFtu+0A=",0)</f>
        <v>#REF!</v>
      </c>
      <c r="BN352" t="e">
        <f>IF(#REF!,"AAAAAFtu+0E=",0)</f>
        <v>#REF!</v>
      </c>
      <c r="BO352" t="e">
        <f>IF(#REF!,"AAAAAFtu+0I=",0)</f>
        <v>#REF!</v>
      </c>
      <c r="BP352" t="e">
        <f>IF(#REF!,"AAAAAFtu+0M=",0)</f>
        <v>#REF!</v>
      </c>
      <c r="BQ352" t="e">
        <f>IF(#REF!,"AAAAAFtu+0Q=",0)</f>
        <v>#REF!</v>
      </c>
      <c r="BR352" t="e">
        <f>IF(#REF!,"AAAAAFtu+0U=",0)</f>
        <v>#REF!</v>
      </c>
      <c r="BS352" t="e">
        <f>IF(#REF!,"AAAAAFtu+0Y=",0)</f>
        <v>#REF!</v>
      </c>
      <c r="BT352" t="e">
        <f>IF(#REF!,"AAAAAFtu+0c=",0)</f>
        <v>#REF!</v>
      </c>
      <c r="BU352" t="e">
        <f>IF(#REF!,"AAAAAFtu+0g=",0)</f>
        <v>#REF!</v>
      </c>
      <c r="BV352" t="e">
        <f>IF(#REF!,"AAAAAFtu+0k=",0)</f>
        <v>#REF!</v>
      </c>
      <c r="BW352" t="e">
        <f>IF(#REF!,"AAAAAFtu+0o=",0)</f>
        <v>#REF!</v>
      </c>
      <c r="BX352" t="e">
        <f>IF(#REF!,"AAAAAFtu+0s=",0)</f>
        <v>#REF!</v>
      </c>
      <c r="BY352" t="e">
        <f>IF(#REF!,"AAAAAFtu+0w=",0)</f>
        <v>#REF!</v>
      </c>
      <c r="BZ352" t="e">
        <f>IF(#REF!,"AAAAAFtu+00=",0)</f>
        <v>#REF!</v>
      </c>
      <c r="CA352" t="e">
        <f>IF(#REF!,"AAAAAFtu+04=",0)</f>
        <v>#REF!</v>
      </c>
      <c r="CB352" t="e">
        <f>IF(#REF!,"AAAAAFtu+08=",0)</f>
        <v>#REF!</v>
      </c>
      <c r="CC352" t="e">
        <f>IF(#REF!,"AAAAAFtu+1A=",0)</f>
        <v>#REF!</v>
      </c>
      <c r="CD352" t="e">
        <f>IF(#REF!,"AAAAAFtu+1E=",0)</f>
        <v>#REF!</v>
      </c>
      <c r="CE352" t="e">
        <f>IF(#REF!,"AAAAAFtu+1I=",0)</f>
        <v>#REF!</v>
      </c>
      <c r="CF352" t="e">
        <f>IF(#REF!,"AAAAAFtu+1M=",0)</f>
        <v>#REF!</v>
      </c>
      <c r="CG352" t="e">
        <f>IF(#REF!,"AAAAAFtu+1Q=",0)</f>
        <v>#REF!</v>
      </c>
      <c r="CH352" t="e">
        <f>IF(#REF!,"AAAAAFtu+1U=",0)</f>
        <v>#REF!</v>
      </c>
      <c r="CI352" t="e">
        <f>IF(#REF!,"AAAAAFtu+1Y=",0)</f>
        <v>#REF!</v>
      </c>
      <c r="CJ352" t="e">
        <f>IF(#REF!,"AAAAAFtu+1c=",0)</f>
        <v>#REF!</v>
      </c>
      <c r="CK352" t="e">
        <f>IF(#REF!,"AAAAAFtu+1g=",0)</f>
        <v>#REF!</v>
      </c>
      <c r="CL352" t="e">
        <f>IF(#REF!,"AAAAAFtu+1k=",0)</f>
        <v>#REF!</v>
      </c>
      <c r="CM352" t="e">
        <f>IF(#REF!,"AAAAAFtu+1o=",0)</f>
        <v>#REF!</v>
      </c>
      <c r="CN352" t="e">
        <f>IF(#REF!,"AAAAAFtu+1s=",0)</f>
        <v>#REF!</v>
      </c>
      <c r="CO352" t="e">
        <f>IF(#REF!,"AAAAAFtu+1w=",0)</f>
        <v>#REF!</v>
      </c>
      <c r="CP352" t="e">
        <f>IF(#REF!,"AAAAAFtu+10=",0)</f>
        <v>#REF!</v>
      </c>
      <c r="CQ352" t="e">
        <f>IF(#REF!,"AAAAAFtu+14=",0)</f>
        <v>#REF!</v>
      </c>
      <c r="CR352" t="e">
        <f>IF(#REF!,"AAAAAFtu+18=",0)</f>
        <v>#REF!</v>
      </c>
      <c r="CS352" t="e">
        <f>IF(#REF!,"AAAAAFtu+2A=",0)</f>
        <v>#REF!</v>
      </c>
      <c r="CT352" t="e">
        <f>IF(#REF!,"AAAAAFtu+2E=",0)</f>
        <v>#REF!</v>
      </c>
      <c r="CU352" t="e">
        <f>IF(#REF!,"AAAAAFtu+2I=",0)</f>
        <v>#REF!</v>
      </c>
      <c r="CV352" t="e">
        <f>IF(#REF!,"AAAAAFtu+2M=",0)</f>
        <v>#REF!</v>
      </c>
      <c r="CW352" t="e">
        <f>IF(#REF!,"AAAAAFtu+2Q=",0)</f>
        <v>#REF!</v>
      </c>
      <c r="CX352" t="e">
        <f>IF(#REF!,"AAAAAFtu+2U=",0)</f>
        <v>#REF!</v>
      </c>
      <c r="CY352" t="e">
        <f>IF(#REF!,"AAAAAFtu+2Y=",0)</f>
        <v>#REF!</v>
      </c>
      <c r="CZ352" t="e">
        <f>IF(#REF!,"AAAAAFtu+2c=",0)</f>
        <v>#REF!</v>
      </c>
      <c r="DA352" t="e">
        <f>IF(#REF!,"AAAAAFtu+2g=",0)</f>
        <v>#REF!</v>
      </c>
      <c r="DB352" t="e">
        <f>IF(#REF!,"AAAAAFtu+2k=",0)</f>
        <v>#REF!</v>
      </c>
      <c r="DC352" t="e">
        <f>IF(#REF!,"AAAAAFtu+2o=",0)</f>
        <v>#REF!</v>
      </c>
      <c r="DD352" t="e">
        <f>IF(#REF!,"AAAAAFtu+2s=",0)</f>
        <v>#REF!</v>
      </c>
      <c r="DE352" t="e">
        <f>IF(#REF!,"AAAAAFtu+2w=",0)</f>
        <v>#REF!</v>
      </c>
      <c r="DF352" t="e">
        <f>IF(#REF!,"AAAAAFtu+20=",0)</f>
        <v>#REF!</v>
      </c>
      <c r="DG352" t="e">
        <f>IF(#REF!,"AAAAAFtu+24=",0)</f>
        <v>#REF!</v>
      </c>
      <c r="DH352" t="e">
        <f>IF(#REF!,"AAAAAFtu+28=",0)</f>
        <v>#REF!</v>
      </c>
      <c r="DI352" t="e">
        <f>IF(#REF!,"AAAAAFtu+3A=",0)</f>
        <v>#REF!</v>
      </c>
      <c r="DJ352" t="e">
        <f>IF(#REF!,"AAAAAFtu+3E=",0)</f>
        <v>#REF!</v>
      </c>
      <c r="DK352" t="e">
        <f>IF(#REF!,"AAAAAFtu+3I=",0)</f>
        <v>#REF!</v>
      </c>
      <c r="DL352" t="e">
        <f>IF(#REF!,"AAAAAFtu+3M=",0)</f>
        <v>#REF!</v>
      </c>
      <c r="DM352" t="e">
        <f>IF(#REF!,"AAAAAFtu+3Q=",0)</f>
        <v>#REF!</v>
      </c>
      <c r="DN352" t="e">
        <f>IF(#REF!,"AAAAAFtu+3U=",0)</f>
        <v>#REF!</v>
      </c>
      <c r="DO352" t="e">
        <f>IF(#REF!,"AAAAAFtu+3Y=",0)</f>
        <v>#REF!</v>
      </c>
      <c r="DP352" t="e">
        <f>IF(#REF!,"AAAAAFtu+3c=",0)</f>
        <v>#REF!</v>
      </c>
      <c r="DQ352" t="e">
        <f>IF(#REF!,"AAAAAFtu+3g=",0)</f>
        <v>#REF!</v>
      </c>
      <c r="DR352" t="e">
        <f>IF(#REF!,"AAAAAFtu+3k=",0)</f>
        <v>#REF!</v>
      </c>
      <c r="DS352" t="e">
        <f>IF(#REF!,"AAAAAFtu+3o=",0)</f>
        <v>#REF!</v>
      </c>
      <c r="DT352" t="e">
        <f>IF(#REF!,"AAAAAFtu+3s=",0)</f>
        <v>#REF!</v>
      </c>
      <c r="DU352" t="e">
        <f>IF(#REF!,"AAAAAFtu+3w=",0)</f>
        <v>#REF!</v>
      </c>
      <c r="DV352" t="e">
        <f>IF(#REF!,"AAAAAFtu+30=",0)</f>
        <v>#REF!</v>
      </c>
      <c r="DW352" t="e">
        <f>IF(#REF!,"AAAAAFtu+34=",0)</f>
        <v>#REF!</v>
      </c>
      <c r="DX352" t="e">
        <f>IF(#REF!,"AAAAAFtu+38=",0)</f>
        <v>#REF!</v>
      </c>
      <c r="DY352" t="e">
        <f>IF(#REF!,"AAAAAFtu+4A=",0)</f>
        <v>#REF!</v>
      </c>
      <c r="DZ352" t="e">
        <f>IF(#REF!,"AAAAAFtu+4E=",0)</f>
        <v>#REF!</v>
      </c>
      <c r="EA352" t="e">
        <f>IF(#REF!,"AAAAAFtu+4I=",0)</f>
        <v>#REF!</v>
      </c>
      <c r="EB352" t="e">
        <f>IF(#REF!,"AAAAAFtu+4M=",0)</f>
        <v>#REF!</v>
      </c>
      <c r="EC352" t="e">
        <f>IF(#REF!,"AAAAAFtu+4Q=",0)</f>
        <v>#REF!</v>
      </c>
      <c r="ED352" t="e">
        <f>IF(#REF!,"AAAAAFtu+4U=",0)</f>
        <v>#REF!</v>
      </c>
      <c r="EE352" t="e">
        <f>IF(#REF!,"AAAAAFtu+4Y=",0)</f>
        <v>#REF!</v>
      </c>
      <c r="EF352" t="e">
        <f>IF(#REF!,"AAAAAFtu+4c=",0)</f>
        <v>#REF!</v>
      </c>
      <c r="EG352" t="e">
        <f>IF(#REF!,"AAAAAFtu+4g=",0)</f>
        <v>#REF!</v>
      </c>
      <c r="EH352" t="e">
        <f>IF(#REF!,"AAAAAFtu+4k=",0)</f>
        <v>#REF!</v>
      </c>
      <c r="EI352" t="e">
        <f>IF(#REF!,"AAAAAFtu+4o=",0)</f>
        <v>#REF!</v>
      </c>
      <c r="EJ352" t="e">
        <f>IF(#REF!,"AAAAAFtu+4s=",0)</f>
        <v>#REF!</v>
      </c>
      <c r="EK352" t="e">
        <f>IF(#REF!,"AAAAAFtu+4w=",0)</f>
        <v>#REF!</v>
      </c>
      <c r="EL352" t="e">
        <f>IF(#REF!,"AAAAAFtu+40=",0)</f>
        <v>#REF!</v>
      </c>
      <c r="EM352" t="e">
        <f>IF(#REF!,"AAAAAFtu+44=",0)</f>
        <v>#REF!</v>
      </c>
      <c r="EN352" t="e">
        <f>IF(#REF!,"AAAAAFtu+48=",0)</f>
        <v>#REF!</v>
      </c>
      <c r="EO352" t="e">
        <f>IF(#REF!,"AAAAAFtu+5A=",0)</f>
        <v>#REF!</v>
      </c>
      <c r="EP352" t="e">
        <f>IF(#REF!,"AAAAAFtu+5E=",0)</f>
        <v>#REF!</v>
      </c>
      <c r="EQ352" t="e">
        <f>IF(#REF!,"AAAAAFtu+5I=",0)</f>
        <v>#REF!</v>
      </c>
      <c r="ER352" t="e">
        <f>IF(#REF!,"AAAAAFtu+5M=",0)</f>
        <v>#REF!</v>
      </c>
      <c r="ES352" t="e">
        <f>IF(#REF!,"AAAAAFtu+5Q=",0)</f>
        <v>#REF!</v>
      </c>
      <c r="ET352" t="e">
        <f>IF(#REF!,"AAAAAFtu+5U=",0)</f>
        <v>#REF!</v>
      </c>
      <c r="EU352" t="e">
        <f>IF(#REF!,"AAAAAFtu+5Y=",0)</f>
        <v>#REF!</v>
      </c>
      <c r="EV352" t="e">
        <f>IF(#REF!,"AAAAAFtu+5c=",0)</f>
        <v>#REF!</v>
      </c>
      <c r="EW352" t="e">
        <f>IF(#REF!,"AAAAAFtu+5g=",0)</f>
        <v>#REF!</v>
      </c>
      <c r="EX352" t="e">
        <f>IF(#REF!,"AAAAAFtu+5k=",0)</f>
        <v>#REF!</v>
      </c>
      <c r="EY352" t="e">
        <f>IF(#REF!,"AAAAAFtu+5o=",0)</f>
        <v>#REF!</v>
      </c>
      <c r="EZ352" t="e">
        <f>IF(#REF!,"AAAAAFtu+5s=",0)</f>
        <v>#REF!</v>
      </c>
      <c r="FA352" t="e">
        <f>IF(#REF!,"AAAAAFtu+5w=",0)</f>
        <v>#REF!</v>
      </c>
      <c r="FB352" t="e">
        <f>IF(#REF!,"AAAAAFtu+50=",0)</f>
        <v>#REF!</v>
      </c>
      <c r="FC352" t="e">
        <f>IF(#REF!,"AAAAAFtu+54=",0)</f>
        <v>#REF!</v>
      </c>
      <c r="FD352" t="e">
        <f>IF(#REF!,"AAAAAFtu+58=",0)</f>
        <v>#REF!</v>
      </c>
      <c r="FE352" t="e">
        <f>IF(#REF!,"AAAAAFtu+6A=",0)</f>
        <v>#REF!</v>
      </c>
      <c r="FF352" t="e">
        <f>IF(#REF!,"AAAAAFtu+6E=",0)</f>
        <v>#REF!</v>
      </c>
      <c r="FG352" t="e">
        <f>IF(#REF!,"AAAAAFtu+6I=",0)</f>
        <v>#REF!</v>
      </c>
      <c r="FH352" t="e">
        <f>IF(#REF!,"AAAAAFtu+6M=",0)</f>
        <v>#REF!</v>
      </c>
      <c r="FI352" t="e">
        <f>IF(#REF!,"AAAAAFtu+6Q=",0)</f>
        <v>#REF!</v>
      </c>
      <c r="FJ352" t="e">
        <f>IF(#REF!,"AAAAAFtu+6U=",0)</f>
        <v>#REF!</v>
      </c>
      <c r="FK352" t="e">
        <f>IF(#REF!,"AAAAAFtu+6Y=",0)</f>
        <v>#REF!</v>
      </c>
      <c r="FL352" t="e">
        <f>IF(#REF!,"AAAAAFtu+6c=",0)</f>
        <v>#REF!</v>
      </c>
      <c r="FM352" t="e">
        <f>IF(#REF!,"AAAAAFtu+6g=",0)</f>
        <v>#REF!</v>
      </c>
      <c r="FN352" t="e">
        <f>IF(#REF!,"AAAAAFtu+6k=",0)</f>
        <v>#REF!</v>
      </c>
      <c r="FO352" t="e">
        <f>IF(#REF!,"AAAAAFtu+6o=",0)</f>
        <v>#REF!</v>
      </c>
      <c r="FP352" t="e">
        <f>IF(#REF!,"AAAAAFtu+6s=",0)</f>
        <v>#REF!</v>
      </c>
      <c r="FQ352" t="e">
        <f>IF(#REF!,"AAAAAFtu+6w=",0)</f>
        <v>#REF!</v>
      </c>
      <c r="FR352" t="e">
        <f>IF(#REF!,"AAAAAFtu+60=",0)</f>
        <v>#REF!</v>
      </c>
      <c r="FS352" t="e">
        <f>IF(#REF!,"AAAAAFtu+64=",0)</f>
        <v>#REF!</v>
      </c>
      <c r="FT352" t="e">
        <f>IF(#REF!,"AAAAAFtu+68=",0)</f>
        <v>#REF!</v>
      </c>
      <c r="FU352" t="e">
        <f>IF(#REF!,"AAAAAFtu+7A=",0)</f>
        <v>#REF!</v>
      </c>
      <c r="FV352" t="e">
        <f>IF(#REF!,"AAAAAFtu+7E=",0)</f>
        <v>#REF!</v>
      </c>
      <c r="FW352" t="e">
        <f>IF(#REF!,"AAAAAFtu+7I=",0)</f>
        <v>#REF!</v>
      </c>
      <c r="FX352" t="e">
        <f>IF(#REF!,"AAAAAFtu+7M=",0)</f>
        <v>#REF!</v>
      </c>
      <c r="FY352" t="e">
        <f>IF(#REF!,"AAAAAFtu+7Q=",0)</f>
        <v>#REF!</v>
      </c>
      <c r="FZ352" t="e">
        <f>IF(#REF!,"AAAAAFtu+7U=",0)</f>
        <v>#REF!</v>
      </c>
      <c r="GA352" t="e">
        <f>IF(#REF!,"AAAAAFtu+7Y=",0)</f>
        <v>#REF!</v>
      </c>
      <c r="GB352" t="e">
        <f>IF(#REF!,"AAAAAFtu+7c=",0)</f>
        <v>#REF!</v>
      </c>
      <c r="GC352" t="e">
        <f>IF(#REF!,"AAAAAFtu+7g=",0)</f>
        <v>#REF!</v>
      </c>
      <c r="GD352" t="e">
        <f>IF(#REF!,"AAAAAFtu+7k=",0)</f>
        <v>#REF!</v>
      </c>
      <c r="GE352" t="e">
        <f>IF(#REF!,"AAAAAFtu+7o=",0)</f>
        <v>#REF!</v>
      </c>
      <c r="GF352" t="e">
        <f>IF(#REF!,"AAAAAFtu+7s=",0)</f>
        <v>#REF!</v>
      </c>
      <c r="GG352" t="e">
        <f>IF(#REF!,"AAAAAFtu+7w=",0)</f>
        <v>#REF!</v>
      </c>
      <c r="GH352" t="e">
        <f>IF(#REF!,"AAAAAFtu+70=",0)</f>
        <v>#REF!</v>
      </c>
      <c r="GI352" t="e">
        <f>IF(#REF!,"AAAAAFtu+74=",0)</f>
        <v>#REF!</v>
      </c>
      <c r="GJ352" t="e">
        <f>IF(#REF!,"AAAAAFtu+78=",0)</f>
        <v>#REF!</v>
      </c>
      <c r="GK352" t="e">
        <f>IF(#REF!,"AAAAAFtu+8A=",0)</f>
        <v>#REF!</v>
      </c>
      <c r="GL352" t="e">
        <f>IF(#REF!,"AAAAAFtu+8E=",0)</f>
        <v>#REF!</v>
      </c>
      <c r="GM352" t="e">
        <f>IF(#REF!,"AAAAAFtu+8I=",0)</f>
        <v>#REF!</v>
      </c>
      <c r="GN352" t="e">
        <f>IF(#REF!,"AAAAAFtu+8M=",0)</f>
        <v>#REF!</v>
      </c>
      <c r="GO352" t="e">
        <f>IF(#REF!,"AAAAAFtu+8Q=",0)</f>
        <v>#REF!</v>
      </c>
      <c r="GP352" t="e">
        <f>IF(#REF!,"AAAAAFtu+8U=",0)</f>
        <v>#REF!</v>
      </c>
      <c r="GQ352" t="e">
        <f>IF(#REF!,"AAAAAFtu+8Y=",0)</f>
        <v>#REF!</v>
      </c>
      <c r="GR352" t="e">
        <f>IF(#REF!,"AAAAAFtu+8c=",0)</f>
        <v>#REF!</v>
      </c>
      <c r="GS352" t="e">
        <f>IF(#REF!,"AAAAAFtu+8g=",0)</f>
        <v>#REF!</v>
      </c>
      <c r="GT352" t="e">
        <f>IF(#REF!,"AAAAAFtu+8k=",0)</f>
        <v>#REF!</v>
      </c>
      <c r="GU352" t="e">
        <f>IF(#REF!,"AAAAAFtu+8o=",0)</f>
        <v>#REF!</v>
      </c>
      <c r="GV352" t="e">
        <f>IF(#REF!,"AAAAAFtu+8s=",0)</f>
        <v>#REF!</v>
      </c>
      <c r="GW352" t="e">
        <f>IF(#REF!,"AAAAAFtu+8w=",0)</f>
        <v>#REF!</v>
      </c>
      <c r="GX352" t="e">
        <f>IF(#REF!,"AAAAAFtu+80=",0)</f>
        <v>#REF!</v>
      </c>
      <c r="GY352" t="e">
        <f>IF(#REF!,"AAAAAFtu+84=",0)</f>
        <v>#REF!</v>
      </c>
      <c r="GZ352" t="e">
        <f>IF(#REF!,"AAAAAFtu+88=",0)</f>
        <v>#REF!</v>
      </c>
      <c r="HA352" t="e">
        <f>IF(#REF!,"AAAAAFtu+9A=",0)</f>
        <v>#REF!</v>
      </c>
      <c r="HB352" t="e">
        <f>IF(#REF!,"AAAAAFtu+9E=",0)</f>
        <v>#REF!</v>
      </c>
      <c r="HC352" t="e">
        <f>IF(#REF!,"AAAAAFtu+9I=",0)</f>
        <v>#REF!</v>
      </c>
      <c r="HD352" t="e">
        <f>IF(#REF!,"AAAAAFtu+9M=",0)</f>
        <v>#REF!</v>
      </c>
      <c r="HE352" t="e">
        <f>IF(#REF!,"AAAAAFtu+9Q=",0)</f>
        <v>#REF!</v>
      </c>
      <c r="HF352" t="e">
        <f>IF(#REF!,"AAAAAFtu+9U=",0)</f>
        <v>#REF!</v>
      </c>
      <c r="HG352" t="e">
        <f>IF(#REF!,"AAAAAFtu+9Y=",0)</f>
        <v>#REF!</v>
      </c>
      <c r="HH352" t="e">
        <f>IF(#REF!,"AAAAAFtu+9c=",0)</f>
        <v>#REF!</v>
      </c>
      <c r="HI352" t="e">
        <f>IF(#REF!,"AAAAAFtu+9g=",0)</f>
        <v>#REF!</v>
      </c>
      <c r="HJ352" t="e">
        <f>IF(#REF!,"AAAAAFtu+9k=",0)</f>
        <v>#REF!</v>
      </c>
      <c r="HK352" t="e">
        <f>IF(#REF!,"AAAAAFtu+9o=",0)</f>
        <v>#REF!</v>
      </c>
      <c r="HL352" t="e">
        <f>IF(#REF!,"AAAAAFtu+9s=",0)</f>
        <v>#REF!</v>
      </c>
      <c r="HM352" t="e">
        <f>IF(#REF!,"AAAAAFtu+9w=",0)</f>
        <v>#REF!</v>
      </c>
      <c r="HN352" t="e">
        <f>IF(#REF!,"AAAAAFtu+90=",0)</f>
        <v>#REF!</v>
      </c>
      <c r="HO352" t="e">
        <f>IF(#REF!,"AAAAAFtu+94=",0)</f>
        <v>#REF!</v>
      </c>
      <c r="HP352" t="e">
        <f>IF(#REF!,"AAAAAFtu+98=",0)</f>
        <v>#REF!</v>
      </c>
      <c r="HQ352" t="e">
        <f>IF(#REF!,"AAAAAFtu++A=",0)</f>
        <v>#REF!</v>
      </c>
      <c r="HR352" t="e">
        <f>IF(#REF!,"AAAAAFtu++E=",0)</f>
        <v>#REF!</v>
      </c>
      <c r="HS352" t="e">
        <f>IF(#REF!,"AAAAAFtu++I=",0)</f>
        <v>#REF!</v>
      </c>
      <c r="HT352" t="e">
        <f>IF(#REF!,"AAAAAFtu++M=",0)</f>
        <v>#REF!</v>
      </c>
      <c r="HU352" t="e">
        <f>IF(#REF!,"AAAAAFtu++Q=",0)</f>
        <v>#REF!</v>
      </c>
      <c r="HV352" t="e">
        <f>IF(#REF!,"AAAAAFtu++U=",0)</f>
        <v>#REF!</v>
      </c>
      <c r="HW352" t="e">
        <f>IF(#REF!,"AAAAAFtu++Y=",0)</f>
        <v>#REF!</v>
      </c>
      <c r="HX352" t="e">
        <f>IF(#REF!,"AAAAAFtu++c=",0)</f>
        <v>#REF!</v>
      </c>
      <c r="HY352" t="e">
        <f>IF(#REF!,"AAAAAFtu++g=",0)</f>
        <v>#REF!</v>
      </c>
      <c r="HZ352" t="e">
        <f>IF(#REF!,"AAAAAFtu++k=",0)</f>
        <v>#REF!</v>
      </c>
      <c r="IA352" t="e">
        <f>IF(#REF!,"AAAAAFtu++o=",0)</f>
        <v>#REF!</v>
      </c>
      <c r="IB352" t="e">
        <f>IF(#REF!,"AAAAAFtu++s=",0)</f>
        <v>#REF!</v>
      </c>
      <c r="IC352" t="e">
        <f>IF(#REF!,"AAAAAFtu++w=",0)</f>
        <v>#REF!</v>
      </c>
      <c r="ID352" t="e">
        <f>IF(#REF!,"AAAAAFtu++0=",0)</f>
        <v>#REF!</v>
      </c>
      <c r="IE352" t="e">
        <f>IF(#REF!,"AAAAAFtu++4=",0)</f>
        <v>#REF!</v>
      </c>
      <c r="IF352" t="e">
        <f>IF(#REF!,"AAAAAFtu++8=",0)</f>
        <v>#REF!</v>
      </c>
      <c r="IG352" t="e">
        <f>IF(#REF!,"AAAAAFtu+/A=",0)</f>
        <v>#REF!</v>
      </c>
      <c r="IH352" t="e">
        <f>IF(#REF!,"AAAAAFtu+/E=",0)</f>
        <v>#REF!</v>
      </c>
      <c r="II352" t="e">
        <f>IF(#REF!,"AAAAAFtu+/I=",0)</f>
        <v>#REF!</v>
      </c>
      <c r="IJ352" t="e">
        <f>IF(#REF!,"AAAAAFtu+/M=",0)</f>
        <v>#REF!</v>
      </c>
      <c r="IK352" t="e">
        <f>IF(#REF!,"AAAAAFtu+/Q=",0)</f>
        <v>#REF!</v>
      </c>
      <c r="IL352" t="e">
        <f>IF(#REF!,"AAAAAFtu+/U=",0)</f>
        <v>#REF!</v>
      </c>
      <c r="IM352" t="e">
        <f>IF(#REF!,"AAAAAFtu+/Y=",0)</f>
        <v>#REF!</v>
      </c>
      <c r="IN352" t="e">
        <f>IF(#REF!,"AAAAAFtu+/c=",0)</f>
        <v>#REF!</v>
      </c>
      <c r="IO352" t="e">
        <f>IF(#REF!,"AAAAAFtu+/g=",0)</f>
        <v>#REF!</v>
      </c>
      <c r="IP352" t="e">
        <f>IF(#REF!,"AAAAAFtu+/k=",0)</f>
        <v>#REF!</v>
      </c>
      <c r="IQ352" t="e">
        <f>IF(#REF!,"AAAAAFtu+/o=",0)</f>
        <v>#REF!</v>
      </c>
      <c r="IR352" t="e">
        <f>IF(#REF!,"AAAAAFtu+/s=",0)</f>
        <v>#REF!</v>
      </c>
      <c r="IS352" t="e">
        <f>IF(#REF!,"AAAAAFtu+/w=",0)</f>
        <v>#REF!</v>
      </c>
      <c r="IT352" t="e">
        <f>IF(#REF!,"AAAAAFtu+/0=",0)</f>
        <v>#REF!</v>
      </c>
      <c r="IU352" t="e">
        <f>IF(#REF!,"AAAAAFtu+/4=",0)</f>
        <v>#REF!</v>
      </c>
      <c r="IV352" t="e">
        <f>IF(#REF!,"AAAAAFtu+/8=",0)</f>
        <v>#REF!</v>
      </c>
    </row>
    <row r="353" spans="1:256">
      <c r="A353" t="e">
        <f>IF(#REF!,"AAAAAH/v9wA=",0)</f>
        <v>#REF!</v>
      </c>
      <c r="B353" t="e">
        <f>IF(#REF!,"AAAAAH/v9wE=",0)</f>
        <v>#REF!</v>
      </c>
      <c r="C353" t="e">
        <f>IF(#REF!,"AAAAAH/v9wI=",0)</f>
        <v>#REF!</v>
      </c>
      <c r="D353" t="e">
        <f>IF(#REF!,"AAAAAH/v9wM=",0)</f>
        <v>#REF!</v>
      </c>
      <c r="E353" t="e">
        <f>IF(#REF!,"AAAAAH/v9wQ=",0)</f>
        <v>#REF!</v>
      </c>
      <c r="F353" t="e">
        <f>IF(#REF!,"AAAAAH/v9wU=",0)</f>
        <v>#REF!</v>
      </c>
      <c r="G353" t="e">
        <f>IF(#REF!,"AAAAAH/v9wY=",0)</f>
        <v>#REF!</v>
      </c>
      <c r="H353" t="e">
        <f>IF(#REF!,"AAAAAH/v9wc=",0)</f>
        <v>#REF!</v>
      </c>
      <c r="I353" t="e">
        <f>IF(#REF!,"AAAAAH/v9wg=",0)</f>
        <v>#REF!</v>
      </c>
      <c r="J353" t="e">
        <f>IF(#REF!,"AAAAAH/v9wk=",0)</f>
        <v>#REF!</v>
      </c>
      <c r="K353" t="e">
        <f>IF(#REF!,"AAAAAH/v9wo=",0)</f>
        <v>#REF!</v>
      </c>
      <c r="L353" t="e">
        <f>IF(#REF!,"AAAAAH/v9ws=",0)</f>
        <v>#REF!</v>
      </c>
      <c r="M353" t="e">
        <f>IF(#REF!,"AAAAAH/v9ww=",0)</f>
        <v>#REF!</v>
      </c>
      <c r="N353" t="e">
        <f>IF(#REF!,"AAAAAH/v9w0=",0)</f>
        <v>#REF!</v>
      </c>
      <c r="O353" t="e">
        <f>IF(#REF!,"AAAAAH/v9w4=",0)</f>
        <v>#REF!</v>
      </c>
      <c r="P353" t="e">
        <f>IF(#REF!,"AAAAAH/v9w8=",0)</f>
        <v>#REF!</v>
      </c>
      <c r="Q353" t="e">
        <f>IF(#REF!,"AAAAAH/v9xA=",0)</f>
        <v>#REF!</v>
      </c>
      <c r="R353" t="e">
        <f>IF(#REF!,"AAAAAH/v9xE=",0)</f>
        <v>#REF!</v>
      </c>
      <c r="S353" t="e">
        <f>IF(#REF!,"AAAAAH/v9xI=",0)</f>
        <v>#REF!</v>
      </c>
      <c r="T353" t="e">
        <f>IF(#REF!,"AAAAAH/v9xM=",0)</f>
        <v>#REF!</v>
      </c>
      <c r="U353" t="e">
        <f>IF(#REF!,"AAAAAH/v9xQ=",0)</f>
        <v>#REF!</v>
      </c>
      <c r="V353" t="e">
        <f>IF(#REF!,"AAAAAH/v9xU=",0)</f>
        <v>#REF!</v>
      </c>
      <c r="W353" t="e">
        <f>IF(#REF!,"AAAAAH/v9xY=",0)</f>
        <v>#REF!</v>
      </c>
      <c r="X353" t="e">
        <f>IF(#REF!,"AAAAAH/v9xc=",0)</f>
        <v>#REF!</v>
      </c>
      <c r="Y353" t="e">
        <f>IF(#REF!,"AAAAAH/v9xg=",0)</f>
        <v>#REF!</v>
      </c>
      <c r="Z353" t="e">
        <f>IF(#REF!,"AAAAAH/v9xk=",0)</f>
        <v>#REF!</v>
      </c>
      <c r="AA353" t="e">
        <f>IF(#REF!,"AAAAAH/v9xo=",0)</f>
        <v>#REF!</v>
      </c>
      <c r="AB353" t="e">
        <f>IF(#REF!,"AAAAAH/v9xs=",0)</f>
        <v>#REF!</v>
      </c>
      <c r="AC353" t="e">
        <f>IF(#REF!,"AAAAAH/v9xw=",0)</f>
        <v>#REF!</v>
      </c>
      <c r="AD353" t="e">
        <f>IF(#REF!,"AAAAAH/v9x0=",0)</f>
        <v>#REF!</v>
      </c>
      <c r="AE353" t="e">
        <f>IF(#REF!,"AAAAAH/v9x4=",0)</f>
        <v>#REF!</v>
      </c>
      <c r="AF353" t="e">
        <f>IF(#REF!,"AAAAAH/v9x8=",0)</f>
        <v>#REF!</v>
      </c>
      <c r="AG353" t="e">
        <f>IF(#REF!,"AAAAAH/v9yA=",0)</f>
        <v>#REF!</v>
      </c>
      <c r="AH353" t="e">
        <f>IF(#REF!,"AAAAAH/v9yE=",0)</f>
        <v>#REF!</v>
      </c>
      <c r="AI353" t="e">
        <f>IF(#REF!,"AAAAAH/v9yI=",0)</f>
        <v>#REF!</v>
      </c>
      <c r="AJ353" t="e">
        <f>IF(#REF!,"AAAAAH/v9yM=",0)</f>
        <v>#REF!</v>
      </c>
      <c r="AK353" t="e">
        <f>IF(#REF!,"AAAAAH/v9yQ=",0)</f>
        <v>#REF!</v>
      </c>
      <c r="AL353" t="e">
        <f>IF(#REF!,"AAAAAH/v9yU=",0)</f>
        <v>#REF!</v>
      </c>
      <c r="AM353" t="e">
        <f>IF(#REF!,"AAAAAH/v9yY=",0)</f>
        <v>#REF!</v>
      </c>
      <c r="AN353" t="e">
        <f>IF(#REF!,"AAAAAH/v9yc=",0)</f>
        <v>#REF!</v>
      </c>
      <c r="AO353" t="e">
        <f>IF(#REF!,"AAAAAH/v9yg=",0)</f>
        <v>#REF!</v>
      </c>
      <c r="AP353" t="e">
        <f>IF(#REF!,"AAAAAH/v9yk=",0)</f>
        <v>#REF!</v>
      </c>
      <c r="AQ353" t="e">
        <f>IF(#REF!,"AAAAAH/v9yo=",0)</f>
        <v>#REF!</v>
      </c>
      <c r="AR353" t="e">
        <f>IF(#REF!,"AAAAAH/v9ys=",0)</f>
        <v>#REF!</v>
      </c>
      <c r="AS353" t="e">
        <f>IF(#REF!,"AAAAAH/v9yw=",0)</f>
        <v>#REF!</v>
      </c>
      <c r="AT353" t="e">
        <f>IF(#REF!,"AAAAAH/v9y0=",0)</f>
        <v>#REF!</v>
      </c>
      <c r="AU353" t="e">
        <f>IF(#REF!,"AAAAAH/v9y4=",0)</f>
        <v>#REF!</v>
      </c>
      <c r="AV353" t="e">
        <f>IF(#REF!,"AAAAAH/v9y8=",0)</f>
        <v>#REF!</v>
      </c>
      <c r="AW353" t="e">
        <f>IF(#REF!,"AAAAAH/v9zA=",0)</f>
        <v>#REF!</v>
      </c>
      <c r="AX353" t="e">
        <f>IF(#REF!,"AAAAAH/v9zE=",0)</f>
        <v>#REF!</v>
      </c>
      <c r="AY353" t="e">
        <f>IF(#REF!,"AAAAAH/v9zI=",0)</f>
        <v>#REF!</v>
      </c>
      <c r="AZ353" t="e">
        <f>IF(#REF!,"AAAAAH/v9zM=",0)</f>
        <v>#REF!</v>
      </c>
      <c r="BA353" t="e">
        <f>IF(#REF!,"AAAAAH/v9zQ=",0)</f>
        <v>#REF!</v>
      </c>
      <c r="BB353" t="e">
        <f>IF(#REF!,"AAAAAH/v9zU=",0)</f>
        <v>#REF!</v>
      </c>
      <c r="BC353" t="e">
        <f>IF(#REF!,"AAAAAH/v9zY=",0)</f>
        <v>#REF!</v>
      </c>
      <c r="BD353" t="e">
        <f>IF(#REF!,"AAAAAH/v9zc=",0)</f>
        <v>#REF!</v>
      </c>
      <c r="BE353" t="e">
        <f>IF(#REF!,"AAAAAH/v9zg=",0)</f>
        <v>#REF!</v>
      </c>
      <c r="BF353" t="e">
        <f>IF(#REF!,"AAAAAH/v9zk=",0)</f>
        <v>#REF!</v>
      </c>
      <c r="BG353" t="e">
        <f>IF(#REF!,"AAAAAH/v9zo=",0)</f>
        <v>#REF!</v>
      </c>
      <c r="BH353" t="e">
        <f>IF(#REF!,"AAAAAH/v9zs=",0)</f>
        <v>#REF!</v>
      </c>
      <c r="BI353" t="e">
        <f>IF(#REF!,"AAAAAH/v9zw=",0)</f>
        <v>#REF!</v>
      </c>
      <c r="BJ353" t="e">
        <f>IF(#REF!,"AAAAAH/v9z0=",0)</f>
        <v>#REF!</v>
      </c>
      <c r="BK353" t="e">
        <f>IF(#REF!,"AAAAAH/v9z4=",0)</f>
        <v>#REF!</v>
      </c>
      <c r="BL353" t="e">
        <f>IF(#REF!,"AAAAAH/v9z8=",0)</f>
        <v>#REF!</v>
      </c>
      <c r="BM353" t="e">
        <f>IF(#REF!,"AAAAAH/v90A=",0)</f>
        <v>#REF!</v>
      </c>
      <c r="BN353" t="e">
        <f>IF(#REF!,"AAAAAH/v90E=",0)</f>
        <v>#REF!</v>
      </c>
      <c r="BO353" t="e">
        <f>IF(#REF!,"AAAAAH/v90I=",0)</f>
        <v>#REF!</v>
      </c>
      <c r="BP353" t="e">
        <f>IF(#REF!,"AAAAAH/v90M=",0)</f>
        <v>#REF!</v>
      </c>
      <c r="BQ353" t="e">
        <f>IF(#REF!,"AAAAAH/v90Q=",0)</f>
        <v>#REF!</v>
      </c>
      <c r="BR353" t="e">
        <f>IF(#REF!,"AAAAAH/v90U=",0)</f>
        <v>#REF!</v>
      </c>
      <c r="BS353" t="e">
        <f>IF(#REF!,"AAAAAH/v90Y=",0)</f>
        <v>#REF!</v>
      </c>
      <c r="BT353" t="e">
        <f>IF(#REF!,"AAAAAH/v90c=",0)</f>
        <v>#REF!</v>
      </c>
      <c r="BU353" t="e">
        <f>IF(#REF!,"AAAAAH/v90g=",0)</f>
        <v>#REF!</v>
      </c>
      <c r="BV353" t="e">
        <f>IF(#REF!,"AAAAAH/v90k=",0)</f>
        <v>#REF!</v>
      </c>
      <c r="BW353" t="e">
        <f>IF(#REF!,"AAAAAH/v90o=",0)</f>
        <v>#REF!</v>
      </c>
      <c r="BX353" t="e">
        <f>IF(#REF!,"AAAAAH/v90s=",0)</f>
        <v>#REF!</v>
      </c>
      <c r="BY353" t="e">
        <f>IF(#REF!,"AAAAAH/v90w=",0)</f>
        <v>#REF!</v>
      </c>
      <c r="BZ353" t="e">
        <f>IF(#REF!,"AAAAAH/v900=",0)</f>
        <v>#REF!</v>
      </c>
      <c r="CA353" t="e">
        <f>IF(#REF!,"AAAAAH/v904=",0)</f>
        <v>#REF!</v>
      </c>
      <c r="CB353" t="e">
        <f>IF(#REF!,"AAAAAH/v908=",0)</f>
        <v>#REF!</v>
      </c>
      <c r="CC353" t="e">
        <f>IF(#REF!,"AAAAAH/v91A=",0)</f>
        <v>#REF!</v>
      </c>
      <c r="CD353" t="e">
        <f>IF(#REF!,"AAAAAH/v91E=",0)</f>
        <v>#REF!</v>
      </c>
      <c r="CE353" t="e">
        <f>IF(#REF!,"AAAAAH/v91I=",0)</f>
        <v>#REF!</v>
      </c>
      <c r="CF353" t="e">
        <f>IF(#REF!,"AAAAAH/v91M=",0)</f>
        <v>#REF!</v>
      </c>
      <c r="CG353" t="e">
        <f>IF(#REF!,"AAAAAH/v91Q=",0)</f>
        <v>#REF!</v>
      </c>
      <c r="CH353" t="e">
        <f>IF(#REF!,"AAAAAH/v91U=",0)</f>
        <v>#REF!</v>
      </c>
      <c r="CI353" t="e">
        <f>IF(#REF!,"AAAAAH/v91Y=",0)</f>
        <v>#REF!</v>
      </c>
      <c r="CJ353" t="e">
        <f>IF(#REF!,"AAAAAH/v91c=",0)</f>
        <v>#REF!</v>
      </c>
      <c r="CK353" t="e">
        <f>IF(#REF!,"AAAAAH/v91g=",0)</f>
        <v>#REF!</v>
      </c>
      <c r="CL353" t="e">
        <f>IF(#REF!,"AAAAAH/v91k=",0)</f>
        <v>#REF!</v>
      </c>
      <c r="CM353" t="e">
        <f>IF(#REF!,"AAAAAH/v91o=",0)</f>
        <v>#REF!</v>
      </c>
      <c r="CN353" t="e">
        <f>IF(#REF!,"AAAAAH/v91s=",0)</f>
        <v>#REF!</v>
      </c>
      <c r="CO353" t="e">
        <f>IF(#REF!,"AAAAAH/v91w=",0)</f>
        <v>#REF!</v>
      </c>
      <c r="CP353" t="e">
        <f>IF(#REF!,"AAAAAH/v910=",0)</f>
        <v>#REF!</v>
      </c>
      <c r="CQ353" t="e">
        <f>IF(#REF!,"AAAAAH/v914=",0)</f>
        <v>#REF!</v>
      </c>
      <c r="CR353" t="e">
        <f>IF(#REF!,"AAAAAH/v918=",0)</f>
        <v>#REF!</v>
      </c>
      <c r="CS353" t="e">
        <f>IF(#REF!,"AAAAAH/v92A=",0)</f>
        <v>#REF!</v>
      </c>
      <c r="CT353" t="e">
        <f>IF(#REF!,"AAAAAH/v92E=",0)</f>
        <v>#REF!</v>
      </c>
      <c r="CU353" t="e">
        <f>IF(#REF!,"AAAAAH/v92I=",0)</f>
        <v>#REF!</v>
      </c>
      <c r="CV353" t="e">
        <f>IF(#REF!,"AAAAAH/v92M=",0)</f>
        <v>#REF!</v>
      </c>
      <c r="CW353" t="e">
        <f>IF(#REF!,"AAAAAH/v92Q=",0)</f>
        <v>#REF!</v>
      </c>
      <c r="CX353" t="e">
        <f>IF(#REF!,"AAAAAH/v92U=",0)</f>
        <v>#REF!</v>
      </c>
      <c r="CY353" t="e">
        <f>IF(#REF!,"AAAAAH/v92Y=",0)</f>
        <v>#REF!</v>
      </c>
      <c r="CZ353" t="e">
        <f>IF(#REF!,"AAAAAH/v92c=",0)</f>
        <v>#REF!</v>
      </c>
      <c r="DA353" t="e">
        <f>IF(#REF!,"AAAAAH/v92g=",0)</f>
        <v>#REF!</v>
      </c>
      <c r="DB353" t="e">
        <f>IF(#REF!,"AAAAAH/v92k=",0)</f>
        <v>#REF!</v>
      </c>
      <c r="DC353" t="e">
        <f>IF(#REF!,"AAAAAH/v92o=",0)</f>
        <v>#REF!</v>
      </c>
      <c r="DD353" t="e">
        <f>IF(#REF!,"AAAAAH/v92s=",0)</f>
        <v>#REF!</v>
      </c>
      <c r="DE353" t="e">
        <f>IF(#REF!,"AAAAAH/v92w=",0)</f>
        <v>#REF!</v>
      </c>
      <c r="DF353" t="e">
        <f>IF(#REF!,"AAAAAH/v920=",0)</f>
        <v>#REF!</v>
      </c>
      <c r="DG353" t="e">
        <f>IF(#REF!,"AAAAAH/v924=",0)</f>
        <v>#REF!</v>
      </c>
      <c r="DH353" t="e">
        <f>IF(#REF!,"AAAAAH/v928=",0)</f>
        <v>#REF!</v>
      </c>
      <c r="DI353" t="e">
        <f>IF(#REF!,"AAAAAH/v93A=",0)</f>
        <v>#REF!</v>
      </c>
      <c r="DJ353" t="e">
        <f>IF(#REF!,"AAAAAH/v93E=",0)</f>
        <v>#REF!</v>
      </c>
      <c r="DK353" t="e">
        <f>IF(#REF!,"AAAAAH/v93I=",0)</f>
        <v>#REF!</v>
      </c>
      <c r="DL353" t="e">
        <f>IF(#REF!,"AAAAAH/v93M=",0)</f>
        <v>#REF!</v>
      </c>
      <c r="DM353" t="e">
        <f>IF(#REF!,"AAAAAH/v93Q=",0)</f>
        <v>#REF!</v>
      </c>
      <c r="DN353" t="e">
        <f>IF(#REF!,"AAAAAH/v93U=",0)</f>
        <v>#REF!</v>
      </c>
      <c r="DO353" t="e">
        <f>IF(#REF!,"AAAAAH/v93Y=",0)</f>
        <v>#REF!</v>
      </c>
      <c r="DP353" t="e">
        <f>IF(#REF!,"AAAAAH/v93c=",0)</f>
        <v>#REF!</v>
      </c>
      <c r="DQ353" t="e">
        <f>IF(#REF!,"AAAAAH/v93g=",0)</f>
        <v>#REF!</v>
      </c>
      <c r="DR353" t="e">
        <f>IF(#REF!,"AAAAAH/v93k=",0)</f>
        <v>#REF!</v>
      </c>
      <c r="DS353" t="e">
        <f>IF(#REF!,"AAAAAH/v93o=",0)</f>
        <v>#REF!</v>
      </c>
      <c r="DT353" t="e">
        <f>IF(#REF!,"AAAAAH/v93s=",0)</f>
        <v>#REF!</v>
      </c>
      <c r="DU353" t="e">
        <f>IF(#REF!,"AAAAAH/v93w=",0)</f>
        <v>#REF!</v>
      </c>
      <c r="DV353" t="e">
        <f>IF(#REF!,"AAAAAH/v930=",0)</f>
        <v>#REF!</v>
      </c>
      <c r="DW353" t="e">
        <f>IF(#REF!,"AAAAAH/v934=",0)</f>
        <v>#REF!</v>
      </c>
      <c r="DX353" t="e">
        <f>IF(#REF!,"AAAAAH/v938=",0)</f>
        <v>#REF!</v>
      </c>
      <c r="DY353" t="e">
        <f>IF(#REF!,"AAAAAH/v94A=",0)</f>
        <v>#REF!</v>
      </c>
      <c r="DZ353" t="e">
        <f>IF(#REF!,"AAAAAH/v94E=",0)</f>
        <v>#REF!</v>
      </c>
      <c r="EA353" t="e">
        <f>IF(#REF!,"AAAAAH/v94I=",0)</f>
        <v>#REF!</v>
      </c>
      <c r="EB353" t="e">
        <f>IF(#REF!,"AAAAAH/v94M=",0)</f>
        <v>#REF!</v>
      </c>
      <c r="EC353" t="e">
        <f>IF(#REF!,"AAAAAH/v94Q=",0)</f>
        <v>#REF!</v>
      </c>
      <c r="ED353" t="e">
        <f>IF(#REF!,"AAAAAH/v94U=",0)</f>
        <v>#REF!</v>
      </c>
      <c r="EE353" t="e">
        <f>IF(#REF!,"AAAAAH/v94Y=",0)</f>
        <v>#REF!</v>
      </c>
      <c r="EF353" t="e">
        <f>IF(#REF!,"AAAAAH/v94c=",0)</f>
        <v>#REF!</v>
      </c>
      <c r="EG353" t="e">
        <f>IF(#REF!,"AAAAAH/v94g=",0)</f>
        <v>#REF!</v>
      </c>
      <c r="EH353" t="e">
        <f>IF(#REF!,"AAAAAH/v94k=",0)</f>
        <v>#REF!</v>
      </c>
      <c r="EI353" t="e">
        <f>IF(#REF!,"AAAAAH/v94o=",0)</f>
        <v>#REF!</v>
      </c>
      <c r="EJ353" t="e">
        <f>IF(#REF!,"AAAAAH/v94s=",0)</f>
        <v>#REF!</v>
      </c>
      <c r="EK353" t="e">
        <f>IF(#REF!,"AAAAAH/v94w=",0)</f>
        <v>#REF!</v>
      </c>
      <c r="EL353" t="e">
        <f>IF(#REF!,"AAAAAH/v940=",0)</f>
        <v>#REF!</v>
      </c>
      <c r="EM353" t="e">
        <f>IF(#REF!,"AAAAAH/v944=",0)</f>
        <v>#REF!</v>
      </c>
      <c r="EN353" t="e">
        <f>IF(#REF!,"AAAAAH/v948=",0)</f>
        <v>#REF!</v>
      </c>
      <c r="EO353" t="e">
        <f>IF(#REF!,"AAAAAH/v95A=",0)</f>
        <v>#REF!</v>
      </c>
      <c r="EP353" t="e">
        <f>IF(#REF!,"AAAAAH/v95E=",0)</f>
        <v>#REF!</v>
      </c>
      <c r="EQ353" t="e">
        <f>IF(#REF!,"AAAAAH/v95I=",0)</f>
        <v>#REF!</v>
      </c>
      <c r="ER353" t="e">
        <f>IF(#REF!,"AAAAAH/v95M=",0)</f>
        <v>#REF!</v>
      </c>
      <c r="ES353" t="e">
        <f>IF(#REF!,"AAAAAH/v95Q=",0)</f>
        <v>#REF!</v>
      </c>
      <c r="ET353" t="e">
        <f>IF(#REF!,"AAAAAH/v95U=",0)</f>
        <v>#REF!</v>
      </c>
      <c r="EU353" t="e">
        <f>IF(#REF!,"AAAAAH/v95Y=",0)</f>
        <v>#REF!</v>
      </c>
      <c r="EV353" t="e">
        <f>IF(#REF!,"AAAAAH/v95c=",0)</f>
        <v>#REF!</v>
      </c>
      <c r="EW353" t="e">
        <f>IF(#REF!,"AAAAAH/v95g=",0)</f>
        <v>#REF!</v>
      </c>
      <c r="EX353" t="e">
        <f>IF(#REF!,"AAAAAH/v95k=",0)</f>
        <v>#REF!</v>
      </c>
      <c r="EY353" t="e">
        <f>IF(#REF!,"AAAAAH/v95o=",0)</f>
        <v>#REF!</v>
      </c>
      <c r="EZ353" t="e">
        <f>IF(#REF!,"AAAAAH/v95s=",0)</f>
        <v>#REF!</v>
      </c>
      <c r="FA353" t="e">
        <f>IF(#REF!,"AAAAAH/v95w=",0)</f>
        <v>#REF!</v>
      </c>
      <c r="FB353" t="e">
        <f>IF(#REF!,"AAAAAH/v950=",0)</f>
        <v>#REF!</v>
      </c>
      <c r="FC353" t="e">
        <f>IF(#REF!,"AAAAAH/v954=",0)</f>
        <v>#REF!</v>
      </c>
      <c r="FD353" t="e">
        <f>IF(#REF!,"AAAAAH/v958=",0)</f>
        <v>#REF!</v>
      </c>
      <c r="FE353" t="e">
        <f>IF(#REF!,"AAAAAH/v96A=",0)</f>
        <v>#REF!</v>
      </c>
      <c r="FF353" t="e">
        <f>IF(#REF!,"AAAAAH/v96E=",0)</f>
        <v>#REF!</v>
      </c>
      <c r="FG353" t="e">
        <f>IF(#REF!,"AAAAAH/v96I=",0)</f>
        <v>#REF!</v>
      </c>
      <c r="FH353" t="e">
        <f>IF(#REF!,"AAAAAH/v96M=",0)</f>
        <v>#REF!</v>
      </c>
      <c r="FI353" t="e">
        <f>IF(#REF!,"AAAAAH/v96Q=",0)</f>
        <v>#REF!</v>
      </c>
      <c r="FJ353" t="e">
        <f>IF(#REF!,"AAAAAH/v96U=",0)</f>
        <v>#REF!</v>
      </c>
      <c r="FK353" t="e">
        <f>IF(#REF!,"AAAAAH/v96Y=",0)</f>
        <v>#REF!</v>
      </c>
      <c r="FL353" t="e">
        <f>IF(#REF!,"AAAAAH/v96c=",0)</f>
        <v>#REF!</v>
      </c>
      <c r="FM353" t="e">
        <f>IF(#REF!,"AAAAAH/v96g=",0)</f>
        <v>#REF!</v>
      </c>
      <c r="FN353" t="e">
        <f>IF(#REF!,"AAAAAH/v96k=",0)</f>
        <v>#REF!</v>
      </c>
      <c r="FO353" t="e">
        <f>IF(#REF!,"AAAAAH/v96o=",0)</f>
        <v>#REF!</v>
      </c>
      <c r="FP353" t="e">
        <f>IF(#REF!,"AAAAAH/v96s=",0)</f>
        <v>#REF!</v>
      </c>
      <c r="FQ353" t="e">
        <f>IF(#REF!,"AAAAAH/v96w=",0)</f>
        <v>#REF!</v>
      </c>
      <c r="FR353" t="e">
        <f>IF(#REF!,"AAAAAH/v960=",0)</f>
        <v>#REF!</v>
      </c>
      <c r="FS353" t="e">
        <f>IF(#REF!,"AAAAAH/v964=",0)</f>
        <v>#REF!</v>
      </c>
      <c r="FT353" t="e">
        <f>IF(#REF!,"AAAAAH/v968=",0)</f>
        <v>#REF!</v>
      </c>
      <c r="FU353" t="e">
        <f>IF(#REF!,"AAAAAH/v97A=",0)</f>
        <v>#REF!</v>
      </c>
      <c r="FV353" t="e">
        <f>IF(#REF!,"AAAAAH/v97E=",0)</f>
        <v>#REF!</v>
      </c>
      <c r="FW353" t="e">
        <f>IF(#REF!,"AAAAAH/v97I=",0)</f>
        <v>#REF!</v>
      </c>
      <c r="FX353" t="e">
        <f>IF(#REF!,"AAAAAH/v97M=",0)</f>
        <v>#REF!</v>
      </c>
      <c r="FY353" t="e">
        <f>IF(#REF!,"AAAAAH/v97Q=",0)</f>
        <v>#REF!</v>
      </c>
      <c r="FZ353" t="e">
        <f>IF(#REF!,"AAAAAH/v97U=",0)</f>
        <v>#REF!</v>
      </c>
      <c r="GA353" t="e">
        <f>IF(#REF!,"AAAAAH/v97Y=",0)</f>
        <v>#REF!</v>
      </c>
      <c r="GB353" t="e">
        <f>IF(#REF!,"AAAAAH/v97c=",0)</f>
        <v>#REF!</v>
      </c>
      <c r="GC353" t="e">
        <f>IF(#REF!,"AAAAAH/v97g=",0)</f>
        <v>#REF!</v>
      </c>
      <c r="GD353" t="e">
        <f>IF(#REF!,"AAAAAH/v97k=",0)</f>
        <v>#REF!</v>
      </c>
      <c r="GE353" t="e">
        <f>IF(#REF!,"AAAAAH/v97o=",0)</f>
        <v>#REF!</v>
      </c>
      <c r="GF353" t="e">
        <f>IF(#REF!,"AAAAAH/v97s=",0)</f>
        <v>#REF!</v>
      </c>
      <c r="GG353" t="e">
        <f>IF(#REF!,"AAAAAH/v97w=",0)</f>
        <v>#REF!</v>
      </c>
      <c r="GH353" t="e">
        <f>IF(#REF!,"AAAAAH/v970=",0)</f>
        <v>#REF!</v>
      </c>
      <c r="GI353" t="e">
        <f>IF(#REF!,"AAAAAH/v974=",0)</f>
        <v>#REF!</v>
      </c>
      <c r="GJ353" t="e">
        <f>IF(#REF!,"AAAAAH/v978=",0)</f>
        <v>#REF!</v>
      </c>
      <c r="GK353" t="e">
        <f>IF(#REF!,"AAAAAH/v98A=",0)</f>
        <v>#REF!</v>
      </c>
      <c r="GL353" t="e">
        <f>IF(#REF!,"AAAAAH/v98E=",0)</f>
        <v>#REF!</v>
      </c>
      <c r="GM353" t="e">
        <f>IF(#REF!,"AAAAAH/v98I=",0)</f>
        <v>#REF!</v>
      </c>
      <c r="GN353" t="e">
        <f>IF(#REF!,"AAAAAH/v98M=",0)</f>
        <v>#REF!</v>
      </c>
      <c r="GO353" t="e">
        <f>IF(#REF!,"AAAAAH/v98Q=",0)</f>
        <v>#REF!</v>
      </c>
      <c r="GP353" t="e">
        <f>IF(#REF!,"AAAAAH/v98U=",0)</f>
        <v>#REF!</v>
      </c>
      <c r="GQ353" t="e">
        <f>IF(#REF!,"AAAAAH/v98Y=",0)</f>
        <v>#REF!</v>
      </c>
      <c r="GR353" t="e">
        <f>IF(#REF!,"AAAAAH/v98c=",0)</f>
        <v>#REF!</v>
      </c>
      <c r="GS353" t="e">
        <f>IF(#REF!,"AAAAAH/v98g=",0)</f>
        <v>#REF!</v>
      </c>
      <c r="GT353" t="e">
        <f>IF(#REF!,"AAAAAH/v98k=",0)</f>
        <v>#REF!</v>
      </c>
      <c r="GU353" t="e">
        <f>IF(#REF!,"AAAAAH/v98o=",0)</f>
        <v>#REF!</v>
      </c>
      <c r="GV353" t="e">
        <f>IF(#REF!,"AAAAAH/v98s=",0)</f>
        <v>#REF!</v>
      </c>
      <c r="GW353" t="e">
        <f>IF(#REF!,"AAAAAH/v98w=",0)</f>
        <v>#REF!</v>
      </c>
      <c r="GX353" t="e">
        <f>IF(#REF!,"AAAAAH/v980=",0)</f>
        <v>#REF!</v>
      </c>
      <c r="GY353" t="e">
        <f>IF(#REF!,"AAAAAH/v984=",0)</f>
        <v>#REF!</v>
      </c>
      <c r="GZ353" t="e">
        <f>IF(#REF!,"AAAAAH/v988=",0)</f>
        <v>#REF!</v>
      </c>
      <c r="HA353" t="e">
        <f>IF(#REF!,"AAAAAH/v99A=",0)</f>
        <v>#REF!</v>
      </c>
      <c r="HB353" t="e">
        <f>IF(#REF!,"AAAAAH/v99E=",0)</f>
        <v>#REF!</v>
      </c>
      <c r="HC353" t="e">
        <f>IF(#REF!,"AAAAAH/v99I=",0)</f>
        <v>#REF!</v>
      </c>
      <c r="HD353" t="e">
        <f>IF(#REF!,"AAAAAH/v99M=",0)</f>
        <v>#REF!</v>
      </c>
      <c r="HE353" t="e">
        <f>IF(#REF!,"AAAAAH/v99Q=",0)</f>
        <v>#REF!</v>
      </c>
      <c r="HF353" t="e">
        <f>IF(#REF!,"AAAAAH/v99U=",0)</f>
        <v>#REF!</v>
      </c>
      <c r="HG353" t="e">
        <f>IF(#REF!,"AAAAAH/v99Y=",0)</f>
        <v>#REF!</v>
      </c>
      <c r="HH353" t="e">
        <f>IF(#REF!,"AAAAAH/v99c=",0)</f>
        <v>#REF!</v>
      </c>
      <c r="HI353" t="e">
        <f>IF(#REF!,"AAAAAH/v99g=",0)</f>
        <v>#REF!</v>
      </c>
      <c r="HJ353" t="e">
        <f>IF(#REF!,"AAAAAH/v99k=",0)</f>
        <v>#REF!</v>
      </c>
      <c r="HK353" t="e">
        <f>IF(#REF!,"AAAAAH/v99o=",0)</f>
        <v>#REF!</v>
      </c>
      <c r="HL353" t="e">
        <f>IF(#REF!,"AAAAAH/v99s=",0)</f>
        <v>#REF!</v>
      </c>
      <c r="HM353" t="e">
        <f>IF(#REF!,"AAAAAH/v99w=",0)</f>
        <v>#REF!</v>
      </c>
      <c r="HN353" t="e">
        <f>IF(#REF!,"AAAAAH/v990=",0)</f>
        <v>#REF!</v>
      </c>
      <c r="HO353" t="e">
        <f>IF(#REF!,"AAAAAH/v994=",0)</f>
        <v>#REF!</v>
      </c>
      <c r="HP353" t="e">
        <f>IF(#REF!,"AAAAAH/v998=",0)</f>
        <v>#REF!</v>
      </c>
      <c r="HQ353" t="e">
        <f>IF(#REF!,"AAAAAH/v9+A=",0)</f>
        <v>#REF!</v>
      </c>
      <c r="HR353" t="e">
        <f>IF(#REF!,"AAAAAH/v9+E=",0)</f>
        <v>#REF!</v>
      </c>
      <c r="HS353" t="e">
        <f>IF(#REF!,"AAAAAH/v9+I=",0)</f>
        <v>#REF!</v>
      </c>
      <c r="HT353" t="e">
        <f>IF(#REF!,"AAAAAH/v9+M=",0)</f>
        <v>#REF!</v>
      </c>
      <c r="HU353" t="e">
        <f>IF(#REF!,"AAAAAH/v9+Q=",0)</f>
        <v>#REF!</v>
      </c>
      <c r="HV353" t="e">
        <f>IF(#REF!,"AAAAAH/v9+U=",0)</f>
        <v>#REF!</v>
      </c>
      <c r="HW353" t="e">
        <f>IF(#REF!,"AAAAAH/v9+Y=",0)</f>
        <v>#REF!</v>
      </c>
      <c r="HX353" t="e">
        <f>IF(#REF!,"AAAAAH/v9+c=",0)</f>
        <v>#REF!</v>
      </c>
      <c r="HY353" t="e">
        <f>IF(#REF!,"AAAAAH/v9+g=",0)</f>
        <v>#REF!</v>
      </c>
      <c r="HZ353" t="e">
        <f>IF(#REF!,"AAAAAH/v9+k=",0)</f>
        <v>#REF!</v>
      </c>
      <c r="IA353" t="e">
        <f>IF(#REF!,"AAAAAH/v9+o=",0)</f>
        <v>#REF!</v>
      </c>
      <c r="IB353" t="e">
        <f>IF(#REF!,"AAAAAH/v9+s=",0)</f>
        <v>#REF!</v>
      </c>
      <c r="IC353" t="e">
        <f>IF(#REF!,"AAAAAH/v9+w=",0)</f>
        <v>#REF!</v>
      </c>
      <c r="ID353" t="e">
        <f>IF(#REF!,"AAAAAH/v9+0=",0)</f>
        <v>#REF!</v>
      </c>
      <c r="IE353" t="e">
        <f>IF(#REF!,"AAAAAH/v9+4=",0)</f>
        <v>#REF!</v>
      </c>
      <c r="IF353" t="e">
        <f>IF(#REF!,"AAAAAH/v9+8=",0)</f>
        <v>#REF!</v>
      </c>
      <c r="IG353" t="e">
        <f>IF(#REF!,"AAAAAH/v9/A=",0)</f>
        <v>#REF!</v>
      </c>
      <c r="IH353" t="e">
        <f>IF(#REF!,"AAAAAH/v9/E=",0)</f>
        <v>#REF!</v>
      </c>
      <c r="II353" t="e">
        <f>IF(#REF!,"AAAAAH/v9/I=",0)</f>
        <v>#REF!</v>
      </c>
      <c r="IJ353" t="e">
        <f>IF(#REF!,"AAAAAH/v9/M=",0)</f>
        <v>#REF!</v>
      </c>
      <c r="IK353" t="e">
        <f>IF(#REF!,"AAAAAH/v9/Q=",0)</f>
        <v>#REF!</v>
      </c>
      <c r="IL353" t="e">
        <f>IF(#REF!,"AAAAAH/v9/U=",0)</f>
        <v>#REF!</v>
      </c>
      <c r="IM353" t="e">
        <f>IF(#REF!,"AAAAAH/v9/Y=",0)</f>
        <v>#REF!</v>
      </c>
      <c r="IN353" t="e">
        <f>IF(#REF!,"AAAAAH/v9/c=",0)</f>
        <v>#REF!</v>
      </c>
      <c r="IO353" t="e">
        <f>IF(#REF!,"AAAAAH/v9/g=",0)</f>
        <v>#REF!</v>
      </c>
      <c r="IP353" t="e">
        <f>IF(#REF!,"AAAAAH/v9/k=",0)</f>
        <v>#REF!</v>
      </c>
      <c r="IQ353" t="e">
        <f>IF(#REF!,"AAAAAH/v9/o=",0)</f>
        <v>#REF!</v>
      </c>
      <c r="IR353" t="e">
        <f>IF(#REF!,"AAAAAH/v9/s=",0)</f>
        <v>#REF!</v>
      </c>
      <c r="IS353" t="e">
        <f>IF(#REF!,"AAAAAH/v9/w=",0)</f>
        <v>#REF!</v>
      </c>
      <c r="IT353" t="e">
        <f>IF(#REF!,"AAAAAH/v9/0=",0)</f>
        <v>#REF!</v>
      </c>
      <c r="IU353" t="e">
        <f>IF(#REF!,"AAAAAH/v9/4=",0)</f>
        <v>#REF!</v>
      </c>
      <c r="IV353" t="e">
        <f>IF(#REF!,"AAAAAH/v9/8=",0)</f>
        <v>#REF!</v>
      </c>
    </row>
    <row r="354" spans="1:256">
      <c r="A354" t="e">
        <f>IF(#REF!,"AAAAAH//7gA=",0)</f>
        <v>#REF!</v>
      </c>
      <c r="B354" t="e">
        <f>IF(#REF!,"AAAAAH//7gE=",0)</f>
        <v>#REF!</v>
      </c>
      <c r="C354" t="e">
        <f>IF(#REF!,"AAAAAH//7gI=",0)</f>
        <v>#REF!</v>
      </c>
      <c r="D354" t="e">
        <f>IF(#REF!,"AAAAAH//7gM=",0)</f>
        <v>#REF!</v>
      </c>
      <c r="E354" t="e">
        <f>IF(#REF!,"AAAAAH//7gQ=",0)</f>
        <v>#REF!</v>
      </c>
      <c r="F354" t="e">
        <f>IF(#REF!,"AAAAAH//7gU=",0)</f>
        <v>#REF!</v>
      </c>
      <c r="G354" t="e">
        <f>IF(#REF!,"AAAAAH//7gY=",0)</f>
        <v>#REF!</v>
      </c>
      <c r="H354" t="e">
        <f>IF(#REF!,"AAAAAH//7gc=",0)</f>
        <v>#REF!</v>
      </c>
      <c r="I354" t="e">
        <f>IF(#REF!,"AAAAAH//7gg=",0)</f>
        <v>#REF!</v>
      </c>
      <c r="J354" t="e">
        <f>IF(#REF!,"AAAAAH//7gk=",0)</f>
        <v>#REF!</v>
      </c>
      <c r="K354" t="e">
        <f>IF(#REF!,"AAAAAH//7go=",0)</f>
        <v>#REF!</v>
      </c>
      <c r="L354" t="e">
        <f>IF(#REF!,"AAAAAH//7gs=",0)</f>
        <v>#REF!</v>
      </c>
      <c r="M354" t="e">
        <f>IF(#REF!,"AAAAAH//7gw=",0)</f>
        <v>#REF!</v>
      </c>
      <c r="N354" t="e">
        <f>IF(#REF!,"AAAAAH//7g0=",0)</f>
        <v>#REF!</v>
      </c>
      <c r="O354" t="e">
        <f>IF(#REF!,"AAAAAH//7g4=",0)</f>
        <v>#REF!</v>
      </c>
      <c r="P354" t="e">
        <f>IF(#REF!,"AAAAAH//7g8=",0)</f>
        <v>#REF!</v>
      </c>
      <c r="Q354" t="e">
        <f>IF(#REF!,"AAAAAH//7hA=",0)</f>
        <v>#REF!</v>
      </c>
      <c r="R354" t="e">
        <f>IF(#REF!,"AAAAAH//7hE=",0)</f>
        <v>#REF!</v>
      </c>
      <c r="S354" t="e">
        <f>IF(#REF!,"AAAAAH//7hI=",0)</f>
        <v>#REF!</v>
      </c>
      <c r="T354" t="e">
        <f>IF(#REF!,"AAAAAH//7hM=",0)</f>
        <v>#REF!</v>
      </c>
      <c r="U354" t="e">
        <f>IF(#REF!,"AAAAAH//7hQ=",0)</f>
        <v>#REF!</v>
      </c>
      <c r="V354" t="e">
        <f>IF(#REF!,"AAAAAH//7hU=",0)</f>
        <v>#REF!</v>
      </c>
      <c r="W354" t="e">
        <f>IF(#REF!,"AAAAAH//7hY=",0)</f>
        <v>#REF!</v>
      </c>
      <c r="X354" t="e">
        <f>IF(#REF!,"AAAAAH//7hc=",0)</f>
        <v>#REF!</v>
      </c>
      <c r="Y354" t="e">
        <f>IF(#REF!,"AAAAAH//7hg=",0)</f>
        <v>#REF!</v>
      </c>
      <c r="Z354" t="e">
        <f>IF(#REF!,"AAAAAH//7hk=",0)</f>
        <v>#REF!</v>
      </c>
      <c r="AA354" t="e">
        <f>IF(#REF!,"AAAAAH//7ho=",0)</f>
        <v>#REF!</v>
      </c>
      <c r="AB354" t="e">
        <f>IF(#REF!,"AAAAAH//7hs=",0)</f>
        <v>#REF!</v>
      </c>
      <c r="AC354" t="e">
        <f>IF(#REF!,"AAAAAH//7hw=",0)</f>
        <v>#REF!</v>
      </c>
      <c r="AD354" t="e">
        <f>IF(#REF!,"AAAAAH//7h0=",0)</f>
        <v>#REF!</v>
      </c>
      <c r="AE354" t="e">
        <f>IF(#REF!,"AAAAAH//7h4=",0)</f>
        <v>#REF!</v>
      </c>
      <c r="AF354" t="e">
        <f>IF(#REF!,"AAAAAH//7h8=",0)</f>
        <v>#REF!</v>
      </c>
      <c r="AG354" t="e">
        <f>IF(#REF!,"AAAAAH//7iA=",0)</f>
        <v>#REF!</v>
      </c>
      <c r="AH354" t="e">
        <f>IF(#REF!,"AAAAAH//7iE=",0)</f>
        <v>#REF!</v>
      </c>
      <c r="AI354" t="e">
        <f>IF(#REF!,"AAAAAH//7iI=",0)</f>
        <v>#REF!</v>
      </c>
      <c r="AJ354" t="e">
        <f>IF(#REF!,"AAAAAH//7iM=",0)</f>
        <v>#REF!</v>
      </c>
      <c r="AK354" t="e">
        <f>IF(#REF!,"AAAAAH//7iQ=",0)</f>
        <v>#REF!</v>
      </c>
      <c r="AL354" t="e">
        <f>IF(#REF!,"AAAAAH//7iU=",0)</f>
        <v>#REF!</v>
      </c>
      <c r="AM354" t="e">
        <f>IF(#REF!,"AAAAAH//7iY=",0)</f>
        <v>#REF!</v>
      </c>
      <c r="AN354" t="e">
        <f>IF(#REF!,"AAAAAH//7ic=",0)</f>
        <v>#REF!</v>
      </c>
      <c r="AO354" t="e">
        <f>IF(#REF!,"AAAAAH//7ig=",0)</f>
        <v>#REF!</v>
      </c>
      <c r="AP354" t="e">
        <f>IF(#REF!,"AAAAAH//7ik=",0)</f>
        <v>#REF!</v>
      </c>
      <c r="AQ354" t="e">
        <f>IF(#REF!,"AAAAAH//7io=",0)</f>
        <v>#REF!</v>
      </c>
      <c r="AR354" t="e">
        <f>IF(#REF!,"AAAAAH//7is=",0)</f>
        <v>#REF!</v>
      </c>
      <c r="AS354" t="e">
        <f>IF(#REF!,"AAAAAH//7iw=",0)</f>
        <v>#REF!</v>
      </c>
      <c r="AT354" t="e">
        <f>IF(#REF!,"AAAAAH//7i0=",0)</f>
        <v>#REF!</v>
      </c>
      <c r="AU354" t="e">
        <f>IF(#REF!,"AAAAAH//7i4=",0)</f>
        <v>#REF!</v>
      </c>
      <c r="AV354" t="e">
        <f>IF(#REF!,"AAAAAH//7i8=",0)</f>
        <v>#REF!</v>
      </c>
      <c r="AW354" t="e">
        <f>IF(#REF!,"AAAAAH//7jA=",0)</f>
        <v>#REF!</v>
      </c>
      <c r="AX354" t="e">
        <f>IF(#REF!,"AAAAAH//7jE=",0)</f>
        <v>#REF!</v>
      </c>
      <c r="AY354" t="e">
        <f>IF(#REF!,"AAAAAH//7jI=",0)</f>
        <v>#REF!</v>
      </c>
      <c r="AZ354" t="e">
        <f>IF(#REF!,"AAAAAH//7jM=",0)</f>
        <v>#REF!</v>
      </c>
      <c r="BA354" t="e">
        <f>IF(#REF!,"AAAAAH//7jQ=",0)</f>
        <v>#REF!</v>
      </c>
      <c r="BB354" t="e">
        <f>IF(#REF!,"AAAAAH//7jU=",0)</f>
        <v>#REF!</v>
      </c>
      <c r="BC354" t="e">
        <f>IF(#REF!,"AAAAAH//7jY=",0)</f>
        <v>#REF!</v>
      </c>
      <c r="BD354" t="e">
        <f>IF(#REF!,"AAAAAH//7jc=",0)</f>
        <v>#REF!</v>
      </c>
      <c r="BE354" t="e">
        <f>IF(#REF!,"AAAAAH//7jg=",0)</f>
        <v>#REF!</v>
      </c>
      <c r="BF354" t="e">
        <f>IF(#REF!,"AAAAAH//7jk=",0)</f>
        <v>#REF!</v>
      </c>
      <c r="BG354" t="e">
        <f>IF(#REF!,"AAAAAH//7jo=",0)</f>
        <v>#REF!</v>
      </c>
      <c r="BH354" t="e">
        <f>IF(#REF!,"AAAAAH//7js=",0)</f>
        <v>#REF!</v>
      </c>
      <c r="BI354" t="e">
        <f>IF(#REF!,"AAAAAH//7jw=",0)</f>
        <v>#REF!</v>
      </c>
      <c r="BJ354" t="e">
        <f>IF(#REF!,"AAAAAH//7j0=",0)</f>
        <v>#REF!</v>
      </c>
      <c r="BK354" t="e">
        <f>IF(#REF!,"AAAAAH//7j4=",0)</f>
        <v>#REF!</v>
      </c>
      <c r="BL354" t="e">
        <f>IF(#REF!,"AAAAAH//7j8=",0)</f>
        <v>#REF!</v>
      </c>
      <c r="BM354" t="e">
        <f>IF(#REF!,"AAAAAH//7kA=",0)</f>
        <v>#REF!</v>
      </c>
      <c r="BN354" t="e">
        <f>IF(#REF!,"AAAAAH//7kE=",0)</f>
        <v>#REF!</v>
      </c>
      <c r="BO354" t="e">
        <f>IF(#REF!,"AAAAAH//7kI=",0)</f>
        <v>#REF!</v>
      </c>
      <c r="BP354" t="e">
        <f>IF(#REF!,"AAAAAH//7kM=",0)</f>
        <v>#REF!</v>
      </c>
      <c r="BQ354" t="e">
        <f>IF(#REF!,"AAAAAH//7kQ=",0)</f>
        <v>#REF!</v>
      </c>
      <c r="BR354" t="e">
        <f>IF(#REF!,"AAAAAH//7kU=",0)</f>
        <v>#REF!</v>
      </c>
      <c r="BS354" t="e">
        <f>IF(#REF!,"AAAAAH//7kY=",0)</f>
        <v>#REF!</v>
      </c>
      <c r="BT354" t="e">
        <f>IF(#REF!,"AAAAAH//7kc=",0)</f>
        <v>#REF!</v>
      </c>
      <c r="BU354" t="e">
        <f>IF(#REF!,"AAAAAH//7kg=",0)</f>
        <v>#REF!</v>
      </c>
      <c r="BV354" t="e">
        <f>IF(#REF!,"AAAAAH//7kk=",0)</f>
        <v>#REF!</v>
      </c>
      <c r="BW354" t="e">
        <f>IF(#REF!,"AAAAAH//7ko=",0)</f>
        <v>#REF!</v>
      </c>
      <c r="BX354" t="e">
        <f>IF(#REF!,"AAAAAH//7ks=",0)</f>
        <v>#REF!</v>
      </c>
      <c r="BY354" t="e">
        <f>IF(#REF!,"AAAAAH//7kw=",0)</f>
        <v>#REF!</v>
      </c>
      <c r="BZ354" t="e">
        <f>IF(#REF!,"AAAAAH//7k0=",0)</f>
        <v>#REF!</v>
      </c>
      <c r="CA354" t="e">
        <f>IF(#REF!,"AAAAAH//7k4=",0)</f>
        <v>#REF!</v>
      </c>
      <c r="CB354" t="e">
        <f>IF(#REF!,"AAAAAH//7k8=",0)</f>
        <v>#REF!</v>
      </c>
      <c r="CC354" t="e">
        <f>IF(#REF!,"AAAAAH//7lA=",0)</f>
        <v>#REF!</v>
      </c>
      <c r="CD354" t="e">
        <f>IF(#REF!,"AAAAAH//7lE=",0)</f>
        <v>#REF!</v>
      </c>
      <c r="CE354" t="e">
        <f>IF(#REF!,"AAAAAH//7lI=",0)</f>
        <v>#REF!</v>
      </c>
      <c r="CF354" t="e">
        <f>IF(#REF!,"AAAAAH//7lM=",0)</f>
        <v>#REF!</v>
      </c>
      <c r="CG354" t="e">
        <f>IF(#REF!,"AAAAAH//7lQ=",0)</f>
        <v>#REF!</v>
      </c>
      <c r="CH354" t="e">
        <f>IF(#REF!,"AAAAAH//7lU=",0)</f>
        <v>#REF!</v>
      </c>
      <c r="CI354" t="e">
        <f>IF(#REF!,"AAAAAH//7lY=",0)</f>
        <v>#REF!</v>
      </c>
      <c r="CJ354" t="e">
        <f>IF(#REF!,"AAAAAH//7lc=",0)</f>
        <v>#REF!</v>
      </c>
      <c r="CK354" t="e">
        <f>IF(#REF!,"AAAAAH//7lg=",0)</f>
        <v>#REF!</v>
      </c>
      <c r="CL354" t="e">
        <f>IF(#REF!,"AAAAAH//7lk=",0)</f>
        <v>#REF!</v>
      </c>
      <c r="CM354" t="e">
        <f>IF(#REF!,"AAAAAH//7lo=",0)</f>
        <v>#REF!</v>
      </c>
      <c r="CN354" t="e">
        <f>IF(#REF!,"AAAAAH//7ls=",0)</f>
        <v>#REF!</v>
      </c>
      <c r="CO354" t="e">
        <f>IF(#REF!,"AAAAAH//7lw=",0)</f>
        <v>#REF!</v>
      </c>
      <c r="CP354" t="e">
        <f>IF(#REF!,"AAAAAH//7l0=",0)</f>
        <v>#REF!</v>
      </c>
      <c r="CQ354" t="e">
        <f>IF(#REF!,"AAAAAH//7l4=",0)</f>
        <v>#REF!</v>
      </c>
      <c r="CR354" t="e">
        <f>IF(#REF!,"AAAAAH//7l8=",0)</f>
        <v>#REF!</v>
      </c>
      <c r="CS354" t="e">
        <f>IF(#REF!,"AAAAAH//7mA=",0)</f>
        <v>#REF!</v>
      </c>
      <c r="CT354" t="e">
        <f>IF(#REF!,"AAAAAH//7mE=",0)</f>
        <v>#REF!</v>
      </c>
      <c r="CU354" t="e">
        <f>IF(#REF!,"AAAAAH//7mI=",0)</f>
        <v>#REF!</v>
      </c>
      <c r="CV354" t="e">
        <f>IF(#REF!,"AAAAAH//7mM=",0)</f>
        <v>#REF!</v>
      </c>
      <c r="CW354" t="e">
        <f>IF(#REF!,"AAAAAH//7mQ=",0)</f>
        <v>#REF!</v>
      </c>
      <c r="CX354" t="e">
        <f>IF(#REF!,"AAAAAH//7mU=",0)</f>
        <v>#REF!</v>
      </c>
      <c r="CY354" t="e">
        <f>IF(#REF!,"AAAAAH//7mY=",0)</f>
        <v>#REF!</v>
      </c>
      <c r="CZ354" t="e">
        <f>IF(#REF!,"AAAAAH//7mc=",0)</f>
        <v>#REF!</v>
      </c>
      <c r="DA354" t="e">
        <f>IF(#REF!,"AAAAAH//7mg=",0)</f>
        <v>#REF!</v>
      </c>
      <c r="DB354" t="e">
        <f>IF(#REF!,"AAAAAH//7mk=",0)</f>
        <v>#REF!</v>
      </c>
      <c r="DC354" t="e">
        <f>IF(#REF!,"AAAAAH//7mo=",0)</f>
        <v>#REF!</v>
      </c>
      <c r="DD354" t="e">
        <f>IF(#REF!,"AAAAAH//7ms=",0)</f>
        <v>#REF!</v>
      </c>
      <c r="DE354" t="e">
        <f>IF(#REF!,"AAAAAH//7mw=",0)</f>
        <v>#REF!</v>
      </c>
      <c r="DF354" t="e">
        <f>IF(#REF!,"AAAAAH//7m0=",0)</f>
        <v>#REF!</v>
      </c>
      <c r="DG354" t="e">
        <f>IF(#REF!,"AAAAAH//7m4=",0)</f>
        <v>#REF!</v>
      </c>
      <c r="DH354" t="e">
        <f>IF(#REF!,"AAAAAH//7m8=",0)</f>
        <v>#REF!</v>
      </c>
      <c r="DI354" t="e">
        <f>IF(#REF!,"AAAAAH//7nA=",0)</f>
        <v>#REF!</v>
      </c>
      <c r="DJ354" t="e">
        <f>IF(#REF!,"AAAAAH//7nE=",0)</f>
        <v>#REF!</v>
      </c>
      <c r="DK354" t="e">
        <f>IF(#REF!,"AAAAAH//7nI=",0)</f>
        <v>#REF!</v>
      </c>
      <c r="DL354" t="e">
        <f>IF(#REF!,"AAAAAH//7nM=",0)</f>
        <v>#REF!</v>
      </c>
      <c r="DM354" t="e">
        <f>IF(#REF!,"AAAAAH//7nQ=",0)</f>
        <v>#REF!</v>
      </c>
      <c r="DN354" t="e">
        <f>IF(#REF!,"AAAAAH//7nU=",0)</f>
        <v>#REF!</v>
      </c>
      <c r="DO354" t="e">
        <f>IF(#REF!,"AAAAAH//7nY=",0)</f>
        <v>#REF!</v>
      </c>
      <c r="DP354" t="e">
        <f>IF(#REF!,"AAAAAH//7nc=",0)</f>
        <v>#REF!</v>
      </c>
      <c r="DQ354" t="e">
        <f>IF(#REF!,"AAAAAH//7ng=",0)</f>
        <v>#REF!</v>
      </c>
      <c r="DR354" t="e">
        <f>IF(#REF!,"AAAAAH//7nk=",0)</f>
        <v>#REF!</v>
      </c>
      <c r="DS354" t="e">
        <f>IF(#REF!,"AAAAAH//7no=",0)</f>
        <v>#REF!</v>
      </c>
      <c r="DT354" t="e">
        <f>IF(#REF!,"AAAAAH//7ns=",0)</f>
        <v>#REF!</v>
      </c>
      <c r="DU354" t="e">
        <f>IF(#REF!,"AAAAAH//7nw=",0)</f>
        <v>#REF!</v>
      </c>
      <c r="DV354" t="e">
        <f>IF(#REF!,"AAAAAH//7n0=",0)</f>
        <v>#REF!</v>
      </c>
      <c r="DW354" t="e">
        <f>IF(#REF!,"AAAAAH//7n4=",0)</f>
        <v>#REF!</v>
      </c>
      <c r="DX354" t="e">
        <f>IF(#REF!,"AAAAAH//7n8=",0)</f>
        <v>#REF!</v>
      </c>
      <c r="DY354" t="e">
        <f>IF(#REF!,"AAAAAH//7oA=",0)</f>
        <v>#REF!</v>
      </c>
      <c r="DZ354" t="e">
        <f>IF(#REF!,"AAAAAH//7oE=",0)</f>
        <v>#REF!</v>
      </c>
      <c r="EA354" t="e">
        <f>IF(#REF!,"AAAAAH//7oI=",0)</f>
        <v>#REF!</v>
      </c>
      <c r="EB354" t="e">
        <f>IF(#REF!,"AAAAAH//7oM=",0)</f>
        <v>#REF!</v>
      </c>
      <c r="EC354" t="e">
        <f>IF(#REF!,"AAAAAH//7oQ=",0)</f>
        <v>#REF!</v>
      </c>
      <c r="ED354" t="e">
        <f>IF(#REF!,"AAAAAH//7oU=",0)</f>
        <v>#REF!</v>
      </c>
      <c r="EE354" t="e">
        <f>IF(#REF!,"AAAAAH//7oY=",0)</f>
        <v>#REF!</v>
      </c>
      <c r="EF354" t="e">
        <f>IF(#REF!,"AAAAAH//7oc=",0)</f>
        <v>#REF!</v>
      </c>
      <c r="EG354" t="e">
        <f>IF(#REF!,"AAAAAH//7og=",0)</f>
        <v>#REF!</v>
      </c>
      <c r="EH354" t="e">
        <f>IF(#REF!,"AAAAAH//7ok=",0)</f>
        <v>#REF!</v>
      </c>
      <c r="EI354" t="e">
        <f>IF(#REF!,"AAAAAH//7oo=",0)</f>
        <v>#REF!</v>
      </c>
      <c r="EJ354" t="e">
        <f>IF(#REF!,"AAAAAH//7os=",0)</f>
        <v>#REF!</v>
      </c>
      <c r="EK354" t="e">
        <f>IF(#REF!,"AAAAAH//7ow=",0)</f>
        <v>#REF!</v>
      </c>
      <c r="EL354" t="e">
        <f>IF(#REF!,"AAAAAH//7o0=",0)</f>
        <v>#REF!</v>
      </c>
      <c r="EM354" t="e">
        <f>IF(#REF!,"AAAAAH//7o4=",0)</f>
        <v>#REF!</v>
      </c>
      <c r="EN354" t="e">
        <f>IF(#REF!,"AAAAAH//7o8=",0)</f>
        <v>#REF!</v>
      </c>
      <c r="EO354" t="e">
        <f>IF(#REF!,"AAAAAH//7pA=",0)</f>
        <v>#REF!</v>
      </c>
      <c r="EP354" t="e">
        <f>IF(#REF!,"AAAAAH//7pE=",0)</f>
        <v>#REF!</v>
      </c>
      <c r="EQ354" t="e">
        <f>IF(#REF!,"AAAAAH//7pI=",0)</f>
        <v>#REF!</v>
      </c>
      <c r="ER354" t="e">
        <f>IF(#REF!,"AAAAAH//7pM=",0)</f>
        <v>#REF!</v>
      </c>
      <c r="ES354" t="e">
        <f>IF(#REF!,"AAAAAH//7pQ=",0)</f>
        <v>#REF!</v>
      </c>
      <c r="ET354" t="e">
        <f>IF(#REF!,"AAAAAH//7pU=",0)</f>
        <v>#REF!</v>
      </c>
      <c r="EU354" t="e">
        <f>IF(#REF!,"AAAAAH//7pY=",0)</f>
        <v>#REF!</v>
      </c>
      <c r="EV354" t="e">
        <f>IF(#REF!,"AAAAAH//7pc=",0)</f>
        <v>#REF!</v>
      </c>
      <c r="EW354" t="e">
        <f>IF(#REF!,"AAAAAH//7pg=",0)</f>
        <v>#REF!</v>
      </c>
      <c r="EX354" t="e">
        <f>IF(#REF!,"AAAAAH//7pk=",0)</f>
        <v>#REF!</v>
      </c>
      <c r="EY354" t="e">
        <f>IF(#REF!,"AAAAAH//7po=",0)</f>
        <v>#REF!</v>
      </c>
      <c r="EZ354" t="e">
        <f>IF(#REF!,"AAAAAH//7ps=",0)</f>
        <v>#REF!</v>
      </c>
      <c r="FA354" t="e">
        <f>IF(#REF!,"AAAAAH//7pw=",0)</f>
        <v>#REF!</v>
      </c>
      <c r="FB354" t="e">
        <f>IF(#REF!,"AAAAAH//7p0=",0)</f>
        <v>#REF!</v>
      </c>
      <c r="FC354" t="e">
        <f>IF(#REF!,"AAAAAH//7p4=",0)</f>
        <v>#REF!</v>
      </c>
      <c r="FD354" t="e">
        <f>IF(#REF!,"AAAAAH//7p8=",0)</f>
        <v>#REF!</v>
      </c>
      <c r="FE354" t="e">
        <f>IF(#REF!,"AAAAAH//7qA=",0)</f>
        <v>#REF!</v>
      </c>
      <c r="FF354" t="e">
        <f>IF(#REF!,"AAAAAH//7qE=",0)</f>
        <v>#REF!</v>
      </c>
      <c r="FG354" t="e">
        <f>IF(#REF!,"AAAAAH//7qI=",0)</f>
        <v>#REF!</v>
      </c>
      <c r="FH354" t="e">
        <f>IF(#REF!,"AAAAAH//7qM=",0)</f>
        <v>#REF!</v>
      </c>
      <c r="FI354" t="e">
        <f>IF(#REF!,"AAAAAH//7qQ=",0)</f>
        <v>#REF!</v>
      </c>
      <c r="FJ354" t="e">
        <f>IF(#REF!,"AAAAAH//7qU=",0)</f>
        <v>#REF!</v>
      </c>
      <c r="FK354" t="e">
        <f>IF(#REF!,"AAAAAH//7qY=",0)</f>
        <v>#REF!</v>
      </c>
      <c r="FL354" t="e">
        <f>IF(#REF!,"AAAAAH//7qc=",0)</f>
        <v>#REF!</v>
      </c>
      <c r="FM354" t="e">
        <f>IF(#REF!,"AAAAAH//7qg=",0)</f>
        <v>#REF!</v>
      </c>
      <c r="FN354" t="e">
        <f>IF(#REF!,"AAAAAH//7qk=",0)</f>
        <v>#REF!</v>
      </c>
      <c r="FO354" t="e">
        <f>IF(#REF!,"AAAAAH//7qo=",0)</f>
        <v>#REF!</v>
      </c>
      <c r="FP354" t="e">
        <f>IF(#REF!,"AAAAAH//7qs=",0)</f>
        <v>#REF!</v>
      </c>
      <c r="FQ354" t="e">
        <f>IF(#REF!,"AAAAAH//7qw=",0)</f>
        <v>#REF!</v>
      </c>
      <c r="FR354" t="e">
        <f>IF(#REF!,"AAAAAH//7q0=",0)</f>
        <v>#REF!</v>
      </c>
      <c r="FS354" t="e">
        <f>IF(#REF!,"AAAAAH//7q4=",0)</f>
        <v>#REF!</v>
      </c>
      <c r="FT354" t="e">
        <f>IF(#REF!,"AAAAAH//7q8=",0)</f>
        <v>#REF!</v>
      </c>
      <c r="FU354" t="e">
        <f>IF(#REF!,"AAAAAH//7rA=",0)</f>
        <v>#REF!</v>
      </c>
      <c r="FV354" t="e">
        <f>IF(#REF!,"AAAAAH//7rE=",0)</f>
        <v>#REF!</v>
      </c>
      <c r="FW354" t="e">
        <f>IF(#REF!,"AAAAAH//7rI=",0)</f>
        <v>#REF!</v>
      </c>
      <c r="FX354" t="e">
        <f>IF(#REF!,"AAAAAH//7rM=",0)</f>
        <v>#REF!</v>
      </c>
      <c r="FY354" t="e">
        <f>IF(#REF!,"AAAAAH//7rQ=",0)</f>
        <v>#REF!</v>
      </c>
      <c r="FZ354" t="e">
        <f>IF(#REF!,"AAAAAH//7rU=",0)</f>
        <v>#REF!</v>
      </c>
      <c r="GA354" t="e">
        <f>IF(#REF!,"AAAAAH//7rY=",0)</f>
        <v>#REF!</v>
      </c>
      <c r="GB354" t="e">
        <f>IF(#REF!,"AAAAAH//7rc=",0)</f>
        <v>#REF!</v>
      </c>
      <c r="GC354" t="e">
        <f>IF(#REF!,"AAAAAH//7rg=",0)</f>
        <v>#REF!</v>
      </c>
      <c r="GD354" t="e">
        <f>IF(#REF!,"AAAAAH//7rk=",0)</f>
        <v>#REF!</v>
      </c>
      <c r="GE354" t="e">
        <f>IF(#REF!,"AAAAAH//7ro=",0)</f>
        <v>#REF!</v>
      </c>
      <c r="GF354" t="e">
        <f>IF(#REF!,"AAAAAH//7rs=",0)</f>
        <v>#REF!</v>
      </c>
      <c r="GG354" t="e">
        <f>IF(#REF!,"AAAAAH//7rw=",0)</f>
        <v>#REF!</v>
      </c>
      <c r="GH354" t="e">
        <f>IF(#REF!,"AAAAAH//7r0=",0)</f>
        <v>#REF!</v>
      </c>
      <c r="GI354" t="e">
        <f>IF(#REF!,"AAAAAH//7r4=",0)</f>
        <v>#REF!</v>
      </c>
      <c r="GJ354" t="e">
        <f>IF(#REF!,"AAAAAH//7r8=",0)</f>
        <v>#REF!</v>
      </c>
      <c r="GK354" t="e">
        <f>IF(#REF!,"AAAAAH//7sA=",0)</f>
        <v>#REF!</v>
      </c>
      <c r="GL354" t="e">
        <f>IF(#REF!,"AAAAAH//7sE=",0)</f>
        <v>#REF!</v>
      </c>
      <c r="GM354" t="e">
        <f>IF(#REF!,"AAAAAH//7sI=",0)</f>
        <v>#REF!</v>
      </c>
      <c r="GN354" t="e">
        <f>IF(#REF!,"AAAAAH//7sM=",0)</f>
        <v>#REF!</v>
      </c>
      <c r="GO354" t="e">
        <f>IF(#REF!,"AAAAAH//7sQ=",0)</f>
        <v>#REF!</v>
      </c>
      <c r="GP354" t="e">
        <f>IF(#REF!,"AAAAAH//7sU=",0)</f>
        <v>#REF!</v>
      </c>
      <c r="GQ354" t="e">
        <f>IF(#REF!,"AAAAAH//7sY=",0)</f>
        <v>#REF!</v>
      </c>
      <c r="GR354" t="e">
        <f>IF(#REF!,"AAAAAH//7sc=",0)</f>
        <v>#REF!</v>
      </c>
      <c r="GS354" t="e">
        <f>IF(#REF!,"AAAAAH//7sg=",0)</f>
        <v>#REF!</v>
      </c>
      <c r="GT354" t="e">
        <f>IF(#REF!,"AAAAAH//7sk=",0)</f>
        <v>#REF!</v>
      </c>
      <c r="GU354" t="e">
        <f>IF(#REF!,"AAAAAH//7so=",0)</f>
        <v>#REF!</v>
      </c>
      <c r="GV354" t="e">
        <f>IF(#REF!,"AAAAAH//7ss=",0)</f>
        <v>#REF!</v>
      </c>
      <c r="GW354" t="e">
        <f>IF(#REF!,"AAAAAH//7sw=",0)</f>
        <v>#REF!</v>
      </c>
      <c r="GX354" t="e">
        <f>IF(#REF!,"AAAAAH//7s0=",0)</f>
        <v>#REF!</v>
      </c>
      <c r="GY354" t="e">
        <f>IF(#REF!,"AAAAAH//7s4=",0)</f>
        <v>#REF!</v>
      </c>
      <c r="GZ354" t="e">
        <f>IF(#REF!,"AAAAAH//7s8=",0)</f>
        <v>#REF!</v>
      </c>
      <c r="HA354" t="e">
        <f>IF(#REF!,"AAAAAH//7tA=",0)</f>
        <v>#REF!</v>
      </c>
      <c r="HB354" t="e">
        <f>IF(#REF!,"AAAAAH//7tE=",0)</f>
        <v>#REF!</v>
      </c>
      <c r="HC354" t="e">
        <f>IF(#REF!,"AAAAAH//7tI=",0)</f>
        <v>#REF!</v>
      </c>
      <c r="HD354" t="e">
        <f>IF(#REF!,"AAAAAH//7tM=",0)</f>
        <v>#REF!</v>
      </c>
      <c r="HE354" t="e">
        <f>IF(#REF!,"AAAAAH//7tQ=",0)</f>
        <v>#REF!</v>
      </c>
      <c r="HF354" t="e">
        <f>IF(#REF!,"AAAAAH//7tU=",0)</f>
        <v>#REF!</v>
      </c>
      <c r="HG354" t="e">
        <f>IF(#REF!,"AAAAAH//7tY=",0)</f>
        <v>#REF!</v>
      </c>
      <c r="HH354" t="e">
        <f>IF(#REF!,"AAAAAH//7tc=",0)</f>
        <v>#REF!</v>
      </c>
      <c r="HI354" t="e">
        <f>IF(#REF!,"AAAAAH//7tg=",0)</f>
        <v>#REF!</v>
      </c>
      <c r="HJ354" t="e">
        <f>IF(#REF!,"AAAAAH//7tk=",0)</f>
        <v>#REF!</v>
      </c>
      <c r="HK354" t="e">
        <f>IF(#REF!,"AAAAAH//7to=",0)</f>
        <v>#REF!</v>
      </c>
      <c r="HL354" t="e">
        <f>IF(#REF!,"AAAAAH//7ts=",0)</f>
        <v>#REF!</v>
      </c>
      <c r="HM354" t="e">
        <f>IF(#REF!,"AAAAAH//7tw=",0)</f>
        <v>#REF!</v>
      </c>
      <c r="HN354" t="e">
        <f>IF(#REF!,"AAAAAH//7t0=",0)</f>
        <v>#REF!</v>
      </c>
      <c r="HO354" t="e">
        <f>IF(#REF!,"AAAAAH//7t4=",0)</f>
        <v>#REF!</v>
      </c>
      <c r="HP354" t="e">
        <f>IF(#REF!,"AAAAAH//7t8=",0)</f>
        <v>#REF!</v>
      </c>
      <c r="HQ354" t="e">
        <f>IF(#REF!,"AAAAAH//7uA=",0)</f>
        <v>#REF!</v>
      </c>
      <c r="HR354" t="e">
        <f>IF(#REF!,"AAAAAH//7uE=",0)</f>
        <v>#REF!</v>
      </c>
      <c r="HS354" t="e">
        <f>IF(#REF!,"AAAAAH//7uI=",0)</f>
        <v>#REF!</v>
      </c>
      <c r="HT354" t="e">
        <f>IF(#REF!,"AAAAAH//7uM=",0)</f>
        <v>#REF!</v>
      </c>
      <c r="HU354" t="e">
        <f>IF(#REF!,"AAAAAH//7uQ=",0)</f>
        <v>#REF!</v>
      </c>
      <c r="HV354" t="e">
        <f>IF(#REF!,"AAAAAH//7uU=",0)</f>
        <v>#REF!</v>
      </c>
      <c r="HW354" t="e">
        <f>IF(#REF!,"AAAAAH//7uY=",0)</f>
        <v>#REF!</v>
      </c>
      <c r="HX354" t="e">
        <f>IF(#REF!,"AAAAAH//7uc=",0)</f>
        <v>#REF!</v>
      </c>
      <c r="HY354" t="e">
        <f>IF(#REF!,"AAAAAH//7ug=",0)</f>
        <v>#REF!</v>
      </c>
      <c r="HZ354" t="e">
        <f>IF(#REF!,"AAAAAH//7uk=",0)</f>
        <v>#REF!</v>
      </c>
      <c r="IA354" t="e">
        <f>IF(#REF!,"AAAAAH//7uo=",0)</f>
        <v>#REF!</v>
      </c>
      <c r="IB354" t="e">
        <f>IF(#REF!,"AAAAAH//7us=",0)</f>
        <v>#REF!</v>
      </c>
      <c r="IC354" t="e">
        <f>IF(#REF!,"AAAAAH//7uw=",0)</f>
        <v>#REF!</v>
      </c>
      <c r="ID354" t="e">
        <f>IF(#REF!,"AAAAAH//7u0=",0)</f>
        <v>#REF!</v>
      </c>
      <c r="IE354" t="e">
        <f>IF(#REF!,"AAAAAH//7u4=",0)</f>
        <v>#REF!</v>
      </c>
      <c r="IF354" t="e">
        <f>IF(#REF!,"AAAAAH//7u8=",0)</f>
        <v>#REF!</v>
      </c>
      <c r="IG354" t="e">
        <f>IF(#REF!,"AAAAAH//7vA=",0)</f>
        <v>#REF!</v>
      </c>
      <c r="IH354" t="e">
        <f>IF(#REF!,"AAAAAH//7vE=",0)</f>
        <v>#REF!</v>
      </c>
      <c r="II354" t="e">
        <f>IF(#REF!,"AAAAAH//7vI=",0)</f>
        <v>#REF!</v>
      </c>
      <c r="IJ354" t="e">
        <f>IF(#REF!,"AAAAAH//7vM=",0)</f>
        <v>#REF!</v>
      </c>
      <c r="IK354" t="e">
        <f>IF(#REF!,"AAAAAH//7vQ=",0)</f>
        <v>#REF!</v>
      </c>
      <c r="IL354" t="e">
        <f>IF(#REF!,"AAAAAH//7vU=",0)</f>
        <v>#REF!</v>
      </c>
      <c r="IM354" t="e">
        <f>IF(#REF!,"AAAAAH//7vY=",0)</f>
        <v>#REF!</v>
      </c>
      <c r="IN354" t="e">
        <f>IF(#REF!,"AAAAAH//7vc=",0)</f>
        <v>#REF!</v>
      </c>
      <c r="IO354" t="e">
        <f>IF(#REF!,"AAAAAH//7vg=",0)</f>
        <v>#REF!</v>
      </c>
      <c r="IP354" t="e">
        <f>IF(#REF!,"AAAAAH//7vk=",0)</f>
        <v>#REF!</v>
      </c>
      <c r="IQ354" t="e">
        <f>IF(#REF!,"AAAAAH//7vo=",0)</f>
        <v>#REF!</v>
      </c>
      <c r="IR354" t="e">
        <f>IF(#REF!,"AAAAAH//7vs=",0)</f>
        <v>#REF!</v>
      </c>
      <c r="IS354" t="e">
        <f>IF(#REF!,"AAAAAH//7vw=",0)</f>
        <v>#REF!</v>
      </c>
      <c r="IT354" t="e">
        <f>IF(#REF!,"AAAAAH//7v0=",0)</f>
        <v>#REF!</v>
      </c>
      <c r="IU354" t="e">
        <f>IF(#REF!,"AAAAAH//7v4=",0)</f>
        <v>#REF!</v>
      </c>
      <c r="IV354" t="e">
        <f>IF(#REF!,"AAAAAH//7v8=",0)</f>
        <v>#REF!</v>
      </c>
    </row>
    <row r="355" spans="1:256">
      <c r="A355" t="e">
        <f>IF(#REF!,"AAAAAFjb+wA=",0)</f>
        <v>#REF!</v>
      </c>
      <c r="B355" t="e">
        <f>IF(#REF!,"AAAAAFjb+wE=",0)</f>
        <v>#REF!</v>
      </c>
      <c r="C355" t="e">
        <f>IF(#REF!,"AAAAAFjb+wI=",0)</f>
        <v>#REF!</v>
      </c>
      <c r="D355" t="e">
        <f>IF(#REF!,"AAAAAFjb+wM=",0)</f>
        <v>#REF!</v>
      </c>
      <c r="E355" t="e">
        <f>IF(#REF!,"AAAAAFjb+wQ=",0)</f>
        <v>#REF!</v>
      </c>
      <c r="F355" t="e">
        <f>IF(#REF!,"AAAAAFjb+wU=",0)</f>
        <v>#REF!</v>
      </c>
      <c r="G355" t="e">
        <f>IF(#REF!,"AAAAAFjb+wY=",0)</f>
        <v>#REF!</v>
      </c>
      <c r="H355" t="e">
        <f>IF(#REF!,"AAAAAFjb+wc=",0)</f>
        <v>#REF!</v>
      </c>
      <c r="I355" t="e">
        <f>IF(#REF!,"AAAAAFjb+wg=",0)</f>
        <v>#REF!</v>
      </c>
      <c r="J355" t="e">
        <f>IF(#REF!,"AAAAAFjb+wk=",0)</f>
        <v>#REF!</v>
      </c>
      <c r="K355" t="e">
        <f>IF(#REF!,"AAAAAFjb+wo=",0)</f>
        <v>#REF!</v>
      </c>
      <c r="L355" t="e">
        <f>IF(#REF!,"AAAAAFjb+ws=",0)</f>
        <v>#REF!</v>
      </c>
      <c r="M355" t="e">
        <f>IF(#REF!,"AAAAAFjb+ww=",0)</f>
        <v>#REF!</v>
      </c>
      <c r="N355" t="e">
        <f>IF(#REF!,"AAAAAFjb+w0=",0)</f>
        <v>#REF!</v>
      </c>
      <c r="O355" t="e">
        <f>IF(#REF!,"AAAAAFjb+w4=",0)</f>
        <v>#REF!</v>
      </c>
      <c r="P355" t="e">
        <f>IF(#REF!,"AAAAAFjb+w8=",0)</f>
        <v>#REF!</v>
      </c>
      <c r="Q355" t="e">
        <f>IF(#REF!,"AAAAAFjb+xA=",0)</f>
        <v>#REF!</v>
      </c>
      <c r="R355" t="e">
        <f>IF(#REF!,"AAAAAFjb+xE=",0)</f>
        <v>#REF!</v>
      </c>
      <c r="S355" t="e">
        <f>IF(#REF!,"AAAAAFjb+xI=",0)</f>
        <v>#REF!</v>
      </c>
      <c r="T355" t="e">
        <f>IF(#REF!,"AAAAAFjb+xM=",0)</f>
        <v>#REF!</v>
      </c>
      <c r="U355" t="e">
        <f>IF(#REF!,"AAAAAFjb+xQ=",0)</f>
        <v>#REF!</v>
      </c>
      <c r="V355" t="e">
        <f>IF(#REF!,"AAAAAFjb+xU=",0)</f>
        <v>#REF!</v>
      </c>
      <c r="W355" t="e">
        <f>IF(#REF!,"AAAAAFjb+xY=",0)</f>
        <v>#REF!</v>
      </c>
      <c r="X355" t="e">
        <f>IF(#REF!,"AAAAAFjb+xc=",0)</f>
        <v>#REF!</v>
      </c>
      <c r="Y355" t="e">
        <f>IF(#REF!,"AAAAAFjb+xg=",0)</f>
        <v>#REF!</v>
      </c>
      <c r="Z355" t="e">
        <f>IF(#REF!,"AAAAAFjb+xk=",0)</f>
        <v>#REF!</v>
      </c>
      <c r="AA355" t="e">
        <f>IF(#REF!,"AAAAAFjb+xo=",0)</f>
        <v>#REF!</v>
      </c>
      <c r="AB355" t="e">
        <f>IF(#REF!,"AAAAAFjb+xs=",0)</f>
        <v>#REF!</v>
      </c>
      <c r="AC355" t="e">
        <f>IF(#REF!,"AAAAAFjb+xw=",0)</f>
        <v>#REF!</v>
      </c>
      <c r="AD355" t="e">
        <f>IF(#REF!,"AAAAAFjb+x0=",0)</f>
        <v>#REF!</v>
      </c>
      <c r="AE355" t="e">
        <f>IF(#REF!,"AAAAAFjb+x4=",0)</f>
        <v>#REF!</v>
      </c>
      <c r="AF355" t="e">
        <f>IF(#REF!,"AAAAAFjb+x8=",0)</f>
        <v>#REF!</v>
      </c>
      <c r="AG355" t="e">
        <f>IF(#REF!,"AAAAAFjb+yA=",0)</f>
        <v>#REF!</v>
      </c>
      <c r="AH355" t="e">
        <f>IF(#REF!,"AAAAAFjb+yE=",0)</f>
        <v>#REF!</v>
      </c>
      <c r="AI355" t="e">
        <f>IF(#REF!,"AAAAAFjb+yI=",0)</f>
        <v>#REF!</v>
      </c>
      <c r="AJ355" t="e">
        <f>IF(#REF!,"AAAAAFjb+yM=",0)</f>
        <v>#REF!</v>
      </c>
      <c r="AK355" t="e">
        <f>IF(#REF!,"AAAAAFjb+yQ=",0)</f>
        <v>#REF!</v>
      </c>
      <c r="AL355" t="e">
        <f>IF(#REF!,"AAAAAFjb+yU=",0)</f>
        <v>#REF!</v>
      </c>
      <c r="AM355" t="e">
        <f>IF(#REF!,"AAAAAFjb+yY=",0)</f>
        <v>#REF!</v>
      </c>
      <c r="AN355" t="e">
        <f>IF(#REF!,"AAAAAFjb+yc=",0)</f>
        <v>#REF!</v>
      </c>
      <c r="AO355" t="e">
        <f>IF(#REF!,"AAAAAFjb+yg=",0)</f>
        <v>#REF!</v>
      </c>
      <c r="AP355" t="e">
        <f>IF(#REF!,"AAAAAFjb+yk=",0)</f>
        <v>#REF!</v>
      </c>
      <c r="AQ355" t="e">
        <f>IF(#REF!,"AAAAAFjb+yo=",0)</f>
        <v>#REF!</v>
      </c>
      <c r="AR355" t="e">
        <f>IF(#REF!,"AAAAAFjb+ys=",0)</f>
        <v>#REF!</v>
      </c>
      <c r="AS355" t="e">
        <f>IF(#REF!,"AAAAAFjb+yw=",0)</f>
        <v>#REF!</v>
      </c>
      <c r="AT355" t="e">
        <f>IF(#REF!,"AAAAAFjb+y0=",0)</f>
        <v>#REF!</v>
      </c>
      <c r="AU355" t="e">
        <f>IF(#REF!,"AAAAAFjb+y4=",0)</f>
        <v>#REF!</v>
      </c>
      <c r="AV355" t="e">
        <f>IF(#REF!,"AAAAAFjb+y8=",0)</f>
        <v>#REF!</v>
      </c>
      <c r="AW355" t="e">
        <f>IF(#REF!,"AAAAAFjb+zA=",0)</f>
        <v>#REF!</v>
      </c>
      <c r="AX355" t="e">
        <f>IF(#REF!,"AAAAAFjb+zE=",0)</f>
        <v>#REF!</v>
      </c>
      <c r="AY355" t="e">
        <f>IF(#REF!,"AAAAAFjb+zI=",0)</f>
        <v>#REF!</v>
      </c>
      <c r="AZ355" t="e">
        <f>IF(#REF!,"AAAAAFjb+zM=",0)</f>
        <v>#REF!</v>
      </c>
      <c r="BA355" t="e">
        <f>IF(#REF!,"AAAAAFjb+zQ=",0)</f>
        <v>#REF!</v>
      </c>
      <c r="BB355" t="e">
        <f>IF(#REF!,"AAAAAFjb+zU=",0)</f>
        <v>#REF!</v>
      </c>
      <c r="BC355" t="e">
        <f>IF(#REF!,"AAAAAFjb+zY=",0)</f>
        <v>#REF!</v>
      </c>
      <c r="BD355" t="e">
        <f>IF(#REF!,"AAAAAFjb+zc=",0)</f>
        <v>#REF!</v>
      </c>
      <c r="BE355" t="e">
        <f>IF(#REF!,"AAAAAFjb+zg=",0)</f>
        <v>#REF!</v>
      </c>
      <c r="BF355" t="e">
        <f>IF(#REF!,"AAAAAFjb+zk=",0)</f>
        <v>#REF!</v>
      </c>
      <c r="BG355" t="e">
        <f>IF(#REF!,"AAAAAFjb+zo=",0)</f>
        <v>#REF!</v>
      </c>
      <c r="BH355" t="e">
        <f>IF(#REF!,"AAAAAFjb+zs=",0)</f>
        <v>#REF!</v>
      </c>
      <c r="BI355" t="e">
        <f>IF(#REF!,"AAAAAFjb+zw=",0)</f>
        <v>#REF!</v>
      </c>
      <c r="BJ355" t="e">
        <f>IF(#REF!,"AAAAAFjb+z0=",0)</f>
        <v>#REF!</v>
      </c>
      <c r="BK355" t="e">
        <f>IF(#REF!,"AAAAAFjb+z4=",0)</f>
        <v>#REF!</v>
      </c>
      <c r="BL355" t="e">
        <f>IF(#REF!,"AAAAAFjb+z8=",0)</f>
        <v>#REF!</v>
      </c>
      <c r="BM355" t="e">
        <f>IF(#REF!,"AAAAAFjb+0A=",0)</f>
        <v>#REF!</v>
      </c>
      <c r="BN355" t="e">
        <f>IF(#REF!,"AAAAAFjb+0E=",0)</f>
        <v>#REF!</v>
      </c>
      <c r="BO355" t="e">
        <f>IF(#REF!,"AAAAAFjb+0I=",0)</f>
        <v>#REF!</v>
      </c>
      <c r="BP355" t="e">
        <f>IF(#REF!,"AAAAAFjb+0M=",0)</f>
        <v>#REF!</v>
      </c>
      <c r="BQ355" t="e">
        <f>IF(#REF!,"AAAAAFjb+0Q=",0)</f>
        <v>#REF!</v>
      </c>
      <c r="BR355" t="e">
        <f>IF(#REF!,"AAAAAFjb+0U=",0)</f>
        <v>#REF!</v>
      </c>
      <c r="BS355" t="e">
        <f>IF(#REF!,"AAAAAFjb+0Y=",0)</f>
        <v>#REF!</v>
      </c>
      <c r="BT355" t="e">
        <f>IF(#REF!,"AAAAAFjb+0c=",0)</f>
        <v>#REF!</v>
      </c>
      <c r="BU355" t="e">
        <f>IF(#REF!,"AAAAAFjb+0g=",0)</f>
        <v>#REF!</v>
      </c>
      <c r="BV355" t="e">
        <f>IF(#REF!,"AAAAAFjb+0k=",0)</f>
        <v>#REF!</v>
      </c>
      <c r="BW355" t="e">
        <f>IF(#REF!,"AAAAAFjb+0o=",0)</f>
        <v>#REF!</v>
      </c>
      <c r="BX355" t="e">
        <f>IF(#REF!,"AAAAAFjb+0s=",0)</f>
        <v>#REF!</v>
      </c>
      <c r="BY355" t="e">
        <f>IF(#REF!,"AAAAAFjb+0w=",0)</f>
        <v>#REF!</v>
      </c>
      <c r="BZ355" t="e">
        <f>IF(#REF!,"AAAAAFjb+00=",0)</f>
        <v>#REF!</v>
      </c>
      <c r="CA355" t="e">
        <f>IF(#REF!,"AAAAAFjb+04=",0)</f>
        <v>#REF!</v>
      </c>
      <c r="CB355" t="e">
        <f>IF(#REF!,"AAAAAFjb+08=",0)</f>
        <v>#REF!</v>
      </c>
      <c r="CC355" t="e">
        <f>IF(#REF!,"AAAAAFjb+1A=",0)</f>
        <v>#REF!</v>
      </c>
      <c r="CD355" t="e">
        <f>IF(#REF!,"AAAAAFjb+1E=",0)</f>
        <v>#REF!</v>
      </c>
      <c r="CE355" t="e">
        <f>IF(#REF!,"AAAAAFjb+1I=",0)</f>
        <v>#REF!</v>
      </c>
      <c r="CF355" t="e">
        <f>IF(#REF!,"AAAAAFjb+1M=",0)</f>
        <v>#REF!</v>
      </c>
      <c r="CG355" t="e">
        <f>IF(#REF!,"AAAAAFjb+1Q=",0)</f>
        <v>#REF!</v>
      </c>
      <c r="CH355" t="e">
        <f>IF(#REF!,"AAAAAFjb+1U=",0)</f>
        <v>#REF!</v>
      </c>
      <c r="CI355" t="e">
        <f>IF(#REF!,"AAAAAFjb+1Y=",0)</f>
        <v>#REF!</v>
      </c>
      <c r="CJ355" t="e">
        <f>IF(#REF!,"AAAAAFjb+1c=",0)</f>
        <v>#REF!</v>
      </c>
      <c r="CK355" t="e">
        <f>IF(#REF!,"AAAAAFjb+1g=",0)</f>
        <v>#REF!</v>
      </c>
      <c r="CL355" t="e">
        <f>IF(#REF!,"AAAAAFjb+1k=",0)</f>
        <v>#REF!</v>
      </c>
      <c r="CM355" t="e">
        <f>IF(#REF!,"AAAAAFjb+1o=",0)</f>
        <v>#REF!</v>
      </c>
      <c r="CN355" t="e">
        <f>IF(#REF!,"AAAAAFjb+1s=",0)</f>
        <v>#REF!</v>
      </c>
      <c r="CO355" t="e">
        <f>IF(#REF!,"AAAAAFjb+1w=",0)</f>
        <v>#REF!</v>
      </c>
      <c r="CP355" t="e">
        <f>IF(#REF!,"AAAAAFjb+10=",0)</f>
        <v>#REF!</v>
      </c>
      <c r="CQ355" t="e">
        <f>IF(#REF!,"AAAAAFjb+14=",0)</f>
        <v>#REF!</v>
      </c>
      <c r="CR355" t="e">
        <f>IF(#REF!,"AAAAAFjb+18=",0)</f>
        <v>#REF!</v>
      </c>
      <c r="CS355" t="e">
        <f>IF(#REF!,"AAAAAFjb+2A=",0)</f>
        <v>#REF!</v>
      </c>
      <c r="CT355" t="e">
        <f>IF(#REF!,"AAAAAFjb+2E=",0)</f>
        <v>#REF!</v>
      </c>
      <c r="CU355" t="e">
        <f>IF(#REF!,"AAAAAFjb+2I=",0)</f>
        <v>#REF!</v>
      </c>
      <c r="CV355" t="e">
        <f>IF(#REF!,"AAAAAFjb+2M=",0)</f>
        <v>#REF!</v>
      </c>
      <c r="CW355" t="e">
        <f>IF(#REF!,"AAAAAFjb+2Q=",0)</f>
        <v>#REF!</v>
      </c>
      <c r="CX355" t="e">
        <f>IF(#REF!,"AAAAAFjb+2U=",0)</f>
        <v>#REF!</v>
      </c>
      <c r="CY355" t="e">
        <f>IF(#REF!,"AAAAAFjb+2Y=",0)</f>
        <v>#REF!</v>
      </c>
      <c r="CZ355" t="e">
        <f>IF(#REF!,"AAAAAFjb+2c=",0)</f>
        <v>#REF!</v>
      </c>
      <c r="DA355" t="e">
        <f>IF(#REF!,"AAAAAFjb+2g=",0)</f>
        <v>#REF!</v>
      </c>
      <c r="DB355" t="e">
        <f>IF(#REF!,"AAAAAFjb+2k=",0)</f>
        <v>#REF!</v>
      </c>
      <c r="DC355" t="e">
        <f>IF(#REF!,"AAAAAFjb+2o=",0)</f>
        <v>#REF!</v>
      </c>
      <c r="DD355" t="e">
        <f>IF(#REF!,"AAAAAFjb+2s=",0)</f>
        <v>#REF!</v>
      </c>
      <c r="DE355" t="e">
        <f>IF(#REF!,"AAAAAFjb+2w=",0)</f>
        <v>#REF!</v>
      </c>
      <c r="DF355" t="e">
        <f>IF(#REF!,"AAAAAFjb+20=",0)</f>
        <v>#REF!</v>
      </c>
      <c r="DG355" t="e">
        <f>IF(#REF!,"AAAAAFjb+24=",0)</f>
        <v>#REF!</v>
      </c>
      <c r="DH355" t="e">
        <f>IF(#REF!,"AAAAAFjb+28=",0)</f>
        <v>#REF!</v>
      </c>
      <c r="DI355" t="e">
        <f>IF(#REF!,"AAAAAFjb+3A=",0)</f>
        <v>#REF!</v>
      </c>
      <c r="DJ355" t="e">
        <f>IF(#REF!,"AAAAAFjb+3E=",0)</f>
        <v>#REF!</v>
      </c>
      <c r="DK355" t="e">
        <f>IF(#REF!,"AAAAAFjb+3I=",0)</f>
        <v>#REF!</v>
      </c>
      <c r="DL355" t="e">
        <f>IF(#REF!,"AAAAAFjb+3M=",0)</f>
        <v>#REF!</v>
      </c>
      <c r="DM355" t="e">
        <f>IF(#REF!,"AAAAAFjb+3Q=",0)</f>
        <v>#REF!</v>
      </c>
      <c r="DN355" t="e">
        <f>IF(#REF!,"AAAAAFjb+3U=",0)</f>
        <v>#REF!</v>
      </c>
      <c r="DO355" t="e">
        <f>IF(#REF!,"AAAAAFjb+3Y=",0)</f>
        <v>#REF!</v>
      </c>
      <c r="DP355" t="e">
        <f>IF(#REF!,"AAAAAFjb+3c=",0)</f>
        <v>#REF!</v>
      </c>
      <c r="DQ355" t="e">
        <f>IF(#REF!,"AAAAAFjb+3g=",0)</f>
        <v>#REF!</v>
      </c>
      <c r="DR355" t="e">
        <f>IF(#REF!,"AAAAAFjb+3k=",0)</f>
        <v>#REF!</v>
      </c>
      <c r="DS355" t="e">
        <f>IF(#REF!,"AAAAAFjb+3o=",0)</f>
        <v>#REF!</v>
      </c>
      <c r="DT355" t="e">
        <f>IF(#REF!,"AAAAAFjb+3s=",0)</f>
        <v>#REF!</v>
      </c>
      <c r="DU355" t="e">
        <f>IF(#REF!,"AAAAAFjb+3w=",0)</f>
        <v>#REF!</v>
      </c>
      <c r="DV355" t="e">
        <f>IF(#REF!,"AAAAAFjb+30=",0)</f>
        <v>#REF!</v>
      </c>
      <c r="DW355" t="e">
        <f>IF(#REF!,"AAAAAFjb+34=",0)</f>
        <v>#REF!</v>
      </c>
      <c r="DX355" t="e">
        <f>IF(#REF!,"AAAAAFjb+38=",0)</f>
        <v>#REF!</v>
      </c>
      <c r="DY355" t="e">
        <f>IF(#REF!,"AAAAAFjb+4A=",0)</f>
        <v>#REF!</v>
      </c>
      <c r="DZ355" t="e">
        <f>IF(#REF!,"AAAAAFjb+4E=",0)</f>
        <v>#REF!</v>
      </c>
      <c r="EA355" t="e">
        <f>IF(#REF!,"AAAAAFjb+4I=",0)</f>
        <v>#REF!</v>
      </c>
      <c r="EB355" t="e">
        <f>IF(#REF!,"AAAAAFjb+4M=",0)</f>
        <v>#REF!</v>
      </c>
      <c r="EC355" t="e">
        <f>IF(#REF!,"AAAAAFjb+4Q=",0)</f>
        <v>#REF!</v>
      </c>
      <c r="ED355" t="e">
        <f>IF(#REF!,"AAAAAFjb+4U=",0)</f>
        <v>#REF!</v>
      </c>
      <c r="EE355" t="e">
        <f>IF(#REF!,"AAAAAFjb+4Y=",0)</f>
        <v>#REF!</v>
      </c>
      <c r="EF355" t="e">
        <f>IF(#REF!,"AAAAAFjb+4c=",0)</f>
        <v>#REF!</v>
      </c>
      <c r="EG355" t="e">
        <f>IF(#REF!,"AAAAAFjb+4g=",0)</f>
        <v>#REF!</v>
      </c>
      <c r="EH355" t="e">
        <f>IF(#REF!,"AAAAAFjb+4k=",0)</f>
        <v>#REF!</v>
      </c>
      <c r="EI355" t="e">
        <f>IF(#REF!,"AAAAAFjb+4o=",0)</f>
        <v>#REF!</v>
      </c>
      <c r="EJ355" t="e">
        <f>IF(#REF!,"AAAAAFjb+4s=",0)</f>
        <v>#REF!</v>
      </c>
      <c r="EK355" t="e">
        <f>IF(#REF!,"AAAAAFjb+4w=",0)</f>
        <v>#REF!</v>
      </c>
      <c r="EL355" t="e">
        <f>IF(#REF!,"AAAAAFjb+40=",0)</f>
        <v>#REF!</v>
      </c>
      <c r="EM355" t="e">
        <f>IF(#REF!,"AAAAAFjb+44=",0)</f>
        <v>#REF!</v>
      </c>
      <c r="EN355" t="e">
        <f>IF(#REF!,"AAAAAFjb+48=",0)</f>
        <v>#REF!</v>
      </c>
      <c r="EO355" t="e">
        <f>IF(#REF!,"AAAAAFjb+5A=",0)</f>
        <v>#REF!</v>
      </c>
      <c r="EP355" t="e">
        <f>IF(#REF!,"AAAAAFjb+5E=",0)</f>
        <v>#REF!</v>
      </c>
      <c r="EQ355" t="e">
        <f>IF(#REF!,"AAAAAFjb+5I=",0)</f>
        <v>#REF!</v>
      </c>
      <c r="ER355" t="e">
        <f>IF(#REF!,"AAAAAFjb+5M=",0)</f>
        <v>#REF!</v>
      </c>
      <c r="ES355" t="e">
        <f>IF(#REF!,"AAAAAFjb+5Q=",0)</f>
        <v>#REF!</v>
      </c>
      <c r="ET355" t="e">
        <f>IF(#REF!,"AAAAAFjb+5U=",0)</f>
        <v>#REF!</v>
      </c>
      <c r="EU355" t="e">
        <f>IF(#REF!,"AAAAAFjb+5Y=",0)</f>
        <v>#REF!</v>
      </c>
      <c r="EV355" t="e">
        <f>IF(#REF!,"AAAAAFjb+5c=",0)</f>
        <v>#REF!</v>
      </c>
      <c r="EW355" t="e">
        <f>IF(#REF!,"AAAAAFjb+5g=",0)</f>
        <v>#REF!</v>
      </c>
      <c r="EX355" t="e">
        <f>IF(#REF!,"AAAAAFjb+5k=",0)</f>
        <v>#REF!</v>
      </c>
      <c r="EY355" t="e">
        <f>IF(#REF!,"AAAAAFjb+5o=",0)</f>
        <v>#REF!</v>
      </c>
      <c r="EZ355" t="e">
        <f>IF(#REF!,"AAAAAFjb+5s=",0)</f>
        <v>#REF!</v>
      </c>
      <c r="FA355" t="e">
        <f>IF(#REF!,"AAAAAFjb+5w=",0)</f>
        <v>#REF!</v>
      </c>
      <c r="FB355" t="e">
        <f>IF(#REF!,"AAAAAFjb+50=",0)</f>
        <v>#REF!</v>
      </c>
      <c r="FC355" t="e">
        <f>IF(#REF!,"AAAAAFjb+54=",0)</f>
        <v>#REF!</v>
      </c>
      <c r="FD355" t="e">
        <f>IF(#REF!,"AAAAAFjb+58=",0)</f>
        <v>#REF!</v>
      </c>
      <c r="FE355" t="e">
        <f>IF(#REF!,"AAAAAFjb+6A=",0)</f>
        <v>#REF!</v>
      </c>
      <c r="FF355" t="e">
        <f>IF(#REF!,"AAAAAFjb+6E=",0)</f>
        <v>#REF!</v>
      </c>
      <c r="FG355" t="e">
        <f>IF(#REF!,"AAAAAFjb+6I=",0)</f>
        <v>#REF!</v>
      </c>
      <c r="FH355" t="e">
        <f>IF(#REF!,"AAAAAFjb+6M=",0)</f>
        <v>#REF!</v>
      </c>
      <c r="FI355" t="e">
        <f>IF(#REF!,"AAAAAFjb+6Q=",0)</f>
        <v>#REF!</v>
      </c>
      <c r="FJ355" t="e">
        <f>IF(#REF!,"AAAAAFjb+6U=",0)</f>
        <v>#REF!</v>
      </c>
      <c r="FK355" t="e">
        <f>IF(#REF!,"AAAAAFjb+6Y=",0)</f>
        <v>#REF!</v>
      </c>
      <c r="FL355" t="e">
        <f>IF(#REF!,"AAAAAFjb+6c=",0)</f>
        <v>#REF!</v>
      </c>
      <c r="FM355" t="e">
        <f>IF(#REF!,"AAAAAFjb+6g=",0)</f>
        <v>#REF!</v>
      </c>
      <c r="FN355" t="e">
        <f>IF(#REF!,"AAAAAFjb+6k=",0)</f>
        <v>#REF!</v>
      </c>
      <c r="FO355" t="e">
        <f>IF(#REF!,"AAAAAFjb+6o=",0)</f>
        <v>#REF!</v>
      </c>
      <c r="FP355" t="e">
        <f>IF(#REF!,"AAAAAFjb+6s=",0)</f>
        <v>#REF!</v>
      </c>
      <c r="FQ355" t="e">
        <f>IF(#REF!,"AAAAAFjb+6w=",0)</f>
        <v>#REF!</v>
      </c>
      <c r="FR355" t="e">
        <f>IF(#REF!,"AAAAAFjb+60=",0)</f>
        <v>#REF!</v>
      </c>
      <c r="FS355" t="e">
        <f>IF(#REF!,"AAAAAFjb+64=",0)</f>
        <v>#REF!</v>
      </c>
      <c r="FT355" t="e">
        <f>IF(#REF!,"AAAAAFjb+68=",0)</f>
        <v>#REF!</v>
      </c>
      <c r="FU355" t="e">
        <f>IF(#REF!,"AAAAAFjb+7A=",0)</f>
        <v>#REF!</v>
      </c>
      <c r="FV355" t="e">
        <f>IF(#REF!,"AAAAAFjb+7E=",0)</f>
        <v>#REF!</v>
      </c>
      <c r="FW355" t="e">
        <f>IF(#REF!,"AAAAAFjb+7I=",0)</f>
        <v>#REF!</v>
      </c>
      <c r="FX355" t="e">
        <f>IF(#REF!,"AAAAAFjb+7M=",0)</f>
        <v>#REF!</v>
      </c>
      <c r="FY355" t="e">
        <f>IF(#REF!,"AAAAAFjb+7Q=",0)</f>
        <v>#REF!</v>
      </c>
      <c r="FZ355" t="e">
        <f>IF(#REF!,"AAAAAFjb+7U=",0)</f>
        <v>#REF!</v>
      </c>
      <c r="GA355" t="e">
        <f>IF(#REF!,"AAAAAFjb+7Y=",0)</f>
        <v>#REF!</v>
      </c>
      <c r="GB355" t="e">
        <f>IF(#REF!,"AAAAAFjb+7c=",0)</f>
        <v>#REF!</v>
      </c>
      <c r="GC355" t="e">
        <f>IF(#REF!,"AAAAAFjb+7g=",0)</f>
        <v>#REF!</v>
      </c>
      <c r="GD355" t="e">
        <f>IF(#REF!,"AAAAAFjb+7k=",0)</f>
        <v>#REF!</v>
      </c>
      <c r="GE355" t="e">
        <f>IF(#REF!,"AAAAAFjb+7o=",0)</f>
        <v>#REF!</v>
      </c>
      <c r="GF355" t="e">
        <f>IF(#REF!,"AAAAAFjb+7s=",0)</f>
        <v>#REF!</v>
      </c>
      <c r="GG355" t="e">
        <f>IF(#REF!,"AAAAAFjb+7w=",0)</f>
        <v>#REF!</v>
      </c>
      <c r="GH355" t="e">
        <f>IF(#REF!,"AAAAAFjb+70=",0)</f>
        <v>#REF!</v>
      </c>
      <c r="GI355" t="e">
        <f>IF(#REF!,"AAAAAFjb+74=",0)</f>
        <v>#REF!</v>
      </c>
      <c r="GJ355" t="e">
        <f>IF(#REF!,"AAAAAFjb+78=",0)</f>
        <v>#REF!</v>
      </c>
      <c r="GK355" t="e">
        <f>IF(#REF!,"AAAAAFjb+8A=",0)</f>
        <v>#REF!</v>
      </c>
      <c r="GL355" t="e">
        <f>IF(#REF!,"AAAAAFjb+8E=",0)</f>
        <v>#REF!</v>
      </c>
      <c r="GM355" t="e">
        <f>IF(#REF!,"AAAAAFjb+8I=",0)</f>
        <v>#REF!</v>
      </c>
      <c r="GN355" t="e">
        <f>IF(#REF!,"AAAAAFjb+8M=",0)</f>
        <v>#REF!</v>
      </c>
      <c r="GO355" t="e">
        <f>IF(#REF!,"AAAAAFjb+8Q=",0)</f>
        <v>#REF!</v>
      </c>
      <c r="GP355" t="e">
        <f>IF(#REF!,"AAAAAFjb+8U=",0)</f>
        <v>#REF!</v>
      </c>
      <c r="GQ355" t="e">
        <f>IF(#REF!,"AAAAAFjb+8Y=",0)</f>
        <v>#REF!</v>
      </c>
      <c r="GR355" t="e">
        <f>IF(#REF!,"AAAAAFjb+8c=",0)</f>
        <v>#REF!</v>
      </c>
      <c r="GS355" t="e">
        <f>IF(#REF!,"AAAAAFjb+8g=",0)</f>
        <v>#REF!</v>
      </c>
      <c r="GT355" t="e">
        <f>IF(#REF!,"AAAAAFjb+8k=",0)</f>
        <v>#REF!</v>
      </c>
      <c r="GU355" t="e">
        <f>IF(#REF!,"AAAAAFjb+8o=",0)</f>
        <v>#REF!</v>
      </c>
      <c r="GV355" t="e">
        <f>IF(#REF!,"AAAAAFjb+8s=",0)</f>
        <v>#REF!</v>
      </c>
      <c r="GW355" t="e">
        <f>IF(#REF!,"AAAAAFjb+8w=",0)</f>
        <v>#REF!</v>
      </c>
      <c r="GX355" t="e">
        <f>IF(#REF!,"AAAAAFjb+80=",0)</f>
        <v>#REF!</v>
      </c>
      <c r="GY355" t="e">
        <f>IF(#REF!,"AAAAAFjb+84=",0)</f>
        <v>#REF!</v>
      </c>
      <c r="GZ355" t="e">
        <f>IF(#REF!,"AAAAAFjb+88=",0)</f>
        <v>#REF!</v>
      </c>
      <c r="HA355" t="e">
        <f>IF(#REF!,"AAAAAFjb+9A=",0)</f>
        <v>#REF!</v>
      </c>
      <c r="HB355" t="e">
        <f>IF(#REF!,"AAAAAFjb+9E=",0)</f>
        <v>#REF!</v>
      </c>
      <c r="HC355" t="e">
        <f>IF(#REF!,"AAAAAFjb+9I=",0)</f>
        <v>#REF!</v>
      </c>
      <c r="HD355" t="e">
        <f>IF(#REF!,"AAAAAFjb+9M=",0)</f>
        <v>#REF!</v>
      </c>
      <c r="HE355" t="e">
        <f>IF(#REF!,"AAAAAFjb+9Q=",0)</f>
        <v>#REF!</v>
      </c>
      <c r="HF355" t="e">
        <f>IF(#REF!,"AAAAAFjb+9U=",0)</f>
        <v>#REF!</v>
      </c>
      <c r="HG355" t="e">
        <f>IF(#REF!,"AAAAAFjb+9Y=",0)</f>
        <v>#REF!</v>
      </c>
      <c r="HH355" t="e">
        <f>IF(#REF!,"AAAAAFjb+9c=",0)</f>
        <v>#REF!</v>
      </c>
      <c r="HI355" t="e">
        <f>IF(#REF!,"AAAAAFjb+9g=",0)</f>
        <v>#REF!</v>
      </c>
      <c r="HJ355" t="e">
        <f>IF(#REF!,"AAAAAFjb+9k=",0)</f>
        <v>#REF!</v>
      </c>
      <c r="HK355" t="e">
        <f>IF(#REF!,"AAAAAFjb+9o=",0)</f>
        <v>#REF!</v>
      </c>
      <c r="HL355" t="e">
        <f>IF(#REF!,"AAAAAFjb+9s=",0)</f>
        <v>#REF!</v>
      </c>
      <c r="HM355" t="e">
        <f>IF(#REF!,"AAAAAFjb+9w=",0)</f>
        <v>#REF!</v>
      </c>
      <c r="HN355" t="e">
        <f>IF(#REF!,"AAAAAFjb+90=",0)</f>
        <v>#REF!</v>
      </c>
      <c r="HO355" t="e">
        <f>IF(#REF!,"AAAAAFjb+94=",0)</f>
        <v>#REF!</v>
      </c>
      <c r="HP355" t="e">
        <f>IF(#REF!,"AAAAAFjb+98=",0)</f>
        <v>#REF!</v>
      </c>
      <c r="HQ355" t="e">
        <f>IF(#REF!,"AAAAAFjb++A=",0)</f>
        <v>#REF!</v>
      </c>
      <c r="HR355" t="e">
        <f>IF(#REF!,"AAAAAFjb++E=",0)</f>
        <v>#REF!</v>
      </c>
      <c r="HS355" t="e">
        <f>IF(#REF!,"AAAAAFjb++I=",0)</f>
        <v>#REF!</v>
      </c>
      <c r="HT355" t="e">
        <f>IF(#REF!,"AAAAAFjb++M=",0)</f>
        <v>#REF!</v>
      </c>
      <c r="HU355" t="e">
        <f>IF(#REF!,"AAAAAFjb++Q=",0)</f>
        <v>#REF!</v>
      </c>
      <c r="HV355" t="e">
        <f>IF(#REF!,"AAAAAFjb++U=",0)</f>
        <v>#REF!</v>
      </c>
      <c r="HW355" t="e">
        <f>IF(#REF!,"AAAAAFjb++Y=",0)</f>
        <v>#REF!</v>
      </c>
      <c r="HX355" t="e">
        <f>IF(#REF!,"AAAAAFjb++c=",0)</f>
        <v>#REF!</v>
      </c>
      <c r="HY355" t="e">
        <f>IF(#REF!,"AAAAAFjb++g=",0)</f>
        <v>#REF!</v>
      </c>
      <c r="HZ355" t="e">
        <f>IF(#REF!,"AAAAAFjb++k=",0)</f>
        <v>#REF!</v>
      </c>
      <c r="IA355" t="e">
        <f>IF(#REF!,"AAAAAFjb++o=",0)</f>
        <v>#REF!</v>
      </c>
      <c r="IB355" t="e">
        <f>IF(#REF!,"AAAAAFjb++s=",0)</f>
        <v>#REF!</v>
      </c>
      <c r="IC355" t="e">
        <f>IF(#REF!,"AAAAAFjb++w=",0)</f>
        <v>#REF!</v>
      </c>
      <c r="ID355" t="e">
        <f>IF(#REF!,"AAAAAFjb++0=",0)</f>
        <v>#REF!</v>
      </c>
      <c r="IE355" t="e">
        <f>IF(#REF!,"AAAAAFjb++4=",0)</f>
        <v>#REF!</v>
      </c>
      <c r="IF355" t="e">
        <f>IF(#REF!,"AAAAAFjb++8=",0)</f>
        <v>#REF!</v>
      </c>
      <c r="IG355" t="e">
        <f>IF(#REF!,"AAAAAFjb+/A=",0)</f>
        <v>#REF!</v>
      </c>
      <c r="IH355" t="e">
        <f>IF(#REF!,"AAAAAFjb+/E=",0)</f>
        <v>#REF!</v>
      </c>
      <c r="II355" t="e">
        <f>IF(#REF!,"AAAAAFjb+/I=",0)</f>
        <v>#REF!</v>
      </c>
      <c r="IJ355" t="e">
        <f>IF(#REF!,"AAAAAFjb+/M=",0)</f>
        <v>#REF!</v>
      </c>
      <c r="IK355" t="e">
        <f>IF(#REF!,"AAAAAFjb+/Q=",0)</f>
        <v>#REF!</v>
      </c>
      <c r="IL355" t="e">
        <f>IF(#REF!,"AAAAAFjb+/U=",0)</f>
        <v>#REF!</v>
      </c>
      <c r="IM355" t="e">
        <f>IF(#REF!,"AAAAAFjb+/Y=",0)</f>
        <v>#REF!</v>
      </c>
      <c r="IN355" t="e">
        <f>IF(#REF!,"AAAAAFjb+/c=",0)</f>
        <v>#REF!</v>
      </c>
      <c r="IO355" t="e">
        <f>IF(#REF!,"AAAAAFjb+/g=",0)</f>
        <v>#REF!</v>
      </c>
      <c r="IP355" t="e">
        <f>IF(#REF!,"AAAAAFjb+/k=",0)</f>
        <v>#REF!</v>
      </c>
      <c r="IQ355" t="e">
        <f>IF(#REF!,"AAAAAFjb+/o=",0)</f>
        <v>#REF!</v>
      </c>
      <c r="IR355" t="e">
        <f>IF(#REF!,"AAAAAFjb+/s=",0)</f>
        <v>#REF!</v>
      </c>
      <c r="IS355" t="e">
        <f>IF(#REF!,"AAAAAFjb+/w=",0)</f>
        <v>#REF!</v>
      </c>
      <c r="IT355" t="e">
        <f>IF(#REF!,"AAAAAFjb+/0=",0)</f>
        <v>#REF!</v>
      </c>
      <c r="IU355" t="e">
        <f>IF(#REF!,"AAAAAFjb+/4=",0)</f>
        <v>#REF!</v>
      </c>
      <c r="IV355" t="e">
        <f>IF(#REF!,"AAAAAFjb+/8=",0)</f>
        <v>#REF!</v>
      </c>
    </row>
    <row r="356" spans="1:256">
      <c r="A356" t="e">
        <f>IF(#REF!,"AAAAABf63AA=",0)</f>
        <v>#REF!</v>
      </c>
      <c r="B356" t="e">
        <f>IF(#REF!,"AAAAABf63AE=",0)</f>
        <v>#REF!</v>
      </c>
      <c r="C356" t="e">
        <f>IF(#REF!,"AAAAABf63AI=",0)</f>
        <v>#REF!</v>
      </c>
      <c r="D356" t="e">
        <f>IF(#REF!,"AAAAABf63AM=",0)</f>
        <v>#REF!</v>
      </c>
      <c r="E356" t="e">
        <f>IF(#REF!,"AAAAABf63AQ=",0)</f>
        <v>#REF!</v>
      </c>
      <c r="F356" t="e">
        <f>IF(#REF!,"AAAAABf63AU=",0)</f>
        <v>#REF!</v>
      </c>
      <c r="G356" t="e">
        <f>IF(#REF!,"AAAAABf63AY=",0)</f>
        <v>#REF!</v>
      </c>
      <c r="H356" t="e">
        <f>IF(#REF!,"AAAAABf63Ac=",0)</f>
        <v>#REF!</v>
      </c>
      <c r="I356" t="e">
        <f>IF(#REF!,"AAAAABf63Ag=",0)</f>
        <v>#REF!</v>
      </c>
      <c r="J356" t="e">
        <f>IF(#REF!,"AAAAABf63Ak=",0)</f>
        <v>#REF!</v>
      </c>
      <c r="K356" t="e">
        <f>IF(#REF!,"AAAAABf63Ao=",0)</f>
        <v>#REF!</v>
      </c>
      <c r="L356" t="e">
        <f>IF(#REF!,"AAAAABf63As=",0)</f>
        <v>#REF!</v>
      </c>
      <c r="M356" t="e">
        <f>IF(#REF!,"AAAAABf63Aw=",0)</f>
        <v>#REF!</v>
      </c>
      <c r="N356" t="e">
        <f>IF(#REF!,"AAAAABf63A0=",0)</f>
        <v>#REF!</v>
      </c>
      <c r="O356" t="e">
        <f>IF(#REF!,"AAAAABf63A4=",0)</f>
        <v>#REF!</v>
      </c>
      <c r="P356" t="e">
        <f>IF(#REF!,"AAAAABf63A8=",0)</f>
        <v>#REF!</v>
      </c>
      <c r="Q356" t="e">
        <f>IF(#REF!,"AAAAABf63BA=",0)</f>
        <v>#REF!</v>
      </c>
      <c r="R356" t="e">
        <f>IF(#REF!,"AAAAABf63BE=",0)</f>
        <v>#REF!</v>
      </c>
      <c r="S356" t="e">
        <f>IF(#REF!,"AAAAABf63BI=",0)</f>
        <v>#REF!</v>
      </c>
      <c r="T356" t="e">
        <f>IF(#REF!,"AAAAABf63BM=",0)</f>
        <v>#REF!</v>
      </c>
      <c r="U356" t="e">
        <f>IF(#REF!,"AAAAABf63BQ=",0)</f>
        <v>#REF!</v>
      </c>
      <c r="V356" t="e">
        <f>IF(#REF!,"AAAAABf63BU=",0)</f>
        <v>#REF!</v>
      </c>
      <c r="W356" t="e">
        <f>IF(#REF!,"AAAAABf63BY=",0)</f>
        <v>#REF!</v>
      </c>
      <c r="X356" t="e">
        <f>IF(#REF!,"AAAAABf63Bc=",0)</f>
        <v>#REF!</v>
      </c>
      <c r="Y356" t="e">
        <f>IF(#REF!,"AAAAABf63Bg=",0)</f>
        <v>#REF!</v>
      </c>
      <c r="Z356" t="e">
        <f>IF(#REF!,"AAAAABf63Bk=",0)</f>
        <v>#REF!</v>
      </c>
      <c r="AA356" t="e">
        <f>IF(#REF!,"AAAAABf63Bo=",0)</f>
        <v>#REF!</v>
      </c>
      <c r="AB356" t="e">
        <f>IF(#REF!,"AAAAABf63Bs=",0)</f>
        <v>#REF!</v>
      </c>
      <c r="AC356" t="e">
        <f>IF(#REF!,"AAAAABf63Bw=",0)</f>
        <v>#REF!</v>
      </c>
      <c r="AD356" t="e">
        <f>IF(#REF!,"AAAAABf63B0=",0)</f>
        <v>#REF!</v>
      </c>
      <c r="AE356" t="e">
        <f>IF(#REF!,"AAAAABf63B4=",0)</f>
        <v>#REF!</v>
      </c>
      <c r="AF356" t="e">
        <f>IF(#REF!,"AAAAABf63B8=",0)</f>
        <v>#REF!</v>
      </c>
      <c r="AG356" t="e">
        <f>IF(#REF!,"AAAAABf63CA=",0)</f>
        <v>#REF!</v>
      </c>
      <c r="AH356" t="e">
        <f>IF(#REF!,"AAAAABf63CE=",0)</f>
        <v>#REF!</v>
      </c>
      <c r="AI356" t="e">
        <f>IF(#REF!,"AAAAABf63CI=",0)</f>
        <v>#REF!</v>
      </c>
      <c r="AJ356" t="e">
        <f>IF(#REF!,"AAAAABf63CM=",0)</f>
        <v>#REF!</v>
      </c>
      <c r="AK356" t="e">
        <f>IF(#REF!,"AAAAABf63CQ=",0)</f>
        <v>#REF!</v>
      </c>
      <c r="AL356" t="e">
        <f>IF(#REF!,"AAAAABf63CU=",0)</f>
        <v>#REF!</v>
      </c>
      <c r="AM356" t="e">
        <f>IF(#REF!,"AAAAABf63CY=",0)</f>
        <v>#REF!</v>
      </c>
      <c r="AN356" t="e">
        <f>IF(#REF!,"AAAAABf63Cc=",0)</f>
        <v>#REF!</v>
      </c>
      <c r="AO356" t="e">
        <f>IF(#REF!,"AAAAABf63Cg=",0)</f>
        <v>#REF!</v>
      </c>
      <c r="AP356" t="e">
        <f>IF(#REF!,"AAAAABf63Ck=",0)</f>
        <v>#REF!</v>
      </c>
      <c r="AQ356" t="e">
        <f>IF(#REF!,"AAAAABf63Co=",0)</f>
        <v>#REF!</v>
      </c>
      <c r="AR356" t="e">
        <f>IF(#REF!,"AAAAABf63Cs=",0)</f>
        <v>#REF!</v>
      </c>
      <c r="AS356" t="e">
        <f>IF(#REF!,"AAAAABf63Cw=",0)</f>
        <v>#REF!</v>
      </c>
      <c r="AT356" t="e">
        <f>IF(#REF!,"AAAAABf63C0=",0)</f>
        <v>#REF!</v>
      </c>
      <c r="AU356" t="e">
        <f>IF(#REF!,"AAAAABf63C4=",0)</f>
        <v>#REF!</v>
      </c>
      <c r="AV356" t="e">
        <f>IF(#REF!,"AAAAABf63C8=",0)</f>
        <v>#REF!</v>
      </c>
      <c r="AW356" t="e">
        <f>IF(#REF!,"AAAAABf63DA=",0)</f>
        <v>#REF!</v>
      </c>
      <c r="AX356" t="e">
        <f>IF(#REF!,"AAAAABf63DE=",0)</f>
        <v>#REF!</v>
      </c>
      <c r="AY356" t="e">
        <f>IF(#REF!,"AAAAABf63DI=",0)</f>
        <v>#REF!</v>
      </c>
      <c r="AZ356" t="e">
        <f>IF(#REF!,"AAAAABf63DM=",0)</f>
        <v>#REF!</v>
      </c>
      <c r="BA356" t="e">
        <f>IF(#REF!,"AAAAABf63DQ=",0)</f>
        <v>#REF!</v>
      </c>
      <c r="BB356" t="e">
        <f>IF(#REF!,"AAAAABf63DU=",0)</f>
        <v>#REF!</v>
      </c>
      <c r="BC356" t="e">
        <f>IF(#REF!,"AAAAABf63DY=",0)</f>
        <v>#REF!</v>
      </c>
      <c r="BD356" t="e">
        <f>IF(#REF!,"AAAAABf63Dc=",0)</f>
        <v>#REF!</v>
      </c>
      <c r="BE356" t="e">
        <f>IF(#REF!,"AAAAABf63Dg=",0)</f>
        <v>#REF!</v>
      </c>
      <c r="BF356" t="e">
        <f>IF(#REF!,"AAAAABf63Dk=",0)</f>
        <v>#REF!</v>
      </c>
      <c r="BG356" t="e">
        <f>IF(#REF!,"AAAAABf63Do=",0)</f>
        <v>#REF!</v>
      </c>
      <c r="BH356" t="e">
        <f>IF(#REF!,"AAAAABf63Ds=",0)</f>
        <v>#REF!</v>
      </c>
      <c r="BI356" t="e">
        <f>IF(#REF!,"AAAAABf63Dw=",0)</f>
        <v>#REF!</v>
      </c>
      <c r="BJ356" t="e">
        <f>IF(#REF!,"AAAAABf63D0=",0)</f>
        <v>#REF!</v>
      </c>
      <c r="BK356" t="e">
        <f>IF(#REF!,"AAAAABf63D4=",0)</f>
        <v>#REF!</v>
      </c>
      <c r="BL356" t="e">
        <f>IF(#REF!,"AAAAABf63D8=",0)</f>
        <v>#REF!</v>
      </c>
      <c r="BM356" t="e">
        <f>IF(#REF!,"AAAAABf63EA=",0)</f>
        <v>#REF!</v>
      </c>
      <c r="BN356" t="e">
        <f>IF(#REF!,"AAAAABf63EE=",0)</f>
        <v>#REF!</v>
      </c>
      <c r="BO356" t="e">
        <f>IF(#REF!,"AAAAABf63EI=",0)</f>
        <v>#REF!</v>
      </c>
      <c r="BP356" t="e">
        <f>IF(#REF!,"AAAAABf63EM=",0)</f>
        <v>#REF!</v>
      </c>
      <c r="BQ356" t="e">
        <f>IF(#REF!,"AAAAABf63EQ=",0)</f>
        <v>#REF!</v>
      </c>
      <c r="BR356" t="e">
        <f>IF(#REF!,"AAAAABf63EU=",0)</f>
        <v>#REF!</v>
      </c>
      <c r="BS356" t="e">
        <f>IF(#REF!,"AAAAABf63EY=",0)</f>
        <v>#REF!</v>
      </c>
      <c r="BT356" t="e">
        <f>IF(#REF!,"AAAAABf63Ec=",0)</f>
        <v>#REF!</v>
      </c>
      <c r="BU356" t="e">
        <f>IF(#REF!,"AAAAABf63Eg=",0)</f>
        <v>#REF!</v>
      </c>
      <c r="BV356" t="e">
        <f>IF(#REF!,"AAAAABf63Ek=",0)</f>
        <v>#REF!</v>
      </c>
      <c r="BW356" t="e">
        <f>IF(#REF!,"AAAAABf63Eo=",0)</f>
        <v>#REF!</v>
      </c>
      <c r="BX356" t="e">
        <f>IF(#REF!,"AAAAABf63Es=",0)</f>
        <v>#REF!</v>
      </c>
      <c r="BY356" t="e">
        <f>IF(#REF!,"AAAAABf63Ew=",0)</f>
        <v>#REF!</v>
      </c>
      <c r="BZ356" t="e">
        <f>IF(#REF!,"AAAAABf63E0=",0)</f>
        <v>#REF!</v>
      </c>
      <c r="CA356" t="e">
        <f>IF(#REF!,"AAAAABf63E4=",0)</f>
        <v>#REF!</v>
      </c>
      <c r="CB356" t="e">
        <f>IF(#REF!,"AAAAABf63E8=",0)</f>
        <v>#REF!</v>
      </c>
      <c r="CC356" t="e">
        <f>IF(#REF!,"AAAAABf63FA=",0)</f>
        <v>#REF!</v>
      </c>
      <c r="CD356" t="e">
        <f>IF(#REF!,"AAAAABf63FE=",0)</f>
        <v>#REF!</v>
      </c>
      <c r="CE356" t="e">
        <f>IF(#REF!,"AAAAABf63FI=",0)</f>
        <v>#REF!</v>
      </c>
      <c r="CF356" t="e">
        <f>IF(#REF!,"AAAAABf63FM=",0)</f>
        <v>#REF!</v>
      </c>
      <c r="CG356" t="e">
        <f>IF(#REF!,"AAAAABf63FQ=",0)</f>
        <v>#REF!</v>
      </c>
      <c r="CH356" t="e">
        <f>IF(#REF!,"AAAAABf63FU=",0)</f>
        <v>#REF!</v>
      </c>
      <c r="CI356" t="e">
        <f>IF(#REF!,"AAAAABf63FY=",0)</f>
        <v>#REF!</v>
      </c>
      <c r="CJ356" t="e">
        <f>IF(#REF!,"AAAAABf63Fc=",0)</f>
        <v>#REF!</v>
      </c>
      <c r="CK356" t="e">
        <f>IF(#REF!,"AAAAABf63Fg=",0)</f>
        <v>#REF!</v>
      </c>
      <c r="CL356" t="e">
        <f>IF(#REF!,"AAAAABf63Fk=",0)</f>
        <v>#REF!</v>
      </c>
      <c r="CM356" t="e">
        <f>IF(#REF!,"AAAAABf63Fo=",0)</f>
        <v>#REF!</v>
      </c>
      <c r="CN356" t="e">
        <f>IF(#REF!,"AAAAABf63Fs=",0)</f>
        <v>#REF!</v>
      </c>
      <c r="CO356" t="e">
        <f>IF(#REF!,"AAAAABf63Fw=",0)</f>
        <v>#REF!</v>
      </c>
      <c r="CP356" t="e">
        <f>IF(#REF!,"AAAAABf63F0=",0)</f>
        <v>#REF!</v>
      </c>
      <c r="CQ356" t="e">
        <f>IF(#REF!,"AAAAABf63F4=",0)</f>
        <v>#REF!</v>
      </c>
      <c r="CR356" t="e">
        <f>IF(#REF!,"AAAAABf63F8=",0)</f>
        <v>#REF!</v>
      </c>
      <c r="CS356" t="e">
        <f>IF(#REF!,"AAAAABf63GA=",0)</f>
        <v>#REF!</v>
      </c>
      <c r="CT356" t="e">
        <f>IF(#REF!,"AAAAABf63GE=",0)</f>
        <v>#REF!</v>
      </c>
      <c r="CU356" t="e">
        <f>IF(#REF!,"AAAAABf63GI=",0)</f>
        <v>#REF!</v>
      </c>
      <c r="CV356" t="e">
        <f>IF(#REF!,"AAAAABf63GM=",0)</f>
        <v>#REF!</v>
      </c>
      <c r="CW356" t="e">
        <f>IF(#REF!,"AAAAABf63GQ=",0)</f>
        <v>#REF!</v>
      </c>
      <c r="CX356" t="e">
        <f>IF(#REF!,"AAAAABf63GU=",0)</f>
        <v>#REF!</v>
      </c>
      <c r="CY356" t="e">
        <f>IF(#REF!,"AAAAABf63GY=",0)</f>
        <v>#REF!</v>
      </c>
      <c r="CZ356" t="e">
        <f>IF(#REF!,"AAAAABf63Gc=",0)</f>
        <v>#REF!</v>
      </c>
      <c r="DA356" t="e">
        <f>IF(#REF!,"AAAAABf63Gg=",0)</f>
        <v>#REF!</v>
      </c>
      <c r="DB356" t="e">
        <f>IF(#REF!,"AAAAABf63Gk=",0)</f>
        <v>#REF!</v>
      </c>
      <c r="DC356" t="e">
        <f>IF(#REF!,"AAAAABf63Go=",0)</f>
        <v>#REF!</v>
      </c>
      <c r="DD356" t="e">
        <f>IF(#REF!,"AAAAABf63Gs=",0)</f>
        <v>#REF!</v>
      </c>
      <c r="DE356" t="e">
        <f>IF(#REF!,"AAAAABf63Gw=",0)</f>
        <v>#REF!</v>
      </c>
      <c r="DF356" t="e">
        <f>IF(#REF!,"AAAAABf63G0=",0)</f>
        <v>#REF!</v>
      </c>
      <c r="DG356" t="e">
        <f>IF(#REF!,"AAAAABf63G4=",0)</f>
        <v>#REF!</v>
      </c>
      <c r="DH356" t="e">
        <f>IF(#REF!,"AAAAABf63G8=",0)</f>
        <v>#REF!</v>
      </c>
      <c r="DI356" t="e">
        <f>IF(#REF!,"AAAAABf63HA=",0)</f>
        <v>#REF!</v>
      </c>
      <c r="DJ356" t="e">
        <f>IF(#REF!,"AAAAABf63HE=",0)</f>
        <v>#REF!</v>
      </c>
      <c r="DK356" t="e">
        <f>IF(#REF!,"AAAAABf63HI=",0)</f>
        <v>#REF!</v>
      </c>
      <c r="DL356" t="e">
        <f>IF(#REF!,"AAAAABf63HM=",0)</f>
        <v>#REF!</v>
      </c>
      <c r="DM356" t="e">
        <f>IF(#REF!,"AAAAABf63HQ=",0)</f>
        <v>#REF!</v>
      </c>
      <c r="DN356" t="e">
        <f>IF(#REF!,"AAAAABf63HU=",0)</f>
        <v>#REF!</v>
      </c>
      <c r="DO356" t="e">
        <f>IF(#REF!,"AAAAABf63HY=",0)</f>
        <v>#REF!</v>
      </c>
      <c r="DP356" t="e">
        <f>IF(#REF!,"AAAAABf63Hc=",0)</f>
        <v>#REF!</v>
      </c>
      <c r="DQ356" t="e">
        <f>IF(#REF!,"AAAAABf63Hg=",0)</f>
        <v>#REF!</v>
      </c>
      <c r="DR356" t="e">
        <f>IF(#REF!,"AAAAABf63Hk=",0)</f>
        <v>#REF!</v>
      </c>
      <c r="DS356" t="e">
        <f>IF(#REF!,"AAAAABf63Ho=",0)</f>
        <v>#REF!</v>
      </c>
      <c r="DT356" t="e">
        <f>IF(#REF!,"AAAAABf63Hs=",0)</f>
        <v>#REF!</v>
      </c>
      <c r="DU356" t="e">
        <f>IF(#REF!,"AAAAABf63Hw=",0)</f>
        <v>#REF!</v>
      </c>
      <c r="DV356" t="e">
        <f>IF(#REF!,"AAAAABf63H0=",0)</f>
        <v>#REF!</v>
      </c>
      <c r="DW356" t="e">
        <f>IF(#REF!,"AAAAABf63H4=",0)</f>
        <v>#REF!</v>
      </c>
      <c r="DX356" t="e">
        <f>IF(#REF!,"AAAAABf63H8=",0)</f>
        <v>#REF!</v>
      </c>
      <c r="DY356" t="e">
        <f>IF(#REF!,"AAAAABf63IA=",0)</f>
        <v>#REF!</v>
      </c>
      <c r="DZ356" t="e">
        <f>IF(#REF!,"AAAAABf63IE=",0)</f>
        <v>#REF!</v>
      </c>
      <c r="EA356" t="e">
        <f>IF(#REF!,"AAAAABf63II=",0)</f>
        <v>#REF!</v>
      </c>
      <c r="EB356" t="e">
        <f>IF(#REF!,"AAAAABf63IM=",0)</f>
        <v>#REF!</v>
      </c>
      <c r="EC356" t="e">
        <f>IF(#REF!,"AAAAABf63IQ=",0)</f>
        <v>#REF!</v>
      </c>
      <c r="ED356" t="e">
        <f>IF(#REF!,"AAAAABf63IU=",0)</f>
        <v>#REF!</v>
      </c>
      <c r="EE356" t="e">
        <f>IF(#REF!,"AAAAABf63IY=",0)</f>
        <v>#REF!</v>
      </c>
      <c r="EF356" t="e">
        <f>IF(#REF!,"AAAAABf63Ic=",0)</f>
        <v>#REF!</v>
      </c>
      <c r="EG356" t="e">
        <f>IF(#REF!,"AAAAABf63Ig=",0)</f>
        <v>#REF!</v>
      </c>
      <c r="EH356" t="e">
        <f>IF(#REF!,"AAAAABf63Ik=",0)</f>
        <v>#REF!</v>
      </c>
      <c r="EI356" t="e">
        <f>IF(#REF!,"AAAAABf63Io=",0)</f>
        <v>#REF!</v>
      </c>
      <c r="EJ356" t="e">
        <f>IF(#REF!,"AAAAABf63Is=",0)</f>
        <v>#REF!</v>
      </c>
      <c r="EK356" t="e">
        <f>IF(#REF!,"AAAAABf63Iw=",0)</f>
        <v>#REF!</v>
      </c>
      <c r="EL356" t="e">
        <f>IF(#REF!,"AAAAABf63I0=",0)</f>
        <v>#REF!</v>
      </c>
      <c r="EM356" t="e">
        <f>IF(#REF!,"AAAAABf63I4=",0)</f>
        <v>#REF!</v>
      </c>
      <c r="EN356" t="e">
        <f>IF(#REF!,"AAAAABf63I8=",0)</f>
        <v>#REF!</v>
      </c>
      <c r="EO356" t="e">
        <f>IF(#REF!,"AAAAABf63JA=",0)</f>
        <v>#REF!</v>
      </c>
      <c r="EP356" t="e">
        <f>IF(#REF!,"AAAAABf63JE=",0)</f>
        <v>#REF!</v>
      </c>
      <c r="EQ356" t="e">
        <f>IF(#REF!,"AAAAABf63JI=",0)</f>
        <v>#REF!</v>
      </c>
      <c r="ER356" t="e">
        <f>IF(#REF!,"AAAAABf63JM=",0)</f>
        <v>#REF!</v>
      </c>
      <c r="ES356" t="e">
        <f>IF(#REF!,"AAAAABf63JQ=",0)</f>
        <v>#REF!</v>
      </c>
      <c r="ET356" t="e">
        <f>IF(#REF!,"AAAAABf63JU=",0)</f>
        <v>#REF!</v>
      </c>
      <c r="EU356" t="e">
        <f>IF(#REF!,"AAAAABf63JY=",0)</f>
        <v>#REF!</v>
      </c>
      <c r="EV356" t="e">
        <f>IF(#REF!,"AAAAABf63Jc=",0)</f>
        <v>#REF!</v>
      </c>
      <c r="EW356" t="e">
        <f>IF(#REF!,"AAAAABf63Jg=",0)</f>
        <v>#REF!</v>
      </c>
      <c r="EX356" t="e">
        <f>IF(#REF!,"AAAAABf63Jk=",0)</f>
        <v>#REF!</v>
      </c>
      <c r="EY356" t="e">
        <f>IF(#REF!,"AAAAABf63Jo=",0)</f>
        <v>#REF!</v>
      </c>
      <c r="EZ356" t="e">
        <f>IF(#REF!,"AAAAABf63Js=",0)</f>
        <v>#REF!</v>
      </c>
      <c r="FA356" t="e">
        <f>IF(#REF!,"AAAAABf63Jw=",0)</f>
        <v>#REF!</v>
      </c>
      <c r="FB356" t="e">
        <f>IF(#REF!,"AAAAABf63J0=",0)</f>
        <v>#REF!</v>
      </c>
      <c r="FC356" t="e">
        <f>IF(#REF!,"AAAAABf63J4=",0)</f>
        <v>#REF!</v>
      </c>
      <c r="FD356" t="e">
        <f>IF(#REF!,"AAAAABf63J8=",0)</f>
        <v>#REF!</v>
      </c>
      <c r="FE356" t="e">
        <f>IF(#REF!,"AAAAABf63KA=",0)</f>
        <v>#REF!</v>
      </c>
      <c r="FF356" t="e">
        <f>IF(#REF!,"AAAAABf63KE=",0)</f>
        <v>#REF!</v>
      </c>
      <c r="FG356" t="e">
        <f>IF(#REF!,"AAAAABf63KI=",0)</f>
        <v>#REF!</v>
      </c>
      <c r="FH356" t="e">
        <f>IF(#REF!,"AAAAABf63KM=",0)</f>
        <v>#REF!</v>
      </c>
      <c r="FI356" t="e">
        <f>IF(#REF!,"AAAAABf63KQ=",0)</f>
        <v>#REF!</v>
      </c>
      <c r="FJ356" t="e">
        <f>IF(#REF!,"AAAAABf63KU=",0)</f>
        <v>#REF!</v>
      </c>
      <c r="FK356" t="e">
        <f>IF(#REF!,"AAAAABf63KY=",0)</f>
        <v>#REF!</v>
      </c>
      <c r="FL356" t="e">
        <f>IF(#REF!,"AAAAABf63Kc=",0)</f>
        <v>#REF!</v>
      </c>
      <c r="FM356" t="e">
        <f>IF(#REF!,"AAAAABf63Kg=",0)</f>
        <v>#REF!</v>
      </c>
      <c r="FN356" t="e">
        <f>IF(#REF!,"AAAAABf63Kk=",0)</f>
        <v>#REF!</v>
      </c>
      <c r="FO356" t="e">
        <f>IF(#REF!,"AAAAABf63Ko=",0)</f>
        <v>#REF!</v>
      </c>
      <c r="FP356" t="e">
        <f>IF(#REF!,"AAAAABf63Ks=",0)</f>
        <v>#REF!</v>
      </c>
      <c r="FQ356" t="e">
        <f>IF(#REF!,"AAAAABf63Kw=",0)</f>
        <v>#REF!</v>
      </c>
      <c r="FR356" t="e">
        <f>IF(#REF!,"AAAAABf63K0=",0)</f>
        <v>#REF!</v>
      </c>
      <c r="FS356" t="e">
        <f>IF(#REF!,"AAAAABf63K4=",0)</f>
        <v>#REF!</v>
      </c>
      <c r="FT356" t="e">
        <f>IF(#REF!,"AAAAABf63K8=",0)</f>
        <v>#REF!</v>
      </c>
      <c r="FU356" t="e">
        <f>IF(#REF!,"AAAAABf63LA=",0)</f>
        <v>#REF!</v>
      </c>
      <c r="FV356" t="e">
        <f>IF(#REF!,"AAAAABf63LE=",0)</f>
        <v>#REF!</v>
      </c>
      <c r="FW356" t="e">
        <f>IF(#REF!,"AAAAABf63LI=",0)</f>
        <v>#REF!</v>
      </c>
      <c r="FX356" t="e">
        <f>IF(#REF!,"AAAAABf63LM=",0)</f>
        <v>#REF!</v>
      </c>
      <c r="FY356" t="e">
        <f>IF(#REF!,"AAAAABf63LQ=",0)</f>
        <v>#REF!</v>
      </c>
      <c r="FZ356" t="e">
        <f>IF(#REF!,"AAAAABf63LU=",0)</f>
        <v>#REF!</v>
      </c>
      <c r="GA356" t="e">
        <f>IF(#REF!,"AAAAABf63LY=",0)</f>
        <v>#REF!</v>
      </c>
      <c r="GB356" t="e">
        <f>IF(#REF!,"AAAAABf63Lc=",0)</f>
        <v>#REF!</v>
      </c>
      <c r="GC356" t="e">
        <f>IF(#REF!,"AAAAABf63Lg=",0)</f>
        <v>#REF!</v>
      </c>
      <c r="GD356" t="e">
        <f>IF(#REF!,"AAAAABf63Lk=",0)</f>
        <v>#REF!</v>
      </c>
      <c r="GE356" t="e">
        <f>IF(#REF!,"AAAAABf63Lo=",0)</f>
        <v>#REF!</v>
      </c>
      <c r="GF356" t="e">
        <f>IF(#REF!,"AAAAABf63Ls=",0)</f>
        <v>#REF!</v>
      </c>
      <c r="GG356" t="e">
        <f>IF(#REF!,"AAAAABf63Lw=",0)</f>
        <v>#REF!</v>
      </c>
      <c r="GH356" t="e">
        <f>IF(#REF!,"AAAAABf63L0=",0)</f>
        <v>#REF!</v>
      </c>
      <c r="GI356" t="e">
        <f>IF(#REF!,"AAAAABf63L4=",0)</f>
        <v>#REF!</v>
      </c>
      <c r="GJ356" t="e">
        <f>IF(#REF!,"AAAAABf63L8=",0)</f>
        <v>#REF!</v>
      </c>
      <c r="GK356" t="e">
        <f>IF(#REF!,"AAAAABf63MA=",0)</f>
        <v>#REF!</v>
      </c>
      <c r="GL356" t="e">
        <f>IF(#REF!,"AAAAABf63ME=",0)</f>
        <v>#REF!</v>
      </c>
      <c r="GM356" t="e">
        <f>IF(#REF!,"AAAAABf63MI=",0)</f>
        <v>#REF!</v>
      </c>
      <c r="GN356" t="e">
        <f>IF(#REF!,"AAAAABf63MM=",0)</f>
        <v>#REF!</v>
      </c>
      <c r="GO356" t="e">
        <f>IF(#REF!,"AAAAABf63MQ=",0)</f>
        <v>#REF!</v>
      </c>
      <c r="GP356" t="e">
        <f>IF(#REF!,"AAAAABf63MU=",0)</f>
        <v>#REF!</v>
      </c>
      <c r="GQ356" t="e">
        <f>IF(#REF!,"AAAAABf63MY=",0)</f>
        <v>#REF!</v>
      </c>
      <c r="GR356" t="e">
        <f>IF(#REF!,"AAAAABf63Mc=",0)</f>
        <v>#REF!</v>
      </c>
      <c r="GS356" t="e">
        <f>IF(#REF!,"AAAAABf63Mg=",0)</f>
        <v>#REF!</v>
      </c>
      <c r="GT356" t="e">
        <f>IF(#REF!,"AAAAABf63Mk=",0)</f>
        <v>#REF!</v>
      </c>
      <c r="GU356" t="e">
        <f>IF(#REF!,"AAAAABf63Mo=",0)</f>
        <v>#REF!</v>
      </c>
      <c r="GV356" t="e">
        <f>IF(#REF!,"AAAAABf63Ms=",0)</f>
        <v>#REF!</v>
      </c>
      <c r="GW356" t="e">
        <f>IF(#REF!,"AAAAABf63Mw=",0)</f>
        <v>#REF!</v>
      </c>
      <c r="GX356" t="e">
        <f>IF(#REF!,"AAAAABf63M0=",0)</f>
        <v>#REF!</v>
      </c>
      <c r="GY356" t="e">
        <f>IF(#REF!,"AAAAABf63M4=",0)</f>
        <v>#REF!</v>
      </c>
      <c r="GZ356" t="e">
        <f>IF(#REF!,"AAAAABf63M8=",0)</f>
        <v>#REF!</v>
      </c>
      <c r="HA356" t="e">
        <f>IF(#REF!,"AAAAABf63NA=",0)</f>
        <v>#REF!</v>
      </c>
      <c r="HB356" t="e">
        <f>IF(#REF!,"AAAAABf63NE=",0)</f>
        <v>#REF!</v>
      </c>
      <c r="HC356" t="e">
        <f>IF(#REF!,"AAAAABf63NI=",0)</f>
        <v>#REF!</v>
      </c>
      <c r="HD356" t="e">
        <f>IF(#REF!,"AAAAABf63NM=",0)</f>
        <v>#REF!</v>
      </c>
      <c r="HE356" t="e">
        <f>IF(#REF!,"AAAAABf63NQ=",0)</f>
        <v>#REF!</v>
      </c>
      <c r="HF356" t="e">
        <f>IF(#REF!,"AAAAABf63NU=",0)</f>
        <v>#REF!</v>
      </c>
      <c r="HG356" t="e">
        <f>IF(#REF!,"AAAAABf63NY=",0)</f>
        <v>#REF!</v>
      </c>
      <c r="HH356" t="e">
        <f>IF(#REF!,"AAAAABf63Nc=",0)</f>
        <v>#REF!</v>
      </c>
      <c r="HI356" t="e">
        <f>IF(#REF!,"AAAAABf63Ng=",0)</f>
        <v>#REF!</v>
      </c>
      <c r="HJ356" t="e">
        <f>IF(#REF!,"AAAAABf63Nk=",0)</f>
        <v>#REF!</v>
      </c>
      <c r="HK356" t="e">
        <f>IF(#REF!,"AAAAABf63No=",0)</f>
        <v>#REF!</v>
      </c>
      <c r="HL356" t="e">
        <f>IF(#REF!,"AAAAABf63Ns=",0)</f>
        <v>#REF!</v>
      </c>
      <c r="HM356" t="e">
        <f>IF(#REF!,"AAAAABf63Nw=",0)</f>
        <v>#REF!</v>
      </c>
      <c r="HN356" t="e">
        <f>IF(#REF!,"AAAAABf63N0=",0)</f>
        <v>#REF!</v>
      </c>
      <c r="HO356" t="e">
        <f>IF(#REF!,"AAAAABf63N4=",0)</f>
        <v>#REF!</v>
      </c>
      <c r="HP356" t="e">
        <f>IF(#REF!,"AAAAABf63N8=",0)</f>
        <v>#REF!</v>
      </c>
      <c r="HQ356" t="e">
        <f>IF(#REF!,"AAAAABf63OA=",0)</f>
        <v>#REF!</v>
      </c>
      <c r="HR356" t="e">
        <f>IF(#REF!,"AAAAABf63OE=",0)</f>
        <v>#REF!</v>
      </c>
      <c r="HS356" t="e">
        <f>IF(#REF!,"AAAAABf63OI=",0)</f>
        <v>#REF!</v>
      </c>
      <c r="HT356" t="e">
        <f>IF(#REF!,"AAAAABf63OM=",0)</f>
        <v>#REF!</v>
      </c>
      <c r="HU356" t="e">
        <f>IF(#REF!,"AAAAABf63OQ=",0)</f>
        <v>#REF!</v>
      </c>
      <c r="HV356" t="e">
        <f>IF(#REF!,"AAAAABf63OU=",0)</f>
        <v>#REF!</v>
      </c>
      <c r="HW356" t="e">
        <f>IF(#REF!,"AAAAABf63OY=",0)</f>
        <v>#REF!</v>
      </c>
      <c r="HX356" t="e">
        <f>IF(#REF!,"AAAAABf63Oc=",0)</f>
        <v>#REF!</v>
      </c>
      <c r="HY356" t="e">
        <f>IF(#REF!,"AAAAABf63Og=",0)</f>
        <v>#REF!</v>
      </c>
      <c r="HZ356" t="e">
        <f>IF(#REF!,"AAAAABf63Ok=",0)</f>
        <v>#REF!</v>
      </c>
      <c r="IA356" t="e">
        <f>IF(#REF!,"AAAAABf63Oo=",0)</f>
        <v>#REF!</v>
      </c>
      <c r="IB356" t="e">
        <f>IF(#REF!,"AAAAABf63Os=",0)</f>
        <v>#REF!</v>
      </c>
      <c r="IC356" t="e">
        <f>IF(#REF!,"AAAAABf63Ow=",0)</f>
        <v>#REF!</v>
      </c>
      <c r="ID356" t="e">
        <f>IF(#REF!,"AAAAABf63O0=",0)</f>
        <v>#REF!</v>
      </c>
      <c r="IE356" t="e">
        <f>IF(#REF!,"AAAAABf63O4=",0)</f>
        <v>#REF!</v>
      </c>
      <c r="IF356" t="e">
        <f>IF(#REF!,"AAAAABf63O8=",0)</f>
        <v>#REF!</v>
      </c>
      <c r="IG356" t="e">
        <f>IF(#REF!,"AAAAABf63PA=",0)</f>
        <v>#REF!</v>
      </c>
      <c r="IH356" t="e">
        <f>IF(#REF!,"AAAAABf63PE=",0)</f>
        <v>#REF!</v>
      </c>
      <c r="II356" t="e">
        <f>IF(#REF!,"AAAAABf63PI=",0)</f>
        <v>#REF!</v>
      </c>
      <c r="IJ356" t="e">
        <f>IF(#REF!,"AAAAABf63PM=",0)</f>
        <v>#REF!</v>
      </c>
      <c r="IK356" t="e">
        <f>IF(#REF!,"AAAAABf63PQ=",0)</f>
        <v>#REF!</v>
      </c>
      <c r="IL356" t="e">
        <f>IF(#REF!,"AAAAABf63PU=",0)</f>
        <v>#REF!</v>
      </c>
      <c r="IM356" t="e">
        <f>IF(#REF!,"AAAAABf63PY=",0)</f>
        <v>#REF!</v>
      </c>
      <c r="IN356" t="e">
        <f>IF(#REF!,"AAAAABf63Pc=",0)</f>
        <v>#REF!</v>
      </c>
      <c r="IO356" t="e">
        <f>IF(#REF!,"AAAAABf63Pg=",0)</f>
        <v>#REF!</v>
      </c>
      <c r="IP356" t="e">
        <f>IF(#REF!,"AAAAABf63Pk=",0)</f>
        <v>#REF!</v>
      </c>
      <c r="IQ356" t="e">
        <f>IF(#REF!,"AAAAABf63Po=",0)</f>
        <v>#REF!</v>
      </c>
      <c r="IR356" t="e">
        <f>IF(#REF!,"AAAAABf63Ps=",0)</f>
        <v>#REF!</v>
      </c>
      <c r="IS356" t="e">
        <f>IF(#REF!,"AAAAABf63Pw=",0)</f>
        <v>#REF!</v>
      </c>
      <c r="IT356" t="e">
        <f>IF(#REF!,"AAAAABf63P0=",0)</f>
        <v>#REF!</v>
      </c>
      <c r="IU356" t="e">
        <f>IF(#REF!,"AAAAABf63P4=",0)</f>
        <v>#REF!</v>
      </c>
      <c r="IV356" t="e">
        <f>IF(#REF!,"AAAAABf63P8=",0)</f>
        <v>#REF!</v>
      </c>
    </row>
    <row r="357" spans="1:256">
      <c r="A357" t="e">
        <f>IF(#REF!,"AAAAAGX97wA=",0)</f>
        <v>#REF!</v>
      </c>
      <c r="B357" t="e">
        <f>IF(#REF!,"AAAAAGX97wE=",0)</f>
        <v>#REF!</v>
      </c>
      <c r="C357" t="e">
        <f>IF(#REF!,"AAAAAGX97wI=",0)</f>
        <v>#REF!</v>
      </c>
      <c r="D357" t="e">
        <f>IF(#REF!,"AAAAAGX97wM=",0)</f>
        <v>#REF!</v>
      </c>
      <c r="E357" t="e">
        <f>IF(#REF!,"AAAAAGX97wQ=",0)</f>
        <v>#REF!</v>
      </c>
      <c r="F357" t="e">
        <f>IF(#REF!,"AAAAAGX97wU=",0)</f>
        <v>#REF!</v>
      </c>
      <c r="G357" t="e">
        <f>IF(#REF!,"AAAAAGX97wY=",0)</f>
        <v>#REF!</v>
      </c>
      <c r="H357" t="e">
        <f>IF(#REF!,"AAAAAGX97wc=",0)</f>
        <v>#REF!</v>
      </c>
      <c r="I357" t="e">
        <f>IF(#REF!,"AAAAAGX97wg=",0)</f>
        <v>#REF!</v>
      </c>
      <c r="J357" t="e">
        <f>IF(#REF!,"AAAAAGX97wk=",0)</f>
        <v>#REF!</v>
      </c>
      <c r="K357" t="e">
        <f>IF(#REF!,"AAAAAGX97wo=",0)</f>
        <v>#REF!</v>
      </c>
      <c r="L357" t="e">
        <f>IF(#REF!,"AAAAAGX97ws=",0)</f>
        <v>#REF!</v>
      </c>
      <c r="M357" t="e">
        <f>IF(#REF!,"AAAAAGX97ww=",0)</f>
        <v>#REF!</v>
      </c>
      <c r="N357" t="e">
        <f>IF(#REF!,"AAAAAGX97w0=",0)</f>
        <v>#REF!</v>
      </c>
      <c r="O357" t="e">
        <f>IF(#REF!,"AAAAAGX97w4=",0)</f>
        <v>#REF!</v>
      </c>
      <c r="P357" t="e">
        <f>IF(#REF!,"AAAAAGX97w8=",0)</f>
        <v>#REF!</v>
      </c>
      <c r="Q357" t="e">
        <f>IF(#REF!,"AAAAAGX97xA=",0)</f>
        <v>#REF!</v>
      </c>
      <c r="R357" t="e">
        <f>IF(#REF!,"AAAAAGX97xE=",0)</f>
        <v>#REF!</v>
      </c>
      <c r="S357" t="e">
        <f>IF(#REF!,"AAAAAGX97xI=",0)</f>
        <v>#REF!</v>
      </c>
      <c r="T357" t="e">
        <f>IF(#REF!,"AAAAAGX97xM=",0)</f>
        <v>#REF!</v>
      </c>
      <c r="U357" t="e">
        <f>IF(#REF!,"AAAAAGX97xQ=",0)</f>
        <v>#REF!</v>
      </c>
      <c r="V357" t="e">
        <f>IF(#REF!,"AAAAAGX97xU=",0)</f>
        <v>#REF!</v>
      </c>
      <c r="W357" t="e">
        <f>IF(#REF!,"AAAAAGX97xY=",0)</f>
        <v>#REF!</v>
      </c>
      <c r="X357" t="e">
        <f>IF(#REF!,"AAAAAGX97xc=",0)</f>
        <v>#REF!</v>
      </c>
      <c r="Y357" t="e">
        <f>IF(#REF!,"AAAAAGX97xg=",0)</f>
        <v>#REF!</v>
      </c>
      <c r="Z357" t="e">
        <f>IF(#REF!,"AAAAAGX97xk=",0)</f>
        <v>#REF!</v>
      </c>
      <c r="AA357" t="e">
        <f>IF(#REF!,"AAAAAGX97xo=",0)</f>
        <v>#REF!</v>
      </c>
      <c r="AB357" t="e">
        <f>IF(#REF!,"AAAAAGX97xs=",0)</f>
        <v>#REF!</v>
      </c>
      <c r="AC357" t="e">
        <f>IF(#REF!,"AAAAAGX97xw=",0)</f>
        <v>#REF!</v>
      </c>
      <c r="AD357" t="e">
        <f>IF(#REF!,"AAAAAGX97x0=",0)</f>
        <v>#REF!</v>
      </c>
      <c r="AE357" t="e">
        <f>IF(#REF!,"AAAAAGX97x4=",0)</f>
        <v>#REF!</v>
      </c>
      <c r="AF357" t="e">
        <f>IF(#REF!,"AAAAAGX97x8=",0)</f>
        <v>#REF!</v>
      </c>
      <c r="AG357" t="e">
        <f>IF(#REF!,"AAAAAGX97yA=",0)</f>
        <v>#REF!</v>
      </c>
      <c r="AH357" t="e">
        <f>IF(#REF!,"AAAAAGX97yE=",0)</f>
        <v>#REF!</v>
      </c>
      <c r="AI357" t="e">
        <f>IF(#REF!,"AAAAAGX97yI=",0)</f>
        <v>#REF!</v>
      </c>
      <c r="AJ357" t="e">
        <f>IF(#REF!,"AAAAAGX97yM=",0)</f>
        <v>#REF!</v>
      </c>
      <c r="AK357" t="e">
        <f>IF(#REF!,"AAAAAGX97yQ=",0)</f>
        <v>#REF!</v>
      </c>
      <c r="AL357" t="e">
        <f>IF(#REF!,"AAAAAGX97yU=",0)</f>
        <v>#REF!</v>
      </c>
      <c r="AM357" t="e">
        <f>IF(#REF!,"AAAAAGX97yY=",0)</f>
        <v>#REF!</v>
      </c>
      <c r="AN357" t="e">
        <f>IF(#REF!,"AAAAAGX97yc=",0)</f>
        <v>#REF!</v>
      </c>
      <c r="AO357" t="e">
        <f>IF(#REF!,"AAAAAGX97yg=",0)</f>
        <v>#REF!</v>
      </c>
      <c r="AP357" t="e">
        <f>IF(#REF!,"AAAAAGX97yk=",0)</f>
        <v>#REF!</v>
      </c>
      <c r="AQ357" t="e">
        <f>IF(#REF!,"AAAAAGX97yo=",0)</f>
        <v>#REF!</v>
      </c>
      <c r="AR357" t="e">
        <f>IF(#REF!,"AAAAAGX97ys=",0)</f>
        <v>#REF!</v>
      </c>
      <c r="AS357" t="e">
        <f>IF(#REF!,"AAAAAGX97yw=",0)</f>
        <v>#REF!</v>
      </c>
      <c r="AT357" t="e">
        <f>IF(#REF!,"AAAAAGX97y0=",0)</f>
        <v>#REF!</v>
      </c>
      <c r="AU357" t="e">
        <f>IF(#REF!,"AAAAAGX97y4=",0)</f>
        <v>#REF!</v>
      </c>
      <c r="AV357" t="e">
        <f>IF(#REF!,"AAAAAGX97y8=",0)</f>
        <v>#REF!</v>
      </c>
      <c r="AW357" t="e">
        <f>IF(#REF!,"AAAAAGX97zA=",0)</f>
        <v>#REF!</v>
      </c>
      <c r="AX357" t="e">
        <f>IF(#REF!,"AAAAAGX97zE=",0)</f>
        <v>#REF!</v>
      </c>
      <c r="AY357" t="e">
        <f>IF(#REF!,"AAAAAGX97zI=",0)</f>
        <v>#REF!</v>
      </c>
      <c r="AZ357" t="e">
        <f>IF(#REF!,"AAAAAGX97zM=",0)</f>
        <v>#REF!</v>
      </c>
      <c r="BA357" t="e">
        <f>IF(#REF!,"AAAAAGX97zQ=",0)</f>
        <v>#REF!</v>
      </c>
      <c r="BB357" t="e">
        <f>IF(#REF!,"AAAAAGX97zU=",0)</f>
        <v>#REF!</v>
      </c>
      <c r="BC357" t="e">
        <f>IF(#REF!,"AAAAAGX97zY=",0)</f>
        <v>#REF!</v>
      </c>
      <c r="BD357" t="e">
        <f>IF(#REF!,"AAAAAGX97zc=",0)</f>
        <v>#REF!</v>
      </c>
      <c r="BE357" t="e">
        <f>IF(#REF!,"AAAAAGX97zg=",0)</f>
        <v>#REF!</v>
      </c>
      <c r="BF357" t="e">
        <f>IF(#REF!,"AAAAAGX97zk=",0)</f>
        <v>#REF!</v>
      </c>
      <c r="BG357" t="e">
        <f>IF(#REF!,"AAAAAGX97zo=",0)</f>
        <v>#REF!</v>
      </c>
      <c r="BH357" t="e">
        <f>IF(#REF!,"AAAAAGX97zs=",0)</f>
        <v>#REF!</v>
      </c>
      <c r="BI357" t="e">
        <f>IF(#REF!,"AAAAAGX97zw=",0)</f>
        <v>#REF!</v>
      </c>
      <c r="BJ357" t="e">
        <f>IF(#REF!,"AAAAAGX97z0=",0)</f>
        <v>#REF!</v>
      </c>
      <c r="BK357" t="e">
        <f>IF(#REF!,"AAAAAGX97z4=",0)</f>
        <v>#REF!</v>
      </c>
      <c r="BL357" t="e">
        <f>IF(#REF!,"AAAAAGX97z8=",0)</f>
        <v>#REF!</v>
      </c>
      <c r="BM357" t="e">
        <f>IF(#REF!,"AAAAAGX970A=",0)</f>
        <v>#REF!</v>
      </c>
      <c r="BN357" t="e">
        <f>IF(#REF!,"AAAAAGX970E=",0)</f>
        <v>#REF!</v>
      </c>
      <c r="BO357" t="e">
        <f>IF(#REF!,"AAAAAGX970I=",0)</f>
        <v>#REF!</v>
      </c>
      <c r="BP357" t="e">
        <f>IF(#REF!,"AAAAAGX970M=",0)</f>
        <v>#REF!</v>
      </c>
      <c r="BQ357" t="e">
        <f>IF(#REF!,"AAAAAGX970Q=",0)</f>
        <v>#REF!</v>
      </c>
      <c r="BR357" t="e">
        <f>IF(#REF!,"AAAAAGX970U=",0)</f>
        <v>#REF!</v>
      </c>
      <c r="BS357" t="e">
        <f>IF(#REF!,"AAAAAGX970Y=",0)</f>
        <v>#REF!</v>
      </c>
      <c r="BT357" t="e">
        <f>IF(#REF!,"AAAAAGX970c=",0)</f>
        <v>#REF!</v>
      </c>
      <c r="BU357" t="e">
        <f>IF(#REF!,"AAAAAGX970g=",0)</f>
        <v>#REF!</v>
      </c>
      <c r="BV357" t="e">
        <f>IF(#REF!,"AAAAAGX970k=",0)</f>
        <v>#REF!</v>
      </c>
      <c r="BW357" t="e">
        <f>IF(#REF!,"AAAAAGX970o=",0)</f>
        <v>#REF!</v>
      </c>
      <c r="BX357" t="e">
        <f>IF(#REF!,"AAAAAGX970s=",0)</f>
        <v>#REF!</v>
      </c>
      <c r="BY357" t="e">
        <f>IF(#REF!,"AAAAAGX970w=",0)</f>
        <v>#REF!</v>
      </c>
      <c r="BZ357" t="e">
        <f>IF(#REF!,"AAAAAGX9700=",0)</f>
        <v>#REF!</v>
      </c>
      <c r="CA357" t="e">
        <f>IF(#REF!,"AAAAAGX9704=",0)</f>
        <v>#REF!</v>
      </c>
      <c r="CB357" t="e">
        <f>IF(#REF!,"AAAAAGX9708=",0)</f>
        <v>#REF!</v>
      </c>
      <c r="CC357" t="e">
        <f>IF(#REF!,"AAAAAGX971A=",0)</f>
        <v>#REF!</v>
      </c>
      <c r="CD357" t="e">
        <f>IF(#REF!,"AAAAAGX971E=",0)</f>
        <v>#REF!</v>
      </c>
      <c r="CE357" t="e">
        <f>IF(#REF!,"AAAAAGX971I=",0)</f>
        <v>#REF!</v>
      </c>
      <c r="CF357" t="e">
        <f>IF(#REF!,"AAAAAGX971M=",0)</f>
        <v>#REF!</v>
      </c>
      <c r="CG357" t="e">
        <f>IF(#REF!,"AAAAAGX971Q=",0)</f>
        <v>#REF!</v>
      </c>
      <c r="CH357" t="e">
        <f>IF(#REF!,"AAAAAGX971U=",0)</f>
        <v>#REF!</v>
      </c>
      <c r="CI357" t="e">
        <f>IF(#REF!,"AAAAAGX971Y=",0)</f>
        <v>#REF!</v>
      </c>
      <c r="CJ357" t="e">
        <f>IF(#REF!,"AAAAAGX971c=",0)</f>
        <v>#REF!</v>
      </c>
      <c r="CK357" t="e">
        <f>IF(#REF!,"AAAAAGX971g=",0)</f>
        <v>#REF!</v>
      </c>
      <c r="CL357" t="e">
        <f>IF(#REF!,"AAAAAGX971k=",0)</f>
        <v>#REF!</v>
      </c>
      <c r="CM357" t="e">
        <f>IF(#REF!,"AAAAAGX971o=",0)</f>
        <v>#REF!</v>
      </c>
      <c r="CN357" t="e">
        <f>IF(#REF!,"AAAAAGX971s=",0)</f>
        <v>#REF!</v>
      </c>
      <c r="CO357" t="e">
        <f>IF(#REF!,"AAAAAGX971w=",0)</f>
        <v>#REF!</v>
      </c>
      <c r="CP357" t="e">
        <f>IF(#REF!,"AAAAAGX9710=",0)</f>
        <v>#REF!</v>
      </c>
      <c r="CQ357" t="e">
        <f>IF(#REF!,"AAAAAGX9714=",0)</f>
        <v>#REF!</v>
      </c>
      <c r="CR357" t="e">
        <f>IF(#REF!,"AAAAAGX9718=",0)</f>
        <v>#REF!</v>
      </c>
      <c r="CS357" t="e">
        <f>IF(#REF!,"AAAAAGX972A=",0)</f>
        <v>#REF!</v>
      </c>
      <c r="CT357" t="e">
        <f>IF(#REF!,"AAAAAGX972E=",0)</f>
        <v>#REF!</v>
      </c>
      <c r="CU357" t="e">
        <f>IF(#REF!,"AAAAAGX972I=",0)</f>
        <v>#REF!</v>
      </c>
      <c r="CV357" t="e">
        <f>IF(#REF!,"AAAAAGX972M=",0)</f>
        <v>#REF!</v>
      </c>
      <c r="CW357" t="e">
        <f>IF(#REF!,"AAAAAGX972Q=",0)</f>
        <v>#REF!</v>
      </c>
      <c r="CX357" t="e">
        <f>IF(#REF!,"AAAAAGX972U=",0)</f>
        <v>#REF!</v>
      </c>
      <c r="CY357" t="e">
        <f>IF(#REF!,"AAAAAGX972Y=",0)</f>
        <v>#REF!</v>
      </c>
      <c r="CZ357" t="e">
        <f>IF(#REF!,"AAAAAGX972c=",0)</f>
        <v>#REF!</v>
      </c>
      <c r="DA357" t="e">
        <f>IF(#REF!,"AAAAAGX972g=",0)</f>
        <v>#REF!</v>
      </c>
      <c r="DB357" t="e">
        <f>IF(#REF!,"AAAAAGX972k=",0)</f>
        <v>#REF!</v>
      </c>
      <c r="DC357" t="e">
        <f>IF(#REF!,"AAAAAGX972o=",0)</f>
        <v>#REF!</v>
      </c>
      <c r="DD357" t="e">
        <f>IF(#REF!,"AAAAAGX972s=",0)</f>
        <v>#REF!</v>
      </c>
      <c r="DE357" t="e">
        <f>IF(#REF!,"AAAAAGX972w=",0)</f>
        <v>#REF!</v>
      </c>
      <c r="DF357" t="e">
        <f>IF(#REF!,"AAAAAGX9720=",0)</f>
        <v>#REF!</v>
      </c>
      <c r="DG357" t="e">
        <f>IF(#REF!,"AAAAAGX9724=",0)</f>
        <v>#REF!</v>
      </c>
      <c r="DH357" t="e">
        <f>IF(#REF!,"AAAAAGX9728=",0)</f>
        <v>#REF!</v>
      </c>
      <c r="DI357" t="e">
        <f>IF(#REF!,"AAAAAGX973A=",0)</f>
        <v>#REF!</v>
      </c>
      <c r="DJ357" t="e">
        <f>IF(#REF!,"AAAAAGX973E=",0)</f>
        <v>#REF!</v>
      </c>
      <c r="DK357" t="e">
        <f>IF(#REF!,"AAAAAGX973I=",0)</f>
        <v>#REF!</v>
      </c>
      <c r="DL357" t="e">
        <f>IF(#REF!,"AAAAAGX973M=",0)</f>
        <v>#REF!</v>
      </c>
      <c r="DM357" t="e">
        <f>IF(#REF!,"AAAAAGX973Q=",0)</f>
        <v>#REF!</v>
      </c>
      <c r="DN357" t="e">
        <f>IF(#REF!,"AAAAAGX973U=",0)</f>
        <v>#REF!</v>
      </c>
      <c r="DO357" t="e">
        <f>IF(#REF!,"AAAAAGX973Y=",0)</f>
        <v>#REF!</v>
      </c>
      <c r="DP357" t="e">
        <f>IF(#REF!,"AAAAAGX973c=",0)</f>
        <v>#REF!</v>
      </c>
      <c r="DQ357" t="e">
        <f>IF(#REF!,"AAAAAGX973g=",0)</f>
        <v>#REF!</v>
      </c>
      <c r="DR357" t="e">
        <f>IF(#REF!,"AAAAAGX973k=",0)</f>
        <v>#REF!</v>
      </c>
      <c r="DS357" t="e">
        <f>IF(#REF!,"AAAAAGX973o=",0)</f>
        <v>#REF!</v>
      </c>
      <c r="DT357" t="e">
        <f>IF(#REF!,"AAAAAGX973s=",0)</f>
        <v>#REF!</v>
      </c>
      <c r="DU357" t="e">
        <f>IF(#REF!,"AAAAAGX973w=",0)</f>
        <v>#REF!</v>
      </c>
      <c r="DV357" t="e">
        <f>IF(#REF!,"AAAAAGX9730=",0)</f>
        <v>#REF!</v>
      </c>
      <c r="DW357" t="e">
        <f>IF(#REF!,"AAAAAGX9734=",0)</f>
        <v>#REF!</v>
      </c>
      <c r="DX357" t="e">
        <f>IF(#REF!,"AAAAAGX9738=",0)</f>
        <v>#REF!</v>
      </c>
      <c r="DY357" t="e">
        <f>IF(#REF!,"AAAAAGX974A=",0)</f>
        <v>#REF!</v>
      </c>
      <c r="DZ357" t="e">
        <f>IF(#REF!,"AAAAAGX974E=",0)</f>
        <v>#REF!</v>
      </c>
      <c r="EA357" t="e">
        <f>IF(#REF!,"AAAAAGX974I=",0)</f>
        <v>#REF!</v>
      </c>
      <c r="EB357" t="e">
        <f>IF(#REF!,"AAAAAGX974M=",0)</f>
        <v>#REF!</v>
      </c>
      <c r="EC357" t="e">
        <f>IF(#REF!,"AAAAAGX974Q=",0)</f>
        <v>#REF!</v>
      </c>
      <c r="ED357" t="e">
        <f>IF(#REF!,"AAAAAGX974U=",0)</f>
        <v>#REF!</v>
      </c>
      <c r="EE357" t="e">
        <f>IF(#REF!,"AAAAAGX974Y=",0)</f>
        <v>#REF!</v>
      </c>
      <c r="EF357" t="e">
        <f>IF(#REF!,"AAAAAGX974c=",0)</f>
        <v>#REF!</v>
      </c>
      <c r="EG357" t="e">
        <f>IF(#REF!,"AAAAAGX974g=",0)</f>
        <v>#REF!</v>
      </c>
      <c r="EH357" t="e">
        <f>IF(#REF!,"AAAAAGX974k=",0)</f>
        <v>#REF!</v>
      </c>
      <c r="EI357" t="e">
        <f>IF(#REF!,"AAAAAGX974o=",0)</f>
        <v>#REF!</v>
      </c>
      <c r="EJ357" t="e">
        <f>IF(#REF!,"AAAAAGX974s=",0)</f>
        <v>#REF!</v>
      </c>
      <c r="EK357" t="e">
        <f>IF(#REF!,"AAAAAGX974w=",0)</f>
        <v>#REF!</v>
      </c>
      <c r="EL357" t="e">
        <f>IF(#REF!,"AAAAAGX9740=",0)</f>
        <v>#REF!</v>
      </c>
      <c r="EM357" t="e">
        <f>IF(#REF!,"AAAAAGX9744=",0)</f>
        <v>#REF!</v>
      </c>
      <c r="EN357" t="e">
        <f>IF(#REF!,"AAAAAGX9748=",0)</f>
        <v>#REF!</v>
      </c>
      <c r="EO357" t="e">
        <f>IF(#REF!,"AAAAAGX975A=",0)</f>
        <v>#REF!</v>
      </c>
      <c r="EP357" t="e">
        <f>IF(#REF!,"AAAAAGX975E=",0)</f>
        <v>#REF!</v>
      </c>
      <c r="EQ357" t="e">
        <f>IF(#REF!,"AAAAAGX975I=",0)</f>
        <v>#REF!</v>
      </c>
      <c r="ER357" t="e">
        <f>IF(#REF!,"AAAAAGX975M=",0)</f>
        <v>#REF!</v>
      </c>
      <c r="ES357" t="e">
        <f>IF(#REF!,"AAAAAGX975Q=",0)</f>
        <v>#REF!</v>
      </c>
      <c r="ET357" t="e">
        <f>IF(#REF!,"AAAAAGX975U=",0)</f>
        <v>#REF!</v>
      </c>
      <c r="EU357" t="e">
        <f>IF(#REF!,"AAAAAGX975Y=",0)</f>
        <v>#REF!</v>
      </c>
      <c r="EV357" t="e">
        <f>IF(#REF!,"AAAAAGX975c=",0)</f>
        <v>#REF!</v>
      </c>
      <c r="EW357" t="e">
        <f>IF(#REF!,"AAAAAGX975g=",0)</f>
        <v>#REF!</v>
      </c>
      <c r="EX357" t="e">
        <f>IF(#REF!,"AAAAAGX975k=",0)</f>
        <v>#REF!</v>
      </c>
      <c r="EY357" t="e">
        <f>IF(#REF!,"AAAAAGX975o=",0)</f>
        <v>#REF!</v>
      </c>
      <c r="EZ357" t="e">
        <f>IF(#REF!,"AAAAAGX975s=",0)</f>
        <v>#REF!</v>
      </c>
      <c r="FA357" t="e">
        <f>IF(#REF!,"AAAAAGX975w=",0)</f>
        <v>#REF!</v>
      </c>
      <c r="FB357" t="e">
        <f>IF(#REF!,"AAAAAGX9750=",0)</f>
        <v>#REF!</v>
      </c>
      <c r="FC357" t="e">
        <f>IF(#REF!,"AAAAAGX9754=",0)</f>
        <v>#REF!</v>
      </c>
      <c r="FD357" t="e">
        <f>IF(#REF!,"AAAAAGX9758=",0)</f>
        <v>#REF!</v>
      </c>
      <c r="FE357" t="e">
        <f>IF(#REF!,"AAAAAGX976A=",0)</f>
        <v>#REF!</v>
      </c>
      <c r="FF357" t="e">
        <f>IF(#REF!,"AAAAAGX976E=",0)</f>
        <v>#REF!</v>
      </c>
      <c r="FG357" t="e">
        <f>IF(#REF!,"AAAAAGX976I=",0)</f>
        <v>#REF!</v>
      </c>
      <c r="FH357" t="e">
        <f>IF(#REF!,"AAAAAGX976M=",0)</f>
        <v>#REF!</v>
      </c>
      <c r="FI357" t="e">
        <f>IF(#REF!,"AAAAAGX976Q=",0)</f>
        <v>#REF!</v>
      </c>
      <c r="FJ357" t="e">
        <f>IF(#REF!,"AAAAAGX976U=",0)</f>
        <v>#REF!</v>
      </c>
      <c r="FK357" t="e">
        <f>IF(#REF!,"AAAAAGX976Y=",0)</f>
        <v>#REF!</v>
      </c>
      <c r="FL357" t="e">
        <f>IF(#REF!,"AAAAAGX976c=",0)</f>
        <v>#REF!</v>
      </c>
      <c r="FM357" t="e">
        <f>IF(#REF!,"AAAAAGX976g=",0)</f>
        <v>#REF!</v>
      </c>
      <c r="FN357" t="e">
        <f>IF(#REF!,"AAAAAGX976k=",0)</f>
        <v>#REF!</v>
      </c>
      <c r="FO357" t="e">
        <f>IF(#REF!,"AAAAAGX976o=",0)</f>
        <v>#REF!</v>
      </c>
      <c r="FP357" t="e">
        <f>IF(#REF!,"AAAAAGX976s=",0)</f>
        <v>#REF!</v>
      </c>
      <c r="FQ357" t="e">
        <f>IF(#REF!,"AAAAAGX976w=",0)</f>
        <v>#REF!</v>
      </c>
      <c r="FR357" t="e">
        <f>IF(#REF!,"AAAAAGX9760=",0)</f>
        <v>#REF!</v>
      </c>
      <c r="FS357" t="e">
        <f>IF(#REF!,"AAAAAGX9764=",0)</f>
        <v>#REF!</v>
      </c>
      <c r="FT357" t="e">
        <f>IF(#REF!,"AAAAAGX9768=",0)</f>
        <v>#REF!</v>
      </c>
      <c r="FU357" t="e">
        <f>IF(#REF!,"AAAAAGX977A=",0)</f>
        <v>#REF!</v>
      </c>
      <c r="FV357" t="e">
        <f>IF(#REF!,"AAAAAGX977E=",0)</f>
        <v>#REF!</v>
      </c>
      <c r="FW357" t="e">
        <f>IF(#REF!,"AAAAAGX977I=",0)</f>
        <v>#REF!</v>
      </c>
      <c r="FX357" t="e">
        <f>IF(#REF!,"AAAAAGX977M=",0)</f>
        <v>#REF!</v>
      </c>
      <c r="FY357" t="e">
        <f>IF(#REF!,"AAAAAGX977Q=",0)</f>
        <v>#REF!</v>
      </c>
      <c r="FZ357" t="e">
        <f>IF(#REF!,"AAAAAGX977U=",0)</f>
        <v>#REF!</v>
      </c>
      <c r="GA357" t="e">
        <f>IF(#REF!,"AAAAAGX977Y=",0)</f>
        <v>#REF!</v>
      </c>
      <c r="GB357" t="e">
        <f>IF(#REF!,"AAAAAGX977c=",0)</f>
        <v>#REF!</v>
      </c>
      <c r="GC357" t="e">
        <f>IF(#REF!,"AAAAAGX977g=",0)</f>
        <v>#REF!</v>
      </c>
      <c r="GD357" t="e">
        <f>IF(#REF!,"AAAAAGX977k=",0)</f>
        <v>#REF!</v>
      </c>
      <c r="GE357" t="e">
        <f>IF(#REF!,"AAAAAGX977o=",0)</f>
        <v>#REF!</v>
      </c>
      <c r="GF357" t="e">
        <f>IF(#REF!,"AAAAAGX977s=",0)</f>
        <v>#REF!</v>
      </c>
      <c r="GG357" t="e">
        <f>IF(#REF!,"AAAAAGX977w=",0)</f>
        <v>#REF!</v>
      </c>
      <c r="GH357" t="e">
        <f>IF(#REF!,"AAAAAGX9770=",0)</f>
        <v>#REF!</v>
      </c>
      <c r="GI357" t="e">
        <f>IF(#REF!,"AAAAAGX9774=",0)</f>
        <v>#REF!</v>
      </c>
      <c r="GJ357" t="e">
        <f>IF(#REF!,"AAAAAGX9778=",0)</f>
        <v>#REF!</v>
      </c>
      <c r="GK357" t="e">
        <f>IF(#REF!,"AAAAAGX978A=",0)</f>
        <v>#REF!</v>
      </c>
      <c r="GL357" t="e">
        <f>IF(#REF!,"AAAAAGX978E=",0)</f>
        <v>#REF!</v>
      </c>
      <c r="GM357" t="e">
        <f>IF(#REF!,"AAAAAGX978I=",0)</f>
        <v>#REF!</v>
      </c>
      <c r="GN357" t="e">
        <f>IF(#REF!,"AAAAAGX978M=",0)</f>
        <v>#REF!</v>
      </c>
      <c r="GO357" t="e">
        <f>IF(#REF!,"AAAAAGX978Q=",0)</f>
        <v>#REF!</v>
      </c>
      <c r="GP357" t="e">
        <f>IF(#REF!,"AAAAAGX978U=",0)</f>
        <v>#REF!</v>
      </c>
      <c r="GQ357" t="e">
        <f>IF(#REF!,"AAAAAGX978Y=",0)</f>
        <v>#REF!</v>
      </c>
      <c r="GR357" t="e">
        <f>IF(#REF!,"AAAAAGX978c=",0)</f>
        <v>#REF!</v>
      </c>
      <c r="GS357" t="e">
        <f>IF(#REF!,"AAAAAGX978g=",0)</f>
        <v>#REF!</v>
      </c>
      <c r="GT357" t="e">
        <f>IF(#REF!,"AAAAAGX978k=",0)</f>
        <v>#REF!</v>
      </c>
      <c r="GU357" t="e">
        <f>IF(#REF!,"AAAAAGX978o=",0)</f>
        <v>#REF!</v>
      </c>
      <c r="GV357" t="e">
        <f>IF(#REF!,"AAAAAGX978s=",0)</f>
        <v>#REF!</v>
      </c>
      <c r="GW357" t="e">
        <f>IF(#REF!,"AAAAAGX978w=",0)</f>
        <v>#REF!</v>
      </c>
      <c r="GX357" t="e">
        <f>IF(#REF!,"AAAAAGX9780=",0)</f>
        <v>#REF!</v>
      </c>
      <c r="GY357" t="e">
        <f>IF(#REF!,"AAAAAGX9784=",0)</f>
        <v>#REF!</v>
      </c>
      <c r="GZ357" t="e">
        <f>IF(#REF!,"AAAAAGX9788=",0)</f>
        <v>#REF!</v>
      </c>
      <c r="HA357" t="e">
        <f>IF(#REF!,"AAAAAGX979A=",0)</f>
        <v>#REF!</v>
      </c>
      <c r="HB357" t="e">
        <f>IF(#REF!,"AAAAAGX979E=",0)</f>
        <v>#REF!</v>
      </c>
      <c r="HC357" t="e">
        <f>IF(#REF!,"AAAAAGX979I=",0)</f>
        <v>#REF!</v>
      </c>
      <c r="HD357" t="e">
        <f>IF(#REF!,"AAAAAGX979M=",0)</f>
        <v>#REF!</v>
      </c>
      <c r="HE357" t="e">
        <f>IF(#REF!,"AAAAAGX979Q=",0)</f>
        <v>#REF!</v>
      </c>
      <c r="HF357" t="e">
        <f>IF(#REF!,"AAAAAGX979U=",0)</f>
        <v>#REF!</v>
      </c>
      <c r="HG357" t="e">
        <f>IF(#REF!,"AAAAAGX979Y=",0)</f>
        <v>#REF!</v>
      </c>
      <c r="HH357" t="e">
        <f>IF(#REF!,"AAAAAGX979c=",0)</f>
        <v>#REF!</v>
      </c>
      <c r="HI357" t="e">
        <f>IF(#REF!,"AAAAAGX979g=",0)</f>
        <v>#REF!</v>
      </c>
      <c r="HJ357" t="e">
        <f>IF(#REF!,"AAAAAGX979k=",0)</f>
        <v>#REF!</v>
      </c>
      <c r="HK357" t="e">
        <f>IF(#REF!,"AAAAAGX979o=",0)</f>
        <v>#REF!</v>
      </c>
      <c r="HL357" t="e">
        <f>IF(#REF!,"AAAAAGX979s=",0)</f>
        <v>#REF!</v>
      </c>
      <c r="HM357" t="e">
        <f>IF(#REF!,"AAAAAGX979w=",0)</f>
        <v>#REF!</v>
      </c>
      <c r="HN357" t="e">
        <f>IF(#REF!,"AAAAAGX9790=",0)</f>
        <v>#REF!</v>
      </c>
      <c r="HO357" t="e">
        <f>IF(#REF!,"AAAAAGX9794=",0)</f>
        <v>#REF!</v>
      </c>
      <c r="HP357" t="e">
        <f>IF(#REF!,"AAAAAGX9798=",0)</f>
        <v>#REF!</v>
      </c>
      <c r="HQ357" t="e">
        <f>IF(#REF!,"AAAAAGX97+A=",0)</f>
        <v>#REF!</v>
      </c>
      <c r="HR357" t="e">
        <f>IF(#REF!,"AAAAAGX97+E=",0)</f>
        <v>#REF!</v>
      </c>
      <c r="HS357" t="e">
        <f>IF(#REF!,"AAAAAGX97+I=",0)</f>
        <v>#REF!</v>
      </c>
      <c r="HT357" t="e">
        <f>IF(#REF!,"AAAAAGX97+M=",0)</f>
        <v>#REF!</v>
      </c>
      <c r="HU357" t="e">
        <f>IF(#REF!,"AAAAAGX97+Q=",0)</f>
        <v>#REF!</v>
      </c>
      <c r="HV357" t="e">
        <f>IF(#REF!,"AAAAAGX97+U=",0)</f>
        <v>#REF!</v>
      </c>
      <c r="HW357" t="e">
        <f>IF(#REF!,"AAAAAGX97+Y=",0)</f>
        <v>#REF!</v>
      </c>
      <c r="HX357" t="e">
        <f>IF(#REF!,"AAAAAGX97+c=",0)</f>
        <v>#REF!</v>
      </c>
      <c r="HY357" t="e">
        <f>IF(#REF!,"AAAAAGX97+g=",0)</f>
        <v>#REF!</v>
      </c>
      <c r="HZ357" t="e">
        <f>IF(#REF!,"AAAAAGX97+k=",0)</f>
        <v>#REF!</v>
      </c>
      <c r="IA357" t="e">
        <f>IF(#REF!,"AAAAAGX97+o=",0)</f>
        <v>#REF!</v>
      </c>
      <c r="IB357" t="e">
        <f>IF(#REF!,"AAAAAGX97+s=",0)</f>
        <v>#REF!</v>
      </c>
      <c r="IC357" t="e">
        <f>IF(#REF!,"AAAAAGX97+w=",0)</f>
        <v>#REF!</v>
      </c>
      <c r="ID357" t="e">
        <f>IF(#REF!,"AAAAAGX97+0=",0)</f>
        <v>#REF!</v>
      </c>
      <c r="IE357" t="e">
        <f>IF(#REF!,"AAAAAGX97+4=",0)</f>
        <v>#REF!</v>
      </c>
      <c r="IF357" t="e">
        <f>IF(#REF!,"AAAAAGX97+8=",0)</f>
        <v>#REF!</v>
      </c>
      <c r="IG357" t="e">
        <f>IF(#REF!,"AAAAAGX97/A=",0)</f>
        <v>#REF!</v>
      </c>
      <c r="IH357" t="e">
        <f>IF(#REF!,"AAAAAGX97/E=",0)</f>
        <v>#REF!</v>
      </c>
      <c r="II357" t="e">
        <f>IF(#REF!,"AAAAAGX97/I=",0)</f>
        <v>#REF!</v>
      </c>
      <c r="IJ357" t="e">
        <f>IF(#REF!,"AAAAAGX97/M=",0)</f>
        <v>#REF!</v>
      </c>
      <c r="IK357" t="e">
        <f>IF(#REF!,"AAAAAGX97/Q=",0)</f>
        <v>#REF!</v>
      </c>
      <c r="IL357" t="e">
        <f>IF(#REF!,"AAAAAGX97/U=",0)</f>
        <v>#REF!</v>
      </c>
      <c r="IM357" t="e">
        <f>IF(#REF!,"AAAAAGX97/Y=",0)</f>
        <v>#REF!</v>
      </c>
      <c r="IN357" t="e">
        <f>IF(#REF!,"AAAAAGX97/c=",0)</f>
        <v>#REF!</v>
      </c>
      <c r="IO357" t="e">
        <f>IF(#REF!,"AAAAAGX97/g=",0)</f>
        <v>#REF!</v>
      </c>
      <c r="IP357" t="e">
        <f>IF(#REF!,"AAAAAGX97/k=",0)</f>
        <v>#REF!</v>
      </c>
      <c r="IQ357" t="e">
        <f>IF(#REF!,"AAAAAGX97/o=",0)</f>
        <v>#REF!</v>
      </c>
      <c r="IR357" t="e">
        <f>IF(#REF!,"AAAAAGX97/s=",0)</f>
        <v>#REF!</v>
      </c>
      <c r="IS357" t="e">
        <f>IF(#REF!,"AAAAAGX97/w=",0)</f>
        <v>#REF!</v>
      </c>
      <c r="IT357" t="e">
        <f>IF(#REF!,"AAAAAGX97/0=",0)</f>
        <v>#REF!</v>
      </c>
      <c r="IU357" t="e">
        <f>IF(#REF!,"AAAAAGX97/4=",0)</f>
        <v>#REF!</v>
      </c>
      <c r="IV357" t="e">
        <f>IF(#REF!,"AAAAAGX97/8=",0)</f>
        <v>#REF!</v>
      </c>
    </row>
    <row r="358" spans="1:256">
      <c r="A358" t="e">
        <f>IF(#REF!,"AAAAAD+/2wA=",0)</f>
        <v>#REF!</v>
      </c>
      <c r="B358" t="e">
        <f>IF(#REF!,"AAAAAD+/2wE=",0)</f>
        <v>#REF!</v>
      </c>
      <c r="C358" t="e">
        <f>IF(#REF!,"AAAAAD+/2wI=",0)</f>
        <v>#REF!</v>
      </c>
      <c r="D358" t="e">
        <f>IF(#REF!,"AAAAAD+/2wM=",0)</f>
        <v>#REF!</v>
      </c>
      <c r="E358" t="e">
        <f>IF(#REF!,"AAAAAD+/2wQ=",0)</f>
        <v>#REF!</v>
      </c>
      <c r="F358" t="e">
        <f>IF(#REF!,"AAAAAD+/2wU=",0)</f>
        <v>#REF!</v>
      </c>
      <c r="G358" t="e">
        <f>IF(#REF!,"AAAAAD+/2wY=",0)</f>
        <v>#REF!</v>
      </c>
      <c r="H358" t="e">
        <f>IF(#REF!,"AAAAAD+/2wc=",0)</f>
        <v>#REF!</v>
      </c>
      <c r="I358" t="e">
        <f>IF(#REF!,"AAAAAD+/2wg=",0)</f>
        <v>#REF!</v>
      </c>
      <c r="J358" t="e">
        <f>IF(#REF!,"AAAAAD+/2wk=",0)</f>
        <v>#REF!</v>
      </c>
      <c r="K358" t="e">
        <f>IF(#REF!,"AAAAAD+/2wo=",0)</f>
        <v>#REF!</v>
      </c>
      <c r="L358" t="e">
        <f>IF(#REF!,"AAAAAD+/2ws=",0)</f>
        <v>#REF!</v>
      </c>
      <c r="M358" t="e">
        <f>IF(#REF!,"AAAAAD+/2ww=",0)</f>
        <v>#REF!</v>
      </c>
      <c r="N358" t="e">
        <f>IF(#REF!,"AAAAAD+/2w0=",0)</f>
        <v>#REF!</v>
      </c>
      <c r="O358" t="e">
        <f>IF(#REF!,"AAAAAD+/2w4=",0)</f>
        <v>#REF!</v>
      </c>
      <c r="P358" t="e">
        <f>IF(#REF!,"AAAAAD+/2w8=",0)</f>
        <v>#REF!</v>
      </c>
      <c r="Q358" t="e">
        <f>IF(#REF!,"AAAAAD+/2xA=",0)</f>
        <v>#REF!</v>
      </c>
      <c r="R358" t="e">
        <f>IF(#REF!,"AAAAAD+/2xE=",0)</f>
        <v>#REF!</v>
      </c>
      <c r="S358" t="e">
        <f>IF(#REF!,"AAAAAD+/2xI=",0)</f>
        <v>#REF!</v>
      </c>
      <c r="T358" t="e">
        <f>IF(#REF!,"AAAAAD+/2xM=",0)</f>
        <v>#REF!</v>
      </c>
      <c r="U358" t="e">
        <f>IF(#REF!,"AAAAAD+/2xQ=",0)</f>
        <v>#REF!</v>
      </c>
      <c r="V358" t="e">
        <f>IF(#REF!,"AAAAAD+/2xU=",0)</f>
        <v>#REF!</v>
      </c>
      <c r="W358" t="e">
        <f>IF(#REF!,"AAAAAD+/2xY=",0)</f>
        <v>#REF!</v>
      </c>
      <c r="X358" t="e">
        <f>IF(#REF!,"AAAAAD+/2xc=",0)</f>
        <v>#REF!</v>
      </c>
      <c r="Y358" t="e">
        <f>IF(#REF!,"AAAAAD+/2xg=",0)</f>
        <v>#REF!</v>
      </c>
      <c r="Z358" t="e">
        <f>IF(#REF!,"AAAAAD+/2xk=",0)</f>
        <v>#REF!</v>
      </c>
      <c r="AA358" t="e">
        <f>IF(#REF!,"AAAAAD+/2xo=",0)</f>
        <v>#REF!</v>
      </c>
      <c r="AB358" t="e">
        <f>IF(#REF!,"AAAAAD+/2xs=",0)</f>
        <v>#REF!</v>
      </c>
      <c r="AC358" t="e">
        <f>IF(#REF!,"AAAAAD+/2xw=",0)</f>
        <v>#REF!</v>
      </c>
      <c r="AD358" t="e">
        <f>IF(#REF!,"AAAAAD+/2x0=",0)</f>
        <v>#REF!</v>
      </c>
      <c r="AE358" t="e">
        <f>IF(#REF!,"AAAAAD+/2x4=",0)</f>
        <v>#REF!</v>
      </c>
      <c r="AF358" t="e">
        <f>IF(#REF!,"AAAAAD+/2x8=",0)</f>
        <v>#REF!</v>
      </c>
      <c r="AG358" t="e">
        <f>IF(#REF!,"AAAAAD+/2yA=",0)</f>
        <v>#REF!</v>
      </c>
      <c r="AH358" t="e">
        <f>IF(#REF!,"AAAAAD+/2yE=",0)</f>
        <v>#REF!</v>
      </c>
      <c r="AI358" t="e">
        <f>IF(#REF!,"AAAAAD+/2yI=",0)</f>
        <v>#REF!</v>
      </c>
      <c r="AJ358" t="e">
        <f>IF(#REF!,"AAAAAD+/2yM=",0)</f>
        <v>#REF!</v>
      </c>
      <c r="AK358" t="e">
        <f>IF(#REF!,"AAAAAD+/2yQ=",0)</f>
        <v>#REF!</v>
      </c>
      <c r="AL358" t="e">
        <f>IF(#REF!,"AAAAAD+/2yU=",0)</f>
        <v>#REF!</v>
      </c>
      <c r="AM358" t="e">
        <f>IF(#REF!,"AAAAAD+/2yY=",0)</f>
        <v>#REF!</v>
      </c>
      <c r="AN358" t="e">
        <f>IF(#REF!,"AAAAAD+/2yc=",0)</f>
        <v>#REF!</v>
      </c>
      <c r="AO358" t="e">
        <f>IF(#REF!,"AAAAAD+/2yg=",0)</f>
        <v>#REF!</v>
      </c>
      <c r="AP358" t="e">
        <f>IF(#REF!,"AAAAAD+/2yk=",0)</f>
        <v>#REF!</v>
      </c>
      <c r="AQ358" t="e">
        <f>IF(#REF!,"AAAAAD+/2yo=",0)</f>
        <v>#REF!</v>
      </c>
      <c r="AR358" t="e">
        <f>IF(#REF!,"AAAAAD+/2ys=",0)</f>
        <v>#REF!</v>
      </c>
      <c r="AS358" t="e">
        <f>IF(#REF!,"AAAAAD+/2yw=",0)</f>
        <v>#REF!</v>
      </c>
      <c r="AT358" t="e">
        <f>IF(#REF!,"AAAAAD+/2y0=",0)</f>
        <v>#REF!</v>
      </c>
      <c r="AU358" t="e">
        <f>IF(#REF!,"AAAAAD+/2y4=",0)</f>
        <v>#REF!</v>
      </c>
      <c r="AV358" t="e">
        <f>IF(#REF!,"AAAAAD+/2y8=",0)</f>
        <v>#REF!</v>
      </c>
      <c r="AW358" t="e">
        <f>IF(#REF!,"AAAAAD+/2zA=",0)</f>
        <v>#REF!</v>
      </c>
      <c r="AX358" t="e">
        <f>IF(#REF!,"AAAAAD+/2zE=",0)</f>
        <v>#REF!</v>
      </c>
      <c r="AY358" t="e">
        <f>IF(#REF!,"AAAAAD+/2zI=",0)</f>
        <v>#REF!</v>
      </c>
      <c r="AZ358" t="e">
        <f>IF(#REF!,"AAAAAD+/2zM=",0)</f>
        <v>#REF!</v>
      </c>
      <c r="BA358" t="e">
        <f>IF(#REF!,"AAAAAD+/2zQ=",0)</f>
        <v>#REF!</v>
      </c>
      <c r="BB358" t="e">
        <f>IF(#REF!,"AAAAAD+/2zU=",0)</f>
        <v>#REF!</v>
      </c>
      <c r="BC358" t="e">
        <f>IF(#REF!,"AAAAAD+/2zY=",0)</f>
        <v>#REF!</v>
      </c>
      <c r="BD358" t="e">
        <f>IF(#REF!,"AAAAAD+/2zc=",0)</f>
        <v>#REF!</v>
      </c>
      <c r="BE358" t="e">
        <f>IF(#REF!,"AAAAAD+/2zg=",0)</f>
        <v>#REF!</v>
      </c>
      <c r="BF358" t="e">
        <f>IF(#REF!,"AAAAAD+/2zk=",0)</f>
        <v>#REF!</v>
      </c>
      <c r="BG358" t="e">
        <f>IF(#REF!,"AAAAAD+/2zo=",0)</f>
        <v>#REF!</v>
      </c>
      <c r="BH358" t="e">
        <f>IF(#REF!,"AAAAAD+/2zs=",0)</f>
        <v>#REF!</v>
      </c>
      <c r="BI358" t="e">
        <f>IF(#REF!,"AAAAAD+/2zw=",0)</f>
        <v>#REF!</v>
      </c>
      <c r="BJ358" t="e">
        <f>IF(#REF!,"AAAAAD+/2z0=",0)</f>
        <v>#REF!</v>
      </c>
      <c r="BK358" t="e">
        <f>IF(#REF!,"AAAAAD+/2z4=",0)</f>
        <v>#REF!</v>
      </c>
      <c r="BL358" t="e">
        <f>IF(#REF!,"AAAAAD+/2z8=",0)</f>
        <v>#REF!</v>
      </c>
      <c r="BM358" t="e">
        <f>IF(#REF!,"AAAAAD+/20A=",0)</f>
        <v>#REF!</v>
      </c>
      <c r="BN358" t="e">
        <f>IF(#REF!,"AAAAAD+/20E=",0)</f>
        <v>#REF!</v>
      </c>
      <c r="BO358" t="e">
        <f>IF(#REF!,"AAAAAD+/20I=",0)</f>
        <v>#REF!</v>
      </c>
      <c r="BP358" t="e">
        <f>IF(#REF!,"AAAAAD+/20M=",0)</f>
        <v>#REF!</v>
      </c>
      <c r="BQ358" t="e">
        <f>IF(#REF!,"AAAAAD+/20Q=",0)</f>
        <v>#REF!</v>
      </c>
      <c r="BR358" t="e">
        <f>IF(#REF!,"AAAAAD+/20U=",0)</f>
        <v>#REF!</v>
      </c>
      <c r="BS358" t="e">
        <f>IF(#REF!,"AAAAAD+/20Y=",0)</f>
        <v>#REF!</v>
      </c>
      <c r="BT358" t="e">
        <f>IF(#REF!,"AAAAAD+/20c=",0)</f>
        <v>#REF!</v>
      </c>
      <c r="BU358" t="e">
        <f>IF(#REF!,"AAAAAD+/20g=",0)</f>
        <v>#REF!</v>
      </c>
      <c r="BV358" t="e">
        <f>IF(#REF!,"AAAAAD+/20k=",0)</f>
        <v>#REF!</v>
      </c>
      <c r="BW358" t="e">
        <f>IF(#REF!,"AAAAAD+/20o=",0)</f>
        <v>#REF!</v>
      </c>
      <c r="BX358" t="e">
        <f>IF(#REF!,"AAAAAD+/20s=",0)</f>
        <v>#REF!</v>
      </c>
      <c r="BY358" t="e">
        <f>IF(#REF!,"AAAAAD+/20w=",0)</f>
        <v>#REF!</v>
      </c>
      <c r="BZ358" t="e">
        <f>IF(#REF!,"AAAAAD+/200=",0)</f>
        <v>#REF!</v>
      </c>
      <c r="CA358" t="e">
        <f>IF(#REF!,"AAAAAD+/204=",0)</f>
        <v>#REF!</v>
      </c>
      <c r="CB358" t="e">
        <f>IF(#REF!,"AAAAAD+/208=",0)</f>
        <v>#REF!</v>
      </c>
      <c r="CC358" t="e">
        <f>IF(#REF!,"AAAAAD+/21A=",0)</f>
        <v>#REF!</v>
      </c>
      <c r="CD358" t="e">
        <f>IF(#REF!,"AAAAAD+/21E=",0)</f>
        <v>#REF!</v>
      </c>
      <c r="CE358" t="e">
        <f>IF(#REF!,"AAAAAD+/21I=",0)</f>
        <v>#REF!</v>
      </c>
      <c r="CF358" t="e">
        <f>IF(#REF!,"AAAAAD+/21M=",0)</f>
        <v>#REF!</v>
      </c>
      <c r="CG358" t="e">
        <f>IF(#REF!,"AAAAAD+/21Q=",0)</f>
        <v>#REF!</v>
      </c>
      <c r="CH358" t="e">
        <f>IF(#REF!,"AAAAAD+/21U=",0)</f>
        <v>#REF!</v>
      </c>
      <c r="CI358" t="e">
        <f>IF(#REF!,"AAAAAD+/21Y=",0)</f>
        <v>#REF!</v>
      </c>
      <c r="CJ358" t="e">
        <f>IF(#REF!,"AAAAAD+/21c=",0)</f>
        <v>#REF!</v>
      </c>
      <c r="CK358" t="e">
        <f>IF(#REF!,"AAAAAD+/21g=",0)</f>
        <v>#REF!</v>
      </c>
      <c r="CL358" t="e">
        <f>IF(#REF!,"AAAAAD+/21k=",0)</f>
        <v>#REF!</v>
      </c>
      <c r="CM358" t="e">
        <f>IF(#REF!,"AAAAAD+/21o=",0)</f>
        <v>#REF!</v>
      </c>
      <c r="CN358" t="e">
        <f>IF(#REF!,"AAAAAD+/21s=",0)</f>
        <v>#REF!</v>
      </c>
      <c r="CO358" t="e">
        <f>IF(#REF!,"AAAAAD+/21w=",0)</f>
        <v>#REF!</v>
      </c>
      <c r="CP358" t="e">
        <f>IF(#REF!,"AAAAAD+/210=",0)</f>
        <v>#REF!</v>
      </c>
      <c r="CQ358" t="e">
        <f>IF(#REF!,"AAAAAD+/214=",0)</f>
        <v>#REF!</v>
      </c>
      <c r="CR358" t="e">
        <f>IF(#REF!,"AAAAAD+/218=",0)</f>
        <v>#REF!</v>
      </c>
      <c r="CS358" t="e">
        <f>IF(#REF!,"AAAAAD+/22A=",0)</f>
        <v>#REF!</v>
      </c>
      <c r="CT358" t="e">
        <f>IF(#REF!,"AAAAAD+/22E=",0)</f>
        <v>#REF!</v>
      </c>
      <c r="CU358" t="e">
        <f>IF(#REF!,"AAAAAD+/22I=",0)</f>
        <v>#REF!</v>
      </c>
      <c r="CV358" t="e">
        <f>IF(#REF!,"AAAAAD+/22M=",0)</f>
        <v>#REF!</v>
      </c>
      <c r="CW358" t="e">
        <f>IF(#REF!,"AAAAAD+/22Q=",0)</f>
        <v>#REF!</v>
      </c>
      <c r="CX358" t="e">
        <f>IF(#REF!,"AAAAAD+/22U=",0)</f>
        <v>#REF!</v>
      </c>
      <c r="CY358" t="e">
        <f>IF(#REF!,"AAAAAD+/22Y=",0)</f>
        <v>#REF!</v>
      </c>
      <c r="CZ358" t="e">
        <f>IF(#REF!,"AAAAAD+/22c=",0)</f>
        <v>#REF!</v>
      </c>
      <c r="DA358" t="e">
        <f>IF(#REF!,"AAAAAD+/22g=",0)</f>
        <v>#REF!</v>
      </c>
      <c r="DB358" t="e">
        <f>IF(#REF!,"AAAAAD+/22k=",0)</f>
        <v>#REF!</v>
      </c>
      <c r="DC358" t="e">
        <f>IF(#REF!,"AAAAAD+/22o=",0)</f>
        <v>#REF!</v>
      </c>
      <c r="DD358" t="e">
        <f>IF(#REF!,"AAAAAD+/22s=",0)</f>
        <v>#REF!</v>
      </c>
      <c r="DE358" t="e">
        <f>IF(#REF!,"AAAAAD+/22w=",0)</f>
        <v>#REF!</v>
      </c>
      <c r="DF358" t="e">
        <f>IF(#REF!,"AAAAAD+/220=",0)</f>
        <v>#REF!</v>
      </c>
      <c r="DG358" t="e">
        <f>IF(#REF!,"AAAAAD+/224=",0)</f>
        <v>#REF!</v>
      </c>
      <c r="DH358" t="e">
        <f>IF(#REF!,"AAAAAD+/228=",0)</f>
        <v>#REF!</v>
      </c>
      <c r="DI358" t="e">
        <f>IF(#REF!,"AAAAAD+/23A=",0)</f>
        <v>#REF!</v>
      </c>
      <c r="DJ358" t="e">
        <f>IF(#REF!,"AAAAAD+/23E=",0)</f>
        <v>#REF!</v>
      </c>
      <c r="DK358" t="e">
        <f>IF(#REF!,"AAAAAD+/23I=",0)</f>
        <v>#REF!</v>
      </c>
      <c r="DL358" t="e">
        <f>IF(#REF!,"AAAAAD+/23M=",0)</f>
        <v>#REF!</v>
      </c>
      <c r="DM358" t="e">
        <f>IF(#REF!,"AAAAAD+/23Q=",0)</f>
        <v>#REF!</v>
      </c>
      <c r="DN358" t="e">
        <f>IF(#REF!,"AAAAAD+/23U=",0)</f>
        <v>#REF!</v>
      </c>
      <c r="DO358" t="e">
        <f>IF(#REF!,"AAAAAD+/23Y=",0)</f>
        <v>#REF!</v>
      </c>
      <c r="DP358" t="e">
        <f>IF(#REF!,"AAAAAD+/23c=",0)</f>
        <v>#REF!</v>
      </c>
      <c r="DQ358" t="e">
        <f>IF(#REF!,"AAAAAD+/23g=",0)</f>
        <v>#REF!</v>
      </c>
      <c r="DR358" t="e">
        <f>IF(#REF!,"AAAAAD+/23k=",0)</f>
        <v>#REF!</v>
      </c>
      <c r="DS358" t="e">
        <f>IF(#REF!,"AAAAAD+/23o=",0)</f>
        <v>#REF!</v>
      </c>
      <c r="DT358" t="e">
        <f>IF(#REF!,"AAAAAD+/23s=",0)</f>
        <v>#REF!</v>
      </c>
      <c r="DU358" t="e">
        <f>IF(#REF!,"AAAAAD+/23w=",0)</f>
        <v>#REF!</v>
      </c>
      <c r="DV358" t="e">
        <f>IF(#REF!,"AAAAAD+/230=",0)</f>
        <v>#REF!</v>
      </c>
      <c r="DW358" t="e">
        <f>IF(#REF!,"AAAAAD+/234=",0)</f>
        <v>#REF!</v>
      </c>
      <c r="DX358" t="e">
        <f>IF(#REF!,"AAAAAD+/238=",0)</f>
        <v>#REF!</v>
      </c>
      <c r="DY358" t="e">
        <f>IF(#REF!,"AAAAAD+/24A=",0)</f>
        <v>#REF!</v>
      </c>
      <c r="DZ358" t="e">
        <f>IF(#REF!,"AAAAAD+/24E=",0)</f>
        <v>#REF!</v>
      </c>
      <c r="EA358" t="e">
        <f>IF(#REF!,"AAAAAD+/24I=",0)</f>
        <v>#REF!</v>
      </c>
      <c r="EB358" t="e">
        <f>IF(#REF!,"AAAAAD+/24M=",0)</f>
        <v>#REF!</v>
      </c>
      <c r="EC358" t="e">
        <f>IF(#REF!,"AAAAAD+/24Q=",0)</f>
        <v>#REF!</v>
      </c>
      <c r="ED358" t="e">
        <f>IF(#REF!,"AAAAAD+/24U=",0)</f>
        <v>#REF!</v>
      </c>
      <c r="EE358" t="e">
        <f>IF(#REF!,"AAAAAD+/24Y=",0)</f>
        <v>#REF!</v>
      </c>
      <c r="EF358" t="e">
        <f>IF(#REF!,"AAAAAD+/24c=",0)</f>
        <v>#REF!</v>
      </c>
      <c r="EG358" t="e">
        <f>IF(#REF!,"AAAAAD+/24g=",0)</f>
        <v>#REF!</v>
      </c>
      <c r="EH358" t="e">
        <f>IF(#REF!,"AAAAAD+/24k=",0)</f>
        <v>#REF!</v>
      </c>
      <c r="EI358" t="e">
        <f>IF(#REF!,"AAAAAD+/24o=",0)</f>
        <v>#REF!</v>
      </c>
      <c r="EJ358" t="e">
        <f>IF(#REF!,"AAAAAD+/24s=",0)</f>
        <v>#REF!</v>
      </c>
      <c r="EK358" t="e">
        <f>IF(#REF!,"AAAAAD+/24w=",0)</f>
        <v>#REF!</v>
      </c>
      <c r="EL358" t="e">
        <f>IF(#REF!,"AAAAAD+/240=",0)</f>
        <v>#REF!</v>
      </c>
      <c r="EM358" t="e">
        <f>IF(#REF!,"AAAAAD+/244=",0)</f>
        <v>#REF!</v>
      </c>
      <c r="EN358" t="e">
        <f>IF(#REF!,"AAAAAD+/248=",0)</f>
        <v>#REF!</v>
      </c>
      <c r="EO358" t="e">
        <f>IF(#REF!,"AAAAAD+/25A=",0)</f>
        <v>#REF!</v>
      </c>
      <c r="EP358" t="e">
        <f>IF(#REF!,"AAAAAD+/25E=",0)</f>
        <v>#REF!</v>
      </c>
      <c r="EQ358" t="e">
        <f>IF(#REF!,"AAAAAD+/25I=",0)</f>
        <v>#REF!</v>
      </c>
      <c r="ER358" t="e">
        <f>IF(#REF!,"AAAAAD+/25M=",0)</f>
        <v>#REF!</v>
      </c>
      <c r="ES358" t="e">
        <f>IF(#REF!,"AAAAAD+/25Q=",0)</f>
        <v>#REF!</v>
      </c>
      <c r="ET358" t="e">
        <f>IF(#REF!,"AAAAAD+/25U=",0)</f>
        <v>#REF!</v>
      </c>
      <c r="EU358" t="e">
        <f>IF(#REF!,"AAAAAD+/25Y=",0)</f>
        <v>#REF!</v>
      </c>
      <c r="EV358" t="e">
        <f>IF(#REF!,"AAAAAD+/25c=",0)</f>
        <v>#REF!</v>
      </c>
      <c r="EW358" t="e">
        <f>IF(#REF!,"AAAAAD+/25g=",0)</f>
        <v>#REF!</v>
      </c>
      <c r="EX358" t="e">
        <f>IF(#REF!,"AAAAAD+/25k=",0)</f>
        <v>#REF!</v>
      </c>
      <c r="EY358" t="e">
        <f>IF(#REF!,"AAAAAD+/25o=",0)</f>
        <v>#REF!</v>
      </c>
      <c r="EZ358" t="e">
        <f>IF(#REF!,"AAAAAD+/25s=",0)</f>
        <v>#REF!</v>
      </c>
      <c r="FA358" t="e">
        <f>IF(#REF!,"AAAAAD+/25w=",0)</f>
        <v>#REF!</v>
      </c>
      <c r="FB358" t="e">
        <f>IF(#REF!,"AAAAAD+/250=",0)</f>
        <v>#REF!</v>
      </c>
      <c r="FC358" t="e">
        <f>IF(#REF!,"AAAAAD+/254=",0)</f>
        <v>#REF!</v>
      </c>
      <c r="FD358" t="e">
        <f>IF(#REF!,"AAAAAD+/258=",0)</f>
        <v>#REF!</v>
      </c>
      <c r="FE358" t="e">
        <f>IF(#REF!,"AAAAAD+/26A=",0)</f>
        <v>#REF!</v>
      </c>
      <c r="FF358" t="e">
        <f>IF(#REF!,"AAAAAD+/26E=",0)</f>
        <v>#REF!</v>
      </c>
      <c r="FG358" t="e">
        <f>IF(#REF!,"AAAAAD+/26I=",0)</f>
        <v>#REF!</v>
      </c>
      <c r="FH358" t="e">
        <f>IF(#REF!,"AAAAAD+/26M=",0)</f>
        <v>#REF!</v>
      </c>
      <c r="FI358" t="e">
        <f>IF(#REF!,"AAAAAD+/26Q=",0)</f>
        <v>#REF!</v>
      </c>
      <c r="FJ358" t="e">
        <f>IF(#REF!,"AAAAAD+/26U=",0)</f>
        <v>#REF!</v>
      </c>
      <c r="FK358" t="e">
        <f>IF(#REF!,"AAAAAD+/26Y=",0)</f>
        <v>#REF!</v>
      </c>
      <c r="FL358" t="e">
        <f>IF(#REF!,"AAAAAD+/26c=",0)</f>
        <v>#REF!</v>
      </c>
      <c r="FM358" t="e">
        <f>IF(#REF!,"AAAAAD+/26g=",0)</f>
        <v>#REF!</v>
      </c>
      <c r="FN358" t="e">
        <f>IF(#REF!,"AAAAAD+/26k=",0)</f>
        <v>#REF!</v>
      </c>
      <c r="FO358" t="e">
        <f>IF(#REF!,"AAAAAD+/26o=",0)</f>
        <v>#REF!</v>
      </c>
      <c r="FP358" t="e">
        <f>IF(#REF!,"AAAAAD+/26s=",0)</f>
        <v>#REF!</v>
      </c>
      <c r="FQ358" t="e">
        <f>IF(#REF!,"AAAAAD+/26w=",0)</f>
        <v>#REF!</v>
      </c>
      <c r="FR358" t="e">
        <f>IF(#REF!,"AAAAAD+/260=",0)</f>
        <v>#REF!</v>
      </c>
      <c r="FS358" t="e">
        <f>IF(#REF!,"AAAAAD+/264=",0)</f>
        <v>#REF!</v>
      </c>
      <c r="FT358" t="e">
        <f>IF(#REF!,"AAAAAD+/268=",0)</f>
        <v>#REF!</v>
      </c>
      <c r="FU358" t="e">
        <f>IF(#REF!,"AAAAAD+/27A=",0)</f>
        <v>#REF!</v>
      </c>
      <c r="FV358" t="e">
        <f>IF(#REF!,"AAAAAD+/27E=",0)</f>
        <v>#REF!</v>
      </c>
      <c r="FW358" t="e">
        <f>IF(#REF!,"AAAAAD+/27I=",0)</f>
        <v>#REF!</v>
      </c>
      <c r="FX358" t="e">
        <f>IF(#REF!,"AAAAAD+/27M=",0)</f>
        <v>#REF!</v>
      </c>
      <c r="FY358" t="e">
        <f>IF(#REF!,"AAAAAD+/27Q=",0)</f>
        <v>#REF!</v>
      </c>
      <c r="FZ358" t="e">
        <f>IF(#REF!,"AAAAAD+/27U=",0)</f>
        <v>#REF!</v>
      </c>
      <c r="GA358" t="e">
        <f>IF(#REF!,"AAAAAD+/27Y=",0)</f>
        <v>#REF!</v>
      </c>
      <c r="GB358" t="e">
        <f>IF(#REF!,"AAAAAD+/27c=",0)</f>
        <v>#REF!</v>
      </c>
      <c r="GC358" t="e">
        <f>IF(#REF!,"AAAAAD+/27g=",0)</f>
        <v>#REF!</v>
      </c>
      <c r="GD358" t="e">
        <f>IF(#REF!,"AAAAAD+/27k=",0)</f>
        <v>#REF!</v>
      </c>
      <c r="GE358" t="e">
        <f>IF(#REF!,"AAAAAD+/27o=",0)</f>
        <v>#REF!</v>
      </c>
      <c r="GF358" t="e">
        <f>IF(#REF!,"AAAAAD+/27s=",0)</f>
        <v>#REF!</v>
      </c>
      <c r="GG358" t="e">
        <f>IF(#REF!,"AAAAAD+/27w=",0)</f>
        <v>#REF!</v>
      </c>
      <c r="GH358" t="e">
        <f>IF(#REF!,"AAAAAD+/270=",0)</f>
        <v>#REF!</v>
      </c>
      <c r="GI358" t="e">
        <f>IF(#REF!,"AAAAAD+/274=",0)</f>
        <v>#REF!</v>
      </c>
      <c r="GJ358" t="e">
        <f>IF(#REF!,"AAAAAD+/278=",0)</f>
        <v>#REF!</v>
      </c>
      <c r="GK358" t="e">
        <f>IF(#REF!,"AAAAAD+/28A=",0)</f>
        <v>#REF!</v>
      </c>
      <c r="GL358" t="e">
        <f>IF(#REF!,"AAAAAD+/28E=",0)</f>
        <v>#REF!</v>
      </c>
      <c r="GM358" t="e">
        <f>IF(#REF!,"AAAAAD+/28I=",0)</f>
        <v>#REF!</v>
      </c>
      <c r="GN358" t="e">
        <f>IF(#REF!,"AAAAAD+/28M=",0)</f>
        <v>#REF!</v>
      </c>
      <c r="GO358" t="e">
        <f>IF(#REF!,"AAAAAD+/28Q=",0)</f>
        <v>#REF!</v>
      </c>
      <c r="GP358" t="e">
        <f>IF(#REF!,"AAAAAD+/28U=",0)</f>
        <v>#REF!</v>
      </c>
      <c r="GQ358" t="e">
        <f>IF(#REF!,"AAAAAD+/28Y=",0)</f>
        <v>#REF!</v>
      </c>
      <c r="GR358" t="e">
        <f>IF(#REF!,"AAAAAD+/28c=",0)</f>
        <v>#REF!</v>
      </c>
      <c r="GS358" t="e">
        <f>IF(#REF!,"AAAAAD+/28g=",0)</f>
        <v>#REF!</v>
      </c>
      <c r="GT358" t="e">
        <f>IF(#REF!,"AAAAAD+/28k=",0)</f>
        <v>#REF!</v>
      </c>
      <c r="GU358" t="e">
        <f>IF(#REF!,"AAAAAD+/28o=",0)</f>
        <v>#REF!</v>
      </c>
      <c r="GV358" t="e">
        <f>IF(#REF!,"AAAAAD+/28s=",0)</f>
        <v>#REF!</v>
      </c>
      <c r="GW358" t="e">
        <f>IF(#REF!,"AAAAAD+/28w=",0)</f>
        <v>#REF!</v>
      </c>
      <c r="GX358" t="e">
        <f>IF(#REF!,"AAAAAD+/280=",0)</f>
        <v>#REF!</v>
      </c>
      <c r="GY358" t="e">
        <f>IF(#REF!,"AAAAAD+/284=",0)</f>
        <v>#REF!</v>
      </c>
      <c r="GZ358" t="e">
        <f>IF(#REF!,"AAAAAD+/288=",0)</f>
        <v>#REF!</v>
      </c>
      <c r="HA358" t="e">
        <f>IF(#REF!,"AAAAAD+/29A=",0)</f>
        <v>#REF!</v>
      </c>
      <c r="HB358" t="e">
        <f>IF(#REF!,"AAAAAD+/29E=",0)</f>
        <v>#REF!</v>
      </c>
      <c r="HC358" t="e">
        <f>IF(#REF!,"AAAAAD+/29I=",0)</f>
        <v>#REF!</v>
      </c>
      <c r="HD358" t="e">
        <f>IF(#REF!,"AAAAAD+/29M=",0)</f>
        <v>#REF!</v>
      </c>
      <c r="HE358" t="e">
        <f>IF(#REF!,"AAAAAD+/29Q=",0)</f>
        <v>#REF!</v>
      </c>
      <c r="HF358" t="e">
        <f>IF(#REF!,"AAAAAD+/29U=",0)</f>
        <v>#REF!</v>
      </c>
      <c r="HG358" t="e">
        <f>IF(#REF!,"AAAAAD+/29Y=",0)</f>
        <v>#REF!</v>
      </c>
      <c r="HH358" t="e">
        <f>IF(#REF!,"AAAAAD+/29c=",0)</f>
        <v>#REF!</v>
      </c>
      <c r="HI358" t="e">
        <f>IF(#REF!,"AAAAAD+/29g=",0)</f>
        <v>#REF!</v>
      </c>
      <c r="HJ358" t="e">
        <f>IF(#REF!,"AAAAAD+/29k=",0)</f>
        <v>#REF!</v>
      </c>
      <c r="HK358" t="e">
        <f>IF(#REF!,"AAAAAD+/29o=",0)</f>
        <v>#REF!</v>
      </c>
      <c r="HL358" t="e">
        <f>IF(#REF!,"AAAAAD+/29s=",0)</f>
        <v>#REF!</v>
      </c>
      <c r="HM358" t="e">
        <f>IF(#REF!,"AAAAAD+/29w=",0)</f>
        <v>#REF!</v>
      </c>
      <c r="HN358" t="e">
        <f>IF(#REF!,"AAAAAD+/290=",0)</f>
        <v>#REF!</v>
      </c>
      <c r="HO358" t="e">
        <f>IF(#REF!,"AAAAAD+/294=",0)</f>
        <v>#REF!</v>
      </c>
      <c r="HP358" t="e">
        <f>IF(#REF!,"AAAAAD+/298=",0)</f>
        <v>#REF!</v>
      </c>
      <c r="HQ358" t="e">
        <f>IF(#REF!,"AAAAAD+/2+A=",0)</f>
        <v>#REF!</v>
      </c>
      <c r="HR358" t="e">
        <f>IF(#REF!,"AAAAAD+/2+E=",0)</f>
        <v>#REF!</v>
      </c>
      <c r="HS358" t="e">
        <f>IF(#REF!,"AAAAAD+/2+I=",0)</f>
        <v>#REF!</v>
      </c>
      <c r="HT358" t="e">
        <f>IF(#REF!,"AAAAAD+/2+M=",0)</f>
        <v>#REF!</v>
      </c>
      <c r="HU358" t="e">
        <f>IF(#REF!,"AAAAAD+/2+Q=",0)</f>
        <v>#REF!</v>
      </c>
      <c r="HV358" t="e">
        <f>IF(#REF!,"AAAAAD+/2+U=",0)</f>
        <v>#REF!</v>
      </c>
      <c r="HW358" t="e">
        <f>IF(#REF!,"AAAAAD+/2+Y=",0)</f>
        <v>#REF!</v>
      </c>
      <c r="HX358" t="e">
        <f>IF(#REF!,"AAAAAD+/2+c=",0)</f>
        <v>#REF!</v>
      </c>
      <c r="HY358" t="e">
        <f>IF(#REF!,"AAAAAD+/2+g=",0)</f>
        <v>#REF!</v>
      </c>
      <c r="HZ358" t="e">
        <f>IF(#REF!,"AAAAAD+/2+k=",0)</f>
        <v>#REF!</v>
      </c>
      <c r="IA358" t="e">
        <f>IF(#REF!,"AAAAAD+/2+o=",0)</f>
        <v>#REF!</v>
      </c>
      <c r="IB358" t="e">
        <f>IF(#REF!,"AAAAAD+/2+s=",0)</f>
        <v>#REF!</v>
      </c>
      <c r="IC358" t="e">
        <f>IF(#REF!,"AAAAAD+/2+w=",0)</f>
        <v>#REF!</v>
      </c>
      <c r="ID358" t="e">
        <f>IF(#REF!,"AAAAAD+/2+0=",0)</f>
        <v>#REF!</v>
      </c>
      <c r="IE358" t="e">
        <f>IF(#REF!,"AAAAAD+/2+4=",0)</f>
        <v>#REF!</v>
      </c>
      <c r="IF358" t="e">
        <f>IF(#REF!,"AAAAAD+/2+8=",0)</f>
        <v>#REF!</v>
      </c>
      <c r="IG358" t="e">
        <f>IF(#REF!,"AAAAAD+/2/A=",0)</f>
        <v>#REF!</v>
      </c>
      <c r="IH358" t="e">
        <f>IF(#REF!,"AAAAAD+/2/E=",0)</f>
        <v>#REF!</v>
      </c>
      <c r="II358" t="e">
        <f>IF(#REF!,"AAAAAD+/2/I=",0)</f>
        <v>#REF!</v>
      </c>
      <c r="IJ358" t="e">
        <f>IF(#REF!,"AAAAAD+/2/M=",0)</f>
        <v>#REF!</v>
      </c>
      <c r="IK358" t="e">
        <f>IF(#REF!,"AAAAAD+/2/Q=",0)</f>
        <v>#REF!</v>
      </c>
      <c r="IL358" t="e">
        <f>IF(#REF!,"AAAAAD+/2/U=",0)</f>
        <v>#REF!</v>
      </c>
      <c r="IM358" t="e">
        <f>IF(#REF!,"AAAAAD+/2/Y=",0)</f>
        <v>#REF!</v>
      </c>
      <c r="IN358" t="e">
        <f>IF(#REF!,"AAAAAD+/2/c=",0)</f>
        <v>#REF!</v>
      </c>
      <c r="IO358" t="e">
        <f>IF(#REF!,"AAAAAD+/2/g=",0)</f>
        <v>#REF!</v>
      </c>
      <c r="IP358" t="e">
        <f>IF(#REF!,"AAAAAD+/2/k=",0)</f>
        <v>#REF!</v>
      </c>
      <c r="IQ358" t="e">
        <f>IF(#REF!,"AAAAAD+/2/o=",0)</f>
        <v>#REF!</v>
      </c>
      <c r="IR358" t="e">
        <f>IF(#REF!,"AAAAAD+/2/s=",0)</f>
        <v>#REF!</v>
      </c>
      <c r="IS358" t="e">
        <f>IF(#REF!,"AAAAAD+/2/w=",0)</f>
        <v>#REF!</v>
      </c>
      <c r="IT358" t="e">
        <f>IF(#REF!,"AAAAAD+/2/0=",0)</f>
        <v>#REF!</v>
      </c>
      <c r="IU358" t="e">
        <f>IF(#REF!,"AAAAAD+/2/4=",0)</f>
        <v>#REF!</v>
      </c>
      <c r="IV358" t="e">
        <f>IF(#REF!,"AAAAAD+/2/8=",0)</f>
        <v>#REF!</v>
      </c>
    </row>
    <row r="359" spans="1:256">
      <c r="A359" t="e">
        <f>IF(#REF!,"AAAAAGfdswA=",0)</f>
        <v>#REF!</v>
      </c>
      <c r="B359" t="e">
        <f>IF(#REF!,"AAAAAGfdswE=",0)</f>
        <v>#REF!</v>
      </c>
      <c r="C359" t="e">
        <f>IF(#REF!,"AAAAAGfdswI=",0)</f>
        <v>#REF!</v>
      </c>
      <c r="D359" t="e">
        <f>IF(#REF!,"AAAAAGfdswM=",0)</f>
        <v>#REF!</v>
      </c>
      <c r="E359" t="e">
        <f>IF(#REF!,"AAAAAGfdswQ=",0)</f>
        <v>#REF!</v>
      </c>
      <c r="F359" t="e">
        <f>IF(#REF!,"AAAAAGfdswU=",0)</f>
        <v>#REF!</v>
      </c>
      <c r="G359" t="e">
        <f>IF(#REF!,"AAAAAGfdswY=",0)</f>
        <v>#REF!</v>
      </c>
      <c r="H359" t="e">
        <f>IF(#REF!,"AAAAAGfdswc=",0)</f>
        <v>#REF!</v>
      </c>
      <c r="I359" t="e">
        <f>IF(#REF!,"AAAAAGfdswg=",0)</f>
        <v>#REF!</v>
      </c>
      <c r="J359" t="e">
        <f>IF(#REF!,"AAAAAGfdswk=",0)</f>
        <v>#REF!</v>
      </c>
      <c r="K359" t="e">
        <f>IF(#REF!,"AAAAAGfdswo=",0)</f>
        <v>#REF!</v>
      </c>
      <c r="L359" t="e">
        <f>IF(#REF!,"AAAAAGfdsws=",0)</f>
        <v>#REF!</v>
      </c>
      <c r="M359" t="e">
        <f>IF(#REF!,"AAAAAGfdsww=",0)</f>
        <v>#REF!</v>
      </c>
      <c r="N359" t="e">
        <f>IF(#REF!,"AAAAAGfdsw0=",0)</f>
        <v>#REF!</v>
      </c>
      <c r="O359" t="e">
        <f>IF(#REF!,"AAAAAGfdsw4=",0)</f>
        <v>#REF!</v>
      </c>
      <c r="P359" t="e">
        <f>IF(#REF!,"AAAAAGfdsw8=",0)</f>
        <v>#REF!</v>
      </c>
      <c r="Q359" t="e">
        <f>IF(#REF!,"AAAAAGfdsxA=",0)</f>
        <v>#REF!</v>
      </c>
      <c r="R359" t="e">
        <f>IF(#REF!,"AAAAAGfdsxE=",0)</f>
        <v>#REF!</v>
      </c>
      <c r="S359" t="e">
        <f>IF(#REF!,"AAAAAGfdsxI=",0)</f>
        <v>#REF!</v>
      </c>
      <c r="T359" t="e">
        <f>IF(#REF!,"AAAAAGfdsxM=",0)</f>
        <v>#REF!</v>
      </c>
      <c r="U359" t="e">
        <f>IF(#REF!,"AAAAAGfdsxQ=",0)</f>
        <v>#REF!</v>
      </c>
      <c r="V359" t="e">
        <f>IF(#REF!,"AAAAAGfdsxU=",0)</f>
        <v>#REF!</v>
      </c>
      <c r="W359" t="e">
        <f>IF(#REF!,"AAAAAGfdsxY=",0)</f>
        <v>#REF!</v>
      </c>
      <c r="X359" t="e">
        <f>IF(#REF!,"AAAAAGfdsxc=",0)</f>
        <v>#REF!</v>
      </c>
      <c r="Y359" t="e">
        <f>IF(#REF!,"AAAAAGfdsxg=",0)</f>
        <v>#REF!</v>
      </c>
      <c r="Z359" t="e">
        <f>IF(#REF!,"AAAAAGfdsxk=",0)</f>
        <v>#REF!</v>
      </c>
      <c r="AA359" t="e">
        <f>IF(#REF!,"AAAAAGfdsxo=",0)</f>
        <v>#REF!</v>
      </c>
      <c r="AB359" t="e">
        <f>IF(#REF!,"AAAAAGfdsxs=",0)</f>
        <v>#REF!</v>
      </c>
      <c r="AC359" t="e">
        <f>IF(#REF!,"AAAAAGfdsxw=",0)</f>
        <v>#REF!</v>
      </c>
      <c r="AD359" t="e">
        <f>IF(#REF!,"AAAAAGfdsx0=",0)</f>
        <v>#REF!</v>
      </c>
      <c r="AE359" t="e">
        <f>IF(#REF!,"AAAAAGfdsx4=",0)</f>
        <v>#REF!</v>
      </c>
      <c r="AF359" t="e">
        <f>IF(#REF!,"AAAAAGfdsx8=",0)</f>
        <v>#REF!</v>
      </c>
      <c r="AG359" t="e">
        <f>IF(#REF!,"AAAAAGfdsyA=",0)</f>
        <v>#REF!</v>
      </c>
      <c r="AH359" t="e">
        <f>IF(#REF!,"AAAAAGfdsyE=",0)</f>
        <v>#REF!</v>
      </c>
      <c r="AI359" t="e">
        <f>IF(#REF!,"AAAAAGfdsyI=",0)</f>
        <v>#REF!</v>
      </c>
      <c r="AJ359" t="e">
        <f>IF(#REF!,"AAAAAGfdsyM=",0)</f>
        <v>#REF!</v>
      </c>
      <c r="AK359" t="e">
        <f>IF(#REF!,"AAAAAGfdsyQ=",0)</f>
        <v>#REF!</v>
      </c>
      <c r="AL359" t="e">
        <f>IF(#REF!,"AAAAAGfdsyU=",0)</f>
        <v>#REF!</v>
      </c>
      <c r="AM359" t="e">
        <f>IF(#REF!,"AAAAAGfdsyY=",0)</f>
        <v>#REF!</v>
      </c>
      <c r="AN359" t="e">
        <f>IF(#REF!,"AAAAAGfdsyc=",0)</f>
        <v>#REF!</v>
      </c>
      <c r="AO359" t="e">
        <f>IF(#REF!,"AAAAAGfdsyg=",0)</f>
        <v>#REF!</v>
      </c>
      <c r="AP359" t="e">
        <f>IF(#REF!,"AAAAAGfdsyk=",0)</f>
        <v>#REF!</v>
      </c>
      <c r="AQ359" t="e">
        <f>IF(#REF!,"AAAAAGfdsyo=",0)</f>
        <v>#REF!</v>
      </c>
      <c r="AR359" t="e">
        <f>IF(#REF!,"AAAAAGfdsys=",0)</f>
        <v>#REF!</v>
      </c>
      <c r="AS359" t="e">
        <f>IF(#REF!,"AAAAAGfdsyw=",0)</f>
        <v>#REF!</v>
      </c>
      <c r="AT359" t="e">
        <f>IF(#REF!,"AAAAAGfdsy0=",0)</f>
        <v>#REF!</v>
      </c>
      <c r="AU359" t="e">
        <f>IF(#REF!,"AAAAAGfdsy4=",0)</f>
        <v>#REF!</v>
      </c>
      <c r="AV359" t="e">
        <f>IF(#REF!,"AAAAAGfdsy8=",0)</f>
        <v>#REF!</v>
      </c>
      <c r="AW359" t="e">
        <f>IF(#REF!,"AAAAAGfdszA=",0)</f>
        <v>#REF!</v>
      </c>
      <c r="AX359" t="e">
        <f>IF(#REF!,"AAAAAGfdszE=",0)</f>
        <v>#REF!</v>
      </c>
      <c r="AY359" t="e">
        <f>IF(#REF!,"AAAAAGfdszI=",0)</f>
        <v>#REF!</v>
      </c>
      <c r="AZ359" t="e">
        <f>IF(#REF!,"AAAAAGfdszM=",0)</f>
        <v>#REF!</v>
      </c>
      <c r="BA359" t="e">
        <f>IF(#REF!,"AAAAAGfdszQ=",0)</f>
        <v>#REF!</v>
      </c>
      <c r="BB359" t="e">
        <f>IF(#REF!,"AAAAAGfdszU=",0)</f>
        <v>#REF!</v>
      </c>
      <c r="BC359" t="e">
        <f>IF(#REF!,"AAAAAGfdszY=",0)</f>
        <v>#REF!</v>
      </c>
      <c r="BD359" t="e">
        <f>IF(#REF!,"AAAAAGfdszc=",0)</f>
        <v>#REF!</v>
      </c>
      <c r="BE359" t="e">
        <f>IF(#REF!,"AAAAAGfdszg=",0)</f>
        <v>#REF!</v>
      </c>
      <c r="BF359" t="e">
        <f>IF(#REF!,"AAAAAGfdszk=",0)</f>
        <v>#REF!</v>
      </c>
      <c r="BG359" t="e">
        <f>IF(#REF!,"AAAAAGfdszo=",0)</f>
        <v>#REF!</v>
      </c>
      <c r="BH359" t="e">
        <f>IF(#REF!,"AAAAAGfdszs=",0)</f>
        <v>#REF!</v>
      </c>
      <c r="BI359" t="e">
        <f>IF(#REF!,"AAAAAGfdszw=",0)</f>
        <v>#REF!</v>
      </c>
      <c r="BJ359" t="e">
        <f>IF(#REF!,"AAAAAGfdsz0=",0)</f>
        <v>#REF!</v>
      </c>
      <c r="BK359" t="e">
        <f>IF(#REF!,"AAAAAGfdsz4=",0)</f>
        <v>#REF!</v>
      </c>
      <c r="BL359" t="e">
        <f>IF(#REF!,"AAAAAGfdsz8=",0)</f>
        <v>#REF!</v>
      </c>
      <c r="BM359" t="e">
        <f>IF(#REF!,"AAAAAGfds0A=",0)</f>
        <v>#REF!</v>
      </c>
      <c r="BN359" t="e">
        <f>IF(#REF!,"AAAAAGfds0E=",0)</f>
        <v>#REF!</v>
      </c>
      <c r="BO359" t="e">
        <f>IF(#REF!,"AAAAAGfds0I=",0)</f>
        <v>#REF!</v>
      </c>
      <c r="BP359" t="e">
        <f>IF(#REF!,"AAAAAGfds0M=",0)</f>
        <v>#REF!</v>
      </c>
      <c r="BQ359" t="e">
        <f>IF(#REF!,"AAAAAGfds0Q=",0)</f>
        <v>#REF!</v>
      </c>
      <c r="BR359" t="e">
        <f>IF(#REF!,"AAAAAGfds0U=",0)</f>
        <v>#REF!</v>
      </c>
      <c r="BS359" t="e">
        <f>IF(#REF!,"AAAAAGfds0Y=",0)</f>
        <v>#REF!</v>
      </c>
      <c r="BT359" t="e">
        <f>IF(#REF!,"AAAAAGfds0c=",0)</f>
        <v>#REF!</v>
      </c>
      <c r="BU359" t="e">
        <f>IF(#REF!,"AAAAAGfds0g=",0)</f>
        <v>#REF!</v>
      </c>
      <c r="BV359" t="e">
        <f>IF(#REF!,"AAAAAGfds0k=",0)</f>
        <v>#REF!</v>
      </c>
      <c r="BW359" t="e">
        <f>IF(#REF!,"AAAAAGfds0o=",0)</f>
        <v>#REF!</v>
      </c>
      <c r="BX359" t="e">
        <f>IF(#REF!,"AAAAAGfds0s=",0)</f>
        <v>#REF!</v>
      </c>
      <c r="BY359" t="e">
        <f>IF(#REF!,"AAAAAGfds0w=",0)</f>
        <v>#REF!</v>
      </c>
      <c r="BZ359" t="e">
        <f>IF(#REF!,"AAAAAGfds00=",0)</f>
        <v>#REF!</v>
      </c>
      <c r="CA359" t="e">
        <f>IF(#REF!,"AAAAAGfds04=",0)</f>
        <v>#REF!</v>
      </c>
      <c r="CB359" t="e">
        <f>IF(#REF!,"AAAAAGfds08=",0)</f>
        <v>#REF!</v>
      </c>
      <c r="CC359" t="e">
        <f>IF(#REF!,"AAAAAGfds1A=",0)</f>
        <v>#REF!</v>
      </c>
      <c r="CD359" t="e">
        <f>IF(#REF!,"AAAAAGfds1E=",0)</f>
        <v>#REF!</v>
      </c>
      <c r="CE359" t="e">
        <f>IF(#REF!,"AAAAAGfds1I=",0)</f>
        <v>#REF!</v>
      </c>
      <c r="CF359" t="e">
        <f>IF(#REF!,"AAAAAGfds1M=",0)</f>
        <v>#REF!</v>
      </c>
      <c r="CG359" t="e">
        <f>IF(#REF!,"AAAAAGfds1Q=",0)</f>
        <v>#REF!</v>
      </c>
      <c r="CH359" t="e">
        <f>IF(#REF!,"AAAAAGfds1U=",0)</f>
        <v>#REF!</v>
      </c>
      <c r="CI359" t="e">
        <f>IF(#REF!,"AAAAAGfds1Y=",0)</f>
        <v>#REF!</v>
      </c>
      <c r="CJ359" t="e">
        <f>IF(#REF!,"AAAAAGfds1c=",0)</f>
        <v>#REF!</v>
      </c>
      <c r="CK359" t="e">
        <f>IF(#REF!,"AAAAAGfds1g=",0)</f>
        <v>#REF!</v>
      </c>
      <c r="CL359" t="e">
        <f>IF(#REF!,"AAAAAGfds1k=",0)</f>
        <v>#REF!</v>
      </c>
      <c r="CM359" t="e">
        <f>IF(#REF!,"AAAAAGfds1o=",0)</f>
        <v>#REF!</v>
      </c>
      <c r="CN359" t="e">
        <f>IF(#REF!,"AAAAAGfds1s=",0)</f>
        <v>#REF!</v>
      </c>
      <c r="CO359" t="e">
        <f>IF(#REF!,"AAAAAGfds1w=",0)</f>
        <v>#REF!</v>
      </c>
      <c r="CP359" t="e">
        <f>IF(#REF!,"AAAAAGfds10=",0)</f>
        <v>#REF!</v>
      </c>
      <c r="CQ359" t="e">
        <f>IF(#REF!,"AAAAAGfds14=",0)</f>
        <v>#REF!</v>
      </c>
      <c r="CR359" t="e">
        <f>IF(#REF!,"AAAAAGfds18=",0)</f>
        <v>#REF!</v>
      </c>
      <c r="CS359" t="e">
        <f>IF(#REF!,"AAAAAGfds2A=",0)</f>
        <v>#REF!</v>
      </c>
      <c r="CT359" t="e">
        <f>IF(#REF!,"AAAAAGfds2E=",0)</f>
        <v>#REF!</v>
      </c>
      <c r="CU359" t="e">
        <f>IF(#REF!,"AAAAAGfds2I=",0)</f>
        <v>#REF!</v>
      </c>
      <c r="CV359" t="e">
        <f>IF(#REF!,"AAAAAGfds2M=",0)</f>
        <v>#REF!</v>
      </c>
      <c r="CW359" t="e">
        <f>IF(#REF!,"AAAAAGfds2Q=",0)</f>
        <v>#REF!</v>
      </c>
      <c r="CX359" t="e">
        <f>IF(#REF!,"AAAAAGfds2U=",0)</f>
        <v>#REF!</v>
      </c>
      <c r="CY359" t="e">
        <f>IF(#REF!,"AAAAAGfds2Y=",0)</f>
        <v>#REF!</v>
      </c>
      <c r="CZ359" t="e">
        <f>IF(#REF!,"AAAAAGfds2c=",0)</f>
        <v>#REF!</v>
      </c>
      <c r="DA359" t="e">
        <f>IF(#REF!,"AAAAAGfds2g=",0)</f>
        <v>#REF!</v>
      </c>
      <c r="DB359" t="e">
        <f>IF(#REF!,"AAAAAGfds2k=",0)</f>
        <v>#REF!</v>
      </c>
      <c r="DC359" t="e">
        <f>IF(#REF!,"AAAAAGfds2o=",0)</f>
        <v>#REF!</v>
      </c>
      <c r="DD359" t="e">
        <f>IF(#REF!,"AAAAAGfds2s=",0)</f>
        <v>#REF!</v>
      </c>
      <c r="DE359" t="e">
        <f>IF(#REF!,"AAAAAGfds2w=",0)</f>
        <v>#REF!</v>
      </c>
      <c r="DF359" t="e">
        <f>IF(#REF!,"AAAAAGfds20=",0)</f>
        <v>#REF!</v>
      </c>
      <c r="DG359" t="e">
        <f>IF(#REF!,"AAAAAGfds24=",0)</f>
        <v>#REF!</v>
      </c>
      <c r="DH359" t="e">
        <f>IF(#REF!,"AAAAAGfds28=",0)</f>
        <v>#REF!</v>
      </c>
      <c r="DI359" t="e">
        <f>IF(#REF!,"AAAAAGfds3A=",0)</f>
        <v>#REF!</v>
      </c>
      <c r="DJ359" t="e">
        <f>IF(#REF!,"AAAAAGfds3E=",0)</f>
        <v>#REF!</v>
      </c>
      <c r="DK359" t="e">
        <f>IF(#REF!,"AAAAAGfds3I=",0)</f>
        <v>#REF!</v>
      </c>
      <c r="DL359" t="e">
        <f>IF(#REF!,"AAAAAGfds3M=",0)</f>
        <v>#REF!</v>
      </c>
      <c r="DM359" t="e">
        <f>IF(#REF!,"AAAAAGfds3Q=",0)</f>
        <v>#REF!</v>
      </c>
      <c r="DN359" t="e">
        <f>IF(#REF!,"AAAAAGfds3U=",0)</f>
        <v>#REF!</v>
      </c>
      <c r="DO359" t="e">
        <f>IF(#REF!,"AAAAAGfds3Y=",0)</f>
        <v>#REF!</v>
      </c>
      <c r="DP359" t="e">
        <f>IF(#REF!,"AAAAAGfds3c=",0)</f>
        <v>#REF!</v>
      </c>
      <c r="DQ359" t="e">
        <f>IF(#REF!,"AAAAAGfds3g=",0)</f>
        <v>#REF!</v>
      </c>
      <c r="DR359" t="e">
        <f>IF(#REF!,"AAAAAGfds3k=",0)</f>
        <v>#REF!</v>
      </c>
      <c r="DS359" t="e">
        <f>IF(#REF!,"AAAAAGfds3o=",0)</f>
        <v>#REF!</v>
      </c>
      <c r="DT359" t="e">
        <f>IF(#REF!,"AAAAAGfds3s=",0)</f>
        <v>#REF!</v>
      </c>
      <c r="DU359" t="e">
        <f>IF(#REF!,"AAAAAGfds3w=",0)</f>
        <v>#REF!</v>
      </c>
      <c r="DV359" t="e">
        <f>IF(#REF!,"AAAAAGfds30=",0)</f>
        <v>#REF!</v>
      </c>
      <c r="DW359" t="e">
        <f>IF(#REF!,"AAAAAGfds34=",0)</f>
        <v>#REF!</v>
      </c>
      <c r="DX359" t="e">
        <f>IF(#REF!,"AAAAAGfds38=",0)</f>
        <v>#REF!</v>
      </c>
      <c r="DY359" t="e">
        <f>IF(#REF!,"AAAAAGfds4A=",0)</f>
        <v>#REF!</v>
      </c>
      <c r="DZ359" t="e">
        <f>IF(#REF!,"AAAAAGfds4E=",0)</f>
        <v>#REF!</v>
      </c>
      <c r="EA359" t="e">
        <f>IF(#REF!,"AAAAAGfds4I=",0)</f>
        <v>#REF!</v>
      </c>
      <c r="EB359" t="e">
        <f>IF(#REF!,"AAAAAGfds4M=",0)</f>
        <v>#REF!</v>
      </c>
      <c r="EC359" t="e">
        <f>IF(#REF!,"AAAAAGfds4Q=",0)</f>
        <v>#REF!</v>
      </c>
      <c r="ED359" t="e">
        <f>IF(#REF!,"AAAAAGfds4U=",0)</f>
        <v>#REF!</v>
      </c>
      <c r="EE359" t="e">
        <f>IF(#REF!,"AAAAAGfds4Y=",0)</f>
        <v>#REF!</v>
      </c>
      <c r="EF359" t="e">
        <f>IF(#REF!,"AAAAAGfds4c=",0)</f>
        <v>#REF!</v>
      </c>
      <c r="EG359" t="e">
        <f>IF(#REF!,"AAAAAGfds4g=",0)</f>
        <v>#REF!</v>
      </c>
      <c r="EH359" t="e">
        <f>IF(#REF!,"AAAAAGfds4k=",0)</f>
        <v>#REF!</v>
      </c>
      <c r="EI359" t="e">
        <f>IF(#REF!,"AAAAAGfds4o=",0)</f>
        <v>#REF!</v>
      </c>
      <c r="EJ359" t="e">
        <f>IF(#REF!,"AAAAAGfds4s=",0)</f>
        <v>#REF!</v>
      </c>
      <c r="EK359" t="e">
        <f>IF(#REF!,"AAAAAGfds4w=",0)</f>
        <v>#REF!</v>
      </c>
      <c r="EL359" t="e">
        <f>IF(#REF!,"AAAAAGfds40=",0)</f>
        <v>#REF!</v>
      </c>
      <c r="EM359" t="e">
        <f>IF(#REF!,"AAAAAGfds44=",0)</f>
        <v>#REF!</v>
      </c>
      <c r="EN359" t="e">
        <f>IF(#REF!,"AAAAAGfds48=",0)</f>
        <v>#REF!</v>
      </c>
      <c r="EO359" t="e">
        <f>IF(#REF!,"AAAAAGfds5A=",0)</f>
        <v>#REF!</v>
      </c>
      <c r="EP359" t="e">
        <f>IF(#REF!,"AAAAAGfds5E=",0)</f>
        <v>#REF!</v>
      </c>
      <c r="EQ359" t="e">
        <f>IF(#REF!,"AAAAAGfds5I=",0)</f>
        <v>#REF!</v>
      </c>
      <c r="ER359" t="e">
        <f>IF(#REF!,"AAAAAGfds5M=",0)</f>
        <v>#REF!</v>
      </c>
      <c r="ES359" t="e">
        <f>IF(#REF!,"AAAAAGfds5Q=",0)</f>
        <v>#REF!</v>
      </c>
      <c r="ET359" t="e">
        <f>IF(#REF!,"AAAAAGfds5U=",0)</f>
        <v>#REF!</v>
      </c>
      <c r="EU359" t="e">
        <f>IF(#REF!,"AAAAAGfds5Y=",0)</f>
        <v>#REF!</v>
      </c>
      <c r="EV359" t="e">
        <f>IF(#REF!,"AAAAAGfds5c=",0)</f>
        <v>#REF!</v>
      </c>
      <c r="EW359" t="e">
        <f>IF(#REF!,"AAAAAGfds5g=",0)</f>
        <v>#REF!</v>
      </c>
      <c r="EX359" t="e">
        <f>IF(#REF!,"AAAAAGfds5k=",0)</f>
        <v>#REF!</v>
      </c>
      <c r="EY359" t="e">
        <f>IF(#REF!,"AAAAAGfds5o=",0)</f>
        <v>#REF!</v>
      </c>
      <c r="EZ359" t="e">
        <f>IF(#REF!,"AAAAAGfds5s=",0)</f>
        <v>#REF!</v>
      </c>
      <c r="FA359" t="e">
        <f>IF(#REF!,"AAAAAGfds5w=",0)</f>
        <v>#REF!</v>
      </c>
      <c r="FB359" t="e">
        <f>IF(#REF!,"AAAAAGfds50=",0)</f>
        <v>#REF!</v>
      </c>
      <c r="FC359" t="e">
        <f>IF(#REF!,"AAAAAGfds54=",0)</f>
        <v>#REF!</v>
      </c>
      <c r="FD359" t="e">
        <f>IF(#REF!,"AAAAAGfds58=",0)</f>
        <v>#REF!</v>
      </c>
      <c r="FE359" t="e">
        <f>IF(#REF!,"AAAAAGfds6A=",0)</f>
        <v>#REF!</v>
      </c>
      <c r="FF359" t="e">
        <f>IF(#REF!,"AAAAAGfds6E=",0)</f>
        <v>#REF!</v>
      </c>
      <c r="FG359" t="e">
        <f>IF(#REF!,"AAAAAGfds6I=",0)</f>
        <v>#REF!</v>
      </c>
      <c r="FH359" t="e">
        <f>IF(#REF!,"AAAAAGfds6M=",0)</f>
        <v>#REF!</v>
      </c>
      <c r="FI359" t="e">
        <f>IF(#REF!,"AAAAAGfds6Q=",0)</f>
        <v>#REF!</v>
      </c>
      <c r="FJ359" t="e">
        <f>IF(#REF!,"AAAAAGfds6U=",0)</f>
        <v>#REF!</v>
      </c>
      <c r="FK359" t="e">
        <f>IF(#REF!,"AAAAAGfds6Y=",0)</f>
        <v>#REF!</v>
      </c>
      <c r="FL359" t="e">
        <f>IF(#REF!,"AAAAAGfds6c=",0)</f>
        <v>#REF!</v>
      </c>
      <c r="FM359" t="e">
        <f>IF(#REF!,"AAAAAGfds6g=",0)</f>
        <v>#REF!</v>
      </c>
      <c r="FN359" t="e">
        <f>IF(#REF!,"AAAAAGfds6k=",0)</f>
        <v>#REF!</v>
      </c>
      <c r="FO359" t="e">
        <f>IF(#REF!,"AAAAAGfds6o=",0)</f>
        <v>#REF!</v>
      </c>
      <c r="FP359" t="e">
        <f>IF(#REF!,"AAAAAGfds6s=",0)</f>
        <v>#REF!</v>
      </c>
      <c r="FQ359" t="e">
        <f>IF(#REF!,"AAAAAGfds6w=",0)</f>
        <v>#REF!</v>
      </c>
      <c r="FR359" t="e">
        <f>IF(#REF!,"AAAAAGfds60=",0)</f>
        <v>#REF!</v>
      </c>
      <c r="FS359" t="e">
        <f>IF(#REF!,"AAAAAGfds64=",0)</f>
        <v>#REF!</v>
      </c>
      <c r="FT359" t="e">
        <f>IF(#REF!,"AAAAAGfds68=",0)</f>
        <v>#REF!</v>
      </c>
      <c r="FU359" t="e">
        <f>IF(#REF!,"AAAAAGfds7A=",0)</f>
        <v>#REF!</v>
      </c>
      <c r="FV359" t="e">
        <f>IF(#REF!,"AAAAAGfds7E=",0)</f>
        <v>#REF!</v>
      </c>
      <c r="FW359" t="e">
        <f>IF(#REF!,"AAAAAGfds7I=",0)</f>
        <v>#REF!</v>
      </c>
      <c r="FX359" t="e">
        <f>IF(#REF!,"AAAAAGfds7M=",0)</f>
        <v>#REF!</v>
      </c>
      <c r="FY359" t="e">
        <f>IF(#REF!,"AAAAAGfds7Q=",0)</f>
        <v>#REF!</v>
      </c>
      <c r="FZ359" t="e">
        <f>IF(#REF!,"AAAAAGfds7U=",0)</f>
        <v>#REF!</v>
      </c>
      <c r="GA359" t="e">
        <f>IF(#REF!,"AAAAAGfds7Y=",0)</f>
        <v>#REF!</v>
      </c>
      <c r="GB359" t="e">
        <f>IF(#REF!,"AAAAAGfds7c=",0)</f>
        <v>#REF!</v>
      </c>
      <c r="GC359" t="e">
        <f>IF(#REF!,"AAAAAGfds7g=",0)</f>
        <v>#REF!</v>
      </c>
      <c r="GD359" t="e">
        <f>IF(#REF!,"AAAAAGfds7k=",0)</f>
        <v>#REF!</v>
      </c>
      <c r="GE359" t="e">
        <f>IF(#REF!,"AAAAAGfds7o=",0)</f>
        <v>#REF!</v>
      </c>
      <c r="GF359" t="e">
        <f>IF(#REF!,"AAAAAGfds7s=",0)</f>
        <v>#REF!</v>
      </c>
      <c r="GG359" t="e">
        <f>IF(#REF!,"AAAAAGfds7w=",0)</f>
        <v>#REF!</v>
      </c>
      <c r="GH359" t="e">
        <f>IF(#REF!,"AAAAAGfds70=",0)</f>
        <v>#REF!</v>
      </c>
      <c r="GI359" t="e">
        <f>IF(#REF!,"AAAAAGfds74=",0)</f>
        <v>#REF!</v>
      </c>
      <c r="GJ359" t="e">
        <f>IF(#REF!,"AAAAAGfds78=",0)</f>
        <v>#REF!</v>
      </c>
      <c r="GK359" t="e">
        <f>IF(#REF!,"AAAAAGfds8A=",0)</f>
        <v>#REF!</v>
      </c>
      <c r="GL359" t="e">
        <f>IF(#REF!,"AAAAAGfds8E=",0)</f>
        <v>#REF!</v>
      </c>
      <c r="GM359" t="e">
        <f>IF(#REF!,"AAAAAGfds8I=",0)</f>
        <v>#REF!</v>
      </c>
      <c r="GN359" t="e">
        <f>IF(#REF!,"AAAAAGfds8M=",0)</f>
        <v>#REF!</v>
      </c>
      <c r="GO359" t="e">
        <f>IF(#REF!,"AAAAAGfds8Q=",0)</f>
        <v>#REF!</v>
      </c>
      <c r="GP359" t="e">
        <f>IF(#REF!,"AAAAAGfds8U=",0)</f>
        <v>#REF!</v>
      </c>
      <c r="GQ359" t="e">
        <f>IF(#REF!,"AAAAAGfds8Y=",0)</f>
        <v>#REF!</v>
      </c>
      <c r="GR359" t="e">
        <f>IF(#REF!,"AAAAAGfds8c=",0)</f>
        <v>#REF!</v>
      </c>
      <c r="GS359" t="e">
        <f>IF(#REF!,"AAAAAGfds8g=",0)</f>
        <v>#REF!</v>
      </c>
      <c r="GT359" t="e">
        <f>IF(#REF!,"AAAAAGfds8k=",0)</f>
        <v>#REF!</v>
      </c>
      <c r="GU359" t="e">
        <f>IF(#REF!,"AAAAAGfds8o=",0)</f>
        <v>#REF!</v>
      </c>
      <c r="GV359" t="e">
        <f>IF(#REF!,"AAAAAGfds8s=",0)</f>
        <v>#REF!</v>
      </c>
      <c r="GW359" t="e">
        <f>IF(#REF!,"AAAAAGfds8w=",0)</f>
        <v>#REF!</v>
      </c>
      <c r="GX359" t="e">
        <f>IF(#REF!,"AAAAAGfds80=",0)</f>
        <v>#REF!</v>
      </c>
      <c r="GY359" t="e">
        <f>IF(#REF!,"AAAAAGfds84=",0)</f>
        <v>#REF!</v>
      </c>
      <c r="GZ359" t="e">
        <f>IF(#REF!,"AAAAAGfds88=",0)</f>
        <v>#REF!</v>
      </c>
      <c r="HA359" t="e">
        <f>IF(#REF!,"AAAAAGfds9A=",0)</f>
        <v>#REF!</v>
      </c>
      <c r="HB359" t="e">
        <f>IF(#REF!,"AAAAAGfds9E=",0)</f>
        <v>#REF!</v>
      </c>
      <c r="HC359" t="e">
        <f>IF(#REF!,"AAAAAGfds9I=",0)</f>
        <v>#REF!</v>
      </c>
      <c r="HD359" t="e">
        <f>IF(#REF!,"AAAAAGfds9M=",0)</f>
        <v>#REF!</v>
      </c>
      <c r="HE359" t="e">
        <f>IF(#REF!,"AAAAAGfds9Q=",0)</f>
        <v>#REF!</v>
      </c>
      <c r="HF359" t="e">
        <f>IF(#REF!,"AAAAAGfds9U=",0)</f>
        <v>#REF!</v>
      </c>
      <c r="HG359" t="e">
        <f>IF(#REF!,"AAAAAGfds9Y=",0)</f>
        <v>#REF!</v>
      </c>
      <c r="HH359" t="e">
        <f>IF(#REF!,"AAAAAGfds9c=",0)</f>
        <v>#REF!</v>
      </c>
      <c r="HI359" t="e">
        <f>IF(#REF!,"AAAAAGfds9g=",0)</f>
        <v>#REF!</v>
      </c>
      <c r="HJ359" t="e">
        <f>IF(#REF!,"AAAAAGfds9k=",0)</f>
        <v>#REF!</v>
      </c>
      <c r="HK359" t="e">
        <f>IF(#REF!,"AAAAAGfds9o=",0)</f>
        <v>#REF!</v>
      </c>
      <c r="HL359" t="e">
        <f>IF(#REF!,"AAAAAGfds9s=",0)</f>
        <v>#REF!</v>
      </c>
      <c r="HM359" t="e">
        <f>IF(#REF!,"AAAAAGfds9w=",0)</f>
        <v>#REF!</v>
      </c>
      <c r="HN359" t="e">
        <f>IF(#REF!,"AAAAAGfds90=",0)</f>
        <v>#REF!</v>
      </c>
      <c r="HO359" t="e">
        <f>IF(#REF!,"AAAAAGfds94=",0)</f>
        <v>#REF!</v>
      </c>
      <c r="HP359" t="e">
        <f>IF(#REF!,"AAAAAGfds98=",0)</f>
        <v>#REF!</v>
      </c>
      <c r="HQ359" t="e">
        <f>IF(#REF!,"AAAAAGfds+A=",0)</f>
        <v>#REF!</v>
      </c>
      <c r="HR359" t="e">
        <f>IF(#REF!,"AAAAAGfds+E=",0)</f>
        <v>#REF!</v>
      </c>
      <c r="HS359" t="e">
        <f>IF(#REF!,"AAAAAGfds+I=",0)</f>
        <v>#REF!</v>
      </c>
      <c r="HT359" t="e">
        <f>IF(#REF!,"AAAAAGfds+M=",0)</f>
        <v>#REF!</v>
      </c>
      <c r="HU359" t="e">
        <f>IF(#REF!,"AAAAAGfds+Q=",0)</f>
        <v>#REF!</v>
      </c>
      <c r="HV359" t="e">
        <f>IF(#REF!,"AAAAAGfds+U=",0)</f>
        <v>#REF!</v>
      </c>
      <c r="HW359" t="e">
        <f>IF(#REF!,"AAAAAGfds+Y=",0)</f>
        <v>#REF!</v>
      </c>
      <c r="HX359" t="e">
        <f>IF(#REF!,"AAAAAGfds+c=",0)</f>
        <v>#REF!</v>
      </c>
      <c r="HY359" t="e">
        <f>IF(#REF!,"AAAAAGfds+g=",0)</f>
        <v>#REF!</v>
      </c>
      <c r="HZ359" t="e">
        <f>IF(#REF!,"AAAAAGfds+k=",0)</f>
        <v>#REF!</v>
      </c>
      <c r="IA359" t="e">
        <f>IF(#REF!,"AAAAAGfds+o=",0)</f>
        <v>#REF!</v>
      </c>
      <c r="IB359" t="e">
        <f>IF(#REF!,"AAAAAGfds+s=",0)</f>
        <v>#REF!</v>
      </c>
      <c r="IC359" t="e">
        <f>IF(#REF!,"AAAAAGfds+w=",0)</f>
        <v>#REF!</v>
      </c>
      <c r="ID359" t="e">
        <f>IF(#REF!,"AAAAAGfds+0=",0)</f>
        <v>#REF!</v>
      </c>
      <c r="IE359" t="e">
        <f>IF(#REF!,"AAAAAGfds+4=",0)</f>
        <v>#REF!</v>
      </c>
      <c r="IF359" t="e">
        <f>IF(#REF!,"AAAAAGfds+8=",0)</f>
        <v>#REF!</v>
      </c>
      <c r="IG359" t="e">
        <f>IF(#REF!,"AAAAAGfds/A=",0)</f>
        <v>#REF!</v>
      </c>
      <c r="IH359" t="e">
        <f>IF(#REF!,"AAAAAGfds/E=",0)</f>
        <v>#REF!</v>
      </c>
      <c r="II359" t="e">
        <f>IF(#REF!,"AAAAAGfds/I=",0)</f>
        <v>#REF!</v>
      </c>
      <c r="IJ359" t="e">
        <f>IF(#REF!,"AAAAAGfds/M=",0)</f>
        <v>#REF!</v>
      </c>
      <c r="IK359" t="e">
        <f>IF(#REF!,"AAAAAGfds/Q=",0)</f>
        <v>#REF!</v>
      </c>
      <c r="IL359" t="e">
        <f>IF(#REF!,"AAAAAGfds/U=",0)</f>
        <v>#REF!</v>
      </c>
      <c r="IM359" t="e">
        <f>IF(#REF!,"AAAAAGfds/Y=",0)</f>
        <v>#REF!</v>
      </c>
      <c r="IN359" t="e">
        <f>IF(#REF!,"AAAAAGfds/c=",0)</f>
        <v>#REF!</v>
      </c>
      <c r="IO359" t="e">
        <f>IF(#REF!,"AAAAAGfds/g=",0)</f>
        <v>#REF!</v>
      </c>
      <c r="IP359" t="e">
        <f>IF(#REF!,"AAAAAGfds/k=",0)</f>
        <v>#REF!</v>
      </c>
      <c r="IQ359" t="e">
        <f>IF(#REF!,"AAAAAGfds/o=",0)</f>
        <v>#REF!</v>
      </c>
      <c r="IR359" t="e">
        <f>IF(#REF!,"AAAAAGfds/s=",0)</f>
        <v>#REF!</v>
      </c>
      <c r="IS359" t="e">
        <f>IF(#REF!,"AAAAAGfds/w=",0)</f>
        <v>#REF!</v>
      </c>
      <c r="IT359" t="e">
        <f>IF(#REF!,"AAAAAGfds/0=",0)</f>
        <v>#REF!</v>
      </c>
      <c r="IU359" t="e">
        <f>IF(#REF!,"AAAAAGfds/4=",0)</f>
        <v>#REF!</v>
      </c>
      <c r="IV359" t="e">
        <f>IF(#REF!,"AAAAAGfds/8=",0)</f>
        <v>#REF!</v>
      </c>
    </row>
    <row r="360" spans="1:256">
      <c r="A360" t="e">
        <f>IF(#REF!,"AAAAAHth/wA=",0)</f>
        <v>#REF!</v>
      </c>
      <c r="B360" t="e">
        <f>IF(#REF!,"AAAAAHth/wE=",0)</f>
        <v>#REF!</v>
      </c>
      <c r="C360" t="e">
        <f>IF(#REF!,"AAAAAHth/wI=",0)</f>
        <v>#REF!</v>
      </c>
      <c r="D360" t="e">
        <f>IF(#REF!,"AAAAAHth/wM=",0)</f>
        <v>#REF!</v>
      </c>
      <c r="E360" t="e">
        <f>IF(#REF!,"AAAAAHth/wQ=",0)</f>
        <v>#REF!</v>
      </c>
      <c r="F360" t="e">
        <f>IF(#REF!,"AAAAAHth/wU=",0)</f>
        <v>#REF!</v>
      </c>
      <c r="G360" t="e">
        <f>IF(#REF!,"AAAAAHth/wY=",0)</f>
        <v>#REF!</v>
      </c>
      <c r="H360" t="e">
        <f>IF(#REF!,"AAAAAHth/wc=",0)</f>
        <v>#REF!</v>
      </c>
      <c r="I360" t="e">
        <f>IF(#REF!,"AAAAAHth/wg=",0)</f>
        <v>#REF!</v>
      </c>
      <c r="J360" t="e">
        <f>IF(#REF!,"AAAAAHth/wk=",0)</f>
        <v>#REF!</v>
      </c>
      <c r="K360" t="e">
        <f>IF(#REF!,"AAAAAHth/wo=",0)</f>
        <v>#REF!</v>
      </c>
      <c r="L360" t="e">
        <f>IF(#REF!,"AAAAAHth/ws=",0)</f>
        <v>#REF!</v>
      </c>
      <c r="M360" t="e">
        <f>IF(#REF!,"AAAAAHth/ww=",0)</f>
        <v>#REF!</v>
      </c>
      <c r="N360" t="e">
        <f>IF(#REF!,"AAAAAHth/w0=",0)</f>
        <v>#REF!</v>
      </c>
      <c r="O360" t="e">
        <f>IF(#REF!,"AAAAAHth/w4=",0)</f>
        <v>#REF!</v>
      </c>
      <c r="P360" t="e">
        <f>IF(#REF!,"AAAAAHth/w8=",0)</f>
        <v>#REF!</v>
      </c>
      <c r="Q360" t="e">
        <f>IF(#REF!,"AAAAAHth/xA=",0)</f>
        <v>#REF!</v>
      </c>
      <c r="R360" t="e">
        <f>IF(#REF!,"AAAAAHth/xE=",0)</f>
        <v>#REF!</v>
      </c>
      <c r="S360" t="e">
        <f>IF(#REF!,"AAAAAHth/xI=",0)</f>
        <v>#REF!</v>
      </c>
      <c r="T360" t="e">
        <f>IF(#REF!,"AAAAAHth/xM=",0)</f>
        <v>#REF!</v>
      </c>
      <c r="U360" t="e">
        <f>IF(#REF!,"AAAAAHth/xQ=",0)</f>
        <v>#REF!</v>
      </c>
      <c r="V360" t="e">
        <f>IF(#REF!,"AAAAAHth/xU=",0)</f>
        <v>#REF!</v>
      </c>
      <c r="W360" t="e">
        <f>IF(#REF!,"AAAAAHth/xY=",0)</f>
        <v>#REF!</v>
      </c>
      <c r="X360" t="e">
        <f>IF(#REF!,"AAAAAHth/xc=",0)</f>
        <v>#REF!</v>
      </c>
      <c r="Y360" t="e">
        <f>IF(#REF!,"AAAAAHth/xg=",0)</f>
        <v>#REF!</v>
      </c>
      <c r="Z360" t="e">
        <f>IF(#REF!,"AAAAAHth/xk=",0)</f>
        <v>#REF!</v>
      </c>
      <c r="AA360" t="e">
        <f>IF(#REF!,"AAAAAHth/xo=",0)</f>
        <v>#REF!</v>
      </c>
      <c r="AB360" t="e">
        <f>IF(#REF!,"AAAAAHth/xs=",0)</f>
        <v>#REF!</v>
      </c>
      <c r="AC360" t="e">
        <f>IF(#REF!,"AAAAAHth/xw=",0)</f>
        <v>#REF!</v>
      </c>
      <c r="AD360" t="e">
        <f>IF(#REF!,"AAAAAHth/x0=",0)</f>
        <v>#REF!</v>
      </c>
      <c r="AE360" t="e">
        <f>IF(#REF!,"AAAAAHth/x4=",0)</f>
        <v>#REF!</v>
      </c>
      <c r="AF360" t="e">
        <f>IF(#REF!,"AAAAAHth/x8=",0)</f>
        <v>#REF!</v>
      </c>
      <c r="AG360" t="e">
        <f>IF(#REF!,"AAAAAHth/yA=",0)</f>
        <v>#REF!</v>
      </c>
      <c r="AH360" t="e">
        <f>IF(#REF!,"AAAAAHth/yE=",0)</f>
        <v>#REF!</v>
      </c>
      <c r="AI360" t="e">
        <f>IF(#REF!,"AAAAAHth/yI=",0)</f>
        <v>#REF!</v>
      </c>
      <c r="AJ360" t="e">
        <f>IF(#REF!,"AAAAAHth/yM=",0)</f>
        <v>#REF!</v>
      </c>
      <c r="AK360" t="e">
        <f>IF(#REF!,"AAAAAHth/yQ=",0)</f>
        <v>#REF!</v>
      </c>
      <c r="AL360" t="e">
        <f>IF(#REF!,"AAAAAHth/yU=",0)</f>
        <v>#REF!</v>
      </c>
      <c r="AM360" t="e">
        <f>IF(#REF!,"AAAAAHth/yY=",0)</f>
        <v>#REF!</v>
      </c>
      <c r="AN360" t="e">
        <f>IF(#REF!,"AAAAAHth/yc=",0)</f>
        <v>#REF!</v>
      </c>
      <c r="AO360" t="e">
        <f>IF(#REF!,"AAAAAHth/yg=",0)</f>
        <v>#REF!</v>
      </c>
      <c r="AP360" t="e">
        <f>IF(#REF!,"AAAAAHth/yk=",0)</f>
        <v>#REF!</v>
      </c>
      <c r="AQ360" t="e">
        <f>IF(#REF!,"AAAAAHth/yo=",0)</f>
        <v>#REF!</v>
      </c>
      <c r="AR360" t="e">
        <f>IF(#REF!,"AAAAAHth/ys=",0)</f>
        <v>#REF!</v>
      </c>
      <c r="AS360" t="e">
        <f>IF(#REF!,"AAAAAHth/yw=",0)</f>
        <v>#REF!</v>
      </c>
      <c r="AT360" t="e">
        <f>IF(#REF!,"AAAAAHth/y0=",0)</f>
        <v>#REF!</v>
      </c>
      <c r="AU360" t="e">
        <f>IF(#REF!,"AAAAAHth/y4=",0)</f>
        <v>#REF!</v>
      </c>
      <c r="AV360" t="e">
        <f>IF(#REF!,"AAAAAHth/y8=",0)</f>
        <v>#REF!</v>
      </c>
      <c r="AW360" t="e">
        <f>IF(#REF!,"AAAAAHth/zA=",0)</f>
        <v>#REF!</v>
      </c>
      <c r="AX360" t="e">
        <f>IF(#REF!,"AAAAAHth/zE=",0)</f>
        <v>#REF!</v>
      </c>
      <c r="AY360" t="e">
        <f>IF(#REF!,"AAAAAHth/zI=",0)</f>
        <v>#REF!</v>
      </c>
      <c r="AZ360" t="e">
        <f>IF(#REF!,"AAAAAHth/zM=",0)</f>
        <v>#REF!</v>
      </c>
      <c r="BA360" t="e">
        <f>IF(#REF!,"AAAAAHth/zQ=",0)</f>
        <v>#REF!</v>
      </c>
      <c r="BB360" t="e">
        <f>IF(#REF!,"AAAAAHth/zU=",0)</f>
        <v>#REF!</v>
      </c>
      <c r="BC360" t="e">
        <f>IF(#REF!,"AAAAAHth/zY=",0)</f>
        <v>#REF!</v>
      </c>
      <c r="BD360" t="e">
        <f>IF(#REF!,"AAAAAHth/zc=",0)</f>
        <v>#REF!</v>
      </c>
      <c r="BE360" t="e">
        <f>IF(#REF!,"AAAAAHth/zg=",0)</f>
        <v>#REF!</v>
      </c>
      <c r="BF360" t="e">
        <f>IF(#REF!,"AAAAAHth/zk=",0)</f>
        <v>#REF!</v>
      </c>
      <c r="BG360" t="e">
        <f>IF(#REF!,"AAAAAHth/zo=",0)</f>
        <v>#REF!</v>
      </c>
      <c r="BH360" t="e">
        <f>IF(#REF!,"AAAAAHth/zs=",0)</f>
        <v>#REF!</v>
      </c>
      <c r="BI360" t="e">
        <f>IF(#REF!,"AAAAAHth/zw=",0)</f>
        <v>#REF!</v>
      </c>
      <c r="BJ360" t="e">
        <f>IF(#REF!,"AAAAAHth/z0=",0)</f>
        <v>#REF!</v>
      </c>
      <c r="BK360" t="e">
        <f>IF(#REF!,"AAAAAHth/z4=",0)</f>
        <v>#REF!</v>
      </c>
      <c r="BL360" t="e">
        <f>IF(#REF!,"AAAAAHth/z8=",0)</f>
        <v>#REF!</v>
      </c>
      <c r="BM360" t="e">
        <f>IF(#REF!,"AAAAAHth/0A=",0)</f>
        <v>#REF!</v>
      </c>
      <c r="BN360" t="e">
        <f>IF(#REF!,"AAAAAHth/0E=",0)</f>
        <v>#REF!</v>
      </c>
      <c r="BO360" t="e">
        <f>IF(#REF!,"AAAAAHth/0I=",0)</f>
        <v>#REF!</v>
      </c>
      <c r="BP360" t="e">
        <f>IF(#REF!,"AAAAAHth/0M=",0)</f>
        <v>#REF!</v>
      </c>
      <c r="BQ360" t="e">
        <f>IF(#REF!,"AAAAAHth/0Q=",0)</f>
        <v>#REF!</v>
      </c>
      <c r="BR360" t="e">
        <f>IF(#REF!,"AAAAAHth/0U=",0)</f>
        <v>#REF!</v>
      </c>
      <c r="BS360" t="e">
        <f>IF(#REF!,"AAAAAHth/0Y=",0)</f>
        <v>#REF!</v>
      </c>
      <c r="BT360" t="e">
        <f>IF(#REF!,"AAAAAHth/0c=",0)</f>
        <v>#REF!</v>
      </c>
      <c r="BU360" t="e">
        <f>IF(#REF!,"AAAAAHth/0g=",0)</f>
        <v>#REF!</v>
      </c>
      <c r="BV360" t="e">
        <f>IF(#REF!,"AAAAAHth/0k=",0)</f>
        <v>#REF!</v>
      </c>
      <c r="BW360" t="e">
        <f>IF(#REF!,"AAAAAHth/0o=",0)</f>
        <v>#REF!</v>
      </c>
      <c r="BX360" t="e">
        <f>IF(#REF!,"AAAAAHth/0s=",0)</f>
        <v>#REF!</v>
      </c>
      <c r="BY360" t="e">
        <f>IF(#REF!,"AAAAAHth/0w=",0)</f>
        <v>#REF!</v>
      </c>
      <c r="BZ360" t="e">
        <f>IF(#REF!,"AAAAAHth/00=",0)</f>
        <v>#REF!</v>
      </c>
      <c r="CA360" t="e">
        <f>IF(#REF!,"AAAAAHth/04=",0)</f>
        <v>#REF!</v>
      </c>
      <c r="CB360" t="e">
        <f>IF(#REF!,"AAAAAHth/08=",0)</f>
        <v>#REF!</v>
      </c>
      <c r="CC360" t="e">
        <f>IF(#REF!,"AAAAAHth/1A=",0)</f>
        <v>#REF!</v>
      </c>
      <c r="CD360" t="e">
        <f>IF(#REF!,"AAAAAHth/1E=",0)</f>
        <v>#REF!</v>
      </c>
      <c r="CE360" t="e">
        <f>IF(#REF!,"AAAAAHth/1I=",0)</f>
        <v>#REF!</v>
      </c>
      <c r="CF360" t="e">
        <f>IF(#REF!,"AAAAAHth/1M=",0)</f>
        <v>#REF!</v>
      </c>
      <c r="CG360" t="e">
        <f>IF(#REF!,"AAAAAHth/1Q=",0)</f>
        <v>#REF!</v>
      </c>
      <c r="CH360" t="e">
        <f>IF(#REF!,"AAAAAHth/1U=",0)</f>
        <v>#REF!</v>
      </c>
      <c r="CI360" t="e">
        <f>IF(#REF!,"AAAAAHth/1Y=",0)</f>
        <v>#REF!</v>
      </c>
      <c r="CJ360" t="e">
        <f>IF(#REF!,"AAAAAHth/1c=",0)</f>
        <v>#REF!</v>
      </c>
      <c r="CK360" t="e">
        <f>IF(#REF!,"AAAAAHth/1g=",0)</f>
        <v>#REF!</v>
      </c>
      <c r="CL360" t="e">
        <f>IF(#REF!,"AAAAAHth/1k=",0)</f>
        <v>#REF!</v>
      </c>
      <c r="CM360" t="e">
        <f>IF(#REF!,"AAAAAHth/1o=",0)</f>
        <v>#REF!</v>
      </c>
      <c r="CN360" t="e">
        <f>IF(#REF!,"AAAAAHth/1s=",0)</f>
        <v>#REF!</v>
      </c>
      <c r="CO360" t="e">
        <f>IF(#REF!,"AAAAAHth/1w=",0)</f>
        <v>#REF!</v>
      </c>
      <c r="CP360" t="e">
        <f>IF(#REF!,"AAAAAHth/10=",0)</f>
        <v>#REF!</v>
      </c>
      <c r="CQ360" t="e">
        <f>IF(#REF!,"AAAAAHth/14=",0)</f>
        <v>#REF!</v>
      </c>
      <c r="CR360" t="e">
        <f>IF(#REF!,"AAAAAHth/18=",0)</f>
        <v>#REF!</v>
      </c>
      <c r="CS360" t="e">
        <f>IF(#REF!,"AAAAAHth/2A=",0)</f>
        <v>#REF!</v>
      </c>
      <c r="CT360" t="e">
        <f>IF(#REF!,"AAAAAHth/2E=",0)</f>
        <v>#REF!</v>
      </c>
      <c r="CU360" t="e">
        <f>IF(#REF!,"AAAAAHth/2I=",0)</f>
        <v>#REF!</v>
      </c>
      <c r="CV360" t="e">
        <f>IF(#REF!,"AAAAAHth/2M=",0)</f>
        <v>#REF!</v>
      </c>
      <c r="CW360" t="e">
        <f>IF(#REF!,"AAAAAHth/2Q=",0)</f>
        <v>#REF!</v>
      </c>
      <c r="CX360" t="e">
        <f>IF(#REF!,"AAAAAHth/2U=",0)</f>
        <v>#REF!</v>
      </c>
      <c r="CY360" t="e">
        <f>IF(#REF!,"AAAAAHth/2Y=",0)</f>
        <v>#REF!</v>
      </c>
      <c r="CZ360" t="e">
        <f>IF(#REF!,"AAAAAHth/2c=",0)</f>
        <v>#REF!</v>
      </c>
      <c r="DA360" t="e">
        <f>IF(#REF!,"AAAAAHth/2g=",0)</f>
        <v>#REF!</v>
      </c>
      <c r="DB360" t="e">
        <f>IF(#REF!,"AAAAAHth/2k=",0)</f>
        <v>#REF!</v>
      </c>
      <c r="DC360" t="e">
        <f>IF(#REF!,"AAAAAHth/2o=",0)</f>
        <v>#REF!</v>
      </c>
      <c r="DD360" t="e">
        <f>IF(#REF!,"AAAAAHth/2s=",0)</f>
        <v>#REF!</v>
      </c>
      <c r="DE360" t="e">
        <f>IF(#REF!,"AAAAAHth/2w=",0)</f>
        <v>#REF!</v>
      </c>
      <c r="DF360" t="e">
        <f>IF(#REF!,"AAAAAHth/20=",0)</f>
        <v>#REF!</v>
      </c>
      <c r="DG360" t="e">
        <f>IF(#REF!,"AAAAAHth/24=",0)</f>
        <v>#REF!</v>
      </c>
      <c r="DH360" t="e">
        <f>IF(#REF!,"AAAAAHth/28=",0)</f>
        <v>#REF!</v>
      </c>
      <c r="DI360" t="e">
        <f>IF(#REF!,"AAAAAHth/3A=",0)</f>
        <v>#REF!</v>
      </c>
      <c r="DJ360" t="e">
        <f>IF(#REF!,"AAAAAHth/3E=",0)</f>
        <v>#REF!</v>
      </c>
      <c r="DK360" t="e">
        <f>IF(#REF!,"AAAAAHth/3I=",0)</f>
        <v>#REF!</v>
      </c>
      <c r="DL360" t="e">
        <f>IF(#REF!,"AAAAAHth/3M=",0)</f>
        <v>#REF!</v>
      </c>
      <c r="DM360" t="e">
        <f>IF(#REF!,"AAAAAHth/3Q=",0)</f>
        <v>#REF!</v>
      </c>
      <c r="DN360" t="e">
        <f>IF(#REF!,"AAAAAHth/3U=",0)</f>
        <v>#REF!</v>
      </c>
      <c r="DO360" t="e">
        <f>IF(#REF!,"AAAAAHth/3Y=",0)</f>
        <v>#REF!</v>
      </c>
      <c r="DP360" t="e">
        <f>IF(#REF!,"AAAAAHth/3c=",0)</f>
        <v>#REF!</v>
      </c>
      <c r="DQ360" t="e">
        <f>IF(#REF!,"AAAAAHth/3g=",0)</f>
        <v>#REF!</v>
      </c>
      <c r="DR360" t="e">
        <f>IF(#REF!,"AAAAAHth/3k=",0)</f>
        <v>#REF!</v>
      </c>
      <c r="DS360" t="e">
        <f>IF(#REF!,"AAAAAHth/3o=",0)</f>
        <v>#REF!</v>
      </c>
      <c r="DT360" t="e">
        <f>IF(#REF!,"AAAAAHth/3s=",0)</f>
        <v>#REF!</v>
      </c>
      <c r="DU360" t="e">
        <f>IF(#REF!,"AAAAAHth/3w=",0)</f>
        <v>#REF!</v>
      </c>
      <c r="DV360" t="e">
        <f>IF(#REF!,"AAAAAHth/30=",0)</f>
        <v>#REF!</v>
      </c>
      <c r="DW360" t="e">
        <f>IF(#REF!,"AAAAAHth/34=",0)</f>
        <v>#REF!</v>
      </c>
      <c r="DX360" t="e">
        <f>IF(#REF!,"AAAAAHth/38=",0)</f>
        <v>#REF!</v>
      </c>
      <c r="DY360" t="e">
        <f>IF(#REF!,"AAAAAHth/4A=",0)</f>
        <v>#REF!</v>
      </c>
      <c r="DZ360" t="e">
        <f>IF(#REF!,"AAAAAHth/4E=",0)</f>
        <v>#REF!</v>
      </c>
      <c r="EA360" t="e">
        <f>IF(#REF!,"AAAAAHth/4I=",0)</f>
        <v>#REF!</v>
      </c>
      <c r="EB360" t="e">
        <f>IF(#REF!,"AAAAAHth/4M=",0)</f>
        <v>#REF!</v>
      </c>
      <c r="EC360" t="e">
        <f>IF(#REF!,"AAAAAHth/4Q=",0)</f>
        <v>#REF!</v>
      </c>
      <c r="ED360" t="e">
        <f>IF(#REF!,"AAAAAHth/4U=",0)</f>
        <v>#REF!</v>
      </c>
      <c r="EE360" t="e">
        <f>IF(#REF!,"AAAAAHth/4Y=",0)</f>
        <v>#REF!</v>
      </c>
      <c r="EF360" t="e">
        <f>IF(#REF!,"AAAAAHth/4c=",0)</f>
        <v>#REF!</v>
      </c>
      <c r="EG360" t="e">
        <f>IF(#REF!,"AAAAAHth/4g=",0)</f>
        <v>#REF!</v>
      </c>
      <c r="EH360" t="e">
        <f>IF(#REF!,"AAAAAHth/4k=",0)</f>
        <v>#REF!</v>
      </c>
      <c r="EI360" t="e">
        <f>IF(#REF!,"AAAAAHth/4o=",0)</f>
        <v>#REF!</v>
      </c>
      <c r="EJ360" t="e">
        <f>IF(#REF!,"AAAAAHth/4s=",0)</f>
        <v>#REF!</v>
      </c>
      <c r="EK360" t="e">
        <f>IF(#REF!,"AAAAAHth/4w=",0)</f>
        <v>#REF!</v>
      </c>
      <c r="EL360" t="e">
        <f>IF(#REF!,"AAAAAHth/40=",0)</f>
        <v>#REF!</v>
      </c>
      <c r="EM360" t="e">
        <f>IF(#REF!,"AAAAAHth/44=",0)</f>
        <v>#REF!</v>
      </c>
      <c r="EN360" t="e">
        <f>IF(#REF!,"AAAAAHth/48=",0)</f>
        <v>#REF!</v>
      </c>
      <c r="EO360" t="e">
        <f>IF(#REF!,"AAAAAHth/5A=",0)</f>
        <v>#REF!</v>
      </c>
      <c r="EP360" t="e">
        <f>IF(#REF!,"AAAAAHth/5E=",0)</f>
        <v>#REF!</v>
      </c>
      <c r="EQ360" t="e">
        <f>IF(#REF!,"AAAAAHth/5I=",0)</f>
        <v>#REF!</v>
      </c>
      <c r="ER360" t="e">
        <f>IF(#REF!,"AAAAAHth/5M=",0)</f>
        <v>#REF!</v>
      </c>
      <c r="ES360" t="e">
        <f>IF(#REF!,"AAAAAHth/5Q=",0)</f>
        <v>#REF!</v>
      </c>
      <c r="ET360" t="e">
        <f>IF(#REF!,"AAAAAHth/5U=",0)</f>
        <v>#REF!</v>
      </c>
      <c r="EU360" t="e">
        <f>IF(#REF!,"AAAAAHth/5Y=",0)</f>
        <v>#REF!</v>
      </c>
      <c r="EV360" t="e">
        <f>IF(#REF!,"AAAAAHth/5c=",0)</f>
        <v>#REF!</v>
      </c>
      <c r="EW360" t="e">
        <f>IF(#REF!,"AAAAAHth/5g=",0)</f>
        <v>#REF!</v>
      </c>
      <c r="EX360" t="e">
        <f>IF(#REF!,"AAAAAHth/5k=",0)</f>
        <v>#REF!</v>
      </c>
      <c r="EY360" t="e">
        <f>IF(#REF!,"AAAAAHth/5o=",0)</f>
        <v>#REF!</v>
      </c>
      <c r="EZ360" t="e">
        <f>IF(#REF!,"AAAAAHth/5s=",0)</f>
        <v>#REF!</v>
      </c>
      <c r="FA360" t="e">
        <f>IF(#REF!,"AAAAAHth/5w=",0)</f>
        <v>#REF!</v>
      </c>
      <c r="FB360" t="e">
        <f>IF(#REF!,"AAAAAHth/50=",0)</f>
        <v>#REF!</v>
      </c>
      <c r="FC360" t="e">
        <f>IF(#REF!,"AAAAAHth/54=",0)</f>
        <v>#REF!</v>
      </c>
      <c r="FD360" t="e">
        <f>IF(#REF!,"AAAAAHth/58=",0)</f>
        <v>#REF!</v>
      </c>
      <c r="FE360" t="e">
        <f>IF(#REF!,"AAAAAHth/6A=",0)</f>
        <v>#REF!</v>
      </c>
      <c r="FF360" t="e">
        <f>IF(#REF!,"AAAAAHth/6E=",0)</f>
        <v>#REF!</v>
      </c>
      <c r="FG360" t="e">
        <f>IF(#REF!,"AAAAAHth/6I=",0)</f>
        <v>#REF!</v>
      </c>
      <c r="FH360" t="e">
        <f>IF(#REF!,"AAAAAHth/6M=",0)</f>
        <v>#REF!</v>
      </c>
      <c r="FI360" t="e">
        <f>IF(#REF!,"AAAAAHth/6Q=",0)</f>
        <v>#REF!</v>
      </c>
      <c r="FJ360" t="e">
        <f>IF(#REF!,"AAAAAHth/6U=",0)</f>
        <v>#REF!</v>
      </c>
      <c r="FK360" t="e">
        <f>IF(#REF!,"AAAAAHth/6Y=",0)</f>
        <v>#REF!</v>
      </c>
      <c r="FL360" t="e">
        <f>IF(#REF!,"AAAAAHth/6c=",0)</f>
        <v>#REF!</v>
      </c>
      <c r="FM360" t="e">
        <f>IF(#REF!,"AAAAAHth/6g=",0)</f>
        <v>#REF!</v>
      </c>
      <c r="FN360" t="e">
        <f>IF(#REF!,"AAAAAHth/6k=",0)</f>
        <v>#REF!</v>
      </c>
      <c r="FO360" t="e">
        <f>IF(#REF!,"AAAAAHth/6o=",0)</f>
        <v>#REF!</v>
      </c>
      <c r="FP360" t="e">
        <f>IF(#REF!,"AAAAAHth/6s=",0)</f>
        <v>#REF!</v>
      </c>
      <c r="FQ360" t="e">
        <f>IF(#REF!,"AAAAAHth/6w=",0)</f>
        <v>#REF!</v>
      </c>
      <c r="FR360" t="e">
        <f>IF(#REF!,"AAAAAHth/60=",0)</f>
        <v>#REF!</v>
      </c>
      <c r="FS360" t="e">
        <f>IF(#REF!,"AAAAAHth/64=",0)</f>
        <v>#REF!</v>
      </c>
      <c r="FT360" t="e">
        <f>IF(#REF!,"AAAAAHth/68=",0)</f>
        <v>#REF!</v>
      </c>
      <c r="FU360" t="e">
        <f>IF(#REF!,"AAAAAHth/7A=",0)</f>
        <v>#REF!</v>
      </c>
      <c r="FV360" t="e">
        <f>IF(#REF!,"AAAAAHth/7E=",0)</f>
        <v>#REF!</v>
      </c>
      <c r="FW360" t="e">
        <f>IF(#REF!,"AAAAAHth/7I=",0)</f>
        <v>#REF!</v>
      </c>
      <c r="FX360" t="e">
        <f>IF(#REF!,"AAAAAHth/7M=",0)</f>
        <v>#REF!</v>
      </c>
      <c r="FY360" t="e">
        <f>IF(#REF!,"AAAAAHth/7Q=",0)</f>
        <v>#REF!</v>
      </c>
      <c r="FZ360" t="e">
        <f>IF(#REF!,"AAAAAHth/7U=",0)</f>
        <v>#REF!</v>
      </c>
      <c r="GA360" t="e">
        <f>IF(#REF!,"AAAAAHth/7Y=",0)</f>
        <v>#REF!</v>
      </c>
      <c r="GB360" t="e">
        <f>IF(#REF!,"AAAAAHth/7c=",0)</f>
        <v>#REF!</v>
      </c>
      <c r="GC360" t="e">
        <f>IF(#REF!,"AAAAAHth/7g=",0)</f>
        <v>#REF!</v>
      </c>
      <c r="GD360" t="e">
        <f>IF(#REF!,"AAAAAHth/7k=",0)</f>
        <v>#REF!</v>
      </c>
      <c r="GE360" t="e">
        <f>IF(#REF!,"AAAAAHth/7o=",0)</f>
        <v>#REF!</v>
      </c>
      <c r="GF360" t="e">
        <f>IF(#REF!,"AAAAAHth/7s=",0)</f>
        <v>#REF!</v>
      </c>
      <c r="GG360" t="e">
        <f>IF(#REF!,"AAAAAHth/7w=",0)</f>
        <v>#REF!</v>
      </c>
      <c r="GH360" t="e">
        <f>IF(#REF!,"AAAAAHth/70=",0)</f>
        <v>#REF!</v>
      </c>
      <c r="GI360" t="e">
        <f>IF(#REF!,"AAAAAHth/74=",0)</f>
        <v>#REF!</v>
      </c>
      <c r="GJ360" t="e">
        <f>IF(#REF!,"AAAAAHth/78=",0)</f>
        <v>#REF!</v>
      </c>
      <c r="GK360" t="e">
        <f>IF(#REF!,"AAAAAHth/8A=",0)</f>
        <v>#REF!</v>
      </c>
      <c r="GL360" t="e">
        <f>IF(#REF!,"AAAAAHth/8E=",0)</f>
        <v>#REF!</v>
      </c>
      <c r="GM360" t="e">
        <f>IF(#REF!,"AAAAAHth/8I=",0)</f>
        <v>#REF!</v>
      </c>
      <c r="GN360" t="e">
        <f>IF(#REF!,"AAAAAHth/8M=",0)</f>
        <v>#REF!</v>
      </c>
      <c r="GO360" t="e">
        <f>IF(#REF!,"AAAAAHth/8Q=",0)</f>
        <v>#REF!</v>
      </c>
      <c r="GP360" t="e">
        <f>IF(#REF!,"AAAAAHth/8U=",0)</f>
        <v>#REF!</v>
      </c>
      <c r="GQ360" t="e">
        <f>IF(#REF!,"AAAAAHth/8Y=",0)</f>
        <v>#REF!</v>
      </c>
      <c r="GR360" t="e">
        <f>IF(#REF!,"AAAAAHth/8c=",0)</f>
        <v>#REF!</v>
      </c>
      <c r="GS360" t="e">
        <f>IF(#REF!,"AAAAAHth/8g=",0)</f>
        <v>#REF!</v>
      </c>
      <c r="GT360" t="e">
        <f>IF(#REF!,"AAAAAHth/8k=",0)</f>
        <v>#REF!</v>
      </c>
      <c r="GU360" t="e">
        <f>IF(#REF!,"AAAAAHth/8o=",0)</f>
        <v>#REF!</v>
      </c>
      <c r="GV360" t="e">
        <f>IF(#REF!,"AAAAAHth/8s=",0)</f>
        <v>#REF!</v>
      </c>
      <c r="GW360" t="e">
        <f>IF(#REF!,"AAAAAHth/8w=",0)</f>
        <v>#REF!</v>
      </c>
      <c r="GX360" t="e">
        <f>IF(#REF!,"AAAAAHth/80=",0)</f>
        <v>#REF!</v>
      </c>
      <c r="GY360" t="e">
        <f>IF(#REF!,"AAAAAHth/84=",0)</f>
        <v>#REF!</v>
      </c>
      <c r="GZ360" t="e">
        <f>IF(#REF!,"AAAAAHth/88=",0)</f>
        <v>#REF!</v>
      </c>
      <c r="HA360" t="e">
        <f>IF(#REF!,"AAAAAHth/9A=",0)</f>
        <v>#REF!</v>
      </c>
      <c r="HB360" t="e">
        <f>IF(#REF!,"AAAAAHth/9E=",0)</f>
        <v>#REF!</v>
      </c>
      <c r="HC360" t="e">
        <f>IF(#REF!,"AAAAAHth/9I=",0)</f>
        <v>#REF!</v>
      </c>
      <c r="HD360" t="e">
        <f>IF(#REF!,"AAAAAHth/9M=",0)</f>
        <v>#REF!</v>
      </c>
      <c r="HE360" t="e">
        <f>IF(#REF!,"AAAAAHth/9Q=",0)</f>
        <v>#REF!</v>
      </c>
      <c r="HF360" t="e">
        <f>IF(#REF!,"AAAAAHth/9U=",0)</f>
        <v>#REF!</v>
      </c>
      <c r="HG360" t="e">
        <f>IF(#REF!,"AAAAAHth/9Y=",0)</f>
        <v>#REF!</v>
      </c>
      <c r="HH360" t="e">
        <f>IF(#REF!,"AAAAAHth/9c=",0)</f>
        <v>#REF!</v>
      </c>
      <c r="HI360" t="e">
        <f>IF(#REF!,"AAAAAHth/9g=",0)</f>
        <v>#REF!</v>
      </c>
      <c r="HJ360" t="e">
        <f>IF(#REF!,"AAAAAHth/9k=",0)</f>
        <v>#REF!</v>
      </c>
      <c r="HK360" t="e">
        <f>IF(#REF!,"AAAAAHth/9o=",0)</f>
        <v>#REF!</v>
      </c>
      <c r="HL360" t="e">
        <f>IF(#REF!,"AAAAAHth/9s=",0)</f>
        <v>#REF!</v>
      </c>
      <c r="HM360" t="e">
        <f>IF(#REF!,"AAAAAHth/9w=",0)</f>
        <v>#REF!</v>
      </c>
      <c r="HN360" t="e">
        <f>IF(#REF!,"AAAAAHth/90=",0)</f>
        <v>#REF!</v>
      </c>
      <c r="HO360" t="e">
        <f>IF(#REF!,"AAAAAHth/94=",0)</f>
        <v>#REF!</v>
      </c>
      <c r="HP360" t="e">
        <f>IF(#REF!,"AAAAAHth/98=",0)</f>
        <v>#REF!</v>
      </c>
      <c r="HQ360" t="e">
        <f>IF(#REF!,"AAAAAHth/+A=",0)</f>
        <v>#REF!</v>
      </c>
      <c r="HR360" t="e">
        <f>IF(#REF!,"AAAAAHth/+E=",0)</f>
        <v>#REF!</v>
      </c>
      <c r="HS360" t="e">
        <f>IF(#REF!,"AAAAAHth/+I=",0)</f>
        <v>#REF!</v>
      </c>
      <c r="HT360" t="e">
        <f>IF(#REF!,"AAAAAHth/+M=",0)</f>
        <v>#REF!</v>
      </c>
      <c r="HU360" t="e">
        <f>IF(#REF!,"AAAAAHth/+Q=",0)</f>
        <v>#REF!</v>
      </c>
      <c r="HV360" t="e">
        <f>IF(#REF!,"AAAAAHth/+U=",0)</f>
        <v>#REF!</v>
      </c>
      <c r="HW360" t="e">
        <f>IF(#REF!,"AAAAAHth/+Y=",0)</f>
        <v>#REF!</v>
      </c>
      <c r="HX360" t="e">
        <f>IF(#REF!,"AAAAAHth/+c=",0)</f>
        <v>#REF!</v>
      </c>
      <c r="HY360" t="e">
        <f>IF(#REF!,"AAAAAHth/+g=",0)</f>
        <v>#REF!</v>
      </c>
      <c r="HZ360" t="e">
        <f>IF(#REF!,"AAAAAHth/+k=",0)</f>
        <v>#REF!</v>
      </c>
      <c r="IA360" t="e">
        <f>IF(#REF!,"AAAAAHth/+o=",0)</f>
        <v>#REF!</v>
      </c>
      <c r="IB360" t="e">
        <f>IF(#REF!,"AAAAAHth/+s=",0)</f>
        <v>#REF!</v>
      </c>
      <c r="IC360" t="e">
        <f>IF(#REF!,"AAAAAHth/+w=",0)</f>
        <v>#REF!</v>
      </c>
      <c r="ID360" t="e">
        <f>IF(#REF!,"AAAAAHth/+0=",0)</f>
        <v>#REF!</v>
      </c>
      <c r="IE360" t="e">
        <f>IF(#REF!,"AAAAAHth/+4=",0)</f>
        <v>#REF!</v>
      </c>
      <c r="IF360" t="e">
        <f>IF(#REF!,"AAAAAHth/+8=",0)</f>
        <v>#REF!</v>
      </c>
      <c r="IG360" t="e">
        <f>IF(#REF!,"AAAAAHth//A=",0)</f>
        <v>#REF!</v>
      </c>
      <c r="IH360" t="e">
        <f>IF(#REF!,"AAAAAHth//E=",0)</f>
        <v>#REF!</v>
      </c>
      <c r="II360" t="e">
        <f>IF(#REF!,"AAAAAHth//I=",0)</f>
        <v>#REF!</v>
      </c>
      <c r="IJ360" t="e">
        <f>IF(#REF!,"AAAAAHth//M=",0)</f>
        <v>#REF!</v>
      </c>
      <c r="IK360" t="e">
        <f>IF(#REF!,"AAAAAHth//Q=",0)</f>
        <v>#REF!</v>
      </c>
      <c r="IL360" t="e">
        <f>IF(#REF!,"AAAAAHth//U=",0)</f>
        <v>#REF!</v>
      </c>
      <c r="IM360" t="e">
        <f>IF(#REF!,"AAAAAHth//Y=",0)</f>
        <v>#REF!</v>
      </c>
      <c r="IN360" t="e">
        <f>IF(#REF!,"AAAAAHth//c=",0)</f>
        <v>#REF!</v>
      </c>
      <c r="IO360" t="e">
        <f>IF(#REF!,"AAAAAHth//g=",0)</f>
        <v>#REF!</v>
      </c>
      <c r="IP360" t="e">
        <f>IF(#REF!,"AAAAAHth//k=",0)</f>
        <v>#REF!</v>
      </c>
      <c r="IQ360" t="e">
        <f>IF(#REF!,"AAAAAHth//o=",0)</f>
        <v>#REF!</v>
      </c>
      <c r="IR360" t="e">
        <f>IF(#REF!,"AAAAAHth//s=",0)</f>
        <v>#REF!</v>
      </c>
      <c r="IS360" t="e">
        <f>IF(#REF!,"AAAAAHth//w=",0)</f>
        <v>#REF!</v>
      </c>
      <c r="IT360" t="e">
        <f>IF(#REF!,"AAAAAHth//0=",0)</f>
        <v>#REF!</v>
      </c>
      <c r="IU360" t="e">
        <f>IF(#REF!,"AAAAAHth//4=",0)</f>
        <v>#REF!</v>
      </c>
      <c r="IV360" t="e">
        <f>IF(#REF!,"AAAAAHth//8=",0)</f>
        <v>#REF!</v>
      </c>
    </row>
    <row r="361" spans="1:256">
      <c r="A361" t="e">
        <f>IF(#REF!,"AAAAAEXauQA=",0)</f>
        <v>#REF!</v>
      </c>
      <c r="B361" t="e">
        <f>IF(#REF!,"AAAAAEXauQE=",0)</f>
        <v>#REF!</v>
      </c>
      <c r="C361" t="e">
        <f>IF(#REF!,"AAAAAEXauQI=",0)</f>
        <v>#REF!</v>
      </c>
      <c r="D361" t="e">
        <f>IF(#REF!,"AAAAAEXauQM=",0)</f>
        <v>#REF!</v>
      </c>
      <c r="E361" t="e">
        <f>IF(#REF!,"AAAAAEXauQQ=",0)</f>
        <v>#REF!</v>
      </c>
      <c r="F361" t="e">
        <f>IF(#REF!,"AAAAAEXauQU=",0)</f>
        <v>#REF!</v>
      </c>
      <c r="G361" t="e">
        <f>IF(#REF!,"AAAAAEXauQY=",0)</f>
        <v>#REF!</v>
      </c>
      <c r="H361" t="e">
        <f>IF(#REF!,"AAAAAEXauQc=",0)</f>
        <v>#REF!</v>
      </c>
      <c r="I361" t="e">
        <f>IF(#REF!,"AAAAAEXauQg=",0)</f>
        <v>#REF!</v>
      </c>
      <c r="J361" t="e">
        <f>IF(#REF!,"AAAAAEXauQk=",0)</f>
        <v>#REF!</v>
      </c>
      <c r="K361" t="e">
        <f>IF(#REF!,"AAAAAEXauQo=",0)</f>
        <v>#REF!</v>
      </c>
      <c r="L361" t="e">
        <f>IF(#REF!,"AAAAAEXauQs=",0)</f>
        <v>#REF!</v>
      </c>
      <c r="M361" t="e">
        <f>IF(#REF!,"AAAAAEXauQw=",0)</f>
        <v>#REF!</v>
      </c>
      <c r="N361" t="e">
        <f>IF(#REF!,"AAAAAEXauQ0=",0)</f>
        <v>#REF!</v>
      </c>
      <c r="O361" t="e">
        <f>IF(#REF!,"AAAAAEXauQ4=",0)</f>
        <v>#REF!</v>
      </c>
      <c r="P361" t="e">
        <f>IF(#REF!,"AAAAAEXauQ8=",0)</f>
        <v>#REF!</v>
      </c>
      <c r="Q361" t="e">
        <f>IF(#REF!,"AAAAAEXauRA=",0)</f>
        <v>#REF!</v>
      </c>
      <c r="R361" t="e">
        <f>IF(#REF!,"AAAAAEXauRE=",0)</f>
        <v>#REF!</v>
      </c>
      <c r="S361" t="e">
        <f>IF(#REF!,"AAAAAEXauRI=",0)</f>
        <v>#REF!</v>
      </c>
      <c r="T361" t="e">
        <f>IF(#REF!,"AAAAAEXauRM=",0)</f>
        <v>#REF!</v>
      </c>
      <c r="U361" t="e">
        <f>IF(#REF!,"AAAAAEXauRQ=",0)</f>
        <v>#REF!</v>
      </c>
      <c r="V361" t="e">
        <f>IF(#REF!,"AAAAAEXauRU=",0)</f>
        <v>#REF!</v>
      </c>
      <c r="W361" t="e">
        <f>IF(#REF!,"AAAAAEXauRY=",0)</f>
        <v>#REF!</v>
      </c>
      <c r="X361" t="e">
        <f>IF(#REF!,"AAAAAEXauRc=",0)</f>
        <v>#REF!</v>
      </c>
      <c r="Y361" t="e">
        <f>IF(#REF!,"AAAAAEXauRg=",0)</f>
        <v>#REF!</v>
      </c>
      <c r="Z361" t="e">
        <f>IF(#REF!,"AAAAAEXauRk=",0)</f>
        <v>#REF!</v>
      </c>
      <c r="AA361" t="e">
        <f>IF(#REF!,"AAAAAEXauRo=",0)</f>
        <v>#REF!</v>
      </c>
      <c r="AB361" t="e">
        <f>IF(#REF!,"AAAAAEXauRs=",0)</f>
        <v>#REF!</v>
      </c>
      <c r="AC361" t="e">
        <f>IF(#REF!,"AAAAAEXauRw=",0)</f>
        <v>#REF!</v>
      </c>
      <c r="AD361" t="e">
        <f>IF(#REF!,"AAAAAEXauR0=",0)</f>
        <v>#REF!</v>
      </c>
      <c r="AE361" t="e">
        <f>IF(#REF!,"AAAAAEXauR4=",0)</f>
        <v>#REF!</v>
      </c>
      <c r="AF361" t="e">
        <f>IF(#REF!,"AAAAAEXauR8=",0)</f>
        <v>#REF!</v>
      </c>
      <c r="AG361" t="e">
        <f>IF(#REF!,"AAAAAEXauSA=",0)</f>
        <v>#REF!</v>
      </c>
      <c r="AH361" t="e">
        <f>IF(#REF!,"AAAAAEXauSE=",0)</f>
        <v>#REF!</v>
      </c>
      <c r="AI361" t="e">
        <f>IF(#REF!,"AAAAAEXauSI=",0)</f>
        <v>#REF!</v>
      </c>
      <c r="AJ361" t="e">
        <f>IF(#REF!,"AAAAAEXauSM=",0)</f>
        <v>#REF!</v>
      </c>
      <c r="AK361" t="e">
        <f>IF(#REF!,"AAAAAEXauSQ=",0)</f>
        <v>#REF!</v>
      </c>
      <c r="AL361" t="e">
        <f>IF(#REF!,"AAAAAEXauSU=",0)</f>
        <v>#REF!</v>
      </c>
      <c r="AM361" t="e">
        <f>IF(#REF!,"AAAAAEXauSY=",0)</f>
        <v>#REF!</v>
      </c>
      <c r="AN361" t="e">
        <f>IF(#REF!,"AAAAAEXauSc=",0)</f>
        <v>#REF!</v>
      </c>
      <c r="AO361" t="e">
        <f>IF(#REF!,"AAAAAEXauSg=",0)</f>
        <v>#REF!</v>
      </c>
      <c r="AP361" t="e">
        <f>IF(#REF!,"AAAAAEXauSk=",0)</f>
        <v>#REF!</v>
      </c>
      <c r="AQ361" t="e">
        <f>IF(#REF!,"AAAAAEXauSo=",0)</f>
        <v>#REF!</v>
      </c>
      <c r="AR361" t="e">
        <f>IF(#REF!,"AAAAAEXauSs=",0)</f>
        <v>#REF!</v>
      </c>
      <c r="AS361" t="e">
        <f>IF(#REF!,"AAAAAEXauSw=",0)</f>
        <v>#REF!</v>
      </c>
      <c r="AT361" t="e">
        <f>IF(#REF!,"AAAAAEXauS0=",0)</f>
        <v>#REF!</v>
      </c>
      <c r="AU361" t="e">
        <f>IF(#REF!,"AAAAAEXauS4=",0)</f>
        <v>#REF!</v>
      </c>
      <c r="AV361" t="e">
        <f>IF(#REF!,"AAAAAEXauS8=",0)</f>
        <v>#REF!</v>
      </c>
      <c r="AW361" t="e">
        <f>IF(#REF!,"AAAAAEXauTA=",0)</f>
        <v>#REF!</v>
      </c>
      <c r="AX361" t="e">
        <f>IF(#REF!,"AAAAAEXauTE=",0)</f>
        <v>#REF!</v>
      </c>
      <c r="AY361" t="e">
        <f>IF(#REF!,"AAAAAEXauTI=",0)</f>
        <v>#REF!</v>
      </c>
      <c r="AZ361" t="e">
        <f>IF(#REF!,"AAAAAEXauTM=",0)</f>
        <v>#REF!</v>
      </c>
      <c r="BA361" t="e">
        <f>IF(#REF!,"AAAAAEXauTQ=",0)</f>
        <v>#REF!</v>
      </c>
      <c r="BB361" t="e">
        <f>IF(#REF!,"AAAAAEXauTU=",0)</f>
        <v>#REF!</v>
      </c>
      <c r="BC361" t="e">
        <f>IF(#REF!,"AAAAAEXauTY=",0)</f>
        <v>#REF!</v>
      </c>
      <c r="BD361" t="e">
        <f>IF(#REF!,"AAAAAEXauTc=",0)</f>
        <v>#REF!</v>
      </c>
      <c r="BE361" t="e">
        <f>IF(#REF!,"AAAAAEXauTg=",0)</f>
        <v>#REF!</v>
      </c>
      <c r="BF361" t="e">
        <f>IF(#REF!,"AAAAAEXauTk=",0)</f>
        <v>#REF!</v>
      </c>
      <c r="BG361" t="e">
        <f>IF(#REF!,"AAAAAEXauTo=",0)</f>
        <v>#REF!</v>
      </c>
      <c r="BH361" t="e">
        <f>IF(#REF!,"AAAAAEXauTs=",0)</f>
        <v>#REF!</v>
      </c>
      <c r="BI361" t="e">
        <f>IF(#REF!,"AAAAAEXauTw=",0)</f>
        <v>#REF!</v>
      </c>
      <c r="BJ361" t="e">
        <f>IF(#REF!,"AAAAAEXauT0=",0)</f>
        <v>#REF!</v>
      </c>
      <c r="BK361" t="e">
        <f>IF(#REF!,"AAAAAEXauT4=",0)</f>
        <v>#REF!</v>
      </c>
      <c r="BL361" t="e">
        <f>IF(#REF!,"AAAAAEXauT8=",0)</f>
        <v>#REF!</v>
      </c>
      <c r="BM361" t="e">
        <f>IF(#REF!,"AAAAAEXauUA=",0)</f>
        <v>#REF!</v>
      </c>
      <c r="BN361" t="e">
        <f>IF(#REF!,"AAAAAEXauUE=",0)</f>
        <v>#REF!</v>
      </c>
      <c r="BO361" t="e">
        <f>IF(#REF!,"AAAAAEXauUI=",0)</f>
        <v>#REF!</v>
      </c>
      <c r="BP361" t="e">
        <f>IF(#REF!,"AAAAAEXauUM=",0)</f>
        <v>#REF!</v>
      </c>
      <c r="BQ361" t="e">
        <f>IF(#REF!,"AAAAAEXauUQ=",0)</f>
        <v>#REF!</v>
      </c>
      <c r="BR361" t="e">
        <f>IF(#REF!,"AAAAAEXauUU=",0)</f>
        <v>#REF!</v>
      </c>
      <c r="BS361" t="e">
        <f>IF(#REF!,"AAAAAEXauUY=",0)</f>
        <v>#REF!</v>
      </c>
      <c r="BT361" t="e">
        <f>IF(#REF!,"AAAAAEXauUc=",0)</f>
        <v>#REF!</v>
      </c>
      <c r="BU361" t="e">
        <f>IF(#REF!,"AAAAAEXauUg=",0)</f>
        <v>#REF!</v>
      </c>
      <c r="BV361" t="e">
        <f>IF(#REF!,"AAAAAEXauUk=",0)</f>
        <v>#REF!</v>
      </c>
      <c r="BW361" t="e">
        <f>IF(#REF!,"AAAAAEXauUo=",0)</f>
        <v>#REF!</v>
      </c>
      <c r="BX361" t="e">
        <f>IF(#REF!,"AAAAAEXauUs=",0)</f>
        <v>#REF!</v>
      </c>
      <c r="BY361" t="e">
        <f>IF(#REF!,"AAAAAEXauUw=",0)</f>
        <v>#REF!</v>
      </c>
      <c r="BZ361" t="e">
        <f>IF(#REF!,"AAAAAEXauU0=",0)</f>
        <v>#REF!</v>
      </c>
      <c r="CA361" t="e">
        <f>IF(#REF!,"AAAAAEXauU4=",0)</f>
        <v>#REF!</v>
      </c>
      <c r="CB361" t="e">
        <f>IF(#REF!,"AAAAAEXauU8=",0)</f>
        <v>#REF!</v>
      </c>
      <c r="CC361" t="e">
        <f>IF(#REF!,"AAAAAEXauVA=",0)</f>
        <v>#REF!</v>
      </c>
      <c r="CD361" t="e">
        <f>IF(#REF!,"AAAAAEXauVE=",0)</f>
        <v>#REF!</v>
      </c>
      <c r="CE361" t="e">
        <f>IF(#REF!,"AAAAAEXauVI=",0)</f>
        <v>#REF!</v>
      </c>
      <c r="CF361" t="e">
        <f>IF(#REF!,"AAAAAEXauVM=",0)</f>
        <v>#REF!</v>
      </c>
      <c r="CG361" t="e">
        <f>IF(#REF!,"AAAAAEXauVQ=",0)</f>
        <v>#REF!</v>
      </c>
      <c r="CH361" t="e">
        <f>IF(#REF!,"AAAAAEXauVU=",0)</f>
        <v>#REF!</v>
      </c>
      <c r="CI361" t="e">
        <f>IF(#REF!,"AAAAAEXauVY=",0)</f>
        <v>#REF!</v>
      </c>
      <c r="CJ361" t="e">
        <f>IF(#REF!,"AAAAAEXauVc=",0)</f>
        <v>#REF!</v>
      </c>
      <c r="CK361" t="e">
        <f>IF(#REF!,"AAAAAEXauVg=",0)</f>
        <v>#REF!</v>
      </c>
      <c r="CL361" t="e">
        <f>IF(#REF!,"AAAAAEXauVk=",0)</f>
        <v>#REF!</v>
      </c>
      <c r="CM361" t="e">
        <f>IF(#REF!,"AAAAAEXauVo=",0)</f>
        <v>#REF!</v>
      </c>
      <c r="CN361" t="e">
        <f>IF(#REF!,"AAAAAEXauVs=",0)</f>
        <v>#REF!</v>
      </c>
      <c r="CO361" t="e">
        <f>IF(#REF!,"AAAAAEXauVw=",0)</f>
        <v>#REF!</v>
      </c>
      <c r="CP361" t="e">
        <f>IF(#REF!,"AAAAAEXauV0=",0)</f>
        <v>#REF!</v>
      </c>
      <c r="CQ361" t="e">
        <f>IF(#REF!,"AAAAAEXauV4=",0)</f>
        <v>#REF!</v>
      </c>
      <c r="CR361" t="e">
        <f>IF(#REF!,"AAAAAEXauV8=",0)</f>
        <v>#REF!</v>
      </c>
      <c r="CS361" t="e">
        <f>IF(#REF!,"AAAAAEXauWA=",0)</f>
        <v>#REF!</v>
      </c>
      <c r="CT361" t="e">
        <f>IF(#REF!,"AAAAAEXauWE=",0)</f>
        <v>#REF!</v>
      </c>
      <c r="CU361" t="e">
        <f>IF(#REF!,"AAAAAEXauWI=",0)</f>
        <v>#REF!</v>
      </c>
      <c r="CV361" t="e">
        <f>IF(#REF!,"AAAAAEXauWM=",0)</f>
        <v>#REF!</v>
      </c>
      <c r="CW361" t="e">
        <f>IF(#REF!,"AAAAAEXauWQ=",0)</f>
        <v>#REF!</v>
      </c>
      <c r="CX361" t="e">
        <f>IF(#REF!,"AAAAAEXauWU=",0)</f>
        <v>#REF!</v>
      </c>
      <c r="CY361" t="e">
        <f>IF(#REF!,"AAAAAEXauWY=",0)</f>
        <v>#REF!</v>
      </c>
      <c r="CZ361" t="e">
        <f>IF(#REF!,"AAAAAEXauWc=",0)</f>
        <v>#REF!</v>
      </c>
      <c r="DA361" t="e">
        <f>IF(#REF!,"AAAAAEXauWg=",0)</f>
        <v>#REF!</v>
      </c>
      <c r="DB361" t="e">
        <f>IF(#REF!,"AAAAAEXauWk=",0)</f>
        <v>#REF!</v>
      </c>
      <c r="DC361" t="e">
        <f>IF(#REF!,"AAAAAEXauWo=",0)</f>
        <v>#REF!</v>
      </c>
      <c r="DD361" t="e">
        <f>IF(#REF!,"AAAAAEXauWs=",0)</f>
        <v>#REF!</v>
      </c>
      <c r="DE361" t="e">
        <f>IF(#REF!,"AAAAAEXauWw=",0)</f>
        <v>#REF!</v>
      </c>
      <c r="DF361" t="e">
        <f>IF(#REF!,"AAAAAEXauW0=",0)</f>
        <v>#REF!</v>
      </c>
      <c r="DG361" t="e">
        <f>IF(#REF!,"AAAAAEXauW4=",0)</f>
        <v>#REF!</v>
      </c>
      <c r="DH361" t="e">
        <f>IF(#REF!,"AAAAAEXauW8=",0)</f>
        <v>#REF!</v>
      </c>
      <c r="DI361" t="e">
        <f>IF(#REF!,"AAAAAEXauXA=",0)</f>
        <v>#REF!</v>
      </c>
      <c r="DJ361" t="e">
        <f>IF(#REF!,"AAAAAEXauXE=",0)</f>
        <v>#REF!</v>
      </c>
      <c r="DK361" t="e">
        <f>IF(#REF!,"AAAAAEXauXI=",0)</f>
        <v>#REF!</v>
      </c>
      <c r="DL361" t="e">
        <f>IF(#REF!,"AAAAAEXauXM=",0)</f>
        <v>#REF!</v>
      </c>
      <c r="DM361" t="e">
        <f>IF(#REF!,"AAAAAEXauXQ=",0)</f>
        <v>#REF!</v>
      </c>
      <c r="DN361" t="e">
        <f>IF(#REF!,"AAAAAEXauXU=",0)</f>
        <v>#REF!</v>
      </c>
      <c r="DO361" t="e">
        <f>IF(#REF!,"AAAAAEXauXY=",0)</f>
        <v>#REF!</v>
      </c>
      <c r="DP361" t="e">
        <f>IF(#REF!,"AAAAAEXauXc=",0)</f>
        <v>#REF!</v>
      </c>
      <c r="DQ361" t="e">
        <f>IF(#REF!,"AAAAAEXauXg=",0)</f>
        <v>#REF!</v>
      </c>
      <c r="DR361" t="e">
        <f>IF(#REF!,"AAAAAEXauXk=",0)</f>
        <v>#REF!</v>
      </c>
      <c r="DS361" t="e">
        <f>IF(#REF!,"AAAAAEXauXo=",0)</f>
        <v>#REF!</v>
      </c>
      <c r="DT361" t="e">
        <f>IF(#REF!,"AAAAAEXauXs=",0)</f>
        <v>#REF!</v>
      </c>
      <c r="DU361" t="e">
        <f>IF(#REF!,"AAAAAEXauXw=",0)</f>
        <v>#REF!</v>
      </c>
      <c r="DV361" t="e">
        <f>IF(#REF!,"AAAAAEXauX0=",0)</f>
        <v>#REF!</v>
      </c>
      <c r="DW361" t="e">
        <f>IF(#REF!,"AAAAAEXauX4=",0)</f>
        <v>#REF!</v>
      </c>
      <c r="DX361" t="e">
        <f>IF(#REF!,"AAAAAEXauX8=",0)</f>
        <v>#REF!</v>
      </c>
      <c r="DY361" t="e">
        <f>IF(#REF!,"AAAAAEXauYA=",0)</f>
        <v>#REF!</v>
      </c>
      <c r="DZ361" t="e">
        <f>IF(#REF!,"AAAAAEXauYE=",0)</f>
        <v>#REF!</v>
      </c>
      <c r="EA361" t="e">
        <f>IF(#REF!,"AAAAAEXauYI=",0)</f>
        <v>#REF!</v>
      </c>
      <c r="EB361" t="e">
        <f>IF(#REF!,"AAAAAEXauYM=",0)</f>
        <v>#REF!</v>
      </c>
      <c r="EC361" t="e">
        <f>IF(#REF!,"AAAAAEXauYQ=",0)</f>
        <v>#REF!</v>
      </c>
      <c r="ED361" t="e">
        <f>IF(#REF!,"AAAAAEXauYU=",0)</f>
        <v>#REF!</v>
      </c>
      <c r="EE361" t="e">
        <f>IF(#REF!,"AAAAAEXauYY=",0)</f>
        <v>#REF!</v>
      </c>
      <c r="EF361" t="e">
        <f>IF(#REF!,"AAAAAEXauYc=",0)</f>
        <v>#REF!</v>
      </c>
      <c r="EG361" t="e">
        <f>IF(#REF!,"AAAAAEXauYg=",0)</f>
        <v>#REF!</v>
      </c>
      <c r="EH361" t="e">
        <f>IF(#REF!,"AAAAAEXauYk=",0)</f>
        <v>#REF!</v>
      </c>
      <c r="EI361" t="e">
        <f>IF(#REF!,"AAAAAEXauYo=",0)</f>
        <v>#REF!</v>
      </c>
      <c r="EJ361" t="e">
        <f>IF(#REF!,"AAAAAEXauYs=",0)</f>
        <v>#REF!</v>
      </c>
      <c r="EK361" t="e">
        <f>IF(#REF!,"AAAAAEXauYw=",0)</f>
        <v>#REF!</v>
      </c>
      <c r="EL361" t="e">
        <f>IF(#REF!,"AAAAAEXauY0=",0)</f>
        <v>#REF!</v>
      </c>
      <c r="EM361" t="e">
        <f>IF(#REF!,"AAAAAEXauY4=",0)</f>
        <v>#REF!</v>
      </c>
      <c r="EN361" t="e">
        <f>IF(#REF!,"AAAAAEXauY8=",0)</f>
        <v>#REF!</v>
      </c>
      <c r="EO361" t="e">
        <f>IF(#REF!,"AAAAAEXauZA=",0)</f>
        <v>#REF!</v>
      </c>
      <c r="EP361" t="e">
        <f>IF(#REF!,"AAAAAEXauZE=",0)</f>
        <v>#REF!</v>
      </c>
      <c r="EQ361" t="e">
        <f>IF(#REF!,"AAAAAEXauZI=",0)</f>
        <v>#REF!</v>
      </c>
      <c r="ER361" t="e">
        <f>IF(#REF!,"AAAAAEXauZM=",0)</f>
        <v>#REF!</v>
      </c>
      <c r="ES361" t="e">
        <f>IF(#REF!,"AAAAAEXauZQ=",0)</f>
        <v>#REF!</v>
      </c>
      <c r="ET361" t="e">
        <f>IF(#REF!,"AAAAAEXauZU=",0)</f>
        <v>#REF!</v>
      </c>
      <c r="EU361" t="e">
        <f>IF(#REF!,"AAAAAEXauZY=",0)</f>
        <v>#REF!</v>
      </c>
      <c r="EV361" t="e">
        <f>IF(#REF!,"AAAAAEXauZc=",0)</f>
        <v>#REF!</v>
      </c>
      <c r="EW361" t="e">
        <f>IF(#REF!,"AAAAAEXauZg=",0)</f>
        <v>#REF!</v>
      </c>
      <c r="EX361" t="e">
        <f>IF(#REF!,"AAAAAEXauZk=",0)</f>
        <v>#REF!</v>
      </c>
      <c r="EY361" t="e">
        <f>IF(#REF!,"AAAAAEXauZo=",0)</f>
        <v>#REF!</v>
      </c>
      <c r="EZ361" t="e">
        <f>IF(#REF!,"AAAAAEXauZs=",0)</f>
        <v>#REF!</v>
      </c>
      <c r="FA361" t="e">
        <f>IF(#REF!,"AAAAAEXauZw=",0)</f>
        <v>#REF!</v>
      </c>
      <c r="FB361" t="e">
        <f>IF(#REF!,"AAAAAEXauZ0=",0)</f>
        <v>#REF!</v>
      </c>
      <c r="FC361" t="e">
        <f>IF(#REF!,"AAAAAEXauZ4=",0)</f>
        <v>#REF!</v>
      </c>
      <c r="FD361" t="e">
        <f>IF(#REF!,"AAAAAEXauZ8=",0)</f>
        <v>#REF!</v>
      </c>
      <c r="FE361" t="e">
        <f>IF(#REF!,"AAAAAEXauaA=",0)</f>
        <v>#REF!</v>
      </c>
      <c r="FF361" t="e">
        <f>IF(#REF!,"AAAAAEXauaE=",0)</f>
        <v>#REF!</v>
      </c>
      <c r="FG361" t="e">
        <f>IF(#REF!,"AAAAAEXauaI=",0)</f>
        <v>#REF!</v>
      </c>
      <c r="FH361" t="e">
        <f>IF(#REF!,"AAAAAEXauaM=",0)</f>
        <v>#REF!</v>
      </c>
      <c r="FI361" t="e">
        <f>IF(#REF!,"AAAAAEXauaQ=",0)</f>
        <v>#REF!</v>
      </c>
      <c r="FJ361" t="e">
        <f>IF(#REF!,"AAAAAEXauaU=",0)</f>
        <v>#REF!</v>
      </c>
      <c r="FK361" t="e">
        <f>IF(#REF!,"AAAAAEXauaY=",0)</f>
        <v>#REF!</v>
      </c>
      <c r="FL361" t="e">
        <f>IF(#REF!,"AAAAAEXauac=",0)</f>
        <v>#REF!</v>
      </c>
      <c r="FM361" t="e">
        <f>IF(#REF!,"AAAAAEXauag=",0)</f>
        <v>#REF!</v>
      </c>
      <c r="FN361" t="e">
        <f>IF(#REF!,"AAAAAEXauak=",0)</f>
        <v>#REF!</v>
      </c>
      <c r="FO361" t="e">
        <f>IF(#REF!,"AAAAAEXauao=",0)</f>
        <v>#REF!</v>
      </c>
      <c r="FP361" t="e">
        <f>IF(#REF!,"AAAAAEXauas=",0)</f>
        <v>#REF!</v>
      </c>
      <c r="FQ361" t="e">
        <f>IF(#REF!,"AAAAAEXauaw=",0)</f>
        <v>#REF!</v>
      </c>
      <c r="FR361" t="e">
        <f>IF(#REF!,"AAAAAEXaua0=",0)</f>
        <v>#REF!</v>
      </c>
      <c r="FS361" t="e">
        <f>IF(#REF!,"AAAAAEXaua4=",0)</f>
        <v>#REF!</v>
      </c>
      <c r="FT361" t="e">
        <f>IF(#REF!,"AAAAAEXaua8=",0)</f>
        <v>#REF!</v>
      </c>
      <c r="FU361" t="e">
        <f>IF(#REF!,"AAAAAEXaubA=",0)</f>
        <v>#REF!</v>
      </c>
      <c r="FV361" t="e">
        <f>IF(#REF!,"AAAAAEXaubE=",0)</f>
        <v>#REF!</v>
      </c>
      <c r="FW361" t="e">
        <f>IF(#REF!,"AAAAAEXaubI=",0)</f>
        <v>#REF!</v>
      </c>
      <c r="FX361" t="e">
        <f>IF(#REF!,"AAAAAEXaubM=",0)</f>
        <v>#REF!</v>
      </c>
      <c r="FY361" t="e">
        <f>IF(#REF!,"AAAAAEXaubQ=",0)</f>
        <v>#REF!</v>
      </c>
      <c r="FZ361" t="e">
        <f>IF(#REF!,"AAAAAEXaubU=",0)</f>
        <v>#REF!</v>
      </c>
      <c r="GA361" t="e">
        <f>IF(#REF!,"AAAAAEXaubY=",0)</f>
        <v>#REF!</v>
      </c>
      <c r="GB361" t="e">
        <f>IF(#REF!,"AAAAAEXaubc=",0)</f>
        <v>#REF!</v>
      </c>
      <c r="GC361" t="e">
        <f>IF(#REF!,"AAAAAEXaubg=",0)</f>
        <v>#REF!</v>
      </c>
      <c r="GD361" t="e">
        <f>IF(#REF!,"AAAAAEXaubk=",0)</f>
        <v>#REF!</v>
      </c>
      <c r="GE361" t="e">
        <f>IF(#REF!,"AAAAAEXaubo=",0)</f>
        <v>#REF!</v>
      </c>
      <c r="GF361" t="e">
        <f>IF(#REF!,"AAAAAEXaubs=",0)</f>
        <v>#REF!</v>
      </c>
      <c r="GG361" t="e">
        <f>IF(#REF!,"AAAAAEXaubw=",0)</f>
        <v>#REF!</v>
      </c>
      <c r="GH361" t="e">
        <f>IF(#REF!,"AAAAAEXaub0=",0)</f>
        <v>#REF!</v>
      </c>
      <c r="GI361" t="e">
        <f>IF(#REF!,"AAAAAEXaub4=",0)</f>
        <v>#REF!</v>
      </c>
      <c r="GJ361" t="e">
        <f>IF(#REF!,"AAAAAEXaub8=",0)</f>
        <v>#REF!</v>
      </c>
      <c r="GK361" t="e">
        <f>IF(#REF!,"AAAAAEXaucA=",0)</f>
        <v>#REF!</v>
      </c>
      <c r="GL361" t="e">
        <f>IF(#REF!,"AAAAAEXaucE=",0)</f>
        <v>#REF!</v>
      </c>
      <c r="GM361" t="e">
        <f>IF(#REF!,"AAAAAEXaucI=",0)</f>
        <v>#REF!</v>
      </c>
      <c r="GN361" t="e">
        <f>IF(#REF!,"AAAAAEXaucM=",0)</f>
        <v>#REF!</v>
      </c>
      <c r="GO361" t="e">
        <f>IF(#REF!,"AAAAAEXaucQ=",0)</f>
        <v>#REF!</v>
      </c>
      <c r="GP361" t="e">
        <f>IF(#REF!,"AAAAAEXaucU=",0)</f>
        <v>#REF!</v>
      </c>
      <c r="GQ361" t="e">
        <f>IF(#REF!,"AAAAAEXaucY=",0)</f>
        <v>#REF!</v>
      </c>
      <c r="GR361" t="e">
        <f>IF(#REF!,"AAAAAEXaucc=",0)</f>
        <v>#REF!</v>
      </c>
      <c r="GS361" t="e">
        <f>IF(#REF!,"AAAAAEXaucg=",0)</f>
        <v>#REF!</v>
      </c>
      <c r="GT361" t="e">
        <f>IF(#REF!,"AAAAAEXauck=",0)</f>
        <v>#REF!</v>
      </c>
      <c r="GU361" t="e">
        <f>IF(#REF!,"AAAAAEXauco=",0)</f>
        <v>#REF!</v>
      </c>
      <c r="GV361" t="e">
        <f>IF(#REF!,"AAAAAEXaucs=",0)</f>
        <v>#REF!</v>
      </c>
      <c r="GW361" t="e">
        <f>IF(#REF!,"AAAAAEXaucw=",0)</f>
        <v>#REF!</v>
      </c>
      <c r="GX361" t="e">
        <f>IF(#REF!,"AAAAAEXauc0=",0)</f>
        <v>#REF!</v>
      </c>
      <c r="GY361" t="e">
        <f>IF(#REF!,"AAAAAEXauc4=",0)</f>
        <v>#REF!</v>
      </c>
      <c r="GZ361" t="e">
        <f>IF(#REF!,"AAAAAEXauc8=",0)</f>
        <v>#REF!</v>
      </c>
      <c r="HA361" t="e">
        <f>IF(#REF!,"AAAAAEXaudA=",0)</f>
        <v>#REF!</v>
      </c>
      <c r="HB361" t="e">
        <f>IF(#REF!,"AAAAAEXaudE=",0)</f>
        <v>#REF!</v>
      </c>
      <c r="HC361" t="e">
        <f>IF(#REF!,"AAAAAEXaudI=",0)</f>
        <v>#REF!</v>
      </c>
      <c r="HD361" t="e">
        <f>IF(#REF!,"AAAAAEXaudM=",0)</f>
        <v>#REF!</v>
      </c>
      <c r="HE361" t="e">
        <f>IF(#REF!,"AAAAAEXaudQ=",0)</f>
        <v>#REF!</v>
      </c>
      <c r="HF361" t="e">
        <f>IF(#REF!,"AAAAAEXaudU=",0)</f>
        <v>#REF!</v>
      </c>
      <c r="HG361" t="e">
        <f>IF(#REF!,"AAAAAEXaudY=",0)</f>
        <v>#REF!</v>
      </c>
      <c r="HH361" t="e">
        <f>IF(#REF!,"AAAAAEXaudc=",0)</f>
        <v>#REF!</v>
      </c>
      <c r="HI361" t="e">
        <f>IF(#REF!,"AAAAAEXaudg=",0)</f>
        <v>#REF!</v>
      </c>
      <c r="HJ361" t="e">
        <f>IF(#REF!,"AAAAAEXaudk=",0)</f>
        <v>#REF!</v>
      </c>
      <c r="HK361" t="e">
        <f>IF(#REF!,"AAAAAEXaudo=",0)</f>
        <v>#REF!</v>
      </c>
      <c r="HL361" t="e">
        <f>IF(#REF!,"AAAAAEXauds=",0)</f>
        <v>#REF!</v>
      </c>
      <c r="HM361" t="e">
        <f>IF(#REF!,"AAAAAEXaudw=",0)</f>
        <v>#REF!</v>
      </c>
      <c r="HN361" t="e">
        <f>IF(#REF!,"AAAAAEXaud0=",0)</f>
        <v>#REF!</v>
      </c>
      <c r="HO361" t="e">
        <f>IF(#REF!,"AAAAAEXaud4=",0)</f>
        <v>#REF!</v>
      </c>
      <c r="HP361" t="e">
        <f>IF(#REF!,"AAAAAEXaud8=",0)</f>
        <v>#REF!</v>
      </c>
      <c r="HQ361" t="e">
        <f>IF(#REF!,"AAAAAEXaueA=",0)</f>
        <v>#REF!</v>
      </c>
      <c r="HR361" t="e">
        <f>IF(#REF!,"AAAAAEXaueE=",0)</f>
        <v>#REF!</v>
      </c>
      <c r="HS361" t="e">
        <f>IF(#REF!,"AAAAAEXaueI=",0)</f>
        <v>#REF!</v>
      </c>
      <c r="HT361" t="e">
        <f>IF(#REF!,"AAAAAEXaueM=",0)</f>
        <v>#REF!</v>
      </c>
      <c r="HU361" t="e">
        <f>IF(#REF!,"AAAAAEXaueQ=",0)</f>
        <v>#REF!</v>
      </c>
      <c r="HV361" t="e">
        <f>IF(#REF!,"AAAAAEXaueU=",0)</f>
        <v>#REF!</v>
      </c>
      <c r="HW361" t="e">
        <f>IF(#REF!,"AAAAAEXaueY=",0)</f>
        <v>#REF!</v>
      </c>
      <c r="HX361" t="e">
        <f>IF(#REF!,"AAAAAEXauec=",0)</f>
        <v>#REF!</v>
      </c>
      <c r="HY361" t="e">
        <f>IF(#REF!,"AAAAAEXaueg=",0)</f>
        <v>#REF!</v>
      </c>
      <c r="HZ361" t="e">
        <f>IF(#REF!,"AAAAAEXauek=",0)</f>
        <v>#REF!</v>
      </c>
      <c r="IA361" t="e">
        <f>IF(#REF!,"AAAAAEXaueo=",0)</f>
        <v>#REF!</v>
      </c>
      <c r="IB361" t="e">
        <f>IF(#REF!,"AAAAAEXaues=",0)</f>
        <v>#REF!</v>
      </c>
      <c r="IC361" t="e">
        <f>IF(#REF!,"AAAAAEXauew=",0)</f>
        <v>#REF!</v>
      </c>
      <c r="ID361" t="e">
        <f>IF(#REF!,"AAAAAEXaue0=",0)</f>
        <v>#REF!</v>
      </c>
      <c r="IE361" t="e">
        <f>IF(#REF!,"AAAAAEXaue4=",0)</f>
        <v>#REF!</v>
      </c>
      <c r="IF361" t="e">
        <f>IF(#REF!,"AAAAAEXaue8=",0)</f>
        <v>#REF!</v>
      </c>
      <c r="IG361" t="e">
        <f>IF(#REF!,"AAAAAEXaufA=",0)</f>
        <v>#REF!</v>
      </c>
      <c r="IH361" t="e">
        <f>IF(#REF!,"AAAAAEXaufE=",0)</f>
        <v>#REF!</v>
      </c>
      <c r="II361" t="e">
        <f>IF(#REF!,"AAAAAEXaufI=",0)</f>
        <v>#REF!</v>
      </c>
      <c r="IJ361" t="e">
        <f>IF(#REF!,"AAAAAEXaufM=",0)</f>
        <v>#REF!</v>
      </c>
      <c r="IK361" t="e">
        <f>IF(#REF!,"AAAAAEXaufQ=",0)</f>
        <v>#REF!</v>
      </c>
      <c r="IL361" t="e">
        <f>IF(#REF!,"AAAAAEXaufU=",0)</f>
        <v>#REF!</v>
      </c>
      <c r="IM361" t="e">
        <f>IF(#REF!,"AAAAAEXaufY=",0)</f>
        <v>#REF!</v>
      </c>
      <c r="IN361" t="e">
        <f>IF(#REF!,"AAAAAEXaufc=",0)</f>
        <v>#REF!</v>
      </c>
      <c r="IO361" t="e">
        <f>IF(#REF!,"AAAAAEXaufg=",0)</f>
        <v>#REF!</v>
      </c>
      <c r="IP361" t="e">
        <f>IF(#REF!,"AAAAAEXaufk=",0)</f>
        <v>#REF!</v>
      </c>
      <c r="IQ361" t="e">
        <f>IF(#REF!,"AAAAAEXaufo=",0)</f>
        <v>#REF!</v>
      </c>
      <c r="IR361" t="e">
        <f>IF(#REF!,"AAAAAEXaufs=",0)</f>
        <v>#REF!</v>
      </c>
      <c r="IS361" t="e">
        <f>IF(#REF!,"AAAAAEXaufw=",0)</f>
        <v>#REF!</v>
      </c>
      <c r="IT361" t="e">
        <f>IF(#REF!,"AAAAAEXauf0=",0)</f>
        <v>#REF!</v>
      </c>
      <c r="IU361" t="e">
        <f>IF(#REF!,"AAAAAEXauf4=",0)</f>
        <v>#REF!</v>
      </c>
      <c r="IV361" t="e">
        <f>IF(#REF!,"AAAAAEXauf8=",0)</f>
        <v>#REF!</v>
      </c>
    </row>
    <row r="362" spans="1:256">
      <c r="A362" t="e">
        <f>IF(#REF!,"AAAAAF5/0gA=",0)</f>
        <v>#REF!</v>
      </c>
      <c r="B362" t="e">
        <f>IF(#REF!,"AAAAAF5/0gE=",0)</f>
        <v>#REF!</v>
      </c>
      <c r="C362" t="e">
        <f>IF(#REF!,"AAAAAF5/0gI=",0)</f>
        <v>#REF!</v>
      </c>
      <c r="D362" t="e">
        <f>IF(#REF!,"AAAAAF5/0gM=",0)</f>
        <v>#REF!</v>
      </c>
      <c r="E362" t="e">
        <f>IF(#REF!,"AAAAAF5/0gQ=",0)</f>
        <v>#REF!</v>
      </c>
      <c r="F362" t="e">
        <f>IF(#REF!,"AAAAAF5/0gU=",0)</f>
        <v>#REF!</v>
      </c>
      <c r="G362" t="e">
        <f>IF(#REF!,"AAAAAF5/0gY=",0)</f>
        <v>#REF!</v>
      </c>
      <c r="H362" t="e">
        <f>IF(#REF!,"AAAAAF5/0gc=",0)</f>
        <v>#REF!</v>
      </c>
      <c r="I362" t="e">
        <f>IF(#REF!,"AAAAAF5/0gg=",0)</f>
        <v>#REF!</v>
      </c>
      <c r="J362" t="e">
        <f>IF(#REF!,"AAAAAF5/0gk=",0)</f>
        <v>#REF!</v>
      </c>
      <c r="K362" t="e">
        <f>IF(#REF!,"AAAAAF5/0go=",0)</f>
        <v>#REF!</v>
      </c>
      <c r="L362" t="e">
        <f>IF(#REF!,"AAAAAF5/0gs=",0)</f>
        <v>#REF!</v>
      </c>
      <c r="M362" t="e">
        <f>IF(#REF!,"AAAAAF5/0gw=",0)</f>
        <v>#REF!</v>
      </c>
      <c r="N362" t="e">
        <f>IF(#REF!,"AAAAAF5/0g0=",0)</f>
        <v>#REF!</v>
      </c>
      <c r="O362" t="e">
        <f>IF(#REF!,"AAAAAF5/0g4=",0)</f>
        <v>#REF!</v>
      </c>
      <c r="P362" t="e">
        <f>IF(#REF!,"AAAAAF5/0g8=",0)</f>
        <v>#REF!</v>
      </c>
      <c r="Q362" t="e">
        <f>IF(#REF!,"AAAAAF5/0hA=",0)</f>
        <v>#REF!</v>
      </c>
      <c r="R362" t="e">
        <f>IF(#REF!,"AAAAAF5/0hE=",0)</f>
        <v>#REF!</v>
      </c>
      <c r="S362" t="e">
        <f>IF(#REF!,"AAAAAF5/0hI=",0)</f>
        <v>#REF!</v>
      </c>
      <c r="T362" t="e">
        <f>IF(#REF!,"AAAAAF5/0hM=",0)</f>
        <v>#REF!</v>
      </c>
      <c r="U362" t="e">
        <f>IF(#REF!,"AAAAAF5/0hQ=",0)</f>
        <v>#REF!</v>
      </c>
      <c r="V362" t="e">
        <f>IF(#REF!,"AAAAAF5/0hU=",0)</f>
        <v>#REF!</v>
      </c>
      <c r="W362" t="e">
        <f>IF(#REF!,"AAAAAF5/0hY=",0)</f>
        <v>#REF!</v>
      </c>
      <c r="X362" t="e">
        <f>IF(#REF!,"AAAAAF5/0hc=",0)</f>
        <v>#REF!</v>
      </c>
      <c r="Y362" t="e">
        <f>IF(#REF!,"AAAAAF5/0hg=",0)</f>
        <v>#REF!</v>
      </c>
      <c r="Z362" t="e">
        <f>IF(#REF!,"AAAAAF5/0hk=",0)</f>
        <v>#REF!</v>
      </c>
      <c r="AA362" t="e">
        <f>IF(#REF!,"AAAAAF5/0ho=",0)</f>
        <v>#REF!</v>
      </c>
      <c r="AB362" t="e">
        <f>IF(#REF!,"AAAAAF5/0hs=",0)</f>
        <v>#REF!</v>
      </c>
      <c r="AC362" t="e">
        <f>IF(#REF!,"AAAAAF5/0hw=",0)</f>
        <v>#REF!</v>
      </c>
      <c r="AD362" t="e">
        <f>IF(#REF!,"AAAAAF5/0h0=",0)</f>
        <v>#REF!</v>
      </c>
      <c r="AE362" t="e">
        <f>IF(#REF!,"AAAAAF5/0h4=",0)</f>
        <v>#REF!</v>
      </c>
      <c r="AF362" t="e">
        <f>IF(#REF!,"AAAAAF5/0h8=",0)</f>
        <v>#REF!</v>
      </c>
      <c r="AG362" t="e">
        <f>IF(#REF!,"AAAAAF5/0iA=",0)</f>
        <v>#REF!</v>
      </c>
      <c r="AH362" t="e">
        <f>IF(#REF!,"AAAAAF5/0iE=",0)</f>
        <v>#REF!</v>
      </c>
      <c r="AI362" t="e">
        <f>IF(#REF!,"AAAAAF5/0iI=",0)</f>
        <v>#REF!</v>
      </c>
      <c r="AJ362" t="e">
        <f>IF(#REF!,"AAAAAF5/0iM=",0)</f>
        <v>#REF!</v>
      </c>
      <c r="AK362" t="e">
        <f>IF(#REF!,"AAAAAF5/0iQ=",0)</f>
        <v>#REF!</v>
      </c>
      <c r="AL362" t="e">
        <f>IF(#REF!,"AAAAAF5/0iU=",0)</f>
        <v>#REF!</v>
      </c>
      <c r="AM362" t="e">
        <f>IF(#REF!,"AAAAAF5/0iY=",0)</f>
        <v>#REF!</v>
      </c>
      <c r="AN362" t="e">
        <f>IF(#REF!,"AAAAAF5/0ic=",0)</f>
        <v>#REF!</v>
      </c>
      <c r="AO362" t="e">
        <f>IF(#REF!,"AAAAAF5/0ig=",0)</f>
        <v>#REF!</v>
      </c>
      <c r="AP362" t="e">
        <f>IF(#REF!,"AAAAAF5/0ik=",0)</f>
        <v>#REF!</v>
      </c>
      <c r="AQ362" t="e">
        <f>IF(#REF!,"AAAAAF5/0io=",0)</f>
        <v>#REF!</v>
      </c>
      <c r="AR362" t="e">
        <f>IF(#REF!,"AAAAAF5/0is=",0)</f>
        <v>#REF!</v>
      </c>
      <c r="AS362" t="e">
        <f>IF(#REF!,"AAAAAF5/0iw=",0)</f>
        <v>#REF!</v>
      </c>
      <c r="AT362" t="e">
        <f>IF(#REF!,"AAAAAF5/0i0=",0)</f>
        <v>#REF!</v>
      </c>
      <c r="AU362" t="e">
        <f>IF(#REF!,"AAAAAF5/0i4=",0)</f>
        <v>#REF!</v>
      </c>
      <c r="AV362" t="e">
        <f>IF(#REF!,"AAAAAF5/0i8=",0)</f>
        <v>#REF!</v>
      </c>
      <c r="AW362" t="e">
        <f>IF(#REF!,"AAAAAF5/0jA=",0)</f>
        <v>#REF!</v>
      </c>
      <c r="AX362" t="e">
        <f>IF(#REF!,"AAAAAF5/0jE=",0)</f>
        <v>#REF!</v>
      </c>
      <c r="AY362" t="e">
        <f>IF(#REF!,"AAAAAF5/0jI=",0)</f>
        <v>#REF!</v>
      </c>
      <c r="AZ362" t="e">
        <f>IF(#REF!,"AAAAAF5/0jM=",0)</f>
        <v>#REF!</v>
      </c>
      <c r="BA362" t="e">
        <f>IF(#REF!,"AAAAAF5/0jQ=",0)</f>
        <v>#REF!</v>
      </c>
      <c r="BB362" t="e">
        <f>IF(#REF!,"AAAAAF5/0jU=",0)</f>
        <v>#REF!</v>
      </c>
      <c r="BC362" t="e">
        <f>IF(#REF!,"AAAAAF5/0jY=",0)</f>
        <v>#REF!</v>
      </c>
      <c r="BD362" t="e">
        <f>IF(#REF!,"AAAAAF5/0jc=",0)</f>
        <v>#REF!</v>
      </c>
      <c r="BE362" t="e">
        <f>IF(#REF!,"AAAAAF5/0jg=",0)</f>
        <v>#REF!</v>
      </c>
      <c r="BF362" t="e">
        <f>IF(#REF!,"AAAAAF5/0jk=",0)</f>
        <v>#REF!</v>
      </c>
      <c r="BG362" t="e">
        <f>IF(#REF!,"AAAAAF5/0jo=",0)</f>
        <v>#REF!</v>
      </c>
      <c r="BH362" t="e">
        <f>IF(#REF!,"AAAAAF5/0js=",0)</f>
        <v>#REF!</v>
      </c>
      <c r="BI362" t="e">
        <f>IF(#REF!,"AAAAAF5/0jw=",0)</f>
        <v>#REF!</v>
      </c>
      <c r="BJ362" t="e">
        <f>IF(#REF!,"AAAAAF5/0j0=",0)</f>
        <v>#REF!</v>
      </c>
      <c r="BK362" t="e">
        <f>IF(#REF!,"AAAAAF5/0j4=",0)</f>
        <v>#REF!</v>
      </c>
      <c r="BL362" t="e">
        <f>IF(#REF!,"AAAAAF5/0j8=",0)</f>
        <v>#REF!</v>
      </c>
      <c r="BM362" t="e">
        <f>IF(#REF!,"AAAAAF5/0kA=",0)</f>
        <v>#REF!</v>
      </c>
      <c r="BN362" t="e">
        <f>IF(#REF!,"AAAAAF5/0kE=",0)</f>
        <v>#REF!</v>
      </c>
      <c r="BO362" t="e">
        <f>IF(#REF!,"AAAAAF5/0kI=",0)</f>
        <v>#REF!</v>
      </c>
      <c r="BP362" t="e">
        <f>IF(#REF!,"AAAAAF5/0kM=",0)</f>
        <v>#REF!</v>
      </c>
      <c r="BQ362" t="e">
        <f>IF(#REF!,"AAAAAF5/0kQ=",0)</f>
        <v>#REF!</v>
      </c>
      <c r="BR362" t="e">
        <f>IF(#REF!,"AAAAAF5/0kU=",0)</f>
        <v>#REF!</v>
      </c>
      <c r="BS362" t="e">
        <f>IF(#REF!,"AAAAAF5/0kY=",0)</f>
        <v>#REF!</v>
      </c>
      <c r="BT362" t="e">
        <f>IF(#REF!,"AAAAAF5/0kc=",0)</f>
        <v>#REF!</v>
      </c>
      <c r="BU362" t="e">
        <f>IF(#REF!,"AAAAAF5/0kg=",0)</f>
        <v>#REF!</v>
      </c>
      <c r="BV362" t="e">
        <f>IF(#REF!,"AAAAAF5/0kk=",0)</f>
        <v>#REF!</v>
      </c>
      <c r="BW362" t="e">
        <f>IF(#REF!,"AAAAAF5/0ko=",0)</f>
        <v>#REF!</v>
      </c>
      <c r="BX362" t="e">
        <f>IF(#REF!,"AAAAAF5/0ks=",0)</f>
        <v>#REF!</v>
      </c>
      <c r="BY362" t="e">
        <f>IF(#REF!,"AAAAAF5/0kw=",0)</f>
        <v>#REF!</v>
      </c>
      <c r="BZ362" t="e">
        <f>IF(#REF!,"AAAAAF5/0k0=",0)</f>
        <v>#REF!</v>
      </c>
      <c r="CA362" t="e">
        <f>IF(#REF!,"AAAAAF5/0k4=",0)</f>
        <v>#REF!</v>
      </c>
      <c r="CB362" t="e">
        <f>IF(#REF!,"AAAAAF5/0k8=",0)</f>
        <v>#REF!</v>
      </c>
      <c r="CC362" t="e">
        <f>IF(#REF!,"AAAAAF5/0lA=",0)</f>
        <v>#REF!</v>
      </c>
      <c r="CD362" t="e">
        <f>IF(#REF!,"AAAAAF5/0lE=",0)</f>
        <v>#REF!</v>
      </c>
      <c r="CE362" t="e">
        <f>IF(#REF!,"AAAAAF5/0lI=",0)</f>
        <v>#REF!</v>
      </c>
      <c r="CF362" t="e">
        <f>IF(#REF!,"AAAAAF5/0lM=",0)</f>
        <v>#REF!</v>
      </c>
      <c r="CG362" t="e">
        <f>IF(#REF!,"AAAAAF5/0lQ=",0)</f>
        <v>#REF!</v>
      </c>
      <c r="CH362" t="e">
        <f>IF(#REF!,"AAAAAF5/0lU=",0)</f>
        <v>#REF!</v>
      </c>
      <c r="CI362" t="e">
        <f>IF(#REF!,"AAAAAF5/0lY=",0)</f>
        <v>#REF!</v>
      </c>
      <c r="CJ362" t="e">
        <f>IF(#REF!,"AAAAAF5/0lc=",0)</f>
        <v>#REF!</v>
      </c>
      <c r="CK362" t="e">
        <f>IF(#REF!,"AAAAAF5/0lg=",0)</f>
        <v>#REF!</v>
      </c>
      <c r="CL362" t="e">
        <f>IF(#REF!,"AAAAAF5/0lk=",0)</f>
        <v>#REF!</v>
      </c>
      <c r="CM362" t="e">
        <f>IF(#REF!,"AAAAAF5/0lo=",0)</f>
        <v>#REF!</v>
      </c>
      <c r="CN362" t="e">
        <f>IF(#REF!,"AAAAAF5/0ls=",0)</f>
        <v>#REF!</v>
      </c>
      <c r="CO362" t="e">
        <f>IF(#REF!,"AAAAAF5/0lw=",0)</f>
        <v>#REF!</v>
      </c>
      <c r="CP362" t="e">
        <f>IF(#REF!,"AAAAAF5/0l0=",0)</f>
        <v>#REF!</v>
      </c>
      <c r="CQ362" t="e">
        <f>IF(#REF!,"AAAAAF5/0l4=",0)</f>
        <v>#REF!</v>
      </c>
      <c r="CR362" t="e">
        <f>IF(#REF!,"AAAAAF5/0l8=",0)</f>
        <v>#REF!</v>
      </c>
      <c r="CS362" t="e">
        <f>IF(#REF!,"AAAAAF5/0mA=",0)</f>
        <v>#REF!</v>
      </c>
      <c r="CT362" t="e">
        <f>IF(#REF!,"AAAAAF5/0mE=",0)</f>
        <v>#REF!</v>
      </c>
      <c r="CU362" t="e">
        <f>IF(#REF!,"AAAAAF5/0mI=",0)</f>
        <v>#REF!</v>
      </c>
      <c r="CV362" t="e">
        <f>IF(#REF!,"AAAAAF5/0mM=",0)</f>
        <v>#REF!</v>
      </c>
      <c r="CW362" t="e">
        <f>IF(#REF!,"AAAAAF5/0mQ=",0)</f>
        <v>#REF!</v>
      </c>
      <c r="CX362" t="e">
        <f>IF(#REF!,"AAAAAF5/0mU=",0)</f>
        <v>#REF!</v>
      </c>
      <c r="CY362" t="e">
        <f>IF(#REF!,"AAAAAF5/0mY=",0)</f>
        <v>#REF!</v>
      </c>
      <c r="CZ362" t="e">
        <f>IF(#REF!,"AAAAAF5/0mc=",0)</f>
        <v>#REF!</v>
      </c>
      <c r="DA362" t="e">
        <f>IF(#REF!,"AAAAAF5/0mg=",0)</f>
        <v>#REF!</v>
      </c>
      <c r="DB362" t="e">
        <f>IF(#REF!,"AAAAAF5/0mk=",0)</f>
        <v>#REF!</v>
      </c>
      <c r="DC362" t="e">
        <f>IF(#REF!,"AAAAAF5/0mo=",0)</f>
        <v>#REF!</v>
      </c>
      <c r="DD362" t="e">
        <f>IF(#REF!,"AAAAAF5/0ms=",0)</f>
        <v>#REF!</v>
      </c>
      <c r="DE362" t="e">
        <f>IF(#REF!,"AAAAAF5/0mw=",0)</f>
        <v>#REF!</v>
      </c>
      <c r="DF362" t="e">
        <f>IF(#REF!,"AAAAAF5/0m0=",0)</f>
        <v>#REF!</v>
      </c>
      <c r="DG362" t="e">
        <f>IF(#REF!,"AAAAAF5/0m4=",0)</f>
        <v>#REF!</v>
      </c>
      <c r="DH362" t="e">
        <f>IF(#REF!,"AAAAAF5/0m8=",0)</f>
        <v>#REF!</v>
      </c>
      <c r="DI362" t="e">
        <f>IF(#REF!,"AAAAAF5/0nA=",0)</f>
        <v>#REF!</v>
      </c>
      <c r="DJ362" t="e">
        <f>IF(#REF!,"AAAAAF5/0nE=",0)</f>
        <v>#REF!</v>
      </c>
      <c r="DK362" t="e">
        <f>IF(#REF!,"AAAAAF5/0nI=",0)</f>
        <v>#REF!</v>
      </c>
      <c r="DL362" t="e">
        <f>IF(#REF!,"AAAAAF5/0nM=",0)</f>
        <v>#REF!</v>
      </c>
      <c r="DM362" t="e">
        <f>IF(#REF!,"AAAAAF5/0nQ=",0)</f>
        <v>#REF!</v>
      </c>
      <c r="DN362" t="e">
        <f>IF(#REF!,"AAAAAF5/0nU=",0)</f>
        <v>#REF!</v>
      </c>
      <c r="DO362" t="e">
        <f>IF(#REF!,"AAAAAF5/0nY=",0)</f>
        <v>#REF!</v>
      </c>
      <c r="DP362" t="e">
        <f>IF(#REF!,"AAAAAF5/0nc=",0)</f>
        <v>#REF!</v>
      </c>
      <c r="DQ362" t="e">
        <f>IF(#REF!,"AAAAAF5/0ng=",0)</f>
        <v>#REF!</v>
      </c>
      <c r="DR362" t="e">
        <f>IF(#REF!,"AAAAAF5/0nk=",0)</f>
        <v>#REF!</v>
      </c>
      <c r="DS362" t="e">
        <f>IF(#REF!,"AAAAAF5/0no=",0)</f>
        <v>#REF!</v>
      </c>
      <c r="DT362" t="e">
        <f>IF(#REF!,"AAAAAF5/0ns=",0)</f>
        <v>#REF!</v>
      </c>
      <c r="DU362" t="e">
        <f>IF(#REF!,"AAAAAF5/0nw=",0)</f>
        <v>#REF!</v>
      </c>
      <c r="DV362" t="e">
        <f>IF(#REF!,"AAAAAF5/0n0=",0)</f>
        <v>#REF!</v>
      </c>
      <c r="DW362" t="e">
        <f>IF(#REF!,"AAAAAF5/0n4=",0)</f>
        <v>#REF!</v>
      </c>
      <c r="DX362" t="e">
        <f>IF(#REF!,"AAAAAF5/0n8=",0)</f>
        <v>#REF!</v>
      </c>
      <c r="DY362" t="e">
        <f>IF(#REF!,"AAAAAF5/0oA=",0)</f>
        <v>#REF!</v>
      </c>
      <c r="DZ362" t="e">
        <f>IF(#REF!,"AAAAAF5/0oE=",0)</f>
        <v>#REF!</v>
      </c>
      <c r="EA362" t="e">
        <f>IF(#REF!,"AAAAAF5/0oI=",0)</f>
        <v>#REF!</v>
      </c>
      <c r="EB362" t="e">
        <f>IF(#REF!,"AAAAAF5/0oM=",0)</f>
        <v>#REF!</v>
      </c>
      <c r="EC362" t="e">
        <f>IF(#REF!,"AAAAAF5/0oQ=",0)</f>
        <v>#REF!</v>
      </c>
      <c r="ED362" t="e">
        <f>IF(#REF!,"AAAAAF5/0oU=",0)</f>
        <v>#REF!</v>
      </c>
      <c r="EE362" t="e">
        <f>IF(#REF!,"AAAAAF5/0oY=",0)</f>
        <v>#REF!</v>
      </c>
      <c r="EF362" t="e">
        <f>IF(#REF!,"AAAAAF5/0oc=",0)</f>
        <v>#REF!</v>
      </c>
      <c r="EG362" t="e">
        <f>IF(#REF!,"AAAAAF5/0og=",0)</f>
        <v>#REF!</v>
      </c>
      <c r="EH362" t="e">
        <f>IF(#REF!,"AAAAAF5/0ok=",0)</f>
        <v>#REF!</v>
      </c>
      <c r="EI362" t="e">
        <f>IF(#REF!,"AAAAAF5/0oo=",0)</f>
        <v>#REF!</v>
      </c>
      <c r="EJ362" t="e">
        <f>IF(#REF!,"AAAAAF5/0os=",0)</f>
        <v>#REF!</v>
      </c>
      <c r="EK362" t="e">
        <f>IF(#REF!,"AAAAAF5/0ow=",0)</f>
        <v>#REF!</v>
      </c>
      <c r="EL362" t="e">
        <f>IF(#REF!,"AAAAAF5/0o0=",0)</f>
        <v>#REF!</v>
      </c>
      <c r="EM362" t="e">
        <f>IF(#REF!,"AAAAAF5/0o4=",0)</f>
        <v>#REF!</v>
      </c>
      <c r="EN362" t="e">
        <f>IF(#REF!,"AAAAAF5/0o8=",0)</f>
        <v>#REF!</v>
      </c>
      <c r="EO362" t="e">
        <f>IF(#REF!,"AAAAAF5/0pA=",0)</f>
        <v>#REF!</v>
      </c>
      <c r="EP362" t="e">
        <f>IF(#REF!,"AAAAAF5/0pE=",0)</f>
        <v>#REF!</v>
      </c>
      <c r="EQ362" t="e">
        <f>IF(#REF!,"AAAAAF5/0pI=",0)</f>
        <v>#REF!</v>
      </c>
      <c r="ER362" t="e">
        <f>IF(#REF!,"AAAAAF5/0pM=",0)</f>
        <v>#REF!</v>
      </c>
      <c r="ES362" t="e">
        <f>IF(#REF!,"AAAAAF5/0pQ=",0)</f>
        <v>#REF!</v>
      </c>
      <c r="ET362" t="e">
        <f>IF(#REF!,"AAAAAF5/0pU=",0)</f>
        <v>#REF!</v>
      </c>
      <c r="EU362" t="e">
        <f>IF(#REF!,"AAAAAF5/0pY=",0)</f>
        <v>#REF!</v>
      </c>
      <c r="EV362" t="e">
        <f>IF(#REF!,"AAAAAF5/0pc=",0)</f>
        <v>#REF!</v>
      </c>
      <c r="EW362" t="e">
        <f>IF(#REF!,"AAAAAF5/0pg=",0)</f>
        <v>#REF!</v>
      </c>
      <c r="EX362" t="e">
        <f>IF(#REF!,"AAAAAF5/0pk=",0)</f>
        <v>#REF!</v>
      </c>
      <c r="EY362" t="e">
        <f>IF(#REF!,"AAAAAF5/0po=",0)</f>
        <v>#REF!</v>
      </c>
      <c r="EZ362" t="e">
        <f>IF(#REF!,"AAAAAF5/0ps=",0)</f>
        <v>#REF!</v>
      </c>
      <c r="FA362" t="e">
        <f>IF(#REF!,"AAAAAF5/0pw=",0)</f>
        <v>#REF!</v>
      </c>
      <c r="FB362" t="e">
        <f>IF(#REF!,"AAAAAF5/0p0=",0)</f>
        <v>#REF!</v>
      </c>
      <c r="FC362" t="e">
        <f>IF(#REF!,"AAAAAF5/0p4=",0)</f>
        <v>#REF!</v>
      </c>
      <c r="FD362" t="e">
        <f>IF(#REF!,"AAAAAF5/0p8=",0)</f>
        <v>#REF!</v>
      </c>
      <c r="FE362" t="e">
        <f>IF(#REF!,"AAAAAF5/0qA=",0)</f>
        <v>#REF!</v>
      </c>
      <c r="FF362" t="e">
        <f>IF(#REF!,"AAAAAF5/0qE=",0)</f>
        <v>#REF!</v>
      </c>
      <c r="FG362" t="e">
        <f>IF(#REF!,"AAAAAF5/0qI=",0)</f>
        <v>#REF!</v>
      </c>
      <c r="FH362" t="e">
        <f>IF(#REF!,"AAAAAF5/0qM=",0)</f>
        <v>#REF!</v>
      </c>
      <c r="FI362" t="e">
        <f>IF(#REF!,"AAAAAF5/0qQ=",0)</f>
        <v>#REF!</v>
      </c>
      <c r="FJ362" t="e">
        <f>IF(#REF!,"AAAAAF5/0qU=",0)</f>
        <v>#REF!</v>
      </c>
      <c r="FK362" t="e">
        <f>IF(#REF!,"AAAAAF5/0qY=",0)</f>
        <v>#REF!</v>
      </c>
      <c r="FL362" t="e">
        <f>IF(#REF!,"AAAAAF5/0qc=",0)</f>
        <v>#REF!</v>
      </c>
      <c r="FM362" t="e">
        <f>IF(#REF!,"AAAAAF5/0qg=",0)</f>
        <v>#REF!</v>
      </c>
      <c r="FN362" t="e">
        <f>IF(#REF!,"AAAAAF5/0qk=",0)</f>
        <v>#REF!</v>
      </c>
      <c r="FO362" t="e">
        <f>IF(#REF!,"AAAAAF5/0qo=",0)</f>
        <v>#REF!</v>
      </c>
      <c r="FP362" t="e">
        <f>IF(#REF!,"AAAAAF5/0qs=",0)</f>
        <v>#REF!</v>
      </c>
      <c r="FQ362" t="e">
        <f>IF(#REF!,"AAAAAF5/0qw=",0)</f>
        <v>#REF!</v>
      </c>
      <c r="FR362" t="e">
        <f>IF(#REF!,"AAAAAF5/0q0=",0)</f>
        <v>#REF!</v>
      </c>
      <c r="FS362" t="e">
        <f>IF(#REF!,"AAAAAF5/0q4=",0)</f>
        <v>#REF!</v>
      </c>
      <c r="FT362" t="e">
        <f>IF(#REF!,"AAAAAF5/0q8=",0)</f>
        <v>#REF!</v>
      </c>
      <c r="FU362" t="e">
        <f>IF(#REF!,"AAAAAF5/0rA=",0)</f>
        <v>#REF!</v>
      </c>
      <c r="FV362" t="e">
        <f>IF(#REF!,"AAAAAF5/0rE=",0)</f>
        <v>#REF!</v>
      </c>
      <c r="FW362" t="e">
        <f>IF(#REF!,"AAAAAF5/0rI=",0)</f>
        <v>#REF!</v>
      </c>
      <c r="FX362" t="e">
        <f>IF(#REF!,"AAAAAF5/0rM=",0)</f>
        <v>#REF!</v>
      </c>
      <c r="FY362" t="e">
        <f>IF(#REF!,"AAAAAF5/0rQ=",0)</f>
        <v>#REF!</v>
      </c>
      <c r="FZ362" t="e">
        <f>IF(#REF!,"AAAAAF5/0rU=",0)</f>
        <v>#REF!</v>
      </c>
      <c r="GA362" t="e">
        <f>IF(#REF!,"AAAAAF5/0rY=",0)</f>
        <v>#REF!</v>
      </c>
      <c r="GB362" t="e">
        <f>IF(#REF!,"AAAAAF5/0rc=",0)</f>
        <v>#REF!</v>
      </c>
      <c r="GC362" t="e">
        <f>IF(#REF!,"AAAAAF5/0rg=",0)</f>
        <v>#REF!</v>
      </c>
      <c r="GD362" t="e">
        <f>IF(#REF!,"AAAAAF5/0rk=",0)</f>
        <v>#REF!</v>
      </c>
      <c r="GE362" t="e">
        <f>IF(#REF!,"AAAAAF5/0ro=",0)</f>
        <v>#REF!</v>
      </c>
      <c r="GF362" t="e">
        <f>IF(#REF!,"AAAAAF5/0rs=",0)</f>
        <v>#REF!</v>
      </c>
      <c r="GG362" t="e">
        <f>IF(#REF!,"AAAAAF5/0rw=",0)</f>
        <v>#REF!</v>
      </c>
      <c r="GH362" t="e">
        <f>IF(#REF!,"AAAAAF5/0r0=",0)</f>
        <v>#REF!</v>
      </c>
      <c r="GI362" t="e">
        <f>IF(#REF!,"AAAAAF5/0r4=",0)</f>
        <v>#REF!</v>
      </c>
      <c r="GJ362" t="e">
        <f>IF(#REF!,"AAAAAF5/0r8=",0)</f>
        <v>#REF!</v>
      </c>
      <c r="GK362" t="e">
        <f>IF(#REF!,"AAAAAF5/0sA=",0)</f>
        <v>#REF!</v>
      </c>
      <c r="GL362" t="e">
        <f>IF(#REF!,"AAAAAF5/0sE=",0)</f>
        <v>#REF!</v>
      </c>
      <c r="GM362" t="e">
        <f>IF(#REF!,"AAAAAF5/0sI=",0)</f>
        <v>#REF!</v>
      </c>
      <c r="GN362" t="e">
        <f>IF(#REF!,"AAAAAF5/0sM=",0)</f>
        <v>#REF!</v>
      </c>
      <c r="GO362" t="e">
        <f>IF(#REF!,"AAAAAF5/0sQ=",0)</f>
        <v>#REF!</v>
      </c>
      <c r="GP362" t="e">
        <f>IF(#REF!,"AAAAAF5/0sU=",0)</f>
        <v>#REF!</v>
      </c>
      <c r="GQ362" t="e">
        <f>IF(#REF!,"AAAAAF5/0sY=",0)</f>
        <v>#REF!</v>
      </c>
      <c r="GR362" t="e">
        <f>IF(#REF!,"AAAAAF5/0sc=",0)</f>
        <v>#REF!</v>
      </c>
      <c r="GS362" t="e">
        <f>IF(#REF!,"AAAAAF5/0sg=",0)</f>
        <v>#REF!</v>
      </c>
      <c r="GT362" t="e">
        <f>IF(#REF!,"AAAAAF5/0sk=",0)</f>
        <v>#REF!</v>
      </c>
      <c r="GU362" t="e">
        <f>IF(#REF!,"AAAAAF5/0so=",0)</f>
        <v>#REF!</v>
      </c>
      <c r="GV362" t="e">
        <f>IF(#REF!,"AAAAAF5/0ss=",0)</f>
        <v>#REF!</v>
      </c>
      <c r="GW362" t="e">
        <f>IF(#REF!,"AAAAAF5/0sw=",0)</f>
        <v>#REF!</v>
      </c>
      <c r="GX362" t="e">
        <f>IF(#REF!,"AAAAAF5/0s0=",0)</f>
        <v>#REF!</v>
      </c>
      <c r="GY362" t="e">
        <f>IF(#REF!,"AAAAAF5/0s4=",0)</f>
        <v>#REF!</v>
      </c>
      <c r="GZ362" t="e">
        <f>IF(#REF!,"AAAAAF5/0s8=",0)</f>
        <v>#REF!</v>
      </c>
      <c r="HA362" t="e">
        <f>IF(#REF!,"AAAAAF5/0tA=",0)</f>
        <v>#REF!</v>
      </c>
      <c r="HB362" t="e">
        <f>IF(#REF!,"AAAAAF5/0tE=",0)</f>
        <v>#REF!</v>
      </c>
      <c r="HC362" t="e">
        <f>IF(#REF!,"AAAAAF5/0tI=",0)</f>
        <v>#REF!</v>
      </c>
      <c r="HD362" t="e">
        <f>IF(#REF!,"AAAAAF5/0tM=",0)</f>
        <v>#REF!</v>
      </c>
      <c r="HE362" t="e">
        <f>IF(#REF!,"AAAAAF5/0tQ=",0)</f>
        <v>#REF!</v>
      </c>
      <c r="HF362" t="e">
        <f>IF(#REF!,"AAAAAF5/0tU=",0)</f>
        <v>#REF!</v>
      </c>
      <c r="HG362" t="e">
        <f>IF(#REF!,"AAAAAF5/0tY=",0)</f>
        <v>#REF!</v>
      </c>
      <c r="HH362" t="e">
        <f>IF(#REF!,"AAAAAF5/0tc=",0)</f>
        <v>#REF!</v>
      </c>
      <c r="HI362" t="e">
        <f>IF(#REF!,"AAAAAF5/0tg=",0)</f>
        <v>#REF!</v>
      </c>
      <c r="HJ362" t="e">
        <f>IF(#REF!,"AAAAAF5/0tk=",0)</f>
        <v>#REF!</v>
      </c>
      <c r="HK362" t="e">
        <f>IF(#REF!,"AAAAAF5/0to=",0)</f>
        <v>#REF!</v>
      </c>
      <c r="HL362" t="e">
        <f>IF(#REF!,"AAAAAF5/0ts=",0)</f>
        <v>#REF!</v>
      </c>
      <c r="HM362" t="e">
        <f>IF(#REF!,"AAAAAF5/0tw=",0)</f>
        <v>#REF!</v>
      </c>
      <c r="HN362" t="e">
        <f>IF(#REF!,"AAAAAF5/0t0=",0)</f>
        <v>#REF!</v>
      </c>
      <c r="HO362" t="e">
        <f>IF(#REF!,"AAAAAF5/0t4=",0)</f>
        <v>#REF!</v>
      </c>
      <c r="HP362" t="e">
        <f>IF(#REF!,"AAAAAF5/0t8=",0)</f>
        <v>#REF!</v>
      </c>
      <c r="HQ362" t="e">
        <f>IF(#REF!,"AAAAAF5/0uA=",0)</f>
        <v>#REF!</v>
      </c>
      <c r="HR362" t="e">
        <f>IF(#REF!,"AAAAAF5/0uE=",0)</f>
        <v>#REF!</v>
      </c>
      <c r="HS362" t="e">
        <f>IF(#REF!,"AAAAAF5/0uI=",0)</f>
        <v>#REF!</v>
      </c>
      <c r="HT362" t="e">
        <f>IF(#REF!,"AAAAAF5/0uM=",0)</f>
        <v>#REF!</v>
      </c>
      <c r="HU362" t="e">
        <f>IF(#REF!,"AAAAAF5/0uQ=",0)</f>
        <v>#REF!</v>
      </c>
      <c r="HV362" t="e">
        <f>IF(#REF!,"AAAAAF5/0uU=",0)</f>
        <v>#REF!</v>
      </c>
      <c r="HW362" t="e">
        <f>IF(#REF!,"AAAAAF5/0uY=",0)</f>
        <v>#REF!</v>
      </c>
      <c r="HX362" t="e">
        <f>IF(#REF!,"AAAAAF5/0uc=",0)</f>
        <v>#REF!</v>
      </c>
      <c r="HY362" t="e">
        <f>IF(#REF!,"AAAAAF5/0ug=",0)</f>
        <v>#REF!</v>
      </c>
      <c r="HZ362" t="e">
        <f>IF(#REF!,"AAAAAF5/0uk=",0)</f>
        <v>#REF!</v>
      </c>
      <c r="IA362" t="e">
        <f>IF(#REF!,"AAAAAF5/0uo=",0)</f>
        <v>#REF!</v>
      </c>
      <c r="IB362" t="e">
        <f>IF(#REF!,"AAAAAF5/0us=",0)</f>
        <v>#REF!</v>
      </c>
      <c r="IC362" t="e">
        <f>IF(#REF!,"AAAAAF5/0uw=",0)</f>
        <v>#REF!</v>
      </c>
      <c r="ID362" t="e">
        <f>IF(#REF!,"AAAAAF5/0u0=",0)</f>
        <v>#REF!</v>
      </c>
      <c r="IE362" t="e">
        <f>IF(#REF!,"AAAAAF5/0u4=",0)</f>
        <v>#REF!</v>
      </c>
      <c r="IF362" t="e">
        <f>IF(#REF!,"AAAAAF5/0u8=",0)</f>
        <v>#REF!</v>
      </c>
      <c r="IG362" t="e">
        <f>IF(#REF!,"AAAAAF5/0vA=",0)</f>
        <v>#REF!</v>
      </c>
      <c r="IH362" t="e">
        <f>IF(#REF!,"AAAAAF5/0vE=",0)</f>
        <v>#REF!</v>
      </c>
      <c r="II362" t="e">
        <f>IF(#REF!,"AAAAAF5/0vI=",0)</f>
        <v>#REF!</v>
      </c>
      <c r="IJ362" t="e">
        <f>IF(#REF!,"AAAAAF5/0vM=",0)</f>
        <v>#REF!</v>
      </c>
      <c r="IK362" t="e">
        <f>IF(#REF!,"AAAAAF5/0vQ=",0)</f>
        <v>#REF!</v>
      </c>
      <c r="IL362" t="e">
        <f>IF(#REF!,"AAAAAF5/0vU=",0)</f>
        <v>#REF!</v>
      </c>
      <c r="IM362" t="e">
        <f>IF(#REF!,"AAAAAF5/0vY=",0)</f>
        <v>#REF!</v>
      </c>
      <c r="IN362" t="e">
        <f>IF(#REF!,"AAAAAF5/0vc=",0)</f>
        <v>#REF!</v>
      </c>
      <c r="IO362" t="e">
        <f>IF(#REF!,"AAAAAF5/0vg=",0)</f>
        <v>#REF!</v>
      </c>
      <c r="IP362" t="e">
        <f>IF(#REF!,"AAAAAF5/0vk=",0)</f>
        <v>#REF!</v>
      </c>
      <c r="IQ362" t="e">
        <f>IF(#REF!,"AAAAAF5/0vo=",0)</f>
        <v>#REF!</v>
      </c>
      <c r="IR362" t="e">
        <f>IF(#REF!,"AAAAAF5/0vs=",0)</f>
        <v>#REF!</v>
      </c>
      <c r="IS362" t="e">
        <f>IF(#REF!,"AAAAAF5/0vw=",0)</f>
        <v>#REF!</v>
      </c>
      <c r="IT362" t="e">
        <f>IF(#REF!,"AAAAAF5/0v0=",0)</f>
        <v>#REF!</v>
      </c>
      <c r="IU362" t="e">
        <f>IF(#REF!,"AAAAAF5/0v4=",0)</f>
        <v>#REF!</v>
      </c>
      <c r="IV362" t="e">
        <f>IF(#REF!,"AAAAAF5/0v8=",0)</f>
        <v>#REF!</v>
      </c>
    </row>
    <row r="363" spans="1:256">
      <c r="A363" t="e">
        <f>IF(#REF!,"AAAAAH377QA=",0)</f>
        <v>#REF!</v>
      </c>
      <c r="B363" t="e">
        <f>IF(#REF!,"AAAAAH377QE=",0)</f>
        <v>#REF!</v>
      </c>
      <c r="C363" t="e">
        <f>IF(#REF!,"AAAAAH377QI=",0)</f>
        <v>#REF!</v>
      </c>
      <c r="D363" t="e">
        <f>IF(#REF!,"AAAAAH377QM=",0)</f>
        <v>#REF!</v>
      </c>
      <c r="E363" t="e">
        <f>IF(#REF!,"AAAAAH377QQ=",0)</f>
        <v>#REF!</v>
      </c>
      <c r="F363" t="e">
        <f>IF(#REF!,"AAAAAH377QU=",0)</f>
        <v>#REF!</v>
      </c>
      <c r="G363" t="e">
        <f>IF(#REF!,"AAAAAH377QY=",0)</f>
        <v>#REF!</v>
      </c>
      <c r="H363" t="e">
        <f>IF(#REF!,"AAAAAH377Qc=",0)</f>
        <v>#REF!</v>
      </c>
      <c r="I363" t="e">
        <f>IF(#REF!,"AAAAAH377Qg=",0)</f>
        <v>#REF!</v>
      </c>
      <c r="J363" t="e">
        <f>IF(#REF!,"AAAAAH377Qk=",0)</f>
        <v>#REF!</v>
      </c>
      <c r="K363" t="e">
        <f>IF(#REF!,"AAAAAH377Qo=",0)</f>
        <v>#REF!</v>
      </c>
      <c r="L363" t="e">
        <f>IF(#REF!,"AAAAAH377Qs=",0)</f>
        <v>#REF!</v>
      </c>
      <c r="M363" t="e">
        <f>IF(#REF!,"AAAAAH377Qw=",0)</f>
        <v>#REF!</v>
      </c>
      <c r="N363" t="e">
        <f>IF(#REF!,"AAAAAH377Q0=",0)</f>
        <v>#REF!</v>
      </c>
      <c r="O363" t="e">
        <f>IF(#REF!,"AAAAAH377Q4=",0)</f>
        <v>#REF!</v>
      </c>
      <c r="P363" t="e">
        <f>IF(#REF!,"AAAAAH377Q8=",0)</f>
        <v>#REF!</v>
      </c>
      <c r="Q363" t="e">
        <f>IF(#REF!,"AAAAAH377RA=",0)</f>
        <v>#REF!</v>
      </c>
      <c r="R363" t="e">
        <f>IF(#REF!,"AAAAAH377RE=",0)</f>
        <v>#REF!</v>
      </c>
      <c r="S363" t="e">
        <f>IF(#REF!,"AAAAAH377RI=",0)</f>
        <v>#REF!</v>
      </c>
      <c r="T363" t="e">
        <f>IF(#REF!,"AAAAAH377RM=",0)</f>
        <v>#REF!</v>
      </c>
      <c r="U363" t="e">
        <f>IF(#REF!,"AAAAAH377RQ=",0)</f>
        <v>#REF!</v>
      </c>
      <c r="V363" t="e">
        <f>IF(#REF!,"AAAAAH377RU=",0)</f>
        <v>#REF!</v>
      </c>
      <c r="W363" t="e">
        <f>IF(#REF!,"AAAAAH377RY=",0)</f>
        <v>#REF!</v>
      </c>
      <c r="X363" t="e">
        <f>IF(#REF!,"AAAAAH377Rc=",0)</f>
        <v>#REF!</v>
      </c>
      <c r="Y363" t="e">
        <f>IF(#REF!,"AAAAAH377Rg=",0)</f>
        <v>#REF!</v>
      </c>
      <c r="Z363" t="e">
        <f>IF(#REF!,"AAAAAH377Rk=",0)</f>
        <v>#REF!</v>
      </c>
      <c r="AA363" t="e">
        <f>IF(#REF!,"AAAAAH377Ro=",0)</f>
        <v>#REF!</v>
      </c>
      <c r="AB363" t="e">
        <f>IF(#REF!,"AAAAAH377Rs=",0)</f>
        <v>#REF!</v>
      </c>
      <c r="AC363" t="e">
        <f>IF(#REF!,"AAAAAH377Rw=",0)</f>
        <v>#REF!</v>
      </c>
      <c r="AD363" t="e">
        <f>IF(#REF!,"AAAAAH377R0=",0)</f>
        <v>#REF!</v>
      </c>
      <c r="AE363" t="e">
        <f>IF(#REF!,"AAAAAH377R4=",0)</f>
        <v>#REF!</v>
      </c>
      <c r="AF363" t="e">
        <f>IF(#REF!,"AAAAAH377R8=",0)</f>
        <v>#REF!</v>
      </c>
      <c r="AG363" t="e">
        <f>IF(#REF!,"AAAAAH377SA=",0)</f>
        <v>#REF!</v>
      </c>
      <c r="AH363" t="e">
        <f>IF(#REF!,"AAAAAH377SE=",0)</f>
        <v>#REF!</v>
      </c>
      <c r="AI363" t="e">
        <f>IF(#REF!,"AAAAAH377SI=",0)</f>
        <v>#REF!</v>
      </c>
      <c r="AJ363" t="e">
        <f>IF(#REF!,"AAAAAH377SM=",0)</f>
        <v>#REF!</v>
      </c>
      <c r="AK363" t="e">
        <f>IF(#REF!,"AAAAAH377SQ=",0)</f>
        <v>#REF!</v>
      </c>
      <c r="AL363" t="e">
        <f>IF(#REF!,"AAAAAH377SU=",0)</f>
        <v>#REF!</v>
      </c>
      <c r="AM363" t="e">
        <f>IF(#REF!,"AAAAAH377SY=",0)</f>
        <v>#REF!</v>
      </c>
      <c r="AN363" t="e">
        <f>IF(#REF!,"AAAAAH377Sc=",0)</f>
        <v>#REF!</v>
      </c>
      <c r="AO363" t="e">
        <f>IF(#REF!,"AAAAAH377Sg=",0)</f>
        <v>#REF!</v>
      </c>
      <c r="AP363" t="e">
        <f>IF(#REF!,"AAAAAH377Sk=",0)</f>
        <v>#REF!</v>
      </c>
      <c r="AQ363" t="e">
        <f>IF(#REF!,"AAAAAH377So=",0)</f>
        <v>#REF!</v>
      </c>
      <c r="AR363" t="e">
        <f>IF(#REF!,"AAAAAH377Ss=",0)</f>
        <v>#REF!</v>
      </c>
      <c r="AS363" t="e">
        <f>IF(#REF!,"AAAAAH377Sw=",0)</f>
        <v>#REF!</v>
      </c>
      <c r="AT363" t="e">
        <f>IF(#REF!,"AAAAAH377S0=",0)</f>
        <v>#REF!</v>
      </c>
      <c r="AU363" t="e">
        <f>IF(#REF!,"AAAAAH377S4=",0)</f>
        <v>#REF!</v>
      </c>
      <c r="AV363" t="e">
        <f>IF(#REF!,"AAAAAH377S8=",0)</f>
        <v>#REF!</v>
      </c>
      <c r="AW363" t="e">
        <f>IF(#REF!,"AAAAAH377TA=",0)</f>
        <v>#REF!</v>
      </c>
      <c r="AX363" t="e">
        <f>IF(#REF!,"AAAAAH377TE=",0)</f>
        <v>#REF!</v>
      </c>
      <c r="AY363" t="e">
        <f>IF(#REF!,"AAAAAH377TI=",0)</f>
        <v>#REF!</v>
      </c>
      <c r="AZ363" t="e">
        <f>IF(#REF!,"AAAAAH377TM=",0)</f>
        <v>#REF!</v>
      </c>
      <c r="BA363" t="e">
        <f>IF(#REF!,"AAAAAH377TQ=",0)</f>
        <v>#REF!</v>
      </c>
      <c r="BB363" t="e">
        <f>IF(#REF!,"AAAAAH377TU=",0)</f>
        <v>#REF!</v>
      </c>
      <c r="BC363" t="e">
        <f>IF(#REF!,"AAAAAH377TY=",0)</f>
        <v>#REF!</v>
      </c>
      <c r="BD363" t="e">
        <f>IF(#REF!,"AAAAAH377Tc=",0)</f>
        <v>#REF!</v>
      </c>
      <c r="BE363" t="e">
        <f>IF(#REF!,"AAAAAH377Tg=",0)</f>
        <v>#REF!</v>
      </c>
      <c r="BF363" t="e">
        <f>IF(#REF!,"AAAAAH377Tk=",0)</f>
        <v>#REF!</v>
      </c>
      <c r="BG363" t="e">
        <f>IF(#REF!,"AAAAAH377To=",0)</f>
        <v>#REF!</v>
      </c>
      <c r="BH363" t="e">
        <f>IF(#REF!,"AAAAAH377Ts=",0)</f>
        <v>#REF!</v>
      </c>
      <c r="BI363" t="e">
        <f>IF(#REF!,"AAAAAH377Tw=",0)</f>
        <v>#REF!</v>
      </c>
      <c r="BJ363" t="e">
        <f>IF(#REF!,"AAAAAH377T0=",0)</f>
        <v>#REF!</v>
      </c>
      <c r="BK363" t="e">
        <f>IF(#REF!,"AAAAAH377T4=",0)</f>
        <v>#REF!</v>
      </c>
      <c r="BL363" t="e">
        <f>IF(#REF!,"AAAAAH377T8=",0)</f>
        <v>#REF!</v>
      </c>
      <c r="BM363" t="e">
        <f>IF(#REF!,"AAAAAH377UA=",0)</f>
        <v>#REF!</v>
      </c>
      <c r="BN363" t="e">
        <f>IF(#REF!,"AAAAAH377UE=",0)</f>
        <v>#REF!</v>
      </c>
      <c r="BO363" t="e">
        <f>IF(#REF!,"AAAAAH377UI=",0)</f>
        <v>#REF!</v>
      </c>
      <c r="BP363" t="e">
        <f>IF(#REF!,"AAAAAH377UM=",0)</f>
        <v>#REF!</v>
      </c>
      <c r="BQ363" t="e">
        <f>IF(#REF!,"AAAAAH377UQ=",0)</f>
        <v>#REF!</v>
      </c>
      <c r="BR363" t="e">
        <f>IF(#REF!,"AAAAAH377UU=",0)</f>
        <v>#REF!</v>
      </c>
      <c r="BS363" t="e">
        <f>IF(#REF!,"AAAAAH377UY=",0)</f>
        <v>#REF!</v>
      </c>
      <c r="BT363" t="e">
        <f>IF(#REF!,"AAAAAH377Uc=",0)</f>
        <v>#REF!</v>
      </c>
      <c r="BU363" t="e">
        <f>IF(#REF!,"AAAAAH377Ug=",0)</f>
        <v>#REF!</v>
      </c>
      <c r="BV363" t="e">
        <f>IF(#REF!,"AAAAAH377Uk=",0)</f>
        <v>#REF!</v>
      </c>
      <c r="BW363" t="e">
        <f>IF(#REF!,"AAAAAH377Uo=",0)</f>
        <v>#REF!</v>
      </c>
      <c r="BX363" t="e">
        <f>IF(#REF!,"AAAAAH377Us=",0)</f>
        <v>#REF!</v>
      </c>
      <c r="BY363" t="e">
        <f>IF(#REF!,"AAAAAH377Uw=",0)</f>
        <v>#REF!</v>
      </c>
      <c r="BZ363" t="e">
        <f>IF(#REF!,"AAAAAH377U0=",0)</f>
        <v>#REF!</v>
      </c>
      <c r="CA363" t="e">
        <f>IF(#REF!,"AAAAAH377U4=",0)</f>
        <v>#REF!</v>
      </c>
      <c r="CB363" t="e">
        <f>IF(#REF!,"AAAAAH377U8=",0)</f>
        <v>#REF!</v>
      </c>
      <c r="CC363" t="e">
        <f>IF(#REF!,"AAAAAH377VA=",0)</f>
        <v>#REF!</v>
      </c>
      <c r="CD363" t="e">
        <f>IF(#REF!,"AAAAAH377VE=",0)</f>
        <v>#REF!</v>
      </c>
      <c r="CE363" t="e">
        <f>IF(#REF!,"AAAAAH377VI=",0)</f>
        <v>#REF!</v>
      </c>
      <c r="CF363" t="e">
        <f>IF(#REF!,"AAAAAH377VM=",0)</f>
        <v>#REF!</v>
      </c>
      <c r="CG363" t="e">
        <f>IF(#REF!,"AAAAAH377VQ=",0)</f>
        <v>#REF!</v>
      </c>
      <c r="CH363" t="e">
        <f>IF(#REF!,"AAAAAH377VU=",0)</f>
        <v>#REF!</v>
      </c>
      <c r="CI363" t="e">
        <f>IF(#REF!,"AAAAAH377VY=",0)</f>
        <v>#REF!</v>
      </c>
      <c r="CJ363" t="e">
        <f>IF(#REF!,"AAAAAH377Vc=",0)</f>
        <v>#REF!</v>
      </c>
      <c r="CK363" t="e">
        <f>IF(#REF!,"AAAAAH377Vg=",0)</f>
        <v>#REF!</v>
      </c>
      <c r="CL363" t="e">
        <f>IF(#REF!,"AAAAAH377Vk=",0)</f>
        <v>#REF!</v>
      </c>
      <c r="CM363" t="e">
        <f>IF(#REF!,"AAAAAH377Vo=",0)</f>
        <v>#REF!</v>
      </c>
      <c r="CN363" t="e">
        <f>IF(#REF!,"AAAAAH377Vs=",0)</f>
        <v>#REF!</v>
      </c>
      <c r="CO363" t="e">
        <f>IF(#REF!,"AAAAAH377Vw=",0)</f>
        <v>#REF!</v>
      </c>
      <c r="CP363" t="e">
        <f>IF(#REF!,"AAAAAH377V0=",0)</f>
        <v>#REF!</v>
      </c>
      <c r="CQ363" t="e">
        <f>IF(#REF!,"AAAAAH377V4=",0)</f>
        <v>#REF!</v>
      </c>
      <c r="CR363" t="e">
        <f>IF(#REF!,"AAAAAH377V8=",0)</f>
        <v>#REF!</v>
      </c>
      <c r="CS363" t="e">
        <f>IF(#REF!,"AAAAAH377WA=",0)</f>
        <v>#REF!</v>
      </c>
      <c r="CT363" t="e">
        <f>IF(#REF!,"AAAAAH377WE=",0)</f>
        <v>#REF!</v>
      </c>
      <c r="CU363" t="e">
        <f>IF(#REF!,"AAAAAH377WI=",0)</f>
        <v>#REF!</v>
      </c>
      <c r="CV363" t="e">
        <f>IF(#REF!,"AAAAAH377WM=",0)</f>
        <v>#REF!</v>
      </c>
      <c r="CW363" t="e">
        <f>IF(#REF!,"AAAAAH377WQ=",0)</f>
        <v>#REF!</v>
      </c>
      <c r="CX363" t="e">
        <f>IF(#REF!,"AAAAAH377WU=",0)</f>
        <v>#REF!</v>
      </c>
      <c r="CY363" t="e">
        <f>IF(#REF!,"AAAAAH377WY=",0)</f>
        <v>#REF!</v>
      </c>
      <c r="CZ363" t="e">
        <f>IF(#REF!,"AAAAAH377Wc=",0)</f>
        <v>#REF!</v>
      </c>
      <c r="DA363" t="e">
        <f>IF(#REF!,"AAAAAH377Wg=",0)</f>
        <v>#REF!</v>
      </c>
      <c r="DB363" t="e">
        <f>IF(#REF!,"AAAAAH377Wk=",0)</f>
        <v>#REF!</v>
      </c>
      <c r="DC363" t="e">
        <f>IF(#REF!,"AAAAAH377Wo=",0)</f>
        <v>#REF!</v>
      </c>
      <c r="DD363" t="e">
        <f>IF(#REF!,"AAAAAH377Ws=",0)</f>
        <v>#REF!</v>
      </c>
      <c r="DE363" t="e">
        <f>IF(#REF!,"AAAAAH377Ww=",0)</f>
        <v>#REF!</v>
      </c>
      <c r="DF363" t="e">
        <f>IF(#REF!,"AAAAAH377W0=",0)</f>
        <v>#REF!</v>
      </c>
      <c r="DG363" t="e">
        <f>IF(#REF!,"AAAAAH377W4=",0)</f>
        <v>#REF!</v>
      </c>
      <c r="DH363" t="e">
        <f>IF(#REF!,"AAAAAH377W8=",0)</f>
        <v>#REF!</v>
      </c>
      <c r="DI363" t="e">
        <f>IF(#REF!,"AAAAAH377XA=",0)</f>
        <v>#REF!</v>
      </c>
      <c r="DJ363" t="e">
        <f>IF(#REF!,"AAAAAH377XE=",0)</f>
        <v>#REF!</v>
      </c>
      <c r="DK363" t="e">
        <f>IF(#REF!,"AAAAAH377XI=",0)</f>
        <v>#REF!</v>
      </c>
      <c r="DL363" t="e">
        <f>IF(#REF!,"AAAAAH377XM=",0)</f>
        <v>#REF!</v>
      </c>
      <c r="DM363" t="e">
        <f>IF(#REF!,"AAAAAH377XQ=",0)</f>
        <v>#REF!</v>
      </c>
      <c r="DN363" t="e">
        <f>IF(#REF!,"AAAAAH377XU=",0)</f>
        <v>#REF!</v>
      </c>
      <c r="DO363" t="e">
        <f>IF(#REF!,"AAAAAH377XY=",0)</f>
        <v>#REF!</v>
      </c>
      <c r="DP363" t="e">
        <f>IF(#REF!,"AAAAAH377Xc=",0)</f>
        <v>#REF!</v>
      </c>
      <c r="DQ363" t="e">
        <f>IF(#REF!,"AAAAAH377Xg=",0)</f>
        <v>#REF!</v>
      </c>
      <c r="DR363" t="e">
        <f>IF(#REF!,"AAAAAH377Xk=",0)</f>
        <v>#REF!</v>
      </c>
      <c r="DS363" t="e">
        <f>IF(#REF!,"AAAAAH377Xo=",0)</f>
        <v>#REF!</v>
      </c>
      <c r="DT363" t="e">
        <f>IF(#REF!,"AAAAAH377Xs=",0)</f>
        <v>#REF!</v>
      </c>
      <c r="DU363" t="e">
        <f>IF(#REF!,"AAAAAH377Xw=",0)</f>
        <v>#REF!</v>
      </c>
      <c r="DV363" t="e">
        <f>IF(#REF!,"AAAAAH377X0=",0)</f>
        <v>#REF!</v>
      </c>
      <c r="DW363" t="e">
        <f>IF(#REF!,"AAAAAH377X4=",0)</f>
        <v>#REF!</v>
      </c>
      <c r="DX363" t="e">
        <f>IF(#REF!,"AAAAAH377X8=",0)</f>
        <v>#REF!</v>
      </c>
      <c r="DY363" t="e">
        <f>IF(#REF!,"AAAAAH377YA=",0)</f>
        <v>#REF!</v>
      </c>
      <c r="DZ363" t="e">
        <f>IF(#REF!,"AAAAAH377YE=",0)</f>
        <v>#REF!</v>
      </c>
      <c r="EA363" t="e">
        <f>IF(#REF!,"AAAAAH377YI=",0)</f>
        <v>#REF!</v>
      </c>
      <c r="EB363" t="e">
        <f>IF(#REF!,"AAAAAH377YM=",0)</f>
        <v>#REF!</v>
      </c>
      <c r="EC363" t="e">
        <f>IF(#REF!,"AAAAAH377YQ=",0)</f>
        <v>#REF!</v>
      </c>
      <c r="ED363" t="e">
        <f>IF(#REF!,"AAAAAH377YU=",0)</f>
        <v>#REF!</v>
      </c>
      <c r="EE363" t="e">
        <f>IF(#REF!,"AAAAAH377YY=",0)</f>
        <v>#REF!</v>
      </c>
      <c r="EF363" t="e">
        <f>IF(#REF!,"AAAAAH377Yc=",0)</f>
        <v>#REF!</v>
      </c>
      <c r="EG363" t="e">
        <f>IF(#REF!,"AAAAAH377Yg=",0)</f>
        <v>#REF!</v>
      </c>
      <c r="EH363" t="e">
        <f>IF(#REF!,"AAAAAH377Yk=",0)</f>
        <v>#REF!</v>
      </c>
      <c r="EI363" t="e">
        <f>IF(#REF!,"AAAAAH377Yo=",0)</f>
        <v>#REF!</v>
      </c>
      <c r="EJ363" t="e">
        <f>IF(#REF!,"AAAAAH377Ys=",0)</f>
        <v>#REF!</v>
      </c>
      <c r="EK363" t="e">
        <f>IF(#REF!,"AAAAAH377Yw=",0)</f>
        <v>#REF!</v>
      </c>
      <c r="EL363" t="e">
        <f>IF(#REF!,"AAAAAH377Y0=",0)</f>
        <v>#REF!</v>
      </c>
      <c r="EM363" t="e">
        <f>IF(#REF!,"AAAAAH377Y4=",0)</f>
        <v>#REF!</v>
      </c>
      <c r="EN363" t="e">
        <f>IF(#REF!,"AAAAAH377Y8=",0)</f>
        <v>#REF!</v>
      </c>
      <c r="EO363" t="e">
        <f>IF(#REF!,"AAAAAH377ZA=",0)</f>
        <v>#REF!</v>
      </c>
      <c r="EP363" t="e">
        <f>IF(#REF!,"AAAAAH377ZE=",0)</f>
        <v>#REF!</v>
      </c>
      <c r="EQ363" t="e">
        <f>IF(#REF!,"AAAAAH377ZI=",0)</f>
        <v>#REF!</v>
      </c>
      <c r="ER363" t="e">
        <f>IF(#REF!,"AAAAAH377ZM=",0)</f>
        <v>#REF!</v>
      </c>
      <c r="ES363" t="e">
        <f>IF(#REF!,"AAAAAH377ZQ=",0)</f>
        <v>#REF!</v>
      </c>
      <c r="ET363" t="e">
        <f>IF(#REF!,"AAAAAH377ZU=",0)</f>
        <v>#REF!</v>
      </c>
      <c r="EU363" t="e">
        <f>IF(#REF!,"AAAAAH377ZY=",0)</f>
        <v>#REF!</v>
      </c>
      <c r="EV363" t="e">
        <f>IF(#REF!,"AAAAAH377Zc=",0)</f>
        <v>#REF!</v>
      </c>
      <c r="EW363" t="e">
        <f>IF(#REF!,"AAAAAH377Zg=",0)</f>
        <v>#REF!</v>
      </c>
      <c r="EX363" t="e">
        <f>IF(#REF!,"AAAAAH377Zk=",0)</f>
        <v>#REF!</v>
      </c>
      <c r="EY363" t="e">
        <f>IF(#REF!,"AAAAAH377Zo=",0)</f>
        <v>#REF!</v>
      </c>
      <c r="EZ363" t="e">
        <f>IF(#REF!,"AAAAAH377Zs=",0)</f>
        <v>#REF!</v>
      </c>
      <c r="FA363" t="e">
        <f>IF(#REF!,"AAAAAH377Zw=",0)</f>
        <v>#REF!</v>
      </c>
      <c r="FB363" t="e">
        <f>IF(#REF!,"AAAAAH377Z0=",0)</f>
        <v>#REF!</v>
      </c>
      <c r="FC363" t="e">
        <f>IF(#REF!,"AAAAAH377Z4=",0)</f>
        <v>#REF!</v>
      </c>
      <c r="FD363" t="e">
        <f>IF(#REF!,"AAAAAH377Z8=",0)</f>
        <v>#REF!</v>
      </c>
      <c r="FE363" t="e">
        <f>IF(#REF!,"AAAAAH377aA=",0)</f>
        <v>#REF!</v>
      </c>
      <c r="FF363" t="e">
        <f>IF(#REF!,"AAAAAH377aE=",0)</f>
        <v>#REF!</v>
      </c>
      <c r="FG363" t="e">
        <f>IF(#REF!,"AAAAAH377aI=",0)</f>
        <v>#REF!</v>
      </c>
      <c r="FH363" t="e">
        <f>IF(#REF!,"AAAAAH377aM=",0)</f>
        <v>#REF!</v>
      </c>
      <c r="FI363" t="e">
        <f>IF(#REF!,"AAAAAH377aQ=",0)</f>
        <v>#REF!</v>
      </c>
      <c r="FJ363" t="e">
        <f>IF(#REF!,"AAAAAH377aU=",0)</f>
        <v>#REF!</v>
      </c>
      <c r="FK363" t="e">
        <f>IF(#REF!,"AAAAAH377aY=",0)</f>
        <v>#REF!</v>
      </c>
      <c r="FL363" t="e">
        <f>IF(#REF!,"AAAAAH377ac=",0)</f>
        <v>#REF!</v>
      </c>
      <c r="FM363" t="e">
        <f>IF(#REF!,"AAAAAH377ag=",0)</f>
        <v>#REF!</v>
      </c>
      <c r="FN363" t="e">
        <f>IF(#REF!,"AAAAAH377ak=",0)</f>
        <v>#REF!</v>
      </c>
      <c r="FO363" t="e">
        <f>IF(#REF!,"AAAAAH377ao=",0)</f>
        <v>#REF!</v>
      </c>
      <c r="FP363" t="e">
        <f>IF(#REF!,"AAAAAH377as=",0)</f>
        <v>#REF!</v>
      </c>
      <c r="FQ363" t="e">
        <f>IF(#REF!,"AAAAAH377aw=",0)</f>
        <v>#REF!</v>
      </c>
      <c r="FR363" t="e">
        <f>IF(#REF!,"AAAAAH377a0=",0)</f>
        <v>#REF!</v>
      </c>
      <c r="FS363" t="e">
        <f>IF(#REF!,"AAAAAH377a4=",0)</f>
        <v>#REF!</v>
      </c>
      <c r="FT363" t="e">
        <f>IF(#REF!,"AAAAAH377a8=",0)</f>
        <v>#REF!</v>
      </c>
      <c r="FU363" t="e">
        <f>IF(#REF!,"AAAAAH377bA=",0)</f>
        <v>#REF!</v>
      </c>
      <c r="FV363" t="e">
        <f>IF(#REF!,"AAAAAH377bE=",0)</f>
        <v>#REF!</v>
      </c>
      <c r="FW363" t="e">
        <f>IF(#REF!,"AAAAAH377bI=",0)</f>
        <v>#REF!</v>
      </c>
      <c r="FX363" t="e">
        <f>IF(#REF!,"AAAAAH377bM=",0)</f>
        <v>#REF!</v>
      </c>
      <c r="FY363" t="e">
        <f>IF(#REF!,"AAAAAH377bQ=",0)</f>
        <v>#REF!</v>
      </c>
      <c r="FZ363" t="e">
        <f>IF(#REF!,"AAAAAH377bU=",0)</f>
        <v>#REF!</v>
      </c>
      <c r="GA363" t="e">
        <f>IF(#REF!,"AAAAAH377bY=",0)</f>
        <v>#REF!</v>
      </c>
      <c r="GB363" t="e">
        <f>IF(#REF!,"AAAAAH377bc=",0)</f>
        <v>#REF!</v>
      </c>
      <c r="GC363" t="e">
        <f>IF(#REF!,"AAAAAH377bg=",0)</f>
        <v>#REF!</v>
      </c>
      <c r="GD363" t="e">
        <f>IF(#REF!,"AAAAAH377bk=",0)</f>
        <v>#REF!</v>
      </c>
      <c r="GE363" t="e">
        <f>IF(#REF!,"AAAAAH377bo=",0)</f>
        <v>#REF!</v>
      </c>
      <c r="GF363" t="e">
        <f>IF(#REF!,"AAAAAH377bs=",0)</f>
        <v>#REF!</v>
      </c>
      <c r="GG363" t="e">
        <f>IF(#REF!,"AAAAAH377bw=",0)</f>
        <v>#REF!</v>
      </c>
      <c r="GH363" t="e">
        <f>IF(#REF!,"AAAAAH377b0=",0)</f>
        <v>#REF!</v>
      </c>
      <c r="GI363" t="e">
        <f>IF(#REF!,"AAAAAH377b4=",0)</f>
        <v>#REF!</v>
      </c>
      <c r="GJ363" t="e">
        <f>IF(#REF!,"AAAAAH377b8=",0)</f>
        <v>#REF!</v>
      </c>
      <c r="GK363" t="e">
        <f>IF(#REF!,"AAAAAH377cA=",0)</f>
        <v>#REF!</v>
      </c>
      <c r="GL363" t="e">
        <f>IF(#REF!,"AAAAAH377cE=",0)</f>
        <v>#REF!</v>
      </c>
      <c r="GM363" t="e">
        <f>IF(#REF!,"AAAAAH377cI=",0)</f>
        <v>#REF!</v>
      </c>
      <c r="GN363" t="e">
        <f>IF(#REF!,"AAAAAH377cM=",0)</f>
        <v>#REF!</v>
      </c>
      <c r="GO363" t="e">
        <f>IF(#REF!,"AAAAAH377cQ=",0)</f>
        <v>#REF!</v>
      </c>
      <c r="GP363" t="e">
        <f>IF(#REF!,"AAAAAH377cU=",0)</f>
        <v>#REF!</v>
      </c>
      <c r="GQ363" t="e">
        <f>IF(#REF!,"AAAAAH377cY=",0)</f>
        <v>#REF!</v>
      </c>
      <c r="GR363" t="e">
        <f>IF(#REF!,"AAAAAH377cc=",0)</f>
        <v>#REF!</v>
      </c>
      <c r="GS363" t="e">
        <f>IF(#REF!,"AAAAAH377cg=",0)</f>
        <v>#REF!</v>
      </c>
      <c r="GT363" t="e">
        <f>IF(#REF!,"AAAAAH377ck=",0)</f>
        <v>#REF!</v>
      </c>
      <c r="GU363" t="e">
        <f>IF(#REF!,"AAAAAH377co=",0)</f>
        <v>#REF!</v>
      </c>
      <c r="GV363" t="e">
        <f>IF(#REF!,"AAAAAH377cs=",0)</f>
        <v>#REF!</v>
      </c>
      <c r="GW363" t="e">
        <f>IF(#REF!,"AAAAAH377cw=",0)</f>
        <v>#REF!</v>
      </c>
      <c r="GX363" t="e">
        <f>IF(#REF!,"AAAAAH377c0=",0)</f>
        <v>#REF!</v>
      </c>
      <c r="GY363" t="e">
        <f>IF(#REF!,"AAAAAH377c4=",0)</f>
        <v>#REF!</v>
      </c>
      <c r="GZ363" t="e">
        <f>IF(#REF!,"AAAAAH377c8=",0)</f>
        <v>#REF!</v>
      </c>
      <c r="HA363" t="e">
        <f>IF(#REF!,"AAAAAH377dA=",0)</f>
        <v>#REF!</v>
      </c>
      <c r="HB363" t="e">
        <f>IF(#REF!,"AAAAAH377dE=",0)</f>
        <v>#REF!</v>
      </c>
      <c r="HC363" t="e">
        <f>IF(#REF!,"AAAAAH377dI=",0)</f>
        <v>#REF!</v>
      </c>
      <c r="HD363" t="e">
        <f>IF(#REF!,"AAAAAH377dM=",0)</f>
        <v>#REF!</v>
      </c>
      <c r="HE363" t="e">
        <f>IF(#REF!,"AAAAAH377dQ=",0)</f>
        <v>#REF!</v>
      </c>
      <c r="HF363" t="e">
        <f>IF(#REF!,"AAAAAH377dU=",0)</f>
        <v>#REF!</v>
      </c>
      <c r="HG363" t="e">
        <f>IF(#REF!,"AAAAAH377dY=",0)</f>
        <v>#REF!</v>
      </c>
      <c r="HH363" t="e">
        <f>IF(#REF!,"AAAAAH377dc=",0)</f>
        <v>#REF!</v>
      </c>
      <c r="HI363" t="e">
        <f>IF(#REF!,"AAAAAH377dg=",0)</f>
        <v>#REF!</v>
      </c>
      <c r="HJ363" t="e">
        <f>IF(#REF!,"AAAAAH377dk=",0)</f>
        <v>#REF!</v>
      </c>
      <c r="HK363" t="e">
        <f>IF(#REF!,"AAAAAH377do=",0)</f>
        <v>#REF!</v>
      </c>
      <c r="HL363" t="e">
        <f>IF(#REF!,"AAAAAH377ds=",0)</f>
        <v>#REF!</v>
      </c>
      <c r="HM363" t="e">
        <f>IF(#REF!,"AAAAAH377dw=",0)</f>
        <v>#REF!</v>
      </c>
      <c r="HN363" t="e">
        <f>IF(#REF!,"AAAAAH377d0=",0)</f>
        <v>#REF!</v>
      </c>
      <c r="HO363" t="e">
        <f>IF(#REF!,"AAAAAH377d4=",0)</f>
        <v>#REF!</v>
      </c>
      <c r="HP363" t="e">
        <f>IF(#REF!,"AAAAAH377d8=",0)</f>
        <v>#REF!</v>
      </c>
      <c r="HQ363" t="e">
        <f>IF(#REF!,"AAAAAH377eA=",0)</f>
        <v>#REF!</v>
      </c>
      <c r="HR363" t="e">
        <f>IF(#REF!,"AAAAAH377eE=",0)</f>
        <v>#REF!</v>
      </c>
      <c r="HS363" t="e">
        <f>IF(#REF!,"AAAAAH377eI=",0)</f>
        <v>#REF!</v>
      </c>
      <c r="HT363" t="e">
        <f>IF(#REF!,"AAAAAH377eM=",0)</f>
        <v>#REF!</v>
      </c>
      <c r="HU363" t="e">
        <f>IF(#REF!,"AAAAAH377eQ=",0)</f>
        <v>#REF!</v>
      </c>
      <c r="HV363" t="e">
        <f>IF(#REF!,"AAAAAH377eU=",0)</f>
        <v>#REF!</v>
      </c>
      <c r="HW363" t="e">
        <f>IF(#REF!,"AAAAAH377eY=",0)</f>
        <v>#REF!</v>
      </c>
      <c r="HX363" t="e">
        <f>IF(#REF!,"AAAAAH377ec=",0)</f>
        <v>#REF!</v>
      </c>
      <c r="HY363" t="e">
        <f>IF(#REF!,"AAAAAH377eg=",0)</f>
        <v>#REF!</v>
      </c>
      <c r="HZ363" t="e">
        <f>IF(#REF!,"AAAAAH377ek=",0)</f>
        <v>#REF!</v>
      </c>
      <c r="IA363" t="e">
        <f>IF(#REF!,"AAAAAH377eo=",0)</f>
        <v>#REF!</v>
      </c>
      <c r="IB363" t="e">
        <f>IF(#REF!,"AAAAAH377es=",0)</f>
        <v>#REF!</v>
      </c>
      <c r="IC363" t="e">
        <f>IF(#REF!,"AAAAAH377ew=",0)</f>
        <v>#REF!</v>
      </c>
      <c r="ID363" t="e">
        <f>IF(#REF!,"AAAAAH377e0=",0)</f>
        <v>#REF!</v>
      </c>
      <c r="IE363" t="e">
        <f>IF(#REF!,"AAAAAH377e4=",0)</f>
        <v>#REF!</v>
      </c>
      <c r="IF363" t="e">
        <f>IF(#REF!,"AAAAAH377e8=",0)</f>
        <v>#REF!</v>
      </c>
      <c r="IG363" t="e">
        <f>IF(#REF!,"AAAAAH377fA=",0)</f>
        <v>#REF!</v>
      </c>
      <c r="IH363" t="e">
        <f>IF(#REF!,"AAAAAH377fE=",0)</f>
        <v>#REF!</v>
      </c>
      <c r="II363" t="e">
        <f>IF(#REF!,"AAAAAH377fI=",0)</f>
        <v>#REF!</v>
      </c>
      <c r="IJ363" t="e">
        <f>IF(#REF!,"AAAAAH377fM=",0)</f>
        <v>#REF!</v>
      </c>
      <c r="IK363" t="e">
        <f>IF(#REF!,"AAAAAH377fQ=",0)</f>
        <v>#REF!</v>
      </c>
      <c r="IL363" t="e">
        <f>IF(#REF!,"AAAAAH377fU=",0)</f>
        <v>#REF!</v>
      </c>
      <c r="IM363" t="e">
        <f>IF(#REF!,"AAAAAH377fY=",0)</f>
        <v>#REF!</v>
      </c>
      <c r="IN363" t="e">
        <f>IF(#REF!,"AAAAAH377fc=",0)</f>
        <v>#REF!</v>
      </c>
      <c r="IO363" t="e">
        <f>IF(#REF!,"AAAAAH377fg=",0)</f>
        <v>#REF!</v>
      </c>
      <c r="IP363" t="e">
        <f>IF(#REF!,"AAAAAH377fk=",0)</f>
        <v>#REF!</v>
      </c>
      <c r="IQ363" t="e">
        <f>IF(#REF!,"AAAAAH377fo=",0)</f>
        <v>#REF!</v>
      </c>
      <c r="IR363" t="e">
        <f>IF(#REF!,"AAAAAH377fs=",0)</f>
        <v>#REF!</v>
      </c>
      <c r="IS363" t="e">
        <f>IF(#REF!,"AAAAAH377fw=",0)</f>
        <v>#REF!</v>
      </c>
      <c r="IT363" t="e">
        <f>IF(#REF!,"AAAAAH377f0=",0)</f>
        <v>#REF!</v>
      </c>
      <c r="IU363" t="e">
        <f>IF(#REF!,"AAAAAH377f4=",0)</f>
        <v>#REF!</v>
      </c>
      <c r="IV363" t="e">
        <f>IF(#REF!,"AAAAAH377f8=",0)</f>
        <v>#REF!</v>
      </c>
    </row>
    <row r="364" spans="1:256">
      <c r="A364" t="e">
        <f>IF(#REF!,"AAAAAEnXugA=",0)</f>
        <v>#REF!</v>
      </c>
      <c r="B364" t="e">
        <f>IF(#REF!,"AAAAAEnXugE=",0)</f>
        <v>#REF!</v>
      </c>
      <c r="C364" t="e">
        <f>IF(#REF!,"AAAAAEnXugI=",0)</f>
        <v>#REF!</v>
      </c>
      <c r="D364" t="e">
        <f>IF(#REF!,"AAAAAEnXugM=",0)</f>
        <v>#REF!</v>
      </c>
      <c r="E364" t="e">
        <f>IF(#REF!,"AAAAAEnXugQ=",0)</f>
        <v>#REF!</v>
      </c>
      <c r="F364" t="e">
        <f>IF(#REF!,"AAAAAEnXugU=",0)</f>
        <v>#REF!</v>
      </c>
      <c r="G364" t="e">
        <f>IF(#REF!,"AAAAAEnXugY=",0)</f>
        <v>#REF!</v>
      </c>
      <c r="H364" t="e">
        <f>IF(#REF!,"AAAAAEnXugc=",0)</f>
        <v>#REF!</v>
      </c>
      <c r="I364" t="e">
        <f>IF(#REF!,"AAAAAEnXugg=",0)</f>
        <v>#REF!</v>
      </c>
      <c r="J364" t="e">
        <f>IF(#REF!,"AAAAAEnXugk=",0)</f>
        <v>#REF!</v>
      </c>
      <c r="K364" t="e">
        <f>IF(#REF!,"AAAAAEnXugo=",0)</f>
        <v>#REF!</v>
      </c>
      <c r="L364" t="e">
        <f>IF(#REF!,"AAAAAEnXugs=",0)</f>
        <v>#REF!</v>
      </c>
      <c r="M364" t="e">
        <f>IF(#REF!,"AAAAAEnXugw=",0)</f>
        <v>#REF!</v>
      </c>
      <c r="N364" t="e">
        <f>IF(#REF!,"AAAAAEnXug0=",0)</f>
        <v>#REF!</v>
      </c>
      <c r="O364" t="e">
        <f>IF(#REF!,"AAAAAEnXug4=",0)</f>
        <v>#REF!</v>
      </c>
      <c r="P364" t="e">
        <f>IF(#REF!,"AAAAAEnXug8=",0)</f>
        <v>#REF!</v>
      </c>
      <c r="Q364" t="e">
        <f>IF(#REF!,"AAAAAEnXuhA=",0)</f>
        <v>#REF!</v>
      </c>
      <c r="R364" t="e">
        <f>IF(#REF!,"AAAAAEnXuhE=",0)</f>
        <v>#REF!</v>
      </c>
      <c r="S364" t="e">
        <f>IF(#REF!,"AAAAAEnXuhI=",0)</f>
        <v>#REF!</v>
      </c>
      <c r="T364" t="e">
        <f>IF(#REF!,"AAAAAEnXuhM=",0)</f>
        <v>#REF!</v>
      </c>
      <c r="U364" t="e">
        <f>IF(#REF!,"AAAAAEnXuhQ=",0)</f>
        <v>#REF!</v>
      </c>
      <c r="V364" t="e">
        <f>IF(#REF!,"AAAAAEnXuhU=",0)</f>
        <v>#REF!</v>
      </c>
      <c r="W364" t="e">
        <f>IF(#REF!,"AAAAAEnXuhY=",0)</f>
        <v>#REF!</v>
      </c>
      <c r="X364" t="e">
        <f>IF(#REF!,"AAAAAEnXuhc=",0)</f>
        <v>#REF!</v>
      </c>
      <c r="Y364" t="e">
        <f>IF(#REF!,"AAAAAEnXuhg=",0)</f>
        <v>#REF!</v>
      </c>
      <c r="Z364" t="e">
        <f>IF(#REF!,"AAAAAEnXuhk=",0)</f>
        <v>#REF!</v>
      </c>
      <c r="AA364" t="e">
        <f>IF(#REF!,"AAAAAEnXuho=",0)</f>
        <v>#REF!</v>
      </c>
      <c r="AB364" t="e">
        <f>IF(#REF!,"AAAAAEnXuhs=",0)</f>
        <v>#REF!</v>
      </c>
      <c r="AC364" t="e">
        <f>IF(#REF!,"AAAAAEnXuhw=",0)</f>
        <v>#REF!</v>
      </c>
      <c r="AD364" t="e">
        <f>IF(#REF!,"AAAAAEnXuh0=",0)</f>
        <v>#REF!</v>
      </c>
      <c r="AE364" t="e">
        <f>IF(#REF!,"AAAAAEnXuh4=",0)</f>
        <v>#REF!</v>
      </c>
      <c r="AF364" t="e">
        <f>IF(#REF!,"AAAAAEnXuh8=",0)</f>
        <v>#REF!</v>
      </c>
      <c r="AG364" t="e">
        <f>IF(#REF!,"AAAAAEnXuiA=",0)</f>
        <v>#REF!</v>
      </c>
      <c r="AH364" t="e">
        <f>IF(#REF!,"AAAAAEnXuiE=",0)</f>
        <v>#REF!</v>
      </c>
      <c r="AI364" t="e">
        <f>IF(#REF!,"AAAAAEnXuiI=",0)</f>
        <v>#REF!</v>
      </c>
      <c r="AJ364" t="e">
        <f>IF(#REF!,"AAAAAEnXuiM=",0)</f>
        <v>#REF!</v>
      </c>
      <c r="AK364" t="e">
        <f>IF(#REF!,"AAAAAEnXuiQ=",0)</f>
        <v>#REF!</v>
      </c>
      <c r="AL364" t="e">
        <f>IF(#REF!,"AAAAAEnXuiU=",0)</f>
        <v>#REF!</v>
      </c>
      <c r="AM364" t="e">
        <f>IF(#REF!,"AAAAAEnXuiY=",0)</f>
        <v>#REF!</v>
      </c>
      <c r="AN364" t="e">
        <f>IF(#REF!,"AAAAAEnXuic=",0)</f>
        <v>#REF!</v>
      </c>
      <c r="AO364" t="e">
        <f>IF(#REF!,"AAAAAEnXuig=",0)</f>
        <v>#REF!</v>
      </c>
      <c r="AP364" t="e">
        <f>IF(#REF!,"AAAAAEnXuik=",0)</f>
        <v>#REF!</v>
      </c>
      <c r="AQ364" t="e">
        <f>IF(#REF!,"AAAAAEnXuio=",0)</f>
        <v>#REF!</v>
      </c>
      <c r="AR364" t="e">
        <f>IF(#REF!,"AAAAAEnXuis=",0)</f>
        <v>#REF!</v>
      </c>
      <c r="AS364" t="e">
        <f>IF(#REF!,"AAAAAEnXuiw=",0)</f>
        <v>#REF!</v>
      </c>
      <c r="AT364" t="e">
        <f>IF(#REF!,"AAAAAEnXui0=",0)</f>
        <v>#REF!</v>
      </c>
      <c r="AU364" t="e">
        <f>IF(#REF!,"AAAAAEnXui4=",0)</f>
        <v>#REF!</v>
      </c>
      <c r="AV364" t="e">
        <f>IF(#REF!,"AAAAAEnXui8=",0)</f>
        <v>#REF!</v>
      </c>
      <c r="AW364" t="e">
        <f>IF(#REF!,"AAAAAEnXujA=",0)</f>
        <v>#REF!</v>
      </c>
      <c r="AX364" t="e">
        <f>IF(#REF!,"AAAAAEnXujE=",0)</f>
        <v>#REF!</v>
      </c>
      <c r="AY364" t="e">
        <f>IF(#REF!,"AAAAAEnXujI=",0)</f>
        <v>#REF!</v>
      </c>
      <c r="AZ364" t="e">
        <f>IF(#REF!,"AAAAAEnXujM=",0)</f>
        <v>#REF!</v>
      </c>
      <c r="BA364" t="e">
        <f>IF(#REF!,"AAAAAEnXujQ=",0)</f>
        <v>#REF!</v>
      </c>
      <c r="BB364" t="e">
        <f>IF(#REF!,"AAAAAEnXujU=",0)</f>
        <v>#REF!</v>
      </c>
      <c r="BC364" t="e">
        <f>IF(#REF!,"AAAAAEnXujY=",0)</f>
        <v>#REF!</v>
      </c>
      <c r="BD364" t="e">
        <f>IF(#REF!,"AAAAAEnXujc=",0)</f>
        <v>#REF!</v>
      </c>
      <c r="BE364" t="e">
        <f>IF(#REF!,"AAAAAEnXujg=",0)</f>
        <v>#REF!</v>
      </c>
      <c r="BF364" t="e">
        <f>IF(#REF!,"AAAAAEnXujk=",0)</f>
        <v>#REF!</v>
      </c>
      <c r="BG364" t="e">
        <f>IF(#REF!,"AAAAAEnXujo=",0)</f>
        <v>#REF!</v>
      </c>
      <c r="BH364" t="e">
        <f>IF(#REF!,"AAAAAEnXujs=",0)</f>
        <v>#REF!</v>
      </c>
      <c r="BI364" t="e">
        <f>IF(#REF!,"AAAAAEnXujw=",0)</f>
        <v>#REF!</v>
      </c>
      <c r="BJ364" t="e">
        <f>IF(#REF!,"AAAAAEnXuj0=",0)</f>
        <v>#REF!</v>
      </c>
      <c r="BK364" t="e">
        <f>IF(#REF!,"AAAAAEnXuj4=",0)</f>
        <v>#REF!</v>
      </c>
      <c r="BL364" t="e">
        <f>IF(#REF!,"AAAAAEnXuj8=",0)</f>
        <v>#REF!</v>
      </c>
      <c r="BM364" t="e">
        <f>IF(#REF!,"AAAAAEnXukA=",0)</f>
        <v>#REF!</v>
      </c>
      <c r="BN364" t="e">
        <f>IF(#REF!,"AAAAAEnXukE=",0)</f>
        <v>#REF!</v>
      </c>
      <c r="BO364" t="e">
        <f>IF(#REF!,"AAAAAEnXukI=",0)</f>
        <v>#REF!</v>
      </c>
      <c r="BP364" t="e">
        <f>IF(#REF!,"AAAAAEnXukM=",0)</f>
        <v>#REF!</v>
      </c>
      <c r="BQ364" t="e">
        <f>IF(#REF!,"AAAAAEnXukQ=",0)</f>
        <v>#REF!</v>
      </c>
      <c r="BR364" t="e">
        <f>IF(#REF!,"AAAAAEnXukU=",0)</f>
        <v>#REF!</v>
      </c>
      <c r="BS364" t="e">
        <f>IF(#REF!,"AAAAAEnXukY=",0)</f>
        <v>#REF!</v>
      </c>
      <c r="BT364" t="e">
        <f>IF(#REF!,"AAAAAEnXukc=",0)</f>
        <v>#REF!</v>
      </c>
      <c r="BU364" t="e">
        <f>IF(#REF!,"AAAAAEnXukg=",0)</f>
        <v>#REF!</v>
      </c>
      <c r="BV364" t="e">
        <f>IF(#REF!,"AAAAAEnXukk=",0)</f>
        <v>#REF!</v>
      </c>
      <c r="BW364" t="e">
        <f>IF(#REF!,"AAAAAEnXuko=",0)</f>
        <v>#REF!</v>
      </c>
      <c r="BX364" t="e">
        <f>IF(#REF!,"AAAAAEnXuks=",0)</f>
        <v>#REF!</v>
      </c>
      <c r="BY364" t="e">
        <f>IF(#REF!,"AAAAAEnXukw=",0)</f>
        <v>#REF!</v>
      </c>
      <c r="BZ364" t="e">
        <f>IF(#REF!,"AAAAAEnXuk0=",0)</f>
        <v>#REF!</v>
      </c>
      <c r="CA364" t="e">
        <f>IF(#REF!,"AAAAAEnXuk4=",0)</f>
        <v>#REF!</v>
      </c>
      <c r="CB364" t="e">
        <f>IF(#REF!,"AAAAAEnXuk8=",0)</f>
        <v>#REF!</v>
      </c>
      <c r="CC364" t="e">
        <f>IF(#REF!,"AAAAAEnXulA=",0)</f>
        <v>#REF!</v>
      </c>
      <c r="CD364" t="e">
        <f>IF(#REF!,"AAAAAEnXulE=",0)</f>
        <v>#REF!</v>
      </c>
      <c r="CE364" t="e">
        <f>IF(#REF!,"AAAAAEnXulI=",0)</f>
        <v>#REF!</v>
      </c>
      <c r="CF364" t="e">
        <f>IF(#REF!,"AAAAAEnXulM=",0)</f>
        <v>#REF!</v>
      </c>
      <c r="CG364" t="e">
        <f>IF(#REF!,"AAAAAEnXulQ=",0)</f>
        <v>#REF!</v>
      </c>
      <c r="CH364" t="e">
        <f>IF(#REF!,"AAAAAEnXulU=",0)</f>
        <v>#REF!</v>
      </c>
      <c r="CI364" t="e">
        <f>IF(#REF!,"AAAAAEnXulY=",0)</f>
        <v>#REF!</v>
      </c>
      <c r="CJ364" t="e">
        <f>IF(#REF!,"AAAAAEnXulc=",0)</f>
        <v>#REF!</v>
      </c>
      <c r="CK364" t="e">
        <f>IF(#REF!,"AAAAAEnXulg=",0)</f>
        <v>#REF!</v>
      </c>
      <c r="CL364" t="e">
        <f>IF(#REF!,"AAAAAEnXulk=",0)</f>
        <v>#REF!</v>
      </c>
      <c r="CM364" t="e">
        <f>IF(#REF!,"AAAAAEnXulo=",0)</f>
        <v>#REF!</v>
      </c>
      <c r="CN364" t="e">
        <f>IF(#REF!,"AAAAAEnXuls=",0)</f>
        <v>#REF!</v>
      </c>
      <c r="CO364" t="e">
        <f>IF(#REF!,"AAAAAEnXulw=",0)</f>
        <v>#REF!</v>
      </c>
      <c r="CP364" t="e">
        <f>IF(#REF!,"AAAAAEnXul0=",0)</f>
        <v>#REF!</v>
      </c>
      <c r="CQ364" t="e">
        <f>IF(#REF!,"AAAAAEnXul4=",0)</f>
        <v>#REF!</v>
      </c>
      <c r="CR364" t="e">
        <f>IF(#REF!,"AAAAAEnXul8=",0)</f>
        <v>#REF!</v>
      </c>
      <c r="CS364" t="e">
        <f>IF(#REF!,"AAAAAEnXumA=",0)</f>
        <v>#REF!</v>
      </c>
      <c r="CT364" t="e">
        <f>IF(#REF!,"AAAAAEnXumE=",0)</f>
        <v>#REF!</v>
      </c>
      <c r="CU364" t="e">
        <f>IF(#REF!,"AAAAAEnXumI=",0)</f>
        <v>#REF!</v>
      </c>
      <c r="CV364" t="e">
        <f>IF(#REF!,"AAAAAEnXumM=",0)</f>
        <v>#REF!</v>
      </c>
      <c r="CW364" t="e">
        <f>IF(#REF!,"AAAAAEnXumQ=",0)</f>
        <v>#REF!</v>
      </c>
      <c r="CX364" t="e">
        <f>IF(#REF!,"AAAAAEnXumU=",0)</f>
        <v>#REF!</v>
      </c>
      <c r="CY364" t="e">
        <f>IF(#REF!,"AAAAAEnXumY=",0)</f>
        <v>#REF!</v>
      </c>
      <c r="CZ364" t="e">
        <f>IF(#REF!,"AAAAAEnXumc=",0)</f>
        <v>#REF!</v>
      </c>
      <c r="DA364" t="e">
        <f>IF(#REF!,"AAAAAEnXumg=",0)</f>
        <v>#REF!</v>
      </c>
      <c r="DB364" t="e">
        <f>IF(#REF!,"AAAAAEnXumk=",0)</f>
        <v>#REF!</v>
      </c>
      <c r="DC364" t="e">
        <f>IF(#REF!,"AAAAAEnXumo=",0)</f>
        <v>#REF!</v>
      </c>
      <c r="DD364" t="e">
        <f>IF(#REF!,"AAAAAEnXums=",0)</f>
        <v>#REF!</v>
      </c>
      <c r="DE364" t="e">
        <f>IF(#REF!,"AAAAAEnXumw=",0)</f>
        <v>#REF!</v>
      </c>
      <c r="DF364" t="e">
        <f>IF(#REF!,"AAAAAEnXum0=",0)</f>
        <v>#REF!</v>
      </c>
      <c r="DG364" t="e">
        <f>IF(#REF!,"AAAAAEnXum4=",0)</f>
        <v>#REF!</v>
      </c>
      <c r="DH364" t="e">
        <f>IF(#REF!,"AAAAAEnXum8=",0)</f>
        <v>#REF!</v>
      </c>
      <c r="DI364" t="e">
        <f>IF(#REF!,"AAAAAEnXunA=",0)</f>
        <v>#REF!</v>
      </c>
      <c r="DJ364" t="e">
        <f>IF(#REF!,"AAAAAEnXunE=",0)</f>
        <v>#REF!</v>
      </c>
      <c r="DK364" t="e">
        <f>IF(#REF!,"AAAAAEnXunI=",0)</f>
        <v>#REF!</v>
      </c>
      <c r="DL364" t="e">
        <f>IF(#REF!,"AAAAAEnXunM=",0)</f>
        <v>#REF!</v>
      </c>
      <c r="DM364" t="e">
        <f>IF(#REF!,"AAAAAEnXunQ=",0)</f>
        <v>#REF!</v>
      </c>
      <c r="DN364" t="e">
        <f>IF(#REF!,"AAAAAEnXunU=",0)</f>
        <v>#REF!</v>
      </c>
      <c r="DO364" t="e">
        <f>IF(#REF!,"AAAAAEnXunY=",0)</f>
        <v>#REF!</v>
      </c>
      <c r="DP364" t="e">
        <f>IF(#REF!,"AAAAAEnXunc=",0)</f>
        <v>#REF!</v>
      </c>
      <c r="DQ364" t="e">
        <f>IF(#REF!,"AAAAAEnXung=",0)</f>
        <v>#REF!</v>
      </c>
      <c r="DR364" t="e">
        <f>IF(#REF!,"AAAAAEnXunk=",0)</f>
        <v>#REF!</v>
      </c>
      <c r="DS364" t="e">
        <f>IF(#REF!,"AAAAAEnXuno=",0)</f>
        <v>#REF!</v>
      </c>
      <c r="DT364" t="e">
        <f>IF(#REF!,"AAAAAEnXuns=",0)</f>
        <v>#REF!</v>
      </c>
      <c r="DU364" t="e">
        <f>IF(#REF!,"AAAAAEnXunw=",0)</f>
        <v>#REF!</v>
      </c>
      <c r="DV364" t="e">
        <f>IF(#REF!,"AAAAAEnXun0=",0)</f>
        <v>#REF!</v>
      </c>
      <c r="DW364" t="e">
        <f>IF(#REF!,"AAAAAEnXun4=",0)</f>
        <v>#REF!</v>
      </c>
      <c r="DX364" t="e">
        <f>IF(#REF!,"AAAAAEnXun8=",0)</f>
        <v>#REF!</v>
      </c>
      <c r="DY364" t="e">
        <f>IF(#REF!,"AAAAAEnXuoA=",0)</f>
        <v>#REF!</v>
      </c>
      <c r="DZ364" t="e">
        <f>IF(#REF!,"AAAAAEnXuoE=",0)</f>
        <v>#REF!</v>
      </c>
      <c r="EA364" t="e">
        <f>IF(#REF!,"AAAAAEnXuoI=",0)</f>
        <v>#REF!</v>
      </c>
      <c r="EB364" t="e">
        <f>IF(#REF!,"AAAAAEnXuoM=",0)</f>
        <v>#REF!</v>
      </c>
      <c r="EC364" t="e">
        <f>IF(#REF!,"AAAAAEnXuoQ=",0)</f>
        <v>#REF!</v>
      </c>
      <c r="ED364" t="e">
        <f>IF(#REF!,"AAAAAEnXuoU=",0)</f>
        <v>#REF!</v>
      </c>
      <c r="EE364" t="e">
        <f>IF(#REF!,"AAAAAEnXuoY=",0)</f>
        <v>#REF!</v>
      </c>
      <c r="EF364" t="e">
        <f>IF(#REF!,"AAAAAEnXuoc=",0)</f>
        <v>#REF!</v>
      </c>
      <c r="EG364" t="e">
        <f>IF(#REF!,"AAAAAEnXuog=",0)</f>
        <v>#REF!</v>
      </c>
      <c r="EH364" t="e">
        <f>IF(#REF!,"AAAAAEnXuok=",0)</f>
        <v>#REF!</v>
      </c>
      <c r="EI364" t="e">
        <f>IF(#REF!,"AAAAAEnXuoo=",0)</f>
        <v>#REF!</v>
      </c>
      <c r="EJ364" t="e">
        <f>IF(#REF!,"AAAAAEnXuos=",0)</f>
        <v>#REF!</v>
      </c>
      <c r="EK364" t="e">
        <f>IF(#REF!,"AAAAAEnXuow=",0)</f>
        <v>#REF!</v>
      </c>
      <c r="EL364" t="e">
        <f>IF(#REF!,"AAAAAEnXuo0=",0)</f>
        <v>#REF!</v>
      </c>
      <c r="EM364" t="e">
        <f>IF(#REF!,"AAAAAEnXuo4=",0)</f>
        <v>#REF!</v>
      </c>
      <c r="EN364" t="e">
        <f>IF(#REF!,"AAAAAEnXuo8=",0)</f>
        <v>#REF!</v>
      </c>
      <c r="EO364" t="e">
        <f>IF(#REF!,"AAAAAEnXupA=",0)</f>
        <v>#REF!</v>
      </c>
      <c r="EP364" t="e">
        <f>IF(#REF!,"AAAAAEnXupE=",0)</f>
        <v>#REF!</v>
      </c>
      <c r="EQ364" t="e">
        <f>IF(#REF!,"AAAAAEnXupI=",0)</f>
        <v>#REF!</v>
      </c>
      <c r="ER364" t="e">
        <f>IF(#REF!,"AAAAAEnXupM=",0)</f>
        <v>#REF!</v>
      </c>
      <c r="ES364" t="e">
        <f>IF(#REF!,"AAAAAEnXupQ=",0)</f>
        <v>#REF!</v>
      </c>
      <c r="ET364" t="e">
        <f>IF(#REF!,"AAAAAEnXupU=",0)</f>
        <v>#REF!</v>
      </c>
      <c r="EU364" t="e">
        <f>IF(#REF!,"AAAAAEnXupY=",0)</f>
        <v>#REF!</v>
      </c>
      <c r="EV364" t="e">
        <f>IF(#REF!,"AAAAAEnXupc=",0)</f>
        <v>#REF!</v>
      </c>
      <c r="EW364" t="e">
        <f>IF(#REF!,"AAAAAEnXupg=",0)</f>
        <v>#REF!</v>
      </c>
      <c r="EX364" t="e">
        <f>IF(#REF!,"AAAAAEnXupk=",0)</f>
        <v>#REF!</v>
      </c>
      <c r="EY364" t="e">
        <f>IF(#REF!,"AAAAAEnXupo=",0)</f>
        <v>#REF!</v>
      </c>
      <c r="EZ364" t="e">
        <f>IF(#REF!,"AAAAAEnXups=",0)</f>
        <v>#REF!</v>
      </c>
      <c r="FA364" t="e">
        <f>IF(#REF!,"AAAAAEnXupw=",0)</f>
        <v>#REF!</v>
      </c>
      <c r="FB364" t="e">
        <f>IF(#REF!,"AAAAAEnXup0=",0)</f>
        <v>#REF!</v>
      </c>
      <c r="FC364" t="e">
        <f>IF(#REF!,"AAAAAEnXup4=",0)</f>
        <v>#REF!</v>
      </c>
      <c r="FD364" t="e">
        <f>IF(#REF!,"AAAAAEnXup8=",0)</f>
        <v>#REF!</v>
      </c>
      <c r="FE364" t="e">
        <f>IF(#REF!,"AAAAAEnXuqA=",0)</f>
        <v>#REF!</v>
      </c>
      <c r="FF364" t="e">
        <f>IF(#REF!,"AAAAAEnXuqE=",0)</f>
        <v>#REF!</v>
      </c>
      <c r="FG364" t="e">
        <f>IF(#REF!,"AAAAAEnXuqI=",0)</f>
        <v>#REF!</v>
      </c>
      <c r="FH364" t="e">
        <f>IF(#REF!,"AAAAAEnXuqM=",0)</f>
        <v>#REF!</v>
      </c>
      <c r="FI364" t="e">
        <f>IF(#REF!,"AAAAAEnXuqQ=",0)</f>
        <v>#REF!</v>
      </c>
      <c r="FJ364" t="e">
        <f>IF(#REF!,"AAAAAEnXuqU=",0)</f>
        <v>#REF!</v>
      </c>
      <c r="FK364" t="e">
        <f>IF(#REF!,"AAAAAEnXuqY=",0)</f>
        <v>#REF!</v>
      </c>
      <c r="FL364" t="e">
        <f>IF(#REF!,"AAAAAEnXuqc=",0)</f>
        <v>#REF!</v>
      </c>
      <c r="FM364" t="e">
        <f>IF(#REF!,"AAAAAEnXuqg=",0)</f>
        <v>#REF!</v>
      </c>
      <c r="FN364" t="e">
        <f>IF(#REF!,"AAAAAEnXuqk=",0)</f>
        <v>#REF!</v>
      </c>
      <c r="FO364" t="e">
        <f>IF(#REF!,"AAAAAEnXuqo=",0)</f>
        <v>#REF!</v>
      </c>
      <c r="FP364" t="e">
        <f>IF(#REF!,"AAAAAEnXuqs=",0)</f>
        <v>#REF!</v>
      </c>
      <c r="FQ364" t="e">
        <f>IF(#REF!,"AAAAAEnXuqw=",0)</f>
        <v>#REF!</v>
      </c>
      <c r="FR364" t="e">
        <f>IF(#REF!,"AAAAAEnXuq0=",0)</f>
        <v>#REF!</v>
      </c>
      <c r="FS364" t="e">
        <f>IF(#REF!,"AAAAAEnXuq4=",0)</f>
        <v>#REF!</v>
      </c>
      <c r="FT364" t="e">
        <f>IF(#REF!,"AAAAAEnXuq8=",0)</f>
        <v>#REF!</v>
      </c>
      <c r="FU364" t="e">
        <f>IF(#REF!,"AAAAAEnXurA=",0)</f>
        <v>#REF!</v>
      </c>
      <c r="FV364" t="e">
        <f>IF(#REF!,"AAAAAEnXurE=",0)</f>
        <v>#REF!</v>
      </c>
      <c r="FW364" t="e">
        <f>IF(#REF!,"AAAAAEnXurI=",0)</f>
        <v>#REF!</v>
      </c>
      <c r="FX364" t="e">
        <f>IF(#REF!,"AAAAAEnXurM=",0)</f>
        <v>#REF!</v>
      </c>
      <c r="FY364" t="e">
        <f>IF(#REF!,"AAAAAEnXurQ=",0)</f>
        <v>#REF!</v>
      </c>
      <c r="FZ364" t="e">
        <f>IF(#REF!,"AAAAAEnXurU=",0)</f>
        <v>#REF!</v>
      </c>
      <c r="GA364" t="e">
        <f>IF(#REF!,"AAAAAEnXurY=",0)</f>
        <v>#REF!</v>
      </c>
      <c r="GB364" t="e">
        <f>IF(#REF!,"AAAAAEnXurc=",0)</f>
        <v>#REF!</v>
      </c>
      <c r="GC364" t="e">
        <f>IF(#REF!,"AAAAAEnXurg=",0)</f>
        <v>#REF!</v>
      </c>
      <c r="GD364" t="e">
        <f>IF(#REF!,"AAAAAEnXurk=",0)</f>
        <v>#REF!</v>
      </c>
      <c r="GE364" t="e">
        <f>IF(#REF!,"AAAAAEnXuro=",0)</f>
        <v>#REF!</v>
      </c>
      <c r="GF364" t="e">
        <f>IF(#REF!,"AAAAAEnXurs=",0)</f>
        <v>#REF!</v>
      </c>
      <c r="GG364" t="e">
        <f>IF(#REF!,"AAAAAEnXurw=",0)</f>
        <v>#REF!</v>
      </c>
      <c r="GH364" t="e">
        <f>IF(#REF!,"AAAAAEnXur0=",0)</f>
        <v>#REF!</v>
      </c>
      <c r="GI364" t="e">
        <f>IF(#REF!,"AAAAAEnXur4=",0)</f>
        <v>#REF!</v>
      </c>
      <c r="GJ364" t="e">
        <f>IF(#REF!,"AAAAAEnXur8=",0)</f>
        <v>#REF!</v>
      </c>
      <c r="GK364" t="e">
        <f>IF(#REF!,"AAAAAEnXusA=",0)</f>
        <v>#REF!</v>
      </c>
      <c r="GL364" t="e">
        <f>IF(#REF!,"AAAAAEnXusE=",0)</f>
        <v>#REF!</v>
      </c>
      <c r="GM364" t="e">
        <f>IF(#REF!,"AAAAAEnXusI=",0)</f>
        <v>#REF!</v>
      </c>
      <c r="GN364" t="e">
        <f>IF(#REF!,"AAAAAEnXusM=",0)</f>
        <v>#REF!</v>
      </c>
      <c r="GO364" t="e">
        <f>IF(#REF!,"AAAAAEnXusQ=",0)</f>
        <v>#REF!</v>
      </c>
      <c r="GP364" t="e">
        <f>IF(#REF!,"AAAAAEnXusU=",0)</f>
        <v>#REF!</v>
      </c>
      <c r="GQ364" t="e">
        <f>IF(#REF!,"AAAAAEnXusY=",0)</f>
        <v>#REF!</v>
      </c>
      <c r="GR364" t="e">
        <f>IF(#REF!,"AAAAAEnXusc=",0)</f>
        <v>#REF!</v>
      </c>
      <c r="GS364" t="e">
        <f>IF(#REF!,"AAAAAEnXusg=",0)</f>
        <v>#REF!</v>
      </c>
      <c r="GT364" t="e">
        <f>IF(#REF!,"AAAAAEnXusk=",0)</f>
        <v>#REF!</v>
      </c>
      <c r="GU364" t="e">
        <f>IF(#REF!,"AAAAAEnXuso=",0)</f>
        <v>#REF!</v>
      </c>
      <c r="GV364" t="e">
        <f>IF(#REF!,"AAAAAEnXuss=",0)</f>
        <v>#REF!</v>
      </c>
      <c r="GW364" t="e">
        <f>IF(#REF!,"AAAAAEnXusw=",0)</f>
        <v>#REF!</v>
      </c>
      <c r="GX364" t="e">
        <f>IF(#REF!,"AAAAAEnXus0=",0)</f>
        <v>#REF!</v>
      </c>
      <c r="GY364" t="e">
        <f>IF(#REF!,"AAAAAEnXus4=",0)</f>
        <v>#REF!</v>
      </c>
      <c r="GZ364" t="e">
        <f>IF(#REF!,"AAAAAEnXus8=",0)</f>
        <v>#REF!</v>
      </c>
      <c r="HA364" t="e">
        <f>IF(#REF!,"AAAAAEnXutA=",0)</f>
        <v>#REF!</v>
      </c>
      <c r="HB364" t="e">
        <f>IF(#REF!,"AAAAAEnXutE=",0)</f>
        <v>#REF!</v>
      </c>
      <c r="HC364" t="e">
        <f>IF(#REF!,"AAAAAEnXutI=",0)</f>
        <v>#REF!</v>
      </c>
      <c r="HD364" t="e">
        <f>IF(#REF!,"AAAAAEnXutM=",0)</f>
        <v>#REF!</v>
      </c>
      <c r="HE364" t="e">
        <f>IF(#REF!,"AAAAAEnXutQ=",0)</f>
        <v>#REF!</v>
      </c>
      <c r="HF364" t="e">
        <f>IF(#REF!,"AAAAAEnXutU=",0)</f>
        <v>#REF!</v>
      </c>
      <c r="HG364" t="e">
        <f>IF(#REF!,"AAAAAEnXutY=",0)</f>
        <v>#REF!</v>
      </c>
      <c r="HH364" t="e">
        <f>IF(#REF!,"AAAAAEnXutc=",0)</f>
        <v>#REF!</v>
      </c>
      <c r="HI364" t="e">
        <f>IF(#REF!,"AAAAAEnXutg=",0)</f>
        <v>#REF!</v>
      </c>
      <c r="HJ364" t="e">
        <f>IF(#REF!,"AAAAAEnXutk=",0)</f>
        <v>#REF!</v>
      </c>
      <c r="HK364" t="e">
        <f>IF(#REF!,"AAAAAEnXuto=",0)</f>
        <v>#REF!</v>
      </c>
      <c r="HL364" t="e">
        <f>IF(#REF!,"AAAAAEnXuts=",0)</f>
        <v>#REF!</v>
      </c>
      <c r="HM364" t="e">
        <f>IF(#REF!,"AAAAAEnXutw=",0)</f>
        <v>#REF!</v>
      </c>
      <c r="HN364" t="e">
        <f>IF(#REF!,"AAAAAEnXut0=",0)</f>
        <v>#REF!</v>
      </c>
      <c r="HO364" t="e">
        <f>IF(#REF!,"AAAAAEnXut4=",0)</f>
        <v>#REF!</v>
      </c>
      <c r="HP364" t="e">
        <f>IF(#REF!,"AAAAAEnXut8=",0)</f>
        <v>#REF!</v>
      </c>
      <c r="HQ364" t="e">
        <f>IF(#REF!,"AAAAAEnXuuA=",0)</f>
        <v>#REF!</v>
      </c>
      <c r="HR364" t="e">
        <f>IF(#REF!,"AAAAAEnXuuE=",0)</f>
        <v>#REF!</v>
      </c>
      <c r="HS364" t="e">
        <f>IF(#REF!,"AAAAAEnXuuI=",0)</f>
        <v>#REF!</v>
      </c>
      <c r="HT364" t="e">
        <f>IF(#REF!,"AAAAAEnXuuM=",0)</f>
        <v>#REF!</v>
      </c>
      <c r="HU364" t="e">
        <f>IF(#REF!,"AAAAAEnXuuQ=",0)</f>
        <v>#REF!</v>
      </c>
      <c r="HV364" t="e">
        <f>IF(#REF!,"AAAAAEnXuuU=",0)</f>
        <v>#REF!</v>
      </c>
      <c r="HW364" t="e">
        <f>IF(#REF!,"AAAAAEnXuuY=",0)</f>
        <v>#REF!</v>
      </c>
      <c r="HX364" t="e">
        <f>IF(#REF!,"AAAAAEnXuuc=",0)</f>
        <v>#REF!</v>
      </c>
      <c r="HY364" t="e">
        <f>IF(#REF!,"AAAAAEnXuug=",0)</f>
        <v>#REF!</v>
      </c>
      <c r="HZ364" t="e">
        <f>IF(#REF!,"AAAAAEnXuuk=",0)</f>
        <v>#REF!</v>
      </c>
      <c r="IA364" t="e">
        <f>IF(#REF!,"AAAAAEnXuuo=",0)</f>
        <v>#REF!</v>
      </c>
      <c r="IB364" t="e">
        <f>IF(#REF!,"AAAAAEnXuus=",0)</f>
        <v>#REF!</v>
      </c>
      <c r="IC364" t="e">
        <f>IF(#REF!,"AAAAAEnXuuw=",0)</f>
        <v>#REF!</v>
      </c>
      <c r="ID364" t="e">
        <f>IF(#REF!,"AAAAAEnXuu0=",0)</f>
        <v>#REF!</v>
      </c>
      <c r="IE364" t="e">
        <f>IF(#REF!,"AAAAAEnXuu4=",0)</f>
        <v>#REF!</v>
      </c>
      <c r="IF364" t="e">
        <f>IF(#REF!,"AAAAAEnXuu8=",0)</f>
        <v>#REF!</v>
      </c>
      <c r="IG364" t="e">
        <f>IF(#REF!,"AAAAAEnXuvA=",0)</f>
        <v>#REF!</v>
      </c>
      <c r="IH364" t="e">
        <f>IF(#REF!,"AAAAAEnXuvE=",0)</f>
        <v>#REF!</v>
      </c>
      <c r="II364" t="e">
        <f>IF(#REF!,"AAAAAEnXuvI=",0)</f>
        <v>#REF!</v>
      </c>
      <c r="IJ364" t="e">
        <f>IF(#REF!,"AAAAAEnXuvM=",0)</f>
        <v>#REF!</v>
      </c>
      <c r="IK364" t="e">
        <f>IF(#REF!,"AAAAAEnXuvQ=",0)</f>
        <v>#REF!</v>
      </c>
      <c r="IL364" t="e">
        <f>IF(#REF!,"AAAAAEnXuvU=",0)</f>
        <v>#REF!</v>
      </c>
      <c r="IM364" t="e">
        <f>IF(#REF!,"AAAAAEnXuvY=",0)</f>
        <v>#REF!</v>
      </c>
      <c r="IN364" t="e">
        <f>IF(#REF!,"AAAAAEnXuvc=",0)</f>
        <v>#REF!</v>
      </c>
      <c r="IO364" t="e">
        <f>IF(#REF!,"AAAAAEnXuvg=",0)</f>
        <v>#REF!</v>
      </c>
      <c r="IP364" t="e">
        <f>IF(#REF!,"AAAAAEnXuvk=",0)</f>
        <v>#REF!</v>
      </c>
      <c r="IQ364" t="e">
        <f>IF(#REF!,"AAAAAEnXuvo=",0)</f>
        <v>#REF!</v>
      </c>
      <c r="IR364" t="e">
        <f>IF(#REF!,"AAAAAEnXuvs=",0)</f>
        <v>#REF!</v>
      </c>
      <c r="IS364" t="e">
        <f>IF(#REF!,"AAAAAEnXuvw=",0)</f>
        <v>#REF!</v>
      </c>
      <c r="IT364" t="e">
        <f>IF(#REF!,"AAAAAEnXuv0=",0)</f>
        <v>#REF!</v>
      </c>
      <c r="IU364" t="e">
        <f>IF(#REF!,"AAAAAEnXuv4=",0)</f>
        <v>#REF!</v>
      </c>
      <c r="IV364" t="e">
        <f>IF(#REF!,"AAAAAEnXuv8=",0)</f>
        <v>#REF!</v>
      </c>
    </row>
    <row r="365" spans="1:256">
      <c r="A365" t="e">
        <f>IF(#REF!,"AAAAAD1g5gA=",0)</f>
        <v>#REF!</v>
      </c>
      <c r="B365" t="e">
        <f>IF(#REF!,"AAAAAD1g5gE=",0)</f>
        <v>#REF!</v>
      </c>
      <c r="C365" t="e">
        <f>IF(#REF!,"AAAAAD1g5gI=",0)</f>
        <v>#REF!</v>
      </c>
      <c r="D365" t="e">
        <f>IF(#REF!,"AAAAAD1g5gM=",0)</f>
        <v>#REF!</v>
      </c>
      <c r="E365" t="e">
        <f>IF(#REF!,"AAAAAD1g5gQ=",0)</f>
        <v>#REF!</v>
      </c>
      <c r="F365" t="e">
        <f>IF(#REF!,"AAAAAD1g5gU=",0)</f>
        <v>#REF!</v>
      </c>
      <c r="G365" t="e">
        <f>IF(#REF!,"AAAAAD1g5gY=",0)</f>
        <v>#REF!</v>
      </c>
      <c r="H365" t="e">
        <f>IF(#REF!,"AAAAAD1g5gc=",0)</f>
        <v>#REF!</v>
      </c>
      <c r="I365" t="e">
        <f>IF(#REF!,"AAAAAD1g5gg=",0)</f>
        <v>#REF!</v>
      </c>
      <c r="J365" t="e">
        <f>IF(#REF!,"AAAAAD1g5gk=",0)</f>
        <v>#REF!</v>
      </c>
      <c r="K365" t="e">
        <f>IF(#REF!,"AAAAAD1g5go=",0)</f>
        <v>#REF!</v>
      </c>
      <c r="L365" t="e">
        <f>IF(#REF!,"AAAAAD1g5gs=",0)</f>
        <v>#REF!</v>
      </c>
      <c r="M365" t="e">
        <f>IF(#REF!,"AAAAAD1g5gw=",0)</f>
        <v>#REF!</v>
      </c>
      <c r="N365" t="e">
        <f>IF(#REF!,"AAAAAD1g5g0=",0)</f>
        <v>#REF!</v>
      </c>
      <c r="O365" t="e">
        <f>IF(#REF!,"AAAAAD1g5g4=",0)</f>
        <v>#REF!</v>
      </c>
      <c r="P365" t="e">
        <f>IF(#REF!,"AAAAAD1g5g8=",0)</f>
        <v>#REF!</v>
      </c>
      <c r="Q365" t="e">
        <f>IF(#REF!,"AAAAAD1g5hA=",0)</f>
        <v>#REF!</v>
      </c>
      <c r="R365" t="e">
        <f>IF(#REF!,"AAAAAD1g5hE=",0)</f>
        <v>#REF!</v>
      </c>
      <c r="S365" t="e">
        <f>IF(#REF!,"AAAAAD1g5hI=",0)</f>
        <v>#REF!</v>
      </c>
      <c r="T365" t="e">
        <f>IF(#REF!,"AAAAAD1g5hM=",0)</f>
        <v>#REF!</v>
      </c>
      <c r="U365" t="e">
        <f>IF(#REF!,"AAAAAD1g5hQ=",0)</f>
        <v>#REF!</v>
      </c>
      <c r="V365" t="e">
        <f>IF(#REF!,"AAAAAD1g5hU=",0)</f>
        <v>#REF!</v>
      </c>
      <c r="W365" t="e">
        <f>IF(#REF!,"AAAAAD1g5hY=",0)</f>
        <v>#REF!</v>
      </c>
      <c r="X365" t="e">
        <f>IF(#REF!,"AAAAAD1g5hc=",0)</f>
        <v>#REF!</v>
      </c>
      <c r="Y365" t="e">
        <f>IF(#REF!,"AAAAAD1g5hg=",0)</f>
        <v>#REF!</v>
      </c>
      <c r="Z365" t="e">
        <f>IF(#REF!,"AAAAAD1g5hk=",0)</f>
        <v>#REF!</v>
      </c>
      <c r="AA365" t="e">
        <f>IF(#REF!,"AAAAAD1g5ho=",0)</f>
        <v>#REF!</v>
      </c>
      <c r="AB365" t="e">
        <f>IF(#REF!,"AAAAAD1g5hs=",0)</f>
        <v>#REF!</v>
      </c>
      <c r="AC365" t="e">
        <f>IF(#REF!,"AAAAAD1g5hw=",0)</f>
        <v>#REF!</v>
      </c>
      <c r="AD365" t="e">
        <f>IF(#REF!,"AAAAAD1g5h0=",0)</f>
        <v>#REF!</v>
      </c>
      <c r="AE365" t="e">
        <f>IF(#REF!,"AAAAAD1g5h4=",0)</f>
        <v>#REF!</v>
      </c>
      <c r="AF365" t="e">
        <f>IF(#REF!,"AAAAAD1g5h8=",0)</f>
        <v>#REF!</v>
      </c>
      <c r="AG365" t="e">
        <f>IF(#REF!,"AAAAAD1g5iA=",0)</f>
        <v>#REF!</v>
      </c>
      <c r="AH365" t="e">
        <f>IF(#REF!,"AAAAAD1g5iE=",0)</f>
        <v>#REF!</v>
      </c>
      <c r="AI365" t="e">
        <f>IF(#REF!,"AAAAAD1g5iI=",0)</f>
        <v>#REF!</v>
      </c>
      <c r="AJ365" t="e">
        <f>IF(#REF!,"AAAAAD1g5iM=",0)</f>
        <v>#REF!</v>
      </c>
      <c r="AK365" t="e">
        <f>IF(#REF!,"AAAAAD1g5iQ=",0)</f>
        <v>#REF!</v>
      </c>
      <c r="AL365" t="e">
        <f>IF(#REF!,"AAAAAD1g5iU=",0)</f>
        <v>#REF!</v>
      </c>
      <c r="AM365" t="e">
        <f>IF(#REF!,"AAAAAD1g5iY=",0)</f>
        <v>#REF!</v>
      </c>
      <c r="AN365" t="e">
        <f>IF(#REF!,"AAAAAD1g5ic=",0)</f>
        <v>#REF!</v>
      </c>
      <c r="AO365" t="e">
        <f>IF(#REF!,"AAAAAD1g5ig=",0)</f>
        <v>#REF!</v>
      </c>
      <c r="AP365" t="e">
        <f>IF(#REF!,"AAAAAD1g5ik=",0)</f>
        <v>#REF!</v>
      </c>
      <c r="AQ365" t="e">
        <f>IF(#REF!,"AAAAAD1g5io=",0)</f>
        <v>#REF!</v>
      </c>
      <c r="AR365" t="e">
        <f>IF(#REF!,"AAAAAD1g5is=",0)</f>
        <v>#REF!</v>
      </c>
      <c r="AS365" t="e">
        <f>IF(#REF!,"AAAAAD1g5iw=",0)</f>
        <v>#REF!</v>
      </c>
      <c r="AT365" t="e">
        <f>IF(#REF!,"AAAAAD1g5i0=",0)</f>
        <v>#REF!</v>
      </c>
      <c r="AU365" t="e">
        <f>IF(#REF!,"AAAAAD1g5i4=",0)</f>
        <v>#REF!</v>
      </c>
      <c r="AV365" t="e">
        <f>IF(#REF!,"AAAAAD1g5i8=",0)</f>
        <v>#REF!</v>
      </c>
      <c r="AW365" t="e">
        <f>IF(#REF!,"AAAAAD1g5jA=",0)</f>
        <v>#REF!</v>
      </c>
      <c r="AX365" t="e">
        <f>IF(#REF!,"AAAAAD1g5jE=",0)</f>
        <v>#REF!</v>
      </c>
      <c r="AY365" t="e">
        <f>IF(#REF!,"AAAAAD1g5jI=",0)</f>
        <v>#REF!</v>
      </c>
      <c r="AZ365" t="e">
        <f>IF(#REF!,"AAAAAD1g5jM=",0)</f>
        <v>#REF!</v>
      </c>
      <c r="BA365" t="e">
        <f>IF(#REF!,"AAAAAD1g5jQ=",0)</f>
        <v>#REF!</v>
      </c>
      <c r="BB365" t="e">
        <f>IF(#REF!,"AAAAAD1g5jU=",0)</f>
        <v>#REF!</v>
      </c>
      <c r="BC365" t="e">
        <f>IF(#REF!,"AAAAAD1g5jY=",0)</f>
        <v>#REF!</v>
      </c>
      <c r="BD365" t="e">
        <f>IF(#REF!,"AAAAAD1g5jc=",0)</f>
        <v>#REF!</v>
      </c>
      <c r="BE365" t="e">
        <f>IF(#REF!,"AAAAAD1g5jg=",0)</f>
        <v>#REF!</v>
      </c>
      <c r="BF365" t="e">
        <f>IF(#REF!,"AAAAAD1g5jk=",0)</f>
        <v>#REF!</v>
      </c>
      <c r="BG365" t="e">
        <f>IF(#REF!,"AAAAAD1g5jo=",0)</f>
        <v>#REF!</v>
      </c>
      <c r="BH365" t="e">
        <f>IF(#REF!,"AAAAAD1g5js=",0)</f>
        <v>#REF!</v>
      </c>
      <c r="BI365" t="e">
        <f>IF(#REF!,"AAAAAD1g5jw=",0)</f>
        <v>#REF!</v>
      </c>
      <c r="BJ365" t="e">
        <f>IF(#REF!,"AAAAAD1g5j0=",0)</f>
        <v>#REF!</v>
      </c>
      <c r="BK365" t="e">
        <f>IF(#REF!,"AAAAAD1g5j4=",0)</f>
        <v>#REF!</v>
      </c>
      <c r="BL365" t="e">
        <f>IF(#REF!,"AAAAAD1g5j8=",0)</f>
        <v>#REF!</v>
      </c>
      <c r="BM365" t="e">
        <f>IF(#REF!,"AAAAAD1g5kA=",0)</f>
        <v>#REF!</v>
      </c>
      <c r="BN365" t="e">
        <f>IF(#REF!,"AAAAAD1g5kE=",0)</f>
        <v>#REF!</v>
      </c>
      <c r="BO365" t="e">
        <f>IF(#REF!,"AAAAAD1g5kI=",0)</f>
        <v>#REF!</v>
      </c>
      <c r="BP365" t="e">
        <f>IF(#REF!,"AAAAAD1g5kM=",0)</f>
        <v>#REF!</v>
      </c>
      <c r="BQ365" t="e">
        <f>IF(#REF!,"AAAAAD1g5kQ=",0)</f>
        <v>#REF!</v>
      </c>
      <c r="BR365" t="e">
        <f>IF(#REF!,"AAAAAD1g5kU=",0)</f>
        <v>#REF!</v>
      </c>
      <c r="BS365" t="e">
        <f>IF(#REF!,"AAAAAD1g5kY=",0)</f>
        <v>#REF!</v>
      </c>
      <c r="BT365" t="e">
        <f>IF(#REF!,"AAAAAD1g5kc=",0)</f>
        <v>#REF!</v>
      </c>
      <c r="BU365" t="e">
        <f>IF(#REF!,"AAAAAD1g5kg=",0)</f>
        <v>#REF!</v>
      </c>
      <c r="BV365" t="e">
        <f>IF(#REF!,"AAAAAD1g5kk=",0)</f>
        <v>#REF!</v>
      </c>
      <c r="BW365" t="e">
        <f>IF(#REF!,"AAAAAD1g5ko=",0)</f>
        <v>#REF!</v>
      </c>
      <c r="BX365" t="e">
        <f>IF(#REF!,"AAAAAD1g5ks=",0)</f>
        <v>#REF!</v>
      </c>
      <c r="BY365" t="e">
        <f>IF(#REF!,"AAAAAD1g5kw=",0)</f>
        <v>#REF!</v>
      </c>
      <c r="BZ365" t="e">
        <f>IF(#REF!,"AAAAAD1g5k0=",0)</f>
        <v>#REF!</v>
      </c>
      <c r="CA365" t="e">
        <f>IF(#REF!,"AAAAAD1g5k4=",0)</f>
        <v>#REF!</v>
      </c>
      <c r="CB365" t="e">
        <f>IF(#REF!,"AAAAAD1g5k8=",0)</f>
        <v>#REF!</v>
      </c>
      <c r="CC365" t="e">
        <f>IF(#REF!,"AAAAAD1g5lA=",0)</f>
        <v>#REF!</v>
      </c>
      <c r="CD365" t="e">
        <f>IF(#REF!,"AAAAAD1g5lE=",0)</f>
        <v>#REF!</v>
      </c>
      <c r="CE365" t="e">
        <f>IF(#REF!,"AAAAAD1g5lI=",0)</f>
        <v>#REF!</v>
      </c>
      <c r="CF365" t="e">
        <f>IF(#REF!,"AAAAAD1g5lM=",0)</f>
        <v>#REF!</v>
      </c>
      <c r="CG365" t="e">
        <f>IF(#REF!,"AAAAAD1g5lQ=",0)</f>
        <v>#REF!</v>
      </c>
      <c r="CH365" t="e">
        <f>IF(#REF!,"AAAAAD1g5lU=",0)</f>
        <v>#REF!</v>
      </c>
      <c r="CI365" t="e">
        <f>IF(#REF!,"AAAAAD1g5lY=",0)</f>
        <v>#REF!</v>
      </c>
      <c r="CJ365" t="e">
        <f>IF(#REF!,"AAAAAD1g5lc=",0)</f>
        <v>#REF!</v>
      </c>
      <c r="CK365" t="e">
        <f>IF(#REF!,"AAAAAD1g5lg=",0)</f>
        <v>#REF!</v>
      </c>
      <c r="CL365" t="e">
        <f>IF(#REF!,"AAAAAD1g5lk=",0)</f>
        <v>#REF!</v>
      </c>
      <c r="CM365" t="e">
        <f>IF(#REF!,"AAAAAD1g5lo=",0)</f>
        <v>#REF!</v>
      </c>
      <c r="CN365" t="e">
        <f>IF(#REF!,"AAAAAD1g5ls=",0)</f>
        <v>#REF!</v>
      </c>
      <c r="CO365" t="e">
        <f>IF(#REF!,"AAAAAD1g5lw=",0)</f>
        <v>#REF!</v>
      </c>
      <c r="CP365" t="e">
        <f>IF(#REF!,"AAAAAD1g5l0=",0)</f>
        <v>#REF!</v>
      </c>
      <c r="CQ365" t="e">
        <f>IF(#REF!,"AAAAAD1g5l4=",0)</f>
        <v>#REF!</v>
      </c>
      <c r="CR365" t="e">
        <f>IF(#REF!,"AAAAAD1g5l8=",0)</f>
        <v>#REF!</v>
      </c>
      <c r="CS365" t="e">
        <f>IF(#REF!,"AAAAAD1g5mA=",0)</f>
        <v>#REF!</v>
      </c>
      <c r="CT365" t="e">
        <f>IF(#REF!,"AAAAAD1g5mE=",0)</f>
        <v>#REF!</v>
      </c>
      <c r="CU365" t="e">
        <f>IF(#REF!,"AAAAAD1g5mI=",0)</f>
        <v>#REF!</v>
      </c>
      <c r="CV365" t="e">
        <f>IF(#REF!,"AAAAAD1g5mM=",0)</f>
        <v>#REF!</v>
      </c>
      <c r="CW365" t="e">
        <f>IF(#REF!,"AAAAAD1g5mQ=",0)</f>
        <v>#REF!</v>
      </c>
      <c r="CX365" t="e">
        <f>IF(#REF!,"AAAAAD1g5mU=",0)</f>
        <v>#REF!</v>
      </c>
      <c r="CY365" t="e">
        <f>IF(#REF!,"AAAAAD1g5mY=",0)</f>
        <v>#REF!</v>
      </c>
      <c r="CZ365" t="e">
        <f>IF(#REF!,"AAAAAD1g5mc=",0)</f>
        <v>#REF!</v>
      </c>
      <c r="DA365" t="e">
        <f>IF(#REF!,"AAAAAD1g5mg=",0)</f>
        <v>#REF!</v>
      </c>
      <c r="DB365" t="e">
        <f>IF(#REF!,"AAAAAD1g5mk=",0)</f>
        <v>#REF!</v>
      </c>
      <c r="DC365" t="e">
        <f>IF(#REF!,"AAAAAD1g5mo=",0)</f>
        <v>#REF!</v>
      </c>
      <c r="DD365" t="e">
        <f>IF(#REF!,"AAAAAD1g5ms=",0)</f>
        <v>#REF!</v>
      </c>
      <c r="DE365" t="e">
        <f>IF(#REF!,"AAAAAD1g5mw=",0)</f>
        <v>#REF!</v>
      </c>
      <c r="DF365" t="e">
        <f>IF(#REF!,"AAAAAD1g5m0=",0)</f>
        <v>#REF!</v>
      </c>
      <c r="DG365" t="e">
        <f>IF(#REF!,"AAAAAD1g5m4=",0)</f>
        <v>#REF!</v>
      </c>
      <c r="DH365" t="e">
        <f>IF(#REF!,"AAAAAD1g5m8=",0)</f>
        <v>#REF!</v>
      </c>
      <c r="DI365" t="e">
        <f>IF(#REF!,"AAAAAD1g5nA=",0)</f>
        <v>#REF!</v>
      </c>
      <c r="DJ365" t="e">
        <f>IF(#REF!,"AAAAAD1g5nE=",0)</f>
        <v>#REF!</v>
      </c>
      <c r="DK365" t="e">
        <f>IF(#REF!,"AAAAAD1g5nI=",0)</f>
        <v>#REF!</v>
      </c>
      <c r="DL365" t="e">
        <f>IF(#REF!,"AAAAAD1g5nM=",0)</f>
        <v>#REF!</v>
      </c>
      <c r="DM365" t="e">
        <f>IF(#REF!,"AAAAAD1g5nQ=",0)</f>
        <v>#REF!</v>
      </c>
      <c r="DN365" t="e">
        <f>IF(#REF!,"AAAAAD1g5nU=",0)</f>
        <v>#REF!</v>
      </c>
      <c r="DO365" t="e">
        <f>IF(#REF!,"AAAAAD1g5nY=",0)</f>
        <v>#REF!</v>
      </c>
      <c r="DP365" t="e">
        <f>IF(#REF!,"AAAAAD1g5nc=",0)</f>
        <v>#REF!</v>
      </c>
      <c r="DQ365" t="e">
        <f>IF(#REF!,"AAAAAD1g5ng=",0)</f>
        <v>#REF!</v>
      </c>
      <c r="DR365" t="e">
        <f>IF(#REF!,"AAAAAD1g5nk=",0)</f>
        <v>#REF!</v>
      </c>
      <c r="DS365" t="e">
        <f>IF(#REF!,"AAAAAD1g5no=",0)</f>
        <v>#REF!</v>
      </c>
      <c r="DT365" t="e">
        <f>IF(#REF!,"AAAAAD1g5ns=",0)</f>
        <v>#REF!</v>
      </c>
      <c r="DU365" t="e">
        <f>IF(#REF!,"AAAAAD1g5nw=",0)</f>
        <v>#REF!</v>
      </c>
      <c r="DV365" t="e">
        <f>IF(#REF!,"AAAAAD1g5n0=",0)</f>
        <v>#REF!</v>
      </c>
      <c r="DW365" t="e">
        <f>IF(#REF!,"AAAAAD1g5n4=",0)</f>
        <v>#REF!</v>
      </c>
      <c r="DX365" t="e">
        <f>IF(#REF!,"AAAAAD1g5n8=",0)</f>
        <v>#REF!</v>
      </c>
      <c r="DY365" t="e">
        <f>IF(#REF!,"AAAAAD1g5oA=",0)</f>
        <v>#REF!</v>
      </c>
      <c r="DZ365" t="e">
        <f>IF(#REF!,"AAAAAD1g5oE=",0)</f>
        <v>#REF!</v>
      </c>
      <c r="EA365" t="e">
        <f>IF(#REF!,"AAAAAD1g5oI=",0)</f>
        <v>#REF!</v>
      </c>
      <c r="EB365" t="e">
        <f>IF(#REF!,"AAAAAD1g5oM=",0)</f>
        <v>#REF!</v>
      </c>
      <c r="EC365" t="e">
        <f>IF(#REF!,"AAAAAD1g5oQ=",0)</f>
        <v>#REF!</v>
      </c>
      <c r="ED365" t="e">
        <f>IF(#REF!,"AAAAAD1g5oU=",0)</f>
        <v>#REF!</v>
      </c>
      <c r="EE365" t="e">
        <f>IF(#REF!,"AAAAAD1g5oY=",0)</f>
        <v>#REF!</v>
      </c>
      <c r="EF365" t="e">
        <f>IF(#REF!,"AAAAAD1g5oc=",0)</f>
        <v>#REF!</v>
      </c>
      <c r="EG365" t="e">
        <f>IF(#REF!,"AAAAAD1g5og=",0)</f>
        <v>#REF!</v>
      </c>
      <c r="EH365" t="e">
        <f>IF(#REF!,"AAAAAD1g5ok=",0)</f>
        <v>#REF!</v>
      </c>
      <c r="EI365" t="e">
        <f>IF(#REF!,"AAAAAD1g5oo=",0)</f>
        <v>#REF!</v>
      </c>
      <c r="EJ365" t="e">
        <f>IF(#REF!,"AAAAAD1g5os=",0)</f>
        <v>#REF!</v>
      </c>
      <c r="EK365" t="e">
        <f>IF(#REF!,"AAAAAD1g5ow=",0)</f>
        <v>#REF!</v>
      </c>
      <c r="EL365" t="e">
        <f>IF(#REF!,"AAAAAD1g5o0=",0)</f>
        <v>#REF!</v>
      </c>
      <c r="EM365" t="e">
        <f>IF(#REF!,"AAAAAD1g5o4=",0)</f>
        <v>#REF!</v>
      </c>
      <c r="EN365" t="e">
        <f>IF(#REF!,"AAAAAD1g5o8=",0)</f>
        <v>#REF!</v>
      </c>
      <c r="EO365" t="e">
        <f>IF(#REF!,"AAAAAD1g5pA=",0)</f>
        <v>#REF!</v>
      </c>
      <c r="EP365" t="e">
        <f>IF(#REF!,"AAAAAD1g5pE=",0)</f>
        <v>#REF!</v>
      </c>
      <c r="EQ365" t="e">
        <f>IF(#REF!,"AAAAAD1g5pI=",0)</f>
        <v>#REF!</v>
      </c>
      <c r="ER365" t="e">
        <f>IF(#REF!,"AAAAAD1g5pM=",0)</f>
        <v>#REF!</v>
      </c>
      <c r="ES365" t="e">
        <f>IF(#REF!,"AAAAAD1g5pQ=",0)</f>
        <v>#REF!</v>
      </c>
      <c r="ET365" t="e">
        <f>IF(#REF!,"AAAAAD1g5pU=",0)</f>
        <v>#REF!</v>
      </c>
      <c r="EU365" t="e">
        <f>IF(#REF!,"AAAAAD1g5pY=",0)</f>
        <v>#REF!</v>
      </c>
      <c r="EV365" t="e">
        <f>IF(#REF!,"AAAAAD1g5pc=",0)</f>
        <v>#REF!</v>
      </c>
      <c r="EW365" t="e">
        <f>IF(#REF!,"AAAAAD1g5pg=",0)</f>
        <v>#REF!</v>
      </c>
      <c r="EX365" t="e">
        <f>IF(#REF!,"AAAAAD1g5pk=",0)</f>
        <v>#REF!</v>
      </c>
      <c r="EY365" t="e">
        <f>IF(#REF!,"AAAAAD1g5po=",0)</f>
        <v>#REF!</v>
      </c>
      <c r="EZ365" t="e">
        <f>IF(#REF!,"AAAAAD1g5ps=",0)</f>
        <v>#REF!</v>
      </c>
      <c r="FA365" t="e">
        <f>IF(#REF!,"AAAAAD1g5pw=",0)</f>
        <v>#REF!</v>
      </c>
      <c r="FB365" t="e">
        <f>IF(#REF!,"AAAAAD1g5p0=",0)</f>
        <v>#REF!</v>
      </c>
      <c r="FC365" t="e">
        <f>IF(#REF!,"AAAAAD1g5p4=",0)</f>
        <v>#REF!</v>
      </c>
      <c r="FD365" t="e">
        <f>IF(#REF!,"AAAAAD1g5p8=",0)</f>
        <v>#REF!</v>
      </c>
      <c r="FE365" t="e">
        <f>IF(#REF!,"AAAAAD1g5qA=",0)</f>
        <v>#REF!</v>
      </c>
      <c r="FF365" t="e">
        <f>IF(#REF!,"AAAAAD1g5qE=",0)</f>
        <v>#REF!</v>
      </c>
      <c r="FG365" t="e">
        <f>IF(#REF!,"AAAAAD1g5qI=",0)</f>
        <v>#REF!</v>
      </c>
      <c r="FH365" t="e">
        <f>IF(#REF!,"AAAAAD1g5qM=",0)</f>
        <v>#REF!</v>
      </c>
      <c r="FI365" t="e">
        <f>IF(#REF!,"AAAAAD1g5qQ=",0)</f>
        <v>#REF!</v>
      </c>
      <c r="FJ365" t="e">
        <f>IF(#REF!,"AAAAAD1g5qU=",0)</f>
        <v>#REF!</v>
      </c>
      <c r="FK365" t="e">
        <f>IF(#REF!,"AAAAAD1g5qY=",0)</f>
        <v>#REF!</v>
      </c>
      <c r="FL365" t="e">
        <f>IF(#REF!,"AAAAAD1g5qc=",0)</f>
        <v>#REF!</v>
      </c>
      <c r="FM365" t="e">
        <f>IF(#REF!,"AAAAAD1g5qg=",0)</f>
        <v>#REF!</v>
      </c>
      <c r="FN365" t="e">
        <f>IF(#REF!,"AAAAAD1g5qk=",0)</f>
        <v>#REF!</v>
      </c>
      <c r="FO365" t="e">
        <f>IF(#REF!,"AAAAAD1g5qo=",0)</f>
        <v>#REF!</v>
      </c>
      <c r="FP365" t="e">
        <f>IF(#REF!,"AAAAAD1g5qs=",0)</f>
        <v>#REF!</v>
      </c>
      <c r="FQ365" t="e">
        <f>IF(#REF!,"AAAAAD1g5qw=",0)</f>
        <v>#REF!</v>
      </c>
      <c r="FR365" t="e">
        <f>IF(#REF!,"AAAAAD1g5q0=",0)</f>
        <v>#REF!</v>
      </c>
      <c r="FS365" t="e">
        <f>IF(#REF!,"AAAAAD1g5q4=",0)</f>
        <v>#REF!</v>
      </c>
      <c r="FT365" t="e">
        <f>IF(#REF!,"AAAAAD1g5q8=",0)</f>
        <v>#REF!</v>
      </c>
      <c r="FU365" t="e">
        <f>IF(#REF!,"AAAAAD1g5rA=",0)</f>
        <v>#REF!</v>
      </c>
      <c r="FV365" t="e">
        <f>IF(#REF!,"AAAAAD1g5rE=",0)</f>
        <v>#REF!</v>
      </c>
      <c r="FW365" t="e">
        <f>IF(#REF!,"AAAAAD1g5rI=",0)</f>
        <v>#REF!</v>
      </c>
      <c r="FX365" t="e">
        <f>IF(#REF!,"AAAAAD1g5rM=",0)</f>
        <v>#REF!</v>
      </c>
      <c r="FY365" t="e">
        <f>IF(#REF!,"AAAAAD1g5rQ=",0)</f>
        <v>#REF!</v>
      </c>
      <c r="FZ365" t="e">
        <f>IF(#REF!,"AAAAAD1g5rU=",0)</f>
        <v>#REF!</v>
      </c>
      <c r="GA365" t="e">
        <f>IF(#REF!,"AAAAAD1g5rY=",0)</f>
        <v>#REF!</v>
      </c>
      <c r="GB365" t="e">
        <f>IF(#REF!,"AAAAAD1g5rc=",0)</f>
        <v>#REF!</v>
      </c>
      <c r="GC365" t="e">
        <f>IF(#REF!,"AAAAAD1g5rg=",0)</f>
        <v>#REF!</v>
      </c>
      <c r="GD365" t="e">
        <f>IF(#REF!,"AAAAAD1g5rk=",0)</f>
        <v>#REF!</v>
      </c>
      <c r="GE365" t="e">
        <f>IF(#REF!,"AAAAAD1g5ro=",0)</f>
        <v>#REF!</v>
      </c>
      <c r="GF365" t="e">
        <f>IF(#REF!,"AAAAAD1g5rs=",0)</f>
        <v>#REF!</v>
      </c>
      <c r="GG365" t="e">
        <f>IF(#REF!,"AAAAAD1g5rw=",0)</f>
        <v>#REF!</v>
      </c>
      <c r="GH365" t="e">
        <f>IF(#REF!,"AAAAAD1g5r0=",0)</f>
        <v>#REF!</v>
      </c>
      <c r="GI365" t="e">
        <f>IF(#REF!,"AAAAAD1g5r4=",0)</f>
        <v>#REF!</v>
      </c>
      <c r="GJ365" t="e">
        <f>IF(#REF!,"AAAAAD1g5r8=",0)</f>
        <v>#REF!</v>
      </c>
      <c r="GK365" t="e">
        <f>IF(#REF!,"AAAAAD1g5sA=",0)</f>
        <v>#REF!</v>
      </c>
      <c r="GL365" t="e">
        <f>IF(#REF!,"AAAAAD1g5sE=",0)</f>
        <v>#REF!</v>
      </c>
      <c r="GM365" t="e">
        <f>IF(#REF!,"AAAAAD1g5sI=",0)</f>
        <v>#REF!</v>
      </c>
      <c r="GN365" t="e">
        <f>IF(#REF!,"AAAAAD1g5sM=",0)</f>
        <v>#REF!</v>
      </c>
      <c r="GO365" t="e">
        <f>IF(#REF!,"AAAAAD1g5sQ=",0)</f>
        <v>#REF!</v>
      </c>
      <c r="GP365" t="e">
        <f>IF(#REF!,"AAAAAD1g5sU=",0)</f>
        <v>#REF!</v>
      </c>
      <c r="GQ365" t="e">
        <f>IF(#REF!,"AAAAAD1g5sY=",0)</f>
        <v>#REF!</v>
      </c>
      <c r="GR365" t="e">
        <f>IF(#REF!,"AAAAAD1g5sc=",0)</f>
        <v>#REF!</v>
      </c>
      <c r="GS365" t="e">
        <f>IF(#REF!,"AAAAAD1g5sg=",0)</f>
        <v>#REF!</v>
      </c>
      <c r="GT365" t="e">
        <f>IF(#REF!,"AAAAAD1g5sk=",0)</f>
        <v>#REF!</v>
      </c>
      <c r="GU365" t="e">
        <f>IF(#REF!,"AAAAAD1g5so=",0)</f>
        <v>#REF!</v>
      </c>
      <c r="GV365" t="e">
        <f>IF(#REF!,"AAAAAD1g5ss=",0)</f>
        <v>#REF!</v>
      </c>
      <c r="GW365" t="e">
        <f>IF(#REF!,"AAAAAD1g5sw=",0)</f>
        <v>#REF!</v>
      </c>
      <c r="GX365" t="e">
        <f>IF(#REF!,"AAAAAD1g5s0=",0)</f>
        <v>#REF!</v>
      </c>
      <c r="GY365" t="e">
        <f>IF(#REF!,"AAAAAD1g5s4=",0)</f>
        <v>#REF!</v>
      </c>
      <c r="GZ365" t="e">
        <f>IF(#REF!,"AAAAAD1g5s8=",0)</f>
        <v>#REF!</v>
      </c>
      <c r="HA365" t="e">
        <f>IF(#REF!,"AAAAAD1g5tA=",0)</f>
        <v>#REF!</v>
      </c>
      <c r="HB365" t="e">
        <f>IF(#REF!,"AAAAAD1g5tE=",0)</f>
        <v>#REF!</v>
      </c>
      <c r="HC365" t="e">
        <f>IF(#REF!,"AAAAAD1g5tI=",0)</f>
        <v>#REF!</v>
      </c>
      <c r="HD365" t="e">
        <f>IF(#REF!,"AAAAAD1g5tM=",0)</f>
        <v>#REF!</v>
      </c>
      <c r="HE365" t="e">
        <f>IF(#REF!,"AAAAAD1g5tQ=",0)</f>
        <v>#REF!</v>
      </c>
      <c r="HF365" t="e">
        <f>IF(#REF!,"AAAAAD1g5tU=",0)</f>
        <v>#REF!</v>
      </c>
      <c r="HG365" t="e">
        <f>IF(#REF!,"AAAAAD1g5tY=",0)</f>
        <v>#REF!</v>
      </c>
      <c r="HH365" t="e">
        <f>IF(#REF!,"AAAAAD1g5tc=",0)</f>
        <v>#REF!</v>
      </c>
      <c r="HI365" t="e">
        <f>IF(#REF!,"AAAAAD1g5tg=",0)</f>
        <v>#REF!</v>
      </c>
      <c r="HJ365" t="e">
        <f>IF(#REF!,"AAAAAD1g5tk=",0)</f>
        <v>#REF!</v>
      </c>
      <c r="HK365" t="e">
        <f>IF(#REF!,"AAAAAD1g5to=",0)</f>
        <v>#REF!</v>
      </c>
      <c r="HL365" t="e">
        <f>IF(#REF!,"AAAAAD1g5ts=",0)</f>
        <v>#REF!</v>
      </c>
      <c r="HM365" t="e">
        <f>IF(#REF!,"AAAAAD1g5tw=",0)</f>
        <v>#REF!</v>
      </c>
      <c r="HN365" t="e">
        <f>IF(#REF!,"AAAAAD1g5t0=",0)</f>
        <v>#REF!</v>
      </c>
      <c r="HO365" t="e">
        <f>IF(#REF!,"AAAAAD1g5t4=",0)</f>
        <v>#REF!</v>
      </c>
      <c r="HP365" t="e">
        <f>IF(#REF!,"AAAAAD1g5t8=",0)</f>
        <v>#REF!</v>
      </c>
      <c r="HQ365" t="e">
        <f>IF(#REF!,"AAAAAD1g5uA=",0)</f>
        <v>#REF!</v>
      </c>
      <c r="HR365" t="e">
        <f>IF(#REF!,"AAAAAD1g5uE=",0)</f>
        <v>#REF!</v>
      </c>
      <c r="HS365" t="e">
        <f>IF(#REF!,"AAAAAD1g5uI=",0)</f>
        <v>#REF!</v>
      </c>
      <c r="HT365" t="e">
        <f>IF(#REF!,"AAAAAD1g5uM=",0)</f>
        <v>#REF!</v>
      </c>
      <c r="HU365" t="e">
        <f>IF(#REF!,"AAAAAD1g5uQ=",0)</f>
        <v>#REF!</v>
      </c>
      <c r="HV365" t="e">
        <f>IF(#REF!,"AAAAAD1g5uU=",0)</f>
        <v>#REF!</v>
      </c>
      <c r="HW365" t="e">
        <f>IF(#REF!,"AAAAAD1g5uY=",0)</f>
        <v>#REF!</v>
      </c>
      <c r="HX365" t="e">
        <f>IF(#REF!,"AAAAAD1g5uc=",0)</f>
        <v>#REF!</v>
      </c>
      <c r="HY365" t="e">
        <f>IF(#REF!,"AAAAAD1g5ug=",0)</f>
        <v>#REF!</v>
      </c>
      <c r="HZ365" t="e">
        <f>IF(#REF!,"AAAAAD1g5uk=",0)</f>
        <v>#REF!</v>
      </c>
      <c r="IA365" t="e">
        <f>IF(#REF!,"AAAAAD1g5uo=",0)</f>
        <v>#REF!</v>
      </c>
      <c r="IB365" t="e">
        <f>IF(#REF!,"AAAAAD1g5us=",0)</f>
        <v>#REF!</v>
      </c>
      <c r="IC365" t="e">
        <f>IF(#REF!,"AAAAAD1g5uw=",0)</f>
        <v>#REF!</v>
      </c>
      <c r="ID365" t="e">
        <f>IF(#REF!,"AAAAAD1g5u0=",0)</f>
        <v>#REF!</v>
      </c>
      <c r="IE365" t="e">
        <f>IF(#REF!,"AAAAAD1g5u4=",0)</f>
        <v>#REF!</v>
      </c>
      <c r="IF365" t="e">
        <f>IF(#REF!,"AAAAAD1g5u8=",0)</f>
        <v>#REF!</v>
      </c>
      <c r="IG365" t="e">
        <f>IF(#REF!,"AAAAAD1g5vA=",0)</f>
        <v>#REF!</v>
      </c>
      <c r="IH365" t="e">
        <f>IF(#REF!,"AAAAAD1g5vE=",0)</f>
        <v>#REF!</v>
      </c>
      <c r="II365" t="e">
        <f>IF(#REF!,"AAAAAD1g5vI=",0)</f>
        <v>#REF!</v>
      </c>
      <c r="IJ365" t="e">
        <f>IF(#REF!,"AAAAAD1g5vM=",0)</f>
        <v>#REF!</v>
      </c>
      <c r="IK365" t="e">
        <f>IF(#REF!,"AAAAAD1g5vQ=",0)</f>
        <v>#REF!</v>
      </c>
      <c r="IL365" t="e">
        <f>IF(#REF!,"AAAAAD1g5vU=",0)</f>
        <v>#REF!</v>
      </c>
      <c r="IM365" t="e">
        <f>IF(#REF!,"AAAAAD1g5vY=",0)</f>
        <v>#REF!</v>
      </c>
      <c r="IN365" t="e">
        <f>IF(#REF!,"AAAAAD1g5vc=",0)</f>
        <v>#REF!</v>
      </c>
      <c r="IO365" t="e">
        <f>IF(#REF!,"AAAAAD1g5vg=",0)</f>
        <v>#REF!</v>
      </c>
      <c r="IP365" t="e">
        <f>IF(#REF!,"AAAAAD1g5vk=",0)</f>
        <v>#REF!</v>
      </c>
      <c r="IQ365" t="e">
        <f>IF(#REF!,"AAAAAD1g5vo=",0)</f>
        <v>#REF!</v>
      </c>
      <c r="IR365" t="e">
        <f>IF(#REF!,"AAAAAD1g5vs=",0)</f>
        <v>#REF!</v>
      </c>
      <c r="IS365" t="e">
        <f>IF(#REF!,"AAAAAD1g5vw=",0)</f>
        <v>#REF!</v>
      </c>
      <c r="IT365" t="e">
        <f>IF(#REF!,"AAAAAD1g5v0=",0)</f>
        <v>#REF!</v>
      </c>
      <c r="IU365" t="e">
        <f>IF(#REF!,"AAAAAD1g5v4=",0)</f>
        <v>#REF!</v>
      </c>
      <c r="IV365" t="e">
        <f>IF(#REF!,"AAAAAD1g5v8=",0)</f>
        <v>#REF!</v>
      </c>
    </row>
    <row r="366" spans="1:256">
      <c r="A366" t="e">
        <f>IF(#REF!,"AAAAAH6/vwA=",0)</f>
        <v>#REF!</v>
      </c>
      <c r="B366" t="e">
        <f>IF(#REF!,"AAAAAH6/vwE=",0)</f>
        <v>#REF!</v>
      </c>
      <c r="C366" t="e">
        <f>IF(#REF!,"AAAAAH6/vwI=",0)</f>
        <v>#REF!</v>
      </c>
      <c r="D366" t="e">
        <f>IF(#REF!,"AAAAAH6/vwM=",0)</f>
        <v>#REF!</v>
      </c>
      <c r="E366" t="e">
        <f>IF(#REF!,"AAAAAH6/vwQ=",0)</f>
        <v>#REF!</v>
      </c>
      <c r="F366" t="e">
        <f>IF(#REF!,"AAAAAH6/vwU=",0)</f>
        <v>#REF!</v>
      </c>
      <c r="G366" t="e">
        <f>IF(#REF!,"AAAAAH6/vwY=",0)</f>
        <v>#REF!</v>
      </c>
      <c r="H366" t="e">
        <f>IF(#REF!,"AAAAAH6/vwc=",0)</f>
        <v>#REF!</v>
      </c>
      <c r="I366" t="e">
        <f>IF(#REF!,"AAAAAH6/vwg=",0)</f>
        <v>#REF!</v>
      </c>
      <c r="J366" t="e">
        <f>IF(#REF!,"AAAAAH6/vwk=",0)</f>
        <v>#REF!</v>
      </c>
      <c r="K366" t="e">
        <f>IF(#REF!,"AAAAAH6/vwo=",0)</f>
        <v>#REF!</v>
      </c>
      <c r="L366" t="e">
        <f>IF(#REF!,"AAAAAH6/vws=",0)</f>
        <v>#REF!</v>
      </c>
      <c r="M366" t="e">
        <f>IF(#REF!,"AAAAAH6/vww=",0)</f>
        <v>#REF!</v>
      </c>
      <c r="N366" t="e">
        <f>IF(#REF!,"AAAAAH6/vw0=",0)</f>
        <v>#REF!</v>
      </c>
      <c r="O366" t="e">
        <f>IF(#REF!,"AAAAAH6/vw4=",0)</f>
        <v>#REF!</v>
      </c>
      <c r="P366" t="e">
        <f>IF(#REF!,"AAAAAH6/vw8=",0)</f>
        <v>#REF!</v>
      </c>
      <c r="Q366" t="e">
        <f>IF(#REF!,"AAAAAH6/vxA=",0)</f>
        <v>#REF!</v>
      </c>
      <c r="R366" t="e">
        <f>IF(#REF!,"AAAAAH6/vxE=",0)</f>
        <v>#REF!</v>
      </c>
      <c r="S366" t="e">
        <f>IF(#REF!,"AAAAAH6/vxI=",0)</f>
        <v>#REF!</v>
      </c>
      <c r="T366" t="e">
        <f>IF(#REF!,"AAAAAH6/vxM=",0)</f>
        <v>#REF!</v>
      </c>
      <c r="U366" t="e">
        <f>IF(#REF!,"AAAAAH6/vxQ=",0)</f>
        <v>#REF!</v>
      </c>
      <c r="V366" t="e">
        <f>IF(#REF!,"AAAAAH6/vxU=",0)</f>
        <v>#REF!</v>
      </c>
      <c r="W366" t="e">
        <f>IF(#REF!,"AAAAAH6/vxY=",0)</f>
        <v>#REF!</v>
      </c>
      <c r="X366" t="e">
        <f>IF(#REF!,"AAAAAH6/vxc=",0)</f>
        <v>#REF!</v>
      </c>
      <c r="Y366" t="e">
        <f>IF(#REF!,"AAAAAH6/vxg=",0)</f>
        <v>#REF!</v>
      </c>
      <c r="Z366" t="e">
        <f>IF(#REF!,"AAAAAH6/vxk=",0)</f>
        <v>#REF!</v>
      </c>
      <c r="AA366" t="e">
        <f>IF(#REF!,"AAAAAH6/vxo=",0)</f>
        <v>#REF!</v>
      </c>
      <c r="AB366" t="e">
        <f>IF(#REF!,"AAAAAH6/vxs=",0)</f>
        <v>#REF!</v>
      </c>
      <c r="AC366" t="e">
        <f>IF(#REF!,"AAAAAH6/vxw=",0)</f>
        <v>#REF!</v>
      </c>
      <c r="AD366" t="e">
        <f>IF(#REF!,"AAAAAH6/vx0=",0)</f>
        <v>#REF!</v>
      </c>
      <c r="AE366" t="e">
        <f>IF(#REF!,"AAAAAH6/vx4=",0)</f>
        <v>#REF!</v>
      </c>
      <c r="AF366" t="e">
        <f>IF(#REF!,"AAAAAH6/vx8=",0)</f>
        <v>#REF!</v>
      </c>
      <c r="AG366" t="e">
        <f>IF(#REF!,"AAAAAH6/vyA=",0)</f>
        <v>#REF!</v>
      </c>
      <c r="AH366" t="e">
        <f>IF(#REF!,"AAAAAH6/vyE=",0)</f>
        <v>#REF!</v>
      </c>
      <c r="AI366" t="e">
        <f>IF(#REF!,"AAAAAH6/vyI=",0)</f>
        <v>#REF!</v>
      </c>
      <c r="AJ366" t="e">
        <f>IF(#REF!,"AAAAAH6/vyM=",0)</f>
        <v>#REF!</v>
      </c>
      <c r="AK366" t="e">
        <f>IF(#REF!,"AAAAAH6/vyQ=",0)</f>
        <v>#REF!</v>
      </c>
      <c r="AL366" t="e">
        <f>IF(#REF!,"AAAAAH6/vyU=",0)</f>
        <v>#REF!</v>
      </c>
      <c r="AM366" t="e">
        <f>IF(#REF!,"AAAAAH6/vyY=",0)</f>
        <v>#REF!</v>
      </c>
      <c r="AN366" t="e">
        <f>IF(#REF!,"AAAAAH6/vyc=",0)</f>
        <v>#REF!</v>
      </c>
      <c r="AO366" t="e">
        <f>IF(#REF!,"AAAAAH6/vyg=",0)</f>
        <v>#REF!</v>
      </c>
      <c r="AP366" t="e">
        <f>IF(#REF!,"AAAAAH6/vyk=",0)</f>
        <v>#REF!</v>
      </c>
      <c r="AQ366" t="e">
        <f>IF(#REF!,"AAAAAH6/vyo=",0)</f>
        <v>#REF!</v>
      </c>
      <c r="AR366" t="e">
        <f>IF(#REF!,"AAAAAH6/vys=",0)</f>
        <v>#REF!</v>
      </c>
      <c r="AS366" t="e">
        <f>IF(#REF!,"AAAAAH6/vyw=",0)</f>
        <v>#REF!</v>
      </c>
      <c r="AT366" t="e">
        <f>IF(#REF!,"AAAAAH6/vy0=",0)</f>
        <v>#REF!</v>
      </c>
      <c r="AU366" t="e">
        <f>IF(#REF!,"AAAAAH6/vy4=",0)</f>
        <v>#REF!</v>
      </c>
      <c r="AV366" t="e">
        <f>IF(#REF!,"AAAAAH6/vy8=",0)</f>
        <v>#REF!</v>
      </c>
      <c r="AW366" t="e">
        <f>IF(#REF!,"AAAAAH6/vzA=",0)</f>
        <v>#REF!</v>
      </c>
      <c r="AX366" t="e">
        <f>IF(#REF!,"AAAAAH6/vzE=",0)</f>
        <v>#REF!</v>
      </c>
      <c r="AY366" t="e">
        <f>IF(#REF!,"AAAAAH6/vzI=",0)</f>
        <v>#REF!</v>
      </c>
      <c r="AZ366" t="e">
        <f>IF(#REF!,"AAAAAH6/vzM=",0)</f>
        <v>#REF!</v>
      </c>
      <c r="BA366" t="e">
        <f>IF(#REF!,"AAAAAH6/vzQ=",0)</f>
        <v>#REF!</v>
      </c>
      <c r="BB366" t="e">
        <f>IF(#REF!,"AAAAAH6/vzU=",0)</f>
        <v>#REF!</v>
      </c>
      <c r="BC366" t="e">
        <f>IF(#REF!,"AAAAAH6/vzY=",0)</f>
        <v>#REF!</v>
      </c>
      <c r="BD366" t="e">
        <f>IF(#REF!,"AAAAAH6/vzc=",0)</f>
        <v>#REF!</v>
      </c>
      <c r="BE366" t="e">
        <f>IF(#REF!,"AAAAAH6/vzg=",0)</f>
        <v>#REF!</v>
      </c>
      <c r="BF366" t="e">
        <f>IF(#REF!,"AAAAAH6/vzk=",0)</f>
        <v>#REF!</v>
      </c>
      <c r="BG366" t="e">
        <f>IF(#REF!,"AAAAAH6/vzo=",0)</f>
        <v>#REF!</v>
      </c>
      <c r="BH366" t="e">
        <f>IF(#REF!,"AAAAAH6/vzs=",0)</f>
        <v>#REF!</v>
      </c>
      <c r="BI366" t="e">
        <f>IF(#REF!,"AAAAAH6/vzw=",0)</f>
        <v>#REF!</v>
      </c>
      <c r="BJ366" t="e">
        <f>IF(#REF!,"AAAAAH6/vz0=",0)</f>
        <v>#REF!</v>
      </c>
      <c r="BK366" t="e">
        <f>IF(#REF!,"AAAAAH6/vz4=",0)</f>
        <v>#REF!</v>
      </c>
      <c r="BL366" t="e">
        <f>IF(#REF!,"AAAAAH6/vz8=",0)</f>
        <v>#REF!</v>
      </c>
      <c r="BM366" t="e">
        <f>IF(#REF!,"AAAAAH6/v0A=",0)</f>
        <v>#REF!</v>
      </c>
      <c r="BN366" t="e">
        <f>IF(#REF!,"AAAAAH6/v0E=",0)</f>
        <v>#REF!</v>
      </c>
      <c r="BO366" t="e">
        <f>IF(#REF!,"AAAAAH6/v0I=",0)</f>
        <v>#REF!</v>
      </c>
      <c r="BP366" t="e">
        <f>IF(#REF!,"AAAAAH6/v0M=",0)</f>
        <v>#REF!</v>
      </c>
      <c r="BQ366" t="e">
        <f>IF(#REF!,"AAAAAH6/v0Q=",0)</f>
        <v>#REF!</v>
      </c>
      <c r="BR366" t="e">
        <f>IF(#REF!,"AAAAAH6/v0U=",0)</f>
        <v>#REF!</v>
      </c>
      <c r="BS366" t="e">
        <f>IF(#REF!,"AAAAAH6/v0Y=",0)</f>
        <v>#REF!</v>
      </c>
      <c r="BT366" t="e">
        <f>IF(#REF!,"AAAAAH6/v0c=",0)</f>
        <v>#REF!</v>
      </c>
      <c r="BU366" t="e">
        <f>IF(#REF!,"AAAAAH6/v0g=",0)</f>
        <v>#REF!</v>
      </c>
      <c r="BV366" t="e">
        <f>IF(#REF!,"AAAAAH6/v0k=",0)</f>
        <v>#REF!</v>
      </c>
      <c r="BW366" t="e">
        <f>IF(#REF!,"AAAAAH6/v0o=",0)</f>
        <v>#REF!</v>
      </c>
      <c r="BX366" t="e">
        <f>IF(#REF!,"AAAAAH6/v0s=",0)</f>
        <v>#REF!</v>
      </c>
      <c r="BY366" t="e">
        <f>IF(#REF!,"AAAAAH6/v0w=",0)</f>
        <v>#REF!</v>
      </c>
      <c r="BZ366" t="e">
        <f>IF(#REF!,"AAAAAH6/v00=",0)</f>
        <v>#REF!</v>
      </c>
      <c r="CA366" t="e">
        <f>IF(#REF!,"AAAAAH6/v04=",0)</f>
        <v>#REF!</v>
      </c>
      <c r="CB366" t="e">
        <f>IF(#REF!,"AAAAAH6/v08=",0)</f>
        <v>#REF!</v>
      </c>
      <c r="CC366" t="e">
        <f>IF(#REF!,"AAAAAH6/v1A=",0)</f>
        <v>#REF!</v>
      </c>
      <c r="CD366" t="e">
        <f>IF(#REF!,"AAAAAH6/v1E=",0)</f>
        <v>#REF!</v>
      </c>
      <c r="CE366" t="e">
        <f>IF(#REF!,"AAAAAH6/v1I=",0)</f>
        <v>#REF!</v>
      </c>
      <c r="CF366" t="e">
        <f>IF(#REF!,"AAAAAH6/v1M=",0)</f>
        <v>#REF!</v>
      </c>
      <c r="CG366" t="e">
        <f>IF(#REF!,"AAAAAH6/v1Q=",0)</f>
        <v>#REF!</v>
      </c>
      <c r="CH366" t="e">
        <f>IF(#REF!,"AAAAAH6/v1U=",0)</f>
        <v>#REF!</v>
      </c>
      <c r="CI366" t="e">
        <f>IF(#REF!,"AAAAAH6/v1Y=",0)</f>
        <v>#REF!</v>
      </c>
      <c r="CJ366" t="e">
        <f>IF(#REF!,"AAAAAH6/v1c=",0)</f>
        <v>#REF!</v>
      </c>
      <c r="CK366" t="e">
        <f>IF(#REF!,"AAAAAH6/v1g=",0)</f>
        <v>#REF!</v>
      </c>
      <c r="CL366" t="e">
        <f>IF(#REF!,"AAAAAH6/v1k=",0)</f>
        <v>#REF!</v>
      </c>
      <c r="CM366" t="e">
        <f>IF(#REF!,"AAAAAH6/v1o=",0)</f>
        <v>#REF!</v>
      </c>
      <c r="CN366" t="e">
        <f>IF(#REF!,"AAAAAH6/v1s=",0)</f>
        <v>#REF!</v>
      </c>
      <c r="CO366" t="e">
        <f>IF(#REF!,"AAAAAH6/v1w=",0)</f>
        <v>#REF!</v>
      </c>
      <c r="CP366" t="e">
        <f>IF(#REF!,"AAAAAH6/v10=",0)</f>
        <v>#REF!</v>
      </c>
      <c r="CQ366" t="e">
        <f>IF(#REF!,"AAAAAH6/v14=",0)</f>
        <v>#REF!</v>
      </c>
      <c r="CR366" t="e">
        <f>IF(#REF!,"AAAAAH6/v18=",0)</f>
        <v>#REF!</v>
      </c>
      <c r="CS366" t="e">
        <f>IF(#REF!,"AAAAAH6/v2A=",0)</f>
        <v>#REF!</v>
      </c>
      <c r="CT366" t="e">
        <f>IF(#REF!,"AAAAAH6/v2E=",0)</f>
        <v>#REF!</v>
      </c>
      <c r="CU366" t="e">
        <f>IF(#REF!,"AAAAAH6/v2I=",0)</f>
        <v>#REF!</v>
      </c>
      <c r="CV366" t="e">
        <f>IF(#REF!,"AAAAAH6/v2M=",0)</f>
        <v>#REF!</v>
      </c>
      <c r="CW366" t="e">
        <f>IF(#REF!,"AAAAAH6/v2Q=",0)</f>
        <v>#REF!</v>
      </c>
      <c r="CX366" t="e">
        <f>IF(#REF!,"AAAAAH6/v2U=",0)</f>
        <v>#REF!</v>
      </c>
      <c r="CY366" t="e">
        <f>IF(#REF!,"AAAAAH6/v2Y=",0)</f>
        <v>#REF!</v>
      </c>
      <c r="CZ366" t="e">
        <f>IF(#REF!,"AAAAAH6/v2c=",0)</f>
        <v>#REF!</v>
      </c>
      <c r="DA366" t="e">
        <f>IF(#REF!,"AAAAAH6/v2g=",0)</f>
        <v>#REF!</v>
      </c>
      <c r="DB366" t="e">
        <f>IF(#REF!,"AAAAAH6/v2k=",0)</f>
        <v>#REF!</v>
      </c>
      <c r="DC366" t="e">
        <f>IF(#REF!,"AAAAAH6/v2o=",0)</f>
        <v>#REF!</v>
      </c>
      <c r="DD366" t="e">
        <f>IF(#REF!,"AAAAAH6/v2s=",0)</f>
        <v>#REF!</v>
      </c>
      <c r="DE366" t="e">
        <f>IF(#REF!,"AAAAAH6/v2w=",0)</f>
        <v>#REF!</v>
      </c>
      <c r="DF366" t="e">
        <f>IF(#REF!,"AAAAAH6/v20=",0)</f>
        <v>#REF!</v>
      </c>
      <c r="DG366" t="e">
        <f>IF(#REF!,"AAAAAH6/v24=",0)</f>
        <v>#REF!</v>
      </c>
      <c r="DH366" t="e">
        <f>IF(#REF!,"AAAAAH6/v28=",0)</f>
        <v>#REF!</v>
      </c>
      <c r="DI366" t="e">
        <f>IF(#REF!,"AAAAAH6/v3A=",0)</f>
        <v>#REF!</v>
      </c>
      <c r="DJ366" t="e">
        <f>IF(#REF!,"AAAAAH6/v3E=",0)</f>
        <v>#REF!</v>
      </c>
      <c r="DK366" t="e">
        <f>IF(#REF!,"AAAAAH6/v3I=",0)</f>
        <v>#REF!</v>
      </c>
      <c r="DL366" t="e">
        <f>IF(#REF!,"AAAAAH6/v3M=",0)</f>
        <v>#REF!</v>
      </c>
      <c r="DM366" t="e">
        <f>IF(#REF!,"AAAAAH6/v3Q=",0)</f>
        <v>#REF!</v>
      </c>
      <c r="DN366" t="e">
        <f>IF(#REF!,"AAAAAH6/v3U=",0)</f>
        <v>#REF!</v>
      </c>
      <c r="DO366" t="e">
        <f>IF(#REF!,"AAAAAH6/v3Y=",0)</f>
        <v>#REF!</v>
      </c>
      <c r="DP366" t="e">
        <f>IF(#REF!,"AAAAAH6/v3c=",0)</f>
        <v>#REF!</v>
      </c>
      <c r="DQ366" t="e">
        <f>IF(#REF!,"AAAAAH6/v3g=",0)</f>
        <v>#REF!</v>
      </c>
      <c r="DR366" t="e">
        <f>IF(#REF!,"AAAAAH6/v3k=",0)</f>
        <v>#REF!</v>
      </c>
      <c r="DS366" t="e">
        <f>IF(#REF!,"AAAAAH6/v3o=",0)</f>
        <v>#REF!</v>
      </c>
      <c r="DT366" t="e">
        <f>IF(#REF!,"AAAAAH6/v3s=",0)</f>
        <v>#REF!</v>
      </c>
      <c r="DU366" t="e">
        <f>IF(#REF!,"AAAAAH6/v3w=",0)</f>
        <v>#REF!</v>
      </c>
      <c r="DV366" t="e">
        <f>IF(#REF!,"AAAAAH6/v30=",0)</f>
        <v>#REF!</v>
      </c>
      <c r="DW366" t="e">
        <f>IF(#REF!,"AAAAAH6/v34=",0)</f>
        <v>#REF!</v>
      </c>
      <c r="DX366" t="e">
        <f>IF(#REF!,"AAAAAH6/v38=",0)</f>
        <v>#REF!</v>
      </c>
      <c r="DY366" t="e">
        <f>IF(#REF!,"AAAAAH6/v4A=",0)</f>
        <v>#REF!</v>
      </c>
      <c r="DZ366" t="e">
        <f>IF(#REF!,"AAAAAH6/v4E=",0)</f>
        <v>#REF!</v>
      </c>
      <c r="EA366" t="e">
        <f>IF(#REF!,"AAAAAH6/v4I=",0)</f>
        <v>#REF!</v>
      </c>
      <c r="EB366" t="e">
        <f>IF(#REF!,"AAAAAH6/v4M=",0)</f>
        <v>#REF!</v>
      </c>
      <c r="EC366" t="e">
        <f>IF(#REF!,"AAAAAH6/v4Q=",0)</f>
        <v>#REF!</v>
      </c>
      <c r="ED366" t="e">
        <f>IF(#REF!,"AAAAAH6/v4U=",0)</f>
        <v>#REF!</v>
      </c>
      <c r="EE366" t="e">
        <f>IF(#REF!,"AAAAAH6/v4Y=",0)</f>
        <v>#REF!</v>
      </c>
      <c r="EF366" t="e">
        <f>IF(#REF!,"AAAAAH6/v4c=",0)</f>
        <v>#REF!</v>
      </c>
      <c r="EG366" t="e">
        <f>IF(#REF!,"AAAAAH6/v4g=",0)</f>
        <v>#REF!</v>
      </c>
      <c r="EH366" t="e">
        <f>IF(#REF!,"AAAAAH6/v4k=",0)</f>
        <v>#REF!</v>
      </c>
      <c r="EI366" t="e">
        <f>IF(#REF!,"AAAAAH6/v4o=",0)</f>
        <v>#REF!</v>
      </c>
      <c r="EJ366" t="e">
        <f>IF(#REF!,"AAAAAH6/v4s=",0)</f>
        <v>#REF!</v>
      </c>
      <c r="EK366" t="e">
        <f>IF(#REF!,"AAAAAH6/v4w=",0)</f>
        <v>#REF!</v>
      </c>
      <c r="EL366" t="e">
        <f>IF(#REF!,"AAAAAH6/v40=",0)</f>
        <v>#REF!</v>
      </c>
      <c r="EM366" t="e">
        <f>IF(#REF!,"AAAAAH6/v44=",0)</f>
        <v>#REF!</v>
      </c>
      <c r="EN366" t="e">
        <f>IF(#REF!,"AAAAAH6/v48=",0)</f>
        <v>#REF!</v>
      </c>
      <c r="EO366" t="e">
        <f>IF(#REF!,"AAAAAH6/v5A=",0)</f>
        <v>#REF!</v>
      </c>
      <c r="EP366" t="e">
        <f>IF(#REF!,"AAAAAH6/v5E=",0)</f>
        <v>#REF!</v>
      </c>
      <c r="EQ366" t="e">
        <f>IF(#REF!,"AAAAAH6/v5I=",0)</f>
        <v>#REF!</v>
      </c>
      <c r="ER366" t="e">
        <f>IF(#REF!,"AAAAAH6/v5M=",0)</f>
        <v>#REF!</v>
      </c>
      <c r="ES366" t="e">
        <f>IF(#REF!,"AAAAAH6/v5Q=",0)</f>
        <v>#REF!</v>
      </c>
      <c r="ET366" t="e">
        <f>IF(#REF!,"AAAAAH6/v5U=",0)</f>
        <v>#REF!</v>
      </c>
      <c r="EU366" t="e">
        <f>IF(#REF!,"AAAAAH6/v5Y=",0)</f>
        <v>#REF!</v>
      </c>
      <c r="EV366" t="e">
        <f>IF(#REF!,"AAAAAH6/v5c=",0)</f>
        <v>#REF!</v>
      </c>
      <c r="EW366" t="e">
        <f>IF(#REF!,"AAAAAH6/v5g=",0)</f>
        <v>#REF!</v>
      </c>
      <c r="EX366" t="e">
        <f>IF(#REF!,"AAAAAH6/v5k=",0)</f>
        <v>#REF!</v>
      </c>
      <c r="EY366" t="e">
        <f>IF(#REF!,"AAAAAH6/v5o=",0)</f>
        <v>#REF!</v>
      </c>
      <c r="EZ366" t="e">
        <f>IF(#REF!,"AAAAAH6/v5s=",0)</f>
        <v>#REF!</v>
      </c>
      <c r="FA366" t="e">
        <f>IF(#REF!,"AAAAAH6/v5w=",0)</f>
        <v>#REF!</v>
      </c>
      <c r="FB366" t="e">
        <f>IF(#REF!,"AAAAAH6/v50=",0)</f>
        <v>#REF!</v>
      </c>
      <c r="FC366" t="e">
        <f>IF(#REF!,"AAAAAH6/v54=",0)</f>
        <v>#REF!</v>
      </c>
      <c r="FD366" t="e">
        <f>IF(#REF!,"AAAAAH6/v58=",0)</f>
        <v>#REF!</v>
      </c>
      <c r="FE366" t="e">
        <f>IF(#REF!,"AAAAAH6/v6A=",0)</f>
        <v>#REF!</v>
      </c>
      <c r="FF366" t="e">
        <f>IF(#REF!,"AAAAAH6/v6E=",0)</f>
        <v>#REF!</v>
      </c>
      <c r="FG366" t="e">
        <f>IF(#REF!,"AAAAAH6/v6I=",0)</f>
        <v>#REF!</v>
      </c>
      <c r="FH366" t="e">
        <f>IF(#REF!,"AAAAAH6/v6M=",0)</f>
        <v>#REF!</v>
      </c>
      <c r="FI366" t="e">
        <f>IF(#REF!,"AAAAAH6/v6Q=",0)</f>
        <v>#REF!</v>
      </c>
      <c r="FJ366" t="e">
        <f>IF(#REF!,"AAAAAH6/v6U=",0)</f>
        <v>#REF!</v>
      </c>
      <c r="FK366" t="e">
        <f>IF(#REF!,"AAAAAH6/v6Y=",0)</f>
        <v>#REF!</v>
      </c>
      <c r="FL366" t="e">
        <f>IF(#REF!,"AAAAAH6/v6c=",0)</f>
        <v>#REF!</v>
      </c>
      <c r="FM366" t="e">
        <f>IF(#REF!,"AAAAAH6/v6g=",0)</f>
        <v>#REF!</v>
      </c>
      <c r="FN366" t="e">
        <f>IF(#REF!,"AAAAAH6/v6k=",0)</f>
        <v>#REF!</v>
      </c>
      <c r="FO366" t="e">
        <f>IF(#REF!,"AAAAAH6/v6o=",0)</f>
        <v>#REF!</v>
      </c>
      <c r="FP366" t="e">
        <f>IF(#REF!,"AAAAAH6/v6s=",0)</f>
        <v>#REF!</v>
      </c>
      <c r="FQ366" t="e">
        <f>IF(#REF!,"AAAAAH6/v6w=",0)</f>
        <v>#REF!</v>
      </c>
      <c r="FR366" t="e">
        <f>IF(#REF!,"AAAAAH6/v60=",0)</f>
        <v>#REF!</v>
      </c>
      <c r="FS366" t="e">
        <f>IF(#REF!,"AAAAAH6/v64=",0)</f>
        <v>#REF!</v>
      </c>
      <c r="FT366" t="e">
        <f>IF(#REF!,"AAAAAH6/v68=",0)</f>
        <v>#REF!</v>
      </c>
      <c r="FU366" t="e">
        <f>IF(#REF!,"AAAAAH6/v7A=",0)</f>
        <v>#REF!</v>
      </c>
      <c r="FV366" t="e">
        <f>IF(#REF!,"AAAAAH6/v7E=",0)</f>
        <v>#REF!</v>
      </c>
      <c r="FW366" t="e">
        <f>IF(#REF!,"AAAAAH6/v7I=",0)</f>
        <v>#REF!</v>
      </c>
      <c r="FX366" t="e">
        <f>IF(#REF!,"AAAAAH6/v7M=",0)</f>
        <v>#REF!</v>
      </c>
      <c r="FY366" t="e">
        <f>IF(#REF!,"AAAAAH6/v7Q=",0)</f>
        <v>#REF!</v>
      </c>
      <c r="FZ366" t="e">
        <f>IF(#REF!,"AAAAAH6/v7U=",0)</f>
        <v>#REF!</v>
      </c>
      <c r="GA366" t="e">
        <f>IF(#REF!,"AAAAAH6/v7Y=",0)</f>
        <v>#REF!</v>
      </c>
      <c r="GB366" t="e">
        <f>IF(#REF!,"AAAAAH6/v7c=",0)</f>
        <v>#REF!</v>
      </c>
      <c r="GC366" t="e">
        <f>IF(#REF!,"AAAAAH6/v7g=",0)</f>
        <v>#REF!</v>
      </c>
      <c r="GD366" t="e">
        <f>IF(#REF!,"AAAAAH6/v7k=",0)</f>
        <v>#REF!</v>
      </c>
      <c r="GE366" t="e">
        <f>IF(#REF!,"AAAAAH6/v7o=",0)</f>
        <v>#REF!</v>
      </c>
      <c r="GF366" t="e">
        <f>IF(#REF!,"AAAAAH6/v7s=",0)</f>
        <v>#REF!</v>
      </c>
      <c r="GG366" t="e">
        <f>IF(#REF!,"AAAAAH6/v7w=",0)</f>
        <v>#REF!</v>
      </c>
      <c r="GH366" t="e">
        <f>IF(#REF!,"AAAAAH6/v70=",0)</f>
        <v>#REF!</v>
      </c>
      <c r="GI366" t="e">
        <f>IF(#REF!,"AAAAAH6/v74=",0)</f>
        <v>#REF!</v>
      </c>
      <c r="GJ366" t="e">
        <f>IF(#REF!,"AAAAAH6/v78=",0)</f>
        <v>#REF!</v>
      </c>
      <c r="GK366" t="e">
        <f>IF(#REF!,"AAAAAH6/v8A=",0)</f>
        <v>#REF!</v>
      </c>
      <c r="GL366" t="e">
        <f>IF(#REF!,"AAAAAH6/v8E=",0)</f>
        <v>#REF!</v>
      </c>
      <c r="GM366" t="e">
        <f>IF(#REF!,"AAAAAH6/v8I=",0)</f>
        <v>#REF!</v>
      </c>
      <c r="GN366" t="e">
        <f>IF(#REF!,"AAAAAH6/v8M=",0)</f>
        <v>#REF!</v>
      </c>
      <c r="GO366" t="e">
        <f>IF(#REF!,"AAAAAH6/v8Q=",0)</f>
        <v>#REF!</v>
      </c>
      <c r="GP366" t="e">
        <f>IF(#REF!,"AAAAAH6/v8U=",0)</f>
        <v>#REF!</v>
      </c>
      <c r="GQ366" t="e">
        <f>IF(#REF!,"AAAAAH6/v8Y=",0)</f>
        <v>#REF!</v>
      </c>
      <c r="GR366" t="e">
        <f>IF(#REF!,"AAAAAH6/v8c=",0)</f>
        <v>#REF!</v>
      </c>
      <c r="GS366" t="e">
        <f>IF(#REF!,"AAAAAH6/v8g=",0)</f>
        <v>#REF!</v>
      </c>
      <c r="GT366" t="e">
        <f>IF(#REF!,"AAAAAH6/v8k=",0)</f>
        <v>#REF!</v>
      </c>
      <c r="GU366" t="e">
        <f>IF(#REF!,"AAAAAH6/v8o=",0)</f>
        <v>#REF!</v>
      </c>
      <c r="GV366" t="e">
        <f>IF(#REF!,"AAAAAH6/v8s=",0)</f>
        <v>#REF!</v>
      </c>
      <c r="GW366" t="e">
        <f>IF(#REF!,"AAAAAH6/v8w=",0)</f>
        <v>#REF!</v>
      </c>
      <c r="GX366" t="e">
        <f>IF(#REF!,"AAAAAH6/v80=",0)</f>
        <v>#REF!</v>
      </c>
      <c r="GY366" t="e">
        <f>IF(#REF!,"AAAAAH6/v84=",0)</f>
        <v>#REF!</v>
      </c>
      <c r="GZ366" t="e">
        <f>IF(#REF!,"AAAAAH6/v88=",0)</f>
        <v>#REF!</v>
      </c>
      <c r="HA366" t="e">
        <f>IF(#REF!,"AAAAAH6/v9A=",0)</f>
        <v>#REF!</v>
      </c>
      <c r="HB366" t="e">
        <f>IF(#REF!,"AAAAAH6/v9E=",0)</f>
        <v>#REF!</v>
      </c>
      <c r="HC366" t="e">
        <f>IF(#REF!,"AAAAAH6/v9I=",0)</f>
        <v>#REF!</v>
      </c>
      <c r="HD366" t="e">
        <f>IF(#REF!,"AAAAAH6/v9M=",0)</f>
        <v>#REF!</v>
      </c>
      <c r="HE366" t="e">
        <f>IF(#REF!,"AAAAAH6/v9Q=",0)</f>
        <v>#REF!</v>
      </c>
      <c r="HF366" t="e">
        <f>IF(#REF!,"AAAAAH6/v9U=",0)</f>
        <v>#REF!</v>
      </c>
      <c r="HG366" t="e">
        <f>IF(#REF!,"AAAAAH6/v9Y=",0)</f>
        <v>#REF!</v>
      </c>
      <c r="HH366" t="e">
        <f>IF(#REF!,"AAAAAH6/v9c=",0)</f>
        <v>#REF!</v>
      </c>
      <c r="HI366" t="e">
        <f>IF(#REF!,"AAAAAH6/v9g=",0)</f>
        <v>#REF!</v>
      </c>
      <c r="HJ366" t="e">
        <f>IF(#REF!,"AAAAAH6/v9k=",0)</f>
        <v>#REF!</v>
      </c>
      <c r="HK366" t="e">
        <f>IF(#REF!,"AAAAAH6/v9o=",0)</f>
        <v>#REF!</v>
      </c>
      <c r="HL366" t="e">
        <f>IF(#REF!,"AAAAAH6/v9s=",0)</f>
        <v>#REF!</v>
      </c>
      <c r="HM366" t="e">
        <f>IF(#REF!,"AAAAAH6/v9w=",0)</f>
        <v>#REF!</v>
      </c>
      <c r="HN366" t="e">
        <f>IF(#REF!,"AAAAAH6/v90=",0)</f>
        <v>#REF!</v>
      </c>
      <c r="HO366" t="e">
        <f>IF(#REF!,"AAAAAH6/v94=",0)</f>
        <v>#REF!</v>
      </c>
      <c r="HP366" t="e">
        <f>IF(#REF!,"AAAAAH6/v98=",0)</f>
        <v>#REF!</v>
      </c>
      <c r="HQ366" t="e">
        <f>IF(#REF!,"AAAAAH6/v+A=",0)</f>
        <v>#REF!</v>
      </c>
      <c r="HR366" t="e">
        <f>IF(#REF!,"AAAAAH6/v+E=",0)</f>
        <v>#REF!</v>
      </c>
      <c r="HS366" t="e">
        <f>IF(#REF!,"AAAAAH6/v+I=",0)</f>
        <v>#REF!</v>
      </c>
      <c r="HT366" t="e">
        <f>IF(#REF!,"AAAAAH6/v+M=",0)</f>
        <v>#REF!</v>
      </c>
      <c r="HU366" t="e">
        <f>IF(#REF!,"AAAAAH6/v+Q=",0)</f>
        <v>#REF!</v>
      </c>
      <c r="HV366" t="e">
        <f>IF(#REF!,"AAAAAH6/v+U=",0)</f>
        <v>#REF!</v>
      </c>
      <c r="HW366" t="e">
        <f>IF(#REF!,"AAAAAH6/v+Y=",0)</f>
        <v>#REF!</v>
      </c>
      <c r="HX366" t="e">
        <f>IF(#REF!,"AAAAAH6/v+c=",0)</f>
        <v>#REF!</v>
      </c>
      <c r="HY366" t="e">
        <f>IF(#REF!,"AAAAAH6/v+g=",0)</f>
        <v>#REF!</v>
      </c>
      <c r="HZ366" t="e">
        <f>IF(#REF!,"AAAAAH6/v+k=",0)</f>
        <v>#REF!</v>
      </c>
      <c r="IA366" t="e">
        <f>IF(#REF!,"AAAAAH6/v+o=",0)</f>
        <v>#REF!</v>
      </c>
      <c r="IB366" t="e">
        <f>IF(#REF!,"AAAAAH6/v+s=",0)</f>
        <v>#REF!</v>
      </c>
      <c r="IC366" t="e">
        <f>IF(#REF!,"AAAAAH6/v+w=",0)</f>
        <v>#REF!</v>
      </c>
      <c r="ID366" t="e">
        <f>IF(#REF!,"AAAAAH6/v+0=",0)</f>
        <v>#REF!</v>
      </c>
      <c r="IE366" t="e">
        <f>IF(#REF!,"AAAAAH6/v+4=",0)</f>
        <v>#REF!</v>
      </c>
      <c r="IF366" t="e">
        <f>IF(#REF!,"AAAAAH6/v+8=",0)</f>
        <v>#REF!</v>
      </c>
      <c r="IG366" t="e">
        <f>IF(#REF!,"AAAAAH6/v/A=",0)</f>
        <v>#REF!</v>
      </c>
      <c r="IH366" t="e">
        <f>IF(#REF!,"AAAAAH6/v/E=",0)</f>
        <v>#REF!</v>
      </c>
      <c r="II366" t="e">
        <f>IF(#REF!,"AAAAAH6/v/I=",0)</f>
        <v>#REF!</v>
      </c>
      <c r="IJ366" t="e">
        <f>IF(#REF!,"AAAAAH6/v/M=",0)</f>
        <v>#REF!</v>
      </c>
      <c r="IK366" t="e">
        <f>IF(#REF!,"AAAAAH6/v/Q=",0)</f>
        <v>#REF!</v>
      </c>
      <c r="IL366" t="e">
        <f>IF(#REF!,"AAAAAH6/v/U=",0)</f>
        <v>#REF!</v>
      </c>
      <c r="IM366" t="e">
        <f>IF(#REF!,"AAAAAH6/v/Y=",0)</f>
        <v>#REF!</v>
      </c>
      <c r="IN366" t="e">
        <f>IF(#REF!,"AAAAAH6/v/c=",0)</f>
        <v>#REF!</v>
      </c>
      <c r="IO366" t="e">
        <f>IF(#REF!,"AAAAAH6/v/g=",0)</f>
        <v>#REF!</v>
      </c>
      <c r="IP366" t="e">
        <f>IF(#REF!,"AAAAAH6/v/k=",0)</f>
        <v>#REF!</v>
      </c>
      <c r="IQ366" t="e">
        <f>IF(#REF!,"AAAAAH6/v/o=",0)</f>
        <v>#REF!</v>
      </c>
      <c r="IR366" t="e">
        <f>IF(#REF!,"AAAAAH6/v/s=",0)</f>
        <v>#REF!</v>
      </c>
      <c r="IS366" t="e">
        <f>IF(#REF!,"AAAAAH6/v/w=",0)</f>
        <v>#REF!</v>
      </c>
      <c r="IT366" t="e">
        <f>IF(#REF!,"AAAAAH6/v/0=",0)</f>
        <v>#REF!</v>
      </c>
      <c r="IU366" t="e">
        <f>IF(#REF!,"AAAAAH6/v/4=",0)</f>
        <v>#REF!</v>
      </c>
      <c r="IV366" t="e">
        <f>IF(#REF!,"AAAAAH6/v/8=",0)</f>
        <v>#REF!</v>
      </c>
    </row>
    <row r="367" spans="1:256">
      <c r="A367" t="e">
        <f>IF(#REF!,"AAAAAHOz+wA=",0)</f>
        <v>#REF!</v>
      </c>
      <c r="B367" t="e">
        <f>IF(#REF!,"AAAAAHOz+wE=",0)</f>
        <v>#REF!</v>
      </c>
      <c r="C367" t="e">
        <f>IF(#REF!,"AAAAAHOz+wI=",0)</f>
        <v>#REF!</v>
      </c>
      <c r="D367" t="e">
        <f>IF(#REF!,"AAAAAHOz+wM=",0)</f>
        <v>#REF!</v>
      </c>
      <c r="E367" t="e">
        <f>IF(#REF!,"AAAAAHOz+wQ=",0)</f>
        <v>#REF!</v>
      </c>
      <c r="F367" t="e">
        <f>IF(#REF!,"AAAAAHOz+wU=",0)</f>
        <v>#REF!</v>
      </c>
      <c r="G367" t="e">
        <f>IF(#REF!,"AAAAAHOz+wY=",0)</f>
        <v>#REF!</v>
      </c>
      <c r="H367" t="e">
        <f>IF(#REF!,"AAAAAHOz+wc=",0)</f>
        <v>#REF!</v>
      </c>
      <c r="I367" t="e">
        <f>IF(#REF!,"AAAAAHOz+wg=",0)</f>
        <v>#REF!</v>
      </c>
      <c r="J367" t="e">
        <f>IF(#REF!,"AAAAAHOz+wk=",0)</f>
        <v>#REF!</v>
      </c>
      <c r="K367" t="e">
        <f>IF(#REF!,"AAAAAHOz+wo=",0)</f>
        <v>#REF!</v>
      </c>
      <c r="L367" t="e">
        <f>IF(#REF!,"AAAAAHOz+ws=",0)</f>
        <v>#REF!</v>
      </c>
      <c r="M367" t="e">
        <f>IF(#REF!,"AAAAAHOz+ww=",0)</f>
        <v>#REF!</v>
      </c>
      <c r="N367" t="e">
        <f>IF(#REF!,"AAAAAHOz+w0=",0)</f>
        <v>#REF!</v>
      </c>
      <c r="O367" t="e">
        <f>IF(#REF!,"AAAAAHOz+w4=",0)</f>
        <v>#REF!</v>
      </c>
      <c r="P367" t="e">
        <f>IF(#REF!,"AAAAAHOz+w8=",0)</f>
        <v>#REF!</v>
      </c>
      <c r="Q367" t="e">
        <f>IF(#REF!,"AAAAAHOz+xA=",0)</f>
        <v>#REF!</v>
      </c>
      <c r="R367" t="e">
        <f>IF(#REF!,"AAAAAHOz+xE=",0)</f>
        <v>#REF!</v>
      </c>
      <c r="S367" t="e">
        <f>IF(#REF!,"AAAAAHOz+xI=",0)</f>
        <v>#REF!</v>
      </c>
      <c r="T367" t="e">
        <f>IF(#REF!,"AAAAAHOz+xM=",0)</f>
        <v>#REF!</v>
      </c>
      <c r="U367" t="e">
        <f>IF(#REF!,"AAAAAHOz+xQ=",0)</f>
        <v>#REF!</v>
      </c>
      <c r="V367" t="e">
        <f>IF(#REF!,"AAAAAHOz+xU=",0)</f>
        <v>#REF!</v>
      </c>
      <c r="W367" t="e">
        <f>IF(#REF!,"AAAAAHOz+xY=",0)</f>
        <v>#REF!</v>
      </c>
      <c r="X367" t="e">
        <f>IF(#REF!,"AAAAAHOz+xc=",0)</f>
        <v>#REF!</v>
      </c>
      <c r="Y367" t="e">
        <f>IF(#REF!,"AAAAAHOz+xg=",0)</f>
        <v>#REF!</v>
      </c>
      <c r="Z367" t="e">
        <f>IF(#REF!,"AAAAAHOz+xk=",0)</f>
        <v>#REF!</v>
      </c>
      <c r="AA367" t="e">
        <f>IF(#REF!,"AAAAAHOz+xo=",0)</f>
        <v>#REF!</v>
      </c>
      <c r="AB367" t="e">
        <f>IF(#REF!,"AAAAAHOz+xs=",0)</f>
        <v>#REF!</v>
      </c>
      <c r="AC367" t="e">
        <f>IF(#REF!,"AAAAAHOz+xw=",0)</f>
        <v>#REF!</v>
      </c>
      <c r="AD367" t="e">
        <f>IF(#REF!,"AAAAAHOz+x0=",0)</f>
        <v>#REF!</v>
      </c>
      <c r="AE367" t="e">
        <f>IF(#REF!,"AAAAAHOz+x4=",0)</f>
        <v>#REF!</v>
      </c>
      <c r="AF367" t="e">
        <f>IF(#REF!,"AAAAAHOz+x8=",0)</f>
        <v>#REF!</v>
      </c>
      <c r="AG367" t="e">
        <f>IF(#REF!,"AAAAAHOz+yA=",0)</f>
        <v>#REF!</v>
      </c>
      <c r="AH367" t="e">
        <f>IF(#REF!,"AAAAAHOz+yE=",0)</f>
        <v>#REF!</v>
      </c>
      <c r="AI367" t="e">
        <f>IF(#REF!,"AAAAAHOz+yI=",0)</f>
        <v>#REF!</v>
      </c>
      <c r="AJ367" t="e">
        <f>IF(#REF!,"AAAAAHOz+yM=",0)</f>
        <v>#REF!</v>
      </c>
      <c r="AK367" t="e">
        <f>IF(#REF!,"AAAAAHOz+yQ=",0)</f>
        <v>#REF!</v>
      </c>
      <c r="AL367" t="e">
        <f>IF(#REF!,"AAAAAHOz+yU=",0)</f>
        <v>#REF!</v>
      </c>
      <c r="AM367" t="e">
        <f>IF(#REF!,"AAAAAHOz+yY=",0)</f>
        <v>#REF!</v>
      </c>
      <c r="AN367" t="e">
        <f>IF(#REF!,"AAAAAHOz+yc=",0)</f>
        <v>#REF!</v>
      </c>
      <c r="AO367" t="e">
        <f>IF(#REF!,"AAAAAHOz+yg=",0)</f>
        <v>#REF!</v>
      </c>
      <c r="AP367" t="e">
        <f>IF(#REF!,"AAAAAHOz+yk=",0)</f>
        <v>#REF!</v>
      </c>
      <c r="AQ367" t="e">
        <f>IF(#REF!,"AAAAAHOz+yo=",0)</f>
        <v>#REF!</v>
      </c>
      <c r="AR367" t="e">
        <f>IF(#REF!,"AAAAAHOz+ys=",0)</f>
        <v>#REF!</v>
      </c>
      <c r="AS367" t="e">
        <f>IF(#REF!,"AAAAAHOz+yw=",0)</f>
        <v>#REF!</v>
      </c>
      <c r="AT367" t="e">
        <f>IF(#REF!,"AAAAAHOz+y0=",0)</f>
        <v>#REF!</v>
      </c>
      <c r="AU367" t="e">
        <f>IF(#REF!,"AAAAAHOz+y4=",0)</f>
        <v>#REF!</v>
      </c>
      <c r="AV367" t="e">
        <f>IF(#REF!,"AAAAAHOz+y8=",0)</f>
        <v>#REF!</v>
      </c>
      <c r="AW367" t="e">
        <f>IF(#REF!,"AAAAAHOz+zA=",0)</f>
        <v>#REF!</v>
      </c>
      <c r="AX367" t="e">
        <f>IF(#REF!,"AAAAAHOz+zE=",0)</f>
        <v>#REF!</v>
      </c>
      <c r="AY367" t="e">
        <f>IF(#REF!,"AAAAAHOz+zI=",0)</f>
        <v>#REF!</v>
      </c>
      <c r="AZ367" t="e">
        <f>IF(#REF!,"AAAAAHOz+zM=",0)</f>
        <v>#REF!</v>
      </c>
      <c r="BA367" t="e">
        <f>IF(#REF!,"AAAAAHOz+zQ=",0)</f>
        <v>#REF!</v>
      </c>
      <c r="BB367" t="e">
        <f>IF(#REF!,"AAAAAHOz+zU=",0)</f>
        <v>#REF!</v>
      </c>
      <c r="BC367" t="e">
        <f>IF(#REF!,"AAAAAHOz+zY=",0)</f>
        <v>#REF!</v>
      </c>
      <c r="BD367" t="e">
        <f>IF(#REF!,"AAAAAHOz+zc=",0)</f>
        <v>#REF!</v>
      </c>
      <c r="BE367" t="e">
        <f>IF(#REF!,"AAAAAHOz+zg=",0)</f>
        <v>#REF!</v>
      </c>
      <c r="BF367" t="e">
        <f>IF(#REF!,"AAAAAHOz+zk=",0)</f>
        <v>#REF!</v>
      </c>
      <c r="BG367" t="e">
        <f>IF(#REF!,"AAAAAHOz+zo=",0)</f>
        <v>#REF!</v>
      </c>
      <c r="BH367" t="e">
        <f>IF(#REF!,"AAAAAHOz+zs=",0)</f>
        <v>#REF!</v>
      </c>
      <c r="BI367" t="e">
        <f>IF(#REF!,"AAAAAHOz+zw=",0)</f>
        <v>#REF!</v>
      </c>
      <c r="BJ367" t="e">
        <f>IF(#REF!,"AAAAAHOz+z0=",0)</f>
        <v>#REF!</v>
      </c>
      <c r="BK367" t="e">
        <f>IF(#REF!,"AAAAAHOz+z4=",0)</f>
        <v>#REF!</v>
      </c>
      <c r="BL367" t="e">
        <f>IF(#REF!,"AAAAAHOz+z8=",0)</f>
        <v>#REF!</v>
      </c>
      <c r="BM367" t="e">
        <f>IF(#REF!,"AAAAAHOz+0A=",0)</f>
        <v>#REF!</v>
      </c>
      <c r="BN367" t="e">
        <f>IF(#REF!,"AAAAAHOz+0E=",0)</f>
        <v>#REF!</v>
      </c>
      <c r="BO367" t="e">
        <f>IF(#REF!,"AAAAAHOz+0I=",0)</f>
        <v>#REF!</v>
      </c>
      <c r="BP367" t="e">
        <f>IF(#REF!,"AAAAAHOz+0M=",0)</f>
        <v>#REF!</v>
      </c>
      <c r="BQ367" t="e">
        <f>IF(#REF!,"AAAAAHOz+0Q=",0)</f>
        <v>#REF!</v>
      </c>
      <c r="BR367" t="e">
        <f>IF(#REF!,"AAAAAHOz+0U=",0)</f>
        <v>#REF!</v>
      </c>
      <c r="BS367" t="e">
        <f>IF(#REF!,"AAAAAHOz+0Y=",0)</f>
        <v>#REF!</v>
      </c>
      <c r="BT367" t="e">
        <f>IF(#REF!,"AAAAAHOz+0c=",0)</f>
        <v>#REF!</v>
      </c>
      <c r="BU367" t="e">
        <f>IF(#REF!,"AAAAAHOz+0g=",0)</f>
        <v>#REF!</v>
      </c>
      <c r="BV367" t="e">
        <f>IF(#REF!,"AAAAAHOz+0k=",0)</f>
        <v>#REF!</v>
      </c>
      <c r="BW367" t="e">
        <f>IF(#REF!,"AAAAAHOz+0o=",0)</f>
        <v>#REF!</v>
      </c>
      <c r="BX367" t="e">
        <f>IF(#REF!,"AAAAAHOz+0s=",0)</f>
        <v>#REF!</v>
      </c>
      <c r="BY367" t="e">
        <f>IF(#REF!,"AAAAAHOz+0w=",0)</f>
        <v>#REF!</v>
      </c>
      <c r="BZ367" t="e">
        <f>IF(#REF!,"AAAAAHOz+00=",0)</f>
        <v>#REF!</v>
      </c>
      <c r="CA367" t="e">
        <f>IF(#REF!,"AAAAAHOz+04=",0)</f>
        <v>#REF!</v>
      </c>
      <c r="CB367" t="e">
        <f>IF(#REF!,"AAAAAHOz+08=",0)</f>
        <v>#REF!</v>
      </c>
      <c r="CC367" t="e">
        <f>IF(#REF!,"AAAAAHOz+1A=",0)</f>
        <v>#REF!</v>
      </c>
      <c r="CD367" t="e">
        <f>IF(#REF!,"AAAAAHOz+1E=",0)</f>
        <v>#REF!</v>
      </c>
      <c r="CE367" t="e">
        <f>IF(#REF!,"AAAAAHOz+1I=",0)</f>
        <v>#REF!</v>
      </c>
      <c r="CF367" t="e">
        <f>IF(#REF!,"AAAAAHOz+1M=",0)</f>
        <v>#REF!</v>
      </c>
      <c r="CG367" t="e">
        <f>IF(#REF!,"AAAAAHOz+1Q=",0)</f>
        <v>#REF!</v>
      </c>
      <c r="CH367" t="e">
        <f>IF(#REF!,"AAAAAHOz+1U=",0)</f>
        <v>#REF!</v>
      </c>
      <c r="CI367" t="e">
        <f>IF(#REF!,"AAAAAHOz+1Y=",0)</f>
        <v>#REF!</v>
      </c>
      <c r="CJ367" t="e">
        <f>IF(#REF!,"AAAAAHOz+1c=",0)</f>
        <v>#REF!</v>
      </c>
      <c r="CK367" t="e">
        <f>IF(#REF!,"AAAAAHOz+1g=",0)</f>
        <v>#REF!</v>
      </c>
      <c r="CL367" t="e">
        <f>IF(#REF!,"AAAAAHOz+1k=",0)</f>
        <v>#REF!</v>
      </c>
      <c r="CM367" t="e">
        <f>IF(#REF!,"AAAAAHOz+1o=",0)</f>
        <v>#REF!</v>
      </c>
      <c r="CN367" t="e">
        <f>IF(#REF!,"AAAAAHOz+1s=",0)</f>
        <v>#REF!</v>
      </c>
      <c r="CO367" t="e">
        <f>IF(#REF!,"AAAAAHOz+1w=",0)</f>
        <v>#REF!</v>
      </c>
      <c r="CP367" t="e">
        <f>IF(#REF!,"AAAAAHOz+10=",0)</f>
        <v>#REF!</v>
      </c>
      <c r="CQ367" t="e">
        <f>IF(#REF!,"AAAAAHOz+14=",0)</f>
        <v>#REF!</v>
      </c>
      <c r="CR367" t="e">
        <f>IF(#REF!,"AAAAAHOz+18=",0)</f>
        <v>#REF!</v>
      </c>
      <c r="CS367" t="e">
        <f>IF(#REF!,"AAAAAHOz+2A=",0)</f>
        <v>#REF!</v>
      </c>
      <c r="CT367" t="e">
        <f>IF(#REF!,"AAAAAHOz+2E=",0)</f>
        <v>#REF!</v>
      </c>
      <c r="CU367" t="e">
        <f>IF(#REF!,"AAAAAHOz+2I=",0)</f>
        <v>#REF!</v>
      </c>
      <c r="CV367" t="e">
        <f>IF(#REF!,"AAAAAHOz+2M=",0)</f>
        <v>#REF!</v>
      </c>
      <c r="CW367" t="e">
        <f>IF(#REF!,"AAAAAHOz+2Q=",0)</f>
        <v>#REF!</v>
      </c>
      <c r="CX367" t="e">
        <f>IF(#REF!,"AAAAAHOz+2U=",0)</f>
        <v>#REF!</v>
      </c>
      <c r="CY367" t="e">
        <f>IF(#REF!,"AAAAAHOz+2Y=",0)</f>
        <v>#REF!</v>
      </c>
      <c r="CZ367" t="e">
        <f>IF(#REF!,"AAAAAHOz+2c=",0)</f>
        <v>#REF!</v>
      </c>
      <c r="DA367" t="e">
        <f>IF(#REF!,"AAAAAHOz+2g=",0)</f>
        <v>#REF!</v>
      </c>
      <c r="DB367" t="e">
        <f>IF(#REF!,"AAAAAHOz+2k=",0)</f>
        <v>#REF!</v>
      </c>
      <c r="DC367" t="e">
        <f>IF(#REF!,"AAAAAHOz+2o=",0)</f>
        <v>#REF!</v>
      </c>
      <c r="DD367" t="e">
        <f>IF(#REF!,"AAAAAHOz+2s=",0)</f>
        <v>#REF!</v>
      </c>
      <c r="DE367" t="e">
        <f>IF(#REF!,"AAAAAHOz+2w=",0)</f>
        <v>#REF!</v>
      </c>
      <c r="DF367" t="e">
        <f>IF(#REF!,"AAAAAHOz+20=",0)</f>
        <v>#REF!</v>
      </c>
      <c r="DG367" t="e">
        <f>IF(#REF!,"AAAAAHOz+24=",0)</f>
        <v>#REF!</v>
      </c>
      <c r="DH367" t="e">
        <f>IF(#REF!,"AAAAAHOz+28=",0)</f>
        <v>#REF!</v>
      </c>
      <c r="DI367" t="e">
        <f>IF(#REF!,"AAAAAHOz+3A=",0)</f>
        <v>#REF!</v>
      </c>
      <c r="DJ367" t="e">
        <f>IF(#REF!,"AAAAAHOz+3E=",0)</f>
        <v>#REF!</v>
      </c>
      <c r="DK367" t="e">
        <f>IF(#REF!,"AAAAAHOz+3I=",0)</f>
        <v>#REF!</v>
      </c>
      <c r="DL367" t="e">
        <f>IF(#REF!,"AAAAAHOz+3M=",0)</f>
        <v>#REF!</v>
      </c>
      <c r="DM367" t="e">
        <f>IF(#REF!,"AAAAAHOz+3Q=",0)</f>
        <v>#REF!</v>
      </c>
      <c r="DN367" t="e">
        <f>IF(#REF!,"AAAAAHOz+3U=",0)</f>
        <v>#REF!</v>
      </c>
      <c r="DO367" t="e">
        <f>IF(#REF!,"AAAAAHOz+3Y=",0)</f>
        <v>#REF!</v>
      </c>
      <c r="DP367" t="e">
        <f>IF(#REF!,"AAAAAHOz+3c=",0)</f>
        <v>#REF!</v>
      </c>
      <c r="DQ367" t="e">
        <f>IF(#REF!,"AAAAAHOz+3g=",0)</f>
        <v>#REF!</v>
      </c>
      <c r="DR367" t="e">
        <f>IF(#REF!,"AAAAAHOz+3k=",0)</f>
        <v>#REF!</v>
      </c>
      <c r="DS367" t="e">
        <f>IF(#REF!,"AAAAAHOz+3o=",0)</f>
        <v>#REF!</v>
      </c>
      <c r="DT367" t="e">
        <f>IF(#REF!,"AAAAAHOz+3s=",0)</f>
        <v>#REF!</v>
      </c>
      <c r="DU367" t="e">
        <f>IF(#REF!,"AAAAAHOz+3w=",0)</f>
        <v>#REF!</v>
      </c>
      <c r="DV367" t="e">
        <f>IF(#REF!,"AAAAAHOz+30=",0)</f>
        <v>#REF!</v>
      </c>
      <c r="DW367" t="e">
        <f>IF(#REF!,"AAAAAHOz+34=",0)</f>
        <v>#REF!</v>
      </c>
      <c r="DX367" t="e">
        <f>IF(#REF!,"AAAAAHOz+38=",0)</f>
        <v>#REF!</v>
      </c>
      <c r="DY367" t="e">
        <f>IF(#REF!,"AAAAAHOz+4A=",0)</f>
        <v>#REF!</v>
      </c>
      <c r="DZ367" t="e">
        <f>IF(#REF!,"AAAAAHOz+4E=",0)</f>
        <v>#REF!</v>
      </c>
      <c r="EA367" t="e">
        <f>IF(#REF!,"AAAAAHOz+4I=",0)</f>
        <v>#REF!</v>
      </c>
      <c r="EB367" t="e">
        <f>IF(#REF!,"AAAAAHOz+4M=",0)</f>
        <v>#REF!</v>
      </c>
      <c r="EC367" t="e">
        <f>IF(#REF!,"AAAAAHOz+4Q=",0)</f>
        <v>#REF!</v>
      </c>
      <c r="ED367" t="e">
        <f>IF(#REF!,"AAAAAHOz+4U=",0)</f>
        <v>#REF!</v>
      </c>
      <c r="EE367" t="e">
        <f>IF(#REF!,"AAAAAHOz+4Y=",0)</f>
        <v>#REF!</v>
      </c>
      <c r="EF367" t="e">
        <f>IF(#REF!,"AAAAAHOz+4c=",0)</f>
        <v>#REF!</v>
      </c>
      <c r="EG367" t="e">
        <f>IF(#REF!,"AAAAAHOz+4g=",0)</f>
        <v>#REF!</v>
      </c>
      <c r="EH367" t="e">
        <f>IF(#REF!,"AAAAAHOz+4k=",0)</f>
        <v>#REF!</v>
      </c>
      <c r="EI367" t="e">
        <f>IF(#REF!,"AAAAAHOz+4o=",0)</f>
        <v>#REF!</v>
      </c>
      <c r="EJ367" t="e">
        <f>IF(#REF!,"AAAAAHOz+4s=",0)</f>
        <v>#REF!</v>
      </c>
      <c r="EK367" t="e">
        <f>IF(#REF!,"AAAAAHOz+4w=",0)</f>
        <v>#REF!</v>
      </c>
      <c r="EL367" t="e">
        <f>IF(#REF!,"AAAAAHOz+40=",0)</f>
        <v>#REF!</v>
      </c>
      <c r="EM367" t="e">
        <f>IF(#REF!,"AAAAAHOz+44=",0)</f>
        <v>#REF!</v>
      </c>
      <c r="EN367" t="e">
        <f>IF(#REF!,"AAAAAHOz+48=",0)</f>
        <v>#REF!</v>
      </c>
      <c r="EO367" t="e">
        <f>IF(#REF!,"AAAAAHOz+5A=",0)</f>
        <v>#REF!</v>
      </c>
      <c r="EP367" t="e">
        <f>IF(#REF!,"AAAAAHOz+5E=",0)</f>
        <v>#REF!</v>
      </c>
      <c r="EQ367" t="e">
        <f>IF(#REF!,"AAAAAHOz+5I=",0)</f>
        <v>#REF!</v>
      </c>
      <c r="ER367" t="e">
        <f>IF(#REF!,"AAAAAHOz+5M=",0)</f>
        <v>#REF!</v>
      </c>
      <c r="ES367" t="e">
        <f>IF(#REF!,"AAAAAHOz+5Q=",0)</f>
        <v>#REF!</v>
      </c>
      <c r="ET367" t="e">
        <f>IF(#REF!,"AAAAAHOz+5U=",0)</f>
        <v>#REF!</v>
      </c>
      <c r="EU367" t="e">
        <f>IF(#REF!,"AAAAAHOz+5Y=",0)</f>
        <v>#REF!</v>
      </c>
      <c r="EV367" t="e">
        <f>IF(#REF!,"AAAAAHOz+5c=",0)</f>
        <v>#REF!</v>
      </c>
      <c r="EW367" t="e">
        <f>IF(#REF!,"AAAAAHOz+5g=",0)</f>
        <v>#REF!</v>
      </c>
      <c r="EX367" t="e">
        <f>IF(#REF!,"AAAAAHOz+5k=",0)</f>
        <v>#REF!</v>
      </c>
      <c r="EY367" t="e">
        <f>IF(#REF!,"AAAAAHOz+5o=",0)</f>
        <v>#REF!</v>
      </c>
      <c r="EZ367" t="e">
        <f>IF(#REF!,"AAAAAHOz+5s=",0)</f>
        <v>#REF!</v>
      </c>
      <c r="FA367" t="e">
        <f>IF(#REF!,"AAAAAHOz+5w=",0)</f>
        <v>#REF!</v>
      </c>
      <c r="FB367" t="e">
        <f>IF(#REF!,"AAAAAHOz+50=",0)</f>
        <v>#REF!</v>
      </c>
      <c r="FC367" t="e">
        <f>IF(#REF!,"AAAAAHOz+54=",0)</f>
        <v>#REF!</v>
      </c>
      <c r="FD367" t="e">
        <f>IF(#REF!,"AAAAAHOz+58=",0)</f>
        <v>#REF!</v>
      </c>
      <c r="FE367" t="e">
        <f>IF(#REF!,"AAAAAHOz+6A=",0)</f>
        <v>#REF!</v>
      </c>
      <c r="FF367" t="e">
        <f>IF(#REF!,"AAAAAHOz+6E=",0)</f>
        <v>#REF!</v>
      </c>
      <c r="FG367" t="e">
        <f>IF(#REF!,"AAAAAHOz+6I=",0)</f>
        <v>#REF!</v>
      </c>
      <c r="FH367" t="e">
        <f>IF(#REF!,"AAAAAHOz+6M=",0)</f>
        <v>#REF!</v>
      </c>
      <c r="FI367" t="e">
        <f>IF(#REF!,"AAAAAHOz+6Q=",0)</f>
        <v>#REF!</v>
      </c>
      <c r="FJ367" t="e">
        <f>IF(#REF!,"AAAAAHOz+6U=",0)</f>
        <v>#REF!</v>
      </c>
      <c r="FK367" t="e">
        <f>IF(#REF!,"AAAAAHOz+6Y=",0)</f>
        <v>#REF!</v>
      </c>
      <c r="FL367" t="e">
        <f>IF(#REF!,"AAAAAHOz+6c=",0)</f>
        <v>#REF!</v>
      </c>
      <c r="FM367" t="e">
        <f>IF(#REF!,"AAAAAHOz+6g=",0)</f>
        <v>#REF!</v>
      </c>
      <c r="FN367" t="e">
        <f>IF(#REF!,"AAAAAHOz+6k=",0)</f>
        <v>#REF!</v>
      </c>
      <c r="FO367" t="e">
        <f>IF(#REF!,"AAAAAHOz+6o=",0)</f>
        <v>#REF!</v>
      </c>
      <c r="FP367" t="e">
        <f>IF(#REF!,"AAAAAHOz+6s=",0)</f>
        <v>#REF!</v>
      </c>
      <c r="FQ367" t="e">
        <f>IF(#REF!,"AAAAAHOz+6w=",0)</f>
        <v>#REF!</v>
      </c>
      <c r="FR367" t="e">
        <f>IF(#REF!,"AAAAAHOz+60=",0)</f>
        <v>#REF!</v>
      </c>
      <c r="FS367" t="e">
        <f>IF(#REF!,"AAAAAHOz+64=",0)</f>
        <v>#REF!</v>
      </c>
      <c r="FT367" t="e">
        <f>IF(#REF!,"AAAAAHOz+68=",0)</f>
        <v>#REF!</v>
      </c>
      <c r="FU367" t="e">
        <f>IF(#REF!,"AAAAAHOz+7A=",0)</f>
        <v>#REF!</v>
      </c>
      <c r="FV367" t="e">
        <f>IF(#REF!,"AAAAAHOz+7E=",0)</f>
        <v>#REF!</v>
      </c>
      <c r="FW367" t="e">
        <f>IF(#REF!,"AAAAAHOz+7I=",0)</f>
        <v>#REF!</v>
      </c>
      <c r="FX367" t="e">
        <f>IF(#REF!,"AAAAAHOz+7M=",0)</f>
        <v>#REF!</v>
      </c>
      <c r="FY367" t="e">
        <f>IF(#REF!,"AAAAAHOz+7Q=",0)</f>
        <v>#REF!</v>
      </c>
      <c r="FZ367" t="e">
        <f>IF(#REF!,"AAAAAHOz+7U=",0)</f>
        <v>#REF!</v>
      </c>
      <c r="GA367" t="e">
        <f>IF(#REF!,"AAAAAHOz+7Y=",0)</f>
        <v>#REF!</v>
      </c>
      <c r="GB367" t="e">
        <f>IF(#REF!,"AAAAAHOz+7c=",0)</f>
        <v>#REF!</v>
      </c>
      <c r="GC367" t="e">
        <f>IF(#REF!,"AAAAAHOz+7g=",0)</f>
        <v>#REF!</v>
      </c>
      <c r="GD367" t="e">
        <f>IF(#REF!,"AAAAAHOz+7k=",0)</f>
        <v>#REF!</v>
      </c>
      <c r="GE367" t="e">
        <f>IF(#REF!,"AAAAAHOz+7o=",0)</f>
        <v>#REF!</v>
      </c>
      <c r="GF367" t="e">
        <f>IF(#REF!,"AAAAAHOz+7s=",0)</f>
        <v>#REF!</v>
      </c>
      <c r="GG367" t="e">
        <f>IF(#REF!,"AAAAAHOz+7w=",0)</f>
        <v>#REF!</v>
      </c>
      <c r="GH367" t="e">
        <f>IF(#REF!,"AAAAAHOz+70=",0)</f>
        <v>#REF!</v>
      </c>
      <c r="GI367" t="e">
        <f>IF(#REF!,"AAAAAHOz+74=",0)</f>
        <v>#REF!</v>
      </c>
      <c r="GJ367" t="e">
        <f>IF(#REF!,"AAAAAHOz+78=",0)</f>
        <v>#REF!</v>
      </c>
      <c r="GK367" t="e">
        <f>IF(#REF!,"AAAAAHOz+8A=",0)</f>
        <v>#REF!</v>
      </c>
      <c r="GL367" t="e">
        <f>IF(#REF!,"AAAAAHOz+8E=",0)</f>
        <v>#REF!</v>
      </c>
      <c r="GM367" t="e">
        <f>IF(#REF!,"AAAAAHOz+8I=",0)</f>
        <v>#REF!</v>
      </c>
      <c r="GN367" t="e">
        <f>IF(#REF!,"AAAAAHOz+8M=",0)</f>
        <v>#REF!</v>
      </c>
      <c r="GO367" t="e">
        <f>IF(#REF!,"AAAAAHOz+8Q=",0)</f>
        <v>#REF!</v>
      </c>
      <c r="GP367" t="e">
        <f>IF(#REF!,"AAAAAHOz+8U=",0)</f>
        <v>#REF!</v>
      </c>
      <c r="GQ367" t="e">
        <f>IF(#REF!,"AAAAAHOz+8Y=",0)</f>
        <v>#REF!</v>
      </c>
      <c r="GR367" t="e">
        <f>IF(#REF!,"AAAAAHOz+8c=",0)</f>
        <v>#REF!</v>
      </c>
      <c r="GS367" t="e">
        <f>IF(#REF!,"AAAAAHOz+8g=",0)</f>
        <v>#REF!</v>
      </c>
      <c r="GT367" t="e">
        <f>IF(#REF!,"AAAAAHOz+8k=",0)</f>
        <v>#REF!</v>
      </c>
      <c r="GU367" t="e">
        <f>IF(#REF!,"AAAAAHOz+8o=",0)</f>
        <v>#REF!</v>
      </c>
      <c r="GV367" t="e">
        <f>IF(#REF!,"AAAAAHOz+8s=",0)</f>
        <v>#REF!</v>
      </c>
      <c r="GW367" t="e">
        <f>IF(#REF!,"AAAAAHOz+8w=",0)</f>
        <v>#REF!</v>
      </c>
      <c r="GX367" t="e">
        <f>IF(#REF!,"AAAAAHOz+80=",0)</f>
        <v>#REF!</v>
      </c>
      <c r="GY367" t="e">
        <f>IF(#REF!,"AAAAAHOz+84=",0)</f>
        <v>#REF!</v>
      </c>
      <c r="GZ367" t="e">
        <f>IF(#REF!,"AAAAAHOz+88=",0)</f>
        <v>#REF!</v>
      </c>
      <c r="HA367" t="e">
        <f>IF(#REF!,"AAAAAHOz+9A=",0)</f>
        <v>#REF!</v>
      </c>
      <c r="HB367" t="e">
        <f>IF(#REF!,"AAAAAHOz+9E=",0)</f>
        <v>#REF!</v>
      </c>
      <c r="HC367" t="e">
        <f>IF(#REF!,"AAAAAHOz+9I=",0)</f>
        <v>#REF!</v>
      </c>
      <c r="HD367" t="e">
        <f>IF(#REF!,"AAAAAHOz+9M=",0)</f>
        <v>#REF!</v>
      </c>
      <c r="HE367" t="e">
        <f>IF(#REF!,"AAAAAHOz+9Q=",0)</f>
        <v>#REF!</v>
      </c>
      <c r="HF367" t="e">
        <f>IF(#REF!,"AAAAAHOz+9U=",0)</f>
        <v>#REF!</v>
      </c>
      <c r="HG367" t="e">
        <f>IF(#REF!,"AAAAAHOz+9Y=",0)</f>
        <v>#REF!</v>
      </c>
      <c r="HH367" t="e">
        <f>IF(#REF!,"AAAAAHOz+9c=",0)</f>
        <v>#REF!</v>
      </c>
      <c r="HI367" t="e">
        <f>IF(#REF!,"AAAAAHOz+9g=",0)</f>
        <v>#REF!</v>
      </c>
      <c r="HJ367" t="e">
        <f>IF(#REF!,"AAAAAHOz+9k=",0)</f>
        <v>#REF!</v>
      </c>
      <c r="HK367" t="e">
        <f>IF(#REF!,"AAAAAHOz+9o=",0)</f>
        <v>#REF!</v>
      </c>
      <c r="HL367" t="e">
        <f>IF(#REF!,"AAAAAHOz+9s=",0)</f>
        <v>#REF!</v>
      </c>
      <c r="HM367" t="e">
        <f>IF(#REF!,"AAAAAHOz+9w=",0)</f>
        <v>#REF!</v>
      </c>
      <c r="HN367" t="e">
        <f>IF(#REF!,"AAAAAHOz+90=",0)</f>
        <v>#REF!</v>
      </c>
      <c r="HO367" t="e">
        <f>IF(#REF!,"AAAAAHOz+94=",0)</f>
        <v>#REF!</v>
      </c>
      <c r="HP367" t="e">
        <f>IF(#REF!,"AAAAAHOz+98=",0)</f>
        <v>#REF!</v>
      </c>
      <c r="HQ367" t="e">
        <f>IF(#REF!,"AAAAAHOz++A=",0)</f>
        <v>#REF!</v>
      </c>
      <c r="HR367" t="e">
        <f>IF(#REF!,"AAAAAHOz++E=",0)</f>
        <v>#REF!</v>
      </c>
      <c r="HS367" t="e">
        <f>IF(#REF!,"AAAAAHOz++I=",0)</f>
        <v>#REF!</v>
      </c>
      <c r="HT367" t="e">
        <f>IF(#REF!,"AAAAAHOz++M=",0)</f>
        <v>#REF!</v>
      </c>
      <c r="HU367" t="e">
        <f>IF(#REF!,"AAAAAHOz++Q=",0)</f>
        <v>#REF!</v>
      </c>
      <c r="HV367" t="e">
        <f>IF(#REF!,"AAAAAHOz++U=",0)</f>
        <v>#REF!</v>
      </c>
      <c r="HW367" t="e">
        <f>IF(#REF!,"AAAAAHOz++Y=",0)</f>
        <v>#REF!</v>
      </c>
      <c r="HX367" t="e">
        <f>IF(#REF!,"AAAAAHOz++c=",0)</f>
        <v>#REF!</v>
      </c>
      <c r="HY367" t="e">
        <f>IF(#REF!,"AAAAAHOz++g=",0)</f>
        <v>#REF!</v>
      </c>
      <c r="HZ367" t="e">
        <f>IF(#REF!,"AAAAAHOz++k=",0)</f>
        <v>#REF!</v>
      </c>
      <c r="IA367" t="e">
        <f>IF(#REF!,"AAAAAHOz++o=",0)</f>
        <v>#REF!</v>
      </c>
      <c r="IB367" t="e">
        <f>IF(#REF!,"AAAAAHOz++s=",0)</f>
        <v>#REF!</v>
      </c>
      <c r="IC367" t="e">
        <f>IF(#REF!,"AAAAAHOz++w=",0)</f>
        <v>#REF!</v>
      </c>
      <c r="ID367" t="e">
        <f>IF(#REF!,"AAAAAHOz++0=",0)</f>
        <v>#REF!</v>
      </c>
      <c r="IE367" t="e">
        <f>IF(#REF!,"AAAAAHOz++4=",0)</f>
        <v>#REF!</v>
      </c>
      <c r="IF367" t="e">
        <f>IF(#REF!,"AAAAAHOz++8=",0)</f>
        <v>#REF!</v>
      </c>
      <c r="IG367" t="e">
        <f>IF(#REF!,"AAAAAHOz+/A=",0)</f>
        <v>#REF!</v>
      </c>
      <c r="IH367" t="e">
        <f>IF(#REF!,"AAAAAHOz+/E=",0)</f>
        <v>#REF!</v>
      </c>
      <c r="II367" t="e">
        <f>IF(#REF!,"AAAAAHOz+/I=",0)</f>
        <v>#REF!</v>
      </c>
      <c r="IJ367" t="e">
        <f>IF(#REF!,"AAAAAHOz+/M=",0)</f>
        <v>#REF!</v>
      </c>
      <c r="IK367" t="e">
        <f>IF(#REF!,"AAAAAHOz+/Q=",0)</f>
        <v>#REF!</v>
      </c>
      <c r="IL367" t="e">
        <f>IF(#REF!,"AAAAAHOz+/U=",0)</f>
        <v>#REF!</v>
      </c>
      <c r="IM367" t="e">
        <f>IF(#REF!,"AAAAAHOz+/Y=",0)</f>
        <v>#REF!</v>
      </c>
      <c r="IN367" t="e">
        <f>IF(#REF!,"AAAAAHOz+/c=",0)</f>
        <v>#REF!</v>
      </c>
      <c r="IO367" t="e">
        <f>IF(#REF!,"AAAAAHOz+/g=",0)</f>
        <v>#REF!</v>
      </c>
      <c r="IP367" t="e">
        <f>IF(#REF!,"AAAAAHOz+/k=",0)</f>
        <v>#REF!</v>
      </c>
      <c r="IQ367" t="e">
        <f>IF(#REF!,"AAAAAHOz+/o=",0)</f>
        <v>#REF!</v>
      </c>
      <c r="IR367" t="e">
        <f>IF(#REF!,"AAAAAHOz+/s=",0)</f>
        <v>#REF!</v>
      </c>
      <c r="IS367" t="e">
        <f>IF(#REF!,"AAAAAHOz+/w=",0)</f>
        <v>#REF!</v>
      </c>
      <c r="IT367" t="e">
        <f>IF(#REF!,"AAAAAHOz+/0=",0)</f>
        <v>#REF!</v>
      </c>
      <c r="IU367" t="e">
        <f>IF(#REF!,"AAAAAHOz+/4=",0)</f>
        <v>#REF!</v>
      </c>
      <c r="IV367" t="e">
        <f>IF(#REF!,"AAAAAHOz+/8=",0)</f>
        <v>#REF!</v>
      </c>
    </row>
    <row r="368" spans="1:256">
      <c r="A368" t="e">
        <f>IF(#REF!,"AAAAAGbf9wA=",0)</f>
        <v>#REF!</v>
      </c>
      <c r="B368" t="e">
        <f>IF(#REF!,"AAAAAGbf9wE=",0)</f>
        <v>#REF!</v>
      </c>
      <c r="C368" t="e">
        <f>IF(#REF!,"AAAAAGbf9wI=",0)</f>
        <v>#REF!</v>
      </c>
      <c r="D368" t="e">
        <f>IF(#REF!,"AAAAAGbf9wM=",0)</f>
        <v>#REF!</v>
      </c>
      <c r="E368" t="e">
        <f>IF(#REF!,"AAAAAGbf9wQ=",0)</f>
        <v>#REF!</v>
      </c>
      <c r="F368" t="e">
        <f>IF(#REF!,"AAAAAGbf9wU=",0)</f>
        <v>#REF!</v>
      </c>
      <c r="G368" t="e">
        <f>IF(#REF!,"AAAAAGbf9wY=",0)</f>
        <v>#REF!</v>
      </c>
      <c r="H368" t="e">
        <f>IF(#REF!,"AAAAAGbf9wc=",0)</f>
        <v>#REF!</v>
      </c>
      <c r="I368" t="e">
        <f>IF(#REF!,"AAAAAGbf9wg=",0)</f>
        <v>#REF!</v>
      </c>
      <c r="J368" t="e">
        <f>IF(#REF!,"AAAAAGbf9wk=",0)</f>
        <v>#REF!</v>
      </c>
      <c r="K368" t="e">
        <f>IF(#REF!,"AAAAAGbf9wo=",0)</f>
        <v>#REF!</v>
      </c>
      <c r="L368" t="e">
        <f>IF(#REF!,"AAAAAGbf9ws=",0)</f>
        <v>#REF!</v>
      </c>
      <c r="M368" t="e">
        <f>IF(#REF!,"AAAAAGbf9ww=",0)</f>
        <v>#REF!</v>
      </c>
      <c r="N368" t="e">
        <f>IF(#REF!,"AAAAAGbf9w0=",0)</f>
        <v>#REF!</v>
      </c>
      <c r="O368" t="e">
        <f>IF(#REF!,"AAAAAGbf9w4=",0)</f>
        <v>#REF!</v>
      </c>
      <c r="P368" t="e">
        <f>IF(#REF!,"AAAAAGbf9w8=",0)</f>
        <v>#REF!</v>
      </c>
      <c r="Q368" t="e">
        <f>IF(#REF!,"AAAAAGbf9xA=",0)</f>
        <v>#REF!</v>
      </c>
      <c r="R368" t="e">
        <f>IF(#REF!,"AAAAAGbf9xE=",0)</f>
        <v>#REF!</v>
      </c>
      <c r="S368" t="e">
        <f>IF(#REF!,"AAAAAGbf9xI=",0)</f>
        <v>#REF!</v>
      </c>
      <c r="T368" t="e">
        <f>IF(#REF!,"AAAAAGbf9xM=",0)</f>
        <v>#REF!</v>
      </c>
      <c r="U368" t="e">
        <f>IF(#REF!,"AAAAAGbf9xQ=",0)</f>
        <v>#REF!</v>
      </c>
      <c r="V368" t="e">
        <f>IF(#REF!,"AAAAAGbf9xU=",0)</f>
        <v>#REF!</v>
      </c>
      <c r="W368" t="e">
        <f>IF(#REF!,"AAAAAGbf9xY=",0)</f>
        <v>#REF!</v>
      </c>
      <c r="X368" t="e">
        <f>IF(#REF!,"AAAAAGbf9xc=",0)</f>
        <v>#REF!</v>
      </c>
      <c r="Y368" t="e">
        <f>IF(#REF!,"AAAAAGbf9xg=",0)</f>
        <v>#REF!</v>
      </c>
      <c r="Z368" t="e">
        <f>IF(#REF!,"AAAAAGbf9xk=",0)</f>
        <v>#REF!</v>
      </c>
      <c r="AA368" t="e">
        <f>IF(#REF!,"AAAAAGbf9xo=",0)</f>
        <v>#REF!</v>
      </c>
      <c r="AB368" t="e">
        <f>IF(#REF!,"AAAAAGbf9xs=",0)</f>
        <v>#REF!</v>
      </c>
      <c r="AC368" t="e">
        <f>IF(#REF!,"AAAAAGbf9xw=",0)</f>
        <v>#REF!</v>
      </c>
      <c r="AD368" t="e">
        <f>IF(#REF!,"AAAAAGbf9x0=",0)</f>
        <v>#REF!</v>
      </c>
      <c r="AE368" t="e">
        <f>IF(#REF!,"AAAAAGbf9x4=",0)</f>
        <v>#REF!</v>
      </c>
      <c r="AF368" t="e">
        <f>IF(#REF!,"AAAAAGbf9x8=",0)</f>
        <v>#REF!</v>
      </c>
      <c r="AG368" t="e">
        <f>IF(#REF!,"AAAAAGbf9yA=",0)</f>
        <v>#REF!</v>
      </c>
      <c r="AH368" t="e">
        <f>IF(#REF!,"AAAAAGbf9yE=",0)</f>
        <v>#REF!</v>
      </c>
      <c r="AI368" t="e">
        <f>IF(#REF!,"AAAAAGbf9yI=",0)</f>
        <v>#REF!</v>
      </c>
      <c r="AJ368" t="e">
        <f>IF(#REF!,"AAAAAGbf9yM=",0)</f>
        <v>#REF!</v>
      </c>
      <c r="AK368" t="e">
        <f>IF(#REF!,"AAAAAGbf9yQ=",0)</f>
        <v>#REF!</v>
      </c>
      <c r="AL368" t="e">
        <f>IF(#REF!,"AAAAAGbf9yU=",0)</f>
        <v>#REF!</v>
      </c>
      <c r="AM368" t="e">
        <f>IF(#REF!,"AAAAAGbf9yY=",0)</f>
        <v>#REF!</v>
      </c>
      <c r="AN368" t="e">
        <f>IF(#REF!,"AAAAAGbf9yc=",0)</f>
        <v>#REF!</v>
      </c>
      <c r="AO368" t="e">
        <f>IF(#REF!,"AAAAAGbf9yg=",0)</f>
        <v>#REF!</v>
      </c>
      <c r="AP368" t="e">
        <f>IF(#REF!,"AAAAAGbf9yk=",0)</f>
        <v>#REF!</v>
      </c>
      <c r="AQ368" t="e">
        <f>IF(#REF!,"AAAAAGbf9yo=",0)</f>
        <v>#REF!</v>
      </c>
      <c r="AR368" t="e">
        <f>IF(#REF!,"AAAAAGbf9ys=",0)</f>
        <v>#REF!</v>
      </c>
      <c r="AS368" t="e">
        <f>IF(#REF!,"AAAAAGbf9yw=",0)</f>
        <v>#REF!</v>
      </c>
      <c r="AT368" t="e">
        <f>IF(#REF!,"AAAAAGbf9y0=",0)</f>
        <v>#REF!</v>
      </c>
      <c r="AU368" t="e">
        <f>IF(#REF!,"AAAAAGbf9y4=",0)</f>
        <v>#REF!</v>
      </c>
      <c r="AV368" t="e">
        <f>IF(#REF!,"AAAAAGbf9y8=",0)</f>
        <v>#REF!</v>
      </c>
      <c r="AW368" t="e">
        <f>IF(#REF!,"AAAAAGbf9zA=",0)</f>
        <v>#REF!</v>
      </c>
      <c r="AX368" t="e">
        <f>IF(#REF!,"AAAAAGbf9zE=",0)</f>
        <v>#REF!</v>
      </c>
      <c r="AY368" t="e">
        <f>IF(#REF!,"AAAAAGbf9zI=",0)</f>
        <v>#REF!</v>
      </c>
      <c r="AZ368" t="e">
        <f>IF(#REF!,"AAAAAGbf9zM=",0)</f>
        <v>#REF!</v>
      </c>
      <c r="BA368" t="e">
        <f>IF(#REF!,"AAAAAGbf9zQ=",0)</f>
        <v>#REF!</v>
      </c>
      <c r="BB368" t="e">
        <f>IF(#REF!,"AAAAAGbf9zU=",0)</f>
        <v>#REF!</v>
      </c>
      <c r="BC368" t="e">
        <f>IF(#REF!,"AAAAAGbf9zY=",0)</f>
        <v>#REF!</v>
      </c>
      <c r="BD368" t="e">
        <f>IF(#REF!,"AAAAAGbf9zc=",0)</f>
        <v>#REF!</v>
      </c>
      <c r="BE368" t="e">
        <f>IF(#REF!,"AAAAAGbf9zg=",0)</f>
        <v>#REF!</v>
      </c>
      <c r="BF368" t="e">
        <f>IF(#REF!,"AAAAAGbf9zk=",0)</f>
        <v>#REF!</v>
      </c>
      <c r="BG368" t="e">
        <f>IF(#REF!,"AAAAAGbf9zo=",0)</f>
        <v>#REF!</v>
      </c>
      <c r="BH368" t="e">
        <f>IF(#REF!,"AAAAAGbf9zs=",0)</f>
        <v>#REF!</v>
      </c>
      <c r="BI368" t="e">
        <f>IF(#REF!,"AAAAAGbf9zw=",0)</f>
        <v>#REF!</v>
      </c>
      <c r="BJ368" t="e">
        <f>IF(#REF!,"AAAAAGbf9z0=",0)</f>
        <v>#REF!</v>
      </c>
      <c r="BK368" t="e">
        <f>IF(#REF!,"AAAAAGbf9z4=",0)</f>
        <v>#REF!</v>
      </c>
      <c r="BL368" t="e">
        <f>IF(#REF!,"AAAAAGbf9z8=",0)</f>
        <v>#REF!</v>
      </c>
      <c r="BM368" t="e">
        <f>IF(#REF!,"AAAAAGbf90A=",0)</f>
        <v>#REF!</v>
      </c>
      <c r="BN368" t="e">
        <f>IF(#REF!,"AAAAAGbf90E=",0)</f>
        <v>#REF!</v>
      </c>
      <c r="BO368" t="e">
        <f>IF(#REF!,"AAAAAGbf90I=",0)</f>
        <v>#REF!</v>
      </c>
      <c r="BP368" t="e">
        <f>IF(#REF!,"AAAAAGbf90M=",0)</f>
        <v>#REF!</v>
      </c>
      <c r="BQ368" t="e">
        <f>IF(#REF!,"AAAAAGbf90Q=",0)</f>
        <v>#REF!</v>
      </c>
      <c r="BR368" t="e">
        <f>IF(#REF!,"AAAAAGbf90U=",0)</f>
        <v>#REF!</v>
      </c>
      <c r="BS368" t="e">
        <f>IF(#REF!,"AAAAAGbf90Y=",0)</f>
        <v>#REF!</v>
      </c>
      <c r="BT368" t="e">
        <f>IF(#REF!,"AAAAAGbf90c=",0)</f>
        <v>#REF!</v>
      </c>
      <c r="BU368" t="e">
        <f>IF(#REF!,"AAAAAGbf90g=",0)</f>
        <v>#REF!</v>
      </c>
      <c r="BV368" t="e">
        <f>IF(#REF!,"AAAAAGbf90k=",0)</f>
        <v>#REF!</v>
      </c>
      <c r="BW368" t="e">
        <f>IF(#REF!,"AAAAAGbf90o=",0)</f>
        <v>#REF!</v>
      </c>
      <c r="BX368" t="e">
        <f>IF(#REF!,"AAAAAGbf90s=",0)</f>
        <v>#REF!</v>
      </c>
      <c r="BY368" t="e">
        <f>IF(#REF!,"AAAAAGbf90w=",0)</f>
        <v>#REF!</v>
      </c>
      <c r="BZ368" t="e">
        <f>IF(#REF!,"AAAAAGbf900=",0)</f>
        <v>#REF!</v>
      </c>
      <c r="CA368" t="e">
        <f>IF(#REF!,"AAAAAGbf904=",0)</f>
        <v>#REF!</v>
      </c>
      <c r="CB368" t="e">
        <f>IF(#REF!,"AAAAAGbf908=",0)</f>
        <v>#REF!</v>
      </c>
      <c r="CC368" t="e">
        <f>IF(#REF!,"AAAAAGbf91A=",0)</f>
        <v>#REF!</v>
      </c>
      <c r="CD368" t="e">
        <f>IF(#REF!,"AAAAAGbf91E=",0)</f>
        <v>#REF!</v>
      </c>
      <c r="CE368" t="e">
        <f>IF(#REF!,"AAAAAGbf91I=",0)</f>
        <v>#REF!</v>
      </c>
      <c r="CF368" t="e">
        <f>IF(#REF!,"AAAAAGbf91M=",0)</f>
        <v>#REF!</v>
      </c>
      <c r="CG368" t="e">
        <f>IF(#REF!,"AAAAAGbf91Q=",0)</f>
        <v>#REF!</v>
      </c>
      <c r="CH368" t="e">
        <f>IF(#REF!,"AAAAAGbf91U=",0)</f>
        <v>#REF!</v>
      </c>
      <c r="CI368" t="e">
        <f>IF(#REF!,"AAAAAGbf91Y=",0)</f>
        <v>#REF!</v>
      </c>
      <c r="CJ368" t="e">
        <f>IF(#REF!,"AAAAAGbf91c=",0)</f>
        <v>#REF!</v>
      </c>
      <c r="CK368" t="e">
        <f>IF(#REF!,"AAAAAGbf91g=",0)</f>
        <v>#REF!</v>
      </c>
      <c r="CL368" t="e">
        <f>IF(#REF!,"AAAAAGbf91k=",0)</f>
        <v>#REF!</v>
      </c>
      <c r="CM368" t="e">
        <f>IF(#REF!,"AAAAAGbf91o=",0)</f>
        <v>#REF!</v>
      </c>
      <c r="CN368" t="e">
        <f>IF(#REF!,"AAAAAGbf91s=",0)</f>
        <v>#REF!</v>
      </c>
      <c r="CO368" t="e">
        <f>IF(#REF!,"AAAAAGbf91w=",0)</f>
        <v>#REF!</v>
      </c>
      <c r="CP368" t="e">
        <f>IF(#REF!,"AAAAAGbf910=",0)</f>
        <v>#REF!</v>
      </c>
      <c r="CQ368" t="e">
        <f>IF(#REF!,"AAAAAGbf914=",0)</f>
        <v>#REF!</v>
      </c>
      <c r="CR368" t="e">
        <f>IF(#REF!,"AAAAAGbf918=",0)</f>
        <v>#REF!</v>
      </c>
      <c r="CS368" t="e">
        <f>IF(#REF!,"AAAAAGbf92A=",0)</f>
        <v>#REF!</v>
      </c>
      <c r="CT368" t="e">
        <f>IF(#REF!,"AAAAAGbf92E=",0)</f>
        <v>#REF!</v>
      </c>
      <c r="CU368" t="e">
        <f>IF(#REF!,"AAAAAGbf92I=",0)</f>
        <v>#REF!</v>
      </c>
      <c r="CV368" t="e">
        <f>IF(#REF!,"AAAAAGbf92M=",0)</f>
        <v>#REF!</v>
      </c>
      <c r="CW368" t="e">
        <f>IF(#REF!,"AAAAAGbf92Q=",0)</f>
        <v>#REF!</v>
      </c>
      <c r="CX368" t="e">
        <f>IF(#REF!,"AAAAAGbf92U=",0)</f>
        <v>#REF!</v>
      </c>
      <c r="CY368" t="e">
        <f>IF(#REF!,"AAAAAGbf92Y=",0)</f>
        <v>#REF!</v>
      </c>
      <c r="CZ368" t="e">
        <f>IF(#REF!,"AAAAAGbf92c=",0)</f>
        <v>#REF!</v>
      </c>
      <c r="DA368" t="e">
        <f>IF(#REF!,"AAAAAGbf92g=",0)</f>
        <v>#REF!</v>
      </c>
      <c r="DB368" t="e">
        <f>IF(#REF!,"AAAAAGbf92k=",0)</f>
        <v>#REF!</v>
      </c>
      <c r="DC368" t="e">
        <f>IF(#REF!,"AAAAAGbf92o=",0)</f>
        <v>#REF!</v>
      </c>
      <c r="DD368" t="e">
        <f>IF(#REF!,"AAAAAGbf92s=",0)</f>
        <v>#REF!</v>
      </c>
      <c r="DE368" t="e">
        <f>IF(#REF!,"AAAAAGbf92w=",0)</f>
        <v>#REF!</v>
      </c>
      <c r="DF368" t="e">
        <f>IF(#REF!,"AAAAAGbf920=",0)</f>
        <v>#REF!</v>
      </c>
      <c r="DG368" t="e">
        <f>IF(#REF!,"AAAAAGbf924=",0)</f>
        <v>#REF!</v>
      </c>
      <c r="DH368" t="e">
        <f>IF(#REF!,"AAAAAGbf928=",0)</f>
        <v>#REF!</v>
      </c>
      <c r="DI368" t="e">
        <f>IF(#REF!,"AAAAAGbf93A=",0)</f>
        <v>#REF!</v>
      </c>
      <c r="DJ368" t="e">
        <f>IF(#REF!,"AAAAAGbf93E=",0)</f>
        <v>#REF!</v>
      </c>
      <c r="DK368" t="e">
        <f>IF(#REF!,"AAAAAGbf93I=",0)</f>
        <v>#REF!</v>
      </c>
      <c r="DL368" t="e">
        <f>IF(#REF!,"AAAAAGbf93M=",0)</f>
        <v>#REF!</v>
      </c>
      <c r="DM368" t="e">
        <f>IF(#REF!,"AAAAAGbf93Q=",0)</f>
        <v>#REF!</v>
      </c>
      <c r="DN368" t="e">
        <f>IF(#REF!,"AAAAAGbf93U=",0)</f>
        <v>#REF!</v>
      </c>
      <c r="DO368" t="e">
        <f>IF(#REF!,"AAAAAGbf93Y=",0)</f>
        <v>#REF!</v>
      </c>
      <c r="DP368" t="e">
        <f>IF(#REF!,"AAAAAGbf93c=",0)</f>
        <v>#REF!</v>
      </c>
      <c r="DQ368" t="e">
        <f>IF(#REF!,"AAAAAGbf93g=",0)</f>
        <v>#REF!</v>
      </c>
      <c r="DR368" t="e">
        <f>IF(#REF!,"AAAAAGbf93k=",0)</f>
        <v>#REF!</v>
      </c>
      <c r="DS368" t="e">
        <f>IF(#REF!,"AAAAAGbf93o=",0)</f>
        <v>#REF!</v>
      </c>
      <c r="DT368" t="e">
        <f>IF(#REF!,"AAAAAGbf93s=",0)</f>
        <v>#REF!</v>
      </c>
      <c r="DU368" t="e">
        <f>IF(#REF!,"AAAAAGbf93w=",0)</f>
        <v>#REF!</v>
      </c>
      <c r="DV368" t="e">
        <f>IF(#REF!,"AAAAAGbf930=",0)</f>
        <v>#REF!</v>
      </c>
      <c r="DW368" t="e">
        <f>IF(#REF!,"AAAAAGbf934=",0)</f>
        <v>#REF!</v>
      </c>
      <c r="DX368" t="e">
        <f>IF(#REF!,"AAAAAGbf938=",0)</f>
        <v>#REF!</v>
      </c>
      <c r="DY368" t="e">
        <f>IF(#REF!,"AAAAAGbf94A=",0)</f>
        <v>#REF!</v>
      </c>
      <c r="DZ368" t="e">
        <f>IF(#REF!,"AAAAAGbf94E=",0)</f>
        <v>#REF!</v>
      </c>
      <c r="EA368" t="e">
        <f>IF(#REF!,"AAAAAGbf94I=",0)</f>
        <v>#REF!</v>
      </c>
      <c r="EB368" t="e">
        <f>IF(#REF!,"AAAAAGbf94M=",0)</f>
        <v>#REF!</v>
      </c>
      <c r="EC368" t="e">
        <f>IF(#REF!,"AAAAAGbf94Q=",0)</f>
        <v>#REF!</v>
      </c>
      <c r="ED368" t="e">
        <f>IF(#REF!,"AAAAAGbf94U=",0)</f>
        <v>#REF!</v>
      </c>
      <c r="EE368" t="e">
        <f>IF(#REF!,"AAAAAGbf94Y=",0)</f>
        <v>#REF!</v>
      </c>
      <c r="EF368" t="e">
        <f>IF(#REF!,"AAAAAGbf94c=",0)</f>
        <v>#REF!</v>
      </c>
      <c r="EG368" t="e">
        <f>IF(#REF!,"AAAAAGbf94g=",0)</f>
        <v>#REF!</v>
      </c>
      <c r="EH368" t="e">
        <f>IF(#REF!,"AAAAAGbf94k=",0)</f>
        <v>#REF!</v>
      </c>
      <c r="EI368" t="e">
        <f>IF(#REF!,"AAAAAGbf94o=",0)</f>
        <v>#REF!</v>
      </c>
      <c r="EJ368" t="e">
        <f>IF(#REF!,"AAAAAGbf94s=",0)</f>
        <v>#REF!</v>
      </c>
      <c r="EK368" t="e">
        <f>IF(#REF!,"AAAAAGbf94w=",0)</f>
        <v>#REF!</v>
      </c>
      <c r="EL368" t="e">
        <f>IF(#REF!,"AAAAAGbf940=",0)</f>
        <v>#REF!</v>
      </c>
      <c r="EM368" t="e">
        <f>IF(#REF!,"AAAAAGbf944=",0)</f>
        <v>#REF!</v>
      </c>
      <c r="EN368" t="e">
        <f>IF(#REF!,"AAAAAGbf948=",0)</f>
        <v>#REF!</v>
      </c>
      <c r="EO368" t="e">
        <f>IF(#REF!,"AAAAAGbf95A=",0)</f>
        <v>#REF!</v>
      </c>
      <c r="EP368" t="e">
        <f>IF(#REF!,"AAAAAGbf95E=",0)</f>
        <v>#REF!</v>
      </c>
      <c r="EQ368" t="e">
        <f>IF(#REF!,"AAAAAGbf95I=",0)</f>
        <v>#REF!</v>
      </c>
      <c r="ER368" t="e">
        <f>IF(#REF!,"AAAAAGbf95M=",0)</f>
        <v>#REF!</v>
      </c>
      <c r="ES368" t="e">
        <f>IF(#REF!,"AAAAAGbf95Q=",0)</f>
        <v>#REF!</v>
      </c>
      <c r="ET368" t="e">
        <f>IF(#REF!,"AAAAAGbf95U=",0)</f>
        <v>#REF!</v>
      </c>
      <c r="EU368" t="e">
        <f>IF(#REF!,"AAAAAGbf95Y=",0)</f>
        <v>#REF!</v>
      </c>
      <c r="EV368" t="e">
        <f>IF(#REF!,"AAAAAGbf95c=",0)</f>
        <v>#REF!</v>
      </c>
      <c r="EW368" t="e">
        <f>IF(#REF!,"AAAAAGbf95g=",0)</f>
        <v>#REF!</v>
      </c>
      <c r="EX368" t="e">
        <f>IF(#REF!,"AAAAAGbf95k=",0)</f>
        <v>#REF!</v>
      </c>
      <c r="EY368" t="e">
        <f>IF(#REF!,"AAAAAGbf95o=",0)</f>
        <v>#REF!</v>
      </c>
      <c r="EZ368" t="e">
        <f>IF(#REF!,"AAAAAGbf95s=",0)</f>
        <v>#REF!</v>
      </c>
      <c r="FA368" t="e">
        <f>IF(#REF!,"AAAAAGbf95w=",0)</f>
        <v>#REF!</v>
      </c>
      <c r="FB368" t="e">
        <f>IF(#REF!,"AAAAAGbf950=",0)</f>
        <v>#REF!</v>
      </c>
      <c r="FC368" t="e">
        <f>IF(#REF!,"AAAAAGbf954=",0)</f>
        <v>#REF!</v>
      </c>
      <c r="FD368" t="e">
        <f>IF(#REF!,"AAAAAGbf958=",0)</f>
        <v>#REF!</v>
      </c>
      <c r="FE368" t="e">
        <f>IF(#REF!,"AAAAAGbf96A=",0)</f>
        <v>#REF!</v>
      </c>
      <c r="FF368" t="e">
        <f>IF(#REF!,"AAAAAGbf96E=",0)</f>
        <v>#REF!</v>
      </c>
      <c r="FG368" t="e">
        <f>IF(#REF!,"AAAAAGbf96I=",0)</f>
        <v>#REF!</v>
      </c>
      <c r="FH368" t="e">
        <f>IF(#REF!,"AAAAAGbf96M=",0)</f>
        <v>#REF!</v>
      </c>
      <c r="FI368" t="e">
        <f>IF(#REF!,"AAAAAGbf96Q=",0)</f>
        <v>#REF!</v>
      </c>
      <c r="FJ368" t="e">
        <f>IF(#REF!,"AAAAAGbf96U=",0)</f>
        <v>#REF!</v>
      </c>
      <c r="FK368" t="e">
        <f>IF(#REF!,"AAAAAGbf96Y=",0)</f>
        <v>#REF!</v>
      </c>
      <c r="FL368" t="e">
        <f>IF(#REF!,"AAAAAGbf96c=",0)</f>
        <v>#REF!</v>
      </c>
      <c r="FM368" t="e">
        <f>IF(#REF!,"AAAAAGbf96g=",0)</f>
        <v>#REF!</v>
      </c>
      <c r="FN368" t="e">
        <f>IF(#REF!,"AAAAAGbf96k=",0)</f>
        <v>#REF!</v>
      </c>
      <c r="FO368" t="e">
        <f>IF(#REF!,"AAAAAGbf96o=",0)</f>
        <v>#REF!</v>
      </c>
      <c r="FP368" t="e">
        <f>IF(#REF!,"AAAAAGbf96s=",0)</f>
        <v>#REF!</v>
      </c>
      <c r="FQ368" t="e">
        <f>IF(#REF!,"AAAAAGbf96w=",0)</f>
        <v>#REF!</v>
      </c>
      <c r="FR368" t="e">
        <f>IF(#REF!,"AAAAAGbf960=",0)</f>
        <v>#REF!</v>
      </c>
      <c r="FS368" t="e">
        <f>IF(#REF!,"AAAAAGbf964=",0)</f>
        <v>#REF!</v>
      </c>
      <c r="FT368" t="e">
        <f>IF(#REF!,"AAAAAGbf968=",0)</f>
        <v>#REF!</v>
      </c>
      <c r="FU368" t="e">
        <f>IF(#REF!,"AAAAAGbf97A=",0)</f>
        <v>#REF!</v>
      </c>
      <c r="FV368" t="e">
        <f>IF(#REF!,"AAAAAGbf97E=",0)</f>
        <v>#REF!</v>
      </c>
      <c r="FW368" t="e">
        <f>IF(#REF!,"AAAAAGbf97I=",0)</f>
        <v>#REF!</v>
      </c>
      <c r="FX368" t="e">
        <f>IF(#REF!,"AAAAAGbf97M=",0)</f>
        <v>#REF!</v>
      </c>
      <c r="FY368" t="e">
        <f>IF(#REF!,"AAAAAGbf97Q=",0)</f>
        <v>#REF!</v>
      </c>
      <c r="FZ368" t="e">
        <f>IF(#REF!,"AAAAAGbf97U=",0)</f>
        <v>#REF!</v>
      </c>
      <c r="GA368" t="e">
        <f>IF(#REF!,"AAAAAGbf97Y=",0)</f>
        <v>#REF!</v>
      </c>
      <c r="GB368" t="e">
        <f>IF(#REF!,"AAAAAGbf97c=",0)</f>
        <v>#REF!</v>
      </c>
      <c r="GC368" t="e">
        <f>IF(#REF!,"AAAAAGbf97g=",0)</f>
        <v>#REF!</v>
      </c>
      <c r="GD368" t="e">
        <f>IF(#REF!,"AAAAAGbf97k=",0)</f>
        <v>#REF!</v>
      </c>
      <c r="GE368" t="e">
        <f>IF(#REF!,"AAAAAGbf97o=",0)</f>
        <v>#REF!</v>
      </c>
      <c r="GF368" t="e">
        <f>IF(#REF!,"AAAAAGbf97s=",0)</f>
        <v>#REF!</v>
      </c>
      <c r="GG368" t="e">
        <f>IF(#REF!,"AAAAAGbf97w=",0)</f>
        <v>#REF!</v>
      </c>
      <c r="GH368" t="e">
        <f>IF(#REF!,"AAAAAGbf970=",0)</f>
        <v>#REF!</v>
      </c>
      <c r="GI368" t="e">
        <f>IF(#REF!,"AAAAAGbf974=",0)</f>
        <v>#REF!</v>
      </c>
      <c r="GJ368" t="e">
        <f>IF(#REF!,"AAAAAGbf978=",0)</f>
        <v>#REF!</v>
      </c>
      <c r="GK368" t="e">
        <f>IF(#REF!,"AAAAAGbf98A=",0)</f>
        <v>#REF!</v>
      </c>
      <c r="GL368" t="e">
        <f>IF(#REF!,"AAAAAGbf98E=",0)</f>
        <v>#REF!</v>
      </c>
      <c r="GM368" t="e">
        <f>IF(#REF!,"AAAAAGbf98I=",0)</f>
        <v>#REF!</v>
      </c>
      <c r="GN368" t="e">
        <f>IF(#REF!,"AAAAAGbf98M=",0)</f>
        <v>#REF!</v>
      </c>
      <c r="GO368" t="e">
        <f>IF(#REF!,"AAAAAGbf98Q=",0)</f>
        <v>#REF!</v>
      </c>
      <c r="GP368" t="e">
        <f>IF(#REF!,"AAAAAGbf98U=",0)</f>
        <v>#REF!</v>
      </c>
      <c r="GQ368" t="e">
        <f>IF(#REF!,"AAAAAGbf98Y=",0)</f>
        <v>#REF!</v>
      </c>
      <c r="GR368" t="e">
        <f>IF(#REF!,"AAAAAGbf98c=",0)</f>
        <v>#REF!</v>
      </c>
      <c r="GS368" t="e">
        <f>IF(#REF!,"AAAAAGbf98g=",0)</f>
        <v>#REF!</v>
      </c>
      <c r="GT368" t="e">
        <f>IF(#REF!,"AAAAAGbf98k=",0)</f>
        <v>#REF!</v>
      </c>
      <c r="GU368" t="e">
        <f>IF(#REF!,"AAAAAGbf98o=",0)</f>
        <v>#REF!</v>
      </c>
      <c r="GV368" t="e">
        <f>IF(#REF!,"AAAAAGbf98s=",0)</f>
        <v>#REF!</v>
      </c>
      <c r="GW368" t="e">
        <f>IF(#REF!,"AAAAAGbf98w=",0)</f>
        <v>#REF!</v>
      </c>
      <c r="GX368" t="e">
        <f>IF(#REF!,"AAAAAGbf980=",0)</f>
        <v>#REF!</v>
      </c>
      <c r="GY368" t="e">
        <f>IF(#REF!,"AAAAAGbf984=",0)</f>
        <v>#REF!</v>
      </c>
      <c r="GZ368" t="e">
        <f>IF(#REF!,"AAAAAGbf988=",0)</f>
        <v>#REF!</v>
      </c>
      <c r="HA368" t="e">
        <f>IF(#REF!,"AAAAAGbf99A=",0)</f>
        <v>#REF!</v>
      </c>
      <c r="HB368" t="e">
        <f>IF(#REF!,"AAAAAGbf99E=",0)</f>
        <v>#REF!</v>
      </c>
      <c r="HC368" t="e">
        <f>IF(#REF!,"AAAAAGbf99I=",0)</f>
        <v>#REF!</v>
      </c>
      <c r="HD368" t="e">
        <f>IF(#REF!,"AAAAAGbf99M=",0)</f>
        <v>#REF!</v>
      </c>
      <c r="HE368" t="e">
        <f>IF(#REF!,"AAAAAGbf99Q=",0)</f>
        <v>#REF!</v>
      </c>
      <c r="HF368" t="e">
        <f>IF(#REF!,"AAAAAGbf99U=",0)</f>
        <v>#REF!</v>
      </c>
      <c r="HG368" t="e">
        <f>IF(#REF!,"AAAAAGbf99Y=",0)</f>
        <v>#REF!</v>
      </c>
      <c r="HH368" t="e">
        <f>IF(#REF!,"AAAAAGbf99c=",0)</f>
        <v>#REF!</v>
      </c>
      <c r="HI368" t="e">
        <f>IF(#REF!,"AAAAAGbf99g=",0)</f>
        <v>#REF!</v>
      </c>
      <c r="HJ368" t="e">
        <f>IF(#REF!,"AAAAAGbf99k=",0)</f>
        <v>#REF!</v>
      </c>
      <c r="HK368" t="e">
        <f>IF(#REF!,"AAAAAGbf99o=",0)</f>
        <v>#REF!</v>
      </c>
      <c r="HL368" t="e">
        <f>IF(#REF!,"AAAAAGbf99s=",0)</f>
        <v>#REF!</v>
      </c>
      <c r="HM368" t="e">
        <f>IF(#REF!,"AAAAAGbf99w=",0)</f>
        <v>#REF!</v>
      </c>
      <c r="HN368" t="e">
        <f>IF(#REF!,"AAAAAGbf990=",0)</f>
        <v>#REF!</v>
      </c>
      <c r="HO368" t="e">
        <f>IF(#REF!,"AAAAAGbf994=",0)</f>
        <v>#REF!</v>
      </c>
      <c r="HP368" t="e">
        <f>IF(#REF!,"AAAAAGbf998=",0)</f>
        <v>#REF!</v>
      </c>
      <c r="HQ368" t="e">
        <f>IF(#REF!,"AAAAAGbf9+A=",0)</f>
        <v>#REF!</v>
      </c>
      <c r="HR368" t="e">
        <f>IF(#REF!,"AAAAAGbf9+E=",0)</f>
        <v>#REF!</v>
      </c>
      <c r="HS368" t="e">
        <f>IF(#REF!,"AAAAAGbf9+I=",0)</f>
        <v>#REF!</v>
      </c>
      <c r="HT368" t="e">
        <f>IF(#REF!,"AAAAAGbf9+M=",0)</f>
        <v>#REF!</v>
      </c>
      <c r="HU368" t="e">
        <f>IF(#REF!,"AAAAAGbf9+Q=",0)</f>
        <v>#REF!</v>
      </c>
      <c r="HV368" t="e">
        <f>IF(#REF!,"AAAAAGbf9+U=",0)</f>
        <v>#REF!</v>
      </c>
      <c r="HW368" t="e">
        <f>IF(#REF!,"AAAAAGbf9+Y=",0)</f>
        <v>#REF!</v>
      </c>
      <c r="HX368" t="e">
        <f>IF(#REF!,"AAAAAGbf9+c=",0)</f>
        <v>#REF!</v>
      </c>
      <c r="HY368" t="e">
        <f>IF(#REF!,"AAAAAGbf9+g=",0)</f>
        <v>#REF!</v>
      </c>
      <c r="HZ368" t="e">
        <f>IF(#REF!,"AAAAAGbf9+k=",0)</f>
        <v>#REF!</v>
      </c>
      <c r="IA368" t="e">
        <f>IF(#REF!,"AAAAAGbf9+o=",0)</f>
        <v>#REF!</v>
      </c>
      <c r="IB368" t="e">
        <f>IF(#REF!,"AAAAAGbf9+s=",0)</f>
        <v>#REF!</v>
      </c>
      <c r="IC368" t="e">
        <f>IF(#REF!,"AAAAAGbf9+w=",0)</f>
        <v>#REF!</v>
      </c>
      <c r="ID368" t="e">
        <f>IF(#REF!,"AAAAAGbf9+0=",0)</f>
        <v>#REF!</v>
      </c>
      <c r="IE368" t="e">
        <f>IF(#REF!,"AAAAAGbf9+4=",0)</f>
        <v>#REF!</v>
      </c>
      <c r="IF368" t="e">
        <f>IF(#REF!,"AAAAAGbf9+8=",0)</f>
        <v>#REF!</v>
      </c>
      <c r="IG368" t="e">
        <f>IF(#REF!,"AAAAAGbf9/A=",0)</f>
        <v>#REF!</v>
      </c>
      <c r="IH368" t="e">
        <f>IF(#REF!,"AAAAAGbf9/E=",0)</f>
        <v>#REF!</v>
      </c>
      <c r="II368" t="e">
        <f>IF(#REF!,"AAAAAGbf9/I=",0)</f>
        <v>#REF!</v>
      </c>
      <c r="IJ368" t="e">
        <f>IF(#REF!,"AAAAAGbf9/M=",0)</f>
        <v>#REF!</v>
      </c>
      <c r="IK368" t="e">
        <f>IF(#REF!,"AAAAAGbf9/Q=",0)</f>
        <v>#REF!</v>
      </c>
      <c r="IL368" t="e">
        <f>IF(#REF!,"AAAAAGbf9/U=",0)</f>
        <v>#REF!</v>
      </c>
      <c r="IM368" t="e">
        <f>IF(#REF!,"AAAAAGbf9/Y=",0)</f>
        <v>#REF!</v>
      </c>
      <c r="IN368" t="e">
        <f>IF(#REF!,"AAAAAGbf9/c=",0)</f>
        <v>#REF!</v>
      </c>
      <c r="IO368" t="e">
        <f>IF(#REF!,"AAAAAGbf9/g=",0)</f>
        <v>#REF!</v>
      </c>
      <c r="IP368" t="e">
        <f>IF(#REF!,"AAAAAGbf9/k=",0)</f>
        <v>#REF!</v>
      </c>
      <c r="IQ368" t="e">
        <f>IF(#REF!,"AAAAAGbf9/o=",0)</f>
        <v>#REF!</v>
      </c>
      <c r="IR368" t="e">
        <f>IF(#REF!,"AAAAAGbf9/s=",0)</f>
        <v>#REF!</v>
      </c>
      <c r="IS368" t="e">
        <f>IF(#REF!,"AAAAAGbf9/w=",0)</f>
        <v>#REF!</v>
      </c>
      <c r="IT368" t="e">
        <f>IF(#REF!,"AAAAAGbf9/0=",0)</f>
        <v>#REF!</v>
      </c>
      <c r="IU368" t="e">
        <f>IF(#REF!,"AAAAAGbf9/4=",0)</f>
        <v>#REF!</v>
      </c>
      <c r="IV368" t="e">
        <f>IF(#REF!,"AAAAAGbf9/8=",0)</f>
        <v>#REF!</v>
      </c>
    </row>
    <row r="369" spans="1:256">
      <c r="A369" t="e">
        <f>IF(#REF!,"AAAAAG/P4gA=",0)</f>
        <v>#REF!</v>
      </c>
      <c r="B369" t="e">
        <f>IF(#REF!,"AAAAAG/P4gE=",0)</f>
        <v>#REF!</v>
      </c>
      <c r="C369" t="e">
        <f>IF(#REF!,"AAAAAG/P4gI=",0)</f>
        <v>#REF!</v>
      </c>
      <c r="D369" t="e">
        <f>IF(#REF!,"AAAAAG/P4gM=",0)</f>
        <v>#REF!</v>
      </c>
      <c r="E369" t="e">
        <f>IF(#REF!,"AAAAAG/P4gQ=",0)</f>
        <v>#REF!</v>
      </c>
      <c r="F369" t="e">
        <f>IF(#REF!,"AAAAAG/P4gU=",0)</f>
        <v>#REF!</v>
      </c>
      <c r="G369" t="e">
        <f>IF(#REF!,"AAAAAG/P4gY=",0)</f>
        <v>#REF!</v>
      </c>
      <c r="H369" t="e">
        <f>IF(#REF!,"AAAAAG/P4gc=",0)</f>
        <v>#REF!</v>
      </c>
      <c r="I369" t="e">
        <f>IF(#REF!,"AAAAAG/P4gg=",0)</f>
        <v>#REF!</v>
      </c>
      <c r="J369" t="e">
        <f>IF(#REF!,"AAAAAG/P4gk=",0)</f>
        <v>#REF!</v>
      </c>
      <c r="K369" t="e">
        <f>IF(#REF!,"AAAAAG/P4go=",0)</f>
        <v>#REF!</v>
      </c>
      <c r="L369" t="e">
        <f>IF(#REF!,"AAAAAG/P4gs=",0)</f>
        <v>#REF!</v>
      </c>
      <c r="M369" t="e">
        <f>IF(#REF!,"AAAAAG/P4gw=",0)</f>
        <v>#REF!</v>
      </c>
      <c r="N369" t="e">
        <f>IF(#REF!,"AAAAAG/P4g0=",0)</f>
        <v>#REF!</v>
      </c>
      <c r="O369" t="e">
        <f>IF(#REF!,"AAAAAG/P4g4=",0)</f>
        <v>#REF!</v>
      </c>
      <c r="P369" t="e">
        <f>IF(#REF!,"AAAAAG/P4g8=",0)</f>
        <v>#REF!</v>
      </c>
      <c r="Q369" t="e">
        <f>IF(#REF!,"AAAAAG/P4hA=",0)</f>
        <v>#REF!</v>
      </c>
      <c r="R369" t="e">
        <f>IF(#REF!,"AAAAAG/P4hE=",0)</f>
        <v>#REF!</v>
      </c>
      <c r="S369" t="e">
        <f>IF(#REF!,"AAAAAG/P4hI=",0)</f>
        <v>#REF!</v>
      </c>
      <c r="T369" t="e">
        <f>IF(#REF!,"AAAAAG/P4hM=",0)</f>
        <v>#REF!</v>
      </c>
      <c r="U369" t="e">
        <f>IF(#REF!,"AAAAAG/P4hQ=",0)</f>
        <v>#REF!</v>
      </c>
      <c r="V369" t="e">
        <f>IF(#REF!,"AAAAAG/P4hU=",0)</f>
        <v>#REF!</v>
      </c>
      <c r="W369" t="e">
        <f>IF(#REF!,"AAAAAG/P4hY=",0)</f>
        <v>#REF!</v>
      </c>
      <c r="X369" t="e">
        <f>IF(#REF!,"AAAAAG/P4hc=",0)</f>
        <v>#REF!</v>
      </c>
      <c r="Y369" t="e">
        <f>IF(#REF!,"AAAAAG/P4hg=",0)</f>
        <v>#REF!</v>
      </c>
      <c r="Z369" t="e">
        <f>IF(#REF!,"AAAAAG/P4hk=",0)</f>
        <v>#REF!</v>
      </c>
      <c r="AA369" t="e">
        <f>IF(#REF!,"AAAAAG/P4ho=",0)</f>
        <v>#REF!</v>
      </c>
      <c r="AB369" t="e">
        <f>IF(#REF!,"AAAAAG/P4hs=",0)</f>
        <v>#REF!</v>
      </c>
      <c r="AC369" t="e">
        <f>IF(#REF!,"AAAAAG/P4hw=",0)</f>
        <v>#REF!</v>
      </c>
      <c r="AD369" t="e">
        <f>IF(#REF!,"AAAAAG/P4h0=",0)</f>
        <v>#REF!</v>
      </c>
      <c r="AE369" t="e">
        <f>IF(#REF!,"AAAAAG/P4h4=",0)</f>
        <v>#REF!</v>
      </c>
      <c r="AF369" t="e">
        <f>IF(#REF!,"AAAAAG/P4h8=",0)</f>
        <v>#REF!</v>
      </c>
      <c r="AG369" t="e">
        <f>IF(#REF!,"AAAAAG/P4iA=",0)</f>
        <v>#REF!</v>
      </c>
      <c r="AH369" t="e">
        <f>IF(#REF!,"AAAAAG/P4iE=",0)</f>
        <v>#REF!</v>
      </c>
      <c r="AI369" t="e">
        <f>IF(#REF!,"AAAAAG/P4iI=",0)</f>
        <v>#REF!</v>
      </c>
      <c r="AJ369" t="e">
        <f>IF(#REF!,"AAAAAG/P4iM=",0)</f>
        <v>#REF!</v>
      </c>
      <c r="AK369" t="e">
        <f>IF(#REF!,"AAAAAG/P4iQ=",0)</f>
        <v>#REF!</v>
      </c>
      <c r="AL369" t="e">
        <f>IF(#REF!,"AAAAAG/P4iU=",0)</f>
        <v>#REF!</v>
      </c>
      <c r="AM369" t="e">
        <f>IF(#REF!,"AAAAAG/P4iY=",0)</f>
        <v>#REF!</v>
      </c>
      <c r="AN369" t="e">
        <f>IF(#REF!,"AAAAAG/P4ic=",0)</f>
        <v>#REF!</v>
      </c>
      <c r="AO369" t="e">
        <f>IF(#REF!,"AAAAAG/P4ig=",0)</f>
        <v>#REF!</v>
      </c>
      <c r="AP369" t="e">
        <f>IF(#REF!,"AAAAAG/P4ik=",0)</f>
        <v>#REF!</v>
      </c>
      <c r="AQ369" t="e">
        <f>IF(#REF!,"AAAAAG/P4io=",0)</f>
        <v>#REF!</v>
      </c>
      <c r="AR369" t="e">
        <f>IF(#REF!,"AAAAAG/P4is=",0)</f>
        <v>#REF!</v>
      </c>
      <c r="AS369" t="e">
        <f>IF(#REF!,"AAAAAG/P4iw=",0)</f>
        <v>#REF!</v>
      </c>
      <c r="AT369" t="e">
        <f>IF(#REF!,"AAAAAG/P4i0=",0)</f>
        <v>#REF!</v>
      </c>
      <c r="AU369" t="e">
        <f>IF(#REF!,"AAAAAG/P4i4=",0)</f>
        <v>#REF!</v>
      </c>
      <c r="AV369" t="e">
        <f>IF(#REF!,"AAAAAG/P4i8=",0)</f>
        <v>#REF!</v>
      </c>
      <c r="AW369" t="e">
        <f>IF(#REF!,"AAAAAG/P4jA=",0)</f>
        <v>#REF!</v>
      </c>
      <c r="AX369" t="e">
        <f>IF(#REF!,"AAAAAG/P4jE=",0)</f>
        <v>#REF!</v>
      </c>
      <c r="AY369" t="e">
        <f>IF(#REF!,"AAAAAG/P4jI=",0)</f>
        <v>#REF!</v>
      </c>
      <c r="AZ369" t="e">
        <f>IF(#REF!,"AAAAAG/P4jM=",0)</f>
        <v>#REF!</v>
      </c>
      <c r="BA369" t="e">
        <f>IF(#REF!,"AAAAAG/P4jQ=",0)</f>
        <v>#REF!</v>
      </c>
      <c r="BB369" t="e">
        <f>IF(#REF!,"AAAAAG/P4jU=",0)</f>
        <v>#REF!</v>
      </c>
      <c r="BC369" t="e">
        <f>IF(#REF!,"AAAAAG/P4jY=",0)</f>
        <v>#REF!</v>
      </c>
      <c r="BD369" t="e">
        <f>IF(#REF!,"AAAAAG/P4jc=",0)</f>
        <v>#REF!</v>
      </c>
      <c r="BE369" t="e">
        <f>IF(#REF!,"AAAAAG/P4jg=",0)</f>
        <v>#REF!</v>
      </c>
      <c r="BF369" t="e">
        <f>IF(#REF!,"AAAAAG/P4jk=",0)</f>
        <v>#REF!</v>
      </c>
      <c r="BG369" t="e">
        <f>IF(#REF!,"AAAAAG/P4jo=",0)</f>
        <v>#REF!</v>
      </c>
      <c r="BH369" t="e">
        <f>IF(#REF!,"AAAAAG/P4js=",0)</f>
        <v>#REF!</v>
      </c>
      <c r="BI369" t="e">
        <f>IF(#REF!,"AAAAAG/P4jw=",0)</f>
        <v>#REF!</v>
      </c>
      <c r="BJ369" t="e">
        <f>IF(#REF!,"AAAAAG/P4j0=",0)</f>
        <v>#REF!</v>
      </c>
      <c r="BK369" t="e">
        <f>IF(#REF!,"AAAAAG/P4j4=",0)</f>
        <v>#REF!</v>
      </c>
      <c r="BL369" t="e">
        <f>IF(#REF!,"AAAAAG/P4j8=",0)</f>
        <v>#REF!</v>
      </c>
      <c r="BM369" t="e">
        <f>IF(#REF!,"AAAAAG/P4kA=",0)</f>
        <v>#REF!</v>
      </c>
      <c r="BN369" t="e">
        <f>IF(#REF!,"AAAAAG/P4kE=",0)</f>
        <v>#REF!</v>
      </c>
      <c r="BO369" t="e">
        <f>IF(#REF!,"AAAAAG/P4kI=",0)</f>
        <v>#REF!</v>
      </c>
      <c r="BP369" t="e">
        <f>IF(#REF!,"AAAAAG/P4kM=",0)</f>
        <v>#REF!</v>
      </c>
      <c r="BQ369" t="e">
        <f>IF(#REF!,"AAAAAG/P4kQ=",0)</f>
        <v>#REF!</v>
      </c>
      <c r="BR369" t="e">
        <f>IF(#REF!,"AAAAAG/P4kU=",0)</f>
        <v>#REF!</v>
      </c>
      <c r="BS369" t="e">
        <f>IF(#REF!,"AAAAAG/P4kY=",0)</f>
        <v>#REF!</v>
      </c>
      <c r="BT369" t="e">
        <f>IF(#REF!,"AAAAAG/P4kc=",0)</f>
        <v>#REF!</v>
      </c>
      <c r="BU369" t="e">
        <f>IF(#REF!,"AAAAAG/P4kg=",0)</f>
        <v>#REF!</v>
      </c>
      <c r="BV369" t="e">
        <f>IF(#REF!,"AAAAAG/P4kk=",0)</f>
        <v>#REF!</v>
      </c>
      <c r="BW369" t="e">
        <f>IF(#REF!,"AAAAAG/P4ko=",0)</f>
        <v>#REF!</v>
      </c>
      <c r="BX369" t="e">
        <f>IF(#REF!,"AAAAAG/P4ks=",0)</f>
        <v>#REF!</v>
      </c>
      <c r="BY369" t="e">
        <f>IF(#REF!,"AAAAAG/P4kw=",0)</f>
        <v>#REF!</v>
      </c>
      <c r="BZ369" t="e">
        <f>IF(#REF!,"AAAAAG/P4k0=",0)</f>
        <v>#REF!</v>
      </c>
      <c r="CA369" t="e">
        <f>IF(#REF!,"AAAAAG/P4k4=",0)</f>
        <v>#REF!</v>
      </c>
      <c r="CB369" t="e">
        <f>IF(#REF!,"AAAAAG/P4k8=",0)</f>
        <v>#REF!</v>
      </c>
      <c r="CC369" t="e">
        <f>IF(#REF!,"AAAAAG/P4lA=",0)</f>
        <v>#REF!</v>
      </c>
      <c r="CD369" t="e">
        <f>IF(#REF!,"AAAAAG/P4lE=",0)</f>
        <v>#REF!</v>
      </c>
      <c r="CE369" t="e">
        <f>IF(#REF!,"AAAAAG/P4lI=",0)</f>
        <v>#REF!</v>
      </c>
      <c r="CF369" t="e">
        <f>IF(#REF!,"AAAAAG/P4lM=",0)</f>
        <v>#REF!</v>
      </c>
      <c r="CG369" t="e">
        <f>IF(#REF!,"AAAAAG/P4lQ=",0)</f>
        <v>#REF!</v>
      </c>
      <c r="CH369" t="e">
        <f>IF(#REF!,"AAAAAG/P4lU=",0)</f>
        <v>#REF!</v>
      </c>
      <c r="CI369" t="e">
        <f>IF(#REF!,"AAAAAG/P4lY=",0)</f>
        <v>#REF!</v>
      </c>
      <c r="CJ369" t="e">
        <f>IF(#REF!,"AAAAAG/P4lc=",0)</f>
        <v>#REF!</v>
      </c>
      <c r="CK369" t="e">
        <f>IF(#REF!,"AAAAAG/P4lg=",0)</f>
        <v>#REF!</v>
      </c>
      <c r="CL369" t="e">
        <f>IF(#REF!,"AAAAAG/P4lk=",0)</f>
        <v>#REF!</v>
      </c>
      <c r="CM369" t="e">
        <f>IF(#REF!,"AAAAAG/P4lo=",0)</f>
        <v>#REF!</v>
      </c>
      <c r="CN369" t="e">
        <f>IF(#REF!,"AAAAAG/P4ls=",0)</f>
        <v>#REF!</v>
      </c>
      <c r="CO369" t="e">
        <f>IF(#REF!,"AAAAAG/P4lw=",0)</f>
        <v>#REF!</v>
      </c>
      <c r="CP369" t="e">
        <f>IF(#REF!,"AAAAAG/P4l0=",0)</f>
        <v>#REF!</v>
      </c>
      <c r="CQ369" t="e">
        <f>IF(#REF!,"AAAAAG/P4l4=",0)</f>
        <v>#REF!</v>
      </c>
      <c r="CR369" t="e">
        <f>IF(#REF!,"AAAAAG/P4l8=",0)</f>
        <v>#REF!</v>
      </c>
      <c r="CS369" t="e">
        <f>IF(#REF!,"AAAAAG/P4mA=",0)</f>
        <v>#REF!</v>
      </c>
      <c r="CT369" t="e">
        <f>IF(#REF!,"AAAAAG/P4mE=",0)</f>
        <v>#REF!</v>
      </c>
      <c r="CU369" t="e">
        <f>IF(#REF!,"AAAAAG/P4mI=",0)</f>
        <v>#REF!</v>
      </c>
      <c r="CV369" t="e">
        <f>IF(#REF!,"AAAAAG/P4mM=",0)</f>
        <v>#REF!</v>
      </c>
      <c r="CW369" t="e">
        <f>IF(#REF!,"AAAAAG/P4mQ=",0)</f>
        <v>#REF!</v>
      </c>
      <c r="CX369" t="e">
        <f>IF(#REF!,"AAAAAG/P4mU=",0)</f>
        <v>#REF!</v>
      </c>
      <c r="CY369" t="e">
        <f>IF(#REF!,"AAAAAG/P4mY=",0)</f>
        <v>#REF!</v>
      </c>
      <c r="CZ369" t="e">
        <f>IF(#REF!,"AAAAAG/P4mc=",0)</f>
        <v>#REF!</v>
      </c>
      <c r="DA369" t="e">
        <f>IF(#REF!,"AAAAAG/P4mg=",0)</f>
        <v>#REF!</v>
      </c>
      <c r="DB369" t="e">
        <f>IF(#REF!,"AAAAAG/P4mk=",0)</f>
        <v>#REF!</v>
      </c>
      <c r="DC369" t="e">
        <f>IF(#REF!,"AAAAAG/P4mo=",0)</f>
        <v>#REF!</v>
      </c>
      <c r="DD369" t="e">
        <f>IF(#REF!,"AAAAAG/P4ms=",0)</f>
        <v>#REF!</v>
      </c>
      <c r="DE369" t="e">
        <f>IF(#REF!,"AAAAAG/P4mw=",0)</f>
        <v>#REF!</v>
      </c>
      <c r="DF369" t="e">
        <f>IF(#REF!,"AAAAAG/P4m0=",0)</f>
        <v>#REF!</v>
      </c>
      <c r="DG369" t="e">
        <f>IF(#REF!,"AAAAAG/P4m4=",0)</f>
        <v>#REF!</v>
      </c>
      <c r="DH369" t="e">
        <f>IF(#REF!,"AAAAAG/P4m8=",0)</f>
        <v>#REF!</v>
      </c>
      <c r="DI369" t="e">
        <f>IF(#REF!,"AAAAAG/P4nA=",0)</f>
        <v>#REF!</v>
      </c>
      <c r="DJ369" t="e">
        <f>IF(#REF!,"AAAAAG/P4nE=",0)</f>
        <v>#REF!</v>
      </c>
      <c r="DK369" t="e">
        <f>IF(#REF!,"AAAAAG/P4nI=",0)</f>
        <v>#REF!</v>
      </c>
      <c r="DL369" t="e">
        <f>IF(#REF!,"AAAAAG/P4nM=",0)</f>
        <v>#REF!</v>
      </c>
      <c r="DM369" t="e">
        <f>IF(#REF!,"AAAAAG/P4nQ=",0)</f>
        <v>#REF!</v>
      </c>
      <c r="DN369" t="e">
        <f>IF(#REF!,"AAAAAG/P4nU=",0)</f>
        <v>#REF!</v>
      </c>
      <c r="DO369" t="e">
        <f>IF(#REF!,"AAAAAG/P4nY=",0)</f>
        <v>#REF!</v>
      </c>
      <c r="DP369" t="e">
        <f>IF(#REF!,"AAAAAG/P4nc=",0)</f>
        <v>#REF!</v>
      </c>
      <c r="DQ369" t="e">
        <f>IF(#REF!,"AAAAAG/P4ng=",0)</f>
        <v>#REF!</v>
      </c>
      <c r="DR369" t="e">
        <f>IF(#REF!,"AAAAAG/P4nk=",0)</f>
        <v>#REF!</v>
      </c>
      <c r="DS369" t="e">
        <f>IF(#REF!,"AAAAAG/P4no=",0)</f>
        <v>#REF!</v>
      </c>
      <c r="DT369" t="e">
        <f>IF(#REF!,"AAAAAG/P4ns=",0)</f>
        <v>#REF!</v>
      </c>
      <c r="DU369" t="e">
        <f>IF(#REF!,"AAAAAG/P4nw=",0)</f>
        <v>#REF!</v>
      </c>
      <c r="DV369" t="e">
        <f>IF(#REF!,"AAAAAG/P4n0=",0)</f>
        <v>#REF!</v>
      </c>
      <c r="DW369" t="e">
        <f>IF(#REF!,"AAAAAG/P4n4=",0)</f>
        <v>#REF!</v>
      </c>
      <c r="DX369" t="e">
        <f>IF(#REF!,"AAAAAG/P4n8=",0)</f>
        <v>#REF!</v>
      </c>
      <c r="DY369" t="e">
        <f>IF(#REF!,"AAAAAG/P4oA=",0)</f>
        <v>#REF!</v>
      </c>
      <c r="DZ369" t="e">
        <f>IF(#REF!,"AAAAAG/P4oE=",0)</f>
        <v>#REF!</v>
      </c>
      <c r="EA369" t="e">
        <f>IF(#REF!,"AAAAAG/P4oI=",0)</f>
        <v>#REF!</v>
      </c>
      <c r="EB369" t="e">
        <f>IF(#REF!,"AAAAAG/P4oM=",0)</f>
        <v>#REF!</v>
      </c>
      <c r="EC369" t="e">
        <f>IF(#REF!,"AAAAAG/P4oQ=",0)</f>
        <v>#REF!</v>
      </c>
      <c r="ED369" t="e">
        <f>IF(#REF!,"AAAAAG/P4oU=",0)</f>
        <v>#REF!</v>
      </c>
      <c r="EE369" t="e">
        <f>IF(#REF!,"AAAAAG/P4oY=",0)</f>
        <v>#REF!</v>
      </c>
      <c r="EF369" t="e">
        <f>IF(#REF!,"AAAAAG/P4oc=",0)</f>
        <v>#REF!</v>
      </c>
      <c r="EG369" t="e">
        <f>IF(#REF!,"AAAAAG/P4og=",0)</f>
        <v>#REF!</v>
      </c>
      <c r="EH369" t="e">
        <f>IF(#REF!,"AAAAAG/P4ok=",0)</f>
        <v>#REF!</v>
      </c>
      <c r="EI369" t="e">
        <f>IF(#REF!,"AAAAAG/P4oo=",0)</f>
        <v>#REF!</v>
      </c>
      <c r="EJ369" t="e">
        <f>IF(#REF!,"AAAAAG/P4os=",0)</f>
        <v>#REF!</v>
      </c>
      <c r="EK369" t="e">
        <f>IF(#REF!,"AAAAAG/P4ow=",0)</f>
        <v>#REF!</v>
      </c>
      <c r="EL369" t="e">
        <f>IF(#REF!,"AAAAAG/P4o0=",0)</f>
        <v>#REF!</v>
      </c>
      <c r="EM369" t="e">
        <f>IF(#REF!,"AAAAAG/P4o4=",0)</f>
        <v>#REF!</v>
      </c>
      <c r="EN369" t="e">
        <f>IF(#REF!,"AAAAAG/P4o8=",0)</f>
        <v>#REF!</v>
      </c>
      <c r="EO369" t="e">
        <f>IF(#REF!,"AAAAAG/P4pA=",0)</f>
        <v>#REF!</v>
      </c>
      <c r="EP369" t="e">
        <f>IF(#REF!,"AAAAAG/P4pE=",0)</f>
        <v>#REF!</v>
      </c>
      <c r="EQ369" t="e">
        <f>IF(#REF!,"AAAAAG/P4pI=",0)</f>
        <v>#REF!</v>
      </c>
      <c r="ER369" t="e">
        <f>IF(#REF!,"AAAAAG/P4pM=",0)</f>
        <v>#REF!</v>
      </c>
      <c r="ES369" t="e">
        <f>IF(#REF!,"AAAAAG/P4pQ=",0)</f>
        <v>#REF!</v>
      </c>
      <c r="ET369" t="e">
        <f>IF(#REF!,"AAAAAG/P4pU=",0)</f>
        <v>#REF!</v>
      </c>
      <c r="EU369" t="e">
        <f>IF(#REF!,"AAAAAG/P4pY=",0)</f>
        <v>#REF!</v>
      </c>
      <c r="EV369" t="e">
        <f>IF(#REF!,"AAAAAG/P4pc=",0)</f>
        <v>#REF!</v>
      </c>
      <c r="EW369" t="e">
        <f>IF(#REF!,"AAAAAG/P4pg=",0)</f>
        <v>#REF!</v>
      </c>
      <c r="EX369" t="e">
        <f>IF(#REF!,"AAAAAG/P4pk=",0)</f>
        <v>#REF!</v>
      </c>
      <c r="EY369" t="e">
        <f>IF(#REF!,"AAAAAG/P4po=",0)</f>
        <v>#REF!</v>
      </c>
      <c r="EZ369" t="e">
        <f>IF(#REF!,"AAAAAG/P4ps=",0)</f>
        <v>#REF!</v>
      </c>
      <c r="FA369" t="e">
        <f>IF(#REF!,"AAAAAG/P4pw=",0)</f>
        <v>#REF!</v>
      </c>
      <c r="FB369" t="e">
        <f>IF(#REF!,"AAAAAG/P4p0=",0)</f>
        <v>#REF!</v>
      </c>
      <c r="FC369" t="e">
        <f>IF(#REF!,"AAAAAG/P4p4=",0)</f>
        <v>#REF!</v>
      </c>
      <c r="FD369" t="e">
        <f>IF(#REF!,"AAAAAG/P4p8=",0)</f>
        <v>#REF!</v>
      </c>
      <c r="FE369" t="e">
        <f>IF(#REF!,"AAAAAG/P4qA=",0)</f>
        <v>#REF!</v>
      </c>
      <c r="FF369" t="e">
        <f>IF(#REF!,"AAAAAG/P4qE=",0)</f>
        <v>#REF!</v>
      </c>
      <c r="FG369" t="e">
        <f>IF(#REF!,"AAAAAG/P4qI=",0)</f>
        <v>#REF!</v>
      </c>
      <c r="FH369" t="e">
        <f>IF(#REF!,"AAAAAG/P4qM=",0)</f>
        <v>#REF!</v>
      </c>
      <c r="FI369" t="e">
        <f>IF(#REF!,"AAAAAG/P4qQ=",0)</f>
        <v>#REF!</v>
      </c>
      <c r="FJ369" t="e">
        <f>IF(#REF!,"AAAAAG/P4qU=",0)</f>
        <v>#REF!</v>
      </c>
      <c r="FK369" t="e">
        <f>IF(#REF!,"AAAAAG/P4qY=",0)</f>
        <v>#REF!</v>
      </c>
      <c r="FL369" t="e">
        <f>IF(#REF!,"AAAAAG/P4qc=",0)</f>
        <v>#REF!</v>
      </c>
      <c r="FM369" t="e">
        <f>IF(#REF!,"AAAAAG/P4qg=",0)</f>
        <v>#REF!</v>
      </c>
      <c r="FN369" t="e">
        <f>IF(#REF!,"AAAAAG/P4qk=",0)</f>
        <v>#REF!</v>
      </c>
      <c r="FO369" t="e">
        <f>IF(#REF!,"AAAAAG/P4qo=",0)</f>
        <v>#REF!</v>
      </c>
      <c r="FP369" t="e">
        <f>IF(#REF!,"AAAAAG/P4qs=",0)</f>
        <v>#REF!</v>
      </c>
      <c r="FQ369" t="e">
        <f>IF(#REF!,"AAAAAG/P4qw=",0)</f>
        <v>#REF!</v>
      </c>
      <c r="FR369" t="e">
        <f>IF(#REF!,"AAAAAG/P4q0=",0)</f>
        <v>#REF!</v>
      </c>
      <c r="FS369" t="e">
        <f>IF(#REF!,"AAAAAG/P4q4=",0)</f>
        <v>#REF!</v>
      </c>
      <c r="FT369" t="e">
        <f>IF(#REF!,"AAAAAG/P4q8=",0)</f>
        <v>#REF!</v>
      </c>
      <c r="FU369" t="e">
        <f>IF(#REF!,"AAAAAG/P4rA=",0)</f>
        <v>#REF!</v>
      </c>
      <c r="FV369" t="e">
        <f>IF(#REF!,"AAAAAG/P4rE=",0)</f>
        <v>#REF!</v>
      </c>
      <c r="FW369" t="e">
        <f>IF(#REF!,"AAAAAG/P4rI=",0)</f>
        <v>#REF!</v>
      </c>
      <c r="FX369" t="e">
        <f>IF(#REF!,"AAAAAG/P4rM=",0)</f>
        <v>#REF!</v>
      </c>
      <c r="FY369" t="e">
        <f>IF(#REF!,"AAAAAG/P4rQ=",0)</f>
        <v>#REF!</v>
      </c>
      <c r="FZ369" t="e">
        <f>IF(#REF!,"AAAAAG/P4rU=",0)</f>
        <v>#REF!</v>
      </c>
      <c r="GA369" t="e">
        <f>IF(#REF!,"AAAAAG/P4rY=",0)</f>
        <v>#REF!</v>
      </c>
      <c r="GB369" t="e">
        <f>IF(#REF!,"AAAAAG/P4rc=",0)</f>
        <v>#REF!</v>
      </c>
      <c r="GC369" t="e">
        <f>IF(#REF!,"AAAAAG/P4rg=",0)</f>
        <v>#REF!</v>
      </c>
      <c r="GD369" t="e">
        <f>IF(#REF!,"AAAAAG/P4rk=",0)</f>
        <v>#REF!</v>
      </c>
      <c r="GE369" t="e">
        <f>IF(#REF!,"AAAAAG/P4ro=",0)</f>
        <v>#REF!</v>
      </c>
      <c r="GF369" t="e">
        <f>IF(#REF!,"AAAAAG/P4rs=",0)</f>
        <v>#REF!</v>
      </c>
      <c r="GG369" t="e">
        <f>IF(#REF!,"AAAAAG/P4rw=",0)</f>
        <v>#REF!</v>
      </c>
      <c r="GH369" t="e">
        <f>IF(#REF!,"AAAAAG/P4r0=",0)</f>
        <v>#REF!</v>
      </c>
      <c r="GI369" t="e">
        <f>IF(#REF!,"AAAAAG/P4r4=",0)</f>
        <v>#REF!</v>
      </c>
      <c r="GJ369" t="e">
        <f>IF(#REF!,"AAAAAG/P4r8=",0)</f>
        <v>#REF!</v>
      </c>
      <c r="GK369" t="e">
        <f>IF(#REF!,"AAAAAG/P4sA=",0)</f>
        <v>#REF!</v>
      </c>
      <c r="GL369" t="e">
        <f>IF(#REF!,"AAAAAG/P4sE=",0)</f>
        <v>#REF!</v>
      </c>
      <c r="GM369" t="e">
        <f>IF(#REF!,"AAAAAG/P4sI=",0)</f>
        <v>#REF!</v>
      </c>
      <c r="GN369" t="e">
        <f>IF(#REF!,"AAAAAG/P4sM=",0)</f>
        <v>#REF!</v>
      </c>
      <c r="GO369" t="e">
        <f>IF(#REF!,"AAAAAG/P4sQ=",0)</f>
        <v>#REF!</v>
      </c>
      <c r="GP369" t="e">
        <f>IF(#REF!,"AAAAAG/P4sU=",0)</f>
        <v>#REF!</v>
      </c>
      <c r="GQ369" t="e">
        <f>IF(#REF!,"AAAAAG/P4sY=",0)</f>
        <v>#REF!</v>
      </c>
      <c r="GR369" t="e">
        <f>IF(#REF!,"AAAAAG/P4sc=",0)</f>
        <v>#REF!</v>
      </c>
      <c r="GS369" t="e">
        <f>IF(#REF!,"AAAAAG/P4sg=",0)</f>
        <v>#REF!</v>
      </c>
      <c r="GT369" t="e">
        <f>IF(#REF!,"AAAAAG/P4sk=",0)</f>
        <v>#REF!</v>
      </c>
      <c r="GU369" t="e">
        <f>IF(#REF!,"AAAAAG/P4so=",0)</f>
        <v>#REF!</v>
      </c>
      <c r="GV369" t="e">
        <f>IF(#REF!,"AAAAAG/P4ss=",0)</f>
        <v>#REF!</v>
      </c>
      <c r="GW369" t="e">
        <f>IF(#REF!,"AAAAAG/P4sw=",0)</f>
        <v>#REF!</v>
      </c>
      <c r="GX369" t="e">
        <f>IF(#REF!,"AAAAAG/P4s0=",0)</f>
        <v>#REF!</v>
      </c>
      <c r="GY369" t="e">
        <f>IF(#REF!,"AAAAAG/P4s4=",0)</f>
        <v>#REF!</v>
      </c>
      <c r="GZ369" t="e">
        <f>IF(#REF!,"AAAAAG/P4s8=",0)</f>
        <v>#REF!</v>
      </c>
      <c r="HA369" t="e">
        <f>IF(#REF!,"AAAAAG/P4tA=",0)</f>
        <v>#REF!</v>
      </c>
      <c r="HB369" t="e">
        <f>IF(#REF!,"AAAAAG/P4tE=",0)</f>
        <v>#REF!</v>
      </c>
      <c r="HC369" t="e">
        <f>IF(#REF!,"AAAAAG/P4tI=",0)</f>
        <v>#REF!</v>
      </c>
      <c r="HD369" t="e">
        <f>IF(#REF!,"AAAAAG/P4tM=",0)</f>
        <v>#REF!</v>
      </c>
      <c r="HE369" t="e">
        <f>IF(#REF!,"AAAAAG/P4tQ=",0)</f>
        <v>#REF!</v>
      </c>
      <c r="HF369" t="e">
        <f>IF(#REF!,"AAAAAG/P4tU=",0)</f>
        <v>#REF!</v>
      </c>
      <c r="HG369" t="e">
        <f>IF(#REF!,"AAAAAG/P4tY=",0)</f>
        <v>#REF!</v>
      </c>
      <c r="HH369" t="e">
        <f>IF(#REF!,"AAAAAG/P4tc=",0)</f>
        <v>#REF!</v>
      </c>
      <c r="HI369" t="e">
        <f>IF(#REF!,"AAAAAG/P4tg=",0)</f>
        <v>#REF!</v>
      </c>
      <c r="HJ369" t="e">
        <f>IF(#REF!,"AAAAAG/P4tk=",0)</f>
        <v>#REF!</v>
      </c>
      <c r="HK369" t="e">
        <f>IF(#REF!,"AAAAAG/P4to=",0)</f>
        <v>#REF!</v>
      </c>
      <c r="HL369" t="e">
        <f>IF(#REF!,"AAAAAG/P4ts=",0)</f>
        <v>#REF!</v>
      </c>
      <c r="HM369" t="e">
        <f>IF(#REF!,"AAAAAG/P4tw=",0)</f>
        <v>#REF!</v>
      </c>
      <c r="HN369" t="e">
        <f>IF(#REF!,"AAAAAG/P4t0=",0)</f>
        <v>#REF!</v>
      </c>
      <c r="HO369" t="e">
        <f>IF(#REF!,"AAAAAG/P4t4=",0)</f>
        <v>#REF!</v>
      </c>
      <c r="HP369" t="e">
        <f>IF(#REF!,"AAAAAG/P4t8=",0)</f>
        <v>#REF!</v>
      </c>
      <c r="HQ369" t="e">
        <f>IF(#REF!,"AAAAAG/P4uA=",0)</f>
        <v>#REF!</v>
      </c>
      <c r="HR369" t="e">
        <f>IF(#REF!,"AAAAAG/P4uE=",0)</f>
        <v>#REF!</v>
      </c>
      <c r="HS369" t="e">
        <f>IF(#REF!,"AAAAAG/P4uI=",0)</f>
        <v>#REF!</v>
      </c>
      <c r="HT369" t="e">
        <f>IF(#REF!,"AAAAAG/P4uM=",0)</f>
        <v>#REF!</v>
      </c>
      <c r="HU369" t="e">
        <f>IF(#REF!,"AAAAAG/P4uQ=",0)</f>
        <v>#REF!</v>
      </c>
      <c r="HV369" t="e">
        <f>IF(#REF!,"AAAAAG/P4uU=",0)</f>
        <v>#REF!</v>
      </c>
      <c r="HW369" t="e">
        <f>IF(#REF!,"AAAAAG/P4uY=",0)</f>
        <v>#REF!</v>
      </c>
      <c r="HX369" t="e">
        <f>IF(#REF!,"AAAAAG/P4uc=",0)</f>
        <v>#REF!</v>
      </c>
      <c r="HY369" t="e">
        <f>IF(#REF!,"AAAAAG/P4ug=",0)</f>
        <v>#REF!</v>
      </c>
      <c r="HZ369" t="e">
        <f>IF(#REF!,"AAAAAG/P4uk=",0)</f>
        <v>#REF!</v>
      </c>
      <c r="IA369" t="e">
        <f>IF(#REF!,"AAAAAG/P4uo=",0)</f>
        <v>#REF!</v>
      </c>
      <c r="IB369" t="e">
        <f>IF(#REF!,"AAAAAG/P4us=",0)</f>
        <v>#REF!</v>
      </c>
      <c r="IC369" t="e">
        <f>IF(#REF!,"AAAAAG/P4uw=",0)</f>
        <v>#REF!</v>
      </c>
      <c r="ID369" t="e">
        <f>IF(#REF!,"AAAAAG/P4u0=",0)</f>
        <v>#REF!</v>
      </c>
      <c r="IE369" t="e">
        <f>IF(#REF!,"AAAAAG/P4u4=",0)</f>
        <v>#REF!</v>
      </c>
      <c r="IF369" t="e">
        <f>IF(#REF!,"AAAAAG/P4u8=",0)</f>
        <v>#REF!</v>
      </c>
      <c r="IG369" t="e">
        <f>IF(#REF!,"AAAAAG/P4vA=",0)</f>
        <v>#REF!</v>
      </c>
      <c r="IH369" t="e">
        <f>IF(#REF!,"AAAAAG/P4vE=",0)</f>
        <v>#REF!</v>
      </c>
      <c r="II369" t="e">
        <f>IF(#REF!,"AAAAAG/P4vI=",0)</f>
        <v>#REF!</v>
      </c>
      <c r="IJ369" t="e">
        <f>IF(#REF!,"AAAAAG/P4vM=",0)</f>
        <v>#REF!</v>
      </c>
      <c r="IK369" t="e">
        <f>IF(#REF!,"AAAAAG/P4vQ=",0)</f>
        <v>#REF!</v>
      </c>
      <c r="IL369" t="e">
        <f>IF(#REF!,"AAAAAG/P4vU=",0)</f>
        <v>#REF!</v>
      </c>
      <c r="IM369" t="e">
        <f>IF(#REF!,"AAAAAG/P4vY=",0)</f>
        <v>#REF!</v>
      </c>
      <c r="IN369" t="e">
        <f>IF(#REF!,"AAAAAG/P4vc=",0)</f>
        <v>#REF!</v>
      </c>
      <c r="IO369" t="e">
        <f>IF(#REF!,"AAAAAG/P4vg=",0)</f>
        <v>#REF!</v>
      </c>
      <c r="IP369" t="e">
        <f>IF(#REF!,"AAAAAG/P4vk=",0)</f>
        <v>#REF!</v>
      </c>
      <c r="IQ369" t="e">
        <f>IF(#REF!,"AAAAAG/P4vo=",0)</f>
        <v>#REF!</v>
      </c>
      <c r="IR369" t="e">
        <f>IF(#REF!,"AAAAAG/P4vs=",0)</f>
        <v>#REF!</v>
      </c>
      <c r="IS369" t="e">
        <f>IF(#REF!,"AAAAAG/P4vw=",0)</f>
        <v>#REF!</v>
      </c>
      <c r="IT369" t="e">
        <f>IF(#REF!,"AAAAAG/P4v0=",0)</f>
        <v>#REF!</v>
      </c>
      <c r="IU369" t="e">
        <f>IF(#REF!,"AAAAAG/P4v4=",0)</f>
        <v>#REF!</v>
      </c>
      <c r="IV369" t="e">
        <f>IF(#REF!,"AAAAAG/P4v8=",0)</f>
        <v>#REF!</v>
      </c>
    </row>
    <row r="370" spans="1:256">
      <c r="A370" t="e">
        <f>IF(#REF!,"AAAAAHs/2wA=",0)</f>
        <v>#REF!</v>
      </c>
      <c r="B370" t="e">
        <f>IF(#REF!,"AAAAAHs/2wE=",0)</f>
        <v>#REF!</v>
      </c>
      <c r="C370" t="e">
        <f>IF(#REF!,"AAAAAHs/2wI=",0)</f>
        <v>#REF!</v>
      </c>
      <c r="D370" t="e">
        <f>IF(#REF!,"AAAAAHs/2wM=",0)</f>
        <v>#REF!</v>
      </c>
      <c r="E370" t="e">
        <f>IF(#REF!,"AAAAAHs/2wQ=",0)</f>
        <v>#REF!</v>
      </c>
      <c r="F370" t="e">
        <f>IF(#REF!,"AAAAAHs/2wU=",0)</f>
        <v>#REF!</v>
      </c>
      <c r="G370" t="e">
        <f>IF(#REF!,"AAAAAHs/2wY=",0)</f>
        <v>#REF!</v>
      </c>
      <c r="H370" t="e">
        <f>IF(#REF!,"AAAAAHs/2wc=",0)</f>
        <v>#REF!</v>
      </c>
      <c r="I370" t="e">
        <f>IF(#REF!,"AAAAAHs/2wg=",0)</f>
        <v>#REF!</v>
      </c>
      <c r="J370" t="e">
        <f>IF(#REF!,"AAAAAHs/2wk=",0)</f>
        <v>#REF!</v>
      </c>
      <c r="K370" t="e">
        <f>IF(#REF!,"AAAAAHs/2wo=",0)</f>
        <v>#REF!</v>
      </c>
      <c r="L370" t="e">
        <f>IF(#REF!,"AAAAAHs/2ws=",0)</f>
        <v>#REF!</v>
      </c>
      <c r="M370" t="e">
        <f>IF(#REF!,"AAAAAHs/2ww=",0)</f>
        <v>#REF!</v>
      </c>
      <c r="N370" t="e">
        <f>IF(#REF!,"AAAAAHs/2w0=",0)</f>
        <v>#REF!</v>
      </c>
      <c r="O370" t="e">
        <f>IF(#REF!,"AAAAAHs/2w4=",0)</f>
        <v>#REF!</v>
      </c>
      <c r="P370" t="e">
        <f>IF(#REF!,"AAAAAHs/2w8=",0)</f>
        <v>#REF!</v>
      </c>
      <c r="Q370" t="e">
        <f>IF(#REF!,"AAAAAHs/2xA=",0)</f>
        <v>#REF!</v>
      </c>
      <c r="R370" t="e">
        <f>IF(#REF!,"AAAAAHs/2xE=",0)</f>
        <v>#REF!</v>
      </c>
      <c r="S370" t="e">
        <f>IF(#REF!,"AAAAAHs/2xI=",0)</f>
        <v>#REF!</v>
      </c>
      <c r="T370" t="e">
        <f>IF(#REF!,"AAAAAHs/2xM=",0)</f>
        <v>#REF!</v>
      </c>
      <c r="U370" t="e">
        <f>IF(#REF!,"AAAAAHs/2xQ=",0)</f>
        <v>#REF!</v>
      </c>
      <c r="V370" t="e">
        <f>IF(#REF!,"AAAAAHs/2xU=",0)</f>
        <v>#REF!</v>
      </c>
      <c r="W370" t="e">
        <f>IF(#REF!,"AAAAAHs/2xY=",0)</f>
        <v>#REF!</v>
      </c>
      <c r="X370" t="e">
        <f>IF(#REF!,"AAAAAHs/2xc=",0)</f>
        <v>#REF!</v>
      </c>
      <c r="Y370" t="e">
        <f>IF(#REF!,"AAAAAHs/2xg=",0)</f>
        <v>#REF!</v>
      </c>
      <c r="Z370" t="e">
        <f>IF(#REF!,"AAAAAHs/2xk=",0)</f>
        <v>#REF!</v>
      </c>
      <c r="AA370" t="e">
        <f>IF(#REF!,"AAAAAHs/2xo=",0)</f>
        <v>#REF!</v>
      </c>
      <c r="AB370" t="e">
        <f>IF(#REF!,"AAAAAHs/2xs=",0)</f>
        <v>#REF!</v>
      </c>
      <c r="AC370" t="e">
        <f>IF(#REF!,"AAAAAHs/2xw=",0)</f>
        <v>#REF!</v>
      </c>
      <c r="AD370" t="e">
        <f>IF(#REF!,"AAAAAHs/2x0=",0)</f>
        <v>#REF!</v>
      </c>
      <c r="AE370" t="e">
        <f>IF(#REF!,"AAAAAHs/2x4=",0)</f>
        <v>#REF!</v>
      </c>
      <c r="AF370" t="e">
        <f>IF(#REF!,"AAAAAHs/2x8=",0)</f>
        <v>#REF!</v>
      </c>
      <c r="AG370" t="e">
        <f>IF(#REF!,"AAAAAHs/2yA=",0)</f>
        <v>#REF!</v>
      </c>
      <c r="AH370" t="e">
        <f>IF(#REF!,"AAAAAHs/2yE=",0)</f>
        <v>#REF!</v>
      </c>
      <c r="AI370" t="e">
        <f>IF(#REF!,"AAAAAHs/2yI=",0)</f>
        <v>#REF!</v>
      </c>
      <c r="AJ370" t="e">
        <f>IF(#REF!,"AAAAAHs/2yM=",0)</f>
        <v>#REF!</v>
      </c>
      <c r="AK370" t="e">
        <f>IF(#REF!,"AAAAAHs/2yQ=",0)</f>
        <v>#REF!</v>
      </c>
      <c r="AL370" t="e">
        <f>IF(#REF!,"AAAAAHs/2yU=",0)</f>
        <v>#REF!</v>
      </c>
      <c r="AM370" t="e">
        <f>IF(#REF!,"AAAAAHs/2yY=",0)</f>
        <v>#REF!</v>
      </c>
      <c r="AN370" t="e">
        <f>IF(#REF!,"AAAAAHs/2yc=",0)</f>
        <v>#REF!</v>
      </c>
      <c r="AO370" t="e">
        <f>IF(#REF!,"AAAAAHs/2yg=",0)</f>
        <v>#REF!</v>
      </c>
      <c r="AP370" t="e">
        <f>IF(#REF!,"AAAAAHs/2yk=",0)</f>
        <v>#REF!</v>
      </c>
      <c r="AQ370" t="e">
        <f>IF(#REF!,"AAAAAHs/2yo=",0)</f>
        <v>#REF!</v>
      </c>
      <c r="AR370" t="e">
        <f>IF(#REF!,"AAAAAHs/2ys=",0)</f>
        <v>#REF!</v>
      </c>
      <c r="AS370" t="e">
        <f>IF(#REF!,"AAAAAHs/2yw=",0)</f>
        <v>#REF!</v>
      </c>
      <c r="AT370" t="e">
        <f>IF(#REF!,"AAAAAHs/2y0=",0)</f>
        <v>#REF!</v>
      </c>
      <c r="AU370" t="e">
        <f>IF(#REF!,"AAAAAHs/2y4=",0)</f>
        <v>#REF!</v>
      </c>
      <c r="AV370" t="e">
        <f>IF(#REF!,"AAAAAHs/2y8=",0)</f>
        <v>#REF!</v>
      </c>
      <c r="AW370" t="e">
        <f>IF(#REF!,"AAAAAHs/2zA=",0)</f>
        <v>#REF!</v>
      </c>
      <c r="AX370" t="e">
        <f>IF(#REF!,"AAAAAHs/2zE=",0)</f>
        <v>#REF!</v>
      </c>
      <c r="AY370" t="e">
        <f>IF(#REF!,"AAAAAHs/2zI=",0)</f>
        <v>#REF!</v>
      </c>
      <c r="AZ370" t="e">
        <f>IF(#REF!,"AAAAAHs/2zM=",0)</f>
        <v>#REF!</v>
      </c>
      <c r="BA370" t="e">
        <f>IF(#REF!,"AAAAAHs/2zQ=",0)</f>
        <v>#REF!</v>
      </c>
      <c r="BB370" t="e">
        <f>IF(#REF!,"AAAAAHs/2zU=",0)</f>
        <v>#REF!</v>
      </c>
      <c r="BC370" t="e">
        <f>IF(#REF!,"AAAAAHs/2zY=",0)</f>
        <v>#REF!</v>
      </c>
      <c r="BD370" t="e">
        <f>IF(#REF!,"AAAAAHs/2zc=",0)</f>
        <v>#REF!</v>
      </c>
      <c r="BE370" t="e">
        <f>IF(#REF!,"AAAAAHs/2zg=",0)</f>
        <v>#REF!</v>
      </c>
      <c r="BF370" t="e">
        <f>IF(#REF!,"AAAAAHs/2zk=",0)</f>
        <v>#REF!</v>
      </c>
      <c r="BG370" t="e">
        <f>IF(#REF!,"AAAAAHs/2zo=",0)</f>
        <v>#REF!</v>
      </c>
      <c r="BH370" t="e">
        <f>IF(#REF!,"AAAAAHs/2zs=",0)</f>
        <v>#REF!</v>
      </c>
      <c r="BI370" t="e">
        <f>IF(#REF!,"AAAAAHs/2zw=",0)</f>
        <v>#REF!</v>
      </c>
      <c r="BJ370" t="e">
        <f>IF(#REF!,"AAAAAHs/2z0=",0)</f>
        <v>#REF!</v>
      </c>
      <c r="BK370" t="e">
        <f>IF(#REF!,"AAAAAHs/2z4=",0)</f>
        <v>#REF!</v>
      </c>
      <c r="BL370" t="e">
        <f>IF(#REF!,"AAAAAHs/2z8=",0)</f>
        <v>#REF!</v>
      </c>
      <c r="BM370" t="e">
        <f>IF(#REF!,"AAAAAHs/20A=",0)</f>
        <v>#REF!</v>
      </c>
      <c r="BN370" t="e">
        <f>IF(#REF!,"AAAAAHs/20E=",0)</f>
        <v>#REF!</v>
      </c>
      <c r="BO370" t="e">
        <f>IF(#REF!,"AAAAAHs/20I=",0)</f>
        <v>#REF!</v>
      </c>
      <c r="BP370" t="e">
        <f>IF(#REF!,"AAAAAHs/20M=",0)</f>
        <v>#REF!</v>
      </c>
      <c r="BQ370" t="e">
        <f>IF(#REF!,"AAAAAHs/20Q=",0)</f>
        <v>#REF!</v>
      </c>
      <c r="BR370" t="e">
        <f>IF(#REF!,"AAAAAHs/20U=",0)</f>
        <v>#REF!</v>
      </c>
      <c r="BS370" t="e">
        <f>IF(#REF!,"AAAAAHs/20Y=",0)</f>
        <v>#REF!</v>
      </c>
      <c r="BT370" t="e">
        <f>IF(#REF!,"AAAAAHs/20c=",0)</f>
        <v>#REF!</v>
      </c>
      <c r="BU370" t="e">
        <f>IF(#REF!,"AAAAAHs/20g=",0)</f>
        <v>#REF!</v>
      </c>
      <c r="BV370" t="e">
        <f>IF(#REF!,"AAAAAHs/20k=",0)</f>
        <v>#REF!</v>
      </c>
      <c r="BW370" t="e">
        <f>IF(#REF!,"AAAAAHs/20o=",0)</f>
        <v>#REF!</v>
      </c>
      <c r="BX370" t="e">
        <f>IF(#REF!,"AAAAAHs/20s=",0)</f>
        <v>#REF!</v>
      </c>
      <c r="BY370" t="e">
        <f>IF(#REF!,"AAAAAHs/20w=",0)</f>
        <v>#REF!</v>
      </c>
      <c r="BZ370" t="e">
        <f>IF(#REF!,"AAAAAHs/200=",0)</f>
        <v>#REF!</v>
      </c>
      <c r="CA370" t="e">
        <f>IF(#REF!,"AAAAAHs/204=",0)</f>
        <v>#REF!</v>
      </c>
      <c r="CB370" t="e">
        <f>IF(#REF!,"AAAAAHs/208=",0)</f>
        <v>#REF!</v>
      </c>
      <c r="CC370" t="e">
        <f>IF(#REF!,"AAAAAHs/21A=",0)</f>
        <v>#REF!</v>
      </c>
      <c r="CD370" t="e">
        <f>IF(#REF!,"AAAAAHs/21E=",0)</f>
        <v>#REF!</v>
      </c>
      <c r="CE370" t="e">
        <f>IF(#REF!,"AAAAAHs/21I=",0)</f>
        <v>#REF!</v>
      </c>
      <c r="CF370" t="e">
        <f>IF(#REF!,"AAAAAHs/21M=",0)</f>
        <v>#REF!</v>
      </c>
      <c r="CG370" t="e">
        <f>IF(#REF!,"AAAAAHs/21Q=",0)</f>
        <v>#REF!</v>
      </c>
      <c r="CH370" t="e">
        <f>IF(#REF!,"AAAAAHs/21U=",0)</f>
        <v>#REF!</v>
      </c>
      <c r="CI370" t="e">
        <f>IF(#REF!,"AAAAAHs/21Y=",0)</f>
        <v>#REF!</v>
      </c>
      <c r="CJ370" t="e">
        <f>IF(#REF!,"AAAAAHs/21c=",0)</f>
        <v>#REF!</v>
      </c>
      <c r="CK370" t="e">
        <f>IF(#REF!,"AAAAAHs/21g=",0)</f>
        <v>#REF!</v>
      </c>
      <c r="CL370" t="e">
        <f>IF(#REF!,"AAAAAHs/21k=",0)</f>
        <v>#REF!</v>
      </c>
      <c r="CM370" t="e">
        <f>IF(#REF!,"AAAAAHs/21o=",0)</f>
        <v>#REF!</v>
      </c>
      <c r="CN370" t="e">
        <f>IF(#REF!,"AAAAAHs/21s=",0)</f>
        <v>#REF!</v>
      </c>
      <c r="CO370" t="e">
        <f>IF(#REF!,"AAAAAHs/21w=",0)</f>
        <v>#REF!</v>
      </c>
      <c r="CP370" t="e">
        <f>IF(#REF!,"AAAAAHs/210=",0)</f>
        <v>#REF!</v>
      </c>
      <c r="CQ370" t="e">
        <f>IF(#REF!,"AAAAAHs/214=",0)</f>
        <v>#REF!</v>
      </c>
      <c r="CR370" t="e">
        <f>IF(#REF!,"AAAAAHs/218=",0)</f>
        <v>#REF!</v>
      </c>
      <c r="CS370" t="e">
        <f>IF(#REF!,"AAAAAHs/22A=",0)</f>
        <v>#REF!</v>
      </c>
      <c r="CT370" t="e">
        <f>IF(#REF!,"AAAAAHs/22E=",0)</f>
        <v>#REF!</v>
      </c>
      <c r="CU370" t="e">
        <f>IF(#REF!,"AAAAAHs/22I=",0)</f>
        <v>#REF!</v>
      </c>
      <c r="CV370" t="e">
        <f>IF(#REF!,"AAAAAHs/22M=",0)</f>
        <v>#REF!</v>
      </c>
      <c r="CW370" t="e">
        <f>IF(#REF!,"AAAAAHs/22Q=",0)</f>
        <v>#REF!</v>
      </c>
      <c r="CX370" t="e">
        <f>IF(#REF!,"AAAAAHs/22U=",0)</f>
        <v>#REF!</v>
      </c>
      <c r="CY370" t="e">
        <f>IF(#REF!,"AAAAAHs/22Y=",0)</f>
        <v>#REF!</v>
      </c>
      <c r="CZ370" t="e">
        <f>IF(#REF!,"AAAAAHs/22c=",0)</f>
        <v>#REF!</v>
      </c>
      <c r="DA370" t="e">
        <f>IF(#REF!,"AAAAAHs/22g=",0)</f>
        <v>#REF!</v>
      </c>
      <c r="DB370" t="e">
        <f>IF(#REF!,"AAAAAHs/22k=",0)</f>
        <v>#REF!</v>
      </c>
      <c r="DC370" t="e">
        <f>IF(#REF!,"AAAAAHs/22o=",0)</f>
        <v>#REF!</v>
      </c>
      <c r="DD370" t="e">
        <f>IF(#REF!,"AAAAAHs/22s=",0)</f>
        <v>#REF!</v>
      </c>
      <c r="DE370" t="e">
        <f>IF(#REF!,"AAAAAHs/22w=",0)</f>
        <v>#REF!</v>
      </c>
      <c r="DF370" t="e">
        <f>IF(#REF!,"AAAAAHs/220=",0)</f>
        <v>#REF!</v>
      </c>
      <c r="DG370" t="e">
        <f>IF(#REF!,"AAAAAHs/224=",0)</f>
        <v>#REF!</v>
      </c>
      <c r="DH370" t="e">
        <f>IF(#REF!,"AAAAAHs/228=",0)</f>
        <v>#REF!</v>
      </c>
      <c r="DI370" t="e">
        <f>IF(#REF!,"AAAAAHs/23A=",0)</f>
        <v>#REF!</v>
      </c>
      <c r="DJ370" t="e">
        <f>IF(#REF!,"AAAAAHs/23E=",0)</f>
        <v>#REF!</v>
      </c>
      <c r="DK370" t="e">
        <f>IF(#REF!,"AAAAAHs/23I=",0)</f>
        <v>#REF!</v>
      </c>
      <c r="DL370" t="e">
        <f>IF(#REF!,"AAAAAHs/23M=",0)</f>
        <v>#REF!</v>
      </c>
      <c r="DM370" t="e">
        <f>IF(#REF!,"AAAAAHs/23Q=",0)</f>
        <v>#REF!</v>
      </c>
      <c r="DN370" t="e">
        <f>IF(#REF!,"AAAAAHs/23U=",0)</f>
        <v>#REF!</v>
      </c>
      <c r="DO370" t="e">
        <f>IF(#REF!,"AAAAAHs/23Y=",0)</f>
        <v>#REF!</v>
      </c>
      <c r="DP370" t="e">
        <f>IF(#REF!,"AAAAAHs/23c=",0)</f>
        <v>#REF!</v>
      </c>
      <c r="DQ370" t="e">
        <f>IF(#REF!,"AAAAAHs/23g=",0)</f>
        <v>#REF!</v>
      </c>
      <c r="DR370" t="e">
        <f>IF(#REF!,"AAAAAHs/23k=",0)</f>
        <v>#REF!</v>
      </c>
      <c r="DS370" t="e">
        <f>IF(#REF!,"AAAAAHs/23o=",0)</f>
        <v>#REF!</v>
      </c>
      <c r="DT370" t="e">
        <f>IF(#REF!,"AAAAAHs/23s=",0)</f>
        <v>#REF!</v>
      </c>
      <c r="DU370" t="e">
        <f>IF(#REF!,"AAAAAHs/23w=",0)</f>
        <v>#REF!</v>
      </c>
      <c r="DV370" t="e">
        <f>IF(#REF!,"AAAAAHs/230=",0)</f>
        <v>#REF!</v>
      </c>
      <c r="DW370" t="e">
        <f>IF(#REF!,"AAAAAHs/234=",0)</f>
        <v>#REF!</v>
      </c>
      <c r="DX370" t="e">
        <f>IF(#REF!,"AAAAAHs/238=",0)</f>
        <v>#REF!</v>
      </c>
      <c r="DY370" t="e">
        <f>IF(#REF!,"AAAAAHs/24A=",0)</f>
        <v>#REF!</v>
      </c>
      <c r="DZ370" t="e">
        <f>IF(#REF!,"AAAAAHs/24E=",0)</f>
        <v>#REF!</v>
      </c>
      <c r="EA370" t="e">
        <f>IF(#REF!,"AAAAAHs/24I=",0)</f>
        <v>#REF!</v>
      </c>
      <c r="EB370" t="e">
        <f>IF(#REF!,"AAAAAHs/24M=",0)</f>
        <v>#REF!</v>
      </c>
      <c r="EC370" t="e">
        <f>IF(#REF!,"AAAAAHs/24Q=",0)</f>
        <v>#REF!</v>
      </c>
      <c r="ED370" t="e">
        <f>IF(#REF!,"AAAAAHs/24U=",0)</f>
        <v>#REF!</v>
      </c>
      <c r="EE370" t="e">
        <f>IF(#REF!,"AAAAAHs/24Y=",0)</f>
        <v>#REF!</v>
      </c>
      <c r="EF370" t="e">
        <f>IF(#REF!,"AAAAAHs/24c=",0)</f>
        <v>#REF!</v>
      </c>
      <c r="EG370" t="e">
        <f>IF(#REF!,"AAAAAHs/24g=",0)</f>
        <v>#REF!</v>
      </c>
      <c r="EH370" t="e">
        <f>IF(#REF!,"AAAAAHs/24k=",0)</f>
        <v>#REF!</v>
      </c>
      <c r="EI370" t="e">
        <f>IF(#REF!,"AAAAAHs/24o=",0)</f>
        <v>#REF!</v>
      </c>
      <c r="EJ370" t="e">
        <f>IF(#REF!,"AAAAAHs/24s=",0)</f>
        <v>#REF!</v>
      </c>
      <c r="EK370" t="e">
        <f>IF(#REF!,"AAAAAHs/24w=",0)</f>
        <v>#REF!</v>
      </c>
      <c r="EL370" t="e">
        <f>IF(#REF!,"AAAAAHs/240=",0)</f>
        <v>#REF!</v>
      </c>
      <c r="EM370" t="e">
        <f>IF(#REF!,"AAAAAHs/244=",0)</f>
        <v>#REF!</v>
      </c>
      <c r="EN370" t="e">
        <f>IF(#REF!,"AAAAAHs/248=",0)</f>
        <v>#REF!</v>
      </c>
      <c r="EO370" t="e">
        <f>IF(#REF!,"AAAAAHs/25A=",0)</f>
        <v>#REF!</v>
      </c>
      <c r="EP370" t="e">
        <f>IF(#REF!,"AAAAAHs/25E=",0)</f>
        <v>#REF!</v>
      </c>
      <c r="EQ370" t="e">
        <f>IF(#REF!,"AAAAAHs/25I=",0)</f>
        <v>#REF!</v>
      </c>
      <c r="ER370" t="e">
        <f>IF(#REF!,"AAAAAHs/25M=",0)</f>
        <v>#REF!</v>
      </c>
      <c r="ES370" t="e">
        <f>IF(#REF!,"AAAAAHs/25Q=",0)</f>
        <v>#REF!</v>
      </c>
      <c r="ET370" t="e">
        <f>IF(#REF!,"AAAAAHs/25U=",0)</f>
        <v>#REF!</v>
      </c>
      <c r="EU370" t="e">
        <f>IF(#REF!,"AAAAAHs/25Y=",0)</f>
        <v>#REF!</v>
      </c>
      <c r="EV370" t="e">
        <f>IF(#REF!,"AAAAAHs/25c=",0)</f>
        <v>#REF!</v>
      </c>
      <c r="EW370" t="e">
        <f>IF(#REF!,"AAAAAHs/25g=",0)</f>
        <v>#REF!</v>
      </c>
      <c r="EX370" t="e">
        <f>IF(#REF!,"AAAAAHs/25k=",0)</f>
        <v>#REF!</v>
      </c>
      <c r="EY370" t="e">
        <f>IF(#REF!,"AAAAAHs/25o=",0)</f>
        <v>#REF!</v>
      </c>
      <c r="EZ370" t="e">
        <f>IF(#REF!,"AAAAAHs/25s=",0)</f>
        <v>#REF!</v>
      </c>
      <c r="FA370" t="e">
        <f>IF(#REF!,"AAAAAHs/25w=",0)</f>
        <v>#REF!</v>
      </c>
      <c r="FB370" t="e">
        <f>IF(#REF!,"AAAAAHs/250=",0)</f>
        <v>#REF!</v>
      </c>
      <c r="FC370" t="e">
        <f>IF(#REF!,"AAAAAHs/254=",0)</f>
        <v>#REF!</v>
      </c>
      <c r="FD370" t="e">
        <f>IF(#REF!,"AAAAAHs/258=",0)</f>
        <v>#REF!</v>
      </c>
      <c r="FE370" t="e">
        <f>IF(#REF!,"AAAAAHs/26A=",0)</f>
        <v>#REF!</v>
      </c>
      <c r="FF370" t="e">
        <f>IF(#REF!,"AAAAAHs/26E=",0)</f>
        <v>#REF!</v>
      </c>
      <c r="FG370" t="e">
        <f>IF(#REF!,"AAAAAHs/26I=",0)</f>
        <v>#REF!</v>
      </c>
      <c r="FH370" t="e">
        <f>IF(#REF!,"AAAAAHs/26M=",0)</f>
        <v>#REF!</v>
      </c>
      <c r="FI370" t="e">
        <f>IF(#REF!,"AAAAAHs/26Q=",0)</f>
        <v>#REF!</v>
      </c>
      <c r="FJ370" t="e">
        <f>IF(#REF!,"AAAAAHs/26U=",0)</f>
        <v>#REF!</v>
      </c>
      <c r="FK370" t="e">
        <f>IF(#REF!,"AAAAAHs/26Y=",0)</f>
        <v>#REF!</v>
      </c>
      <c r="FL370" t="e">
        <f>IF(#REF!,"AAAAAHs/26c=",0)</f>
        <v>#REF!</v>
      </c>
      <c r="FM370" t="e">
        <f>IF(#REF!,"AAAAAHs/26g=",0)</f>
        <v>#REF!</v>
      </c>
      <c r="FN370" t="e">
        <f>IF(#REF!,"AAAAAHs/26k=",0)</f>
        <v>#REF!</v>
      </c>
      <c r="FO370" t="e">
        <f>IF(#REF!,"AAAAAHs/26o=",0)</f>
        <v>#REF!</v>
      </c>
      <c r="FP370" t="e">
        <f>IF(#REF!,"AAAAAHs/26s=",0)</f>
        <v>#REF!</v>
      </c>
      <c r="FQ370" t="e">
        <f>IF(#REF!,"AAAAAHs/26w=",0)</f>
        <v>#REF!</v>
      </c>
      <c r="FR370" t="e">
        <f>IF(#REF!,"AAAAAHs/260=",0)</f>
        <v>#REF!</v>
      </c>
      <c r="FS370" t="e">
        <f>IF(#REF!,"AAAAAHs/264=",0)</f>
        <v>#REF!</v>
      </c>
      <c r="FT370" t="e">
        <f>IF(#REF!,"AAAAAHs/268=",0)</f>
        <v>#REF!</v>
      </c>
      <c r="FU370" t="e">
        <f>IF(#REF!,"AAAAAHs/27A=",0)</f>
        <v>#REF!</v>
      </c>
      <c r="FV370" t="e">
        <f>IF(#REF!,"AAAAAHs/27E=",0)</f>
        <v>#REF!</v>
      </c>
      <c r="FW370" t="e">
        <f>IF(#REF!,"AAAAAHs/27I=",0)</f>
        <v>#REF!</v>
      </c>
      <c r="FX370" t="e">
        <f>IF(#REF!,"AAAAAHs/27M=",0)</f>
        <v>#REF!</v>
      </c>
      <c r="FY370" t="e">
        <f>IF(#REF!,"AAAAAHs/27Q=",0)</f>
        <v>#REF!</v>
      </c>
      <c r="FZ370" t="e">
        <f>IF(#REF!,"AAAAAHs/27U=",0)</f>
        <v>#REF!</v>
      </c>
      <c r="GA370" t="e">
        <f>IF(#REF!,"AAAAAHs/27Y=",0)</f>
        <v>#REF!</v>
      </c>
      <c r="GB370" t="e">
        <f>IF(#REF!,"AAAAAHs/27c=",0)</f>
        <v>#REF!</v>
      </c>
      <c r="GC370" t="e">
        <f>IF(#REF!,"AAAAAHs/27g=",0)</f>
        <v>#REF!</v>
      </c>
      <c r="GD370" t="e">
        <f>IF(#REF!,"AAAAAHs/27k=",0)</f>
        <v>#REF!</v>
      </c>
      <c r="GE370" t="e">
        <f>IF(#REF!,"AAAAAHs/27o=",0)</f>
        <v>#REF!</v>
      </c>
      <c r="GF370" t="e">
        <f>IF(#REF!,"AAAAAHs/27s=",0)</f>
        <v>#REF!</v>
      </c>
      <c r="GG370" t="e">
        <f>IF(#REF!,"AAAAAHs/27w=",0)</f>
        <v>#REF!</v>
      </c>
      <c r="GH370" t="e">
        <f>IF(#REF!,"AAAAAHs/270=",0)</f>
        <v>#REF!</v>
      </c>
      <c r="GI370" t="e">
        <f>IF(#REF!,"AAAAAHs/274=",0)</f>
        <v>#REF!</v>
      </c>
      <c r="GJ370" t="e">
        <f>IF(#REF!,"AAAAAHs/278=",0)</f>
        <v>#REF!</v>
      </c>
      <c r="GK370" t="e">
        <f>IF(#REF!,"AAAAAHs/28A=",0)</f>
        <v>#REF!</v>
      </c>
      <c r="GL370" t="e">
        <f>IF(#REF!,"AAAAAHs/28E=",0)</f>
        <v>#REF!</v>
      </c>
      <c r="GM370" t="e">
        <f>IF(#REF!,"AAAAAHs/28I=",0)</f>
        <v>#REF!</v>
      </c>
      <c r="GN370" t="e">
        <f>IF(#REF!,"AAAAAHs/28M=",0)</f>
        <v>#REF!</v>
      </c>
      <c r="GO370" t="e">
        <f>IF(#REF!,"AAAAAHs/28Q=",0)</f>
        <v>#REF!</v>
      </c>
      <c r="GP370" t="e">
        <f>IF(#REF!,"AAAAAHs/28U=",0)</f>
        <v>#REF!</v>
      </c>
      <c r="GQ370" t="e">
        <f>IF(#REF!,"AAAAAHs/28Y=",0)</f>
        <v>#REF!</v>
      </c>
      <c r="GR370" t="e">
        <f>IF(#REF!,"AAAAAHs/28c=",0)</f>
        <v>#REF!</v>
      </c>
      <c r="GS370" t="e">
        <f>IF(#REF!,"AAAAAHs/28g=",0)</f>
        <v>#REF!</v>
      </c>
      <c r="GT370" t="e">
        <f>IF(#REF!,"AAAAAHs/28k=",0)</f>
        <v>#REF!</v>
      </c>
      <c r="GU370" t="e">
        <f>IF(#REF!,"AAAAAHs/28o=",0)</f>
        <v>#REF!</v>
      </c>
      <c r="GV370" t="e">
        <f>IF(#REF!,"AAAAAHs/28s=",0)</f>
        <v>#REF!</v>
      </c>
      <c r="GW370" t="e">
        <f>IF(#REF!,"AAAAAHs/28w=",0)</f>
        <v>#REF!</v>
      </c>
      <c r="GX370" t="e">
        <f>IF(#REF!,"AAAAAHs/280=",0)</f>
        <v>#REF!</v>
      </c>
      <c r="GY370" t="e">
        <f>IF(#REF!,"AAAAAHs/284=",0)</f>
        <v>#REF!</v>
      </c>
      <c r="GZ370" t="e">
        <f>IF(#REF!,"AAAAAHs/288=",0)</f>
        <v>#REF!</v>
      </c>
      <c r="HA370" t="e">
        <f>IF(#REF!,"AAAAAHs/29A=",0)</f>
        <v>#REF!</v>
      </c>
      <c r="HB370" t="e">
        <f>IF(#REF!,"AAAAAHs/29E=",0)</f>
        <v>#REF!</v>
      </c>
      <c r="HC370" t="e">
        <f>IF(#REF!,"AAAAAHs/29I=",0)</f>
        <v>#REF!</v>
      </c>
      <c r="HD370" t="e">
        <f>IF(#REF!,"AAAAAHs/29M=",0)</f>
        <v>#REF!</v>
      </c>
      <c r="HE370" t="e">
        <f>IF(#REF!,"AAAAAHs/29Q=",0)</f>
        <v>#REF!</v>
      </c>
      <c r="HF370" t="e">
        <f>IF(#REF!,"AAAAAHs/29U=",0)</f>
        <v>#REF!</v>
      </c>
      <c r="HG370" t="e">
        <f>IF(#REF!,"AAAAAHs/29Y=",0)</f>
        <v>#REF!</v>
      </c>
      <c r="HH370" t="e">
        <f>IF(#REF!,"AAAAAHs/29c=",0)</f>
        <v>#REF!</v>
      </c>
      <c r="HI370" t="e">
        <f>IF(#REF!,"AAAAAHs/29g=",0)</f>
        <v>#REF!</v>
      </c>
      <c r="HJ370" t="e">
        <f>IF(#REF!,"AAAAAHs/29k=",0)</f>
        <v>#REF!</v>
      </c>
      <c r="HK370" t="e">
        <f>IF(#REF!,"AAAAAHs/29o=",0)</f>
        <v>#REF!</v>
      </c>
      <c r="HL370" t="e">
        <f>IF(#REF!,"AAAAAHs/29s=",0)</f>
        <v>#REF!</v>
      </c>
      <c r="HM370" t="e">
        <f>IF(#REF!,"AAAAAHs/29w=",0)</f>
        <v>#REF!</v>
      </c>
      <c r="HN370" t="e">
        <f>IF(#REF!,"AAAAAHs/290=",0)</f>
        <v>#REF!</v>
      </c>
      <c r="HO370" t="e">
        <f>IF(#REF!,"AAAAAHs/294=",0)</f>
        <v>#REF!</v>
      </c>
      <c r="HP370" t="e">
        <f>IF(#REF!,"AAAAAHs/298=",0)</f>
        <v>#REF!</v>
      </c>
      <c r="HQ370" t="e">
        <f>IF(#REF!,"AAAAAHs/2+A=",0)</f>
        <v>#REF!</v>
      </c>
      <c r="HR370" t="e">
        <f>IF(#REF!,"AAAAAHs/2+E=",0)</f>
        <v>#REF!</v>
      </c>
      <c r="HS370" t="e">
        <f>IF(#REF!,"AAAAAHs/2+I=",0)</f>
        <v>#REF!</v>
      </c>
      <c r="HT370" t="e">
        <f>IF(#REF!,"AAAAAHs/2+M=",0)</f>
        <v>#REF!</v>
      </c>
      <c r="HU370" t="e">
        <f>IF(#REF!,"AAAAAHs/2+Q=",0)</f>
        <v>#REF!</v>
      </c>
      <c r="HV370" t="e">
        <f>IF(#REF!,"AAAAAHs/2+U=",0)</f>
        <v>#REF!</v>
      </c>
      <c r="HW370" t="e">
        <f>IF(#REF!,"AAAAAHs/2+Y=",0)</f>
        <v>#REF!</v>
      </c>
      <c r="HX370" t="e">
        <f>IF(#REF!,"AAAAAHs/2+c=",0)</f>
        <v>#REF!</v>
      </c>
      <c r="HY370" t="e">
        <f>IF(#REF!,"AAAAAHs/2+g=",0)</f>
        <v>#REF!</v>
      </c>
      <c r="HZ370" t="e">
        <f>IF(#REF!,"AAAAAHs/2+k=",0)</f>
        <v>#REF!</v>
      </c>
      <c r="IA370" t="e">
        <f>IF(#REF!,"AAAAAHs/2+o=",0)</f>
        <v>#REF!</v>
      </c>
      <c r="IB370" t="e">
        <f>IF(#REF!,"AAAAAHs/2+s=",0)</f>
        <v>#REF!</v>
      </c>
      <c r="IC370" t="e">
        <f>IF(#REF!,"AAAAAHs/2+w=",0)</f>
        <v>#REF!</v>
      </c>
      <c r="ID370" t="e">
        <f>IF(#REF!,"AAAAAHs/2+0=",0)</f>
        <v>#REF!</v>
      </c>
      <c r="IE370" t="e">
        <f>IF(#REF!,"AAAAAHs/2+4=",0)</f>
        <v>#REF!</v>
      </c>
      <c r="IF370" t="e">
        <f>IF(#REF!,"AAAAAHs/2+8=",0)</f>
        <v>#REF!</v>
      </c>
      <c r="IG370" t="e">
        <f>IF(#REF!,"AAAAAHs/2/A=",0)</f>
        <v>#REF!</v>
      </c>
      <c r="IH370" t="e">
        <f>IF(#REF!,"AAAAAHs/2/E=",0)</f>
        <v>#REF!</v>
      </c>
      <c r="II370" t="e">
        <f>IF(#REF!,"AAAAAHs/2/I=",0)</f>
        <v>#REF!</v>
      </c>
      <c r="IJ370" t="e">
        <f>IF(#REF!,"AAAAAHs/2/M=",0)</f>
        <v>#REF!</v>
      </c>
      <c r="IK370" t="e">
        <f>IF(#REF!,"AAAAAHs/2/Q=",0)</f>
        <v>#REF!</v>
      </c>
      <c r="IL370" t="e">
        <f>IF(#REF!,"AAAAAHs/2/U=",0)</f>
        <v>#REF!</v>
      </c>
      <c r="IM370" t="e">
        <f>IF(#REF!,"AAAAAHs/2/Y=",0)</f>
        <v>#REF!</v>
      </c>
      <c r="IN370" t="e">
        <f>IF(#REF!,"AAAAAHs/2/c=",0)</f>
        <v>#REF!</v>
      </c>
      <c r="IO370" t="e">
        <f>IF(#REF!,"AAAAAHs/2/g=",0)</f>
        <v>#REF!</v>
      </c>
      <c r="IP370" t="e">
        <f>IF(#REF!,"AAAAAHs/2/k=",0)</f>
        <v>#REF!</v>
      </c>
      <c r="IQ370" t="e">
        <f>IF(#REF!,"AAAAAHs/2/o=",0)</f>
        <v>#REF!</v>
      </c>
      <c r="IR370" t="e">
        <f>IF(#REF!,"AAAAAHs/2/s=",0)</f>
        <v>#REF!</v>
      </c>
      <c r="IS370" t="e">
        <f>IF(#REF!,"AAAAAHs/2/w=",0)</f>
        <v>#REF!</v>
      </c>
      <c r="IT370" t="e">
        <f>IF(#REF!,"AAAAAHs/2/0=",0)</f>
        <v>#REF!</v>
      </c>
      <c r="IU370" t="e">
        <f>IF(#REF!,"AAAAAHs/2/4=",0)</f>
        <v>#REF!</v>
      </c>
      <c r="IV370" t="e">
        <f>IF(#REF!,"AAAAAHs/2/8=",0)</f>
        <v>#REF!</v>
      </c>
    </row>
    <row r="371" spans="1:256">
      <c r="A371" t="e">
        <f>IF(#REF!,"AAAAAD+X7wA=",0)</f>
        <v>#REF!</v>
      </c>
      <c r="B371" t="e">
        <f>IF(#REF!,"AAAAAD+X7wE=",0)</f>
        <v>#REF!</v>
      </c>
      <c r="C371" t="e">
        <f>IF(#REF!,"AAAAAD+X7wI=",0)</f>
        <v>#REF!</v>
      </c>
      <c r="D371" t="e">
        <f>IF(#REF!,"AAAAAD+X7wM=",0)</f>
        <v>#REF!</v>
      </c>
      <c r="E371" t="e">
        <f>IF(#REF!,"AAAAAD+X7wQ=",0)</f>
        <v>#REF!</v>
      </c>
      <c r="F371" t="e">
        <f>IF(#REF!,"AAAAAD+X7wU=",0)</f>
        <v>#REF!</v>
      </c>
      <c r="G371" t="e">
        <f>IF(#REF!,"AAAAAD+X7wY=",0)</f>
        <v>#REF!</v>
      </c>
      <c r="H371" t="e">
        <f>IF(#REF!,"AAAAAD+X7wc=",0)</f>
        <v>#REF!</v>
      </c>
      <c r="I371" t="e">
        <f>IF(#REF!,"AAAAAD+X7wg=",0)</f>
        <v>#REF!</v>
      </c>
      <c r="J371" t="e">
        <f>IF(#REF!,"AAAAAD+X7wk=",0)</f>
        <v>#REF!</v>
      </c>
      <c r="K371" t="e">
        <f>IF(#REF!,"AAAAAD+X7wo=",0)</f>
        <v>#REF!</v>
      </c>
      <c r="L371" t="e">
        <f>IF(#REF!,"AAAAAD+X7ws=",0)</f>
        <v>#REF!</v>
      </c>
      <c r="M371" t="e">
        <f>IF(#REF!,"AAAAAD+X7ww=",0)</f>
        <v>#REF!</v>
      </c>
      <c r="N371" t="e">
        <f>IF(#REF!,"AAAAAD+X7w0=",0)</f>
        <v>#REF!</v>
      </c>
      <c r="O371" t="e">
        <f>IF(#REF!,"AAAAAD+X7w4=",0)</f>
        <v>#REF!</v>
      </c>
      <c r="P371" t="e">
        <f>IF(#REF!,"AAAAAD+X7w8=",0)</f>
        <v>#REF!</v>
      </c>
      <c r="Q371" t="e">
        <f>IF(#REF!,"AAAAAD+X7xA=",0)</f>
        <v>#REF!</v>
      </c>
      <c r="R371" t="e">
        <f>IF(#REF!,"AAAAAD+X7xE=",0)</f>
        <v>#REF!</v>
      </c>
      <c r="S371" t="e">
        <f>IF(#REF!,"AAAAAD+X7xI=",0)</f>
        <v>#REF!</v>
      </c>
      <c r="T371" t="e">
        <f>IF(#REF!,"AAAAAD+X7xM=",0)</f>
        <v>#REF!</v>
      </c>
      <c r="U371" t="e">
        <f>IF(#REF!,"AAAAAD+X7xQ=",0)</f>
        <v>#REF!</v>
      </c>
      <c r="V371" t="e">
        <f>IF(#REF!,"AAAAAD+X7xU=",0)</f>
        <v>#REF!</v>
      </c>
      <c r="W371" t="e">
        <f>IF(#REF!,"AAAAAD+X7xY=",0)</f>
        <v>#REF!</v>
      </c>
      <c r="X371" t="e">
        <f>IF(#REF!,"AAAAAD+X7xc=",0)</f>
        <v>#REF!</v>
      </c>
      <c r="Y371" t="e">
        <f>IF(#REF!,"AAAAAD+X7xg=",0)</f>
        <v>#REF!</v>
      </c>
      <c r="Z371" t="e">
        <f>IF(#REF!,"AAAAAD+X7xk=",0)</f>
        <v>#REF!</v>
      </c>
      <c r="AA371" t="e">
        <f>IF(#REF!,"AAAAAD+X7xo=",0)</f>
        <v>#REF!</v>
      </c>
      <c r="AB371" t="e">
        <f>IF(#REF!,"AAAAAD+X7xs=",0)</f>
        <v>#REF!</v>
      </c>
      <c r="AC371" t="e">
        <f>IF(#REF!,"AAAAAD+X7xw=",0)</f>
        <v>#REF!</v>
      </c>
      <c r="AD371" t="e">
        <f>IF(#REF!,"AAAAAD+X7x0=",0)</f>
        <v>#REF!</v>
      </c>
      <c r="AE371" t="e">
        <f>IF(#REF!,"AAAAAD+X7x4=",0)</f>
        <v>#REF!</v>
      </c>
      <c r="AF371" t="e">
        <f>IF(#REF!,"AAAAAD+X7x8=",0)</f>
        <v>#REF!</v>
      </c>
      <c r="AG371" t="e">
        <f>IF(#REF!,"AAAAAD+X7yA=",0)</f>
        <v>#REF!</v>
      </c>
      <c r="AH371" t="e">
        <f>IF(#REF!,"AAAAAD+X7yE=",0)</f>
        <v>#REF!</v>
      </c>
      <c r="AI371" t="e">
        <f>IF(#REF!,"AAAAAD+X7yI=",0)</f>
        <v>#REF!</v>
      </c>
      <c r="AJ371" t="e">
        <f>IF(#REF!,"AAAAAD+X7yM=",0)</f>
        <v>#REF!</v>
      </c>
      <c r="AK371" t="e">
        <f>IF(#REF!,"AAAAAD+X7yQ=",0)</f>
        <v>#REF!</v>
      </c>
      <c r="AL371" t="e">
        <f>IF(#REF!,"AAAAAD+X7yU=",0)</f>
        <v>#REF!</v>
      </c>
      <c r="AM371" t="e">
        <f>IF(#REF!,"AAAAAD+X7yY=",0)</f>
        <v>#REF!</v>
      </c>
      <c r="AN371" t="e">
        <f>IF(#REF!,"AAAAAD+X7yc=",0)</f>
        <v>#REF!</v>
      </c>
      <c r="AO371" t="e">
        <f>IF(#REF!,"AAAAAD+X7yg=",0)</f>
        <v>#REF!</v>
      </c>
      <c r="AP371" t="e">
        <f>IF(#REF!,"AAAAAD+X7yk=",0)</f>
        <v>#REF!</v>
      </c>
      <c r="AQ371" t="e">
        <f>IF(#REF!,"AAAAAD+X7yo=",0)</f>
        <v>#REF!</v>
      </c>
      <c r="AR371" t="e">
        <f>IF(#REF!,"AAAAAD+X7ys=",0)</f>
        <v>#REF!</v>
      </c>
      <c r="AS371" t="e">
        <f>IF(#REF!,"AAAAAD+X7yw=",0)</f>
        <v>#REF!</v>
      </c>
      <c r="AT371" t="e">
        <f>IF(#REF!,"AAAAAD+X7y0=",0)</f>
        <v>#REF!</v>
      </c>
      <c r="AU371" t="e">
        <f>IF(#REF!,"AAAAAD+X7y4=",0)</f>
        <v>#REF!</v>
      </c>
      <c r="AV371" t="e">
        <f>IF(#REF!,"AAAAAD+X7y8=",0)</f>
        <v>#REF!</v>
      </c>
      <c r="AW371" t="e">
        <f>IF(#REF!,"AAAAAD+X7zA=",0)</f>
        <v>#REF!</v>
      </c>
      <c r="AX371" t="e">
        <f>IF(#REF!,"AAAAAD+X7zE=",0)</f>
        <v>#REF!</v>
      </c>
      <c r="AY371" t="e">
        <f>IF(#REF!,"AAAAAD+X7zI=",0)</f>
        <v>#REF!</v>
      </c>
      <c r="AZ371" t="e">
        <f>IF(#REF!,"AAAAAD+X7zM=",0)</f>
        <v>#REF!</v>
      </c>
      <c r="BA371" t="e">
        <f>IF(#REF!,"AAAAAD+X7zQ=",0)</f>
        <v>#REF!</v>
      </c>
      <c r="BB371" t="e">
        <f>IF(#REF!,"AAAAAD+X7zU=",0)</f>
        <v>#REF!</v>
      </c>
      <c r="BC371" t="e">
        <f>IF(#REF!,"AAAAAD+X7zY=",0)</f>
        <v>#REF!</v>
      </c>
      <c r="BD371" t="e">
        <f>IF(#REF!,"AAAAAD+X7zc=",0)</f>
        <v>#REF!</v>
      </c>
      <c r="BE371" t="e">
        <f>IF(#REF!,"AAAAAD+X7zg=",0)</f>
        <v>#REF!</v>
      </c>
      <c r="BF371" t="e">
        <f>IF(#REF!,"AAAAAD+X7zk=",0)</f>
        <v>#REF!</v>
      </c>
      <c r="BG371" t="e">
        <f>IF(#REF!,"AAAAAD+X7zo=",0)</f>
        <v>#REF!</v>
      </c>
      <c r="BH371" t="e">
        <f>IF(#REF!,"AAAAAD+X7zs=",0)</f>
        <v>#REF!</v>
      </c>
      <c r="BI371" t="e">
        <f>IF(#REF!,"AAAAAD+X7zw=",0)</f>
        <v>#REF!</v>
      </c>
      <c r="BJ371" t="e">
        <f>IF(#REF!,"AAAAAD+X7z0=",0)</f>
        <v>#REF!</v>
      </c>
      <c r="BK371" t="e">
        <f>IF(#REF!,"AAAAAD+X7z4=",0)</f>
        <v>#REF!</v>
      </c>
      <c r="BL371" t="e">
        <f>IF(#REF!,"AAAAAD+X7z8=",0)</f>
        <v>#REF!</v>
      </c>
      <c r="BM371" t="e">
        <f>IF(#REF!,"AAAAAD+X70A=",0)</f>
        <v>#REF!</v>
      </c>
      <c r="BN371" t="e">
        <f>IF(#REF!,"AAAAAD+X70E=",0)</f>
        <v>#REF!</v>
      </c>
      <c r="BO371" t="e">
        <f>IF(#REF!,"AAAAAD+X70I=",0)</f>
        <v>#REF!</v>
      </c>
      <c r="BP371" t="e">
        <f>IF(#REF!,"AAAAAD+X70M=",0)</f>
        <v>#REF!</v>
      </c>
      <c r="BQ371" t="e">
        <f>IF(#REF!,"AAAAAD+X70Q=",0)</f>
        <v>#REF!</v>
      </c>
      <c r="BR371" t="e">
        <f>IF(#REF!,"AAAAAD+X70U=",0)</f>
        <v>#REF!</v>
      </c>
      <c r="BS371" t="e">
        <f>IF(#REF!,"AAAAAD+X70Y=",0)</f>
        <v>#REF!</v>
      </c>
      <c r="BT371" t="e">
        <f>IF(#REF!,"AAAAAD+X70c=",0)</f>
        <v>#REF!</v>
      </c>
      <c r="BU371" t="e">
        <f>IF(#REF!,"AAAAAD+X70g=",0)</f>
        <v>#REF!</v>
      </c>
      <c r="BV371" t="e">
        <f>IF(#REF!,"AAAAAD+X70k=",0)</f>
        <v>#REF!</v>
      </c>
      <c r="BW371" t="e">
        <f>IF(#REF!,"AAAAAD+X70o=",0)</f>
        <v>#REF!</v>
      </c>
      <c r="BX371" t="e">
        <f>IF(#REF!,"AAAAAD+X70s=",0)</f>
        <v>#REF!</v>
      </c>
      <c r="BY371" t="e">
        <f>IF(#REF!,"AAAAAD+X70w=",0)</f>
        <v>#REF!</v>
      </c>
      <c r="BZ371" t="e">
        <f>IF(#REF!,"AAAAAD+X700=",0)</f>
        <v>#REF!</v>
      </c>
      <c r="CA371" t="e">
        <f>IF(#REF!,"AAAAAD+X704=",0)</f>
        <v>#REF!</v>
      </c>
      <c r="CB371" t="e">
        <f>IF(#REF!,"AAAAAD+X708=",0)</f>
        <v>#REF!</v>
      </c>
      <c r="CC371" t="e">
        <f>IF(#REF!,"AAAAAD+X71A=",0)</f>
        <v>#REF!</v>
      </c>
      <c r="CD371" t="e">
        <f>IF(#REF!,"AAAAAD+X71E=",0)</f>
        <v>#REF!</v>
      </c>
      <c r="CE371" t="e">
        <f>IF(#REF!,"AAAAAD+X71I=",0)</f>
        <v>#REF!</v>
      </c>
      <c r="CF371" t="e">
        <f>IF(#REF!,"AAAAAD+X71M=",0)</f>
        <v>#REF!</v>
      </c>
      <c r="CG371" t="e">
        <f>IF(#REF!,"AAAAAD+X71Q=",0)</f>
        <v>#REF!</v>
      </c>
      <c r="CH371" t="e">
        <f>IF(#REF!,"AAAAAD+X71U=",0)</f>
        <v>#REF!</v>
      </c>
      <c r="CI371" t="e">
        <f>IF(#REF!,"AAAAAD+X71Y=",0)</f>
        <v>#REF!</v>
      </c>
      <c r="CJ371" t="e">
        <f>IF(#REF!,"AAAAAD+X71c=",0)</f>
        <v>#REF!</v>
      </c>
      <c r="CK371" t="e">
        <f>IF(#REF!,"AAAAAD+X71g=",0)</f>
        <v>#REF!</v>
      </c>
      <c r="CL371" t="e">
        <f>IF(#REF!,"AAAAAD+X71k=",0)</f>
        <v>#REF!</v>
      </c>
      <c r="CM371" t="e">
        <f>IF(#REF!,"AAAAAD+X71o=",0)</f>
        <v>#REF!</v>
      </c>
      <c r="CN371" t="e">
        <f>IF(#REF!,"AAAAAD+X71s=",0)</f>
        <v>#REF!</v>
      </c>
      <c r="CO371" t="e">
        <f>IF(#REF!,"AAAAAD+X71w=",0)</f>
        <v>#REF!</v>
      </c>
      <c r="CP371" t="e">
        <f>IF(#REF!,"AAAAAD+X710=",0)</f>
        <v>#REF!</v>
      </c>
      <c r="CQ371" t="e">
        <f>IF(#REF!,"AAAAAD+X714=",0)</f>
        <v>#REF!</v>
      </c>
      <c r="CR371" t="e">
        <f>IF(#REF!,"AAAAAD+X718=",0)</f>
        <v>#REF!</v>
      </c>
      <c r="CS371" t="e">
        <f>IF(#REF!,"AAAAAD+X72A=",0)</f>
        <v>#REF!</v>
      </c>
      <c r="CT371" t="e">
        <f>IF(#REF!,"AAAAAD+X72E=",0)</f>
        <v>#REF!</v>
      </c>
      <c r="CU371" t="e">
        <f>IF(#REF!,"AAAAAD+X72I=",0)</f>
        <v>#REF!</v>
      </c>
      <c r="CV371" t="e">
        <f>IF(#REF!,"AAAAAD+X72M=",0)</f>
        <v>#REF!</v>
      </c>
      <c r="CW371" t="e">
        <f>IF(#REF!,"AAAAAD+X72Q=",0)</f>
        <v>#REF!</v>
      </c>
      <c r="CX371" t="e">
        <f>IF(#REF!,"AAAAAD+X72U=",0)</f>
        <v>#REF!</v>
      </c>
      <c r="CY371" t="e">
        <f>IF(#REF!,"AAAAAD+X72Y=",0)</f>
        <v>#REF!</v>
      </c>
      <c r="CZ371" t="e">
        <f>IF(#REF!,"AAAAAD+X72c=",0)</f>
        <v>#REF!</v>
      </c>
      <c r="DA371" t="e">
        <f>IF(#REF!,"AAAAAD+X72g=",0)</f>
        <v>#REF!</v>
      </c>
      <c r="DB371" t="e">
        <f>IF(#REF!,"AAAAAD+X72k=",0)</f>
        <v>#REF!</v>
      </c>
      <c r="DC371" t="e">
        <f>IF(#REF!,"AAAAAD+X72o=",0)</f>
        <v>#REF!</v>
      </c>
      <c r="DD371" t="e">
        <f>IF(#REF!,"AAAAAD+X72s=",0)</f>
        <v>#REF!</v>
      </c>
      <c r="DE371" t="e">
        <f>IF(#REF!,"AAAAAD+X72w=",0)</f>
        <v>#REF!</v>
      </c>
      <c r="DF371" t="e">
        <f>IF(#REF!,"AAAAAD+X720=",0)</f>
        <v>#REF!</v>
      </c>
      <c r="DG371" t="e">
        <f>IF(#REF!,"AAAAAD+X724=",0)</f>
        <v>#REF!</v>
      </c>
      <c r="DH371" t="e">
        <f>IF(#REF!,"AAAAAD+X728=",0)</f>
        <v>#REF!</v>
      </c>
      <c r="DI371" t="e">
        <f>IF(#REF!,"AAAAAD+X73A=",0)</f>
        <v>#REF!</v>
      </c>
      <c r="DJ371" t="e">
        <f>IF(#REF!,"AAAAAD+X73E=",0)</f>
        <v>#REF!</v>
      </c>
      <c r="DK371" t="e">
        <f>IF(#REF!,"AAAAAD+X73I=",0)</f>
        <v>#REF!</v>
      </c>
      <c r="DL371" t="e">
        <f>IF(#REF!,"AAAAAD+X73M=",0)</f>
        <v>#REF!</v>
      </c>
      <c r="DM371" t="e">
        <f>IF(#REF!,"AAAAAD+X73Q=",0)</f>
        <v>#REF!</v>
      </c>
      <c r="DN371" t="e">
        <f>IF(#REF!,"AAAAAD+X73U=",0)</f>
        <v>#REF!</v>
      </c>
      <c r="DO371" t="e">
        <f>IF(#REF!,"AAAAAD+X73Y=",0)</f>
        <v>#REF!</v>
      </c>
      <c r="DP371" t="e">
        <f>IF(#REF!,"AAAAAD+X73c=",0)</f>
        <v>#REF!</v>
      </c>
      <c r="DQ371" t="e">
        <f>IF(#REF!,"AAAAAD+X73g=",0)</f>
        <v>#REF!</v>
      </c>
      <c r="DR371" t="e">
        <f>IF(#REF!,"AAAAAD+X73k=",0)</f>
        <v>#REF!</v>
      </c>
      <c r="DS371" t="e">
        <f>IF(#REF!,"AAAAAD+X73o=",0)</f>
        <v>#REF!</v>
      </c>
      <c r="DT371" t="e">
        <f>IF(#REF!,"AAAAAD+X73s=",0)</f>
        <v>#REF!</v>
      </c>
      <c r="DU371" t="e">
        <f>IF(#REF!,"AAAAAD+X73w=",0)</f>
        <v>#REF!</v>
      </c>
      <c r="DV371" t="e">
        <f>IF(#REF!,"AAAAAD+X730=",0)</f>
        <v>#REF!</v>
      </c>
      <c r="DW371" t="e">
        <f>IF(#REF!,"AAAAAD+X734=",0)</f>
        <v>#REF!</v>
      </c>
      <c r="DX371" t="e">
        <f>IF(#REF!,"AAAAAD+X738=",0)</f>
        <v>#REF!</v>
      </c>
      <c r="DY371" t="e">
        <f>IF(#REF!,"AAAAAD+X74A=",0)</f>
        <v>#REF!</v>
      </c>
      <c r="DZ371" t="e">
        <f>IF(#REF!,"AAAAAD+X74E=",0)</f>
        <v>#REF!</v>
      </c>
      <c r="EA371" t="e">
        <f>IF(#REF!,"AAAAAD+X74I=",0)</f>
        <v>#REF!</v>
      </c>
      <c r="EB371" t="e">
        <f>IF(#REF!,"AAAAAD+X74M=",0)</f>
        <v>#REF!</v>
      </c>
      <c r="EC371" t="e">
        <f>IF(#REF!,"AAAAAD+X74Q=",0)</f>
        <v>#REF!</v>
      </c>
      <c r="ED371" t="e">
        <f>IF(#REF!,"AAAAAD+X74U=",0)</f>
        <v>#REF!</v>
      </c>
      <c r="EE371" t="e">
        <f>IF(#REF!,"AAAAAD+X74Y=",0)</f>
        <v>#REF!</v>
      </c>
      <c r="EF371" t="e">
        <f>IF(#REF!,"AAAAAD+X74c=",0)</f>
        <v>#REF!</v>
      </c>
      <c r="EG371" t="e">
        <f>IF(#REF!,"AAAAAD+X74g=",0)</f>
        <v>#REF!</v>
      </c>
      <c r="EH371" t="e">
        <f>IF(#REF!,"AAAAAD+X74k=",0)</f>
        <v>#REF!</v>
      </c>
      <c r="EI371" t="e">
        <f>IF(#REF!,"AAAAAD+X74o=",0)</f>
        <v>#REF!</v>
      </c>
      <c r="EJ371" t="e">
        <f>IF(#REF!,"AAAAAD+X74s=",0)</f>
        <v>#REF!</v>
      </c>
      <c r="EK371" t="e">
        <f>IF(#REF!,"AAAAAD+X74w=",0)</f>
        <v>#REF!</v>
      </c>
      <c r="EL371" t="e">
        <f>IF(#REF!,"AAAAAD+X740=",0)</f>
        <v>#REF!</v>
      </c>
      <c r="EM371" t="e">
        <f>IF(#REF!,"AAAAAD+X744=",0)</f>
        <v>#REF!</v>
      </c>
      <c r="EN371" t="e">
        <f>IF(#REF!,"AAAAAD+X748=",0)</f>
        <v>#REF!</v>
      </c>
      <c r="EO371" t="e">
        <f>IF(#REF!,"AAAAAD+X75A=",0)</f>
        <v>#REF!</v>
      </c>
      <c r="EP371" t="e">
        <f>IF(#REF!,"AAAAAD+X75E=",0)</f>
        <v>#REF!</v>
      </c>
      <c r="EQ371" t="e">
        <f>IF(#REF!,"AAAAAD+X75I=",0)</f>
        <v>#REF!</v>
      </c>
      <c r="ER371" t="e">
        <f>IF(#REF!,"AAAAAD+X75M=",0)</f>
        <v>#REF!</v>
      </c>
      <c r="ES371" t="e">
        <f>IF(#REF!,"AAAAAD+X75Q=",0)</f>
        <v>#REF!</v>
      </c>
      <c r="ET371" t="e">
        <f>IF(#REF!,"AAAAAD+X75U=",0)</f>
        <v>#REF!</v>
      </c>
      <c r="EU371" t="e">
        <f>IF(#REF!,"AAAAAD+X75Y=",0)</f>
        <v>#REF!</v>
      </c>
      <c r="EV371" t="e">
        <f>IF(#REF!,"AAAAAD+X75c=",0)</f>
        <v>#REF!</v>
      </c>
      <c r="EW371" t="e">
        <f>IF(#REF!,"AAAAAD+X75g=",0)</f>
        <v>#REF!</v>
      </c>
      <c r="EX371" t="e">
        <f>IF(#REF!,"AAAAAD+X75k=",0)</f>
        <v>#REF!</v>
      </c>
      <c r="EY371" t="e">
        <f>IF(#REF!,"AAAAAD+X75o=",0)</f>
        <v>#REF!</v>
      </c>
      <c r="EZ371" t="e">
        <f>IF(#REF!,"AAAAAD+X75s=",0)</f>
        <v>#REF!</v>
      </c>
      <c r="FA371" t="e">
        <f>IF(#REF!,"AAAAAD+X75w=",0)</f>
        <v>#REF!</v>
      </c>
      <c r="FB371" t="e">
        <f>IF(#REF!,"AAAAAD+X750=",0)</f>
        <v>#REF!</v>
      </c>
      <c r="FC371" t="e">
        <f>IF(#REF!,"AAAAAD+X754=",0)</f>
        <v>#REF!</v>
      </c>
      <c r="FD371" t="e">
        <f>IF(#REF!,"AAAAAD+X758=",0)</f>
        <v>#REF!</v>
      </c>
      <c r="FE371" t="e">
        <f>IF(#REF!,"AAAAAD+X76A=",0)</f>
        <v>#REF!</v>
      </c>
      <c r="FF371" t="e">
        <f>IF(#REF!,"AAAAAD+X76E=",0)</f>
        <v>#REF!</v>
      </c>
      <c r="FG371" t="e">
        <f>IF(#REF!,"AAAAAD+X76I=",0)</f>
        <v>#REF!</v>
      </c>
      <c r="FH371" t="e">
        <f>IF(#REF!,"AAAAAD+X76M=",0)</f>
        <v>#REF!</v>
      </c>
      <c r="FI371" t="e">
        <f>IF(#REF!,"AAAAAD+X76Q=",0)</f>
        <v>#REF!</v>
      </c>
      <c r="FJ371" t="e">
        <f>IF(#REF!,"AAAAAD+X76U=",0)</f>
        <v>#REF!</v>
      </c>
      <c r="FK371" t="e">
        <f>IF(#REF!,"AAAAAD+X76Y=",0)</f>
        <v>#REF!</v>
      </c>
      <c r="FL371" t="e">
        <f>IF(#REF!,"AAAAAD+X76c=",0)</f>
        <v>#REF!</v>
      </c>
      <c r="FM371" t="e">
        <f>IF(#REF!,"AAAAAD+X76g=",0)</f>
        <v>#REF!</v>
      </c>
      <c r="FN371" t="e">
        <f>IF(#REF!,"AAAAAD+X76k=",0)</f>
        <v>#REF!</v>
      </c>
      <c r="FO371" t="e">
        <f>IF(#REF!,"AAAAAD+X76o=",0)</f>
        <v>#REF!</v>
      </c>
      <c r="FP371" t="e">
        <f>IF(#REF!,"AAAAAD+X76s=",0)</f>
        <v>#REF!</v>
      </c>
      <c r="FQ371" t="e">
        <f>IF(#REF!,"AAAAAD+X76w=",0)</f>
        <v>#REF!</v>
      </c>
      <c r="FR371" t="e">
        <f>IF(#REF!,"AAAAAD+X760=",0)</f>
        <v>#REF!</v>
      </c>
      <c r="FS371" t="e">
        <f>IF(#REF!,"AAAAAD+X764=",0)</f>
        <v>#REF!</v>
      </c>
      <c r="FT371" t="e">
        <f>IF(#REF!,"AAAAAD+X768=",0)</f>
        <v>#REF!</v>
      </c>
      <c r="FU371" t="e">
        <f>IF(#REF!,"AAAAAD+X77A=",0)</f>
        <v>#REF!</v>
      </c>
      <c r="FV371" t="e">
        <f>IF(#REF!,"AAAAAD+X77E=",0)</f>
        <v>#REF!</v>
      </c>
      <c r="FW371" t="e">
        <f>IF(#REF!,"AAAAAD+X77I=",0)</f>
        <v>#REF!</v>
      </c>
      <c r="FX371" t="e">
        <f>IF(#REF!,"AAAAAD+X77M=",0)</f>
        <v>#REF!</v>
      </c>
      <c r="FY371" t="e">
        <f>IF(#REF!,"AAAAAD+X77Q=",0)</f>
        <v>#REF!</v>
      </c>
      <c r="FZ371" t="e">
        <f>IF(#REF!,"AAAAAD+X77U=",0)</f>
        <v>#REF!</v>
      </c>
      <c r="GA371" t="e">
        <f>IF(#REF!,"AAAAAD+X77Y=",0)</f>
        <v>#REF!</v>
      </c>
      <c r="GB371" t="e">
        <f>IF(#REF!,"AAAAAD+X77c=",0)</f>
        <v>#REF!</v>
      </c>
      <c r="GC371" t="e">
        <f>IF(#REF!,"AAAAAD+X77g=",0)</f>
        <v>#REF!</v>
      </c>
      <c r="GD371" t="e">
        <f>IF(#REF!,"AAAAAD+X77k=",0)</f>
        <v>#REF!</v>
      </c>
      <c r="GE371" t="e">
        <f>IF(#REF!,"AAAAAD+X77o=",0)</f>
        <v>#REF!</v>
      </c>
      <c r="GF371" t="e">
        <f>IF(#REF!,"AAAAAD+X77s=",0)</f>
        <v>#REF!</v>
      </c>
      <c r="GG371" t="e">
        <f>IF(#REF!,"AAAAAD+X77w=",0)</f>
        <v>#REF!</v>
      </c>
      <c r="GH371" t="e">
        <f>IF(#REF!,"AAAAAD+X770=",0)</f>
        <v>#REF!</v>
      </c>
      <c r="GI371" t="e">
        <f>IF(#REF!,"AAAAAD+X774=",0)</f>
        <v>#REF!</v>
      </c>
      <c r="GJ371" t="e">
        <f>IF(#REF!,"AAAAAD+X778=",0)</f>
        <v>#REF!</v>
      </c>
      <c r="GK371" t="e">
        <f>IF(#REF!,"AAAAAD+X78A=",0)</f>
        <v>#REF!</v>
      </c>
      <c r="GL371" t="e">
        <f>IF(#REF!,"AAAAAD+X78E=",0)</f>
        <v>#REF!</v>
      </c>
      <c r="GM371" t="e">
        <f>IF(#REF!,"AAAAAD+X78I=",0)</f>
        <v>#REF!</v>
      </c>
      <c r="GN371" t="e">
        <f>IF(#REF!,"AAAAAD+X78M=",0)</f>
        <v>#REF!</v>
      </c>
      <c r="GO371" t="e">
        <f>IF(#REF!,"AAAAAD+X78Q=",0)</f>
        <v>#REF!</v>
      </c>
      <c r="GP371" t="e">
        <f>IF(#REF!,"AAAAAD+X78U=",0)</f>
        <v>#REF!</v>
      </c>
      <c r="GQ371" t="e">
        <f>IF(#REF!,"AAAAAD+X78Y=",0)</f>
        <v>#REF!</v>
      </c>
      <c r="GR371" t="e">
        <f>IF(#REF!,"AAAAAD+X78c=",0)</f>
        <v>#REF!</v>
      </c>
      <c r="GS371" t="e">
        <f>IF(#REF!,"AAAAAD+X78g=",0)</f>
        <v>#REF!</v>
      </c>
      <c r="GT371" t="e">
        <f>IF(#REF!,"AAAAAD+X78k=",0)</f>
        <v>#REF!</v>
      </c>
      <c r="GU371" t="e">
        <f>IF(#REF!,"AAAAAD+X78o=",0)</f>
        <v>#REF!</v>
      </c>
      <c r="GV371" t="e">
        <f>IF(#REF!,"AAAAAD+X78s=",0)</f>
        <v>#REF!</v>
      </c>
      <c r="GW371" t="e">
        <f>IF(#REF!,"AAAAAD+X78w=",0)</f>
        <v>#REF!</v>
      </c>
      <c r="GX371" t="e">
        <f>IF(#REF!,"AAAAAD+X780=",0)</f>
        <v>#REF!</v>
      </c>
      <c r="GY371" t="e">
        <f>IF(#REF!,"AAAAAD+X784=",0)</f>
        <v>#REF!</v>
      </c>
      <c r="GZ371" t="e">
        <f>IF(#REF!,"AAAAAD+X788=",0)</f>
        <v>#REF!</v>
      </c>
      <c r="HA371" t="e">
        <f>IF(#REF!,"AAAAAD+X79A=",0)</f>
        <v>#REF!</v>
      </c>
      <c r="HB371" t="e">
        <f>IF(#REF!,"AAAAAD+X79E=",0)</f>
        <v>#REF!</v>
      </c>
      <c r="HC371" t="e">
        <f>IF(#REF!,"AAAAAD+X79I=",0)</f>
        <v>#REF!</v>
      </c>
      <c r="HD371" t="e">
        <f>IF(#REF!,"AAAAAD+X79M=",0)</f>
        <v>#REF!</v>
      </c>
      <c r="HE371" t="e">
        <f>IF(#REF!,"AAAAAD+X79Q=",0)</f>
        <v>#REF!</v>
      </c>
      <c r="HF371" t="e">
        <f>IF(#REF!,"AAAAAD+X79U=",0)</f>
        <v>#REF!</v>
      </c>
      <c r="HG371" t="e">
        <f>IF(#REF!,"AAAAAD+X79Y=",0)</f>
        <v>#REF!</v>
      </c>
      <c r="HH371" t="e">
        <f>IF(#REF!,"AAAAAD+X79c=",0)</f>
        <v>#REF!</v>
      </c>
      <c r="HI371" t="e">
        <f>IF(#REF!,"AAAAAD+X79g=",0)</f>
        <v>#REF!</v>
      </c>
      <c r="HJ371" t="e">
        <f>IF(#REF!,"AAAAAD+X79k=",0)</f>
        <v>#REF!</v>
      </c>
      <c r="HK371" t="e">
        <f>IF(#REF!,"AAAAAD+X79o=",0)</f>
        <v>#REF!</v>
      </c>
      <c r="HL371" t="e">
        <f>IF(#REF!,"AAAAAD+X79s=",0)</f>
        <v>#REF!</v>
      </c>
      <c r="HM371" t="e">
        <f>IF(#REF!,"AAAAAD+X79w=",0)</f>
        <v>#REF!</v>
      </c>
      <c r="HN371" t="e">
        <f>IF(#REF!,"AAAAAD+X790=",0)</f>
        <v>#REF!</v>
      </c>
      <c r="HO371" t="e">
        <f>IF(#REF!,"AAAAAD+X794=",0)</f>
        <v>#REF!</v>
      </c>
      <c r="HP371" t="e">
        <f>IF(#REF!,"AAAAAD+X798=",0)</f>
        <v>#REF!</v>
      </c>
      <c r="HQ371" t="e">
        <f>IF(#REF!,"AAAAAD+X7+A=",0)</f>
        <v>#REF!</v>
      </c>
      <c r="HR371" t="e">
        <f>IF(#REF!,"AAAAAD+X7+E=",0)</f>
        <v>#REF!</v>
      </c>
      <c r="HS371" t="e">
        <f>IF(#REF!,"AAAAAD+X7+I=",0)</f>
        <v>#REF!</v>
      </c>
      <c r="HT371" t="e">
        <f>IF(#REF!,"AAAAAD+X7+M=",0)</f>
        <v>#REF!</v>
      </c>
      <c r="HU371" t="e">
        <f>IF(#REF!,"AAAAAD+X7+Q=",0)</f>
        <v>#REF!</v>
      </c>
      <c r="HV371" t="e">
        <f>IF(#REF!,"AAAAAD+X7+U=",0)</f>
        <v>#REF!</v>
      </c>
      <c r="HW371" t="e">
        <f>IF(#REF!,"AAAAAD+X7+Y=",0)</f>
        <v>#REF!</v>
      </c>
      <c r="HX371" t="e">
        <f>IF(#REF!,"AAAAAD+X7+c=",0)</f>
        <v>#REF!</v>
      </c>
      <c r="HY371" t="e">
        <f>IF(#REF!,"AAAAAD+X7+g=",0)</f>
        <v>#REF!</v>
      </c>
      <c r="HZ371" t="e">
        <f>IF(#REF!,"AAAAAD+X7+k=",0)</f>
        <v>#REF!</v>
      </c>
      <c r="IA371" t="e">
        <f>IF(#REF!,"AAAAAD+X7+o=",0)</f>
        <v>#REF!</v>
      </c>
      <c r="IB371" t="e">
        <f>IF(#REF!,"AAAAAD+X7+s=",0)</f>
        <v>#REF!</v>
      </c>
      <c r="IC371" t="e">
        <f>IF(#REF!,"AAAAAD+X7+w=",0)</f>
        <v>#REF!</v>
      </c>
      <c r="ID371" t="e">
        <f>IF(#REF!,"AAAAAD+X7+0=",0)</f>
        <v>#REF!</v>
      </c>
      <c r="IE371" t="e">
        <f>IF(#REF!,"AAAAAD+X7+4=",0)</f>
        <v>#REF!</v>
      </c>
      <c r="IF371" t="e">
        <f>IF(#REF!,"AAAAAD+X7+8=",0)</f>
        <v>#REF!</v>
      </c>
      <c r="IG371" t="e">
        <f>IF(#REF!,"AAAAAD+X7/A=",0)</f>
        <v>#REF!</v>
      </c>
      <c r="IH371" t="e">
        <f>IF(#REF!,"AAAAAD+X7/E=",0)</f>
        <v>#REF!</v>
      </c>
      <c r="II371" t="e">
        <f>IF(#REF!,"AAAAAD+X7/I=",0)</f>
        <v>#REF!</v>
      </c>
      <c r="IJ371" t="e">
        <f>IF(#REF!,"AAAAAD+X7/M=",0)</f>
        <v>#REF!</v>
      </c>
      <c r="IK371" t="e">
        <f>IF(#REF!,"AAAAAD+X7/Q=",0)</f>
        <v>#REF!</v>
      </c>
      <c r="IL371" t="e">
        <f>IF(#REF!,"AAAAAD+X7/U=",0)</f>
        <v>#REF!</v>
      </c>
      <c r="IM371" t="e">
        <f>IF(#REF!,"AAAAAD+X7/Y=",0)</f>
        <v>#REF!</v>
      </c>
      <c r="IN371" t="e">
        <f>IF(#REF!,"AAAAAD+X7/c=",0)</f>
        <v>#REF!</v>
      </c>
      <c r="IO371" t="e">
        <f>IF(#REF!,"AAAAAD+X7/g=",0)</f>
        <v>#REF!</v>
      </c>
      <c r="IP371" t="e">
        <f>IF(#REF!,"AAAAAD+X7/k=",0)</f>
        <v>#REF!</v>
      </c>
      <c r="IQ371" t="e">
        <f>IF(#REF!,"AAAAAD+X7/o=",0)</f>
        <v>#REF!</v>
      </c>
      <c r="IR371" t="e">
        <f>IF(#REF!,"AAAAAD+X7/s=",0)</f>
        <v>#REF!</v>
      </c>
      <c r="IS371" t="e">
        <f>IF(#REF!,"AAAAAD+X7/w=",0)</f>
        <v>#REF!</v>
      </c>
      <c r="IT371" t="e">
        <f>IF(#REF!,"AAAAAD+X7/0=",0)</f>
        <v>#REF!</v>
      </c>
      <c r="IU371" t="e">
        <f>IF(#REF!,"AAAAAD+X7/4=",0)</f>
        <v>#REF!</v>
      </c>
      <c r="IV371" t="e">
        <f>IF(#REF!,"AAAAAD+X7/8=",0)</f>
        <v>#REF!</v>
      </c>
    </row>
    <row r="372" spans="1:256">
      <c r="A372" t="e">
        <f>IF(#REF!,"AAAAAG839wA=",0)</f>
        <v>#REF!</v>
      </c>
      <c r="B372" t="e">
        <f>IF(#REF!,"AAAAAG839wE=",0)</f>
        <v>#REF!</v>
      </c>
      <c r="C372" t="e">
        <f>IF(#REF!,"AAAAAG839wI=",0)</f>
        <v>#REF!</v>
      </c>
      <c r="D372" t="e">
        <f>IF(#REF!,"AAAAAG839wM=",0)</f>
        <v>#REF!</v>
      </c>
      <c r="E372" t="e">
        <f>IF(#REF!,"AAAAAG839wQ=",0)</f>
        <v>#REF!</v>
      </c>
      <c r="F372" t="e">
        <f>IF(#REF!,"AAAAAG839wU=",0)</f>
        <v>#REF!</v>
      </c>
      <c r="G372" t="e">
        <f>IF(#REF!,"AAAAAG839wY=",0)</f>
        <v>#REF!</v>
      </c>
      <c r="H372" t="e">
        <f>IF(#REF!,"AAAAAG839wc=",0)</f>
        <v>#REF!</v>
      </c>
      <c r="I372" t="e">
        <f>IF(#REF!,"AAAAAG839wg=",0)</f>
        <v>#REF!</v>
      </c>
      <c r="J372" t="e">
        <f>IF(#REF!,"AAAAAG839wk=",0)</f>
        <v>#REF!</v>
      </c>
      <c r="K372" t="e">
        <f>IF(#REF!,"AAAAAG839wo=",0)</f>
        <v>#REF!</v>
      </c>
      <c r="L372" t="e">
        <f>IF(#REF!,"AAAAAG839ws=",0)</f>
        <v>#REF!</v>
      </c>
      <c r="M372" t="e">
        <f>IF(#REF!,"AAAAAG839ww=",0)</f>
        <v>#REF!</v>
      </c>
      <c r="N372" t="e">
        <f>IF(#REF!,"AAAAAG839w0=",0)</f>
        <v>#REF!</v>
      </c>
      <c r="O372" t="e">
        <f>IF(#REF!,"AAAAAG839w4=",0)</f>
        <v>#REF!</v>
      </c>
      <c r="P372" t="e">
        <f>IF(#REF!,"AAAAAG839w8=",0)</f>
        <v>#REF!</v>
      </c>
      <c r="Q372" t="e">
        <f>IF(#REF!,"AAAAAG839xA=",0)</f>
        <v>#REF!</v>
      </c>
      <c r="R372" t="e">
        <f>IF(#REF!,"AAAAAG839xE=",0)</f>
        <v>#REF!</v>
      </c>
      <c r="S372" t="e">
        <f>IF(#REF!,"AAAAAG839xI=",0)</f>
        <v>#REF!</v>
      </c>
      <c r="T372" t="e">
        <f>IF(#REF!,"AAAAAG839xM=",0)</f>
        <v>#REF!</v>
      </c>
      <c r="U372" t="e">
        <f>IF(#REF!,"AAAAAG839xQ=",0)</f>
        <v>#REF!</v>
      </c>
      <c r="V372" t="e">
        <f>IF(#REF!,"AAAAAG839xU=",0)</f>
        <v>#REF!</v>
      </c>
      <c r="W372" t="e">
        <f>IF(#REF!,"AAAAAG839xY=",0)</f>
        <v>#REF!</v>
      </c>
      <c r="X372" t="e">
        <f>IF(#REF!,"AAAAAG839xc=",0)</f>
        <v>#REF!</v>
      </c>
      <c r="Y372" t="e">
        <f>IF(#REF!,"AAAAAG839xg=",0)</f>
        <v>#REF!</v>
      </c>
      <c r="Z372" t="e">
        <f>IF(#REF!,"AAAAAG839xk=",0)</f>
        <v>#REF!</v>
      </c>
      <c r="AA372" t="e">
        <f>IF(#REF!,"AAAAAG839xo=",0)</f>
        <v>#REF!</v>
      </c>
      <c r="AB372" t="e">
        <f>IF(#REF!,"AAAAAG839xs=",0)</f>
        <v>#REF!</v>
      </c>
      <c r="AC372" t="e">
        <f>IF(#REF!,"AAAAAG839xw=",0)</f>
        <v>#REF!</v>
      </c>
      <c r="AD372" t="e">
        <f>IF(#REF!,"AAAAAG839x0=",0)</f>
        <v>#REF!</v>
      </c>
      <c r="AE372" t="e">
        <f>IF(#REF!,"AAAAAG839x4=",0)</f>
        <v>#REF!</v>
      </c>
      <c r="AF372" t="e">
        <f>IF(#REF!,"AAAAAG839x8=",0)</f>
        <v>#REF!</v>
      </c>
      <c r="AG372" t="e">
        <f>IF(#REF!,"AAAAAG839yA=",0)</f>
        <v>#REF!</v>
      </c>
      <c r="AH372" t="e">
        <f>IF(#REF!,"AAAAAG839yE=",0)</f>
        <v>#REF!</v>
      </c>
      <c r="AI372" t="e">
        <f>IF(#REF!,"AAAAAG839yI=",0)</f>
        <v>#REF!</v>
      </c>
      <c r="AJ372" t="e">
        <f>IF(#REF!,"AAAAAG839yM=",0)</f>
        <v>#REF!</v>
      </c>
      <c r="AK372" t="e">
        <f>IF(#REF!,"AAAAAG839yQ=",0)</f>
        <v>#REF!</v>
      </c>
      <c r="AL372" t="e">
        <f>IF(#REF!,"AAAAAG839yU=",0)</f>
        <v>#REF!</v>
      </c>
      <c r="AM372" t="e">
        <f>IF(#REF!,"AAAAAG839yY=",0)</f>
        <v>#REF!</v>
      </c>
      <c r="AN372" t="e">
        <f>IF(#REF!,"AAAAAG839yc=",0)</f>
        <v>#REF!</v>
      </c>
      <c r="AO372" t="e">
        <f>IF(#REF!,"AAAAAG839yg=",0)</f>
        <v>#REF!</v>
      </c>
      <c r="AP372" t="e">
        <f>IF(#REF!,"AAAAAG839yk=",0)</f>
        <v>#REF!</v>
      </c>
      <c r="AQ372" t="e">
        <f>IF(#REF!,"AAAAAG839yo=",0)</f>
        <v>#REF!</v>
      </c>
      <c r="AR372" t="e">
        <f>IF(#REF!,"AAAAAG839ys=",0)</f>
        <v>#REF!</v>
      </c>
      <c r="AS372" t="e">
        <f>IF(#REF!,"AAAAAG839yw=",0)</f>
        <v>#REF!</v>
      </c>
      <c r="AT372" t="e">
        <f>IF(#REF!,"AAAAAG839y0=",0)</f>
        <v>#REF!</v>
      </c>
      <c r="AU372" t="e">
        <f>IF(#REF!,"AAAAAG839y4=",0)</f>
        <v>#REF!</v>
      </c>
      <c r="AV372" t="e">
        <f>IF(#REF!,"AAAAAG839y8=",0)</f>
        <v>#REF!</v>
      </c>
      <c r="AW372" t="e">
        <f>IF(#REF!,"AAAAAG839zA=",0)</f>
        <v>#REF!</v>
      </c>
      <c r="AX372" t="e">
        <f>IF(#REF!,"AAAAAG839zE=",0)</f>
        <v>#REF!</v>
      </c>
      <c r="AY372" t="e">
        <f>IF(#REF!,"AAAAAG839zI=",0)</f>
        <v>#REF!</v>
      </c>
      <c r="AZ372" t="e">
        <f>IF(#REF!,"AAAAAG839zM=",0)</f>
        <v>#REF!</v>
      </c>
      <c r="BA372" t="e">
        <f>IF(#REF!,"AAAAAG839zQ=",0)</f>
        <v>#REF!</v>
      </c>
      <c r="BB372" t="e">
        <f>IF(#REF!,"AAAAAG839zU=",0)</f>
        <v>#REF!</v>
      </c>
      <c r="BC372" t="e">
        <f>IF(#REF!,"AAAAAG839zY=",0)</f>
        <v>#REF!</v>
      </c>
      <c r="BD372" t="e">
        <f>IF(#REF!,"AAAAAG839zc=",0)</f>
        <v>#REF!</v>
      </c>
      <c r="BE372" t="e">
        <f>IF(#REF!,"AAAAAG839zg=",0)</f>
        <v>#REF!</v>
      </c>
      <c r="BF372" t="e">
        <f>IF(#REF!,"AAAAAG839zk=",0)</f>
        <v>#REF!</v>
      </c>
      <c r="BG372" t="e">
        <f>IF(#REF!,"AAAAAG839zo=",0)</f>
        <v>#REF!</v>
      </c>
      <c r="BH372" t="e">
        <f>IF(#REF!,"AAAAAG839zs=",0)</f>
        <v>#REF!</v>
      </c>
      <c r="BI372" t="e">
        <f>IF(#REF!,"AAAAAG839zw=",0)</f>
        <v>#REF!</v>
      </c>
      <c r="BJ372" t="e">
        <f>IF(#REF!,"AAAAAG839z0=",0)</f>
        <v>#REF!</v>
      </c>
      <c r="BK372" t="e">
        <f>IF(#REF!,"AAAAAG839z4=",0)</f>
        <v>#REF!</v>
      </c>
      <c r="BL372" t="e">
        <f>IF(#REF!,"AAAAAG839z8=",0)</f>
        <v>#REF!</v>
      </c>
      <c r="BM372" t="e">
        <f>IF(#REF!,"AAAAAG8390A=",0)</f>
        <v>#REF!</v>
      </c>
      <c r="BN372" t="e">
        <f>IF(#REF!,"AAAAAG8390E=",0)</f>
        <v>#REF!</v>
      </c>
      <c r="BO372" t="e">
        <f>IF(#REF!,"AAAAAG8390I=",0)</f>
        <v>#REF!</v>
      </c>
      <c r="BP372" t="e">
        <f>IF(#REF!,"AAAAAG8390M=",0)</f>
        <v>#REF!</v>
      </c>
      <c r="BQ372" t="e">
        <f>IF(#REF!,"AAAAAG8390Q=",0)</f>
        <v>#REF!</v>
      </c>
      <c r="BR372" t="e">
        <f>IF(#REF!,"AAAAAG8390U=",0)</f>
        <v>#REF!</v>
      </c>
      <c r="BS372" t="e">
        <f>IF(#REF!,"AAAAAG8390Y=",0)</f>
        <v>#REF!</v>
      </c>
      <c r="BT372" t="e">
        <f>IF(#REF!,"AAAAAG8390c=",0)</f>
        <v>#REF!</v>
      </c>
      <c r="BU372" t="e">
        <f>IF(#REF!,"AAAAAG8390g=",0)</f>
        <v>#REF!</v>
      </c>
      <c r="BV372" t="e">
        <f>IF(#REF!,"AAAAAG8390k=",0)</f>
        <v>#REF!</v>
      </c>
      <c r="BW372" t="e">
        <f>IF(#REF!,"AAAAAG8390o=",0)</f>
        <v>#REF!</v>
      </c>
      <c r="BX372" t="e">
        <f>IF(#REF!,"AAAAAG8390s=",0)</f>
        <v>#REF!</v>
      </c>
      <c r="BY372" t="e">
        <f>IF(#REF!,"AAAAAG8390w=",0)</f>
        <v>#REF!</v>
      </c>
      <c r="BZ372" t="e">
        <f>IF(#REF!,"AAAAAG83900=",0)</f>
        <v>#REF!</v>
      </c>
      <c r="CA372" t="e">
        <f>IF(#REF!,"AAAAAG83904=",0)</f>
        <v>#REF!</v>
      </c>
      <c r="CB372" t="e">
        <f>IF(#REF!,"AAAAAG83908=",0)</f>
        <v>#REF!</v>
      </c>
      <c r="CC372" t="e">
        <f>IF(#REF!,"AAAAAG8391A=",0)</f>
        <v>#REF!</v>
      </c>
      <c r="CD372" t="e">
        <f>IF(#REF!,"AAAAAG8391E=",0)</f>
        <v>#REF!</v>
      </c>
      <c r="CE372" t="e">
        <f>IF(#REF!,"AAAAAG8391I=",0)</f>
        <v>#REF!</v>
      </c>
      <c r="CF372" t="e">
        <f>IF(#REF!,"AAAAAG8391M=",0)</f>
        <v>#REF!</v>
      </c>
      <c r="CG372" t="e">
        <f>IF(#REF!,"AAAAAG8391Q=",0)</f>
        <v>#REF!</v>
      </c>
      <c r="CH372" t="e">
        <f>IF(#REF!,"AAAAAG8391U=",0)</f>
        <v>#REF!</v>
      </c>
      <c r="CI372" t="e">
        <f>IF(#REF!,"AAAAAG8391Y=",0)</f>
        <v>#REF!</v>
      </c>
      <c r="CJ372" t="e">
        <f>IF(#REF!,"AAAAAG8391c=",0)</f>
        <v>#REF!</v>
      </c>
      <c r="CK372" t="e">
        <f>IF(#REF!,"AAAAAG8391g=",0)</f>
        <v>#REF!</v>
      </c>
      <c r="CL372" t="e">
        <f>IF(#REF!,"AAAAAG8391k=",0)</f>
        <v>#REF!</v>
      </c>
      <c r="CM372" t="e">
        <f>IF(#REF!,"AAAAAG8391o=",0)</f>
        <v>#REF!</v>
      </c>
      <c r="CN372" t="e">
        <f>IF(#REF!,"AAAAAG8391s=",0)</f>
        <v>#REF!</v>
      </c>
      <c r="CO372" t="e">
        <f>IF(#REF!,"AAAAAG8391w=",0)</f>
        <v>#REF!</v>
      </c>
      <c r="CP372" t="e">
        <f>IF(#REF!,"AAAAAG83910=",0)</f>
        <v>#REF!</v>
      </c>
      <c r="CQ372" t="e">
        <f>IF(#REF!,"AAAAAG83914=",0)</f>
        <v>#REF!</v>
      </c>
      <c r="CR372" t="e">
        <f>IF(#REF!,"AAAAAG83918=",0)</f>
        <v>#REF!</v>
      </c>
      <c r="CS372" t="e">
        <f>IF(#REF!,"AAAAAG8392A=",0)</f>
        <v>#REF!</v>
      </c>
      <c r="CT372" t="e">
        <f>IF(#REF!,"AAAAAG8392E=",0)</f>
        <v>#REF!</v>
      </c>
      <c r="CU372" t="e">
        <f>IF(#REF!,"AAAAAG8392I=",0)</f>
        <v>#REF!</v>
      </c>
      <c r="CV372" t="e">
        <f>IF(#REF!,"AAAAAG8392M=",0)</f>
        <v>#REF!</v>
      </c>
      <c r="CW372" t="e">
        <f>IF(#REF!,"AAAAAG8392Q=",0)</f>
        <v>#REF!</v>
      </c>
      <c r="CX372" t="e">
        <f>IF(#REF!,"AAAAAG8392U=",0)</f>
        <v>#REF!</v>
      </c>
      <c r="CY372" t="e">
        <f>IF(#REF!,"AAAAAG8392Y=",0)</f>
        <v>#REF!</v>
      </c>
      <c r="CZ372" t="e">
        <f>IF(#REF!,"AAAAAG8392c=",0)</f>
        <v>#REF!</v>
      </c>
      <c r="DA372" t="e">
        <f>IF(#REF!,"AAAAAG8392g=",0)</f>
        <v>#REF!</v>
      </c>
      <c r="DB372" t="e">
        <f>IF(#REF!,"AAAAAG8392k=",0)</f>
        <v>#REF!</v>
      </c>
      <c r="DC372" t="e">
        <f>IF(#REF!,"AAAAAG8392o=",0)</f>
        <v>#REF!</v>
      </c>
      <c r="DD372" t="e">
        <f>IF(#REF!,"AAAAAG8392s=",0)</f>
        <v>#REF!</v>
      </c>
      <c r="DE372" t="e">
        <f>IF(#REF!,"AAAAAG8392w=",0)</f>
        <v>#REF!</v>
      </c>
      <c r="DF372" t="e">
        <f>IF(#REF!,"AAAAAG83920=",0)</f>
        <v>#REF!</v>
      </c>
      <c r="DG372" t="e">
        <f>IF(#REF!,"AAAAAG83924=",0)</f>
        <v>#REF!</v>
      </c>
      <c r="DH372" t="e">
        <f>IF(#REF!,"AAAAAG83928=",0)</f>
        <v>#REF!</v>
      </c>
      <c r="DI372" t="e">
        <f>IF(#REF!,"AAAAAG8393A=",0)</f>
        <v>#REF!</v>
      </c>
      <c r="DJ372" t="e">
        <f>IF(#REF!,"AAAAAG8393E=",0)</f>
        <v>#REF!</v>
      </c>
      <c r="DK372" t="e">
        <f>IF(#REF!,"AAAAAG8393I=",0)</f>
        <v>#REF!</v>
      </c>
      <c r="DL372" t="e">
        <f>IF(#REF!,"AAAAAG8393M=",0)</f>
        <v>#REF!</v>
      </c>
      <c r="DM372" t="e">
        <f>IF(#REF!,"AAAAAG8393Q=",0)</f>
        <v>#REF!</v>
      </c>
      <c r="DN372" t="e">
        <f>IF(#REF!,"AAAAAG8393U=",0)</f>
        <v>#REF!</v>
      </c>
      <c r="DO372" t="e">
        <f>IF(#REF!,"AAAAAG8393Y=",0)</f>
        <v>#REF!</v>
      </c>
      <c r="DP372" t="e">
        <f>IF(#REF!,"AAAAAG8393c=",0)</f>
        <v>#REF!</v>
      </c>
      <c r="DQ372" t="e">
        <f>IF(#REF!,"AAAAAG8393g=",0)</f>
        <v>#REF!</v>
      </c>
      <c r="DR372" t="e">
        <f>IF(#REF!,"AAAAAG8393k=",0)</f>
        <v>#REF!</v>
      </c>
      <c r="DS372" t="e">
        <f>IF(#REF!,"AAAAAG8393o=",0)</f>
        <v>#REF!</v>
      </c>
      <c r="DT372" t="e">
        <f>IF(#REF!,"AAAAAG8393s=",0)</f>
        <v>#REF!</v>
      </c>
      <c r="DU372" t="e">
        <f>IF(#REF!,"AAAAAG8393w=",0)</f>
        <v>#REF!</v>
      </c>
      <c r="DV372" t="e">
        <f>IF(#REF!,"AAAAAG83930=",0)</f>
        <v>#REF!</v>
      </c>
      <c r="DW372" t="e">
        <f>IF(#REF!,"AAAAAG83934=",0)</f>
        <v>#REF!</v>
      </c>
      <c r="DX372" t="e">
        <f>IF(#REF!,"AAAAAG83938=",0)</f>
        <v>#REF!</v>
      </c>
      <c r="DY372" t="e">
        <f>IF(#REF!,"AAAAAG8394A=",0)</f>
        <v>#REF!</v>
      </c>
      <c r="DZ372" t="e">
        <f>IF(#REF!,"AAAAAG8394E=",0)</f>
        <v>#REF!</v>
      </c>
      <c r="EA372" t="e">
        <f>IF(#REF!,"AAAAAG8394I=",0)</f>
        <v>#REF!</v>
      </c>
      <c r="EB372" t="e">
        <f>IF(#REF!,"AAAAAG8394M=",0)</f>
        <v>#REF!</v>
      </c>
      <c r="EC372" t="e">
        <f>IF(#REF!,"AAAAAG8394Q=",0)</f>
        <v>#REF!</v>
      </c>
      <c r="ED372" t="e">
        <f>IF(#REF!,"AAAAAG8394U=",0)</f>
        <v>#REF!</v>
      </c>
      <c r="EE372" t="e">
        <f>IF(#REF!,"AAAAAG8394Y=",0)</f>
        <v>#REF!</v>
      </c>
      <c r="EF372" t="e">
        <f>IF(#REF!,"AAAAAG8394c=",0)</f>
        <v>#REF!</v>
      </c>
      <c r="EG372" t="e">
        <f>IF(#REF!,"AAAAAG8394g=",0)</f>
        <v>#REF!</v>
      </c>
      <c r="EH372" t="e">
        <f>IF(#REF!,"AAAAAG8394k=",0)</f>
        <v>#REF!</v>
      </c>
      <c r="EI372" t="e">
        <f>IF(#REF!,"AAAAAG8394o=",0)</f>
        <v>#REF!</v>
      </c>
      <c r="EJ372" t="e">
        <f>IF(#REF!,"AAAAAG8394s=",0)</f>
        <v>#REF!</v>
      </c>
      <c r="EK372" t="e">
        <f>IF(#REF!,"AAAAAG8394w=",0)</f>
        <v>#REF!</v>
      </c>
      <c r="EL372" t="e">
        <f>IF(#REF!,"AAAAAG83940=",0)</f>
        <v>#REF!</v>
      </c>
      <c r="EM372" t="e">
        <f>IF(#REF!,"AAAAAG83944=",0)</f>
        <v>#REF!</v>
      </c>
      <c r="EN372" t="e">
        <f>IF(#REF!,"AAAAAG83948=",0)</f>
        <v>#REF!</v>
      </c>
      <c r="EO372" t="e">
        <f>IF(#REF!,"AAAAAG8395A=",0)</f>
        <v>#REF!</v>
      </c>
      <c r="EP372" t="e">
        <f>IF(#REF!,"AAAAAG8395E=",0)</f>
        <v>#REF!</v>
      </c>
      <c r="EQ372" t="e">
        <f>IF(#REF!,"AAAAAG8395I=",0)</f>
        <v>#REF!</v>
      </c>
      <c r="ER372" t="e">
        <f>IF(#REF!,"AAAAAG8395M=",0)</f>
        <v>#REF!</v>
      </c>
      <c r="ES372" t="e">
        <f>IF(#REF!,"AAAAAG8395Q=",0)</f>
        <v>#REF!</v>
      </c>
      <c r="ET372" t="e">
        <f>IF(#REF!,"AAAAAG8395U=",0)</f>
        <v>#REF!</v>
      </c>
      <c r="EU372" t="e">
        <f>IF(#REF!,"AAAAAG8395Y=",0)</f>
        <v>#REF!</v>
      </c>
      <c r="EV372" t="e">
        <f>IF(#REF!,"AAAAAG8395c=",0)</f>
        <v>#REF!</v>
      </c>
      <c r="EW372" t="e">
        <f>IF(#REF!,"AAAAAG8395g=",0)</f>
        <v>#REF!</v>
      </c>
      <c r="EX372" t="e">
        <f>IF(#REF!,"AAAAAG8395k=",0)</f>
        <v>#REF!</v>
      </c>
      <c r="EY372" t="e">
        <f>IF(#REF!,"AAAAAG8395o=",0)</f>
        <v>#REF!</v>
      </c>
      <c r="EZ372" t="e">
        <f>IF(#REF!,"AAAAAG8395s=",0)</f>
        <v>#REF!</v>
      </c>
      <c r="FA372" t="e">
        <f>IF(#REF!,"AAAAAG8395w=",0)</f>
        <v>#REF!</v>
      </c>
      <c r="FB372" t="e">
        <f>IF(#REF!,"AAAAAG83950=",0)</f>
        <v>#REF!</v>
      </c>
      <c r="FC372" t="e">
        <f>IF(#REF!,"AAAAAG83954=",0)</f>
        <v>#REF!</v>
      </c>
      <c r="FD372" t="e">
        <f>IF(#REF!,"AAAAAG83958=",0)</f>
        <v>#REF!</v>
      </c>
      <c r="FE372" t="e">
        <f>IF(#REF!,"AAAAAG8396A=",0)</f>
        <v>#REF!</v>
      </c>
      <c r="FF372" t="e">
        <f>IF(#REF!,"AAAAAG8396E=",0)</f>
        <v>#REF!</v>
      </c>
      <c r="FG372" t="e">
        <f>IF(#REF!,"AAAAAG8396I=",0)</f>
        <v>#REF!</v>
      </c>
      <c r="FH372" t="e">
        <f>IF(#REF!,"AAAAAG8396M=",0)</f>
        <v>#REF!</v>
      </c>
      <c r="FI372" t="e">
        <f>IF(#REF!,"AAAAAG8396Q=",0)</f>
        <v>#REF!</v>
      </c>
      <c r="FJ372" t="e">
        <f>IF(#REF!,"AAAAAG8396U=",0)</f>
        <v>#REF!</v>
      </c>
      <c r="FK372" t="e">
        <f>IF(#REF!,"AAAAAG8396Y=",0)</f>
        <v>#REF!</v>
      </c>
      <c r="FL372" t="e">
        <f>IF(#REF!,"AAAAAG8396c=",0)</f>
        <v>#REF!</v>
      </c>
      <c r="FM372" t="e">
        <f>IF(#REF!,"AAAAAG8396g=",0)</f>
        <v>#REF!</v>
      </c>
      <c r="FN372" t="e">
        <f>IF(#REF!,"AAAAAG8396k=",0)</f>
        <v>#REF!</v>
      </c>
      <c r="FO372" t="e">
        <f>IF(#REF!,"AAAAAG8396o=",0)</f>
        <v>#REF!</v>
      </c>
      <c r="FP372" t="e">
        <f>IF(#REF!,"AAAAAG8396s=",0)</f>
        <v>#REF!</v>
      </c>
      <c r="FQ372" t="e">
        <f>IF(#REF!,"AAAAAG8396w=",0)</f>
        <v>#REF!</v>
      </c>
      <c r="FR372" t="e">
        <f>IF(#REF!,"AAAAAG83960=",0)</f>
        <v>#REF!</v>
      </c>
      <c r="FS372" t="e">
        <f>IF(#REF!,"AAAAAG83964=",0)</f>
        <v>#REF!</v>
      </c>
      <c r="FT372" t="e">
        <f>IF(#REF!,"AAAAAG83968=",0)</f>
        <v>#REF!</v>
      </c>
      <c r="FU372" t="e">
        <f>IF(#REF!,"AAAAAG8397A=",0)</f>
        <v>#REF!</v>
      </c>
      <c r="FV372" t="e">
        <f>IF(#REF!,"AAAAAG8397E=",0)</f>
        <v>#REF!</v>
      </c>
      <c r="FW372" t="e">
        <f>IF(#REF!,"AAAAAG8397I=",0)</f>
        <v>#REF!</v>
      </c>
      <c r="FX372" t="e">
        <f>IF(#REF!,"AAAAAG8397M=",0)</f>
        <v>#REF!</v>
      </c>
      <c r="FY372" t="e">
        <f>IF(#REF!,"AAAAAG8397Q=",0)</f>
        <v>#REF!</v>
      </c>
      <c r="FZ372" t="e">
        <f>IF(#REF!,"AAAAAG8397U=",0)</f>
        <v>#REF!</v>
      </c>
      <c r="GA372" t="e">
        <f>IF(#REF!,"AAAAAG8397Y=",0)</f>
        <v>#REF!</v>
      </c>
      <c r="GB372" t="e">
        <f>IF(#REF!,"AAAAAG8397c=",0)</f>
        <v>#REF!</v>
      </c>
      <c r="GC372" t="e">
        <f>IF(#REF!,"AAAAAG8397g=",0)</f>
        <v>#REF!</v>
      </c>
      <c r="GD372" t="e">
        <f>IF(#REF!,"AAAAAG8397k=",0)</f>
        <v>#REF!</v>
      </c>
      <c r="GE372" t="e">
        <f>IF(#REF!,"AAAAAG8397o=",0)</f>
        <v>#REF!</v>
      </c>
      <c r="GF372" t="e">
        <f>IF(#REF!,"AAAAAG8397s=",0)</f>
        <v>#REF!</v>
      </c>
      <c r="GG372" t="e">
        <f>IF(#REF!,"AAAAAG8397w=",0)</f>
        <v>#REF!</v>
      </c>
      <c r="GH372" t="e">
        <f>IF(#REF!,"AAAAAG83970=",0)</f>
        <v>#REF!</v>
      </c>
      <c r="GI372" t="e">
        <f>IF(#REF!,"AAAAAG83974=",0)</f>
        <v>#REF!</v>
      </c>
      <c r="GJ372" t="e">
        <f>IF(#REF!,"AAAAAG83978=",0)</f>
        <v>#REF!</v>
      </c>
      <c r="GK372" t="e">
        <f>IF(#REF!,"AAAAAG8398A=",0)</f>
        <v>#REF!</v>
      </c>
      <c r="GL372" t="e">
        <f>IF(#REF!,"AAAAAG8398E=",0)</f>
        <v>#REF!</v>
      </c>
      <c r="GM372" t="e">
        <f>IF(#REF!,"AAAAAG8398I=",0)</f>
        <v>#REF!</v>
      </c>
      <c r="GN372" t="e">
        <f>IF(#REF!,"AAAAAG8398M=",0)</f>
        <v>#REF!</v>
      </c>
      <c r="GO372" t="e">
        <f>IF(#REF!,"AAAAAG8398Q=",0)</f>
        <v>#REF!</v>
      </c>
      <c r="GP372" t="e">
        <f>IF(#REF!,"AAAAAG8398U=",0)</f>
        <v>#REF!</v>
      </c>
      <c r="GQ372" t="e">
        <f>IF(#REF!,"AAAAAG8398Y=",0)</f>
        <v>#REF!</v>
      </c>
      <c r="GR372" t="e">
        <f>IF(#REF!,"AAAAAG8398c=",0)</f>
        <v>#REF!</v>
      </c>
      <c r="GS372" t="e">
        <f>IF(#REF!,"AAAAAG8398g=",0)</f>
        <v>#REF!</v>
      </c>
      <c r="GT372" t="e">
        <f>IF(#REF!,"AAAAAG8398k=",0)</f>
        <v>#REF!</v>
      </c>
      <c r="GU372" t="e">
        <f>IF(#REF!,"AAAAAG8398o=",0)</f>
        <v>#REF!</v>
      </c>
      <c r="GV372" t="e">
        <f>IF(#REF!,"AAAAAG8398s=",0)</f>
        <v>#REF!</v>
      </c>
      <c r="GW372" t="e">
        <f>IF(#REF!,"AAAAAG8398w=",0)</f>
        <v>#REF!</v>
      </c>
      <c r="GX372" t="e">
        <f>IF(#REF!,"AAAAAG83980=",0)</f>
        <v>#REF!</v>
      </c>
      <c r="GY372" t="e">
        <f>IF(#REF!,"AAAAAG83984=",0)</f>
        <v>#REF!</v>
      </c>
      <c r="GZ372" t="e">
        <f>IF(#REF!,"AAAAAG83988=",0)</f>
        <v>#REF!</v>
      </c>
      <c r="HA372" t="e">
        <f>IF(#REF!,"AAAAAG8399A=",0)</f>
        <v>#REF!</v>
      </c>
      <c r="HB372" t="e">
        <f>IF(#REF!,"AAAAAG8399E=",0)</f>
        <v>#REF!</v>
      </c>
      <c r="HC372" t="e">
        <f>IF(#REF!,"AAAAAG8399I=",0)</f>
        <v>#REF!</v>
      </c>
      <c r="HD372" t="e">
        <f>IF(#REF!,"AAAAAG8399M=",0)</f>
        <v>#REF!</v>
      </c>
      <c r="HE372" t="e">
        <f>IF(#REF!,"AAAAAG8399Q=",0)</f>
        <v>#REF!</v>
      </c>
      <c r="HF372" t="e">
        <f>IF(#REF!,"AAAAAG8399U=",0)</f>
        <v>#REF!</v>
      </c>
      <c r="HG372" t="e">
        <f>IF(#REF!,"AAAAAG8399Y=",0)</f>
        <v>#REF!</v>
      </c>
      <c r="HH372" t="e">
        <f>IF(#REF!,"AAAAAG8399c=",0)</f>
        <v>#REF!</v>
      </c>
      <c r="HI372" t="e">
        <f>IF(#REF!,"AAAAAG8399g=",0)</f>
        <v>#REF!</v>
      </c>
      <c r="HJ372" t="e">
        <f>IF(#REF!,"AAAAAG8399k=",0)</f>
        <v>#REF!</v>
      </c>
      <c r="HK372" t="e">
        <f>IF(#REF!,"AAAAAG8399o=",0)</f>
        <v>#REF!</v>
      </c>
      <c r="HL372" t="e">
        <f>IF(#REF!,"AAAAAG8399s=",0)</f>
        <v>#REF!</v>
      </c>
      <c r="HM372" t="e">
        <f>IF(#REF!,"AAAAAG8399w=",0)</f>
        <v>#REF!</v>
      </c>
      <c r="HN372" t="e">
        <f>IF(#REF!,"AAAAAG83990=",0)</f>
        <v>#REF!</v>
      </c>
      <c r="HO372" t="e">
        <f>IF(#REF!,"AAAAAG83994=",0)</f>
        <v>#REF!</v>
      </c>
      <c r="HP372" t="e">
        <f>IF(#REF!,"AAAAAG83998=",0)</f>
        <v>#REF!</v>
      </c>
      <c r="HQ372" t="e">
        <f>IF(#REF!,"AAAAAG839+A=",0)</f>
        <v>#REF!</v>
      </c>
      <c r="HR372" t="e">
        <f>IF(#REF!,"AAAAAG839+E=",0)</f>
        <v>#REF!</v>
      </c>
      <c r="HS372" t="e">
        <f>IF(#REF!,"AAAAAG839+I=",0)</f>
        <v>#REF!</v>
      </c>
      <c r="HT372" t="e">
        <f>IF(#REF!,"AAAAAG839+M=",0)</f>
        <v>#REF!</v>
      </c>
      <c r="HU372" t="e">
        <f>IF(#REF!,"AAAAAG839+Q=",0)</f>
        <v>#REF!</v>
      </c>
      <c r="HV372" t="e">
        <f>IF(#REF!,"AAAAAG839+U=",0)</f>
        <v>#REF!</v>
      </c>
      <c r="HW372" t="e">
        <f>IF(#REF!,"AAAAAG839+Y=",0)</f>
        <v>#REF!</v>
      </c>
      <c r="HX372" t="e">
        <f>IF(#REF!,"AAAAAG839+c=",0)</f>
        <v>#REF!</v>
      </c>
      <c r="HY372" t="e">
        <f>IF(#REF!,"AAAAAG839+g=",0)</f>
        <v>#REF!</v>
      </c>
      <c r="HZ372" t="e">
        <f>IF(#REF!,"AAAAAG839+k=",0)</f>
        <v>#REF!</v>
      </c>
      <c r="IA372" t="e">
        <f>IF(#REF!,"AAAAAG839+o=",0)</f>
        <v>#REF!</v>
      </c>
      <c r="IB372" t="e">
        <f>IF(#REF!,"AAAAAG839+s=",0)</f>
        <v>#REF!</v>
      </c>
      <c r="IC372" t="e">
        <f>IF(#REF!,"AAAAAG839+w=",0)</f>
        <v>#REF!</v>
      </c>
      <c r="ID372" t="e">
        <f>IF(#REF!,"AAAAAG839+0=",0)</f>
        <v>#REF!</v>
      </c>
      <c r="IE372" t="e">
        <f>IF(#REF!,"AAAAAG839+4=",0)</f>
        <v>#REF!</v>
      </c>
      <c r="IF372" t="e">
        <f>IF(#REF!,"AAAAAG839+8=",0)</f>
        <v>#REF!</v>
      </c>
      <c r="IG372" t="e">
        <f>IF(#REF!,"AAAAAG839/A=",0)</f>
        <v>#REF!</v>
      </c>
      <c r="IH372" t="e">
        <f>IF(#REF!,"AAAAAG839/E=",0)</f>
        <v>#REF!</v>
      </c>
      <c r="II372" t="e">
        <f>IF(#REF!,"AAAAAG839/I=",0)</f>
        <v>#REF!</v>
      </c>
      <c r="IJ372" t="e">
        <f>IF(#REF!,"AAAAAG839/M=",0)</f>
        <v>#REF!</v>
      </c>
      <c r="IK372" t="e">
        <f>IF(#REF!,"AAAAAG839/Q=",0)</f>
        <v>#REF!</v>
      </c>
      <c r="IL372" t="e">
        <f>IF(#REF!,"AAAAAG839/U=",0)</f>
        <v>#REF!</v>
      </c>
      <c r="IM372" t="e">
        <f>IF(#REF!,"AAAAAG839/Y=",0)</f>
        <v>#REF!</v>
      </c>
      <c r="IN372" t="e">
        <f>IF(#REF!,"AAAAAG839/c=",0)</f>
        <v>#REF!</v>
      </c>
      <c r="IO372" t="e">
        <f>IF(#REF!,"AAAAAG839/g=",0)</f>
        <v>#REF!</v>
      </c>
      <c r="IP372" t="e">
        <f>IF(#REF!,"AAAAAG839/k=",0)</f>
        <v>#REF!</v>
      </c>
      <c r="IQ372" t="e">
        <f>IF(#REF!,"AAAAAG839/o=",0)</f>
        <v>#REF!</v>
      </c>
      <c r="IR372" t="e">
        <f>IF(#REF!,"AAAAAG839/s=",0)</f>
        <v>#REF!</v>
      </c>
      <c r="IS372" t="e">
        <f>IF(#REF!,"AAAAAG839/w=",0)</f>
        <v>#REF!</v>
      </c>
      <c r="IT372" t="e">
        <f>IF(#REF!,"AAAAAG839/0=",0)</f>
        <v>#REF!</v>
      </c>
      <c r="IU372" t="e">
        <f>IF(#REF!,"AAAAAG839/4=",0)</f>
        <v>#REF!</v>
      </c>
      <c r="IV372" t="e">
        <f>IF(#REF!,"AAAAAG839/8=",0)</f>
        <v>#REF!</v>
      </c>
    </row>
    <row r="373" spans="1:256">
      <c r="A373" t="e">
        <f>IF(#REF!,"AAAAAH791wA=",0)</f>
        <v>#REF!</v>
      </c>
      <c r="B373" t="e">
        <f>IF(#REF!,"AAAAAH791wE=",0)</f>
        <v>#REF!</v>
      </c>
      <c r="C373" t="e">
        <f>IF(#REF!,"AAAAAH791wI=",0)</f>
        <v>#REF!</v>
      </c>
      <c r="D373" t="e">
        <f>IF(#REF!,"AAAAAH791wM=",0)</f>
        <v>#REF!</v>
      </c>
      <c r="E373" t="e">
        <f>IF(#REF!,"AAAAAH791wQ=",0)</f>
        <v>#REF!</v>
      </c>
      <c r="F373" t="e">
        <f>IF(#REF!,"AAAAAH791wU=",0)</f>
        <v>#REF!</v>
      </c>
      <c r="G373" t="e">
        <f>IF(#REF!,"AAAAAH791wY=",0)</f>
        <v>#REF!</v>
      </c>
      <c r="H373" t="e">
        <f>IF(#REF!,"AAAAAH791wc=",0)</f>
        <v>#REF!</v>
      </c>
      <c r="I373" t="e">
        <f>IF(#REF!,"AAAAAH791wg=",0)</f>
        <v>#REF!</v>
      </c>
      <c r="J373" t="e">
        <f>IF(#REF!,"AAAAAH791wk=",0)</f>
        <v>#REF!</v>
      </c>
      <c r="K373" t="e">
        <f>IF(#REF!,"AAAAAH791wo=",0)</f>
        <v>#REF!</v>
      </c>
      <c r="L373" t="e">
        <f>IF(#REF!,"AAAAAH791ws=",0)</f>
        <v>#REF!</v>
      </c>
      <c r="M373" t="e">
        <f>IF(#REF!,"AAAAAH791ww=",0)</f>
        <v>#REF!</v>
      </c>
      <c r="N373" t="e">
        <f>IF(#REF!,"AAAAAH791w0=",0)</f>
        <v>#REF!</v>
      </c>
      <c r="O373" t="e">
        <f>IF(#REF!,"AAAAAH791w4=",0)</f>
        <v>#REF!</v>
      </c>
      <c r="P373" t="e">
        <f>IF(#REF!,"AAAAAH791w8=",0)</f>
        <v>#REF!</v>
      </c>
      <c r="Q373" t="e">
        <f>IF(#REF!,"AAAAAH791xA=",0)</f>
        <v>#REF!</v>
      </c>
      <c r="R373" t="e">
        <f>IF(#REF!,"AAAAAH791xE=",0)</f>
        <v>#REF!</v>
      </c>
      <c r="S373" t="e">
        <f>IF(#REF!,"AAAAAH791xI=",0)</f>
        <v>#REF!</v>
      </c>
      <c r="T373" t="e">
        <f>IF(#REF!,"AAAAAH791xM=",0)</f>
        <v>#REF!</v>
      </c>
      <c r="U373" t="e">
        <f>IF(#REF!,"AAAAAH791xQ=",0)</f>
        <v>#REF!</v>
      </c>
      <c r="V373" t="e">
        <f>IF(#REF!,"AAAAAH791xU=",0)</f>
        <v>#REF!</v>
      </c>
      <c r="W373" t="e">
        <f>IF(#REF!,"AAAAAH791xY=",0)</f>
        <v>#REF!</v>
      </c>
      <c r="X373" t="e">
        <f>IF(#REF!,"AAAAAH791xc=",0)</f>
        <v>#REF!</v>
      </c>
      <c r="Y373" t="e">
        <f>IF(#REF!,"AAAAAH791xg=",0)</f>
        <v>#REF!</v>
      </c>
      <c r="Z373" t="e">
        <f>IF(#REF!,"AAAAAH791xk=",0)</f>
        <v>#REF!</v>
      </c>
      <c r="AA373" t="e">
        <f>IF(#REF!,"AAAAAH791xo=",0)</f>
        <v>#REF!</v>
      </c>
      <c r="AB373" t="e">
        <f>IF(#REF!,"AAAAAH791xs=",0)</f>
        <v>#REF!</v>
      </c>
      <c r="AC373" t="e">
        <f>IF(#REF!,"AAAAAH791xw=",0)</f>
        <v>#REF!</v>
      </c>
      <c r="AD373" t="e">
        <f>IF(#REF!,"AAAAAH791x0=",0)</f>
        <v>#REF!</v>
      </c>
      <c r="AE373" t="e">
        <f>IF(#REF!,"AAAAAH791x4=",0)</f>
        <v>#REF!</v>
      </c>
      <c r="AF373" t="e">
        <f>IF(#REF!,"AAAAAH791x8=",0)</f>
        <v>#REF!</v>
      </c>
      <c r="AG373" t="e">
        <f>IF(#REF!,"AAAAAH791yA=",0)</f>
        <v>#REF!</v>
      </c>
      <c r="AH373" t="e">
        <f>IF(#REF!,"AAAAAH791yE=",0)</f>
        <v>#REF!</v>
      </c>
      <c r="AI373" t="e">
        <f>IF(#REF!,"AAAAAH791yI=",0)</f>
        <v>#REF!</v>
      </c>
      <c r="AJ373" t="e">
        <f>IF(#REF!,"AAAAAH791yM=",0)</f>
        <v>#REF!</v>
      </c>
      <c r="AK373" t="e">
        <f>IF(#REF!,"AAAAAH791yQ=",0)</f>
        <v>#REF!</v>
      </c>
      <c r="AL373" t="e">
        <f>IF(#REF!,"AAAAAH791yU=",0)</f>
        <v>#REF!</v>
      </c>
      <c r="AM373" t="e">
        <f>IF(#REF!,"AAAAAH791yY=",0)</f>
        <v>#REF!</v>
      </c>
      <c r="AN373" t="e">
        <f>IF(#REF!,"AAAAAH791yc=",0)</f>
        <v>#REF!</v>
      </c>
      <c r="AO373" t="e">
        <f>IF(#REF!,"AAAAAH791yg=",0)</f>
        <v>#REF!</v>
      </c>
      <c r="AP373" t="e">
        <f>IF(#REF!,"AAAAAH791yk=",0)</f>
        <v>#REF!</v>
      </c>
      <c r="AQ373" t="e">
        <f>IF(#REF!,"AAAAAH791yo=",0)</f>
        <v>#REF!</v>
      </c>
      <c r="AR373" t="e">
        <f>IF(#REF!,"AAAAAH791ys=",0)</f>
        <v>#REF!</v>
      </c>
      <c r="AS373" t="e">
        <f>IF(#REF!,"AAAAAH791yw=",0)</f>
        <v>#REF!</v>
      </c>
      <c r="AT373" t="e">
        <f>IF(#REF!,"AAAAAH791y0=",0)</f>
        <v>#REF!</v>
      </c>
      <c r="AU373" t="e">
        <f>IF(#REF!,"AAAAAH791y4=",0)</f>
        <v>#REF!</v>
      </c>
      <c r="AV373" t="e">
        <f>IF(#REF!,"AAAAAH791y8=",0)</f>
        <v>#REF!</v>
      </c>
      <c r="AW373" t="e">
        <f>IF(#REF!,"AAAAAH791zA=",0)</f>
        <v>#REF!</v>
      </c>
      <c r="AX373" t="e">
        <f>IF(#REF!,"AAAAAH791zE=",0)</f>
        <v>#REF!</v>
      </c>
      <c r="AY373" t="e">
        <f>IF(#REF!,"AAAAAH791zI=",0)</f>
        <v>#REF!</v>
      </c>
      <c r="AZ373" t="e">
        <f>IF(#REF!,"AAAAAH791zM=",0)</f>
        <v>#REF!</v>
      </c>
      <c r="BA373" t="e">
        <f>IF(#REF!,"AAAAAH791zQ=",0)</f>
        <v>#REF!</v>
      </c>
      <c r="BB373" t="e">
        <f>IF(#REF!,"AAAAAH791zU=",0)</f>
        <v>#REF!</v>
      </c>
      <c r="BC373" t="e">
        <f>IF(#REF!,"AAAAAH791zY=",0)</f>
        <v>#REF!</v>
      </c>
      <c r="BD373" t="e">
        <f>IF(#REF!,"AAAAAH791zc=",0)</f>
        <v>#REF!</v>
      </c>
      <c r="BE373" t="e">
        <f>IF(#REF!,"AAAAAH791zg=",0)</f>
        <v>#REF!</v>
      </c>
      <c r="BF373" t="e">
        <f>IF(#REF!,"AAAAAH791zk=",0)</f>
        <v>#REF!</v>
      </c>
      <c r="BG373" t="e">
        <f>IF(#REF!,"AAAAAH791zo=",0)</f>
        <v>#REF!</v>
      </c>
      <c r="BH373" t="e">
        <f>IF(#REF!,"AAAAAH791zs=",0)</f>
        <v>#REF!</v>
      </c>
      <c r="BI373" t="e">
        <f>IF(#REF!,"AAAAAH791zw=",0)</f>
        <v>#REF!</v>
      </c>
      <c r="BJ373" t="e">
        <f>IF(#REF!,"AAAAAH791z0=",0)</f>
        <v>#REF!</v>
      </c>
      <c r="BK373" t="e">
        <f>IF(#REF!,"AAAAAH791z4=",0)</f>
        <v>#REF!</v>
      </c>
      <c r="BL373" t="e">
        <f>IF(#REF!,"AAAAAH791z8=",0)</f>
        <v>#REF!</v>
      </c>
      <c r="BM373" t="e">
        <f>IF(#REF!,"AAAAAH7910A=",0)</f>
        <v>#REF!</v>
      </c>
      <c r="BN373" t="e">
        <f>IF(#REF!,"AAAAAH7910E=",0)</f>
        <v>#REF!</v>
      </c>
      <c r="BO373" t="e">
        <f>IF(#REF!,"AAAAAH7910I=",0)</f>
        <v>#REF!</v>
      </c>
      <c r="BP373" t="e">
        <f>IF(#REF!,"AAAAAH7910M=",0)</f>
        <v>#REF!</v>
      </c>
      <c r="BQ373" t="e">
        <f>IF(#REF!,"AAAAAH7910Q=",0)</f>
        <v>#REF!</v>
      </c>
      <c r="BR373" t="e">
        <f>IF(#REF!,"AAAAAH7910U=",0)</f>
        <v>#REF!</v>
      </c>
      <c r="BS373" t="e">
        <f>IF(#REF!,"AAAAAH7910Y=",0)</f>
        <v>#REF!</v>
      </c>
      <c r="BT373" t="e">
        <f>IF(#REF!,"AAAAAH7910c=",0)</f>
        <v>#REF!</v>
      </c>
      <c r="BU373" t="e">
        <f>IF(#REF!,"AAAAAH7910g=",0)</f>
        <v>#REF!</v>
      </c>
      <c r="BV373" t="e">
        <f>IF(#REF!,"AAAAAH7910k=",0)</f>
        <v>#REF!</v>
      </c>
      <c r="BW373" t="e">
        <f>IF(#REF!,"AAAAAH7910o=",0)</f>
        <v>#REF!</v>
      </c>
      <c r="BX373" t="e">
        <f>IF(#REF!,"AAAAAH7910s=",0)</f>
        <v>#REF!</v>
      </c>
      <c r="BY373" t="e">
        <f>IF(#REF!,"AAAAAH7910w=",0)</f>
        <v>#REF!</v>
      </c>
      <c r="BZ373" t="e">
        <f>IF(#REF!,"AAAAAH79100=",0)</f>
        <v>#REF!</v>
      </c>
      <c r="CA373" t="e">
        <f>IF(#REF!,"AAAAAH79104=",0)</f>
        <v>#REF!</v>
      </c>
      <c r="CB373" t="e">
        <f>IF(#REF!,"AAAAAH79108=",0)</f>
        <v>#REF!</v>
      </c>
      <c r="CC373" t="e">
        <f>IF(#REF!,"AAAAAH7911A=",0)</f>
        <v>#REF!</v>
      </c>
      <c r="CD373" t="e">
        <f>IF(#REF!,"AAAAAH7911E=",0)</f>
        <v>#REF!</v>
      </c>
      <c r="CE373" t="e">
        <f>IF(#REF!,"AAAAAH7911I=",0)</f>
        <v>#REF!</v>
      </c>
      <c r="CF373" t="e">
        <f>IF(#REF!,"AAAAAH7911M=",0)</f>
        <v>#REF!</v>
      </c>
      <c r="CG373" t="e">
        <f>IF(#REF!,"AAAAAH7911Q=",0)</f>
        <v>#REF!</v>
      </c>
      <c r="CH373" t="e">
        <f>IF(#REF!,"AAAAAH7911U=",0)</f>
        <v>#REF!</v>
      </c>
      <c r="CI373" t="e">
        <f>IF(#REF!,"AAAAAH7911Y=",0)</f>
        <v>#REF!</v>
      </c>
      <c r="CJ373" t="e">
        <f>IF(#REF!,"AAAAAH7911c=",0)</f>
        <v>#REF!</v>
      </c>
      <c r="CK373" t="e">
        <f>IF(#REF!,"AAAAAH7911g=",0)</f>
        <v>#REF!</v>
      </c>
      <c r="CL373" t="e">
        <f>IF(#REF!,"AAAAAH7911k=",0)</f>
        <v>#REF!</v>
      </c>
      <c r="CM373" t="e">
        <f>IF(#REF!,"AAAAAH7911o=",0)</f>
        <v>#REF!</v>
      </c>
      <c r="CN373" t="e">
        <f>IF(#REF!,"AAAAAH7911s=",0)</f>
        <v>#REF!</v>
      </c>
      <c r="CO373" t="e">
        <f>IF(#REF!,"AAAAAH7911w=",0)</f>
        <v>#REF!</v>
      </c>
      <c r="CP373" t="e">
        <f>IF(#REF!,"AAAAAH79110=",0)</f>
        <v>#REF!</v>
      </c>
      <c r="CQ373" t="e">
        <f>IF(#REF!,"AAAAAH79114=",0)</f>
        <v>#REF!</v>
      </c>
      <c r="CR373" t="e">
        <f>IF(#REF!,"AAAAAH79118=",0)</f>
        <v>#REF!</v>
      </c>
      <c r="CS373" t="e">
        <f>IF(#REF!,"AAAAAH7912A=",0)</f>
        <v>#REF!</v>
      </c>
      <c r="CT373" t="e">
        <f>IF(#REF!,"AAAAAH7912E=",0)</f>
        <v>#REF!</v>
      </c>
      <c r="CU373" t="e">
        <f>IF(#REF!,"AAAAAH7912I=",0)</f>
        <v>#REF!</v>
      </c>
      <c r="CV373" t="e">
        <f>IF(#REF!,"AAAAAH7912M=",0)</f>
        <v>#REF!</v>
      </c>
      <c r="CW373" t="e">
        <f>IF(#REF!,"AAAAAH7912Q=",0)</f>
        <v>#REF!</v>
      </c>
      <c r="CX373" t="e">
        <f>IF(#REF!,"AAAAAH7912U=",0)</f>
        <v>#REF!</v>
      </c>
      <c r="CY373" t="e">
        <f>IF(#REF!,"AAAAAH7912Y=",0)</f>
        <v>#REF!</v>
      </c>
      <c r="CZ373" t="e">
        <f>IF(#REF!,"AAAAAH7912c=",0)</f>
        <v>#REF!</v>
      </c>
      <c r="DA373" t="e">
        <f>IF(#REF!,"AAAAAH7912g=",0)</f>
        <v>#REF!</v>
      </c>
      <c r="DB373" t="e">
        <f>IF(#REF!,"AAAAAH7912k=",0)</f>
        <v>#REF!</v>
      </c>
      <c r="DC373" t="e">
        <f>IF(#REF!,"AAAAAH7912o=",0)</f>
        <v>#REF!</v>
      </c>
      <c r="DD373" t="e">
        <f>IF(#REF!,"AAAAAH7912s=",0)</f>
        <v>#REF!</v>
      </c>
      <c r="DE373" t="e">
        <f>IF(#REF!,"AAAAAH7912w=",0)</f>
        <v>#REF!</v>
      </c>
      <c r="DF373" t="e">
        <f>IF(#REF!,"AAAAAH79120=",0)</f>
        <v>#REF!</v>
      </c>
      <c r="DG373" t="e">
        <f>IF(#REF!,"AAAAAH79124=",0)</f>
        <v>#REF!</v>
      </c>
      <c r="DH373" t="e">
        <f>IF(#REF!,"AAAAAH79128=",0)</f>
        <v>#REF!</v>
      </c>
      <c r="DI373" t="e">
        <f>IF(#REF!,"AAAAAH7913A=",0)</f>
        <v>#REF!</v>
      </c>
      <c r="DJ373" t="e">
        <f>IF(#REF!,"AAAAAH7913E=",0)</f>
        <v>#REF!</v>
      </c>
      <c r="DK373" t="e">
        <f>IF(#REF!,"AAAAAH7913I=",0)</f>
        <v>#REF!</v>
      </c>
      <c r="DL373" t="e">
        <f>IF(#REF!,"AAAAAH7913M=",0)</f>
        <v>#REF!</v>
      </c>
      <c r="DM373" t="e">
        <f>IF(#REF!,"AAAAAH7913Q=",0)</f>
        <v>#REF!</v>
      </c>
      <c r="DN373" t="e">
        <f>IF(#REF!,"AAAAAH7913U=",0)</f>
        <v>#REF!</v>
      </c>
      <c r="DO373" t="e">
        <f>IF(#REF!,"AAAAAH7913Y=",0)</f>
        <v>#REF!</v>
      </c>
      <c r="DP373" t="e">
        <f>IF(#REF!,"AAAAAH7913c=",0)</f>
        <v>#REF!</v>
      </c>
      <c r="DQ373" t="e">
        <f>IF(#REF!,"AAAAAH7913g=",0)</f>
        <v>#REF!</v>
      </c>
      <c r="DR373" t="e">
        <f>IF(#REF!,"AAAAAH7913k=",0)</f>
        <v>#REF!</v>
      </c>
      <c r="DS373" t="e">
        <f>IF(#REF!,"AAAAAH7913o=",0)</f>
        <v>#REF!</v>
      </c>
      <c r="DT373" t="e">
        <f>IF(#REF!,"AAAAAH7913s=",0)</f>
        <v>#REF!</v>
      </c>
      <c r="DU373" t="e">
        <f>IF(#REF!,"AAAAAH7913w=",0)</f>
        <v>#REF!</v>
      </c>
      <c r="DV373" t="e">
        <f>IF(#REF!,"AAAAAH79130=",0)</f>
        <v>#REF!</v>
      </c>
      <c r="DW373" t="e">
        <f>IF(#REF!,"AAAAAH79134=",0)</f>
        <v>#REF!</v>
      </c>
      <c r="DX373" t="e">
        <f>IF(#REF!,"AAAAAH79138=",0)</f>
        <v>#REF!</v>
      </c>
      <c r="DY373" t="e">
        <f>IF(#REF!,"AAAAAH7914A=",0)</f>
        <v>#REF!</v>
      </c>
      <c r="DZ373" t="e">
        <f>IF(#REF!,"AAAAAH7914E=",0)</f>
        <v>#REF!</v>
      </c>
      <c r="EA373" t="e">
        <f>IF(#REF!,"AAAAAH7914I=",0)</f>
        <v>#REF!</v>
      </c>
      <c r="EB373" t="e">
        <f>IF(#REF!,"AAAAAH7914M=",0)</f>
        <v>#REF!</v>
      </c>
      <c r="EC373" t="e">
        <f>IF(#REF!,"AAAAAH7914Q=",0)</f>
        <v>#REF!</v>
      </c>
      <c r="ED373" t="e">
        <f>IF(#REF!,"AAAAAH7914U=",0)</f>
        <v>#REF!</v>
      </c>
      <c r="EE373" t="e">
        <f>IF(#REF!,"AAAAAH7914Y=",0)</f>
        <v>#REF!</v>
      </c>
      <c r="EF373" t="e">
        <f>IF(#REF!,"AAAAAH7914c=",0)</f>
        <v>#REF!</v>
      </c>
      <c r="EG373" t="e">
        <f>IF(#REF!,"AAAAAH7914g=",0)</f>
        <v>#REF!</v>
      </c>
      <c r="EH373" t="e">
        <f>IF(#REF!,"AAAAAH7914k=",0)</f>
        <v>#REF!</v>
      </c>
      <c r="EI373" t="e">
        <f>IF(#REF!,"AAAAAH7914o=",0)</f>
        <v>#REF!</v>
      </c>
      <c r="EJ373" t="e">
        <f>IF(#REF!,"AAAAAH7914s=",0)</f>
        <v>#REF!</v>
      </c>
      <c r="EK373" t="e">
        <f>IF(#REF!,"AAAAAH7914w=",0)</f>
        <v>#REF!</v>
      </c>
      <c r="EL373" t="e">
        <f>IF(#REF!,"AAAAAH79140=",0)</f>
        <v>#REF!</v>
      </c>
      <c r="EM373" t="e">
        <f>IF(#REF!,"AAAAAH79144=",0)</f>
        <v>#REF!</v>
      </c>
      <c r="EN373" t="e">
        <f>IF(#REF!,"AAAAAH79148=",0)</f>
        <v>#REF!</v>
      </c>
      <c r="EO373" t="e">
        <f>IF(#REF!,"AAAAAH7915A=",0)</f>
        <v>#REF!</v>
      </c>
      <c r="EP373" t="e">
        <f>IF(#REF!,"AAAAAH7915E=",0)</f>
        <v>#REF!</v>
      </c>
      <c r="EQ373" t="e">
        <f>IF(#REF!,"AAAAAH7915I=",0)</f>
        <v>#REF!</v>
      </c>
      <c r="ER373" t="e">
        <f>IF(#REF!,"AAAAAH7915M=",0)</f>
        <v>#REF!</v>
      </c>
      <c r="ES373" t="e">
        <f>IF(#REF!,"AAAAAH7915Q=",0)</f>
        <v>#REF!</v>
      </c>
      <c r="ET373" t="e">
        <f>IF(#REF!,"AAAAAH7915U=",0)</f>
        <v>#REF!</v>
      </c>
      <c r="EU373" t="e">
        <f>IF(#REF!,"AAAAAH7915Y=",0)</f>
        <v>#REF!</v>
      </c>
      <c r="EV373" t="e">
        <f>IF(#REF!,"AAAAAH7915c=",0)</f>
        <v>#REF!</v>
      </c>
      <c r="EW373" t="e">
        <f>IF(#REF!,"AAAAAH7915g=",0)</f>
        <v>#REF!</v>
      </c>
      <c r="EX373" t="e">
        <f>IF(#REF!,"AAAAAH7915k=",0)</f>
        <v>#REF!</v>
      </c>
      <c r="EY373" t="e">
        <f>IF(#REF!,"AAAAAH7915o=",0)</f>
        <v>#REF!</v>
      </c>
      <c r="EZ373" t="e">
        <f>IF(#REF!,"AAAAAH7915s=",0)</f>
        <v>#REF!</v>
      </c>
      <c r="FA373" t="e">
        <f>IF(#REF!,"AAAAAH7915w=",0)</f>
        <v>#REF!</v>
      </c>
      <c r="FB373" t="e">
        <f>IF(#REF!,"AAAAAH79150=",0)</f>
        <v>#REF!</v>
      </c>
      <c r="FC373" t="e">
        <f>IF(#REF!,"AAAAAH79154=",0)</f>
        <v>#REF!</v>
      </c>
      <c r="FD373" t="e">
        <f>IF(#REF!,"AAAAAH79158=",0)</f>
        <v>#REF!</v>
      </c>
      <c r="FE373" t="e">
        <f>IF(#REF!,"AAAAAH7916A=",0)</f>
        <v>#REF!</v>
      </c>
      <c r="FF373" t="e">
        <f>IF(#REF!,"AAAAAH7916E=",0)</f>
        <v>#REF!</v>
      </c>
      <c r="FG373" t="e">
        <f>IF(#REF!,"AAAAAH7916I=",0)</f>
        <v>#REF!</v>
      </c>
      <c r="FH373" t="e">
        <f>IF(#REF!,"AAAAAH7916M=",0)</f>
        <v>#REF!</v>
      </c>
      <c r="FI373" t="e">
        <f>IF(#REF!,"AAAAAH7916Q=",0)</f>
        <v>#REF!</v>
      </c>
      <c r="FJ373" t="e">
        <f>IF(#REF!,"AAAAAH7916U=",0)</f>
        <v>#REF!</v>
      </c>
      <c r="FK373" t="e">
        <f>IF(#REF!,"AAAAAH7916Y=",0)</f>
        <v>#REF!</v>
      </c>
      <c r="FL373" t="e">
        <f>IF(#REF!,"AAAAAH7916c=",0)</f>
        <v>#REF!</v>
      </c>
      <c r="FM373" t="e">
        <f>IF(#REF!,"AAAAAH7916g=",0)</f>
        <v>#REF!</v>
      </c>
      <c r="FN373" t="e">
        <f>IF(#REF!,"AAAAAH7916k=",0)</f>
        <v>#REF!</v>
      </c>
      <c r="FO373" t="e">
        <f>IF(#REF!,"AAAAAH7916o=",0)</f>
        <v>#REF!</v>
      </c>
      <c r="FP373" t="e">
        <f>IF(#REF!,"AAAAAH7916s=",0)</f>
        <v>#REF!</v>
      </c>
      <c r="FQ373" t="e">
        <f>IF(#REF!,"AAAAAH7916w=",0)</f>
        <v>#REF!</v>
      </c>
      <c r="FR373" t="e">
        <f>IF(#REF!,"AAAAAH79160=",0)</f>
        <v>#REF!</v>
      </c>
      <c r="FS373" t="e">
        <f>IF(#REF!,"AAAAAH79164=",0)</f>
        <v>#REF!</v>
      </c>
      <c r="FT373" t="e">
        <f>IF(#REF!,"AAAAAH79168=",0)</f>
        <v>#REF!</v>
      </c>
      <c r="FU373" t="e">
        <f>IF(#REF!,"AAAAAH7917A=",0)</f>
        <v>#REF!</v>
      </c>
      <c r="FV373" t="e">
        <f>IF(#REF!,"AAAAAH7917E=",0)</f>
        <v>#REF!</v>
      </c>
      <c r="FW373" t="e">
        <f>IF(#REF!,"AAAAAH7917I=",0)</f>
        <v>#REF!</v>
      </c>
      <c r="FX373" t="e">
        <f>IF(#REF!,"AAAAAH7917M=",0)</f>
        <v>#REF!</v>
      </c>
      <c r="FY373" t="e">
        <f>IF(#REF!,"AAAAAH7917Q=",0)</f>
        <v>#REF!</v>
      </c>
      <c r="FZ373" t="e">
        <f>IF(#REF!,"AAAAAH7917U=",0)</f>
        <v>#REF!</v>
      </c>
      <c r="GA373" t="e">
        <f>IF(#REF!,"AAAAAH7917Y=",0)</f>
        <v>#REF!</v>
      </c>
      <c r="GB373" t="e">
        <f>IF(#REF!,"AAAAAH7917c=",0)</f>
        <v>#REF!</v>
      </c>
      <c r="GC373" t="e">
        <f>IF(#REF!,"AAAAAH7917g=",0)</f>
        <v>#REF!</v>
      </c>
      <c r="GD373" t="e">
        <f>IF(#REF!,"AAAAAH7917k=",0)</f>
        <v>#REF!</v>
      </c>
      <c r="GE373" t="e">
        <f>IF(#REF!,"AAAAAH7917o=",0)</f>
        <v>#REF!</v>
      </c>
      <c r="GF373" t="e">
        <f>IF(#REF!,"AAAAAH7917s=",0)</f>
        <v>#REF!</v>
      </c>
      <c r="GG373" t="e">
        <f>IF(#REF!,"AAAAAH7917w=",0)</f>
        <v>#REF!</v>
      </c>
      <c r="GH373" t="e">
        <f>IF(#REF!,"AAAAAH79170=",0)</f>
        <v>#REF!</v>
      </c>
      <c r="GI373" t="e">
        <f>IF(#REF!,"AAAAAH79174=",0)</f>
        <v>#REF!</v>
      </c>
      <c r="GJ373" t="e">
        <f>IF(#REF!,"AAAAAH79178=",0)</f>
        <v>#REF!</v>
      </c>
      <c r="GK373" t="e">
        <f>IF(#REF!,"AAAAAH7918A=",0)</f>
        <v>#REF!</v>
      </c>
      <c r="GL373" t="e">
        <f>IF(#REF!,"AAAAAH7918E=",0)</f>
        <v>#REF!</v>
      </c>
      <c r="GM373" t="e">
        <f>IF(#REF!,"AAAAAH7918I=",0)</f>
        <v>#REF!</v>
      </c>
      <c r="GN373" t="e">
        <f>IF(#REF!,"AAAAAH7918M=",0)</f>
        <v>#REF!</v>
      </c>
      <c r="GO373" t="e">
        <f>IF(#REF!,"AAAAAH7918Q=",0)</f>
        <v>#REF!</v>
      </c>
      <c r="GP373" t="e">
        <f>IF(#REF!,"AAAAAH7918U=",0)</f>
        <v>#REF!</v>
      </c>
      <c r="GQ373" t="e">
        <f>IF(#REF!,"AAAAAH7918Y=",0)</f>
        <v>#REF!</v>
      </c>
      <c r="GR373" t="e">
        <f>IF(#REF!,"AAAAAH7918c=",0)</f>
        <v>#REF!</v>
      </c>
      <c r="GS373" t="e">
        <f>IF(#REF!,"AAAAAH7918g=",0)</f>
        <v>#REF!</v>
      </c>
      <c r="GT373" t="e">
        <f>IF(#REF!,"AAAAAH7918k=",0)</f>
        <v>#REF!</v>
      </c>
      <c r="GU373" t="e">
        <f>IF(#REF!,"AAAAAH7918o=",0)</f>
        <v>#REF!</v>
      </c>
      <c r="GV373" t="e">
        <f>IF(#REF!,"AAAAAH7918s=",0)</f>
        <v>#REF!</v>
      </c>
      <c r="GW373" t="e">
        <f>IF(#REF!,"AAAAAH7918w=",0)</f>
        <v>#REF!</v>
      </c>
      <c r="GX373" t="e">
        <f>IF(#REF!,"AAAAAH79180=",0)</f>
        <v>#REF!</v>
      </c>
      <c r="GY373" t="e">
        <f>IF(#REF!,"AAAAAH79184=",0)</f>
        <v>#REF!</v>
      </c>
      <c r="GZ373" t="e">
        <f>IF(#REF!,"AAAAAH79188=",0)</f>
        <v>#REF!</v>
      </c>
      <c r="HA373" t="e">
        <f>IF(#REF!,"AAAAAH7919A=",0)</f>
        <v>#REF!</v>
      </c>
      <c r="HB373" t="e">
        <f>IF(#REF!,"AAAAAH7919E=",0)</f>
        <v>#REF!</v>
      </c>
      <c r="HC373" t="e">
        <f>IF(#REF!,"AAAAAH7919I=",0)</f>
        <v>#REF!</v>
      </c>
      <c r="HD373" t="e">
        <f>IF(#REF!,"AAAAAH7919M=",0)</f>
        <v>#REF!</v>
      </c>
      <c r="HE373" t="e">
        <f>IF(#REF!,"AAAAAH7919Q=",0)</f>
        <v>#REF!</v>
      </c>
      <c r="HF373" t="e">
        <f>IF(#REF!,"AAAAAH7919U=",0)</f>
        <v>#REF!</v>
      </c>
      <c r="HG373" t="e">
        <f>IF(#REF!,"AAAAAH7919Y=",0)</f>
        <v>#REF!</v>
      </c>
      <c r="HH373" t="e">
        <f>IF(#REF!,"AAAAAH7919c=",0)</f>
        <v>#REF!</v>
      </c>
      <c r="HI373" t="e">
        <f>IF(#REF!,"AAAAAH7919g=",0)</f>
        <v>#REF!</v>
      </c>
      <c r="HJ373" t="e">
        <f>IF(#REF!,"AAAAAH7919k=",0)</f>
        <v>#REF!</v>
      </c>
      <c r="HK373" t="e">
        <f>IF(#REF!,"AAAAAH7919o=",0)</f>
        <v>#REF!</v>
      </c>
      <c r="HL373" t="e">
        <f>IF(#REF!,"AAAAAH7919s=",0)</f>
        <v>#REF!</v>
      </c>
      <c r="HM373" t="e">
        <f>IF(#REF!,"AAAAAH7919w=",0)</f>
        <v>#REF!</v>
      </c>
      <c r="HN373" t="e">
        <f>IF(#REF!,"AAAAAH79190=",0)</f>
        <v>#REF!</v>
      </c>
      <c r="HO373" t="e">
        <f>IF(#REF!,"AAAAAH79194=",0)</f>
        <v>#REF!</v>
      </c>
      <c r="HP373" t="e">
        <f>IF(#REF!,"AAAAAH79198=",0)</f>
        <v>#REF!</v>
      </c>
      <c r="HQ373" t="e">
        <f>IF(#REF!,"AAAAAH791+A=",0)</f>
        <v>#REF!</v>
      </c>
      <c r="HR373" t="e">
        <f>IF(#REF!,"AAAAAH791+E=",0)</f>
        <v>#REF!</v>
      </c>
      <c r="HS373" t="e">
        <f>IF(#REF!,"AAAAAH791+I=",0)</f>
        <v>#REF!</v>
      </c>
      <c r="HT373" t="e">
        <f>IF(#REF!,"AAAAAH791+M=",0)</f>
        <v>#REF!</v>
      </c>
      <c r="HU373" t="e">
        <f>IF(#REF!,"AAAAAH791+Q=",0)</f>
        <v>#REF!</v>
      </c>
      <c r="HV373" t="e">
        <f>IF(#REF!,"AAAAAH791+U=",0)</f>
        <v>#REF!</v>
      </c>
      <c r="HW373" t="e">
        <f>IF(#REF!,"AAAAAH791+Y=",0)</f>
        <v>#REF!</v>
      </c>
      <c r="HX373" t="e">
        <f>IF(#REF!,"AAAAAH791+c=",0)</f>
        <v>#REF!</v>
      </c>
      <c r="HY373" t="e">
        <f>IF(#REF!,"AAAAAH791+g=",0)</f>
        <v>#REF!</v>
      </c>
      <c r="HZ373" t="e">
        <f>IF(#REF!,"AAAAAH791+k=",0)</f>
        <v>#REF!</v>
      </c>
      <c r="IA373" t="e">
        <f>IF(#REF!,"AAAAAH791+o=",0)</f>
        <v>#REF!</v>
      </c>
      <c r="IB373" t="e">
        <f>IF(#REF!,"AAAAAH791+s=",0)</f>
        <v>#REF!</v>
      </c>
      <c r="IC373" t="e">
        <f>IF(#REF!,"AAAAAH791+w=",0)</f>
        <v>#REF!</v>
      </c>
      <c r="ID373" t="e">
        <f>IF(#REF!,"AAAAAH791+0=",0)</f>
        <v>#REF!</v>
      </c>
      <c r="IE373" t="e">
        <f>IF(#REF!,"AAAAAH791+4=",0)</f>
        <v>#REF!</v>
      </c>
      <c r="IF373" t="e">
        <f>IF(#REF!,"AAAAAH791+8=",0)</f>
        <v>#REF!</v>
      </c>
      <c r="IG373" t="e">
        <f>IF(#REF!,"AAAAAH791/A=",0)</f>
        <v>#REF!</v>
      </c>
      <c r="IH373" t="e">
        <f>IF(#REF!,"AAAAAH791/E=",0)</f>
        <v>#REF!</v>
      </c>
      <c r="II373" t="e">
        <f>IF(#REF!,"AAAAAH791/I=",0)</f>
        <v>#REF!</v>
      </c>
      <c r="IJ373" t="e">
        <f>IF(#REF!,"AAAAAH791/M=",0)</f>
        <v>#REF!</v>
      </c>
      <c r="IK373" t="e">
        <f>IF(#REF!,"AAAAAH791/Q=",0)</f>
        <v>#REF!</v>
      </c>
      <c r="IL373" t="e">
        <f>IF(#REF!,"AAAAAH791/U=",0)</f>
        <v>#REF!</v>
      </c>
      <c r="IM373" t="e">
        <f>IF(#REF!,"AAAAAH791/Y=",0)</f>
        <v>#REF!</v>
      </c>
      <c r="IN373" t="e">
        <f>IF(#REF!,"AAAAAH791/c=",0)</f>
        <v>#REF!</v>
      </c>
      <c r="IO373" t="e">
        <f>IF(#REF!,"AAAAAH791/g=",0)</f>
        <v>#REF!</v>
      </c>
      <c r="IP373" t="e">
        <f>IF(#REF!,"AAAAAH791/k=",0)</f>
        <v>#REF!</v>
      </c>
      <c r="IQ373" t="e">
        <f>IF(#REF!,"AAAAAH791/o=",0)</f>
        <v>#REF!</v>
      </c>
      <c r="IR373" t="e">
        <f>IF(#REF!,"AAAAAH791/s=",0)</f>
        <v>#REF!</v>
      </c>
      <c r="IS373" t="e">
        <f>IF(#REF!,"AAAAAH791/w=",0)</f>
        <v>#REF!</v>
      </c>
      <c r="IT373" t="e">
        <f>IF(#REF!,"AAAAAH791/0=",0)</f>
        <v>#REF!</v>
      </c>
      <c r="IU373" t="e">
        <f>IF(#REF!,"AAAAAH791/4=",0)</f>
        <v>#REF!</v>
      </c>
      <c r="IV373" t="e">
        <f>IF(#REF!,"AAAAAH791/8=",0)</f>
        <v>#REF!</v>
      </c>
    </row>
    <row r="374" spans="1:256">
      <c r="A374" t="e">
        <f>IF(#REF!,"AAAAADN/vwA=",0)</f>
        <v>#REF!</v>
      </c>
      <c r="B374" t="e">
        <f>IF(#REF!,"AAAAADN/vwE=",0)</f>
        <v>#REF!</v>
      </c>
      <c r="C374" t="e">
        <f>IF(#REF!,"AAAAADN/vwI=",0)</f>
        <v>#REF!</v>
      </c>
      <c r="D374" t="e">
        <f>IF(#REF!,"AAAAADN/vwM=",0)</f>
        <v>#REF!</v>
      </c>
      <c r="E374" t="e">
        <f>IF(#REF!,"AAAAADN/vwQ=",0)</f>
        <v>#REF!</v>
      </c>
      <c r="F374" t="e">
        <f>IF(#REF!,"AAAAADN/vwU=",0)</f>
        <v>#REF!</v>
      </c>
      <c r="G374" t="e">
        <f>IF(#REF!,"AAAAADN/vwY=",0)</f>
        <v>#REF!</v>
      </c>
      <c r="H374" t="e">
        <f>IF(#REF!,"AAAAADN/vwc=",0)</f>
        <v>#REF!</v>
      </c>
      <c r="I374" t="e">
        <f>IF(#REF!,"AAAAADN/vwg=",0)</f>
        <v>#REF!</v>
      </c>
      <c r="J374" t="e">
        <f>IF(#REF!,"AAAAADN/vwk=",0)</f>
        <v>#REF!</v>
      </c>
      <c r="K374" t="e">
        <f>IF(#REF!,"AAAAADN/vwo=",0)</f>
        <v>#REF!</v>
      </c>
      <c r="L374" t="e">
        <f>IF(#REF!,"AAAAADN/vws=",0)</f>
        <v>#REF!</v>
      </c>
      <c r="M374" t="e">
        <f>IF(#REF!,"AAAAADN/vww=",0)</f>
        <v>#REF!</v>
      </c>
      <c r="N374" t="e">
        <f>IF(#REF!,"AAAAADN/vw0=",0)</f>
        <v>#REF!</v>
      </c>
      <c r="O374" t="e">
        <f>IF(#REF!,"AAAAADN/vw4=",0)</f>
        <v>#REF!</v>
      </c>
      <c r="P374" t="e">
        <f>IF(#REF!,"AAAAADN/vw8=",0)</f>
        <v>#REF!</v>
      </c>
      <c r="Q374" t="e">
        <f>IF(#REF!,"AAAAADN/vxA=",0)</f>
        <v>#REF!</v>
      </c>
      <c r="R374" t="e">
        <f>IF(#REF!,"AAAAADN/vxE=",0)</f>
        <v>#REF!</v>
      </c>
      <c r="S374" t="e">
        <f>IF(#REF!,"AAAAADN/vxI=",0)</f>
        <v>#REF!</v>
      </c>
      <c r="T374" t="e">
        <f>IF(#REF!,"AAAAADN/vxM=",0)</f>
        <v>#REF!</v>
      </c>
      <c r="U374" t="e">
        <f>IF(#REF!,"AAAAADN/vxQ=",0)</f>
        <v>#REF!</v>
      </c>
      <c r="V374" t="e">
        <f>IF(#REF!,"AAAAADN/vxU=",0)</f>
        <v>#REF!</v>
      </c>
      <c r="W374" t="e">
        <f>IF(#REF!,"AAAAADN/vxY=",0)</f>
        <v>#REF!</v>
      </c>
      <c r="X374" t="e">
        <f>IF(#REF!,"AAAAADN/vxc=",0)</f>
        <v>#REF!</v>
      </c>
      <c r="Y374" t="e">
        <f>IF(#REF!,"AAAAADN/vxg=",0)</f>
        <v>#REF!</v>
      </c>
      <c r="Z374" t="e">
        <f>IF(#REF!,"AAAAADN/vxk=",0)</f>
        <v>#REF!</v>
      </c>
      <c r="AA374" t="e">
        <f>IF(#REF!,"AAAAADN/vxo=",0)</f>
        <v>#REF!</v>
      </c>
      <c r="AB374" t="e">
        <f>IF(#REF!,"AAAAADN/vxs=",0)</f>
        <v>#REF!</v>
      </c>
      <c r="AC374" t="e">
        <f>IF(#REF!,"AAAAADN/vxw=",0)</f>
        <v>#REF!</v>
      </c>
      <c r="AD374" t="e">
        <f>IF(#REF!,"AAAAADN/vx0=",0)</f>
        <v>#REF!</v>
      </c>
      <c r="AE374" t="e">
        <f>IF(#REF!,"AAAAADN/vx4=",0)</f>
        <v>#REF!</v>
      </c>
      <c r="AF374" t="e">
        <f>IF(#REF!,"AAAAADN/vx8=",0)</f>
        <v>#REF!</v>
      </c>
      <c r="AG374" t="e">
        <f>IF(#REF!,"AAAAADN/vyA=",0)</f>
        <v>#REF!</v>
      </c>
      <c r="AH374" t="e">
        <f>IF(#REF!,"AAAAADN/vyE=",0)</f>
        <v>#REF!</v>
      </c>
      <c r="AI374" t="e">
        <f>IF(#REF!,"AAAAADN/vyI=",0)</f>
        <v>#REF!</v>
      </c>
      <c r="AJ374" t="e">
        <f>IF(#REF!,"AAAAADN/vyM=",0)</f>
        <v>#REF!</v>
      </c>
      <c r="AK374" t="e">
        <f>IF(#REF!,"AAAAADN/vyQ=",0)</f>
        <v>#REF!</v>
      </c>
      <c r="AL374" t="e">
        <f>IF(#REF!,"AAAAADN/vyU=",0)</f>
        <v>#REF!</v>
      </c>
      <c r="AM374" t="e">
        <f>IF(#REF!,"AAAAADN/vyY=",0)</f>
        <v>#REF!</v>
      </c>
      <c r="AN374" t="e">
        <f>IF(#REF!,"AAAAADN/vyc=",0)</f>
        <v>#REF!</v>
      </c>
      <c r="AO374" t="e">
        <f>IF(#REF!,"AAAAADN/vyg=",0)</f>
        <v>#REF!</v>
      </c>
      <c r="AP374" t="e">
        <f>IF(#REF!,"AAAAADN/vyk=",0)</f>
        <v>#REF!</v>
      </c>
      <c r="AQ374" t="e">
        <f>IF(#REF!,"AAAAADN/vyo=",0)</f>
        <v>#REF!</v>
      </c>
      <c r="AR374" t="e">
        <f>IF(#REF!,"AAAAADN/vys=",0)</f>
        <v>#REF!</v>
      </c>
      <c r="AS374" t="e">
        <f>IF(#REF!,"AAAAADN/vyw=",0)</f>
        <v>#REF!</v>
      </c>
      <c r="AT374" t="e">
        <f>IF(#REF!,"AAAAADN/vy0=",0)</f>
        <v>#REF!</v>
      </c>
      <c r="AU374" t="e">
        <f>IF(#REF!,"AAAAADN/vy4=",0)</f>
        <v>#REF!</v>
      </c>
      <c r="AV374" t="e">
        <f>IF(#REF!,"AAAAADN/vy8=",0)</f>
        <v>#REF!</v>
      </c>
      <c r="AW374" t="e">
        <f>IF(#REF!,"AAAAADN/vzA=",0)</f>
        <v>#REF!</v>
      </c>
      <c r="AX374" t="e">
        <f>IF(#REF!,"AAAAADN/vzE=",0)</f>
        <v>#REF!</v>
      </c>
      <c r="AY374" t="e">
        <f>IF(#REF!,"AAAAADN/vzI=",0)</f>
        <v>#REF!</v>
      </c>
      <c r="AZ374" t="e">
        <f>IF(#REF!,"AAAAADN/vzM=",0)</f>
        <v>#REF!</v>
      </c>
      <c r="BA374" t="e">
        <f>IF(#REF!,"AAAAADN/vzQ=",0)</f>
        <v>#REF!</v>
      </c>
      <c r="BB374" t="e">
        <f>IF(#REF!,"AAAAADN/vzU=",0)</f>
        <v>#REF!</v>
      </c>
      <c r="BC374" t="e">
        <f>IF(#REF!,"AAAAADN/vzY=",0)</f>
        <v>#REF!</v>
      </c>
      <c r="BD374" t="e">
        <f>IF(#REF!,"AAAAADN/vzc=",0)</f>
        <v>#REF!</v>
      </c>
      <c r="BE374" t="e">
        <f>IF(#REF!,"AAAAADN/vzg=",0)</f>
        <v>#REF!</v>
      </c>
      <c r="BF374" t="e">
        <f>IF(#REF!,"AAAAADN/vzk=",0)</f>
        <v>#REF!</v>
      </c>
      <c r="BG374" t="e">
        <f>IF(#REF!,"AAAAADN/vzo=",0)</f>
        <v>#REF!</v>
      </c>
      <c r="BH374" t="e">
        <f>IF(#REF!,"AAAAADN/vzs=",0)</f>
        <v>#REF!</v>
      </c>
      <c r="BI374" t="e">
        <f>IF(#REF!,"AAAAADN/vzw=",0)</f>
        <v>#REF!</v>
      </c>
      <c r="BJ374" t="e">
        <f>IF(#REF!,"AAAAADN/vz0=",0)</f>
        <v>#REF!</v>
      </c>
      <c r="BK374" t="e">
        <f>IF(#REF!,"AAAAADN/vz4=",0)</f>
        <v>#REF!</v>
      </c>
      <c r="BL374" t="e">
        <f>IF(#REF!,"AAAAADN/vz8=",0)</f>
        <v>#REF!</v>
      </c>
      <c r="BM374" t="e">
        <f>IF(#REF!,"AAAAADN/v0A=",0)</f>
        <v>#REF!</v>
      </c>
      <c r="BN374" t="e">
        <f>IF(#REF!,"AAAAADN/v0E=",0)</f>
        <v>#REF!</v>
      </c>
      <c r="BO374" t="e">
        <f>IF(#REF!,"AAAAADN/v0I=",0)</f>
        <v>#REF!</v>
      </c>
      <c r="BP374" t="e">
        <f>IF(#REF!,"AAAAADN/v0M=",0)</f>
        <v>#REF!</v>
      </c>
      <c r="BQ374" t="e">
        <f>IF(#REF!,"AAAAADN/v0Q=",0)</f>
        <v>#REF!</v>
      </c>
      <c r="BR374" t="e">
        <f>IF(#REF!,"AAAAADN/v0U=",0)</f>
        <v>#REF!</v>
      </c>
      <c r="BS374" t="e">
        <f>IF(#REF!,"AAAAADN/v0Y=",0)</f>
        <v>#REF!</v>
      </c>
      <c r="BT374" t="e">
        <f>IF(#REF!,"AAAAADN/v0c=",0)</f>
        <v>#REF!</v>
      </c>
      <c r="BU374" t="e">
        <f>IF(#REF!,"AAAAADN/v0g=",0)</f>
        <v>#REF!</v>
      </c>
      <c r="BV374" t="e">
        <f>IF(#REF!,"AAAAADN/v0k=",0)</f>
        <v>#REF!</v>
      </c>
      <c r="BW374" t="e">
        <f>IF(#REF!,"AAAAADN/v0o=",0)</f>
        <v>#REF!</v>
      </c>
      <c r="BX374" t="e">
        <f>IF(#REF!,"AAAAADN/v0s=",0)</f>
        <v>#REF!</v>
      </c>
      <c r="BY374" t="e">
        <f>IF(#REF!,"AAAAADN/v0w=",0)</f>
        <v>#REF!</v>
      </c>
      <c r="BZ374" t="e">
        <f>IF(#REF!,"AAAAADN/v00=",0)</f>
        <v>#REF!</v>
      </c>
      <c r="CA374" t="e">
        <f>IF(#REF!,"AAAAADN/v04=",0)</f>
        <v>#REF!</v>
      </c>
      <c r="CB374" t="e">
        <f>IF(#REF!,"AAAAADN/v08=",0)</f>
        <v>#REF!</v>
      </c>
      <c r="CC374" t="e">
        <f>IF(#REF!,"AAAAADN/v1A=",0)</f>
        <v>#REF!</v>
      </c>
      <c r="CD374" t="e">
        <f>IF(#REF!,"AAAAADN/v1E=",0)</f>
        <v>#REF!</v>
      </c>
      <c r="CE374" t="e">
        <f>IF(#REF!,"AAAAADN/v1I=",0)</f>
        <v>#REF!</v>
      </c>
      <c r="CF374" t="e">
        <f>IF(#REF!,"AAAAADN/v1M=",0)</f>
        <v>#REF!</v>
      </c>
      <c r="CG374" t="e">
        <f>IF(#REF!,"AAAAADN/v1Q=",0)</f>
        <v>#REF!</v>
      </c>
      <c r="CH374" t="e">
        <f>IF(#REF!,"AAAAADN/v1U=",0)</f>
        <v>#REF!</v>
      </c>
      <c r="CI374" t="e">
        <f>IF(#REF!,"AAAAADN/v1Y=",0)</f>
        <v>#REF!</v>
      </c>
      <c r="CJ374" t="e">
        <f>IF(#REF!,"AAAAADN/v1c=",0)</f>
        <v>#REF!</v>
      </c>
      <c r="CK374" t="e">
        <f>IF(#REF!,"AAAAADN/v1g=",0)</f>
        <v>#REF!</v>
      </c>
      <c r="CL374" t="e">
        <f>IF(#REF!,"AAAAADN/v1k=",0)</f>
        <v>#REF!</v>
      </c>
      <c r="CM374" t="e">
        <f>IF(#REF!,"AAAAADN/v1o=",0)</f>
        <v>#REF!</v>
      </c>
      <c r="CN374" t="e">
        <f>IF(#REF!,"AAAAADN/v1s=",0)</f>
        <v>#REF!</v>
      </c>
      <c r="CO374" t="e">
        <f>IF(#REF!,"AAAAADN/v1w=",0)</f>
        <v>#REF!</v>
      </c>
      <c r="CP374" t="e">
        <f>IF(#REF!,"AAAAADN/v10=",0)</f>
        <v>#REF!</v>
      </c>
      <c r="CQ374" t="e">
        <f>IF(#REF!,"AAAAADN/v14=",0)</f>
        <v>#REF!</v>
      </c>
      <c r="CR374" t="e">
        <f>IF(#REF!,"AAAAADN/v18=",0)</f>
        <v>#REF!</v>
      </c>
      <c r="CS374" t="e">
        <f>IF(#REF!,"AAAAADN/v2A=",0)</f>
        <v>#REF!</v>
      </c>
      <c r="CT374" t="e">
        <f>IF(#REF!,"AAAAADN/v2E=",0)</f>
        <v>#REF!</v>
      </c>
      <c r="CU374" t="e">
        <f>IF(#REF!,"AAAAADN/v2I=",0)</f>
        <v>#REF!</v>
      </c>
      <c r="CV374" t="e">
        <f>IF(#REF!,"AAAAADN/v2M=",0)</f>
        <v>#REF!</v>
      </c>
      <c r="CW374" t="e">
        <f>IF(#REF!,"AAAAADN/v2Q=",0)</f>
        <v>#REF!</v>
      </c>
      <c r="CX374" t="e">
        <f>IF(#REF!,"AAAAADN/v2U=",0)</f>
        <v>#REF!</v>
      </c>
      <c r="CY374" t="e">
        <f>IF(#REF!,"AAAAADN/v2Y=",0)</f>
        <v>#REF!</v>
      </c>
      <c r="CZ374" t="e">
        <f>IF(#REF!,"AAAAADN/v2c=",0)</f>
        <v>#REF!</v>
      </c>
      <c r="DA374" t="e">
        <f>IF(#REF!,"AAAAADN/v2g=",0)</f>
        <v>#REF!</v>
      </c>
      <c r="DB374" t="e">
        <f>IF(#REF!,"AAAAADN/v2k=",0)</f>
        <v>#REF!</v>
      </c>
      <c r="DC374" t="e">
        <f>IF(#REF!,"AAAAADN/v2o=",0)</f>
        <v>#REF!</v>
      </c>
      <c r="DD374" t="e">
        <f>IF(#REF!,"AAAAADN/v2s=",0)</f>
        <v>#REF!</v>
      </c>
      <c r="DE374" t="e">
        <f>IF(#REF!,"AAAAADN/v2w=",0)</f>
        <v>#REF!</v>
      </c>
      <c r="DF374" t="e">
        <f>IF(#REF!,"AAAAADN/v20=",0)</f>
        <v>#REF!</v>
      </c>
      <c r="DG374" t="e">
        <f>IF(#REF!,"AAAAADN/v24=",0)</f>
        <v>#REF!</v>
      </c>
      <c r="DH374" t="e">
        <f>IF(#REF!,"AAAAADN/v28=",0)</f>
        <v>#REF!</v>
      </c>
      <c r="DI374" t="e">
        <f>IF(#REF!,"AAAAADN/v3A=",0)</f>
        <v>#REF!</v>
      </c>
      <c r="DJ374" t="e">
        <f>IF(#REF!,"AAAAADN/v3E=",0)</f>
        <v>#REF!</v>
      </c>
      <c r="DK374" t="e">
        <f>IF(#REF!,"AAAAADN/v3I=",0)</f>
        <v>#REF!</v>
      </c>
      <c r="DL374" t="e">
        <f>IF(#REF!,"AAAAADN/v3M=",0)</f>
        <v>#REF!</v>
      </c>
      <c r="DM374" t="e">
        <f>IF(#REF!,"AAAAADN/v3Q=",0)</f>
        <v>#REF!</v>
      </c>
      <c r="DN374" t="e">
        <f>IF(#REF!,"AAAAADN/v3U=",0)</f>
        <v>#REF!</v>
      </c>
      <c r="DO374" t="e">
        <f>IF(#REF!,"AAAAADN/v3Y=",0)</f>
        <v>#REF!</v>
      </c>
      <c r="DP374" t="e">
        <f>IF(#REF!,"AAAAADN/v3c=",0)</f>
        <v>#REF!</v>
      </c>
      <c r="DQ374" t="e">
        <f>IF(#REF!,"AAAAADN/v3g=",0)</f>
        <v>#REF!</v>
      </c>
      <c r="DR374" t="e">
        <f>IF(#REF!,"AAAAADN/v3k=",0)</f>
        <v>#REF!</v>
      </c>
      <c r="DS374" t="e">
        <f>IF(#REF!,"AAAAADN/v3o=",0)</f>
        <v>#REF!</v>
      </c>
      <c r="DT374" t="e">
        <f>IF(#REF!,"AAAAADN/v3s=",0)</f>
        <v>#REF!</v>
      </c>
      <c r="DU374" t="e">
        <f>IF(#REF!,"AAAAADN/v3w=",0)</f>
        <v>#REF!</v>
      </c>
      <c r="DV374" t="e">
        <f>IF(#REF!,"AAAAADN/v30=",0)</f>
        <v>#REF!</v>
      </c>
      <c r="DW374" t="e">
        <f>IF(#REF!,"AAAAADN/v34=",0)</f>
        <v>#REF!</v>
      </c>
      <c r="DX374" t="e">
        <f>IF(#REF!,"AAAAADN/v38=",0)</f>
        <v>#REF!</v>
      </c>
      <c r="DY374" t="e">
        <f>IF(#REF!,"AAAAADN/v4A=",0)</f>
        <v>#REF!</v>
      </c>
      <c r="DZ374" t="e">
        <f>IF(#REF!,"AAAAADN/v4E=",0)</f>
        <v>#REF!</v>
      </c>
      <c r="EA374" t="e">
        <f>IF(#REF!,"AAAAADN/v4I=",0)</f>
        <v>#REF!</v>
      </c>
      <c r="EB374" t="e">
        <f>IF(#REF!,"AAAAADN/v4M=",0)</f>
        <v>#REF!</v>
      </c>
      <c r="EC374" t="e">
        <f>IF(#REF!,"AAAAADN/v4Q=",0)</f>
        <v>#REF!</v>
      </c>
      <c r="ED374" t="e">
        <f>IF(#REF!,"AAAAADN/v4U=",0)</f>
        <v>#REF!</v>
      </c>
      <c r="EE374" t="e">
        <f>IF(#REF!,"AAAAADN/v4Y=",0)</f>
        <v>#REF!</v>
      </c>
      <c r="EF374" t="e">
        <f>IF(#REF!,"AAAAADN/v4c=",0)</f>
        <v>#REF!</v>
      </c>
      <c r="EG374" t="e">
        <f>IF(#REF!,"AAAAADN/v4g=",0)</f>
        <v>#REF!</v>
      </c>
      <c r="EH374" t="e">
        <f>IF(#REF!,"AAAAADN/v4k=",0)</f>
        <v>#REF!</v>
      </c>
      <c r="EI374" t="e">
        <f>IF(#REF!,"AAAAADN/v4o=",0)</f>
        <v>#REF!</v>
      </c>
      <c r="EJ374" t="e">
        <f>IF(#REF!,"AAAAADN/v4s=",0)</f>
        <v>#REF!</v>
      </c>
      <c r="EK374" t="e">
        <f>IF(#REF!,"AAAAADN/v4w=",0)</f>
        <v>#REF!</v>
      </c>
      <c r="EL374" t="e">
        <f>IF(#REF!,"AAAAADN/v40=",0)</f>
        <v>#REF!</v>
      </c>
      <c r="EM374" t="e">
        <f>IF(#REF!,"AAAAADN/v44=",0)</f>
        <v>#REF!</v>
      </c>
      <c r="EN374" t="e">
        <f>IF(#REF!,"AAAAADN/v48=",0)</f>
        <v>#REF!</v>
      </c>
      <c r="EO374" t="e">
        <f>IF(#REF!,"AAAAADN/v5A=",0)</f>
        <v>#REF!</v>
      </c>
      <c r="EP374" t="e">
        <f>IF(#REF!,"AAAAADN/v5E=",0)</f>
        <v>#REF!</v>
      </c>
      <c r="EQ374" t="e">
        <f>IF(#REF!,"AAAAADN/v5I=",0)</f>
        <v>#REF!</v>
      </c>
      <c r="ER374" t="e">
        <f>IF(#REF!,"AAAAADN/v5M=",0)</f>
        <v>#REF!</v>
      </c>
      <c r="ES374" t="e">
        <f>IF(#REF!,"AAAAADN/v5Q=",0)</f>
        <v>#REF!</v>
      </c>
      <c r="ET374" t="e">
        <f>IF(#REF!,"AAAAADN/v5U=",0)</f>
        <v>#REF!</v>
      </c>
      <c r="EU374" t="e">
        <f>IF(#REF!,"AAAAADN/v5Y=",0)</f>
        <v>#REF!</v>
      </c>
      <c r="EV374" t="e">
        <f>IF(#REF!,"AAAAADN/v5c=",0)</f>
        <v>#REF!</v>
      </c>
      <c r="EW374" t="e">
        <f>IF(#REF!,"AAAAADN/v5g=",0)</f>
        <v>#REF!</v>
      </c>
      <c r="EX374" t="e">
        <f>IF(#REF!,"AAAAADN/v5k=",0)</f>
        <v>#REF!</v>
      </c>
      <c r="EY374" t="e">
        <f>IF(#REF!,"AAAAADN/v5o=",0)</f>
        <v>#REF!</v>
      </c>
      <c r="EZ374" t="e">
        <f>IF(#REF!,"AAAAADN/v5s=",0)</f>
        <v>#REF!</v>
      </c>
      <c r="FA374" t="e">
        <f>IF(#REF!,"AAAAADN/v5w=",0)</f>
        <v>#REF!</v>
      </c>
      <c r="FB374" t="e">
        <f>IF(#REF!,"AAAAADN/v50=",0)</f>
        <v>#REF!</v>
      </c>
      <c r="FC374" t="e">
        <f>IF(#REF!,"AAAAADN/v54=",0)</f>
        <v>#REF!</v>
      </c>
      <c r="FD374" t="e">
        <f>IF(#REF!,"AAAAADN/v58=",0)</f>
        <v>#REF!</v>
      </c>
      <c r="FE374" t="e">
        <f>IF(#REF!,"AAAAADN/v6A=",0)</f>
        <v>#REF!</v>
      </c>
      <c r="FF374" t="e">
        <f>IF(#REF!,"AAAAADN/v6E=",0)</f>
        <v>#REF!</v>
      </c>
      <c r="FG374" t="e">
        <f>IF(#REF!,"AAAAADN/v6I=",0)</f>
        <v>#REF!</v>
      </c>
      <c r="FH374" t="e">
        <f>IF(#REF!,"AAAAADN/v6M=",0)</f>
        <v>#REF!</v>
      </c>
      <c r="FI374" t="e">
        <f>IF(#REF!,"AAAAADN/v6Q=",0)</f>
        <v>#REF!</v>
      </c>
      <c r="FJ374" t="e">
        <f>IF(#REF!,"AAAAADN/v6U=",0)</f>
        <v>#REF!</v>
      </c>
      <c r="FK374" t="e">
        <f>IF(#REF!,"AAAAADN/v6Y=",0)</f>
        <v>#REF!</v>
      </c>
      <c r="FL374" t="e">
        <f>IF(#REF!,"AAAAADN/v6c=",0)</f>
        <v>#REF!</v>
      </c>
      <c r="FM374" t="e">
        <f>IF(#REF!,"AAAAADN/v6g=",0)</f>
        <v>#REF!</v>
      </c>
      <c r="FN374" t="e">
        <f>IF(#REF!,"AAAAADN/v6k=",0)</f>
        <v>#REF!</v>
      </c>
      <c r="FO374" t="e">
        <f>IF(#REF!,"AAAAADN/v6o=",0)</f>
        <v>#REF!</v>
      </c>
      <c r="FP374" t="e">
        <f>IF(#REF!,"AAAAADN/v6s=",0)</f>
        <v>#REF!</v>
      </c>
      <c r="FQ374" t="e">
        <f>IF(#REF!,"AAAAADN/v6w=",0)</f>
        <v>#REF!</v>
      </c>
      <c r="FR374" t="e">
        <f>IF(#REF!,"AAAAADN/v60=",0)</f>
        <v>#REF!</v>
      </c>
      <c r="FS374" t="e">
        <f>IF(#REF!,"AAAAADN/v64=",0)</f>
        <v>#REF!</v>
      </c>
      <c r="FT374" t="e">
        <f>IF(#REF!,"AAAAADN/v68=",0)</f>
        <v>#REF!</v>
      </c>
      <c r="FU374" t="e">
        <f>IF(#REF!,"AAAAADN/v7A=",0)</f>
        <v>#REF!</v>
      </c>
      <c r="FV374" t="e">
        <f>IF(#REF!,"AAAAADN/v7E=",0)</f>
        <v>#REF!</v>
      </c>
      <c r="FW374" t="e">
        <f>IF(#REF!,"AAAAADN/v7I=",0)</f>
        <v>#REF!</v>
      </c>
      <c r="FX374" t="e">
        <f>IF(#REF!,"AAAAADN/v7M=",0)</f>
        <v>#REF!</v>
      </c>
      <c r="FY374" t="e">
        <f>IF(#REF!,"AAAAADN/v7Q=",0)</f>
        <v>#REF!</v>
      </c>
      <c r="FZ374" t="e">
        <f>IF(#REF!,"AAAAADN/v7U=",0)</f>
        <v>#REF!</v>
      </c>
      <c r="GA374" t="e">
        <f>IF(#REF!,"AAAAADN/v7Y=",0)</f>
        <v>#REF!</v>
      </c>
      <c r="GB374" t="e">
        <f>IF(#REF!,"AAAAADN/v7c=",0)</f>
        <v>#REF!</v>
      </c>
      <c r="GC374" t="e">
        <f>IF(#REF!,"AAAAADN/v7g=",0)</f>
        <v>#REF!</v>
      </c>
      <c r="GD374" t="e">
        <f>IF(#REF!,"AAAAADN/v7k=",0)</f>
        <v>#REF!</v>
      </c>
      <c r="GE374" t="e">
        <f>IF(#REF!,"AAAAADN/v7o=",0)</f>
        <v>#REF!</v>
      </c>
      <c r="GF374" t="e">
        <f>IF(#REF!,"AAAAADN/v7s=",0)</f>
        <v>#REF!</v>
      </c>
      <c r="GG374" t="e">
        <f>IF(#REF!,"AAAAADN/v7w=",0)</f>
        <v>#REF!</v>
      </c>
      <c r="GH374" t="e">
        <f>IF(#REF!,"AAAAADN/v70=",0)</f>
        <v>#REF!</v>
      </c>
      <c r="GI374" t="e">
        <f>IF(#REF!,"AAAAADN/v74=",0)</f>
        <v>#REF!</v>
      </c>
      <c r="GJ374" t="e">
        <f>IF(#REF!,"AAAAADN/v78=",0)</f>
        <v>#REF!</v>
      </c>
      <c r="GK374" t="e">
        <f>IF(#REF!,"AAAAADN/v8A=",0)</f>
        <v>#REF!</v>
      </c>
      <c r="GL374" t="e">
        <f>IF(#REF!,"AAAAADN/v8E=",0)</f>
        <v>#REF!</v>
      </c>
      <c r="GM374" t="e">
        <f>IF(#REF!,"AAAAADN/v8I=",0)</f>
        <v>#REF!</v>
      </c>
      <c r="GN374" t="e">
        <f>IF(#REF!,"AAAAADN/v8M=",0)</f>
        <v>#REF!</v>
      </c>
      <c r="GO374" t="e">
        <f>IF(#REF!,"AAAAADN/v8Q=",0)</f>
        <v>#REF!</v>
      </c>
      <c r="GP374" t="e">
        <f>IF(#REF!,"AAAAADN/v8U=",0)</f>
        <v>#REF!</v>
      </c>
      <c r="GQ374" t="e">
        <f>IF(#REF!,"AAAAADN/v8Y=",0)</f>
        <v>#REF!</v>
      </c>
      <c r="GR374" t="e">
        <f>IF(#REF!,"AAAAADN/v8c=",0)</f>
        <v>#REF!</v>
      </c>
      <c r="GS374" t="e">
        <f>IF(#REF!,"AAAAADN/v8g=",0)</f>
        <v>#REF!</v>
      </c>
      <c r="GT374" t="e">
        <f>IF(#REF!,"AAAAADN/v8k=",0)</f>
        <v>#REF!</v>
      </c>
      <c r="GU374" t="e">
        <f>IF(#REF!,"AAAAADN/v8o=",0)</f>
        <v>#REF!</v>
      </c>
      <c r="GV374" t="e">
        <f>IF(#REF!,"AAAAADN/v8s=",0)</f>
        <v>#REF!</v>
      </c>
      <c r="GW374" t="e">
        <f>IF(#REF!,"AAAAADN/v8w=",0)</f>
        <v>#REF!</v>
      </c>
      <c r="GX374" t="e">
        <f>IF(#REF!,"AAAAADN/v80=",0)</f>
        <v>#REF!</v>
      </c>
      <c r="GY374" t="e">
        <f>IF(#REF!,"AAAAADN/v84=",0)</f>
        <v>#REF!</v>
      </c>
      <c r="GZ374" t="e">
        <f>IF(#REF!,"AAAAADN/v88=",0)</f>
        <v>#REF!</v>
      </c>
      <c r="HA374" t="e">
        <f>IF(#REF!,"AAAAADN/v9A=",0)</f>
        <v>#REF!</v>
      </c>
      <c r="HB374" t="e">
        <f>IF(#REF!,"AAAAADN/v9E=",0)</f>
        <v>#REF!</v>
      </c>
      <c r="HC374" t="e">
        <f>IF(#REF!,"AAAAADN/v9I=",0)</f>
        <v>#REF!</v>
      </c>
      <c r="HD374" t="e">
        <f>IF(#REF!,"AAAAADN/v9M=",0)</f>
        <v>#REF!</v>
      </c>
      <c r="HE374" t="e">
        <f>IF(#REF!,"AAAAADN/v9Q=",0)</f>
        <v>#REF!</v>
      </c>
      <c r="HF374" t="e">
        <f>IF(#REF!,"AAAAADN/v9U=",0)</f>
        <v>#REF!</v>
      </c>
      <c r="HG374" t="e">
        <f>IF(#REF!,"AAAAADN/v9Y=",0)</f>
        <v>#REF!</v>
      </c>
      <c r="HH374" t="e">
        <f>IF(#REF!,"AAAAADN/v9c=",0)</f>
        <v>#REF!</v>
      </c>
      <c r="HI374" t="e">
        <f>IF(#REF!,"AAAAADN/v9g=",0)</f>
        <v>#REF!</v>
      </c>
      <c r="HJ374" t="e">
        <f>IF(#REF!,"AAAAADN/v9k=",0)</f>
        <v>#REF!</v>
      </c>
      <c r="HK374" t="e">
        <f>IF(#REF!,"AAAAADN/v9o=",0)</f>
        <v>#REF!</v>
      </c>
      <c r="HL374" t="e">
        <f>IF(#REF!,"AAAAADN/v9s=",0)</f>
        <v>#REF!</v>
      </c>
      <c r="HM374" t="e">
        <f>IF(#REF!,"AAAAADN/v9w=",0)</f>
        <v>#REF!</v>
      </c>
      <c r="HN374" t="e">
        <f>IF(#REF!,"AAAAADN/v90=",0)</f>
        <v>#REF!</v>
      </c>
      <c r="HO374" t="e">
        <f>IF(#REF!,"AAAAADN/v94=",0)</f>
        <v>#REF!</v>
      </c>
      <c r="HP374" t="e">
        <f>IF(#REF!,"AAAAADN/v98=",0)</f>
        <v>#REF!</v>
      </c>
      <c r="HQ374" t="e">
        <f>IF(#REF!,"AAAAADN/v+A=",0)</f>
        <v>#REF!</v>
      </c>
      <c r="HR374" t="e">
        <f>IF(#REF!,"AAAAADN/v+E=",0)</f>
        <v>#REF!</v>
      </c>
      <c r="HS374" t="e">
        <f>IF(#REF!,"AAAAADN/v+I=",0)</f>
        <v>#REF!</v>
      </c>
      <c r="HT374" t="e">
        <f>IF(#REF!,"AAAAADN/v+M=",0)</f>
        <v>#REF!</v>
      </c>
      <c r="HU374" t="e">
        <f>IF(#REF!,"AAAAADN/v+Q=",0)</f>
        <v>#REF!</v>
      </c>
      <c r="HV374" t="e">
        <f>IF(#REF!,"AAAAADN/v+U=",0)</f>
        <v>#REF!</v>
      </c>
      <c r="HW374" t="e">
        <f>IF(#REF!,"AAAAADN/v+Y=",0)</f>
        <v>#REF!</v>
      </c>
      <c r="HX374" t="e">
        <f>IF(#REF!,"AAAAADN/v+c=",0)</f>
        <v>#REF!</v>
      </c>
      <c r="HY374" t="e">
        <f>IF(#REF!,"AAAAADN/v+g=",0)</f>
        <v>#REF!</v>
      </c>
      <c r="HZ374" t="e">
        <f>IF(#REF!,"AAAAADN/v+k=",0)</f>
        <v>#REF!</v>
      </c>
      <c r="IA374" t="e">
        <f>IF(#REF!,"AAAAADN/v+o=",0)</f>
        <v>#REF!</v>
      </c>
      <c r="IB374" t="e">
        <f>IF(#REF!,"AAAAADN/v+s=",0)</f>
        <v>#REF!</v>
      </c>
      <c r="IC374" t="e">
        <f>IF(#REF!,"AAAAADN/v+w=",0)</f>
        <v>#REF!</v>
      </c>
      <c r="ID374" t="e">
        <f>IF(#REF!,"AAAAADN/v+0=",0)</f>
        <v>#REF!</v>
      </c>
      <c r="IE374" t="e">
        <f>IF(#REF!,"AAAAADN/v+4=",0)</f>
        <v>#REF!</v>
      </c>
      <c r="IF374" t="e">
        <f>IF(#REF!,"AAAAADN/v+8=",0)</f>
        <v>#REF!</v>
      </c>
      <c r="IG374" t="e">
        <f>IF(#REF!,"AAAAADN/v/A=",0)</f>
        <v>#REF!</v>
      </c>
      <c r="IH374" t="e">
        <f>IF(#REF!,"AAAAADN/v/E=",0)</f>
        <v>#REF!</v>
      </c>
      <c r="II374" t="e">
        <f>IF(#REF!,"AAAAADN/v/I=",0)</f>
        <v>#REF!</v>
      </c>
      <c r="IJ374" t="e">
        <f>IF(#REF!,"AAAAADN/v/M=",0)</f>
        <v>#REF!</v>
      </c>
      <c r="IK374" t="e">
        <f>IF(#REF!,"AAAAADN/v/Q=",0)</f>
        <v>#REF!</v>
      </c>
      <c r="IL374" t="e">
        <f>IF(#REF!,"AAAAADN/v/U=",0)</f>
        <v>#REF!</v>
      </c>
      <c r="IM374" t="e">
        <f>IF(#REF!,"AAAAADN/v/Y=",0)</f>
        <v>#REF!</v>
      </c>
      <c r="IN374" t="e">
        <f>IF(#REF!,"AAAAADN/v/c=",0)</f>
        <v>#REF!</v>
      </c>
      <c r="IO374" t="e">
        <f>IF(#REF!,"AAAAADN/v/g=",0)</f>
        <v>#REF!</v>
      </c>
      <c r="IP374" t="e">
        <f>IF(#REF!,"AAAAADN/v/k=",0)</f>
        <v>#REF!</v>
      </c>
      <c r="IQ374" t="e">
        <f>IF(#REF!,"AAAAADN/v/o=",0)</f>
        <v>#REF!</v>
      </c>
      <c r="IR374" t="e">
        <f>IF(#REF!,"AAAAADN/v/s=",0)</f>
        <v>#REF!</v>
      </c>
      <c r="IS374" t="e">
        <f>IF(#REF!,"AAAAADN/v/w=",0)</f>
        <v>#REF!</v>
      </c>
      <c r="IT374" t="e">
        <f>IF(#REF!,"AAAAADN/v/0=",0)</f>
        <v>#REF!</v>
      </c>
      <c r="IU374" t="e">
        <f>IF(#REF!,"AAAAADN/v/4=",0)</f>
        <v>#REF!</v>
      </c>
      <c r="IV374" t="e">
        <f>IF(#REF!,"AAAAADN/v/8=",0)</f>
        <v>#REF!</v>
      </c>
    </row>
    <row r="375" spans="1:256">
      <c r="A375" t="e">
        <f>IF(#REF!,"AAAAAEtqrwA=",0)</f>
        <v>#REF!</v>
      </c>
      <c r="B375" t="e">
        <f>IF(#REF!,"AAAAAEtqrwE=",0)</f>
        <v>#REF!</v>
      </c>
      <c r="C375" t="e">
        <f>IF(#REF!,"AAAAAEtqrwI=",0)</f>
        <v>#REF!</v>
      </c>
      <c r="D375" t="e">
        <f>IF(#REF!,"AAAAAEtqrwM=",0)</f>
        <v>#REF!</v>
      </c>
      <c r="E375" t="e">
        <f>IF(#REF!,"AAAAAEtqrwQ=",0)</f>
        <v>#REF!</v>
      </c>
      <c r="F375" t="e">
        <f>IF(#REF!,"AAAAAEtqrwU=",0)</f>
        <v>#REF!</v>
      </c>
      <c r="G375" t="e">
        <f>IF(#REF!,"AAAAAEtqrwY=",0)</f>
        <v>#REF!</v>
      </c>
      <c r="H375" t="e">
        <f>IF(#REF!,"AAAAAEtqrwc=",0)</f>
        <v>#REF!</v>
      </c>
      <c r="I375" t="e">
        <f>IF(#REF!,"AAAAAEtqrwg=",0)</f>
        <v>#REF!</v>
      </c>
      <c r="J375" t="e">
        <f>IF(#REF!,"AAAAAEtqrwk=",0)</f>
        <v>#REF!</v>
      </c>
      <c r="K375" t="e">
        <f>IF(#REF!,"AAAAAEtqrwo=",0)</f>
        <v>#REF!</v>
      </c>
      <c r="L375" t="e">
        <f>IF(#REF!,"AAAAAEtqrws=",0)</f>
        <v>#REF!</v>
      </c>
      <c r="M375" t="e">
        <f>IF(#REF!,"AAAAAEtqrww=",0)</f>
        <v>#REF!</v>
      </c>
      <c r="N375" t="e">
        <f>IF(#REF!,"AAAAAEtqrw0=",0)</f>
        <v>#REF!</v>
      </c>
      <c r="O375" t="e">
        <f>IF(#REF!,"AAAAAEtqrw4=",0)</f>
        <v>#REF!</v>
      </c>
      <c r="P375" t="e">
        <f>IF(#REF!,"AAAAAEtqrw8=",0)</f>
        <v>#REF!</v>
      </c>
      <c r="Q375" t="e">
        <f>IF(#REF!,"AAAAAEtqrxA=",0)</f>
        <v>#REF!</v>
      </c>
      <c r="R375" t="e">
        <f>IF(#REF!,"AAAAAEtqrxE=",0)</f>
        <v>#REF!</v>
      </c>
      <c r="S375" t="e">
        <f>IF(#REF!,"AAAAAEtqrxI=",0)</f>
        <v>#REF!</v>
      </c>
      <c r="T375" t="e">
        <f>IF(#REF!,"AAAAAEtqrxM=",0)</f>
        <v>#REF!</v>
      </c>
      <c r="U375" t="e">
        <f>IF(#REF!,"AAAAAEtqrxQ=",0)</f>
        <v>#REF!</v>
      </c>
      <c r="V375" t="e">
        <f>IF(#REF!,"AAAAAEtqrxU=",0)</f>
        <v>#REF!</v>
      </c>
      <c r="W375" t="e">
        <f>IF(#REF!,"AAAAAEtqrxY=",0)</f>
        <v>#REF!</v>
      </c>
      <c r="X375" t="e">
        <f>IF(#REF!,"AAAAAEtqrxc=",0)</f>
        <v>#REF!</v>
      </c>
      <c r="Y375" t="e">
        <f>IF(#REF!,"AAAAAEtqrxg=",0)</f>
        <v>#REF!</v>
      </c>
      <c r="Z375" t="e">
        <f>IF(#REF!,"AAAAAEtqrxk=",0)</f>
        <v>#REF!</v>
      </c>
      <c r="AA375" t="e">
        <f>IF(#REF!,"AAAAAEtqrxo=",0)</f>
        <v>#REF!</v>
      </c>
      <c r="AB375" t="e">
        <f>IF(#REF!,"AAAAAEtqrxs=",0)</f>
        <v>#REF!</v>
      </c>
      <c r="AC375" t="e">
        <f>IF(#REF!,"AAAAAEtqrxw=",0)</f>
        <v>#REF!</v>
      </c>
      <c r="AD375" t="e">
        <f>IF(#REF!,"AAAAAEtqrx0=",0)</f>
        <v>#REF!</v>
      </c>
      <c r="AE375" t="e">
        <f>IF(#REF!,"AAAAAEtqrx4=",0)</f>
        <v>#REF!</v>
      </c>
      <c r="AF375" t="e">
        <f>IF(#REF!,"AAAAAEtqrx8=",0)</f>
        <v>#REF!</v>
      </c>
      <c r="AG375" t="e">
        <f>IF(#REF!,"AAAAAEtqryA=",0)</f>
        <v>#REF!</v>
      </c>
      <c r="AH375" t="e">
        <f>IF(#REF!,"AAAAAEtqryE=",0)</f>
        <v>#REF!</v>
      </c>
      <c r="AI375" t="e">
        <f>IF(#REF!,"AAAAAEtqryI=",0)</f>
        <v>#REF!</v>
      </c>
      <c r="AJ375" t="e">
        <f>IF(#REF!,"AAAAAEtqryM=",0)</f>
        <v>#REF!</v>
      </c>
      <c r="AK375" t="e">
        <f>IF(#REF!,"AAAAAEtqryQ=",0)</f>
        <v>#REF!</v>
      </c>
      <c r="AL375" t="e">
        <f>IF(#REF!,"AAAAAEtqryU=",0)</f>
        <v>#REF!</v>
      </c>
      <c r="AM375" t="e">
        <f>IF(#REF!,"AAAAAEtqryY=",0)</f>
        <v>#REF!</v>
      </c>
      <c r="AN375" t="e">
        <f>IF(#REF!,"AAAAAEtqryc=",0)</f>
        <v>#REF!</v>
      </c>
      <c r="AO375" t="e">
        <f>IF(#REF!,"AAAAAEtqryg=",0)</f>
        <v>#REF!</v>
      </c>
      <c r="AP375" t="e">
        <f>IF(#REF!,"AAAAAEtqryk=",0)</f>
        <v>#REF!</v>
      </c>
      <c r="AQ375" t="e">
        <f>IF(#REF!,"AAAAAEtqryo=",0)</f>
        <v>#REF!</v>
      </c>
      <c r="AR375" t="e">
        <f>IF(#REF!,"AAAAAEtqrys=",0)</f>
        <v>#REF!</v>
      </c>
      <c r="AS375" t="e">
        <f>IF(#REF!,"AAAAAEtqryw=",0)</f>
        <v>#REF!</v>
      </c>
      <c r="AT375" t="e">
        <f>IF(#REF!,"AAAAAEtqry0=",0)</f>
        <v>#REF!</v>
      </c>
      <c r="AU375" t="e">
        <f>IF(#REF!,"AAAAAEtqry4=",0)</f>
        <v>#REF!</v>
      </c>
      <c r="AV375" t="e">
        <f>IF(#REF!,"AAAAAEtqry8=",0)</f>
        <v>#REF!</v>
      </c>
      <c r="AW375" t="e">
        <f>IF(#REF!,"AAAAAEtqrzA=",0)</f>
        <v>#REF!</v>
      </c>
      <c r="AX375" t="e">
        <f>IF(#REF!,"AAAAAEtqrzE=",0)</f>
        <v>#REF!</v>
      </c>
      <c r="AY375" t="e">
        <f>IF(#REF!,"AAAAAEtqrzI=",0)</f>
        <v>#REF!</v>
      </c>
      <c r="AZ375" t="e">
        <f>IF(#REF!,"AAAAAEtqrzM=",0)</f>
        <v>#REF!</v>
      </c>
      <c r="BA375" t="e">
        <f>IF(#REF!,"AAAAAEtqrzQ=",0)</f>
        <v>#REF!</v>
      </c>
      <c r="BB375" t="e">
        <f>IF(#REF!,"AAAAAEtqrzU=",0)</f>
        <v>#REF!</v>
      </c>
      <c r="BC375" t="e">
        <f>IF(#REF!,"AAAAAEtqrzY=",0)</f>
        <v>#REF!</v>
      </c>
      <c r="BD375" t="e">
        <f>IF(#REF!,"AAAAAEtqrzc=",0)</f>
        <v>#REF!</v>
      </c>
      <c r="BE375" t="e">
        <f>IF(#REF!,"AAAAAEtqrzg=",0)</f>
        <v>#REF!</v>
      </c>
      <c r="BF375" t="e">
        <f>IF(#REF!,"AAAAAEtqrzk=",0)</f>
        <v>#REF!</v>
      </c>
      <c r="BG375" t="e">
        <f>IF(#REF!,"AAAAAEtqrzo=",0)</f>
        <v>#REF!</v>
      </c>
      <c r="BH375" t="e">
        <f>IF(#REF!,"AAAAAEtqrzs=",0)</f>
        <v>#REF!</v>
      </c>
      <c r="BI375" t="e">
        <f>IF(#REF!,"AAAAAEtqrzw=",0)</f>
        <v>#REF!</v>
      </c>
      <c r="BJ375" t="e">
        <f>IF(#REF!,"AAAAAEtqrz0=",0)</f>
        <v>#REF!</v>
      </c>
      <c r="BK375" t="e">
        <f>IF(#REF!,"AAAAAEtqrz4=",0)</f>
        <v>#REF!</v>
      </c>
      <c r="BL375" t="e">
        <f>IF(#REF!,"AAAAAEtqrz8=",0)</f>
        <v>#REF!</v>
      </c>
      <c r="BM375" t="e">
        <f>IF(#REF!,"AAAAAEtqr0A=",0)</f>
        <v>#REF!</v>
      </c>
      <c r="BN375" t="e">
        <f>IF(#REF!,"AAAAAEtqr0E=",0)</f>
        <v>#REF!</v>
      </c>
      <c r="BO375" t="e">
        <f>IF(#REF!,"AAAAAEtqr0I=",0)</f>
        <v>#REF!</v>
      </c>
      <c r="BP375" t="e">
        <f>IF(#REF!,"AAAAAEtqr0M=",0)</f>
        <v>#REF!</v>
      </c>
      <c r="BQ375" t="e">
        <f>IF(#REF!,"AAAAAEtqr0Q=",0)</f>
        <v>#REF!</v>
      </c>
      <c r="BR375" t="e">
        <f>IF(#REF!,"AAAAAEtqr0U=",0)</f>
        <v>#REF!</v>
      </c>
      <c r="BS375" t="e">
        <f>IF(#REF!,"AAAAAEtqr0Y=",0)</f>
        <v>#REF!</v>
      </c>
      <c r="BT375" t="e">
        <f>IF(#REF!,"AAAAAEtqr0c=",0)</f>
        <v>#REF!</v>
      </c>
      <c r="BU375" t="e">
        <f>IF(#REF!,"AAAAAEtqr0g=",0)</f>
        <v>#REF!</v>
      </c>
      <c r="BV375" t="e">
        <f>IF(#REF!,"AAAAAEtqr0k=",0)</f>
        <v>#REF!</v>
      </c>
      <c r="BW375" t="e">
        <f>IF(#REF!,"AAAAAEtqr0o=",0)</f>
        <v>#REF!</v>
      </c>
      <c r="BX375" t="e">
        <f>IF(#REF!,"AAAAAEtqr0s=",0)</f>
        <v>#REF!</v>
      </c>
      <c r="BY375" t="e">
        <f>IF(#REF!,"AAAAAEtqr0w=",0)</f>
        <v>#REF!</v>
      </c>
      <c r="BZ375" t="e">
        <f>IF(#REF!,"AAAAAEtqr00=",0)</f>
        <v>#REF!</v>
      </c>
      <c r="CA375" t="e">
        <f>IF(#REF!,"AAAAAEtqr04=",0)</f>
        <v>#REF!</v>
      </c>
      <c r="CB375" t="e">
        <f>IF(#REF!,"AAAAAEtqr08=",0)</f>
        <v>#REF!</v>
      </c>
      <c r="CC375" t="e">
        <f>IF(#REF!,"AAAAAEtqr1A=",0)</f>
        <v>#REF!</v>
      </c>
      <c r="CD375" t="e">
        <f>IF(#REF!,"AAAAAEtqr1E=",0)</f>
        <v>#REF!</v>
      </c>
      <c r="CE375" t="e">
        <f>IF(#REF!,"AAAAAEtqr1I=",0)</f>
        <v>#REF!</v>
      </c>
      <c r="CF375" t="e">
        <f>IF(#REF!,"AAAAAEtqr1M=",0)</f>
        <v>#REF!</v>
      </c>
      <c r="CG375" t="e">
        <f>IF(#REF!,"AAAAAEtqr1Q=",0)</f>
        <v>#REF!</v>
      </c>
      <c r="CH375" t="e">
        <f>IF(#REF!,"AAAAAEtqr1U=",0)</f>
        <v>#REF!</v>
      </c>
      <c r="CI375" t="e">
        <f>IF(#REF!,"AAAAAEtqr1Y=",0)</f>
        <v>#REF!</v>
      </c>
      <c r="CJ375" t="e">
        <f>IF(#REF!,"AAAAAEtqr1c=",0)</f>
        <v>#REF!</v>
      </c>
      <c r="CK375" t="e">
        <f>IF(#REF!,"AAAAAEtqr1g=",0)</f>
        <v>#REF!</v>
      </c>
      <c r="CL375" t="e">
        <f>IF(#REF!,"AAAAAEtqr1k=",0)</f>
        <v>#REF!</v>
      </c>
      <c r="CM375" t="e">
        <f>IF(#REF!,"AAAAAEtqr1o=",0)</f>
        <v>#REF!</v>
      </c>
      <c r="CN375" t="e">
        <f>IF(#REF!,"AAAAAEtqr1s=",0)</f>
        <v>#REF!</v>
      </c>
      <c r="CO375" t="e">
        <f>IF(#REF!,"AAAAAEtqr1w=",0)</f>
        <v>#REF!</v>
      </c>
      <c r="CP375" t="e">
        <f>IF(#REF!,"AAAAAEtqr10=",0)</f>
        <v>#REF!</v>
      </c>
      <c r="CQ375" t="e">
        <f>IF(#REF!,"AAAAAEtqr14=",0)</f>
        <v>#REF!</v>
      </c>
      <c r="CR375" t="e">
        <f>IF(#REF!,"AAAAAEtqr18=",0)</f>
        <v>#REF!</v>
      </c>
      <c r="CS375" t="e">
        <f>IF(#REF!,"AAAAAEtqr2A=",0)</f>
        <v>#REF!</v>
      </c>
      <c r="CT375" t="e">
        <f>IF(#REF!,"AAAAAEtqr2E=",0)</f>
        <v>#REF!</v>
      </c>
      <c r="CU375" t="e">
        <f>IF(#REF!,"AAAAAEtqr2I=",0)</f>
        <v>#REF!</v>
      </c>
      <c r="CV375" t="e">
        <f>IF(#REF!,"AAAAAEtqr2M=",0)</f>
        <v>#REF!</v>
      </c>
      <c r="CW375" t="e">
        <f>IF(#REF!,"AAAAAEtqr2Q=",0)</f>
        <v>#REF!</v>
      </c>
      <c r="CX375" t="e">
        <f>IF(#REF!,"AAAAAEtqr2U=",0)</f>
        <v>#REF!</v>
      </c>
      <c r="CY375" t="e">
        <f>IF(#REF!,"AAAAAEtqr2Y=",0)</f>
        <v>#REF!</v>
      </c>
      <c r="CZ375" t="e">
        <f>IF(#REF!,"AAAAAEtqr2c=",0)</f>
        <v>#REF!</v>
      </c>
      <c r="DA375" t="e">
        <f>IF(#REF!,"AAAAAEtqr2g=",0)</f>
        <v>#REF!</v>
      </c>
      <c r="DB375" t="e">
        <f>IF(#REF!,"AAAAAEtqr2k=",0)</f>
        <v>#REF!</v>
      </c>
      <c r="DC375" t="e">
        <f>IF(#REF!,"AAAAAEtqr2o=",0)</f>
        <v>#REF!</v>
      </c>
      <c r="DD375" t="e">
        <f>IF(#REF!,"AAAAAEtqr2s=",0)</f>
        <v>#REF!</v>
      </c>
      <c r="DE375" t="e">
        <f>IF(#REF!,"AAAAAEtqr2w=",0)</f>
        <v>#REF!</v>
      </c>
      <c r="DF375" t="e">
        <f>IF(#REF!,"AAAAAEtqr20=",0)</f>
        <v>#REF!</v>
      </c>
      <c r="DG375" t="e">
        <f>IF(#REF!,"AAAAAEtqr24=",0)</f>
        <v>#REF!</v>
      </c>
      <c r="DH375" t="e">
        <f>IF(#REF!,"AAAAAEtqr28=",0)</f>
        <v>#REF!</v>
      </c>
      <c r="DI375" t="e">
        <f>IF(#REF!,"AAAAAEtqr3A=",0)</f>
        <v>#REF!</v>
      </c>
      <c r="DJ375" t="e">
        <f>IF(#REF!,"AAAAAEtqr3E=",0)</f>
        <v>#REF!</v>
      </c>
      <c r="DK375" t="e">
        <f>IF(#REF!,"AAAAAEtqr3I=",0)</f>
        <v>#REF!</v>
      </c>
      <c r="DL375" t="e">
        <f>IF(#REF!,"AAAAAEtqr3M=",0)</f>
        <v>#REF!</v>
      </c>
      <c r="DM375" t="e">
        <f>IF(#REF!,"AAAAAEtqr3Q=",0)</f>
        <v>#REF!</v>
      </c>
      <c r="DN375" t="e">
        <f>IF(#REF!,"AAAAAEtqr3U=",0)</f>
        <v>#REF!</v>
      </c>
      <c r="DO375" t="e">
        <f>IF(#REF!,"AAAAAEtqr3Y=",0)</f>
        <v>#REF!</v>
      </c>
      <c r="DP375" t="e">
        <f>IF(#REF!,"AAAAAEtqr3c=",0)</f>
        <v>#REF!</v>
      </c>
      <c r="DQ375" t="e">
        <f>IF(#REF!,"AAAAAEtqr3g=",0)</f>
        <v>#REF!</v>
      </c>
      <c r="DR375" t="e">
        <f>IF(#REF!,"AAAAAEtqr3k=",0)</f>
        <v>#REF!</v>
      </c>
      <c r="DS375" t="e">
        <f>IF(#REF!,"AAAAAEtqr3o=",0)</f>
        <v>#REF!</v>
      </c>
      <c r="DT375" t="e">
        <f>IF(#REF!,"AAAAAEtqr3s=",0)</f>
        <v>#REF!</v>
      </c>
      <c r="DU375" t="e">
        <f>IF(#REF!,"AAAAAEtqr3w=",0)</f>
        <v>#REF!</v>
      </c>
      <c r="DV375" t="e">
        <f>IF(#REF!,"AAAAAEtqr30=",0)</f>
        <v>#REF!</v>
      </c>
      <c r="DW375" t="e">
        <f>IF(#REF!,"AAAAAEtqr34=",0)</f>
        <v>#REF!</v>
      </c>
      <c r="DX375" t="e">
        <f>IF(#REF!,"AAAAAEtqr38=",0)</f>
        <v>#REF!</v>
      </c>
      <c r="DY375" t="e">
        <f>IF(#REF!,"AAAAAEtqr4A=",0)</f>
        <v>#REF!</v>
      </c>
      <c r="DZ375" t="e">
        <f>IF(#REF!,"AAAAAEtqr4E=",0)</f>
        <v>#REF!</v>
      </c>
      <c r="EA375" t="e">
        <f>IF(#REF!,"AAAAAEtqr4I=",0)</f>
        <v>#REF!</v>
      </c>
      <c r="EB375" t="e">
        <f>IF(#REF!,"AAAAAEtqr4M=",0)</f>
        <v>#REF!</v>
      </c>
      <c r="EC375" t="e">
        <f>IF(#REF!,"AAAAAEtqr4Q=",0)</f>
        <v>#REF!</v>
      </c>
      <c r="ED375" t="e">
        <f>IF(#REF!,"AAAAAEtqr4U=",0)</f>
        <v>#REF!</v>
      </c>
      <c r="EE375" t="e">
        <f>IF(#REF!,"AAAAAEtqr4Y=",0)</f>
        <v>#REF!</v>
      </c>
      <c r="EF375" t="e">
        <f>IF(#REF!,"AAAAAEtqr4c=",0)</f>
        <v>#REF!</v>
      </c>
      <c r="EG375" t="e">
        <f>IF(#REF!,"AAAAAEtqr4g=",0)</f>
        <v>#REF!</v>
      </c>
      <c r="EH375" t="e">
        <f>IF(#REF!,"AAAAAEtqr4k=",0)</f>
        <v>#REF!</v>
      </c>
      <c r="EI375" t="e">
        <f>IF(#REF!,"AAAAAEtqr4o=",0)</f>
        <v>#REF!</v>
      </c>
      <c r="EJ375" t="e">
        <f>IF(#REF!,"AAAAAEtqr4s=",0)</f>
        <v>#REF!</v>
      </c>
      <c r="EK375" t="e">
        <f>IF(#REF!,"AAAAAEtqr4w=",0)</f>
        <v>#REF!</v>
      </c>
      <c r="EL375" t="e">
        <f>IF(#REF!,"AAAAAEtqr40=",0)</f>
        <v>#REF!</v>
      </c>
      <c r="EM375" t="e">
        <f>IF(#REF!,"AAAAAEtqr44=",0)</f>
        <v>#REF!</v>
      </c>
      <c r="EN375" t="e">
        <f>IF(#REF!,"AAAAAEtqr48=",0)</f>
        <v>#REF!</v>
      </c>
      <c r="EO375" t="e">
        <f>IF(#REF!,"AAAAAEtqr5A=",0)</f>
        <v>#REF!</v>
      </c>
      <c r="EP375" t="e">
        <f>IF(#REF!,"AAAAAEtqr5E=",0)</f>
        <v>#REF!</v>
      </c>
      <c r="EQ375" t="e">
        <f>IF(#REF!,"AAAAAEtqr5I=",0)</f>
        <v>#REF!</v>
      </c>
      <c r="ER375" t="e">
        <f>IF(#REF!,"AAAAAEtqr5M=",0)</f>
        <v>#REF!</v>
      </c>
      <c r="ES375" t="e">
        <f>IF(#REF!,"AAAAAEtqr5Q=",0)</f>
        <v>#REF!</v>
      </c>
      <c r="ET375" t="e">
        <f>IF(#REF!,"AAAAAEtqr5U=",0)</f>
        <v>#REF!</v>
      </c>
      <c r="EU375" t="e">
        <f>IF(#REF!,"AAAAAEtqr5Y=",0)</f>
        <v>#REF!</v>
      </c>
      <c r="EV375" t="e">
        <f>IF(#REF!,"AAAAAEtqr5c=",0)</f>
        <v>#REF!</v>
      </c>
      <c r="EW375" t="e">
        <f>IF(#REF!,"AAAAAEtqr5g=",0)</f>
        <v>#REF!</v>
      </c>
      <c r="EX375" t="e">
        <f>IF(#REF!,"AAAAAEtqr5k=",0)</f>
        <v>#REF!</v>
      </c>
      <c r="EY375" t="e">
        <f>IF(#REF!,"AAAAAEtqr5o=",0)</f>
        <v>#REF!</v>
      </c>
      <c r="EZ375" t="e">
        <f>IF(#REF!,"AAAAAEtqr5s=",0)</f>
        <v>#REF!</v>
      </c>
      <c r="FA375" t="e">
        <f>IF(#REF!,"AAAAAEtqr5w=",0)</f>
        <v>#REF!</v>
      </c>
      <c r="FB375" t="e">
        <f>IF(#REF!,"AAAAAEtqr50=",0)</f>
        <v>#REF!</v>
      </c>
      <c r="FC375" t="e">
        <f>IF(#REF!,"AAAAAEtqr54=",0)</f>
        <v>#REF!</v>
      </c>
      <c r="FD375" t="e">
        <f>IF(#REF!,"AAAAAEtqr58=",0)</f>
        <v>#REF!</v>
      </c>
      <c r="FE375" t="e">
        <f>IF(#REF!,"AAAAAEtqr6A=",0)</f>
        <v>#REF!</v>
      </c>
      <c r="FF375" t="e">
        <f>IF(#REF!,"AAAAAEtqr6E=",0)</f>
        <v>#REF!</v>
      </c>
      <c r="FG375" t="e">
        <f>IF(#REF!,"AAAAAEtqr6I=",0)</f>
        <v>#REF!</v>
      </c>
      <c r="FH375" t="e">
        <f>IF(#REF!,"AAAAAEtqr6M=",0)</f>
        <v>#REF!</v>
      </c>
      <c r="FI375" t="e">
        <f>IF(#REF!,"AAAAAEtqr6Q=",0)</f>
        <v>#REF!</v>
      </c>
      <c r="FJ375" t="e">
        <f>IF(#REF!,"AAAAAEtqr6U=",0)</f>
        <v>#REF!</v>
      </c>
      <c r="FK375" t="e">
        <f>IF(#REF!,"AAAAAEtqr6Y=",0)</f>
        <v>#REF!</v>
      </c>
      <c r="FL375" t="e">
        <f>IF(#REF!,"AAAAAEtqr6c=",0)</f>
        <v>#REF!</v>
      </c>
      <c r="FM375" t="e">
        <f>IF(#REF!,"AAAAAEtqr6g=",0)</f>
        <v>#REF!</v>
      </c>
      <c r="FN375" t="e">
        <f>IF(#REF!,"AAAAAEtqr6k=",0)</f>
        <v>#REF!</v>
      </c>
      <c r="FO375" t="e">
        <f>IF(#REF!,"AAAAAEtqr6o=",0)</f>
        <v>#REF!</v>
      </c>
      <c r="FP375" t="e">
        <f>IF(#REF!,"AAAAAEtqr6s=",0)</f>
        <v>#REF!</v>
      </c>
      <c r="FQ375" t="e">
        <f>IF(#REF!,"AAAAAEtqr6w=",0)</f>
        <v>#REF!</v>
      </c>
      <c r="FR375" t="e">
        <f>IF(#REF!,"AAAAAEtqr60=",0)</f>
        <v>#REF!</v>
      </c>
      <c r="FS375" t="e">
        <f>IF(#REF!,"AAAAAEtqr64=",0)</f>
        <v>#REF!</v>
      </c>
      <c r="FT375" t="e">
        <f>IF(#REF!,"AAAAAEtqr68=",0)</f>
        <v>#REF!</v>
      </c>
      <c r="FU375" t="e">
        <f>IF(#REF!,"AAAAAEtqr7A=",0)</f>
        <v>#REF!</v>
      </c>
      <c r="FV375" t="e">
        <f>IF(#REF!,"AAAAAEtqr7E=",0)</f>
        <v>#REF!</v>
      </c>
      <c r="FW375" t="e">
        <f>IF(#REF!,"AAAAAEtqr7I=",0)</f>
        <v>#REF!</v>
      </c>
      <c r="FX375" t="e">
        <f>IF(#REF!,"AAAAAEtqr7M=",0)</f>
        <v>#REF!</v>
      </c>
      <c r="FY375" t="e">
        <f>IF(#REF!,"AAAAAEtqr7Q=",0)</f>
        <v>#REF!</v>
      </c>
      <c r="FZ375" t="e">
        <f>IF(#REF!,"AAAAAEtqr7U=",0)</f>
        <v>#REF!</v>
      </c>
      <c r="GA375" t="e">
        <f>IF(#REF!,"AAAAAEtqr7Y=",0)</f>
        <v>#REF!</v>
      </c>
      <c r="GB375" t="e">
        <f>IF(#REF!,"AAAAAEtqr7c=",0)</f>
        <v>#REF!</v>
      </c>
      <c r="GC375" t="e">
        <f>IF(#REF!,"AAAAAEtqr7g=",0)</f>
        <v>#REF!</v>
      </c>
      <c r="GD375" t="e">
        <f>IF(#REF!,"AAAAAEtqr7k=",0)</f>
        <v>#REF!</v>
      </c>
      <c r="GE375" t="e">
        <f>IF(#REF!,"AAAAAEtqr7o=",0)</f>
        <v>#REF!</v>
      </c>
      <c r="GF375" t="e">
        <f>IF(#REF!,"AAAAAEtqr7s=",0)</f>
        <v>#REF!</v>
      </c>
      <c r="GG375" t="e">
        <f>IF(#REF!,"AAAAAEtqr7w=",0)</f>
        <v>#REF!</v>
      </c>
      <c r="GH375" t="e">
        <f>IF(#REF!,"AAAAAEtqr70=",0)</f>
        <v>#REF!</v>
      </c>
      <c r="GI375" t="e">
        <f>IF(#REF!,"AAAAAEtqr74=",0)</f>
        <v>#REF!</v>
      </c>
      <c r="GJ375" t="e">
        <f>IF(#REF!,"AAAAAEtqr78=",0)</f>
        <v>#REF!</v>
      </c>
      <c r="GK375" t="e">
        <f>IF(#REF!,"AAAAAEtqr8A=",0)</f>
        <v>#REF!</v>
      </c>
      <c r="GL375" t="e">
        <f>IF(#REF!,"AAAAAEtqr8E=",0)</f>
        <v>#REF!</v>
      </c>
      <c r="GM375" t="e">
        <f>IF(#REF!,"AAAAAEtqr8I=",0)</f>
        <v>#REF!</v>
      </c>
      <c r="GN375" t="e">
        <f>IF(#REF!,"AAAAAEtqr8M=",0)</f>
        <v>#REF!</v>
      </c>
      <c r="GO375" t="e">
        <f>IF(#REF!,"AAAAAEtqr8Q=",0)</f>
        <v>#REF!</v>
      </c>
      <c r="GP375" t="e">
        <f>IF(#REF!,"AAAAAEtqr8U=",0)</f>
        <v>#REF!</v>
      </c>
      <c r="GQ375" t="e">
        <f>IF(#REF!,"AAAAAEtqr8Y=",0)</f>
        <v>#REF!</v>
      </c>
      <c r="GR375" t="e">
        <f>IF(#REF!,"AAAAAEtqr8c=",0)</f>
        <v>#REF!</v>
      </c>
      <c r="GS375" t="e">
        <f>IF(#REF!,"AAAAAEtqr8g=",0)</f>
        <v>#REF!</v>
      </c>
      <c r="GT375" t="e">
        <f>IF(#REF!,"AAAAAEtqr8k=",0)</f>
        <v>#REF!</v>
      </c>
      <c r="GU375" t="e">
        <f>IF(#REF!,"AAAAAEtqr8o=",0)</f>
        <v>#REF!</v>
      </c>
      <c r="GV375" t="e">
        <f>IF(#REF!,"AAAAAEtqr8s=",0)</f>
        <v>#REF!</v>
      </c>
      <c r="GW375" t="e">
        <f>IF(#REF!,"AAAAAEtqr8w=",0)</f>
        <v>#REF!</v>
      </c>
      <c r="GX375" t="e">
        <f>IF(#REF!,"AAAAAEtqr80=",0)</f>
        <v>#REF!</v>
      </c>
      <c r="GY375" t="e">
        <f>IF(#REF!,"AAAAAEtqr84=",0)</f>
        <v>#REF!</v>
      </c>
      <c r="GZ375" t="e">
        <f>IF(#REF!,"AAAAAEtqr88=",0)</f>
        <v>#REF!</v>
      </c>
      <c r="HA375" t="e">
        <f>IF(#REF!,"AAAAAEtqr9A=",0)</f>
        <v>#REF!</v>
      </c>
      <c r="HB375" t="e">
        <f>IF(#REF!,"AAAAAEtqr9E=",0)</f>
        <v>#REF!</v>
      </c>
      <c r="HC375" t="e">
        <f>IF(#REF!,"AAAAAEtqr9I=",0)</f>
        <v>#REF!</v>
      </c>
      <c r="HD375" t="e">
        <f>IF(#REF!,"AAAAAEtqr9M=",0)</f>
        <v>#REF!</v>
      </c>
      <c r="HE375" t="e">
        <f>IF(#REF!,"AAAAAEtqr9Q=",0)</f>
        <v>#REF!</v>
      </c>
      <c r="HF375" t="e">
        <f>IF(#REF!,"AAAAAEtqr9U=",0)</f>
        <v>#REF!</v>
      </c>
      <c r="HG375" t="e">
        <f>IF(#REF!,"AAAAAEtqr9Y=",0)</f>
        <v>#REF!</v>
      </c>
      <c r="HH375" t="e">
        <f>IF(#REF!,"AAAAAEtqr9c=",0)</f>
        <v>#REF!</v>
      </c>
      <c r="HI375" t="e">
        <f>IF(#REF!,"AAAAAEtqr9g=",0)</f>
        <v>#REF!</v>
      </c>
      <c r="HJ375" t="e">
        <f>IF(#REF!,"AAAAAEtqr9k=",0)</f>
        <v>#REF!</v>
      </c>
      <c r="HK375" t="e">
        <f>IF(#REF!,"AAAAAEtqr9o=",0)</f>
        <v>#REF!</v>
      </c>
      <c r="HL375" t="e">
        <f>IF(#REF!,"AAAAAEtqr9s=",0)</f>
        <v>#REF!</v>
      </c>
      <c r="HM375" t="e">
        <f>IF(#REF!,"AAAAAEtqr9w=",0)</f>
        <v>#REF!</v>
      </c>
      <c r="HN375" t="e">
        <f>IF(#REF!,"AAAAAEtqr90=",0)</f>
        <v>#REF!</v>
      </c>
      <c r="HO375" t="e">
        <f>IF(#REF!,"AAAAAEtqr94=",0)</f>
        <v>#REF!</v>
      </c>
      <c r="HP375" t="e">
        <f>IF(#REF!,"AAAAAEtqr98=",0)</f>
        <v>#REF!</v>
      </c>
      <c r="HQ375" t="e">
        <f>IF(#REF!,"AAAAAEtqr+A=",0)</f>
        <v>#REF!</v>
      </c>
      <c r="HR375" t="e">
        <f>IF(#REF!,"AAAAAEtqr+E=",0)</f>
        <v>#REF!</v>
      </c>
      <c r="HS375" t="e">
        <f>IF(#REF!,"AAAAAEtqr+I=",0)</f>
        <v>#REF!</v>
      </c>
      <c r="HT375" t="e">
        <f>IF(#REF!,"AAAAAEtqr+M=",0)</f>
        <v>#REF!</v>
      </c>
      <c r="HU375" t="e">
        <f>IF(#REF!,"AAAAAEtqr+Q=",0)</f>
        <v>#REF!</v>
      </c>
      <c r="HV375" t="e">
        <f>IF(#REF!,"AAAAAEtqr+U=",0)</f>
        <v>#REF!</v>
      </c>
      <c r="HW375" t="e">
        <f>IF(#REF!,"AAAAAEtqr+Y=",0)</f>
        <v>#REF!</v>
      </c>
      <c r="HX375" t="e">
        <f>IF(#REF!,"AAAAAEtqr+c=",0)</f>
        <v>#REF!</v>
      </c>
      <c r="HY375" t="e">
        <f>IF(#REF!,"AAAAAEtqr+g=",0)</f>
        <v>#REF!</v>
      </c>
      <c r="HZ375" t="e">
        <f>IF(#REF!,"AAAAAEtqr+k=",0)</f>
        <v>#REF!</v>
      </c>
      <c r="IA375" t="e">
        <f>IF(#REF!,"AAAAAEtqr+o=",0)</f>
        <v>#REF!</v>
      </c>
      <c r="IB375" t="e">
        <f>IF(#REF!,"AAAAAEtqr+s=",0)</f>
        <v>#REF!</v>
      </c>
      <c r="IC375" t="e">
        <f>IF(#REF!,"AAAAAEtqr+w=",0)</f>
        <v>#REF!</v>
      </c>
      <c r="ID375" t="e">
        <f>IF(#REF!,"AAAAAEtqr+0=",0)</f>
        <v>#REF!</v>
      </c>
      <c r="IE375" t="e">
        <f>IF(#REF!,"AAAAAEtqr+4=",0)</f>
        <v>#REF!</v>
      </c>
      <c r="IF375" t="e">
        <f>IF(#REF!,"AAAAAEtqr+8=",0)</f>
        <v>#REF!</v>
      </c>
      <c r="IG375" t="e">
        <f>IF(#REF!,"AAAAAEtqr/A=",0)</f>
        <v>#REF!</v>
      </c>
      <c r="IH375" t="e">
        <f>IF(#REF!,"AAAAAEtqr/E=",0)</f>
        <v>#REF!</v>
      </c>
      <c r="II375" t="e">
        <f>IF(#REF!,"AAAAAEtqr/I=",0)</f>
        <v>#REF!</v>
      </c>
      <c r="IJ375" t="e">
        <f>IF(#REF!,"AAAAAEtqr/M=",0)</f>
        <v>#REF!</v>
      </c>
      <c r="IK375" t="e">
        <f>IF(#REF!,"AAAAAEtqr/Q=",0)</f>
        <v>#REF!</v>
      </c>
      <c r="IL375" t="e">
        <f>IF(#REF!,"AAAAAEtqr/U=",0)</f>
        <v>#REF!</v>
      </c>
      <c r="IM375" t="e">
        <f>IF(#REF!,"AAAAAEtqr/Y=",0)</f>
        <v>#REF!</v>
      </c>
      <c r="IN375" t="e">
        <f>IF(#REF!,"AAAAAEtqr/c=",0)</f>
        <v>#REF!</v>
      </c>
      <c r="IO375" t="e">
        <f>IF(#REF!,"AAAAAEtqr/g=",0)</f>
        <v>#REF!</v>
      </c>
      <c r="IP375" t="e">
        <f>IF(#REF!,"AAAAAEtqr/k=",0)</f>
        <v>#REF!</v>
      </c>
      <c r="IQ375" t="e">
        <f>IF(#REF!,"AAAAAEtqr/o=",0)</f>
        <v>#REF!</v>
      </c>
      <c r="IR375" t="e">
        <f>IF(#REF!,"AAAAAEtqr/s=",0)</f>
        <v>#REF!</v>
      </c>
      <c r="IS375" t="e">
        <f>IF(#REF!,"AAAAAEtqr/w=",0)</f>
        <v>#REF!</v>
      </c>
      <c r="IT375" t="e">
        <f>IF(#REF!,"AAAAAEtqr/0=",0)</f>
        <v>#REF!</v>
      </c>
      <c r="IU375" t="e">
        <f>IF(#REF!,"AAAAAEtqr/4=",0)</f>
        <v>#REF!</v>
      </c>
      <c r="IV375" t="e">
        <f>IF(#REF!,"AAAAAEtqr/8=",0)</f>
        <v>#REF!</v>
      </c>
    </row>
    <row r="376" spans="1:256">
      <c r="A376" t="e">
        <f>IF(#REF!,"AAAAAH03/wA=",0)</f>
        <v>#REF!</v>
      </c>
      <c r="B376" t="e">
        <f>IF(#REF!,"AAAAAH03/wE=",0)</f>
        <v>#REF!</v>
      </c>
      <c r="C376" t="e">
        <f>IF(#REF!,"AAAAAH03/wI=",0)</f>
        <v>#REF!</v>
      </c>
      <c r="D376" t="e">
        <f>IF(#REF!,"AAAAAH03/wM=",0)</f>
        <v>#REF!</v>
      </c>
      <c r="E376" t="e">
        <f>IF(#REF!,"AAAAAH03/wQ=",0)</f>
        <v>#REF!</v>
      </c>
      <c r="F376" t="e">
        <f>IF(#REF!,"AAAAAH03/wU=",0)</f>
        <v>#REF!</v>
      </c>
      <c r="G376" t="e">
        <f>IF(#REF!,"AAAAAH03/wY=",0)</f>
        <v>#REF!</v>
      </c>
      <c r="H376" t="e">
        <f>IF(#REF!,"AAAAAH03/wc=",0)</f>
        <v>#REF!</v>
      </c>
      <c r="I376" t="e">
        <f>IF(#REF!,"AAAAAH03/wg=",0)</f>
        <v>#REF!</v>
      </c>
      <c r="J376" t="e">
        <f>IF(#REF!,"AAAAAH03/wk=",0)</f>
        <v>#REF!</v>
      </c>
      <c r="K376" t="e">
        <f>IF(#REF!,"AAAAAH03/wo=",0)</f>
        <v>#REF!</v>
      </c>
      <c r="L376" t="e">
        <f>IF(#REF!,"AAAAAH03/ws=",0)</f>
        <v>#REF!</v>
      </c>
      <c r="M376" t="e">
        <f>IF(#REF!,"AAAAAH03/ww=",0)</f>
        <v>#REF!</v>
      </c>
      <c r="N376" t="e">
        <f>IF(#REF!,"AAAAAH03/w0=",0)</f>
        <v>#REF!</v>
      </c>
      <c r="O376" t="e">
        <f>IF(#REF!,"AAAAAH03/w4=",0)</f>
        <v>#REF!</v>
      </c>
      <c r="P376" t="e">
        <f>IF(#REF!,"AAAAAH03/w8=",0)</f>
        <v>#REF!</v>
      </c>
      <c r="Q376" t="e">
        <f>IF(#REF!,"AAAAAH03/xA=",0)</f>
        <v>#REF!</v>
      </c>
      <c r="R376" t="e">
        <f>IF(#REF!,"AAAAAH03/xE=",0)</f>
        <v>#REF!</v>
      </c>
      <c r="S376" t="e">
        <f>IF(#REF!,"AAAAAH03/xI=",0)</f>
        <v>#REF!</v>
      </c>
      <c r="T376" t="e">
        <f>IF(#REF!,"AAAAAH03/xM=",0)</f>
        <v>#REF!</v>
      </c>
      <c r="U376" t="e">
        <f>IF(#REF!,"AAAAAH03/xQ=",0)</f>
        <v>#REF!</v>
      </c>
      <c r="V376" t="e">
        <f>IF(#REF!,"AAAAAH03/xU=",0)</f>
        <v>#REF!</v>
      </c>
      <c r="W376" t="e">
        <f>IF(#REF!,"AAAAAH03/xY=",0)</f>
        <v>#REF!</v>
      </c>
      <c r="X376" t="e">
        <f>IF(#REF!,"AAAAAH03/xc=",0)</f>
        <v>#REF!</v>
      </c>
      <c r="Y376" t="e">
        <f>IF(#REF!,"AAAAAH03/xg=",0)</f>
        <v>#REF!</v>
      </c>
      <c r="Z376" t="e">
        <f>IF(#REF!,"AAAAAH03/xk=",0)</f>
        <v>#REF!</v>
      </c>
      <c r="AA376" t="e">
        <f>IF(#REF!,"AAAAAH03/xo=",0)</f>
        <v>#REF!</v>
      </c>
      <c r="AB376" t="e">
        <f>IF(#REF!,"AAAAAH03/xs=",0)</f>
        <v>#REF!</v>
      </c>
      <c r="AC376" t="e">
        <f>IF(#REF!,"AAAAAH03/xw=",0)</f>
        <v>#REF!</v>
      </c>
      <c r="AD376" t="e">
        <f>IF(#REF!,"AAAAAH03/x0=",0)</f>
        <v>#REF!</v>
      </c>
      <c r="AE376" t="e">
        <f>IF(#REF!,"AAAAAH03/x4=",0)</f>
        <v>#REF!</v>
      </c>
      <c r="AF376" t="e">
        <f>IF(#REF!,"AAAAAH03/x8=",0)</f>
        <v>#REF!</v>
      </c>
      <c r="AG376" t="e">
        <f>IF(#REF!,"AAAAAH03/yA=",0)</f>
        <v>#REF!</v>
      </c>
      <c r="AH376" t="e">
        <f>IF(#REF!,"AAAAAH03/yE=",0)</f>
        <v>#REF!</v>
      </c>
      <c r="AI376" t="e">
        <f>IF(#REF!,"AAAAAH03/yI=",0)</f>
        <v>#REF!</v>
      </c>
      <c r="AJ376" t="e">
        <f>IF(#REF!,"AAAAAH03/yM=",0)</f>
        <v>#REF!</v>
      </c>
      <c r="AK376" t="e">
        <f>IF(#REF!,"AAAAAH03/yQ=",0)</f>
        <v>#REF!</v>
      </c>
      <c r="AL376" t="e">
        <f>IF(#REF!,"AAAAAH03/yU=",0)</f>
        <v>#REF!</v>
      </c>
      <c r="AM376" t="e">
        <f>IF(#REF!,"AAAAAH03/yY=",0)</f>
        <v>#REF!</v>
      </c>
      <c r="AN376" t="e">
        <f>IF(#REF!,"AAAAAH03/yc=",0)</f>
        <v>#REF!</v>
      </c>
      <c r="AO376" t="e">
        <f>IF(#REF!,"AAAAAH03/yg=",0)</f>
        <v>#REF!</v>
      </c>
      <c r="AP376" t="e">
        <f>IF(#REF!,"AAAAAH03/yk=",0)</f>
        <v>#REF!</v>
      </c>
      <c r="AQ376" t="e">
        <f>IF(#REF!,"AAAAAH03/yo=",0)</f>
        <v>#REF!</v>
      </c>
      <c r="AR376" t="e">
        <f>IF(#REF!,"AAAAAH03/ys=",0)</f>
        <v>#REF!</v>
      </c>
      <c r="AS376" t="e">
        <f>IF(#REF!,"AAAAAH03/yw=",0)</f>
        <v>#REF!</v>
      </c>
      <c r="AT376" t="e">
        <f>IF(#REF!,"AAAAAH03/y0=",0)</f>
        <v>#REF!</v>
      </c>
      <c r="AU376" t="e">
        <f>IF(#REF!,"AAAAAH03/y4=",0)</f>
        <v>#REF!</v>
      </c>
      <c r="AV376" t="e">
        <f>IF(#REF!,"AAAAAH03/y8=",0)</f>
        <v>#REF!</v>
      </c>
      <c r="AW376" t="e">
        <f>IF(#REF!,"AAAAAH03/zA=",0)</f>
        <v>#REF!</v>
      </c>
      <c r="AX376" t="e">
        <f>IF(#REF!,"AAAAAH03/zE=",0)</f>
        <v>#REF!</v>
      </c>
      <c r="AY376" t="e">
        <f>IF(#REF!,"AAAAAH03/zI=",0)</f>
        <v>#REF!</v>
      </c>
      <c r="AZ376" t="e">
        <f>IF(#REF!,"AAAAAH03/zM=",0)</f>
        <v>#REF!</v>
      </c>
      <c r="BA376" t="e">
        <f>IF(#REF!,"AAAAAH03/zQ=",0)</f>
        <v>#REF!</v>
      </c>
      <c r="BB376" t="e">
        <f>IF(#REF!,"AAAAAH03/zU=",0)</f>
        <v>#REF!</v>
      </c>
      <c r="BC376" t="e">
        <f>IF(#REF!,"AAAAAH03/zY=",0)</f>
        <v>#REF!</v>
      </c>
      <c r="BD376" t="e">
        <f>IF(#REF!,"AAAAAH03/zc=",0)</f>
        <v>#REF!</v>
      </c>
      <c r="BE376" t="e">
        <f>IF(#REF!,"AAAAAH03/zg=",0)</f>
        <v>#REF!</v>
      </c>
      <c r="BF376" t="e">
        <f>IF(#REF!,"AAAAAH03/zk=",0)</f>
        <v>#REF!</v>
      </c>
      <c r="BG376" t="e">
        <f>IF(#REF!,"AAAAAH03/zo=",0)</f>
        <v>#REF!</v>
      </c>
      <c r="BH376" t="e">
        <f>IF(#REF!,"AAAAAH03/zs=",0)</f>
        <v>#REF!</v>
      </c>
      <c r="BI376" t="e">
        <f>IF(#REF!,"AAAAAH03/zw=",0)</f>
        <v>#REF!</v>
      </c>
      <c r="BJ376" t="e">
        <f>IF(#REF!,"AAAAAH03/z0=",0)</f>
        <v>#REF!</v>
      </c>
      <c r="BK376" t="e">
        <f>IF(#REF!,"AAAAAH03/z4=",0)</f>
        <v>#REF!</v>
      </c>
      <c r="BL376" t="e">
        <f>IF(#REF!,"AAAAAH03/z8=",0)</f>
        <v>#REF!</v>
      </c>
      <c r="BM376" t="e">
        <f>IF(#REF!,"AAAAAH03/0A=",0)</f>
        <v>#REF!</v>
      </c>
      <c r="BN376" t="e">
        <f>IF(#REF!,"AAAAAH03/0E=",0)</f>
        <v>#REF!</v>
      </c>
      <c r="BO376" t="e">
        <f>IF(#REF!,"AAAAAH03/0I=",0)</f>
        <v>#REF!</v>
      </c>
      <c r="BP376" t="e">
        <f>IF(#REF!,"AAAAAH03/0M=",0)</f>
        <v>#REF!</v>
      </c>
      <c r="BQ376" t="e">
        <f>IF(#REF!,"AAAAAH03/0Q=",0)</f>
        <v>#REF!</v>
      </c>
      <c r="BR376" t="e">
        <f>IF(#REF!,"AAAAAH03/0U=",0)</f>
        <v>#REF!</v>
      </c>
      <c r="BS376" t="e">
        <f>IF(#REF!,"AAAAAH03/0Y=",0)</f>
        <v>#REF!</v>
      </c>
      <c r="BT376" t="e">
        <f>IF(#REF!,"AAAAAH03/0c=",0)</f>
        <v>#REF!</v>
      </c>
      <c r="BU376" t="e">
        <f>IF(#REF!,"AAAAAH03/0g=",0)</f>
        <v>#REF!</v>
      </c>
      <c r="BV376" t="e">
        <f>IF(#REF!,"AAAAAH03/0k=",0)</f>
        <v>#REF!</v>
      </c>
      <c r="BW376" t="e">
        <f>IF(#REF!,"AAAAAH03/0o=",0)</f>
        <v>#REF!</v>
      </c>
      <c r="BX376" t="e">
        <f>IF(#REF!,"AAAAAH03/0s=",0)</f>
        <v>#REF!</v>
      </c>
      <c r="BY376" t="e">
        <f>IF(#REF!,"AAAAAH03/0w=",0)</f>
        <v>#REF!</v>
      </c>
      <c r="BZ376" t="e">
        <f>IF(#REF!,"AAAAAH03/00=",0)</f>
        <v>#REF!</v>
      </c>
      <c r="CA376" t="e">
        <f>IF(#REF!,"AAAAAH03/04=",0)</f>
        <v>#REF!</v>
      </c>
      <c r="CB376" t="e">
        <f>IF(#REF!,"AAAAAH03/08=",0)</f>
        <v>#REF!</v>
      </c>
      <c r="CC376" t="e">
        <f>IF(#REF!,"AAAAAH03/1A=",0)</f>
        <v>#REF!</v>
      </c>
      <c r="CD376" t="e">
        <f>IF(#REF!,"AAAAAH03/1E=",0)</f>
        <v>#REF!</v>
      </c>
      <c r="CE376" t="e">
        <f>IF(#REF!,"AAAAAH03/1I=",0)</f>
        <v>#REF!</v>
      </c>
      <c r="CF376" t="e">
        <f>IF(#REF!,"AAAAAH03/1M=",0)</f>
        <v>#REF!</v>
      </c>
      <c r="CG376" t="e">
        <f>IF(#REF!,"AAAAAH03/1Q=",0)</f>
        <v>#REF!</v>
      </c>
      <c r="CH376" t="e">
        <f>IF(#REF!,"AAAAAH03/1U=",0)</f>
        <v>#REF!</v>
      </c>
      <c r="CI376" t="e">
        <f>IF(#REF!,"AAAAAH03/1Y=",0)</f>
        <v>#REF!</v>
      </c>
      <c r="CJ376" t="e">
        <f>IF(#REF!,"AAAAAH03/1c=",0)</f>
        <v>#REF!</v>
      </c>
      <c r="CK376" t="e">
        <f>IF(#REF!,"AAAAAH03/1g=",0)</f>
        <v>#REF!</v>
      </c>
      <c r="CL376" t="e">
        <f>IF(#REF!,"AAAAAH03/1k=",0)</f>
        <v>#REF!</v>
      </c>
      <c r="CM376" t="e">
        <f>IF(#REF!,"AAAAAH03/1o=",0)</f>
        <v>#REF!</v>
      </c>
      <c r="CN376" t="e">
        <f>IF(#REF!,"AAAAAH03/1s=",0)</f>
        <v>#REF!</v>
      </c>
      <c r="CO376" t="e">
        <f>IF(#REF!,"AAAAAH03/1w=",0)</f>
        <v>#REF!</v>
      </c>
      <c r="CP376" t="e">
        <f>IF(#REF!,"AAAAAH03/10=",0)</f>
        <v>#REF!</v>
      </c>
      <c r="CQ376" t="e">
        <f>IF(#REF!,"AAAAAH03/14=",0)</f>
        <v>#REF!</v>
      </c>
      <c r="CR376" t="e">
        <f>IF(#REF!,"AAAAAH03/18=",0)</f>
        <v>#REF!</v>
      </c>
      <c r="CS376" t="e">
        <f>IF(#REF!,"AAAAAH03/2A=",0)</f>
        <v>#REF!</v>
      </c>
      <c r="CT376" t="e">
        <f>IF(#REF!,"AAAAAH03/2E=",0)</f>
        <v>#REF!</v>
      </c>
      <c r="CU376" t="e">
        <f>IF(#REF!,"AAAAAH03/2I=",0)</f>
        <v>#REF!</v>
      </c>
      <c r="CV376" t="e">
        <f>IF(#REF!,"AAAAAH03/2M=",0)</f>
        <v>#REF!</v>
      </c>
      <c r="CW376" t="e">
        <f>IF(#REF!,"AAAAAH03/2Q=",0)</f>
        <v>#REF!</v>
      </c>
      <c r="CX376" t="e">
        <f>IF(#REF!,"AAAAAH03/2U=",0)</f>
        <v>#REF!</v>
      </c>
      <c r="CY376" t="e">
        <f>IF(#REF!,"AAAAAH03/2Y=",0)</f>
        <v>#REF!</v>
      </c>
      <c r="CZ376" t="e">
        <f>IF(#REF!,"AAAAAH03/2c=",0)</f>
        <v>#REF!</v>
      </c>
      <c r="DA376" t="e">
        <f>IF(#REF!,"AAAAAH03/2g=",0)</f>
        <v>#REF!</v>
      </c>
      <c r="DB376" t="e">
        <f>IF(#REF!,"AAAAAH03/2k=",0)</f>
        <v>#REF!</v>
      </c>
      <c r="DC376" t="e">
        <f>IF(#REF!,"AAAAAH03/2o=",0)</f>
        <v>#REF!</v>
      </c>
      <c r="DD376" t="e">
        <f>IF(#REF!,"AAAAAH03/2s=",0)</f>
        <v>#REF!</v>
      </c>
      <c r="DE376" t="e">
        <f>IF(#REF!,"AAAAAH03/2w=",0)</f>
        <v>#REF!</v>
      </c>
      <c r="DF376" t="e">
        <f>IF(#REF!,"AAAAAH03/20=",0)</f>
        <v>#REF!</v>
      </c>
      <c r="DG376" t="e">
        <f>IF(#REF!,"AAAAAH03/24=",0)</f>
        <v>#REF!</v>
      </c>
      <c r="DH376" t="e">
        <f>IF(#REF!,"AAAAAH03/28=",0)</f>
        <v>#REF!</v>
      </c>
      <c r="DI376" t="e">
        <f>IF(#REF!,"AAAAAH03/3A=",0)</f>
        <v>#REF!</v>
      </c>
      <c r="DJ376" t="e">
        <f>IF(#REF!,"AAAAAH03/3E=",0)</f>
        <v>#REF!</v>
      </c>
      <c r="DK376" t="e">
        <f>IF(#REF!,"AAAAAH03/3I=",0)</f>
        <v>#REF!</v>
      </c>
      <c r="DL376" t="e">
        <f>IF(#REF!,"AAAAAH03/3M=",0)</f>
        <v>#REF!</v>
      </c>
      <c r="DM376" t="e">
        <f>IF(#REF!,"AAAAAH03/3Q=",0)</f>
        <v>#REF!</v>
      </c>
      <c r="DN376" t="e">
        <f>IF(#REF!,"AAAAAH03/3U=",0)</f>
        <v>#REF!</v>
      </c>
      <c r="DO376" t="e">
        <f>IF(#REF!,"AAAAAH03/3Y=",0)</f>
        <v>#REF!</v>
      </c>
      <c r="DP376" t="e">
        <f>IF(#REF!,"AAAAAH03/3c=",0)</f>
        <v>#REF!</v>
      </c>
      <c r="DQ376" t="e">
        <f>IF(#REF!,"AAAAAH03/3g=",0)</f>
        <v>#REF!</v>
      </c>
      <c r="DR376" t="e">
        <f>IF(#REF!,"AAAAAH03/3k=",0)</f>
        <v>#REF!</v>
      </c>
      <c r="DS376" t="e">
        <f>IF(#REF!,"AAAAAH03/3o=",0)</f>
        <v>#REF!</v>
      </c>
      <c r="DT376" t="e">
        <f>IF(#REF!,"AAAAAH03/3s=",0)</f>
        <v>#REF!</v>
      </c>
      <c r="DU376" t="e">
        <f>IF(#REF!,"AAAAAH03/3w=",0)</f>
        <v>#REF!</v>
      </c>
      <c r="DV376" t="e">
        <f>IF(#REF!,"AAAAAH03/30=",0)</f>
        <v>#REF!</v>
      </c>
      <c r="DW376" t="e">
        <f>IF(#REF!,"AAAAAH03/34=",0)</f>
        <v>#REF!</v>
      </c>
      <c r="DX376" t="e">
        <f>IF(#REF!,"AAAAAH03/38=",0)</f>
        <v>#REF!</v>
      </c>
      <c r="DY376" t="e">
        <f>IF(#REF!,"AAAAAH03/4A=",0)</f>
        <v>#REF!</v>
      </c>
      <c r="DZ376" t="e">
        <f>IF(#REF!,"AAAAAH03/4E=",0)</f>
        <v>#REF!</v>
      </c>
      <c r="EA376" t="e">
        <f>IF(#REF!,"AAAAAH03/4I=",0)</f>
        <v>#REF!</v>
      </c>
      <c r="EB376" t="e">
        <f>IF(#REF!,"AAAAAH03/4M=",0)</f>
        <v>#REF!</v>
      </c>
      <c r="EC376" t="e">
        <f>IF(#REF!,"AAAAAH03/4Q=",0)</f>
        <v>#REF!</v>
      </c>
      <c r="ED376" t="e">
        <f>IF(#REF!,"AAAAAH03/4U=",0)</f>
        <v>#REF!</v>
      </c>
      <c r="EE376" t="e">
        <f>IF(#REF!,"AAAAAH03/4Y=",0)</f>
        <v>#REF!</v>
      </c>
      <c r="EF376" t="e">
        <f>IF(#REF!,"AAAAAH03/4c=",0)</f>
        <v>#REF!</v>
      </c>
      <c r="EG376" t="e">
        <f>IF(#REF!,"AAAAAH03/4g=",0)</f>
        <v>#REF!</v>
      </c>
      <c r="EH376" t="e">
        <f>IF(#REF!,"AAAAAH03/4k=",0)</f>
        <v>#REF!</v>
      </c>
      <c r="EI376" t="e">
        <f>IF(#REF!,"AAAAAH03/4o=",0)</f>
        <v>#REF!</v>
      </c>
      <c r="EJ376" t="e">
        <f>IF(#REF!,"AAAAAH03/4s=",0)</f>
        <v>#REF!</v>
      </c>
      <c r="EK376" t="e">
        <f>IF(#REF!,"AAAAAH03/4w=",0)</f>
        <v>#REF!</v>
      </c>
      <c r="EL376" t="e">
        <f>IF(#REF!,"AAAAAH03/40=",0)</f>
        <v>#REF!</v>
      </c>
      <c r="EM376" t="e">
        <f>IF(#REF!,"AAAAAH03/44=",0)</f>
        <v>#REF!</v>
      </c>
      <c r="EN376" t="e">
        <f>IF(#REF!,"AAAAAH03/48=",0)</f>
        <v>#REF!</v>
      </c>
      <c r="EO376" t="e">
        <f>IF(#REF!,"AAAAAH03/5A=",0)</f>
        <v>#REF!</v>
      </c>
      <c r="EP376" t="e">
        <f>IF(#REF!,"AAAAAH03/5E=",0)</f>
        <v>#REF!</v>
      </c>
      <c r="EQ376" t="e">
        <f>IF(#REF!,"AAAAAH03/5I=",0)</f>
        <v>#REF!</v>
      </c>
      <c r="ER376" t="e">
        <f>IF(#REF!,"AAAAAH03/5M=",0)</f>
        <v>#REF!</v>
      </c>
      <c r="ES376" t="e">
        <f>IF(#REF!,"AAAAAH03/5Q=",0)</f>
        <v>#REF!</v>
      </c>
      <c r="ET376" t="e">
        <f>IF(#REF!,"AAAAAH03/5U=",0)</f>
        <v>#REF!</v>
      </c>
      <c r="EU376" t="e">
        <f>IF(#REF!,"AAAAAH03/5Y=",0)</f>
        <v>#REF!</v>
      </c>
      <c r="EV376" t="e">
        <f>IF(#REF!,"AAAAAH03/5c=",0)</f>
        <v>#REF!</v>
      </c>
      <c r="EW376" t="e">
        <f>IF(#REF!,"AAAAAH03/5g=",0)</f>
        <v>#REF!</v>
      </c>
      <c r="EX376" t="e">
        <f>IF(#REF!,"AAAAAH03/5k=",0)</f>
        <v>#REF!</v>
      </c>
      <c r="EY376" t="e">
        <f>IF(#REF!,"AAAAAH03/5o=",0)</f>
        <v>#REF!</v>
      </c>
      <c r="EZ376" t="e">
        <f>IF(#REF!,"AAAAAH03/5s=",0)</f>
        <v>#REF!</v>
      </c>
      <c r="FA376" t="e">
        <f>IF(#REF!,"AAAAAH03/5w=",0)</f>
        <v>#REF!</v>
      </c>
      <c r="FB376" t="e">
        <f>IF(#REF!,"AAAAAH03/50=",0)</f>
        <v>#REF!</v>
      </c>
      <c r="FC376" t="e">
        <f>IF(#REF!,"AAAAAH03/54=",0)</f>
        <v>#REF!</v>
      </c>
      <c r="FD376" t="e">
        <f>IF(#REF!,"AAAAAH03/58=",0)</f>
        <v>#REF!</v>
      </c>
      <c r="FE376" t="e">
        <f>IF(#REF!,"AAAAAH03/6A=",0)</f>
        <v>#REF!</v>
      </c>
      <c r="FF376" t="e">
        <f>IF(#REF!,"AAAAAH03/6E=",0)</f>
        <v>#REF!</v>
      </c>
      <c r="FG376" t="e">
        <f>IF(#REF!,"AAAAAH03/6I=",0)</f>
        <v>#REF!</v>
      </c>
      <c r="FH376" t="e">
        <f>IF(#REF!,"AAAAAH03/6M=",0)</f>
        <v>#REF!</v>
      </c>
      <c r="FI376" t="e">
        <f>IF(#REF!,"AAAAAH03/6Q=",0)</f>
        <v>#REF!</v>
      </c>
      <c r="FJ376" t="e">
        <f>IF(#REF!,"AAAAAH03/6U=",0)</f>
        <v>#REF!</v>
      </c>
      <c r="FK376" t="e">
        <f>IF(#REF!,"AAAAAH03/6Y=",0)</f>
        <v>#REF!</v>
      </c>
      <c r="FL376" t="e">
        <f>IF(#REF!,"AAAAAH03/6c=",0)</f>
        <v>#REF!</v>
      </c>
      <c r="FM376" t="e">
        <f>IF(#REF!,"AAAAAH03/6g=",0)</f>
        <v>#REF!</v>
      </c>
      <c r="FN376" t="e">
        <f>IF(#REF!,"AAAAAH03/6k=",0)</f>
        <v>#REF!</v>
      </c>
      <c r="FO376" t="e">
        <f>IF(#REF!,"AAAAAH03/6o=",0)</f>
        <v>#REF!</v>
      </c>
      <c r="FP376" t="e">
        <f>IF(#REF!,"AAAAAH03/6s=",0)</f>
        <v>#REF!</v>
      </c>
      <c r="FQ376" t="e">
        <f>IF(#REF!,"AAAAAH03/6w=",0)</f>
        <v>#REF!</v>
      </c>
      <c r="FR376" t="e">
        <f>IF(#REF!,"AAAAAH03/60=",0)</f>
        <v>#REF!</v>
      </c>
      <c r="FS376" t="e">
        <f>IF(#REF!,"AAAAAH03/64=",0)</f>
        <v>#REF!</v>
      </c>
      <c r="FT376" t="e">
        <f>IF(#REF!,"AAAAAH03/68=",0)</f>
        <v>#REF!</v>
      </c>
      <c r="FU376" t="e">
        <f>IF(#REF!,"AAAAAH03/7A=",0)</f>
        <v>#REF!</v>
      </c>
      <c r="FV376" t="e">
        <f>IF(#REF!,"AAAAAH03/7E=",0)</f>
        <v>#REF!</v>
      </c>
      <c r="FW376" t="e">
        <f>IF(#REF!,"AAAAAH03/7I=",0)</f>
        <v>#REF!</v>
      </c>
      <c r="FX376" t="e">
        <f>IF(#REF!,"AAAAAH03/7M=",0)</f>
        <v>#REF!</v>
      </c>
      <c r="FY376" t="e">
        <f>IF(#REF!,"AAAAAH03/7Q=",0)</f>
        <v>#REF!</v>
      </c>
      <c r="FZ376" t="e">
        <f>IF(#REF!,"AAAAAH03/7U=",0)</f>
        <v>#REF!</v>
      </c>
      <c r="GA376" t="e">
        <f>IF(#REF!,"AAAAAH03/7Y=",0)</f>
        <v>#REF!</v>
      </c>
      <c r="GB376" t="e">
        <f>IF(#REF!,"AAAAAH03/7c=",0)</f>
        <v>#REF!</v>
      </c>
      <c r="GC376" t="e">
        <f>IF(#REF!,"AAAAAH03/7g=",0)</f>
        <v>#REF!</v>
      </c>
      <c r="GD376" t="e">
        <f>IF(#REF!,"AAAAAH03/7k=",0)</f>
        <v>#REF!</v>
      </c>
      <c r="GE376" t="e">
        <f>IF(#REF!,"AAAAAH03/7o=",0)</f>
        <v>#REF!</v>
      </c>
      <c r="GF376" t="e">
        <f>IF(#REF!,"AAAAAH03/7s=",0)</f>
        <v>#REF!</v>
      </c>
      <c r="GG376" t="e">
        <f>IF(#REF!,"AAAAAH03/7w=",0)</f>
        <v>#REF!</v>
      </c>
      <c r="GH376" t="e">
        <f>IF(#REF!,"AAAAAH03/70=",0)</f>
        <v>#REF!</v>
      </c>
      <c r="GI376" t="e">
        <f>IF(#REF!,"AAAAAH03/74=",0)</f>
        <v>#REF!</v>
      </c>
      <c r="GJ376" t="e">
        <f>IF(#REF!,"AAAAAH03/78=",0)</f>
        <v>#REF!</v>
      </c>
      <c r="GK376" t="e">
        <f>IF(#REF!,"AAAAAH03/8A=",0)</f>
        <v>#REF!</v>
      </c>
      <c r="GL376" t="e">
        <f>IF(#REF!,"AAAAAH03/8E=",0)</f>
        <v>#REF!</v>
      </c>
      <c r="GM376" t="e">
        <f>IF(#REF!,"AAAAAH03/8I=",0)</f>
        <v>#REF!</v>
      </c>
      <c r="GN376" t="e">
        <f>IF(#REF!,"AAAAAH03/8M=",0)</f>
        <v>#REF!</v>
      </c>
      <c r="GO376" t="e">
        <f>IF(#REF!,"AAAAAH03/8Q=",0)</f>
        <v>#REF!</v>
      </c>
      <c r="GP376" t="e">
        <f>IF(#REF!,"AAAAAH03/8U=",0)</f>
        <v>#REF!</v>
      </c>
      <c r="GQ376" t="e">
        <f>IF(#REF!,"AAAAAH03/8Y=",0)</f>
        <v>#REF!</v>
      </c>
      <c r="GR376" t="e">
        <f>IF(#REF!,"AAAAAH03/8c=",0)</f>
        <v>#REF!</v>
      </c>
      <c r="GS376" t="e">
        <f>IF(#REF!,"AAAAAH03/8g=",0)</f>
        <v>#REF!</v>
      </c>
      <c r="GT376" t="e">
        <f>IF(#REF!,"AAAAAH03/8k=",0)</f>
        <v>#REF!</v>
      </c>
      <c r="GU376" t="e">
        <f>IF(#REF!,"AAAAAH03/8o=",0)</f>
        <v>#REF!</v>
      </c>
      <c r="GV376" t="e">
        <f>IF(#REF!,"AAAAAH03/8s=",0)</f>
        <v>#REF!</v>
      </c>
      <c r="GW376" t="e">
        <f>IF(#REF!,"AAAAAH03/8w=",0)</f>
        <v>#REF!</v>
      </c>
      <c r="GX376" t="e">
        <f>IF(#REF!,"AAAAAH03/80=",0)</f>
        <v>#REF!</v>
      </c>
      <c r="GY376" t="e">
        <f>IF(#REF!,"AAAAAH03/84=",0)</f>
        <v>#REF!</v>
      </c>
      <c r="GZ376" t="e">
        <f>IF(#REF!,"AAAAAH03/88=",0)</f>
        <v>#REF!</v>
      </c>
      <c r="HA376" t="e">
        <f>IF(#REF!,"AAAAAH03/9A=",0)</f>
        <v>#REF!</v>
      </c>
      <c r="HB376" t="e">
        <f>IF(#REF!,"AAAAAH03/9E=",0)</f>
        <v>#REF!</v>
      </c>
      <c r="HC376" t="e">
        <f>IF(#REF!,"AAAAAH03/9I=",0)</f>
        <v>#REF!</v>
      </c>
      <c r="HD376" t="e">
        <f>IF(#REF!,"AAAAAH03/9M=",0)</f>
        <v>#REF!</v>
      </c>
      <c r="HE376" t="e">
        <f>IF(#REF!,"AAAAAH03/9Q=",0)</f>
        <v>#REF!</v>
      </c>
      <c r="HF376" t="e">
        <f>IF(#REF!,"AAAAAH03/9U=",0)</f>
        <v>#REF!</v>
      </c>
      <c r="HG376" t="e">
        <f>IF(#REF!,"AAAAAH03/9Y=",0)</f>
        <v>#REF!</v>
      </c>
      <c r="HH376" t="e">
        <f>IF(#REF!,"AAAAAH03/9c=",0)</f>
        <v>#REF!</v>
      </c>
      <c r="HI376" t="e">
        <f>IF(#REF!,"AAAAAH03/9g=",0)</f>
        <v>#REF!</v>
      </c>
      <c r="HJ376" t="e">
        <f>IF(#REF!,"AAAAAH03/9k=",0)</f>
        <v>#REF!</v>
      </c>
      <c r="HK376" t="e">
        <f>IF(#REF!,"AAAAAH03/9o=",0)</f>
        <v>#REF!</v>
      </c>
      <c r="HL376" t="e">
        <f>IF(#REF!,"AAAAAH03/9s=",0)</f>
        <v>#REF!</v>
      </c>
      <c r="HM376" t="e">
        <f>IF(#REF!,"AAAAAH03/9w=",0)</f>
        <v>#REF!</v>
      </c>
      <c r="HN376" t="e">
        <f>IF(#REF!,"AAAAAH03/90=",0)</f>
        <v>#REF!</v>
      </c>
      <c r="HO376" t="e">
        <f>IF(#REF!,"AAAAAH03/94=",0)</f>
        <v>#REF!</v>
      </c>
      <c r="HP376" t="e">
        <f>IF(#REF!,"AAAAAH03/98=",0)</f>
        <v>#REF!</v>
      </c>
      <c r="HQ376" t="e">
        <f>IF(#REF!,"AAAAAH03/+A=",0)</f>
        <v>#REF!</v>
      </c>
      <c r="HR376" t="e">
        <f>IF(#REF!,"AAAAAH03/+E=",0)</f>
        <v>#REF!</v>
      </c>
      <c r="HS376" t="e">
        <f>IF(#REF!,"AAAAAH03/+I=",0)</f>
        <v>#REF!</v>
      </c>
      <c r="HT376" t="e">
        <f>IF(#REF!,"AAAAAH03/+M=",0)</f>
        <v>#REF!</v>
      </c>
      <c r="HU376" t="e">
        <f>IF(#REF!,"AAAAAH03/+Q=",0)</f>
        <v>#REF!</v>
      </c>
      <c r="HV376" t="e">
        <f>IF(#REF!,"AAAAAH03/+U=",0)</f>
        <v>#REF!</v>
      </c>
      <c r="HW376" t="e">
        <f>IF(#REF!,"AAAAAH03/+Y=",0)</f>
        <v>#REF!</v>
      </c>
      <c r="HX376" t="e">
        <f>IF(#REF!,"AAAAAH03/+c=",0)</f>
        <v>#REF!</v>
      </c>
      <c r="HY376" t="e">
        <f>IF(#REF!,"AAAAAH03/+g=",0)</f>
        <v>#REF!</v>
      </c>
      <c r="HZ376" t="e">
        <f>IF(#REF!,"AAAAAH03/+k=",0)</f>
        <v>#REF!</v>
      </c>
      <c r="IA376" t="e">
        <f>IF(#REF!,"AAAAAH03/+o=",0)</f>
        <v>#REF!</v>
      </c>
      <c r="IB376" t="e">
        <f>IF(#REF!,"AAAAAH03/+s=",0)</f>
        <v>#REF!</v>
      </c>
      <c r="IC376" t="e">
        <f>IF(#REF!,"AAAAAH03/+w=",0)</f>
        <v>#REF!</v>
      </c>
      <c r="ID376" t="e">
        <f>IF(#REF!,"AAAAAH03/+0=",0)</f>
        <v>#REF!</v>
      </c>
      <c r="IE376" t="e">
        <f>IF(#REF!,"AAAAAH03/+4=",0)</f>
        <v>#REF!</v>
      </c>
      <c r="IF376" t="e">
        <f>IF(#REF!,"AAAAAH03/+8=",0)</f>
        <v>#REF!</v>
      </c>
      <c r="IG376" t="e">
        <f>IF(#REF!,"AAAAAH03//A=",0)</f>
        <v>#REF!</v>
      </c>
      <c r="IH376" t="e">
        <f>IF(#REF!,"AAAAAH03//E=",0)</f>
        <v>#REF!</v>
      </c>
      <c r="II376" t="e">
        <f>IF(#REF!,"AAAAAH03//I=",0)</f>
        <v>#REF!</v>
      </c>
      <c r="IJ376" t="e">
        <f>IF(#REF!,"AAAAAH03//M=",0)</f>
        <v>#REF!</v>
      </c>
      <c r="IK376" t="e">
        <f>IF(#REF!,"AAAAAH03//Q=",0)</f>
        <v>#REF!</v>
      </c>
      <c r="IL376" t="e">
        <f>IF(#REF!,"AAAAAH03//U=",0)</f>
        <v>#REF!</v>
      </c>
      <c r="IM376" t="e">
        <f>IF(#REF!,"AAAAAH03//Y=",0)</f>
        <v>#REF!</v>
      </c>
      <c r="IN376" t="e">
        <f>IF(#REF!,"AAAAAH03//c=",0)</f>
        <v>#REF!</v>
      </c>
      <c r="IO376" t="e">
        <f>IF(#REF!,"AAAAAH03//g=",0)</f>
        <v>#REF!</v>
      </c>
      <c r="IP376" t="e">
        <f>IF(#REF!,"AAAAAH03//k=",0)</f>
        <v>#REF!</v>
      </c>
      <c r="IQ376" t="e">
        <f>IF(#REF!,"AAAAAH03//o=",0)</f>
        <v>#REF!</v>
      </c>
      <c r="IR376" t="e">
        <f>IF(#REF!,"AAAAAH03//s=",0)</f>
        <v>#REF!</v>
      </c>
      <c r="IS376" t="e">
        <f>IF(#REF!,"AAAAAH03//w=",0)</f>
        <v>#REF!</v>
      </c>
      <c r="IT376" t="e">
        <f>IF(#REF!,"AAAAAH03//0=",0)</f>
        <v>#REF!</v>
      </c>
      <c r="IU376" t="e">
        <f>IF(#REF!,"AAAAAH03//4=",0)</f>
        <v>#REF!</v>
      </c>
      <c r="IV376" t="e">
        <f>IF(#REF!,"AAAAAH03//8=",0)</f>
        <v>#REF!</v>
      </c>
    </row>
    <row r="377" spans="1:256">
      <c r="A377" t="e">
        <f>IF(#REF!,"AAAAAH/bmwA=",0)</f>
        <v>#REF!</v>
      </c>
      <c r="B377" t="e">
        <f>IF(#REF!,"AAAAAH/bmwE=",0)</f>
        <v>#REF!</v>
      </c>
      <c r="C377" t="e">
        <f>IF(#REF!,"AAAAAH/bmwI=",0)</f>
        <v>#REF!</v>
      </c>
      <c r="D377" t="e">
        <f>IF(#REF!,"AAAAAH/bmwM=",0)</f>
        <v>#REF!</v>
      </c>
      <c r="E377" t="e">
        <f>IF(#REF!,"AAAAAH/bmwQ=",0)</f>
        <v>#REF!</v>
      </c>
      <c r="F377" t="e">
        <f>IF(#REF!,"AAAAAH/bmwU=",0)</f>
        <v>#REF!</v>
      </c>
      <c r="G377" t="e">
        <f>IF(#REF!,"AAAAAH/bmwY=",0)</f>
        <v>#REF!</v>
      </c>
      <c r="H377" t="e">
        <f>IF(#REF!,"AAAAAH/bmwc=",0)</f>
        <v>#REF!</v>
      </c>
      <c r="I377" t="e">
        <f>IF(#REF!,"AAAAAH/bmwg=",0)</f>
        <v>#REF!</v>
      </c>
      <c r="J377" t="e">
        <f>IF(#REF!,"AAAAAH/bmwk=",0)</f>
        <v>#REF!</v>
      </c>
      <c r="K377" t="e">
        <f>IF(#REF!,"AAAAAH/bmwo=",0)</f>
        <v>#REF!</v>
      </c>
      <c r="L377" t="e">
        <f>IF(#REF!,"AAAAAH/bmws=",0)</f>
        <v>#REF!</v>
      </c>
      <c r="M377" t="e">
        <f>IF(#REF!,"AAAAAH/bmww=",0)</f>
        <v>#REF!</v>
      </c>
      <c r="N377" t="e">
        <f>IF(#REF!,"AAAAAH/bmw0=",0)</f>
        <v>#REF!</v>
      </c>
      <c r="O377" t="e">
        <f>IF(#REF!,"AAAAAH/bmw4=",0)</f>
        <v>#REF!</v>
      </c>
      <c r="P377" t="e">
        <f>IF(#REF!,"AAAAAH/bmw8=",0)</f>
        <v>#REF!</v>
      </c>
      <c r="Q377" t="e">
        <f>IF(#REF!,"AAAAAH/bmxA=",0)</f>
        <v>#REF!</v>
      </c>
      <c r="R377" t="e">
        <f>IF(#REF!,"AAAAAH/bmxE=",0)</f>
        <v>#REF!</v>
      </c>
      <c r="S377" t="e">
        <f>IF(#REF!,"AAAAAH/bmxI=",0)</f>
        <v>#REF!</v>
      </c>
      <c r="T377" t="e">
        <f>IF(#REF!,"AAAAAH/bmxM=",0)</f>
        <v>#REF!</v>
      </c>
      <c r="U377" t="e">
        <f>IF(#REF!,"AAAAAH/bmxQ=",0)</f>
        <v>#REF!</v>
      </c>
      <c r="V377" t="e">
        <f>IF(#REF!,"AAAAAH/bmxU=",0)</f>
        <v>#REF!</v>
      </c>
      <c r="W377" t="e">
        <f>IF(#REF!,"AAAAAH/bmxY=",0)</f>
        <v>#REF!</v>
      </c>
      <c r="X377" t="e">
        <f>IF(#REF!,"AAAAAH/bmxc=",0)</f>
        <v>#REF!</v>
      </c>
      <c r="Y377" t="e">
        <f>IF(#REF!,"AAAAAH/bmxg=",0)</f>
        <v>#REF!</v>
      </c>
      <c r="Z377" t="e">
        <f>IF(#REF!,"AAAAAH/bmxk=",0)</f>
        <v>#REF!</v>
      </c>
      <c r="AA377" t="e">
        <f>IF(#REF!,"AAAAAH/bmxo=",0)</f>
        <v>#REF!</v>
      </c>
      <c r="AB377" t="e">
        <f>IF(#REF!,"AAAAAH/bmxs=",0)</f>
        <v>#REF!</v>
      </c>
      <c r="AC377" t="e">
        <f>IF(#REF!,"AAAAAH/bmxw=",0)</f>
        <v>#REF!</v>
      </c>
      <c r="AD377" t="e">
        <f>IF(#REF!,"AAAAAH/bmx0=",0)</f>
        <v>#REF!</v>
      </c>
      <c r="AE377" t="e">
        <f>IF(#REF!,"AAAAAH/bmx4=",0)</f>
        <v>#REF!</v>
      </c>
      <c r="AF377" t="e">
        <f>IF(#REF!,"AAAAAH/bmx8=",0)</f>
        <v>#REF!</v>
      </c>
      <c r="AG377" t="e">
        <f>IF(#REF!,"AAAAAH/bmyA=",0)</f>
        <v>#REF!</v>
      </c>
      <c r="AH377" t="e">
        <f>IF(#REF!,"AAAAAH/bmyE=",0)</f>
        <v>#REF!</v>
      </c>
      <c r="AI377" t="e">
        <f>IF(#REF!,"AAAAAH/bmyI=",0)</f>
        <v>#REF!</v>
      </c>
      <c r="AJ377" t="e">
        <f>IF(#REF!,"AAAAAH/bmyM=",0)</f>
        <v>#REF!</v>
      </c>
      <c r="AK377" t="e">
        <f>IF(#REF!,"AAAAAH/bmyQ=",0)</f>
        <v>#REF!</v>
      </c>
      <c r="AL377" t="e">
        <f>IF(#REF!,"AAAAAH/bmyU=",0)</f>
        <v>#REF!</v>
      </c>
      <c r="AM377" t="e">
        <f>IF(#REF!,"AAAAAH/bmyY=",0)</f>
        <v>#REF!</v>
      </c>
      <c r="AN377" t="e">
        <f>IF(#REF!,"AAAAAH/bmyc=",0)</f>
        <v>#REF!</v>
      </c>
      <c r="AO377" t="e">
        <f>IF(#REF!,"AAAAAH/bmyg=",0)</f>
        <v>#REF!</v>
      </c>
      <c r="AP377" t="e">
        <f>IF(#REF!,"AAAAAH/bmyk=",0)</f>
        <v>#REF!</v>
      </c>
      <c r="AQ377" t="e">
        <f>IF(#REF!,"AAAAAH/bmyo=",0)</f>
        <v>#REF!</v>
      </c>
      <c r="AR377" t="e">
        <f>IF(#REF!,"AAAAAH/bmys=",0)</f>
        <v>#REF!</v>
      </c>
      <c r="AS377" t="e">
        <f>IF(#REF!,"AAAAAH/bmyw=",0)</f>
        <v>#REF!</v>
      </c>
      <c r="AT377" t="e">
        <f>IF(#REF!,"AAAAAH/bmy0=",0)</f>
        <v>#REF!</v>
      </c>
      <c r="AU377" t="e">
        <f>IF(#REF!,"AAAAAH/bmy4=",0)</f>
        <v>#REF!</v>
      </c>
      <c r="AV377" t="e">
        <f>IF(#REF!,"AAAAAH/bmy8=",0)</f>
        <v>#REF!</v>
      </c>
      <c r="AW377" t="e">
        <f>IF(#REF!,"AAAAAH/bmzA=",0)</f>
        <v>#REF!</v>
      </c>
      <c r="AX377" t="e">
        <f>IF(#REF!,"AAAAAH/bmzE=",0)</f>
        <v>#REF!</v>
      </c>
      <c r="AY377" t="e">
        <f>IF(#REF!,"AAAAAH/bmzI=",0)</f>
        <v>#REF!</v>
      </c>
      <c r="AZ377" t="e">
        <f>IF(#REF!,"AAAAAH/bmzM=",0)</f>
        <v>#REF!</v>
      </c>
      <c r="BA377" t="e">
        <f>IF(#REF!,"AAAAAH/bmzQ=",0)</f>
        <v>#REF!</v>
      </c>
      <c r="BB377" t="e">
        <f>IF(#REF!,"AAAAAH/bmzU=",0)</f>
        <v>#REF!</v>
      </c>
      <c r="BC377" t="e">
        <f>IF(#REF!,"AAAAAH/bmzY=",0)</f>
        <v>#REF!</v>
      </c>
      <c r="BD377" t="e">
        <f>IF(#REF!,"AAAAAH/bmzc=",0)</f>
        <v>#REF!</v>
      </c>
      <c r="BE377" t="e">
        <f>IF(#REF!,"AAAAAH/bmzg=",0)</f>
        <v>#REF!</v>
      </c>
      <c r="BF377" t="e">
        <f>IF(#REF!,"AAAAAH/bmzk=",0)</f>
        <v>#REF!</v>
      </c>
      <c r="BG377" t="e">
        <f>IF(#REF!,"AAAAAH/bmzo=",0)</f>
        <v>#REF!</v>
      </c>
      <c r="BH377" t="e">
        <f>IF(#REF!,"AAAAAH/bmzs=",0)</f>
        <v>#REF!</v>
      </c>
      <c r="BI377" t="e">
        <f>IF(#REF!,"AAAAAH/bmzw=",0)</f>
        <v>#REF!</v>
      </c>
      <c r="BJ377" t="e">
        <f>IF(#REF!,"AAAAAH/bmz0=",0)</f>
        <v>#REF!</v>
      </c>
      <c r="BK377" t="e">
        <f>IF(#REF!,"AAAAAH/bmz4=",0)</f>
        <v>#REF!</v>
      </c>
      <c r="BL377" t="e">
        <f>IF(#REF!,"AAAAAH/bmz8=",0)</f>
        <v>#REF!</v>
      </c>
      <c r="BM377" t="e">
        <f>IF(#REF!,"AAAAAH/bm0A=",0)</f>
        <v>#REF!</v>
      </c>
      <c r="BN377" t="e">
        <f>IF(#REF!,"AAAAAH/bm0E=",0)</f>
        <v>#REF!</v>
      </c>
      <c r="BO377" t="e">
        <f>IF(#REF!,"AAAAAH/bm0I=",0)</f>
        <v>#REF!</v>
      </c>
      <c r="BP377" t="e">
        <f>IF(#REF!,"AAAAAH/bm0M=",0)</f>
        <v>#REF!</v>
      </c>
      <c r="BQ377" t="e">
        <f>IF(#REF!,"AAAAAH/bm0Q=",0)</f>
        <v>#REF!</v>
      </c>
      <c r="BR377" t="e">
        <f>IF(#REF!,"AAAAAH/bm0U=",0)</f>
        <v>#REF!</v>
      </c>
      <c r="BS377" t="e">
        <f>IF(#REF!,"AAAAAH/bm0Y=",0)</f>
        <v>#REF!</v>
      </c>
      <c r="BT377" t="e">
        <f>IF(#REF!,"AAAAAH/bm0c=",0)</f>
        <v>#REF!</v>
      </c>
      <c r="BU377" t="e">
        <f>IF(#REF!,"AAAAAH/bm0g=",0)</f>
        <v>#REF!</v>
      </c>
      <c r="BV377" t="e">
        <f>IF(#REF!,"AAAAAH/bm0k=",0)</f>
        <v>#REF!</v>
      </c>
      <c r="BW377" t="e">
        <f>IF(#REF!,"AAAAAH/bm0o=",0)</f>
        <v>#REF!</v>
      </c>
      <c r="BX377" t="e">
        <f>IF(#REF!,"AAAAAH/bm0s=",0)</f>
        <v>#REF!</v>
      </c>
      <c r="BY377" t="e">
        <f>IF(#REF!,"AAAAAH/bm0w=",0)</f>
        <v>#REF!</v>
      </c>
      <c r="BZ377" t="e">
        <f>IF(#REF!,"AAAAAH/bm00=",0)</f>
        <v>#REF!</v>
      </c>
      <c r="CA377" t="e">
        <f>IF(#REF!,"AAAAAH/bm04=",0)</f>
        <v>#REF!</v>
      </c>
      <c r="CB377" t="e">
        <f>IF(#REF!,"AAAAAH/bm08=",0)</f>
        <v>#REF!</v>
      </c>
      <c r="CC377" t="e">
        <f>IF(#REF!,"AAAAAH/bm1A=",0)</f>
        <v>#REF!</v>
      </c>
      <c r="CD377" t="e">
        <f>IF(#REF!,"AAAAAH/bm1E=",0)</f>
        <v>#REF!</v>
      </c>
      <c r="CE377" t="e">
        <f>IF(#REF!,"AAAAAH/bm1I=",0)</f>
        <v>#REF!</v>
      </c>
      <c r="CF377" t="e">
        <f>IF(#REF!,"AAAAAH/bm1M=",0)</f>
        <v>#REF!</v>
      </c>
      <c r="CG377" t="e">
        <f>IF(#REF!,"AAAAAH/bm1Q=",0)</f>
        <v>#REF!</v>
      </c>
      <c r="CH377" t="e">
        <f>IF(#REF!,"AAAAAH/bm1U=",0)</f>
        <v>#REF!</v>
      </c>
      <c r="CI377" t="e">
        <f>IF(#REF!,"AAAAAH/bm1Y=",0)</f>
        <v>#REF!</v>
      </c>
      <c r="CJ377" t="e">
        <f>IF(#REF!,"AAAAAH/bm1c=",0)</f>
        <v>#REF!</v>
      </c>
      <c r="CK377" t="e">
        <f>IF(#REF!,"AAAAAH/bm1g=",0)</f>
        <v>#REF!</v>
      </c>
      <c r="CL377" t="e">
        <f>IF(#REF!,"AAAAAH/bm1k=",0)</f>
        <v>#REF!</v>
      </c>
      <c r="CM377" t="e">
        <f>IF(#REF!,"AAAAAH/bm1o=",0)</f>
        <v>#REF!</v>
      </c>
      <c r="CN377" t="e">
        <f>IF(#REF!,"AAAAAH/bm1s=",0)</f>
        <v>#REF!</v>
      </c>
      <c r="CO377" t="e">
        <f>IF(#REF!,"AAAAAH/bm1w=",0)</f>
        <v>#REF!</v>
      </c>
      <c r="CP377" t="e">
        <f>IF(#REF!,"AAAAAH/bm10=",0)</f>
        <v>#REF!</v>
      </c>
      <c r="CQ377" t="e">
        <f>IF(#REF!,"AAAAAH/bm14=",0)</f>
        <v>#REF!</v>
      </c>
      <c r="CR377" t="e">
        <f>IF(#REF!,"AAAAAH/bm18=",0)</f>
        <v>#REF!</v>
      </c>
      <c r="CS377" t="e">
        <f>IF(#REF!,"AAAAAH/bm2A=",0)</f>
        <v>#REF!</v>
      </c>
      <c r="CT377" t="e">
        <f>IF(#REF!,"AAAAAH/bm2E=",0)</f>
        <v>#REF!</v>
      </c>
      <c r="CU377" t="e">
        <f>IF(#REF!,"AAAAAH/bm2I=",0)</f>
        <v>#REF!</v>
      </c>
      <c r="CV377" t="e">
        <f>IF(#REF!,"AAAAAH/bm2M=",0)</f>
        <v>#REF!</v>
      </c>
      <c r="CW377" t="e">
        <f>IF(#REF!,"AAAAAH/bm2Q=",0)</f>
        <v>#REF!</v>
      </c>
      <c r="CX377" t="e">
        <f>IF(#REF!,"AAAAAH/bm2U=",0)</f>
        <v>#REF!</v>
      </c>
      <c r="CY377" t="e">
        <f>IF(#REF!,"AAAAAH/bm2Y=",0)</f>
        <v>#REF!</v>
      </c>
      <c r="CZ377" t="e">
        <f>IF(#REF!,"AAAAAH/bm2c=",0)</f>
        <v>#REF!</v>
      </c>
      <c r="DA377" t="e">
        <f>IF(#REF!,"AAAAAH/bm2g=",0)</f>
        <v>#REF!</v>
      </c>
      <c r="DB377" t="e">
        <f>IF(#REF!,"AAAAAH/bm2k=",0)</f>
        <v>#REF!</v>
      </c>
      <c r="DC377" t="e">
        <f>IF(#REF!,"AAAAAH/bm2o=",0)</f>
        <v>#REF!</v>
      </c>
      <c r="DD377" t="e">
        <f>IF(#REF!,"AAAAAH/bm2s=",0)</f>
        <v>#REF!</v>
      </c>
      <c r="DE377" t="e">
        <f>IF(#REF!,"AAAAAH/bm2w=",0)</f>
        <v>#REF!</v>
      </c>
      <c r="DF377" t="e">
        <f>IF(#REF!,"AAAAAH/bm20=",0)</f>
        <v>#REF!</v>
      </c>
      <c r="DG377" t="e">
        <f>IF(#REF!,"AAAAAH/bm24=",0)</f>
        <v>#REF!</v>
      </c>
      <c r="DH377" t="e">
        <f>IF(#REF!,"AAAAAH/bm28=",0)</f>
        <v>#REF!</v>
      </c>
      <c r="DI377" t="e">
        <f>IF(#REF!,"AAAAAH/bm3A=",0)</f>
        <v>#REF!</v>
      </c>
      <c r="DJ377" t="e">
        <f>IF(#REF!,"AAAAAH/bm3E=",0)</f>
        <v>#REF!</v>
      </c>
      <c r="DK377" t="e">
        <f>IF(#REF!,"AAAAAH/bm3I=",0)</f>
        <v>#REF!</v>
      </c>
      <c r="DL377" t="e">
        <f>IF(#REF!,"AAAAAH/bm3M=",0)</f>
        <v>#REF!</v>
      </c>
      <c r="DM377" t="e">
        <f>IF(#REF!,"AAAAAH/bm3Q=",0)</f>
        <v>#REF!</v>
      </c>
      <c r="DN377" t="e">
        <f>IF(#REF!,"AAAAAH/bm3U=",0)</f>
        <v>#REF!</v>
      </c>
      <c r="DO377" t="e">
        <f>IF(#REF!,"AAAAAH/bm3Y=",0)</f>
        <v>#REF!</v>
      </c>
      <c r="DP377" t="e">
        <f>IF(#REF!,"AAAAAH/bm3c=",0)</f>
        <v>#REF!</v>
      </c>
      <c r="DQ377" t="e">
        <f>IF(#REF!,"AAAAAH/bm3g=",0)</f>
        <v>#REF!</v>
      </c>
      <c r="DR377" t="e">
        <f>IF(#REF!,"AAAAAH/bm3k=",0)</f>
        <v>#REF!</v>
      </c>
      <c r="DS377" t="e">
        <f>IF(#REF!,"AAAAAH/bm3o=",0)</f>
        <v>#REF!</v>
      </c>
      <c r="DT377" t="e">
        <f>IF(#REF!,"AAAAAH/bm3s=",0)</f>
        <v>#REF!</v>
      </c>
      <c r="DU377" t="e">
        <f>IF(#REF!,"AAAAAH/bm3w=",0)</f>
        <v>#REF!</v>
      </c>
      <c r="DV377" t="e">
        <f>IF(#REF!,"AAAAAH/bm30=",0)</f>
        <v>#REF!</v>
      </c>
      <c r="DW377" t="e">
        <f>IF(#REF!,"AAAAAH/bm34=",0)</f>
        <v>#REF!</v>
      </c>
      <c r="DX377" t="e">
        <f>IF(#REF!,"AAAAAH/bm38=",0)</f>
        <v>#REF!</v>
      </c>
      <c r="DY377" t="e">
        <f>IF(#REF!,"AAAAAH/bm4A=",0)</f>
        <v>#REF!</v>
      </c>
      <c r="DZ377" t="e">
        <f>IF(#REF!,"AAAAAH/bm4E=",0)</f>
        <v>#REF!</v>
      </c>
      <c r="EA377" t="e">
        <f>IF(#REF!,"AAAAAH/bm4I=",0)</f>
        <v>#REF!</v>
      </c>
      <c r="EB377" t="e">
        <f>IF(#REF!,"AAAAAH/bm4M=",0)</f>
        <v>#REF!</v>
      </c>
      <c r="EC377" t="e">
        <f>IF(#REF!,"AAAAAH/bm4Q=",0)</f>
        <v>#REF!</v>
      </c>
      <c r="ED377" t="e">
        <f>IF(#REF!,"AAAAAH/bm4U=",0)</f>
        <v>#REF!</v>
      </c>
      <c r="EE377" t="e">
        <f>IF(#REF!,"AAAAAH/bm4Y=",0)</f>
        <v>#REF!</v>
      </c>
      <c r="EF377" t="e">
        <f>IF(#REF!,"AAAAAH/bm4c=",0)</f>
        <v>#REF!</v>
      </c>
      <c r="EG377" t="e">
        <f>IF(#REF!,"AAAAAH/bm4g=",0)</f>
        <v>#REF!</v>
      </c>
      <c r="EH377" t="e">
        <f>IF(#REF!,"AAAAAH/bm4k=",0)</f>
        <v>#REF!</v>
      </c>
      <c r="EI377" t="e">
        <f>IF(#REF!,"AAAAAH/bm4o=",0)</f>
        <v>#REF!</v>
      </c>
      <c r="EJ377" t="e">
        <f>IF(#REF!,"AAAAAH/bm4s=",0)</f>
        <v>#REF!</v>
      </c>
      <c r="EK377" t="e">
        <f>IF(#REF!,"AAAAAH/bm4w=",0)</f>
        <v>#REF!</v>
      </c>
      <c r="EL377" t="e">
        <f>IF(#REF!,"AAAAAH/bm40=",0)</f>
        <v>#REF!</v>
      </c>
      <c r="EM377" t="e">
        <f>IF(#REF!,"AAAAAH/bm44=",0)</f>
        <v>#REF!</v>
      </c>
      <c r="EN377" t="e">
        <f>IF(#REF!,"AAAAAH/bm48=",0)</f>
        <v>#REF!</v>
      </c>
      <c r="EO377" t="e">
        <f>IF(#REF!,"AAAAAH/bm5A=",0)</f>
        <v>#REF!</v>
      </c>
      <c r="EP377" t="e">
        <f>IF(#REF!,"AAAAAH/bm5E=",0)</f>
        <v>#REF!</v>
      </c>
      <c r="EQ377" t="e">
        <f>IF(#REF!,"AAAAAH/bm5I=",0)</f>
        <v>#REF!</v>
      </c>
      <c r="ER377" t="e">
        <f>IF(#REF!,"AAAAAH/bm5M=",0)</f>
        <v>#REF!</v>
      </c>
      <c r="ES377" t="e">
        <f>IF(#REF!,"AAAAAH/bm5Q=",0)</f>
        <v>#REF!</v>
      </c>
      <c r="ET377" t="e">
        <f>IF(#REF!,"AAAAAH/bm5U=",0)</f>
        <v>#REF!</v>
      </c>
      <c r="EU377" t="e">
        <f>IF(#REF!,"AAAAAH/bm5Y=",0)</f>
        <v>#REF!</v>
      </c>
      <c r="EV377" t="e">
        <f>IF(#REF!,"AAAAAH/bm5c=",0)</f>
        <v>#REF!</v>
      </c>
      <c r="EW377" t="e">
        <f>IF(#REF!,"AAAAAH/bm5g=",0)</f>
        <v>#REF!</v>
      </c>
      <c r="EX377" t="e">
        <f>IF(#REF!,"AAAAAH/bm5k=",0)</f>
        <v>#REF!</v>
      </c>
      <c r="EY377" t="e">
        <f>IF(#REF!,"AAAAAH/bm5o=",0)</f>
        <v>#REF!</v>
      </c>
      <c r="EZ377" t="e">
        <f>IF(#REF!,"AAAAAH/bm5s=",0)</f>
        <v>#REF!</v>
      </c>
      <c r="FA377" t="e">
        <f>IF(#REF!,"AAAAAH/bm5w=",0)</f>
        <v>#REF!</v>
      </c>
      <c r="FB377" t="e">
        <f>IF(#REF!,"AAAAAH/bm50=",0)</f>
        <v>#REF!</v>
      </c>
      <c r="FC377" t="e">
        <f>IF(#REF!,"AAAAAH/bm54=",0)</f>
        <v>#REF!</v>
      </c>
      <c r="FD377" t="e">
        <f>IF(#REF!,"AAAAAH/bm58=",0)</f>
        <v>#REF!</v>
      </c>
      <c r="FE377" t="e">
        <f>IF(#REF!,"AAAAAH/bm6A=",0)</f>
        <v>#REF!</v>
      </c>
      <c r="FF377" t="e">
        <f>IF(#REF!,"AAAAAH/bm6E=",0)</f>
        <v>#REF!</v>
      </c>
      <c r="FG377" t="e">
        <f>IF(#REF!,"AAAAAH/bm6I=",0)</f>
        <v>#REF!</v>
      </c>
      <c r="FH377" t="e">
        <f>IF(#REF!,"AAAAAH/bm6M=",0)</f>
        <v>#REF!</v>
      </c>
      <c r="FI377" t="e">
        <f>IF(#REF!,"AAAAAH/bm6Q=",0)</f>
        <v>#REF!</v>
      </c>
      <c r="FJ377" t="e">
        <f>IF(#REF!,"AAAAAH/bm6U=",0)</f>
        <v>#REF!</v>
      </c>
      <c r="FK377" t="e">
        <f>IF(#REF!,"AAAAAH/bm6Y=",0)</f>
        <v>#REF!</v>
      </c>
      <c r="FL377" t="e">
        <f>IF(#REF!,"AAAAAH/bm6c=",0)</f>
        <v>#REF!</v>
      </c>
      <c r="FM377" t="e">
        <f>IF(#REF!,"AAAAAH/bm6g=",0)</f>
        <v>#REF!</v>
      </c>
      <c r="FN377" t="e">
        <f>IF(#REF!,"AAAAAH/bm6k=",0)</f>
        <v>#REF!</v>
      </c>
      <c r="FO377" t="e">
        <f>IF(#REF!,"AAAAAH/bm6o=",0)</f>
        <v>#REF!</v>
      </c>
      <c r="FP377" t="e">
        <f>IF(#REF!,"AAAAAH/bm6s=",0)</f>
        <v>#REF!</v>
      </c>
      <c r="FQ377" t="e">
        <f>IF(#REF!,"AAAAAH/bm6w=",0)</f>
        <v>#REF!</v>
      </c>
      <c r="FR377" t="e">
        <f>IF(#REF!,"AAAAAH/bm60=",0)</f>
        <v>#REF!</v>
      </c>
      <c r="FS377" t="e">
        <f>IF(#REF!,"AAAAAH/bm64=",0)</f>
        <v>#REF!</v>
      </c>
      <c r="FT377" t="e">
        <f>IF(#REF!,"AAAAAH/bm68=",0)</f>
        <v>#REF!</v>
      </c>
      <c r="FU377" t="e">
        <f>IF(#REF!,"AAAAAH/bm7A=",0)</f>
        <v>#REF!</v>
      </c>
      <c r="FV377" t="e">
        <f>IF(#REF!,"AAAAAH/bm7E=",0)</f>
        <v>#REF!</v>
      </c>
      <c r="FW377" t="e">
        <f>IF(#REF!,"AAAAAH/bm7I=",0)</f>
        <v>#REF!</v>
      </c>
      <c r="FX377" t="e">
        <f>IF(#REF!,"AAAAAH/bm7M=",0)</f>
        <v>#REF!</v>
      </c>
      <c r="FY377" t="e">
        <f>IF(#REF!,"AAAAAH/bm7Q=",0)</f>
        <v>#REF!</v>
      </c>
      <c r="FZ377" t="e">
        <f>IF(#REF!,"AAAAAH/bm7U=",0)</f>
        <v>#REF!</v>
      </c>
      <c r="GA377" t="e">
        <f>IF(#REF!,"AAAAAH/bm7Y=",0)</f>
        <v>#REF!</v>
      </c>
      <c r="GB377" t="e">
        <f>IF(#REF!,"AAAAAH/bm7c=",0)</f>
        <v>#REF!</v>
      </c>
      <c r="GC377" t="e">
        <f>IF(#REF!,"AAAAAH/bm7g=",0)</f>
        <v>#REF!</v>
      </c>
      <c r="GD377" t="e">
        <f>IF(#REF!,"AAAAAH/bm7k=",0)</f>
        <v>#REF!</v>
      </c>
      <c r="GE377" t="e">
        <f>IF(#REF!,"AAAAAH/bm7o=",0)</f>
        <v>#REF!</v>
      </c>
      <c r="GF377" t="e">
        <f>IF(#REF!,"AAAAAH/bm7s=",0)</f>
        <v>#REF!</v>
      </c>
      <c r="GG377" t="e">
        <f>IF(#REF!,"AAAAAH/bm7w=",0)</f>
        <v>#REF!</v>
      </c>
      <c r="GH377" t="e">
        <f>IF(#REF!,"AAAAAH/bm70=",0)</f>
        <v>#REF!</v>
      </c>
      <c r="GI377" t="e">
        <f>IF(#REF!,"AAAAAH/bm74=",0)</f>
        <v>#REF!</v>
      </c>
      <c r="GJ377" t="e">
        <f>IF(#REF!,"AAAAAH/bm78=",0)</f>
        <v>#REF!</v>
      </c>
      <c r="GK377" t="e">
        <f>IF(#REF!,"AAAAAH/bm8A=",0)</f>
        <v>#REF!</v>
      </c>
      <c r="GL377" t="e">
        <f>IF(#REF!,"AAAAAH/bm8E=",0)</f>
        <v>#REF!</v>
      </c>
      <c r="GM377" t="e">
        <f>IF(#REF!,"AAAAAH/bm8I=",0)</f>
        <v>#REF!</v>
      </c>
      <c r="GN377" t="e">
        <f>IF(#REF!,"AAAAAH/bm8M=",0)</f>
        <v>#REF!</v>
      </c>
      <c r="GO377" t="e">
        <f>IF(#REF!,"AAAAAH/bm8Q=",0)</f>
        <v>#REF!</v>
      </c>
      <c r="GP377" t="e">
        <f>IF(#REF!,"AAAAAH/bm8U=",0)</f>
        <v>#REF!</v>
      </c>
      <c r="GQ377" t="e">
        <f>IF(#REF!,"AAAAAH/bm8Y=",0)</f>
        <v>#REF!</v>
      </c>
      <c r="GR377" t="e">
        <f>IF(#REF!,"AAAAAH/bm8c=",0)</f>
        <v>#REF!</v>
      </c>
      <c r="GS377" t="e">
        <f>IF(#REF!,"AAAAAH/bm8g=",0)</f>
        <v>#REF!</v>
      </c>
      <c r="GT377" t="e">
        <f>IF(#REF!,"AAAAAH/bm8k=",0)</f>
        <v>#REF!</v>
      </c>
      <c r="GU377" t="e">
        <f>IF(#REF!,"AAAAAH/bm8o=",0)</f>
        <v>#REF!</v>
      </c>
      <c r="GV377" t="e">
        <f>IF(#REF!,"AAAAAH/bm8s=",0)</f>
        <v>#REF!</v>
      </c>
      <c r="GW377" t="e">
        <f>IF(#REF!,"AAAAAH/bm8w=",0)</f>
        <v>#REF!</v>
      </c>
      <c r="GX377" t="e">
        <f>IF(#REF!,"AAAAAH/bm80=",0)</f>
        <v>#REF!</v>
      </c>
      <c r="GY377" t="e">
        <f>IF(#REF!,"AAAAAH/bm84=",0)</f>
        <v>#REF!</v>
      </c>
      <c r="GZ377" t="e">
        <f>IF(#REF!,"AAAAAH/bm88=",0)</f>
        <v>#REF!</v>
      </c>
      <c r="HA377" t="e">
        <f>IF(#REF!,"AAAAAH/bm9A=",0)</f>
        <v>#REF!</v>
      </c>
      <c r="HB377" t="e">
        <f>IF(#REF!,"AAAAAH/bm9E=",0)</f>
        <v>#REF!</v>
      </c>
      <c r="HC377" t="e">
        <f>IF(#REF!,"AAAAAH/bm9I=",0)</f>
        <v>#REF!</v>
      </c>
      <c r="HD377" t="e">
        <f>IF(#REF!,"AAAAAH/bm9M=",0)</f>
        <v>#REF!</v>
      </c>
      <c r="HE377" t="e">
        <f>IF(#REF!,"AAAAAH/bm9Q=",0)</f>
        <v>#REF!</v>
      </c>
      <c r="HF377" t="e">
        <f>IF(#REF!,"AAAAAH/bm9U=",0)</f>
        <v>#REF!</v>
      </c>
      <c r="HG377" t="e">
        <f>IF(#REF!,"AAAAAH/bm9Y=",0)</f>
        <v>#REF!</v>
      </c>
      <c r="HH377" t="e">
        <f>IF(#REF!,"AAAAAH/bm9c=",0)</f>
        <v>#REF!</v>
      </c>
      <c r="HI377" t="e">
        <f>IF(#REF!,"AAAAAH/bm9g=",0)</f>
        <v>#REF!</v>
      </c>
      <c r="HJ377" t="e">
        <f>IF(#REF!,"AAAAAH/bm9k=",0)</f>
        <v>#REF!</v>
      </c>
      <c r="HK377" t="e">
        <f>IF(#REF!,"AAAAAH/bm9o=",0)</f>
        <v>#REF!</v>
      </c>
      <c r="HL377" t="e">
        <f>IF(#REF!,"AAAAAH/bm9s=",0)</f>
        <v>#REF!</v>
      </c>
      <c r="HM377" t="e">
        <f>IF(#REF!,"AAAAAH/bm9w=",0)</f>
        <v>#REF!</v>
      </c>
      <c r="HN377" t="e">
        <f>IF(#REF!,"AAAAAH/bm90=",0)</f>
        <v>#REF!</v>
      </c>
      <c r="HO377" t="e">
        <f>IF(#REF!,"AAAAAH/bm94=",0)</f>
        <v>#REF!</v>
      </c>
      <c r="HP377" t="e">
        <f>IF(#REF!,"AAAAAH/bm98=",0)</f>
        <v>#REF!</v>
      </c>
      <c r="HQ377" t="e">
        <f>IF(#REF!,"AAAAAH/bm+A=",0)</f>
        <v>#REF!</v>
      </c>
      <c r="HR377" t="e">
        <f>IF(#REF!,"AAAAAH/bm+E=",0)</f>
        <v>#REF!</v>
      </c>
      <c r="HS377" t="e">
        <f>IF(#REF!,"AAAAAH/bm+I=",0)</f>
        <v>#REF!</v>
      </c>
      <c r="HT377" t="e">
        <f>IF(#REF!,"AAAAAH/bm+M=",0)</f>
        <v>#REF!</v>
      </c>
      <c r="HU377" t="e">
        <f>IF(#REF!,"AAAAAH/bm+Q=",0)</f>
        <v>#REF!</v>
      </c>
      <c r="HV377" t="e">
        <f>IF(#REF!,"AAAAAH/bm+U=",0)</f>
        <v>#REF!</v>
      </c>
      <c r="HW377" t="e">
        <f>IF(#REF!,"AAAAAH/bm+Y=",0)</f>
        <v>#REF!</v>
      </c>
      <c r="HX377" t="e">
        <f>IF(#REF!,"AAAAAH/bm+c=",0)</f>
        <v>#REF!</v>
      </c>
      <c r="HY377" t="e">
        <f>IF(#REF!,"AAAAAH/bm+g=",0)</f>
        <v>#REF!</v>
      </c>
      <c r="HZ377" t="e">
        <f>IF(#REF!,"AAAAAH/bm+k=",0)</f>
        <v>#REF!</v>
      </c>
      <c r="IA377" t="e">
        <f>IF(#REF!,"AAAAAH/bm+o=",0)</f>
        <v>#REF!</v>
      </c>
      <c r="IB377" t="e">
        <f>IF(#REF!,"AAAAAH/bm+s=",0)</f>
        <v>#REF!</v>
      </c>
      <c r="IC377" t="e">
        <f>IF(#REF!,"AAAAAH/bm+w=",0)</f>
        <v>#REF!</v>
      </c>
      <c r="ID377" t="e">
        <f>IF(#REF!,"AAAAAH/bm+0=",0)</f>
        <v>#REF!</v>
      </c>
      <c r="IE377" t="e">
        <f>IF(#REF!,"AAAAAH/bm+4=",0)</f>
        <v>#REF!</v>
      </c>
      <c r="IF377" t="e">
        <f>IF(#REF!,"AAAAAH/bm+8=",0)</f>
        <v>#REF!</v>
      </c>
      <c r="IG377" t="e">
        <f>IF(#REF!,"AAAAAH/bm/A=",0)</f>
        <v>#REF!</v>
      </c>
      <c r="IH377" t="e">
        <f>IF(#REF!,"AAAAAH/bm/E=",0)</f>
        <v>#REF!</v>
      </c>
      <c r="II377" t="e">
        <f>IF(#REF!,"AAAAAH/bm/I=",0)</f>
        <v>#REF!</v>
      </c>
      <c r="IJ377" t="e">
        <f>IF(#REF!,"AAAAAH/bm/M=",0)</f>
        <v>#REF!</v>
      </c>
      <c r="IK377" t="e">
        <f>IF(#REF!,"AAAAAH/bm/Q=",0)</f>
        <v>#REF!</v>
      </c>
      <c r="IL377" t="e">
        <f>IF(#REF!,"AAAAAH/bm/U=",0)</f>
        <v>#REF!</v>
      </c>
      <c r="IM377" t="e">
        <f>IF(#REF!,"AAAAAH/bm/Y=",0)</f>
        <v>#REF!</v>
      </c>
      <c r="IN377" t="e">
        <f>IF(#REF!,"AAAAAH/bm/c=",0)</f>
        <v>#REF!</v>
      </c>
      <c r="IO377" t="e">
        <f>IF(#REF!,"AAAAAH/bm/g=",0)</f>
        <v>#REF!</v>
      </c>
      <c r="IP377" t="e">
        <f>IF(#REF!,"AAAAAH/bm/k=",0)</f>
        <v>#REF!</v>
      </c>
      <c r="IQ377" t="e">
        <f>IF(#REF!,"AAAAAH/bm/o=",0)</f>
        <v>#REF!</v>
      </c>
      <c r="IR377" t="e">
        <f>IF(#REF!,"AAAAAH/bm/s=",0)</f>
        <v>#REF!</v>
      </c>
      <c r="IS377" t="e">
        <f>IF(#REF!,"AAAAAH/bm/w=",0)</f>
        <v>#REF!</v>
      </c>
      <c r="IT377" t="e">
        <f>IF(#REF!,"AAAAAH/bm/0=",0)</f>
        <v>#REF!</v>
      </c>
      <c r="IU377" t="e">
        <f>IF(#REF!,"AAAAAH/bm/4=",0)</f>
        <v>#REF!</v>
      </c>
      <c r="IV377" t="e">
        <f>IF(#REF!,"AAAAAH/bm/8=",0)</f>
        <v>#REF!</v>
      </c>
    </row>
    <row r="378" spans="1:256">
      <c r="A378" t="e">
        <f>IF(#REF!,"AAAAAFW+9gA=",0)</f>
        <v>#REF!</v>
      </c>
      <c r="B378" t="e">
        <f>IF(#REF!,"AAAAAFW+9gE=",0)</f>
        <v>#REF!</v>
      </c>
      <c r="C378" t="e">
        <f>IF(#REF!,"AAAAAFW+9gI=",0)</f>
        <v>#REF!</v>
      </c>
      <c r="D378" t="e">
        <f>IF(#REF!,"AAAAAFW+9gM=",0)</f>
        <v>#REF!</v>
      </c>
      <c r="E378" t="e">
        <f>IF(#REF!,"AAAAAFW+9gQ=",0)</f>
        <v>#REF!</v>
      </c>
      <c r="F378" t="e">
        <f>IF(#REF!,"AAAAAFW+9gU=",0)</f>
        <v>#REF!</v>
      </c>
      <c r="G378" t="e">
        <f>IF(#REF!,"AAAAAFW+9gY=",0)</f>
        <v>#REF!</v>
      </c>
      <c r="H378" t="e">
        <f>IF(#REF!,"AAAAAFW+9gc=",0)</f>
        <v>#REF!</v>
      </c>
      <c r="I378" t="e">
        <f>IF(#REF!,"AAAAAFW+9gg=",0)</f>
        <v>#REF!</v>
      </c>
      <c r="J378" t="e">
        <f>IF(#REF!,"AAAAAFW+9gk=",0)</f>
        <v>#REF!</v>
      </c>
      <c r="K378" t="e">
        <f>IF(#REF!,"AAAAAFW+9go=",0)</f>
        <v>#REF!</v>
      </c>
      <c r="L378" t="e">
        <f>IF(#REF!,"AAAAAFW+9gs=",0)</f>
        <v>#REF!</v>
      </c>
      <c r="M378" t="e">
        <f>IF(#REF!,"AAAAAFW+9gw=",0)</f>
        <v>#REF!</v>
      </c>
      <c r="N378" t="e">
        <f>IF(#REF!,"AAAAAFW+9g0=",0)</f>
        <v>#REF!</v>
      </c>
      <c r="O378" t="e">
        <f>IF(#REF!,"AAAAAFW+9g4=",0)</f>
        <v>#REF!</v>
      </c>
      <c r="P378" t="e">
        <f>IF(#REF!,"AAAAAFW+9g8=",0)</f>
        <v>#REF!</v>
      </c>
      <c r="Q378" t="e">
        <f>IF(#REF!,"AAAAAFW+9hA=",0)</f>
        <v>#REF!</v>
      </c>
      <c r="R378" t="e">
        <f>IF(#REF!,"AAAAAFW+9hE=",0)</f>
        <v>#REF!</v>
      </c>
      <c r="S378" t="e">
        <f>IF(#REF!,"AAAAAFW+9hI=",0)</f>
        <v>#REF!</v>
      </c>
      <c r="T378" t="e">
        <f>IF(#REF!,"AAAAAFW+9hM=",0)</f>
        <v>#REF!</v>
      </c>
      <c r="U378" t="e">
        <f>IF(#REF!,"AAAAAFW+9hQ=",0)</f>
        <v>#REF!</v>
      </c>
      <c r="V378" t="e">
        <f>IF(#REF!,"AAAAAFW+9hU=",0)</f>
        <v>#REF!</v>
      </c>
      <c r="W378" t="e">
        <f>IF(#REF!,"AAAAAFW+9hY=",0)</f>
        <v>#REF!</v>
      </c>
      <c r="X378" t="e">
        <f>IF(#REF!,"AAAAAFW+9hc=",0)</f>
        <v>#REF!</v>
      </c>
      <c r="Y378" t="e">
        <f>IF(#REF!,"AAAAAFW+9hg=",0)</f>
        <v>#REF!</v>
      </c>
      <c r="Z378" t="e">
        <f>IF(#REF!,"AAAAAFW+9hk=",0)</f>
        <v>#REF!</v>
      </c>
      <c r="AA378" t="e">
        <f>IF(#REF!,"AAAAAFW+9ho=",0)</f>
        <v>#REF!</v>
      </c>
      <c r="AB378" t="e">
        <f>IF(#REF!,"AAAAAFW+9hs=",0)</f>
        <v>#REF!</v>
      </c>
      <c r="AC378" t="e">
        <f>IF(#REF!,"AAAAAFW+9hw=",0)</f>
        <v>#REF!</v>
      </c>
      <c r="AD378" t="e">
        <f>IF(#REF!,"AAAAAFW+9h0=",0)</f>
        <v>#REF!</v>
      </c>
      <c r="AE378" t="e">
        <f>IF(#REF!,"AAAAAFW+9h4=",0)</f>
        <v>#REF!</v>
      </c>
      <c r="AF378" t="e">
        <f>IF(#REF!,"AAAAAFW+9h8=",0)</f>
        <v>#REF!</v>
      </c>
      <c r="AG378" t="e">
        <f>IF(#REF!,"AAAAAFW+9iA=",0)</f>
        <v>#REF!</v>
      </c>
      <c r="AH378" t="e">
        <f>IF(#REF!,"AAAAAFW+9iE=",0)</f>
        <v>#REF!</v>
      </c>
      <c r="AI378" t="e">
        <f>IF(#REF!,"AAAAAFW+9iI=",0)</f>
        <v>#REF!</v>
      </c>
      <c r="AJ378" t="e">
        <f>IF(#REF!,"AAAAAFW+9iM=",0)</f>
        <v>#REF!</v>
      </c>
      <c r="AK378" t="e">
        <f>IF(#REF!,"AAAAAFW+9iQ=",0)</f>
        <v>#REF!</v>
      </c>
      <c r="AL378" t="e">
        <f>IF(#REF!,"AAAAAFW+9iU=",0)</f>
        <v>#REF!</v>
      </c>
      <c r="AM378" t="e">
        <f>IF(#REF!,"AAAAAFW+9iY=",0)</f>
        <v>#REF!</v>
      </c>
      <c r="AN378" t="e">
        <f>IF(#REF!,"AAAAAFW+9ic=",0)</f>
        <v>#REF!</v>
      </c>
      <c r="AO378" t="e">
        <f>IF(#REF!,"AAAAAFW+9ig=",0)</f>
        <v>#REF!</v>
      </c>
      <c r="AP378" t="e">
        <f>IF(#REF!,"AAAAAFW+9ik=",0)</f>
        <v>#REF!</v>
      </c>
      <c r="AQ378" t="e">
        <f>IF(#REF!,"AAAAAFW+9io=",0)</f>
        <v>#REF!</v>
      </c>
      <c r="AR378" t="e">
        <f>IF(#REF!,"AAAAAFW+9is=",0)</f>
        <v>#REF!</v>
      </c>
      <c r="AS378" t="e">
        <f>IF(#REF!,"AAAAAFW+9iw=",0)</f>
        <v>#REF!</v>
      </c>
      <c r="AT378" t="e">
        <f>IF(#REF!,"AAAAAFW+9i0=",0)</f>
        <v>#REF!</v>
      </c>
      <c r="AU378" t="e">
        <f>IF(#REF!,"AAAAAFW+9i4=",0)</f>
        <v>#REF!</v>
      </c>
      <c r="AV378" t="e">
        <f>IF(#REF!,"AAAAAFW+9i8=",0)</f>
        <v>#REF!</v>
      </c>
      <c r="AW378" t="e">
        <f>IF(#REF!,"AAAAAFW+9jA=",0)</f>
        <v>#REF!</v>
      </c>
      <c r="AX378" t="e">
        <f>IF(#REF!,"AAAAAFW+9jE=",0)</f>
        <v>#REF!</v>
      </c>
      <c r="AY378" t="e">
        <f>IF(#REF!,"AAAAAFW+9jI=",0)</f>
        <v>#REF!</v>
      </c>
      <c r="AZ378" t="e">
        <f>IF(#REF!,"AAAAAFW+9jM=",0)</f>
        <v>#REF!</v>
      </c>
      <c r="BA378" t="e">
        <f>IF(#REF!,"AAAAAFW+9jQ=",0)</f>
        <v>#REF!</v>
      </c>
      <c r="BB378" t="e">
        <f>IF(#REF!,"AAAAAFW+9jU=",0)</f>
        <v>#REF!</v>
      </c>
      <c r="BC378" t="e">
        <f>IF(#REF!,"AAAAAFW+9jY=",0)</f>
        <v>#REF!</v>
      </c>
      <c r="BD378" t="e">
        <f>IF(#REF!,"AAAAAFW+9jc=",0)</f>
        <v>#REF!</v>
      </c>
      <c r="BE378" t="e">
        <f>IF(#REF!,"AAAAAFW+9jg=",0)</f>
        <v>#REF!</v>
      </c>
      <c r="BF378" t="e">
        <f>IF(#REF!,"AAAAAFW+9jk=",0)</f>
        <v>#REF!</v>
      </c>
      <c r="BG378" t="e">
        <f>IF(#REF!,"AAAAAFW+9jo=",0)</f>
        <v>#REF!</v>
      </c>
      <c r="BH378" t="e">
        <f>IF(#REF!,"AAAAAFW+9js=",0)</f>
        <v>#REF!</v>
      </c>
      <c r="BI378" t="e">
        <f>IF(#REF!,"AAAAAFW+9jw=",0)</f>
        <v>#REF!</v>
      </c>
      <c r="BJ378" t="e">
        <f>IF(#REF!,"AAAAAFW+9j0=",0)</f>
        <v>#REF!</v>
      </c>
      <c r="BK378" t="e">
        <f>IF(#REF!,"AAAAAFW+9j4=",0)</f>
        <v>#REF!</v>
      </c>
      <c r="BL378" t="e">
        <f>IF(#REF!,"AAAAAFW+9j8=",0)</f>
        <v>#REF!</v>
      </c>
      <c r="BM378" t="e">
        <f>IF(#REF!,"AAAAAFW+9kA=",0)</f>
        <v>#REF!</v>
      </c>
      <c r="BN378" t="e">
        <f>IF(#REF!,"AAAAAFW+9kE=",0)</f>
        <v>#REF!</v>
      </c>
      <c r="BO378" t="e">
        <f>IF(#REF!,"AAAAAFW+9kI=",0)</f>
        <v>#REF!</v>
      </c>
      <c r="BP378" t="e">
        <f>IF(#REF!,"AAAAAFW+9kM=",0)</f>
        <v>#REF!</v>
      </c>
      <c r="BQ378" t="e">
        <f>IF(#REF!,"AAAAAFW+9kQ=",0)</f>
        <v>#REF!</v>
      </c>
      <c r="BR378" t="e">
        <f>IF(#REF!,"AAAAAFW+9kU=",0)</f>
        <v>#REF!</v>
      </c>
      <c r="BS378" t="e">
        <f>IF(#REF!,"AAAAAFW+9kY=",0)</f>
        <v>#REF!</v>
      </c>
      <c r="BT378" t="e">
        <f>IF(#REF!,"AAAAAFW+9kc=",0)</f>
        <v>#REF!</v>
      </c>
      <c r="BU378" t="e">
        <f>IF(#REF!,"AAAAAFW+9kg=",0)</f>
        <v>#REF!</v>
      </c>
      <c r="BV378" t="e">
        <f>IF(#REF!,"AAAAAFW+9kk=",0)</f>
        <v>#REF!</v>
      </c>
      <c r="BW378" t="e">
        <f>IF(#REF!,"AAAAAFW+9ko=",0)</f>
        <v>#REF!</v>
      </c>
      <c r="BX378" t="e">
        <f>IF(#REF!,"AAAAAFW+9ks=",0)</f>
        <v>#REF!</v>
      </c>
      <c r="BY378" t="e">
        <f>IF(#REF!,"AAAAAFW+9kw=",0)</f>
        <v>#REF!</v>
      </c>
      <c r="BZ378" t="e">
        <f>IF(#REF!,"AAAAAFW+9k0=",0)</f>
        <v>#REF!</v>
      </c>
      <c r="CA378" t="e">
        <f>IF(#REF!,"AAAAAFW+9k4=",0)</f>
        <v>#REF!</v>
      </c>
      <c r="CB378" t="e">
        <f>IF(#REF!,"AAAAAFW+9k8=",0)</f>
        <v>#REF!</v>
      </c>
      <c r="CC378" t="e">
        <f>IF(#REF!,"AAAAAFW+9lA=",0)</f>
        <v>#REF!</v>
      </c>
      <c r="CD378" t="e">
        <f>IF(#REF!,"AAAAAFW+9lE=",0)</f>
        <v>#REF!</v>
      </c>
      <c r="CE378" t="e">
        <f>IF(#REF!,"AAAAAFW+9lI=",0)</f>
        <v>#REF!</v>
      </c>
      <c r="CF378" t="e">
        <f>IF(#REF!,"AAAAAFW+9lM=",0)</f>
        <v>#REF!</v>
      </c>
      <c r="CG378" t="e">
        <f>IF(#REF!,"AAAAAFW+9lQ=",0)</f>
        <v>#REF!</v>
      </c>
      <c r="CH378" t="e">
        <f>IF(#REF!,"AAAAAFW+9lU=",0)</f>
        <v>#REF!</v>
      </c>
      <c r="CI378" t="e">
        <f>IF(#REF!,"AAAAAFW+9lY=",0)</f>
        <v>#REF!</v>
      </c>
      <c r="CJ378" t="e">
        <f>IF(#REF!,"AAAAAFW+9lc=",0)</f>
        <v>#REF!</v>
      </c>
      <c r="CK378" t="e">
        <f>IF(#REF!,"AAAAAFW+9lg=",0)</f>
        <v>#REF!</v>
      </c>
      <c r="CL378" t="e">
        <f>IF(#REF!,"AAAAAFW+9lk=",0)</f>
        <v>#REF!</v>
      </c>
      <c r="CM378" t="e">
        <f>IF(#REF!,"AAAAAFW+9lo=",0)</f>
        <v>#REF!</v>
      </c>
      <c r="CN378" t="e">
        <f>IF(#REF!,"AAAAAFW+9ls=",0)</f>
        <v>#REF!</v>
      </c>
      <c r="CO378" t="e">
        <f>IF(#REF!,"AAAAAFW+9lw=",0)</f>
        <v>#REF!</v>
      </c>
      <c r="CP378" t="e">
        <f>IF(#REF!,"AAAAAFW+9l0=",0)</f>
        <v>#REF!</v>
      </c>
      <c r="CQ378" t="e">
        <f>IF(#REF!,"AAAAAFW+9l4=",0)</f>
        <v>#REF!</v>
      </c>
      <c r="CR378" t="e">
        <f>IF(#REF!,"AAAAAFW+9l8=",0)</f>
        <v>#REF!</v>
      </c>
      <c r="CS378" t="e">
        <f>IF(#REF!,"AAAAAFW+9mA=",0)</f>
        <v>#REF!</v>
      </c>
      <c r="CT378" t="e">
        <f>IF(#REF!,"AAAAAFW+9mE=",0)</f>
        <v>#REF!</v>
      </c>
      <c r="CU378" t="e">
        <f>IF(#REF!,"AAAAAFW+9mI=",0)</f>
        <v>#REF!</v>
      </c>
      <c r="CV378" t="e">
        <f>IF(#REF!,"AAAAAFW+9mM=",0)</f>
        <v>#REF!</v>
      </c>
      <c r="CW378" t="e">
        <f>IF(#REF!,"AAAAAFW+9mQ=",0)</f>
        <v>#REF!</v>
      </c>
      <c r="CX378" t="e">
        <f>IF(#REF!,"AAAAAFW+9mU=",0)</f>
        <v>#REF!</v>
      </c>
      <c r="CY378" t="e">
        <f>IF(#REF!,"AAAAAFW+9mY=",0)</f>
        <v>#REF!</v>
      </c>
      <c r="CZ378" t="e">
        <f>IF(#REF!,"AAAAAFW+9mc=",0)</f>
        <v>#REF!</v>
      </c>
      <c r="DA378" t="e">
        <f>IF(#REF!,"AAAAAFW+9mg=",0)</f>
        <v>#REF!</v>
      </c>
      <c r="DB378" t="e">
        <f>IF(#REF!,"AAAAAFW+9mk=",0)</f>
        <v>#REF!</v>
      </c>
      <c r="DC378" t="e">
        <f>IF(#REF!,"AAAAAFW+9mo=",0)</f>
        <v>#REF!</v>
      </c>
      <c r="DD378" t="e">
        <f>IF(#REF!,"AAAAAFW+9ms=",0)</f>
        <v>#REF!</v>
      </c>
      <c r="DE378" t="e">
        <f>IF(#REF!,"AAAAAFW+9mw=",0)</f>
        <v>#REF!</v>
      </c>
      <c r="DF378" t="e">
        <f>IF(#REF!,"AAAAAFW+9m0=",0)</f>
        <v>#REF!</v>
      </c>
      <c r="DG378" t="e">
        <f>IF(#REF!,"AAAAAFW+9m4=",0)</f>
        <v>#REF!</v>
      </c>
      <c r="DH378" t="e">
        <f>IF(#REF!,"AAAAAFW+9m8=",0)</f>
        <v>#REF!</v>
      </c>
      <c r="DI378" t="e">
        <f>IF(#REF!,"AAAAAFW+9nA=",0)</f>
        <v>#REF!</v>
      </c>
      <c r="DJ378" t="e">
        <f>IF(#REF!,"AAAAAFW+9nE=",0)</f>
        <v>#REF!</v>
      </c>
      <c r="DK378" t="e">
        <f>IF(#REF!,"AAAAAFW+9nI=",0)</f>
        <v>#REF!</v>
      </c>
      <c r="DL378" t="e">
        <f>IF(#REF!,"AAAAAFW+9nM=",0)</f>
        <v>#REF!</v>
      </c>
      <c r="DM378" t="e">
        <f>IF(#REF!,"AAAAAFW+9nQ=",0)</f>
        <v>#REF!</v>
      </c>
      <c r="DN378" t="e">
        <f>IF(#REF!,"AAAAAFW+9nU=",0)</f>
        <v>#REF!</v>
      </c>
      <c r="DO378" t="e">
        <f>IF(#REF!,"AAAAAFW+9nY=",0)</f>
        <v>#REF!</v>
      </c>
      <c r="DP378" t="e">
        <f>IF(#REF!,"AAAAAFW+9nc=",0)</f>
        <v>#REF!</v>
      </c>
      <c r="DQ378" t="e">
        <f>IF(#REF!,"AAAAAFW+9ng=",0)</f>
        <v>#REF!</v>
      </c>
      <c r="DR378" t="e">
        <f>IF(#REF!,"AAAAAFW+9nk=",0)</f>
        <v>#REF!</v>
      </c>
      <c r="DS378" t="e">
        <f>IF(#REF!,"AAAAAFW+9no=",0)</f>
        <v>#REF!</v>
      </c>
      <c r="DT378" t="e">
        <f>IF(#REF!,"AAAAAFW+9ns=",0)</f>
        <v>#REF!</v>
      </c>
      <c r="DU378" t="e">
        <f>IF(#REF!,"AAAAAFW+9nw=",0)</f>
        <v>#REF!</v>
      </c>
      <c r="DV378" t="e">
        <f>IF(#REF!,"AAAAAFW+9n0=",0)</f>
        <v>#REF!</v>
      </c>
      <c r="DW378" t="e">
        <f>IF(#REF!,"AAAAAFW+9n4=",0)</f>
        <v>#REF!</v>
      </c>
      <c r="DX378" t="e">
        <f>IF(#REF!,"AAAAAFW+9n8=",0)</f>
        <v>#REF!</v>
      </c>
      <c r="DY378" t="e">
        <f>IF(#REF!,"AAAAAFW+9oA=",0)</f>
        <v>#REF!</v>
      </c>
      <c r="DZ378" t="e">
        <f>IF(#REF!,"AAAAAFW+9oE=",0)</f>
        <v>#REF!</v>
      </c>
      <c r="EA378" t="e">
        <f>IF(#REF!,"AAAAAFW+9oI=",0)</f>
        <v>#REF!</v>
      </c>
      <c r="EB378" t="e">
        <f>IF(#REF!,"AAAAAFW+9oM=",0)</f>
        <v>#REF!</v>
      </c>
      <c r="EC378" t="e">
        <f>IF(#REF!,"AAAAAFW+9oQ=",0)</f>
        <v>#REF!</v>
      </c>
      <c r="ED378" t="e">
        <f>IF(#REF!,"AAAAAFW+9oU=",0)</f>
        <v>#REF!</v>
      </c>
      <c r="EE378" t="e">
        <f>IF(#REF!,"AAAAAFW+9oY=",0)</f>
        <v>#REF!</v>
      </c>
      <c r="EF378" t="e">
        <f>IF(#REF!,"AAAAAFW+9oc=",0)</f>
        <v>#REF!</v>
      </c>
      <c r="EG378" t="e">
        <f>IF(#REF!,"AAAAAFW+9og=",0)</f>
        <v>#REF!</v>
      </c>
      <c r="EH378" t="e">
        <f>IF(#REF!,"AAAAAFW+9ok=",0)</f>
        <v>#REF!</v>
      </c>
      <c r="EI378" t="e">
        <f>IF(#REF!,"AAAAAFW+9oo=",0)</f>
        <v>#REF!</v>
      </c>
      <c r="EJ378" t="e">
        <f>IF(#REF!,"AAAAAFW+9os=",0)</f>
        <v>#REF!</v>
      </c>
      <c r="EK378" t="e">
        <f>IF(#REF!,"AAAAAFW+9ow=",0)</f>
        <v>#REF!</v>
      </c>
      <c r="EL378" t="e">
        <f>IF(#REF!,"AAAAAFW+9o0=",0)</f>
        <v>#REF!</v>
      </c>
      <c r="EM378" t="e">
        <f>IF(#REF!,"AAAAAFW+9o4=",0)</f>
        <v>#REF!</v>
      </c>
      <c r="EN378" t="e">
        <f>IF(#REF!,"AAAAAFW+9o8=",0)</f>
        <v>#REF!</v>
      </c>
      <c r="EO378" t="e">
        <f>IF(#REF!,"AAAAAFW+9pA=",0)</f>
        <v>#REF!</v>
      </c>
      <c r="EP378" t="e">
        <f>IF(#REF!,"AAAAAFW+9pE=",0)</f>
        <v>#REF!</v>
      </c>
      <c r="EQ378" t="e">
        <f>IF(#REF!,"AAAAAFW+9pI=",0)</f>
        <v>#REF!</v>
      </c>
      <c r="ER378" t="e">
        <f>IF(#REF!,"AAAAAFW+9pM=",0)</f>
        <v>#REF!</v>
      </c>
      <c r="ES378" t="e">
        <f>IF(#REF!,"AAAAAFW+9pQ=",0)</f>
        <v>#REF!</v>
      </c>
      <c r="ET378" t="e">
        <f>IF(#REF!,"AAAAAFW+9pU=",0)</f>
        <v>#REF!</v>
      </c>
      <c r="EU378" t="e">
        <f>IF(#REF!,"AAAAAFW+9pY=",0)</f>
        <v>#REF!</v>
      </c>
      <c r="EV378" t="e">
        <f>IF(#REF!,"AAAAAFW+9pc=",0)</f>
        <v>#REF!</v>
      </c>
      <c r="EW378" t="e">
        <f>IF(#REF!,"AAAAAFW+9pg=",0)</f>
        <v>#REF!</v>
      </c>
      <c r="EX378" t="e">
        <f>IF(#REF!,"AAAAAFW+9pk=",0)</f>
        <v>#REF!</v>
      </c>
      <c r="EY378" t="e">
        <f>IF(#REF!,"AAAAAFW+9po=",0)</f>
        <v>#REF!</v>
      </c>
      <c r="EZ378" t="e">
        <f>IF(#REF!,"AAAAAFW+9ps=",0)</f>
        <v>#REF!</v>
      </c>
      <c r="FA378" t="e">
        <f>IF(#REF!,"AAAAAFW+9pw=",0)</f>
        <v>#REF!</v>
      </c>
      <c r="FB378" t="e">
        <f>IF(#REF!,"AAAAAFW+9p0=",0)</f>
        <v>#REF!</v>
      </c>
      <c r="FC378" t="e">
        <f>IF(#REF!,"AAAAAFW+9p4=",0)</f>
        <v>#REF!</v>
      </c>
      <c r="FD378" t="e">
        <f>IF(#REF!,"AAAAAFW+9p8=",0)</f>
        <v>#REF!</v>
      </c>
      <c r="FE378" t="e">
        <f>IF(#REF!,"AAAAAFW+9qA=",0)</f>
        <v>#REF!</v>
      </c>
      <c r="FF378" t="e">
        <f>IF(#REF!,"AAAAAFW+9qE=",0)</f>
        <v>#REF!</v>
      </c>
      <c r="FG378" t="e">
        <f>IF(#REF!,"AAAAAFW+9qI=",0)</f>
        <v>#REF!</v>
      </c>
      <c r="FH378" t="e">
        <f>IF(#REF!,"AAAAAFW+9qM=",0)</f>
        <v>#REF!</v>
      </c>
      <c r="FI378" t="e">
        <f>IF(#REF!,"AAAAAFW+9qQ=",0)</f>
        <v>#REF!</v>
      </c>
      <c r="FJ378" t="e">
        <f>IF(#REF!,"AAAAAFW+9qU=",0)</f>
        <v>#REF!</v>
      </c>
      <c r="FK378" t="e">
        <f>IF(#REF!,"AAAAAFW+9qY=",0)</f>
        <v>#REF!</v>
      </c>
      <c r="FL378" t="e">
        <f>IF(#REF!,"AAAAAFW+9qc=",0)</f>
        <v>#REF!</v>
      </c>
      <c r="FM378" t="e">
        <f>IF(#REF!,"AAAAAFW+9qg=",0)</f>
        <v>#REF!</v>
      </c>
      <c r="FN378" t="e">
        <f>IF(#REF!,"AAAAAFW+9qk=",0)</f>
        <v>#REF!</v>
      </c>
      <c r="FO378" t="e">
        <f>IF(#REF!,"AAAAAFW+9qo=",0)</f>
        <v>#REF!</v>
      </c>
      <c r="FP378" t="e">
        <f>IF(#REF!,"AAAAAFW+9qs=",0)</f>
        <v>#REF!</v>
      </c>
      <c r="FQ378" t="e">
        <f>IF(#REF!,"AAAAAFW+9qw=",0)</f>
        <v>#REF!</v>
      </c>
      <c r="FR378" t="e">
        <f>IF(#REF!,"AAAAAFW+9q0=",0)</f>
        <v>#REF!</v>
      </c>
      <c r="FS378" t="e">
        <f>IF(#REF!,"AAAAAFW+9q4=",0)</f>
        <v>#REF!</v>
      </c>
      <c r="FT378" t="e">
        <f>IF(#REF!,"AAAAAFW+9q8=",0)</f>
        <v>#REF!</v>
      </c>
      <c r="FU378" t="e">
        <f>IF(#REF!,"AAAAAFW+9rA=",0)</f>
        <v>#REF!</v>
      </c>
      <c r="FV378" t="e">
        <f>IF(#REF!,"AAAAAFW+9rE=",0)</f>
        <v>#REF!</v>
      </c>
      <c r="FW378" t="e">
        <f>IF(#REF!,"AAAAAFW+9rI=",0)</f>
        <v>#REF!</v>
      </c>
      <c r="FX378" t="e">
        <f>IF(#REF!,"AAAAAFW+9rM=",0)</f>
        <v>#REF!</v>
      </c>
      <c r="FY378" t="e">
        <f>IF(#REF!,"AAAAAFW+9rQ=",0)</f>
        <v>#REF!</v>
      </c>
      <c r="FZ378" t="e">
        <f>IF(#REF!,"AAAAAFW+9rU=",0)</f>
        <v>#REF!</v>
      </c>
      <c r="GA378" t="e">
        <f>IF(#REF!,"AAAAAFW+9rY=",0)</f>
        <v>#REF!</v>
      </c>
      <c r="GB378" t="e">
        <f>IF(#REF!,"AAAAAFW+9rc=",0)</f>
        <v>#REF!</v>
      </c>
      <c r="GC378" t="e">
        <f>IF(#REF!,"AAAAAFW+9rg=",0)</f>
        <v>#REF!</v>
      </c>
      <c r="GD378" t="e">
        <f>IF(#REF!,"AAAAAFW+9rk=",0)</f>
        <v>#REF!</v>
      </c>
      <c r="GE378" t="e">
        <f>IF(#REF!,"AAAAAFW+9ro=",0)</f>
        <v>#REF!</v>
      </c>
      <c r="GF378" t="e">
        <f>IF(#REF!,"AAAAAFW+9rs=",0)</f>
        <v>#REF!</v>
      </c>
      <c r="GG378" t="e">
        <f>IF(#REF!,"AAAAAFW+9rw=",0)</f>
        <v>#REF!</v>
      </c>
      <c r="GH378" t="e">
        <f>IF(#REF!,"AAAAAFW+9r0=",0)</f>
        <v>#REF!</v>
      </c>
      <c r="GI378" t="e">
        <f>IF(#REF!,"AAAAAFW+9r4=",0)</f>
        <v>#REF!</v>
      </c>
      <c r="GJ378" t="e">
        <f>IF(#REF!,"AAAAAFW+9r8=",0)</f>
        <v>#REF!</v>
      </c>
      <c r="GK378" t="e">
        <f>IF(#REF!,"AAAAAFW+9sA=",0)</f>
        <v>#REF!</v>
      </c>
      <c r="GL378" t="e">
        <f>IF(#REF!,"AAAAAFW+9sE=",0)</f>
        <v>#REF!</v>
      </c>
      <c r="GM378" t="e">
        <f>IF(#REF!,"AAAAAFW+9sI=",0)</f>
        <v>#REF!</v>
      </c>
      <c r="GN378" t="e">
        <f>IF(#REF!,"AAAAAFW+9sM=",0)</f>
        <v>#REF!</v>
      </c>
      <c r="GO378" t="e">
        <f>IF(#REF!,"AAAAAFW+9sQ=",0)</f>
        <v>#REF!</v>
      </c>
      <c r="GP378" t="e">
        <f>IF(#REF!,"AAAAAFW+9sU=",0)</f>
        <v>#REF!</v>
      </c>
      <c r="GQ378" t="e">
        <f>IF(#REF!,"AAAAAFW+9sY=",0)</f>
        <v>#REF!</v>
      </c>
      <c r="GR378" t="e">
        <f>IF(#REF!,"AAAAAFW+9sc=",0)</f>
        <v>#REF!</v>
      </c>
      <c r="GS378" t="e">
        <f>IF(#REF!,"AAAAAFW+9sg=",0)</f>
        <v>#REF!</v>
      </c>
      <c r="GT378" t="e">
        <f>IF(#REF!,"AAAAAFW+9sk=",0)</f>
        <v>#REF!</v>
      </c>
      <c r="GU378" t="e">
        <f>IF(#REF!,"AAAAAFW+9so=",0)</f>
        <v>#REF!</v>
      </c>
      <c r="GV378" t="e">
        <f>IF(#REF!,"AAAAAFW+9ss=",0)</f>
        <v>#REF!</v>
      </c>
      <c r="GW378" t="e">
        <f>IF(#REF!,"AAAAAFW+9sw=",0)</f>
        <v>#REF!</v>
      </c>
      <c r="GX378" t="e">
        <f>IF(#REF!,"AAAAAFW+9s0=",0)</f>
        <v>#REF!</v>
      </c>
      <c r="GY378" t="e">
        <f>IF(#REF!,"AAAAAFW+9s4=",0)</f>
        <v>#REF!</v>
      </c>
      <c r="GZ378" t="e">
        <f>IF(#REF!,"AAAAAFW+9s8=",0)</f>
        <v>#REF!</v>
      </c>
      <c r="HA378" t="e">
        <f>IF(#REF!,"AAAAAFW+9tA=",0)</f>
        <v>#REF!</v>
      </c>
      <c r="HB378" t="e">
        <f>IF(#REF!,"AAAAAFW+9tE=",0)</f>
        <v>#REF!</v>
      </c>
      <c r="HC378" t="e">
        <f>IF(#REF!,"AAAAAFW+9tI=",0)</f>
        <v>#REF!</v>
      </c>
      <c r="HD378" t="e">
        <f>IF(#REF!,"AAAAAFW+9tM=",0)</f>
        <v>#REF!</v>
      </c>
      <c r="HE378" t="e">
        <f>IF(#REF!,"AAAAAFW+9tQ=",0)</f>
        <v>#REF!</v>
      </c>
      <c r="HF378" t="e">
        <f>IF(#REF!,"AAAAAFW+9tU=",0)</f>
        <v>#REF!</v>
      </c>
      <c r="HG378" t="e">
        <f>IF(#REF!,"AAAAAFW+9tY=",0)</f>
        <v>#REF!</v>
      </c>
      <c r="HH378" t="e">
        <f>IF(#REF!,"AAAAAFW+9tc=",0)</f>
        <v>#REF!</v>
      </c>
      <c r="HI378" t="e">
        <f>IF(#REF!,"AAAAAFW+9tg=",0)</f>
        <v>#REF!</v>
      </c>
      <c r="HJ378" t="e">
        <f>IF(#REF!,"AAAAAFW+9tk=",0)</f>
        <v>#REF!</v>
      </c>
      <c r="HK378" t="e">
        <f>IF(#REF!,"AAAAAFW+9to=",0)</f>
        <v>#REF!</v>
      </c>
      <c r="HL378" t="e">
        <f>IF(#REF!,"AAAAAFW+9ts=",0)</f>
        <v>#REF!</v>
      </c>
      <c r="HM378" t="e">
        <f>IF(#REF!,"AAAAAFW+9tw=",0)</f>
        <v>#REF!</v>
      </c>
      <c r="HN378" t="e">
        <f>IF(#REF!,"AAAAAFW+9t0=",0)</f>
        <v>#REF!</v>
      </c>
      <c r="HO378" t="e">
        <f>IF(#REF!,"AAAAAFW+9t4=",0)</f>
        <v>#REF!</v>
      </c>
      <c r="HP378" t="e">
        <f>IF(#REF!,"AAAAAFW+9t8=",0)</f>
        <v>#REF!</v>
      </c>
      <c r="HQ378" t="e">
        <f>IF(#REF!,"AAAAAFW+9uA=",0)</f>
        <v>#REF!</v>
      </c>
      <c r="HR378" t="e">
        <f>IF(#REF!,"AAAAAFW+9uE=",0)</f>
        <v>#REF!</v>
      </c>
      <c r="HS378" t="e">
        <f>IF(#REF!,"AAAAAFW+9uI=",0)</f>
        <v>#REF!</v>
      </c>
      <c r="HT378" t="e">
        <f>IF(#REF!,"AAAAAFW+9uM=",0)</f>
        <v>#REF!</v>
      </c>
      <c r="HU378" t="e">
        <f>IF(#REF!,"AAAAAFW+9uQ=",0)</f>
        <v>#REF!</v>
      </c>
      <c r="HV378" t="e">
        <f>IF(#REF!,"AAAAAFW+9uU=",0)</f>
        <v>#REF!</v>
      </c>
      <c r="HW378" t="e">
        <f>IF(#REF!,"AAAAAFW+9uY=",0)</f>
        <v>#REF!</v>
      </c>
      <c r="HX378" t="e">
        <f>IF(#REF!,"AAAAAFW+9uc=",0)</f>
        <v>#REF!</v>
      </c>
      <c r="HY378" t="e">
        <f>IF(#REF!,"AAAAAFW+9ug=",0)</f>
        <v>#REF!</v>
      </c>
      <c r="HZ378" t="e">
        <f>IF(#REF!,"AAAAAFW+9uk=",0)</f>
        <v>#REF!</v>
      </c>
      <c r="IA378" t="e">
        <f>IF(#REF!,"AAAAAFW+9uo=",0)</f>
        <v>#REF!</v>
      </c>
      <c r="IB378" t="e">
        <f>IF(#REF!,"AAAAAFW+9us=",0)</f>
        <v>#REF!</v>
      </c>
      <c r="IC378" t="e">
        <f>IF(#REF!,"AAAAAFW+9uw=",0)</f>
        <v>#REF!</v>
      </c>
      <c r="ID378" t="e">
        <f>IF(#REF!,"AAAAAFW+9u0=",0)</f>
        <v>#REF!</v>
      </c>
      <c r="IE378" t="e">
        <f>IF(#REF!,"AAAAAFW+9u4=",0)</f>
        <v>#REF!</v>
      </c>
      <c r="IF378" t="e">
        <f>IF(#REF!,"AAAAAFW+9u8=",0)</f>
        <v>#REF!</v>
      </c>
      <c r="IG378" t="e">
        <f>IF(#REF!,"AAAAAFW+9vA=",0)</f>
        <v>#REF!</v>
      </c>
      <c r="IH378" t="e">
        <f>IF(#REF!,"AAAAAFW+9vE=",0)</f>
        <v>#REF!</v>
      </c>
      <c r="II378" t="e">
        <f>IF(#REF!,"AAAAAFW+9vI=",0)</f>
        <v>#REF!</v>
      </c>
      <c r="IJ378" t="e">
        <f>IF(#REF!,"AAAAAFW+9vM=",0)</f>
        <v>#REF!</v>
      </c>
      <c r="IK378" t="e">
        <f>IF(#REF!,"AAAAAFW+9vQ=",0)</f>
        <v>#REF!</v>
      </c>
      <c r="IL378" t="e">
        <f>IF(#REF!,"AAAAAFW+9vU=",0)</f>
        <v>#REF!</v>
      </c>
      <c r="IM378" t="e">
        <f>IF(#REF!,"AAAAAFW+9vY=",0)</f>
        <v>#REF!</v>
      </c>
      <c r="IN378" t="e">
        <f>IF(#REF!,"AAAAAFW+9vc=",0)</f>
        <v>#REF!</v>
      </c>
      <c r="IO378" t="e">
        <f>IF(#REF!,"AAAAAFW+9vg=",0)</f>
        <v>#REF!</v>
      </c>
      <c r="IP378" t="e">
        <f>IF(#REF!,"AAAAAFW+9vk=",0)</f>
        <v>#REF!</v>
      </c>
      <c r="IQ378" t="e">
        <f>IF(#REF!,"AAAAAFW+9vo=",0)</f>
        <v>#REF!</v>
      </c>
      <c r="IR378" t="e">
        <f>IF(#REF!,"AAAAAFW+9vs=",0)</f>
        <v>#REF!</v>
      </c>
      <c r="IS378" t="e">
        <f>IF(#REF!,"AAAAAFW+9vw=",0)</f>
        <v>#REF!</v>
      </c>
      <c r="IT378" t="e">
        <f>IF(#REF!,"AAAAAFW+9v0=",0)</f>
        <v>#REF!</v>
      </c>
      <c r="IU378" t="e">
        <f>IF(#REF!,"AAAAAFW+9v4=",0)</f>
        <v>#REF!</v>
      </c>
      <c r="IV378" t="e">
        <f>IF(#REF!,"AAAAAFW+9v8=",0)</f>
        <v>#REF!</v>
      </c>
    </row>
    <row r="379" spans="1:256">
      <c r="A379" t="e">
        <f>IF(#REF!,"AAAAAHr7/wA=",0)</f>
        <v>#REF!</v>
      </c>
      <c r="B379" t="e">
        <f>IF(#REF!,"AAAAAHr7/wE=",0)</f>
        <v>#REF!</v>
      </c>
      <c r="C379" t="e">
        <f>IF(#REF!,"AAAAAHr7/wI=",0)</f>
        <v>#REF!</v>
      </c>
      <c r="D379" t="e">
        <f>IF(#REF!,"AAAAAHr7/wM=",0)</f>
        <v>#REF!</v>
      </c>
      <c r="E379" t="e">
        <f>IF(#REF!,"AAAAAHr7/wQ=",0)</f>
        <v>#REF!</v>
      </c>
      <c r="F379" t="e">
        <f>IF(#REF!,"AAAAAHr7/wU=",0)</f>
        <v>#REF!</v>
      </c>
      <c r="G379" t="e">
        <f>IF(#REF!,"AAAAAHr7/wY=",0)</f>
        <v>#REF!</v>
      </c>
      <c r="H379" t="e">
        <f>IF(#REF!,"AAAAAHr7/wc=",0)</f>
        <v>#REF!</v>
      </c>
      <c r="I379" t="e">
        <f>IF(#REF!,"AAAAAHr7/wg=",0)</f>
        <v>#REF!</v>
      </c>
      <c r="J379" t="e">
        <f>IF(#REF!,"AAAAAHr7/wk=",0)</f>
        <v>#REF!</v>
      </c>
      <c r="K379" t="e">
        <f>IF(#REF!,"AAAAAHr7/wo=",0)</f>
        <v>#REF!</v>
      </c>
      <c r="L379" t="e">
        <f>IF(#REF!,"AAAAAHr7/ws=",0)</f>
        <v>#REF!</v>
      </c>
      <c r="M379" t="e">
        <f>IF(#REF!,"AAAAAHr7/ww=",0)</f>
        <v>#REF!</v>
      </c>
      <c r="N379" t="e">
        <f>IF(#REF!,"AAAAAHr7/w0=",0)</f>
        <v>#REF!</v>
      </c>
      <c r="O379" t="e">
        <f>IF(#REF!,"AAAAAHr7/w4=",0)</f>
        <v>#REF!</v>
      </c>
      <c r="P379" t="e">
        <f>IF(#REF!,"AAAAAHr7/w8=",0)</f>
        <v>#REF!</v>
      </c>
      <c r="Q379" t="e">
        <f>IF(#REF!,"AAAAAHr7/xA=",0)</f>
        <v>#REF!</v>
      </c>
      <c r="R379" t="e">
        <f>IF(#REF!,"AAAAAHr7/xE=",0)</f>
        <v>#REF!</v>
      </c>
      <c r="S379" t="e">
        <f>IF(#REF!,"AAAAAHr7/xI=",0)</f>
        <v>#REF!</v>
      </c>
      <c r="T379" t="e">
        <f>IF(#REF!,"AAAAAHr7/xM=",0)</f>
        <v>#REF!</v>
      </c>
      <c r="U379" t="e">
        <f>IF(#REF!,"AAAAAHr7/xQ=",0)</f>
        <v>#REF!</v>
      </c>
      <c r="V379" t="e">
        <f>IF(#REF!,"AAAAAHr7/xU=",0)</f>
        <v>#REF!</v>
      </c>
      <c r="W379" t="e">
        <f>IF(#REF!,"AAAAAHr7/xY=",0)</f>
        <v>#REF!</v>
      </c>
      <c r="X379" t="e">
        <f>IF(#REF!,"AAAAAHr7/xc=",0)</f>
        <v>#REF!</v>
      </c>
      <c r="Y379" t="e">
        <f>IF(#REF!,"AAAAAHr7/xg=",0)</f>
        <v>#REF!</v>
      </c>
      <c r="Z379" t="e">
        <f>IF(#REF!,"AAAAAHr7/xk=",0)</f>
        <v>#REF!</v>
      </c>
      <c r="AA379" t="e">
        <f>IF(#REF!,"AAAAAHr7/xo=",0)</f>
        <v>#REF!</v>
      </c>
      <c r="AB379" t="e">
        <f>IF(#REF!,"AAAAAHr7/xs=",0)</f>
        <v>#REF!</v>
      </c>
      <c r="AC379" t="e">
        <f>IF(#REF!,"AAAAAHr7/xw=",0)</f>
        <v>#REF!</v>
      </c>
      <c r="AD379" t="e">
        <f>IF(#REF!,"AAAAAHr7/x0=",0)</f>
        <v>#REF!</v>
      </c>
      <c r="AE379" t="e">
        <f>IF(#REF!,"AAAAAHr7/x4=",0)</f>
        <v>#REF!</v>
      </c>
      <c r="AF379" t="e">
        <f>IF(#REF!,"AAAAAHr7/x8=",0)</f>
        <v>#REF!</v>
      </c>
      <c r="AG379" t="e">
        <f>IF(#REF!,"AAAAAHr7/yA=",0)</f>
        <v>#REF!</v>
      </c>
      <c r="AH379" t="e">
        <f>IF(#REF!,"AAAAAHr7/yE=",0)</f>
        <v>#REF!</v>
      </c>
      <c r="AI379" t="e">
        <f>IF(#REF!,"AAAAAHr7/yI=",0)</f>
        <v>#REF!</v>
      </c>
      <c r="AJ379" t="e">
        <f>IF(#REF!,"AAAAAHr7/yM=",0)</f>
        <v>#REF!</v>
      </c>
      <c r="AK379" t="e">
        <f>IF(#REF!,"AAAAAHr7/yQ=",0)</f>
        <v>#REF!</v>
      </c>
      <c r="AL379" t="e">
        <f>IF(#REF!,"AAAAAHr7/yU=",0)</f>
        <v>#REF!</v>
      </c>
      <c r="AM379" t="e">
        <f>IF(#REF!,"AAAAAHr7/yY=",0)</f>
        <v>#REF!</v>
      </c>
      <c r="AN379" t="e">
        <f>IF(#REF!,"AAAAAHr7/yc=",0)</f>
        <v>#REF!</v>
      </c>
      <c r="AO379" t="e">
        <f>IF(#REF!,"AAAAAHr7/yg=",0)</f>
        <v>#REF!</v>
      </c>
      <c r="AP379" t="e">
        <f>IF(#REF!,"AAAAAHr7/yk=",0)</f>
        <v>#REF!</v>
      </c>
      <c r="AQ379" t="e">
        <f>IF(#REF!,"AAAAAHr7/yo=",0)</f>
        <v>#REF!</v>
      </c>
      <c r="AR379" t="e">
        <f>IF(#REF!,"AAAAAHr7/ys=",0)</f>
        <v>#REF!</v>
      </c>
      <c r="AS379" t="e">
        <f>IF(#REF!,"AAAAAHr7/yw=",0)</f>
        <v>#REF!</v>
      </c>
      <c r="AT379" t="e">
        <f>IF(#REF!,"AAAAAHr7/y0=",0)</f>
        <v>#REF!</v>
      </c>
      <c r="AU379" t="e">
        <f>IF(#REF!,"AAAAAHr7/y4=",0)</f>
        <v>#REF!</v>
      </c>
      <c r="AV379" t="e">
        <f>IF(#REF!,"AAAAAHr7/y8=",0)</f>
        <v>#REF!</v>
      </c>
      <c r="AW379" t="e">
        <f>IF(#REF!,"AAAAAHr7/zA=",0)</f>
        <v>#REF!</v>
      </c>
      <c r="AX379" t="e">
        <f>IF(#REF!,"AAAAAHr7/zE=",0)</f>
        <v>#REF!</v>
      </c>
      <c r="AY379" t="e">
        <f>IF(#REF!,"AAAAAHr7/zI=",0)</f>
        <v>#REF!</v>
      </c>
      <c r="AZ379" t="e">
        <f>IF(#REF!,"AAAAAHr7/zM=",0)</f>
        <v>#REF!</v>
      </c>
      <c r="BA379" t="e">
        <f>IF(#REF!,"AAAAAHr7/zQ=",0)</f>
        <v>#REF!</v>
      </c>
      <c r="BB379" t="e">
        <f>IF(#REF!,"AAAAAHr7/zU=",0)</f>
        <v>#REF!</v>
      </c>
      <c r="BC379" t="e">
        <f>IF(#REF!,"AAAAAHr7/zY=",0)</f>
        <v>#REF!</v>
      </c>
      <c r="BD379" t="e">
        <f>IF(#REF!,"AAAAAHr7/zc=",0)</f>
        <v>#REF!</v>
      </c>
      <c r="BE379" t="e">
        <f>IF(#REF!,"AAAAAHr7/zg=",0)</f>
        <v>#REF!</v>
      </c>
      <c r="BF379" t="e">
        <f>IF(#REF!,"AAAAAHr7/zk=",0)</f>
        <v>#REF!</v>
      </c>
      <c r="BG379" t="e">
        <f>IF(#REF!,"AAAAAHr7/zo=",0)</f>
        <v>#REF!</v>
      </c>
      <c r="BH379" t="e">
        <f>IF(#REF!,"AAAAAHr7/zs=",0)</f>
        <v>#REF!</v>
      </c>
      <c r="BI379" t="e">
        <f>IF(#REF!,"AAAAAHr7/zw=",0)</f>
        <v>#REF!</v>
      </c>
      <c r="BJ379" t="e">
        <f>IF(#REF!,"AAAAAHr7/z0=",0)</f>
        <v>#REF!</v>
      </c>
      <c r="BK379" t="e">
        <f>IF(#REF!,"AAAAAHr7/z4=",0)</f>
        <v>#REF!</v>
      </c>
      <c r="BL379" t="e">
        <f>IF(#REF!,"AAAAAHr7/z8=",0)</f>
        <v>#REF!</v>
      </c>
      <c r="BM379" t="e">
        <f>IF(#REF!,"AAAAAHr7/0A=",0)</f>
        <v>#REF!</v>
      </c>
      <c r="BN379" t="e">
        <f>IF(#REF!,"AAAAAHr7/0E=",0)</f>
        <v>#REF!</v>
      </c>
      <c r="BO379" t="e">
        <f>IF(#REF!,"AAAAAHr7/0I=",0)</f>
        <v>#REF!</v>
      </c>
      <c r="BP379" t="e">
        <f>IF(#REF!,"AAAAAHr7/0M=",0)</f>
        <v>#REF!</v>
      </c>
      <c r="BQ379" t="e">
        <f>IF(#REF!,"AAAAAHr7/0Q=",0)</f>
        <v>#REF!</v>
      </c>
      <c r="BR379" t="e">
        <f>IF(#REF!,"AAAAAHr7/0U=",0)</f>
        <v>#REF!</v>
      </c>
      <c r="BS379" t="e">
        <f>IF(#REF!,"AAAAAHr7/0Y=",0)</f>
        <v>#REF!</v>
      </c>
      <c r="BT379" t="e">
        <f>IF(#REF!,"AAAAAHr7/0c=",0)</f>
        <v>#REF!</v>
      </c>
      <c r="BU379" t="e">
        <f>IF(#REF!,"AAAAAHr7/0g=",0)</f>
        <v>#REF!</v>
      </c>
      <c r="BV379" t="e">
        <f>IF(#REF!,"AAAAAHr7/0k=",0)</f>
        <v>#REF!</v>
      </c>
      <c r="BW379" t="e">
        <f>IF(#REF!,"AAAAAHr7/0o=",0)</f>
        <v>#REF!</v>
      </c>
      <c r="BX379" t="e">
        <f>IF(#REF!,"AAAAAHr7/0s=",0)</f>
        <v>#REF!</v>
      </c>
      <c r="BY379" t="e">
        <f>IF(#REF!,"AAAAAHr7/0w=",0)</f>
        <v>#REF!</v>
      </c>
      <c r="BZ379" t="e">
        <f>IF(#REF!,"AAAAAHr7/00=",0)</f>
        <v>#REF!</v>
      </c>
      <c r="CA379" t="e">
        <f>IF(#REF!,"AAAAAHr7/04=",0)</f>
        <v>#REF!</v>
      </c>
      <c r="CB379" t="e">
        <f>IF(#REF!,"AAAAAHr7/08=",0)</f>
        <v>#REF!</v>
      </c>
      <c r="CC379" t="e">
        <f>IF(#REF!,"AAAAAHr7/1A=",0)</f>
        <v>#REF!</v>
      </c>
      <c r="CD379" t="e">
        <f>IF(#REF!,"AAAAAHr7/1E=",0)</f>
        <v>#REF!</v>
      </c>
      <c r="CE379" t="e">
        <f>IF(#REF!,"AAAAAHr7/1I=",0)</f>
        <v>#REF!</v>
      </c>
      <c r="CF379" t="e">
        <f>IF(#REF!,"AAAAAHr7/1M=",0)</f>
        <v>#REF!</v>
      </c>
      <c r="CG379" t="e">
        <f>IF(#REF!,"AAAAAHr7/1Q=",0)</f>
        <v>#REF!</v>
      </c>
      <c r="CH379" t="e">
        <f>IF(#REF!,"AAAAAHr7/1U=",0)</f>
        <v>#REF!</v>
      </c>
      <c r="CI379" t="e">
        <f>IF(#REF!,"AAAAAHr7/1Y=",0)</f>
        <v>#REF!</v>
      </c>
      <c r="CJ379" t="e">
        <f>IF(#REF!,"AAAAAHr7/1c=",0)</f>
        <v>#REF!</v>
      </c>
      <c r="CK379" t="e">
        <f>IF(#REF!,"AAAAAHr7/1g=",0)</f>
        <v>#REF!</v>
      </c>
      <c r="CL379" t="e">
        <f>IF(#REF!,"AAAAAHr7/1k=",0)</f>
        <v>#REF!</v>
      </c>
      <c r="CM379" t="e">
        <f>IF(#REF!,"AAAAAHr7/1o=",0)</f>
        <v>#REF!</v>
      </c>
      <c r="CN379" t="e">
        <f>IF(#REF!,"AAAAAHr7/1s=",0)</f>
        <v>#REF!</v>
      </c>
      <c r="CO379" t="e">
        <f>IF(#REF!,"AAAAAHr7/1w=",0)</f>
        <v>#REF!</v>
      </c>
      <c r="CP379" t="e">
        <f>IF(#REF!,"AAAAAHr7/10=",0)</f>
        <v>#REF!</v>
      </c>
      <c r="CQ379" t="e">
        <f>IF(#REF!,"AAAAAHr7/14=",0)</f>
        <v>#REF!</v>
      </c>
      <c r="CR379" t="e">
        <f>IF(#REF!,"AAAAAHr7/18=",0)</f>
        <v>#REF!</v>
      </c>
      <c r="CS379" t="e">
        <f>IF(#REF!,"AAAAAHr7/2A=",0)</f>
        <v>#REF!</v>
      </c>
      <c r="CT379" t="e">
        <f>IF(#REF!,"AAAAAHr7/2E=",0)</f>
        <v>#REF!</v>
      </c>
      <c r="CU379" t="e">
        <f>IF(#REF!,"AAAAAHr7/2I=",0)</f>
        <v>#REF!</v>
      </c>
      <c r="CV379" t="e">
        <f>IF(#REF!,"AAAAAHr7/2M=",0)</f>
        <v>#REF!</v>
      </c>
      <c r="CW379" t="e">
        <f>IF(#REF!,"AAAAAHr7/2Q=",0)</f>
        <v>#REF!</v>
      </c>
      <c r="CX379" t="e">
        <f>IF(#REF!,"AAAAAHr7/2U=",0)</f>
        <v>#REF!</v>
      </c>
      <c r="CY379" t="e">
        <f>IF(#REF!,"AAAAAHr7/2Y=",0)</f>
        <v>#REF!</v>
      </c>
      <c r="CZ379" t="e">
        <f>IF(#REF!,"AAAAAHr7/2c=",0)</f>
        <v>#REF!</v>
      </c>
      <c r="DA379" t="e">
        <f>IF(#REF!,"AAAAAHr7/2g=",0)</f>
        <v>#REF!</v>
      </c>
      <c r="DB379" t="e">
        <f>IF(#REF!,"AAAAAHr7/2k=",0)</f>
        <v>#REF!</v>
      </c>
      <c r="DC379" t="e">
        <f>IF(#REF!,"AAAAAHr7/2o=",0)</f>
        <v>#REF!</v>
      </c>
      <c r="DD379" t="e">
        <f>IF(#REF!,"AAAAAHr7/2s=",0)</f>
        <v>#REF!</v>
      </c>
      <c r="DE379" t="e">
        <f>IF(#REF!,"AAAAAHr7/2w=",0)</f>
        <v>#REF!</v>
      </c>
      <c r="DF379" t="e">
        <f>IF(#REF!,"AAAAAHr7/20=",0)</f>
        <v>#REF!</v>
      </c>
      <c r="DG379" t="e">
        <f>IF(#REF!,"AAAAAHr7/24=",0)</f>
        <v>#REF!</v>
      </c>
      <c r="DH379" t="e">
        <f>IF(#REF!,"AAAAAHr7/28=",0)</f>
        <v>#REF!</v>
      </c>
      <c r="DI379" t="e">
        <f>IF(#REF!,"AAAAAHr7/3A=",0)</f>
        <v>#REF!</v>
      </c>
      <c r="DJ379" t="e">
        <f>IF(#REF!,"AAAAAHr7/3E=",0)</f>
        <v>#REF!</v>
      </c>
      <c r="DK379" t="e">
        <f>IF(#REF!,"AAAAAHr7/3I=",0)</f>
        <v>#REF!</v>
      </c>
      <c r="DL379" t="e">
        <f>IF(#REF!,"AAAAAHr7/3M=",0)</f>
        <v>#REF!</v>
      </c>
      <c r="DM379" t="e">
        <f>IF(#REF!,"AAAAAHr7/3Q=",0)</f>
        <v>#REF!</v>
      </c>
      <c r="DN379" t="e">
        <f>IF(#REF!,"AAAAAHr7/3U=",0)</f>
        <v>#REF!</v>
      </c>
      <c r="DO379" t="e">
        <f>IF(#REF!,"AAAAAHr7/3Y=",0)</f>
        <v>#REF!</v>
      </c>
      <c r="DP379" t="e">
        <f>IF(#REF!,"AAAAAHr7/3c=",0)</f>
        <v>#REF!</v>
      </c>
      <c r="DQ379" t="e">
        <f>IF(#REF!,"AAAAAHr7/3g=",0)</f>
        <v>#REF!</v>
      </c>
      <c r="DR379" t="e">
        <f>IF(#REF!,"AAAAAHr7/3k=",0)</f>
        <v>#REF!</v>
      </c>
      <c r="DS379" t="e">
        <f>IF(#REF!,"AAAAAHr7/3o=",0)</f>
        <v>#REF!</v>
      </c>
      <c r="DT379" t="e">
        <f>IF(#REF!,"AAAAAHr7/3s=",0)</f>
        <v>#REF!</v>
      </c>
      <c r="DU379" t="e">
        <f>IF(#REF!,"AAAAAHr7/3w=",0)</f>
        <v>#REF!</v>
      </c>
      <c r="DV379" t="e">
        <f>IF(#REF!,"AAAAAHr7/30=",0)</f>
        <v>#REF!</v>
      </c>
      <c r="DW379" t="e">
        <f>IF(#REF!,"AAAAAHr7/34=",0)</f>
        <v>#REF!</v>
      </c>
      <c r="DX379" t="e">
        <f>IF(#REF!,"AAAAAHr7/38=",0)</f>
        <v>#REF!</v>
      </c>
      <c r="DY379" t="e">
        <f>IF(#REF!,"AAAAAHr7/4A=",0)</f>
        <v>#REF!</v>
      </c>
      <c r="DZ379" t="e">
        <f>IF(#REF!,"AAAAAHr7/4E=",0)</f>
        <v>#REF!</v>
      </c>
      <c r="EA379" t="e">
        <f>IF(#REF!,"AAAAAHr7/4I=",0)</f>
        <v>#REF!</v>
      </c>
      <c r="EB379" t="e">
        <f>IF(#REF!,"AAAAAHr7/4M=",0)</f>
        <v>#REF!</v>
      </c>
      <c r="EC379" t="e">
        <f>IF(#REF!,"AAAAAHr7/4Q=",0)</f>
        <v>#REF!</v>
      </c>
      <c r="ED379" t="e">
        <f>IF(#REF!,"AAAAAHr7/4U=",0)</f>
        <v>#REF!</v>
      </c>
      <c r="EE379" t="e">
        <f>IF(#REF!,"AAAAAHr7/4Y=",0)</f>
        <v>#REF!</v>
      </c>
      <c r="EF379" t="e">
        <f>IF(#REF!,"AAAAAHr7/4c=",0)</f>
        <v>#REF!</v>
      </c>
      <c r="EG379" t="e">
        <f>IF(#REF!,"AAAAAHr7/4g=",0)</f>
        <v>#REF!</v>
      </c>
      <c r="EH379" t="e">
        <f>IF(#REF!,"AAAAAHr7/4k=",0)</f>
        <v>#REF!</v>
      </c>
      <c r="EI379" t="e">
        <f>IF(#REF!,"AAAAAHr7/4o=",0)</f>
        <v>#REF!</v>
      </c>
      <c r="EJ379" t="e">
        <f>IF(#REF!,"AAAAAHr7/4s=",0)</f>
        <v>#REF!</v>
      </c>
      <c r="EK379" t="e">
        <f>IF(#REF!,"AAAAAHr7/4w=",0)</f>
        <v>#REF!</v>
      </c>
      <c r="EL379" t="e">
        <f>IF(#REF!,"AAAAAHr7/40=",0)</f>
        <v>#REF!</v>
      </c>
      <c r="EM379" t="e">
        <f>IF(#REF!,"AAAAAHr7/44=",0)</f>
        <v>#REF!</v>
      </c>
      <c r="EN379" t="e">
        <f>IF(#REF!,"AAAAAHr7/48=",0)</f>
        <v>#REF!</v>
      </c>
      <c r="EO379" t="e">
        <f>IF(#REF!,"AAAAAHr7/5A=",0)</f>
        <v>#REF!</v>
      </c>
      <c r="EP379" t="e">
        <f>IF(#REF!,"AAAAAHr7/5E=",0)</f>
        <v>#REF!</v>
      </c>
      <c r="EQ379" t="e">
        <f>IF(#REF!,"AAAAAHr7/5I=",0)</f>
        <v>#REF!</v>
      </c>
      <c r="ER379" t="e">
        <f>IF(#REF!,"AAAAAHr7/5M=",0)</f>
        <v>#REF!</v>
      </c>
      <c r="ES379" t="e">
        <f>IF(#REF!,"AAAAAHr7/5Q=",0)</f>
        <v>#REF!</v>
      </c>
      <c r="ET379" t="e">
        <f>IF(#REF!,"AAAAAHr7/5U=",0)</f>
        <v>#REF!</v>
      </c>
      <c r="EU379" t="e">
        <f>IF(#REF!,"AAAAAHr7/5Y=",0)</f>
        <v>#REF!</v>
      </c>
      <c r="EV379" t="e">
        <f>IF(#REF!,"AAAAAHr7/5c=",0)</f>
        <v>#REF!</v>
      </c>
      <c r="EW379" t="e">
        <f>IF(#REF!,"AAAAAHr7/5g=",0)</f>
        <v>#REF!</v>
      </c>
      <c r="EX379" t="e">
        <f>IF(#REF!,"AAAAAHr7/5k=",0)</f>
        <v>#REF!</v>
      </c>
      <c r="EY379" t="e">
        <f>IF(#REF!,"AAAAAHr7/5o=",0)</f>
        <v>#REF!</v>
      </c>
      <c r="EZ379" t="e">
        <f>IF(#REF!,"AAAAAHr7/5s=",0)</f>
        <v>#REF!</v>
      </c>
      <c r="FA379" t="e">
        <f>IF(#REF!,"AAAAAHr7/5w=",0)</f>
        <v>#REF!</v>
      </c>
      <c r="FB379" t="e">
        <f>IF(#REF!,"AAAAAHr7/50=",0)</f>
        <v>#REF!</v>
      </c>
      <c r="FC379" t="e">
        <f>IF(#REF!,"AAAAAHr7/54=",0)</f>
        <v>#REF!</v>
      </c>
      <c r="FD379" t="e">
        <f>IF(#REF!,"AAAAAHr7/58=",0)</f>
        <v>#REF!</v>
      </c>
      <c r="FE379" t="e">
        <f>IF(#REF!,"AAAAAHr7/6A=",0)</f>
        <v>#REF!</v>
      </c>
      <c r="FF379" t="e">
        <f>IF(#REF!,"AAAAAHr7/6E=",0)</f>
        <v>#REF!</v>
      </c>
      <c r="FG379" t="e">
        <f>IF(#REF!,"AAAAAHr7/6I=",0)</f>
        <v>#REF!</v>
      </c>
      <c r="FH379" t="e">
        <f>IF(#REF!,"AAAAAHr7/6M=",0)</f>
        <v>#REF!</v>
      </c>
      <c r="FI379" t="e">
        <f>IF(#REF!,"AAAAAHr7/6Q=",0)</f>
        <v>#REF!</v>
      </c>
      <c r="FJ379" t="e">
        <f>IF(#REF!,"AAAAAHr7/6U=",0)</f>
        <v>#REF!</v>
      </c>
      <c r="FK379" t="e">
        <f>IF(#REF!,"AAAAAHr7/6Y=",0)</f>
        <v>#REF!</v>
      </c>
      <c r="FL379" t="e">
        <f>IF(#REF!,"AAAAAHr7/6c=",0)</f>
        <v>#REF!</v>
      </c>
      <c r="FM379" t="e">
        <f>IF(#REF!,"AAAAAHr7/6g=",0)</f>
        <v>#REF!</v>
      </c>
      <c r="FN379" t="e">
        <f>IF(#REF!,"AAAAAHr7/6k=",0)</f>
        <v>#REF!</v>
      </c>
      <c r="FO379" t="e">
        <f>IF(#REF!,"AAAAAHr7/6o=",0)</f>
        <v>#REF!</v>
      </c>
      <c r="FP379" t="e">
        <f>IF(#REF!,"AAAAAHr7/6s=",0)</f>
        <v>#REF!</v>
      </c>
      <c r="FQ379" t="e">
        <f>IF(#REF!,"AAAAAHr7/6w=",0)</f>
        <v>#REF!</v>
      </c>
      <c r="FR379" t="e">
        <f>IF(#REF!,"AAAAAHr7/60=",0)</f>
        <v>#REF!</v>
      </c>
      <c r="FS379" t="e">
        <f>IF(#REF!,"AAAAAHr7/64=",0)</f>
        <v>#REF!</v>
      </c>
      <c r="FT379" t="e">
        <f>IF(#REF!,"AAAAAHr7/68=",0)</f>
        <v>#REF!</v>
      </c>
      <c r="FU379" t="e">
        <f>IF(#REF!,"AAAAAHr7/7A=",0)</f>
        <v>#REF!</v>
      </c>
      <c r="FV379" t="e">
        <f>IF(#REF!,"AAAAAHr7/7E=",0)</f>
        <v>#REF!</v>
      </c>
      <c r="FW379" t="e">
        <f>IF(#REF!,"AAAAAHr7/7I=",0)</f>
        <v>#REF!</v>
      </c>
      <c r="FX379" t="e">
        <f>IF(#REF!,"AAAAAHr7/7M=",0)</f>
        <v>#REF!</v>
      </c>
      <c r="FY379" t="e">
        <f>IF(#REF!,"AAAAAHr7/7Q=",0)</f>
        <v>#REF!</v>
      </c>
      <c r="FZ379" t="e">
        <f>IF(#REF!,"AAAAAHr7/7U=",0)</f>
        <v>#REF!</v>
      </c>
      <c r="GA379" t="e">
        <f>IF(#REF!,"AAAAAHr7/7Y=",0)</f>
        <v>#REF!</v>
      </c>
      <c r="GB379" t="e">
        <f>IF(#REF!,"AAAAAHr7/7c=",0)</f>
        <v>#REF!</v>
      </c>
      <c r="GC379" t="e">
        <f>IF(#REF!,"AAAAAHr7/7g=",0)</f>
        <v>#REF!</v>
      </c>
      <c r="GD379" t="e">
        <f>IF(#REF!,"AAAAAHr7/7k=",0)</f>
        <v>#REF!</v>
      </c>
      <c r="GE379" t="e">
        <f>IF(#REF!,"AAAAAHr7/7o=",0)</f>
        <v>#REF!</v>
      </c>
      <c r="GF379" t="e">
        <f>IF(#REF!,"AAAAAHr7/7s=",0)</f>
        <v>#REF!</v>
      </c>
      <c r="GG379" t="e">
        <f>IF(#REF!,"AAAAAHr7/7w=",0)</f>
        <v>#REF!</v>
      </c>
      <c r="GH379" t="e">
        <f>IF(#REF!,"AAAAAHr7/70=",0)</f>
        <v>#REF!</v>
      </c>
      <c r="GI379" t="e">
        <f>IF(#REF!,"AAAAAHr7/74=",0)</f>
        <v>#REF!</v>
      </c>
      <c r="GJ379" t="e">
        <f>IF(#REF!,"AAAAAHr7/78=",0)</f>
        <v>#REF!</v>
      </c>
      <c r="GK379" t="e">
        <f>IF(#REF!,"AAAAAHr7/8A=",0)</f>
        <v>#REF!</v>
      </c>
      <c r="GL379" t="e">
        <f>IF(#REF!,"AAAAAHr7/8E=",0)</f>
        <v>#REF!</v>
      </c>
      <c r="GM379" t="e">
        <f>IF(#REF!,"AAAAAHr7/8I=",0)</f>
        <v>#REF!</v>
      </c>
      <c r="GN379" t="e">
        <f>IF(#REF!,"AAAAAHr7/8M=",0)</f>
        <v>#REF!</v>
      </c>
      <c r="GO379" t="e">
        <f>IF(#REF!,"AAAAAHr7/8Q=",0)</f>
        <v>#REF!</v>
      </c>
      <c r="GP379" t="e">
        <f>IF(#REF!,"AAAAAHr7/8U=",0)</f>
        <v>#REF!</v>
      </c>
      <c r="GQ379" t="e">
        <f>IF(#REF!,"AAAAAHr7/8Y=",0)</f>
        <v>#REF!</v>
      </c>
      <c r="GR379" t="e">
        <f>IF(#REF!,"AAAAAHr7/8c=",0)</f>
        <v>#REF!</v>
      </c>
      <c r="GS379" t="e">
        <f>IF(#REF!,"AAAAAHr7/8g=",0)</f>
        <v>#REF!</v>
      </c>
      <c r="GT379" t="e">
        <f>IF(#REF!,"AAAAAHr7/8k=",0)</f>
        <v>#REF!</v>
      </c>
      <c r="GU379" t="e">
        <f>IF(#REF!,"AAAAAHr7/8o=",0)</f>
        <v>#REF!</v>
      </c>
      <c r="GV379" t="e">
        <f>IF(#REF!,"AAAAAHr7/8s=",0)</f>
        <v>#REF!</v>
      </c>
      <c r="GW379" t="e">
        <f>IF(#REF!,"AAAAAHr7/8w=",0)</f>
        <v>#REF!</v>
      </c>
      <c r="GX379" t="e">
        <f>IF(#REF!,"AAAAAHr7/80=",0)</f>
        <v>#REF!</v>
      </c>
      <c r="GY379" t="e">
        <f>IF(#REF!,"AAAAAHr7/84=",0)</f>
        <v>#REF!</v>
      </c>
      <c r="GZ379" t="e">
        <f>IF(#REF!,"AAAAAHr7/88=",0)</f>
        <v>#REF!</v>
      </c>
      <c r="HA379" t="e">
        <f>IF(#REF!,"AAAAAHr7/9A=",0)</f>
        <v>#REF!</v>
      </c>
      <c r="HB379" t="e">
        <f>IF(#REF!,"AAAAAHr7/9E=",0)</f>
        <v>#REF!</v>
      </c>
      <c r="HC379" t="e">
        <f>IF(#REF!,"AAAAAHr7/9I=",0)</f>
        <v>#REF!</v>
      </c>
      <c r="HD379" t="e">
        <f>IF(#REF!,"AAAAAHr7/9M=",0)</f>
        <v>#REF!</v>
      </c>
      <c r="HE379" t="e">
        <f>IF(#REF!,"AAAAAHr7/9Q=",0)</f>
        <v>#REF!</v>
      </c>
      <c r="HF379" t="e">
        <f>IF(#REF!,"AAAAAHr7/9U=",0)</f>
        <v>#REF!</v>
      </c>
      <c r="HG379" t="e">
        <f>IF(#REF!,"AAAAAHr7/9Y=",0)</f>
        <v>#REF!</v>
      </c>
      <c r="HH379" t="e">
        <f>IF(#REF!,"AAAAAHr7/9c=",0)</f>
        <v>#REF!</v>
      </c>
      <c r="HI379" t="e">
        <f>IF(#REF!,"AAAAAHr7/9g=",0)</f>
        <v>#REF!</v>
      </c>
      <c r="HJ379" t="e">
        <f>IF(#REF!,"AAAAAHr7/9k=",0)</f>
        <v>#REF!</v>
      </c>
      <c r="HK379" t="e">
        <f>IF(#REF!,"AAAAAHr7/9o=",0)</f>
        <v>#REF!</v>
      </c>
      <c r="HL379" t="e">
        <f>IF(#REF!,"AAAAAHr7/9s=",0)</f>
        <v>#REF!</v>
      </c>
      <c r="HM379" t="e">
        <f>IF(#REF!,"AAAAAHr7/9w=",0)</f>
        <v>#REF!</v>
      </c>
      <c r="HN379" t="e">
        <f>IF(#REF!,"AAAAAHr7/90=",0)</f>
        <v>#REF!</v>
      </c>
      <c r="HO379" t="e">
        <f>IF(#REF!,"AAAAAHr7/94=",0)</f>
        <v>#REF!</v>
      </c>
      <c r="HP379" t="e">
        <f>IF(#REF!,"AAAAAHr7/98=",0)</f>
        <v>#REF!</v>
      </c>
      <c r="HQ379" t="e">
        <f>IF(#REF!,"AAAAAHr7/+A=",0)</f>
        <v>#REF!</v>
      </c>
      <c r="HR379" t="e">
        <f>IF(#REF!,"AAAAAHr7/+E=",0)</f>
        <v>#REF!</v>
      </c>
      <c r="HS379" t="e">
        <f>IF(#REF!,"AAAAAHr7/+I=",0)</f>
        <v>#REF!</v>
      </c>
      <c r="HT379" t="e">
        <f>IF(#REF!,"AAAAAHr7/+M=",0)</f>
        <v>#REF!</v>
      </c>
      <c r="HU379" t="e">
        <f>IF(#REF!,"AAAAAHr7/+Q=",0)</f>
        <v>#REF!</v>
      </c>
      <c r="HV379" t="e">
        <f>IF(#REF!,"AAAAAHr7/+U=",0)</f>
        <v>#REF!</v>
      </c>
      <c r="HW379" t="e">
        <f>IF(#REF!,"AAAAAHr7/+Y=",0)</f>
        <v>#REF!</v>
      </c>
      <c r="HX379" t="e">
        <f>IF(#REF!,"AAAAAHr7/+c=",0)</f>
        <v>#REF!</v>
      </c>
      <c r="HY379" t="e">
        <f>IF(#REF!,"AAAAAHr7/+g=",0)</f>
        <v>#REF!</v>
      </c>
      <c r="HZ379" t="e">
        <f>IF(#REF!,"AAAAAHr7/+k=",0)</f>
        <v>#REF!</v>
      </c>
      <c r="IA379" t="e">
        <f>IF(#REF!,"AAAAAHr7/+o=",0)</f>
        <v>#REF!</v>
      </c>
      <c r="IB379" t="e">
        <f>IF(#REF!,"AAAAAHr7/+s=",0)</f>
        <v>#REF!</v>
      </c>
      <c r="IC379" t="e">
        <f>IF(#REF!,"AAAAAHr7/+w=",0)</f>
        <v>#REF!</v>
      </c>
      <c r="ID379" t="e">
        <f>IF(#REF!,"AAAAAHr7/+0=",0)</f>
        <v>#REF!</v>
      </c>
      <c r="IE379" t="e">
        <f>IF(#REF!,"AAAAAHr7/+4=",0)</f>
        <v>#REF!</v>
      </c>
      <c r="IF379" t="e">
        <f>IF(#REF!,"AAAAAHr7/+8=",0)</f>
        <v>#REF!</v>
      </c>
      <c r="IG379" t="e">
        <f>IF(#REF!,"AAAAAHr7//A=",0)</f>
        <v>#REF!</v>
      </c>
      <c r="IH379" t="e">
        <f>IF(#REF!,"AAAAAHr7//E=",0)</f>
        <v>#REF!</v>
      </c>
      <c r="II379" t="e">
        <f>IF(#REF!,"AAAAAHr7//I=",0)</f>
        <v>#REF!</v>
      </c>
      <c r="IJ379" t="e">
        <f>IF(#REF!,"AAAAAHr7//M=",0)</f>
        <v>#REF!</v>
      </c>
      <c r="IK379" t="e">
        <f>IF(#REF!,"AAAAAHr7//Q=",0)</f>
        <v>#REF!</v>
      </c>
      <c r="IL379" t="e">
        <f>IF(#REF!,"AAAAAHr7//U=",0)</f>
        <v>#REF!</v>
      </c>
      <c r="IM379" t="e">
        <f>IF(#REF!,"AAAAAHr7//Y=",0)</f>
        <v>#REF!</v>
      </c>
      <c r="IN379" t="e">
        <f>IF(#REF!,"AAAAAHr7//c=",0)</f>
        <v>#REF!</v>
      </c>
      <c r="IO379" t="e">
        <f>IF(#REF!,"AAAAAHr7//g=",0)</f>
        <v>#REF!</v>
      </c>
      <c r="IP379" t="e">
        <f>IF(#REF!,"AAAAAHr7//k=",0)</f>
        <v>#REF!</v>
      </c>
      <c r="IQ379" t="e">
        <f>IF(#REF!,"AAAAAHr7//o=",0)</f>
        <v>#REF!</v>
      </c>
      <c r="IR379" t="e">
        <f>IF(#REF!,"AAAAAHr7//s=",0)</f>
        <v>#REF!</v>
      </c>
      <c r="IS379" t="e">
        <f>IF(#REF!,"AAAAAHr7//w=",0)</f>
        <v>#REF!</v>
      </c>
      <c r="IT379" t="e">
        <f>IF(#REF!,"AAAAAHr7//0=",0)</f>
        <v>#REF!</v>
      </c>
      <c r="IU379" t="e">
        <f>IF(#REF!,"AAAAAHr7//4=",0)</f>
        <v>#REF!</v>
      </c>
      <c r="IV379" t="e">
        <f>IF(#REF!,"AAAAAHr7//8=",0)</f>
        <v>#REF!</v>
      </c>
    </row>
    <row r="380" spans="1:256">
      <c r="A380" t="e">
        <f>IF(#REF!,"AAAAAD/fbgA=",0)</f>
        <v>#REF!</v>
      </c>
      <c r="B380" t="e">
        <f>IF(#REF!,"AAAAAD/fbgE=",0)</f>
        <v>#REF!</v>
      </c>
      <c r="C380" t="e">
        <f>IF(#REF!,"AAAAAD/fbgI=",0)</f>
        <v>#REF!</v>
      </c>
      <c r="D380" t="e">
        <f>IF(#REF!,"AAAAAD/fbgM=",0)</f>
        <v>#REF!</v>
      </c>
      <c r="E380" t="e">
        <f>IF(#REF!,"AAAAAD/fbgQ=",0)</f>
        <v>#REF!</v>
      </c>
      <c r="F380" t="e">
        <f>IF(#REF!,"AAAAAD/fbgU=",0)</f>
        <v>#REF!</v>
      </c>
      <c r="G380" t="e">
        <f>IF(#REF!,"AAAAAD/fbgY=",0)</f>
        <v>#REF!</v>
      </c>
      <c r="H380" t="e">
        <f>IF(#REF!,"AAAAAD/fbgc=",0)</f>
        <v>#REF!</v>
      </c>
      <c r="I380" t="e">
        <f>IF(#REF!,"AAAAAD/fbgg=",0)</f>
        <v>#REF!</v>
      </c>
      <c r="J380" t="e">
        <f>IF(#REF!,"AAAAAD/fbgk=",0)</f>
        <v>#REF!</v>
      </c>
      <c r="K380" t="e">
        <f>IF(#REF!,"AAAAAD/fbgo=",0)</f>
        <v>#REF!</v>
      </c>
      <c r="L380" t="e">
        <f>IF(#REF!,"AAAAAD/fbgs=",0)</f>
        <v>#REF!</v>
      </c>
      <c r="M380" t="e">
        <f>IF(#REF!,"AAAAAD/fbgw=",0)</f>
        <v>#REF!</v>
      </c>
      <c r="N380" t="e">
        <f>IF(#REF!,"AAAAAD/fbg0=",0)</f>
        <v>#REF!</v>
      </c>
      <c r="O380" t="e">
        <f>IF(#REF!,"AAAAAD/fbg4=",0)</f>
        <v>#REF!</v>
      </c>
      <c r="P380" t="e">
        <f>IF(#REF!,"AAAAAD/fbg8=",0)</f>
        <v>#REF!</v>
      </c>
      <c r="Q380" t="e">
        <f>IF(#REF!,"AAAAAD/fbhA=",0)</f>
        <v>#REF!</v>
      </c>
      <c r="R380" t="e">
        <f>IF(#REF!,"AAAAAD/fbhE=",0)</f>
        <v>#REF!</v>
      </c>
      <c r="S380" t="e">
        <f>IF(#REF!,"AAAAAD/fbhI=",0)</f>
        <v>#REF!</v>
      </c>
      <c r="T380" t="e">
        <f>IF(#REF!,"AAAAAD/fbhM=",0)</f>
        <v>#REF!</v>
      </c>
      <c r="U380" t="e">
        <f>IF(#REF!,"AAAAAD/fbhQ=",0)</f>
        <v>#REF!</v>
      </c>
      <c r="V380" t="e">
        <f>IF(#REF!,"AAAAAD/fbhU=",0)</f>
        <v>#REF!</v>
      </c>
      <c r="W380" t="e">
        <f>IF(#REF!,"AAAAAD/fbhY=",0)</f>
        <v>#REF!</v>
      </c>
      <c r="X380" t="e">
        <f>IF(#REF!,"AAAAAD/fbhc=",0)</f>
        <v>#REF!</v>
      </c>
      <c r="Y380" t="e">
        <f>IF(#REF!,"AAAAAD/fbhg=",0)</f>
        <v>#REF!</v>
      </c>
      <c r="Z380" t="e">
        <f>IF(#REF!,"AAAAAD/fbhk=",0)</f>
        <v>#REF!</v>
      </c>
      <c r="AA380" t="e">
        <f>IF(#REF!,"AAAAAD/fbho=",0)</f>
        <v>#REF!</v>
      </c>
      <c r="AB380" t="e">
        <f>IF(#REF!,"AAAAAD/fbhs=",0)</f>
        <v>#REF!</v>
      </c>
      <c r="AC380" t="e">
        <f>IF(#REF!,"AAAAAD/fbhw=",0)</f>
        <v>#REF!</v>
      </c>
      <c r="AD380" t="e">
        <f>IF(#REF!,"AAAAAD/fbh0=",0)</f>
        <v>#REF!</v>
      </c>
      <c r="AE380" t="e">
        <f>IF(#REF!,"AAAAAD/fbh4=",0)</f>
        <v>#REF!</v>
      </c>
      <c r="AF380" t="e">
        <f>IF(#REF!,"AAAAAD/fbh8=",0)</f>
        <v>#REF!</v>
      </c>
      <c r="AG380" t="e">
        <f>IF(#REF!,"AAAAAD/fbiA=",0)</f>
        <v>#REF!</v>
      </c>
      <c r="AH380" t="e">
        <f>IF(#REF!,"AAAAAD/fbiE=",0)</f>
        <v>#REF!</v>
      </c>
      <c r="AI380" t="e">
        <f>IF(#REF!,"AAAAAD/fbiI=",0)</f>
        <v>#REF!</v>
      </c>
      <c r="AJ380" t="e">
        <f>IF(#REF!,"AAAAAD/fbiM=",0)</f>
        <v>#REF!</v>
      </c>
      <c r="AK380" t="e">
        <f>IF(#REF!,"AAAAAD/fbiQ=",0)</f>
        <v>#REF!</v>
      </c>
      <c r="AL380" t="e">
        <f>IF(#REF!,"AAAAAD/fbiU=",0)</f>
        <v>#REF!</v>
      </c>
      <c r="AM380" t="e">
        <f>IF(#REF!,"AAAAAD/fbiY=",0)</f>
        <v>#REF!</v>
      </c>
      <c r="AN380" t="e">
        <f>IF(#REF!,"AAAAAD/fbic=",0)</f>
        <v>#REF!</v>
      </c>
      <c r="AO380" t="e">
        <f>IF(#REF!,"AAAAAD/fbig=",0)</f>
        <v>#REF!</v>
      </c>
      <c r="AP380" t="e">
        <f>IF(#REF!,"AAAAAD/fbik=",0)</f>
        <v>#REF!</v>
      </c>
      <c r="AQ380" t="e">
        <f>IF(#REF!,"AAAAAD/fbio=",0)</f>
        <v>#REF!</v>
      </c>
      <c r="AR380" t="e">
        <f>IF(#REF!,"AAAAAD/fbis=",0)</f>
        <v>#REF!</v>
      </c>
      <c r="AS380" t="e">
        <f>IF(#REF!,"AAAAAD/fbiw=",0)</f>
        <v>#REF!</v>
      </c>
      <c r="AT380" t="e">
        <f>IF(#REF!,"AAAAAD/fbi0=",0)</f>
        <v>#REF!</v>
      </c>
      <c r="AU380" t="e">
        <f>IF(#REF!,"AAAAAD/fbi4=",0)</f>
        <v>#REF!</v>
      </c>
      <c r="AV380" t="e">
        <f>IF(#REF!,"AAAAAD/fbi8=",0)</f>
        <v>#REF!</v>
      </c>
      <c r="AW380" t="e">
        <f>IF(#REF!,"AAAAAD/fbjA=",0)</f>
        <v>#REF!</v>
      </c>
      <c r="AX380" t="e">
        <f>IF(#REF!,"AAAAAD/fbjE=",0)</f>
        <v>#REF!</v>
      </c>
      <c r="AY380" t="e">
        <f>IF(#REF!,"AAAAAD/fbjI=",0)</f>
        <v>#REF!</v>
      </c>
      <c r="AZ380" t="e">
        <f>IF(#REF!,"AAAAAD/fbjM=",0)</f>
        <v>#REF!</v>
      </c>
      <c r="BA380" t="e">
        <f>IF(#REF!,"AAAAAD/fbjQ=",0)</f>
        <v>#REF!</v>
      </c>
      <c r="BB380" t="e">
        <f>IF(#REF!,"AAAAAD/fbjU=",0)</f>
        <v>#REF!</v>
      </c>
      <c r="BC380" t="e">
        <f>IF(#REF!,"AAAAAD/fbjY=",0)</f>
        <v>#REF!</v>
      </c>
      <c r="BD380" t="e">
        <f>IF(#REF!,"AAAAAD/fbjc=",0)</f>
        <v>#REF!</v>
      </c>
      <c r="BE380" t="e">
        <f>IF(#REF!,"AAAAAD/fbjg=",0)</f>
        <v>#REF!</v>
      </c>
      <c r="BF380" t="e">
        <f>IF(#REF!,"AAAAAD/fbjk=",0)</f>
        <v>#REF!</v>
      </c>
      <c r="BG380" t="e">
        <f>IF(#REF!,"AAAAAD/fbjo=",0)</f>
        <v>#REF!</v>
      </c>
      <c r="BH380" t="e">
        <f>IF(#REF!,"AAAAAD/fbjs=",0)</f>
        <v>#REF!</v>
      </c>
      <c r="BI380" t="e">
        <f>IF(#REF!,"AAAAAD/fbjw=",0)</f>
        <v>#REF!</v>
      </c>
      <c r="BJ380" t="e">
        <f>IF(#REF!,"AAAAAD/fbj0=",0)</f>
        <v>#REF!</v>
      </c>
      <c r="BK380" t="e">
        <f>IF(#REF!,"AAAAAD/fbj4=",0)</f>
        <v>#REF!</v>
      </c>
      <c r="BL380" t="e">
        <f>IF(#REF!,"AAAAAD/fbj8=",0)</f>
        <v>#REF!</v>
      </c>
      <c r="BM380" t="e">
        <f>IF(#REF!,"AAAAAD/fbkA=",0)</f>
        <v>#REF!</v>
      </c>
      <c r="BN380" t="e">
        <f>IF(#REF!,"AAAAAD/fbkE=",0)</f>
        <v>#REF!</v>
      </c>
      <c r="BO380" t="e">
        <f>IF(#REF!,"AAAAAD/fbkI=",0)</f>
        <v>#REF!</v>
      </c>
      <c r="BP380" t="e">
        <f>IF(#REF!,"AAAAAD/fbkM=",0)</f>
        <v>#REF!</v>
      </c>
      <c r="BQ380" t="e">
        <f>IF(#REF!,"AAAAAD/fbkQ=",0)</f>
        <v>#REF!</v>
      </c>
      <c r="BR380" t="e">
        <f>IF(#REF!,"AAAAAD/fbkU=",0)</f>
        <v>#REF!</v>
      </c>
      <c r="BS380" t="e">
        <f>IF(#REF!,"AAAAAD/fbkY=",0)</f>
        <v>#REF!</v>
      </c>
      <c r="BT380" t="e">
        <f>IF(#REF!,"AAAAAD/fbkc=",0)</f>
        <v>#REF!</v>
      </c>
      <c r="BU380" t="e">
        <f>IF(#REF!,"AAAAAD/fbkg=",0)</f>
        <v>#REF!</v>
      </c>
      <c r="BV380" t="e">
        <f>IF(#REF!,"AAAAAD/fbkk=",0)</f>
        <v>#REF!</v>
      </c>
      <c r="BW380" t="e">
        <f>IF(#REF!,"AAAAAD/fbko=",0)</f>
        <v>#REF!</v>
      </c>
      <c r="BX380" t="e">
        <f>IF(#REF!,"AAAAAD/fbks=",0)</f>
        <v>#REF!</v>
      </c>
      <c r="BY380" t="e">
        <f>IF(#REF!,"AAAAAD/fbkw=",0)</f>
        <v>#REF!</v>
      </c>
      <c r="BZ380" t="e">
        <f>IF(#REF!,"AAAAAD/fbk0=",0)</f>
        <v>#REF!</v>
      </c>
      <c r="CA380" t="e">
        <f>IF(#REF!,"AAAAAD/fbk4=",0)</f>
        <v>#REF!</v>
      </c>
      <c r="CB380" t="e">
        <f>IF(#REF!,"AAAAAD/fbk8=",0)</f>
        <v>#REF!</v>
      </c>
      <c r="CC380" t="e">
        <f>IF(#REF!,"AAAAAD/fblA=",0)</f>
        <v>#REF!</v>
      </c>
      <c r="CD380" t="e">
        <f>IF(#REF!,"AAAAAD/fblE=",0)</f>
        <v>#REF!</v>
      </c>
      <c r="CE380" t="e">
        <f>IF(#REF!,"AAAAAD/fblI=",0)</f>
        <v>#REF!</v>
      </c>
      <c r="CF380" t="e">
        <f>IF(#REF!,"AAAAAD/fblM=",0)</f>
        <v>#REF!</v>
      </c>
      <c r="CG380" t="e">
        <f>IF(#REF!,"AAAAAD/fblQ=",0)</f>
        <v>#REF!</v>
      </c>
      <c r="CH380" t="e">
        <f>IF(#REF!,"AAAAAD/fblU=",0)</f>
        <v>#REF!</v>
      </c>
      <c r="CI380" t="e">
        <f>IF(#REF!,"AAAAAD/fblY=",0)</f>
        <v>#REF!</v>
      </c>
      <c r="CJ380" t="e">
        <f>IF(#REF!,"AAAAAD/fblc=",0)</f>
        <v>#REF!</v>
      </c>
      <c r="CK380" t="e">
        <f>IF(#REF!,"AAAAAD/fblg=",0)</f>
        <v>#REF!</v>
      </c>
      <c r="CL380" t="e">
        <f>IF(#REF!,"AAAAAD/fblk=",0)</f>
        <v>#REF!</v>
      </c>
      <c r="CM380" t="e">
        <f>IF(#REF!,"AAAAAD/fblo=",0)</f>
        <v>#REF!</v>
      </c>
      <c r="CN380" t="e">
        <f>IF(#REF!,"AAAAAD/fbls=",0)</f>
        <v>#REF!</v>
      </c>
      <c r="CO380" t="e">
        <f>IF(#REF!,"AAAAAD/fblw=",0)</f>
        <v>#REF!</v>
      </c>
      <c r="CP380" t="e">
        <f>IF(#REF!,"AAAAAD/fbl0=",0)</f>
        <v>#REF!</v>
      </c>
      <c r="CQ380" t="e">
        <f>IF(#REF!,"AAAAAD/fbl4=",0)</f>
        <v>#REF!</v>
      </c>
      <c r="CR380" t="e">
        <f>IF(#REF!,"AAAAAD/fbl8=",0)</f>
        <v>#REF!</v>
      </c>
      <c r="CS380" t="e">
        <f>IF(#REF!,"AAAAAD/fbmA=",0)</f>
        <v>#REF!</v>
      </c>
      <c r="CT380" t="e">
        <f>IF(#REF!,"AAAAAD/fbmE=",0)</f>
        <v>#REF!</v>
      </c>
      <c r="CU380" t="e">
        <f>IF(#REF!,"AAAAAD/fbmI=",0)</f>
        <v>#REF!</v>
      </c>
      <c r="CV380" t="e">
        <f>IF(#REF!,"AAAAAD/fbmM=",0)</f>
        <v>#REF!</v>
      </c>
      <c r="CW380" t="e">
        <f>IF(#REF!,"AAAAAD/fbmQ=",0)</f>
        <v>#REF!</v>
      </c>
      <c r="CX380" t="e">
        <f>IF(#REF!,"AAAAAD/fbmU=",0)</f>
        <v>#REF!</v>
      </c>
      <c r="CY380" t="e">
        <f>IF(#REF!,"AAAAAD/fbmY=",0)</f>
        <v>#REF!</v>
      </c>
      <c r="CZ380" t="e">
        <f>IF(#REF!,"AAAAAD/fbmc=",0)</f>
        <v>#REF!</v>
      </c>
      <c r="DA380" t="e">
        <f>IF(#REF!,"AAAAAD/fbmg=",0)</f>
        <v>#REF!</v>
      </c>
      <c r="DB380" t="e">
        <f>IF(#REF!,"AAAAAD/fbmk=",0)</f>
        <v>#REF!</v>
      </c>
      <c r="DC380" t="e">
        <f>IF(#REF!,"AAAAAD/fbmo=",0)</f>
        <v>#REF!</v>
      </c>
      <c r="DD380" t="e">
        <f>IF(#REF!,"AAAAAD/fbms=",0)</f>
        <v>#REF!</v>
      </c>
      <c r="DE380" t="e">
        <f>IF(#REF!,"AAAAAD/fbmw=",0)</f>
        <v>#REF!</v>
      </c>
      <c r="DF380" t="e">
        <f>IF(#REF!,"AAAAAD/fbm0=",0)</f>
        <v>#REF!</v>
      </c>
      <c r="DG380" t="e">
        <f>IF(#REF!,"AAAAAD/fbm4=",0)</f>
        <v>#REF!</v>
      </c>
      <c r="DH380" t="e">
        <f>IF(#REF!,"AAAAAD/fbm8=",0)</f>
        <v>#REF!</v>
      </c>
      <c r="DI380" t="e">
        <f>IF(#REF!,"AAAAAD/fbnA=",0)</f>
        <v>#REF!</v>
      </c>
      <c r="DJ380" t="e">
        <f>IF(#REF!,"AAAAAD/fbnE=",0)</f>
        <v>#REF!</v>
      </c>
      <c r="DK380" t="e">
        <f>IF(#REF!,"AAAAAD/fbnI=",0)</f>
        <v>#REF!</v>
      </c>
      <c r="DL380" t="e">
        <f>IF(#REF!,"AAAAAD/fbnM=",0)</f>
        <v>#REF!</v>
      </c>
      <c r="DM380" t="e">
        <f>IF(#REF!,"AAAAAD/fbnQ=",0)</f>
        <v>#REF!</v>
      </c>
      <c r="DN380" t="e">
        <f>IF(#REF!,"AAAAAD/fbnU=",0)</f>
        <v>#REF!</v>
      </c>
      <c r="DO380" t="e">
        <f>IF(#REF!,"AAAAAD/fbnY=",0)</f>
        <v>#REF!</v>
      </c>
      <c r="DP380" t="e">
        <f>IF(#REF!,"AAAAAD/fbnc=",0)</f>
        <v>#REF!</v>
      </c>
      <c r="DQ380" t="e">
        <f>IF(#REF!,"AAAAAD/fbng=",0)</f>
        <v>#REF!</v>
      </c>
      <c r="DR380" t="e">
        <f>IF(#REF!,"AAAAAD/fbnk=",0)</f>
        <v>#REF!</v>
      </c>
      <c r="DS380" t="e">
        <f>IF(#REF!,"AAAAAD/fbno=",0)</f>
        <v>#REF!</v>
      </c>
      <c r="DT380" t="e">
        <f>IF(#REF!,"AAAAAD/fbns=",0)</f>
        <v>#REF!</v>
      </c>
      <c r="DU380" t="e">
        <f>IF(#REF!,"AAAAAD/fbnw=",0)</f>
        <v>#REF!</v>
      </c>
      <c r="DV380" t="e">
        <f>IF(#REF!,"AAAAAD/fbn0=",0)</f>
        <v>#REF!</v>
      </c>
      <c r="DW380" t="e">
        <f>IF(#REF!,"AAAAAD/fbn4=",0)</f>
        <v>#REF!</v>
      </c>
      <c r="DX380" t="e">
        <f>IF(#REF!,"AAAAAD/fbn8=",0)</f>
        <v>#REF!</v>
      </c>
      <c r="DY380" t="e">
        <f>IF(#REF!,"AAAAAD/fboA=",0)</f>
        <v>#REF!</v>
      </c>
      <c r="DZ380" t="e">
        <f>IF(#REF!,"AAAAAD/fboE=",0)</f>
        <v>#REF!</v>
      </c>
      <c r="EA380" t="e">
        <f>IF(#REF!,"AAAAAD/fboI=",0)</f>
        <v>#REF!</v>
      </c>
      <c r="EB380" t="e">
        <f>IF(#REF!,"AAAAAD/fboM=",0)</f>
        <v>#REF!</v>
      </c>
      <c r="EC380" t="e">
        <f>IF(#REF!,"AAAAAD/fboQ=",0)</f>
        <v>#REF!</v>
      </c>
      <c r="ED380" t="e">
        <f>IF(#REF!,"AAAAAD/fboU=",0)</f>
        <v>#REF!</v>
      </c>
      <c r="EE380" t="e">
        <f>IF(#REF!,"AAAAAD/fboY=",0)</f>
        <v>#REF!</v>
      </c>
      <c r="EF380" t="e">
        <f>IF(#REF!,"AAAAAD/fboc=",0)</f>
        <v>#REF!</v>
      </c>
      <c r="EG380" t="e">
        <f>IF(#REF!,"AAAAAD/fbog=",0)</f>
        <v>#REF!</v>
      </c>
      <c r="EH380" t="e">
        <f>IF(#REF!,"AAAAAD/fbok=",0)</f>
        <v>#REF!</v>
      </c>
      <c r="EI380" t="e">
        <f>IF(#REF!,"AAAAAD/fboo=",0)</f>
        <v>#REF!</v>
      </c>
      <c r="EJ380" t="e">
        <f>IF(#REF!,"AAAAAD/fbos=",0)</f>
        <v>#REF!</v>
      </c>
      <c r="EK380" t="e">
        <f>IF(#REF!,"AAAAAD/fbow=",0)</f>
        <v>#REF!</v>
      </c>
      <c r="EL380" t="e">
        <f>IF(#REF!,"AAAAAD/fbo0=",0)</f>
        <v>#REF!</v>
      </c>
      <c r="EM380" t="e">
        <f>IF(#REF!,"AAAAAD/fbo4=",0)</f>
        <v>#REF!</v>
      </c>
      <c r="EN380" t="e">
        <f>IF(#REF!,"AAAAAD/fbo8=",0)</f>
        <v>#REF!</v>
      </c>
      <c r="EO380" t="e">
        <f>IF(#REF!,"AAAAAD/fbpA=",0)</f>
        <v>#REF!</v>
      </c>
      <c r="EP380" t="e">
        <f>IF(#REF!,"AAAAAD/fbpE=",0)</f>
        <v>#REF!</v>
      </c>
      <c r="EQ380" t="e">
        <f>IF(#REF!,"AAAAAD/fbpI=",0)</f>
        <v>#REF!</v>
      </c>
      <c r="ER380" t="e">
        <f>IF(#REF!,"AAAAAD/fbpM=",0)</f>
        <v>#REF!</v>
      </c>
      <c r="ES380" t="e">
        <f>IF(#REF!,"AAAAAD/fbpQ=",0)</f>
        <v>#REF!</v>
      </c>
      <c r="ET380" t="e">
        <f>IF(#REF!,"AAAAAD/fbpU=",0)</f>
        <v>#REF!</v>
      </c>
      <c r="EU380" t="e">
        <f>IF(#REF!,"AAAAAD/fbpY=",0)</f>
        <v>#REF!</v>
      </c>
      <c r="EV380" t="e">
        <f>IF(#REF!,"AAAAAD/fbpc=",0)</f>
        <v>#REF!</v>
      </c>
      <c r="EW380" t="e">
        <f>IF(#REF!,"AAAAAD/fbpg=",0)</f>
        <v>#REF!</v>
      </c>
      <c r="EX380" t="e">
        <f>IF(#REF!,"AAAAAD/fbpk=",0)</f>
        <v>#REF!</v>
      </c>
      <c r="EY380" t="e">
        <f>IF(#REF!,"AAAAAD/fbpo=",0)</f>
        <v>#REF!</v>
      </c>
      <c r="EZ380" t="e">
        <f>IF(#REF!,"AAAAAD/fbps=",0)</f>
        <v>#REF!</v>
      </c>
      <c r="FA380" t="e">
        <f>IF(#REF!,"AAAAAD/fbpw=",0)</f>
        <v>#REF!</v>
      </c>
      <c r="FB380" t="e">
        <f>IF(#REF!,"AAAAAD/fbp0=",0)</f>
        <v>#REF!</v>
      </c>
      <c r="FC380" t="e">
        <f>IF(#REF!,"AAAAAD/fbp4=",0)</f>
        <v>#REF!</v>
      </c>
      <c r="FD380" t="e">
        <f>IF(#REF!,"AAAAAD/fbp8=",0)</f>
        <v>#REF!</v>
      </c>
      <c r="FE380" t="e">
        <f>IF(#REF!,"AAAAAD/fbqA=",0)</f>
        <v>#REF!</v>
      </c>
      <c r="FF380" t="e">
        <f>IF(#REF!,"AAAAAD/fbqE=",0)</f>
        <v>#REF!</v>
      </c>
      <c r="FG380" t="e">
        <f>IF(#REF!,"AAAAAD/fbqI=",0)</f>
        <v>#REF!</v>
      </c>
      <c r="FH380" t="e">
        <f>IF(#REF!,"AAAAAD/fbqM=",0)</f>
        <v>#REF!</v>
      </c>
      <c r="FI380" t="e">
        <f>IF(#REF!,"AAAAAD/fbqQ=",0)</f>
        <v>#REF!</v>
      </c>
      <c r="FJ380" t="e">
        <f>IF(#REF!,"AAAAAD/fbqU=",0)</f>
        <v>#REF!</v>
      </c>
      <c r="FK380" t="e">
        <f>IF(#REF!,"AAAAAD/fbqY=",0)</f>
        <v>#REF!</v>
      </c>
      <c r="FL380" t="e">
        <f>IF(#REF!,"AAAAAD/fbqc=",0)</f>
        <v>#REF!</v>
      </c>
      <c r="FM380" t="e">
        <f>IF(#REF!,"AAAAAD/fbqg=",0)</f>
        <v>#REF!</v>
      </c>
      <c r="FN380" t="e">
        <f>IF(#REF!,"AAAAAD/fbqk=",0)</f>
        <v>#REF!</v>
      </c>
      <c r="FO380" t="e">
        <f>IF(#REF!,"AAAAAD/fbqo=",0)</f>
        <v>#REF!</v>
      </c>
      <c r="FP380" t="e">
        <f>IF(#REF!,"AAAAAD/fbqs=",0)</f>
        <v>#REF!</v>
      </c>
      <c r="FQ380" t="e">
        <f>IF(#REF!,"AAAAAD/fbqw=",0)</f>
        <v>#REF!</v>
      </c>
      <c r="FR380" t="e">
        <f>IF(#REF!,"AAAAAD/fbq0=",0)</f>
        <v>#REF!</v>
      </c>
      <c r="FS380" t="e">
        <f>IF(#REF!,"AAAAAD/fbq4=",0)</f>
        <v>#REF!</v>
      </c>
      <c r="FT380" t="e">
        <f>IF(#REF!,"AAAAAD/fbq8=",0)</f>
        <v>#REF!</v>
      </c>
      <c r="FU380" t="e">
        <f>IF(#REF!,"AAAAAD/fbrA=",0)</f>
        <v>#REF!</v>
      </c>
      <c r="FV380" t="e">
        <f>IF(#REF!,"AAAAAD/fbrE=",0)</f>
        <v>#REF!</v>
      </c>
      <c r="FW380" t="e">
        <f>IF(#REF!,"AAAAAD/fbrI=",0)</f>
        <v>#REF!</v>
      </c>
      <c r="FX380" t="e">
        <f>IF(#REF!,"AAAAAD/fbrM=",0)</f>
        <v>#REF!</v>
      </c>
      <c r="FY380" t="e">
        <f>IF(#REF!,"AAAAAD/fbrQ=",0)</f>
        <v>#REF!</v>
      </c>
      <c r="FZ380" t="e">
        <f>IF(#REF!,"AAAAAD/fbrU=",0)</f>
        <v>#REF!</v>
      </c>
      <c r="GA380" t="e">
        <f>IF(#REF!,"AAAAAD/fbrY=",0)</f>
        <v>#REF!</v>
      </c>
      <c r="GB380" t="e">
        <f>IF(#REF!,"AAAAAD/fbrc=",0)</f>
        <v>#REF!</v>
      </c>
      <c r="GC380" t="e">
        <f>IF(#REF!,"AAAAAD/fbrg=",0)</f>
        <v>#REF!</v>
      </c>
      <c r="GD380" t="e">
        <f>IF(#REF!,"AAAAAD/fbrk=",0)</f>
        <v>#REF!</v>
      </c>
      <c r="GE380" t="e">
        <f>IF(#REF!,"AAAAAD/fbro=",0)</f>
        <v>#REF!</v>
      </c>
      <c r="GF380" t="e">
        <f>IF(#REF!,"AAAAAD/fbrs=",0)</f>
        <v>#REF!</v>
      </c>
      <c r="GG380" t="e">
        <f>IF(#REF!,"AAAAAD/fbrw=",0)</f>
        <v>#REF!</v>
      </c>
      <c r="GH380" t="e">
        <f>IF(#REF!,"AAAAAD/fbr0=",0)</f>
        <v>#REF!</v>
      </c>
      <c r="GI380" t="e">
        <f>IF(#REF!,"AAAAAD/fbr4=",0)</f>
        <v>#REF!</v>
      </c>
      <c r="GJ380" t="e">
        <f>IF(#REF!,"AAAAAD/fbr8=",0)</f>
        <v>#REF!</v>
      </c>
      <c r="GK380" t="e">
        <f>IF(#REF!,"AAAAAD/fbsA=",0)</f>
        <v>#REF!</v>
      </c>
      <c r="GL380" t="e">
        <f>IF(#REF!,"AAAAAD/fbsE=",0)</f>
        <v>#REF!</v>
      </c>
      <c r="GM380" t="e">
        <f>IF(#REF!,"AAAAAD/fbsI=",0)</f>
        <v>#REF!</v>
      </c>
      <c r="GN380" t="e">
        <f>IF(#REF!,"AAAAAD/fbsM=",0)</f>
        <v>#REF!</v>
      </c>
      <c r="GO380" t="e">
        <f>IF(#REF!,"AAAAAD/fbsQ=",0)</f>
        <v>#REF!</v>
      </c>
      <c r="GP380" t="e">
        <f>IF(#REF!,"AAAAAD/fbsU=",0)</f>
        <v>#REF!</v>
      </c>
      <c r="GQ380" t="e">
        <f>IF(#REF!,"AAAAAD/fbsY=",0)</f>
        <v>#REF!</v>
      </c>
      <c r="GR380" t="e">
        <f>IF(#REF!,"AAAAAD/fbsc=",0)</f>
        <v>#REF!</v>
      </c>
      <c r="GS380" t="e">
        <f>IF(#REF!,"AAAAAD/fbsg=",0)</f>
        <v>#REF!</v>
      </c>
      <c r="GT380" t="e">
        <f>IF(#REF!,"AAAAAD/fbsk=",0)</f>
        <v>#REF!</v>
      </c>
      <c r="GU380" t="e">
        <f>IF(#REF!,"AAAAAD/fbso=",0)</f>
        <v>#REF!</v>
      </c>
      <c r="GV380" t="e">
        <f>IF(#REF!,"AAAAAD/fbss=",0)</f>
        <v>#REF!</v>
      </c>
      <c r="GW380" t="e">
        <f>IF(#REF!,"AAAAAD/fbsw=",0)</f>
        <v>#REF!</v>
      </c>
      <c r="GX380" t="e">
        <f>IF(#REF!,"AAAAAD/fbs0=",0)</f>
        <v>#REF!</v>
      </c>
      <c r="GY380" t="e">
        <f>IF(#REF!,"AAAAAD/fbs4=",0)</f>
        <v>#REF!</v>
      </c>
      <c r="GZ380" t="e">
        <f>IF(#REF!,"AAAAAD/fbs8=",0)</f>
        <v>#REF!</v>
      </c>
      <c r="HA380" t="e">
        <f>IF(#REF!,"AAAAAD/fbtA=",0)</f>
        <v>#REF!</v>
      </c>
      <c r="HB380" t="e">
        <f>IF(#REF!,"AAAAAD/fbtE=",0)</f>
        <v>#REF!</v>
      </c>
      <c r="HC380" t="e">
        <f>IF(#REF!,"AAAAAD/fbtI=",0)</f>
        <v>#REF!</v>
      </c>
      <c r="HD380" t="e">
        <f>IF(#REF!,"AAAAAD/fbtM=",0)</f>
        <v>#REF!</v>
      </c>
      <c r="HE380" t="e">
        <f>IF(#REF!,"AAAAAD/fbtQ=",0)</f>
        <v>#REF!</v>
      </c>
      <c r="HF380" t="e">
        <f>IF(#REF!,"AAAAAD/fbtU=",0)</f>
        <v>#REF!</v>
      </c>
      <c r="HG380" t="e">
        <f>IF(#REF!,"AAAAAD/fbtY=",0)</f>
        <v>#REF!</v>
      </c>
      <c r="HH380" t="e">
        <f>IF(#REF!,"AAAAAD/fbtc=",0)</f>
        <v>#REF!</v>
      </c>
      <c r="HI380" t="e">
        <f>IF(#REF!,"AAAAAD/fbtg=",0)</f>
        <v>#REF!</v>
      </c>
      <c r="HJ380" t="e">
        <f>IF(#REF!,"AAAAAD/fbtk=",0)</f>
        <v>#REF!</v>
      </c>
      <c r="HK380" t="e">
        <f>IF(#REF!,"AAAAAD/fbto=",0)</f>
        <v>#REF!</v>
      </c>
      <c r="HL380" t="e">
        <f>IF(#REF!,"AAAAAD/fbts=",0)</f>
        <v>#REF!</v>
      </c>
      <c r="HM380" t="e">
        <f>IF(#REF!,"AAAAAD/fbtw=",0)</f>
        <v>#REF!</v>
      </c>
      <c r="HN380" t="e">
        <f>IF(#REF!,"AAAAAD/fbt0=",0)</f>
        <v>#REF!</v>
      </c>
      <c r="HO380" t="e">
        <f>IF(#REF!,"AAAAAD/fbt4=",0)</f>
        <v>#REF!</v>
      </c>
      <c r="HP380" t="e">
        <f>IF(#REF!,"AAAAAD/fbt8=",0)</f>
        <v>#REF!</v>
      </c>
      <c r="HQ380" t="e">
        <f>IF(#REF!,"AAAAAD/fbuA=",0)</f>
        <v>#REF!</v>
      </c>
      <c r="HR380" t="e">
        <f>IF(#REF!,"AAAAAD/fbuE=",0)</f>
        <v>#REF!</v>
      </c>
      <c r="HS380" t="e">
        <f>IF(#REF!,"AAAAAD/fbuI=",0)</f>
        <v>#REF!</v>
      </c>
      <c r="HT380" t="e">
        <f>IF(#REF!,"AAAAAD/fbuM=",0)</f>
        <v>#REF!</v>
      </c>
      <c r="HU380" t="e">
        <f>IF(#REF!,"AAAAAD/fbuQ=",0)</f>
        <v>#REF!</v>
      </c>
      <c r="HV380" t="e">
        <f>IF(#REF!,"AAAAAD/fbuU=",0)</f>
        <v>#REF!</v>
      </c>
      <c r="HW380" t="e">
        <f>IF(#REF!,"AAAAAD/fbuY=",0)</f>
        <v>#REF!</v>
      </c>
      <c r="HX380" t="e">
        <f>IF(#REF!,"AAAAAD/fbuc=",0)</f>
        <v>#REF!</v>
      </c>
      <c r="HY380" t="e">
        <f>IF(#REF!,"AAAAAD/fbug=",0)</f>
        <v>#REF!</v>
      </c>
      <c r="HZ380" t="e">
        <f>IF(#REF!,"AAAAAD/fbuk=",0)</f>
        <v>#REF!</v>
      </c>
      <c r="IA380" t="e">
        <f>IF(#REF!,"AAAAAD/fbuo=",0)</f>
        <v>#REF!</v>
      </c>
      <c r="IB380" t="e">
        <f>IF(#REF!,"AAAAAD/fbus=",0)</f>
        <v>#REF!</v>
      </c>
      <c r="IC380" t="e">
        <f>IF(#REF!,"AAAAAD/fbuw=",0)</f>
        <v>#REF!</v>
      </c>
      <c r="ID380" t="e">
        <f>IF(#REF!,"AAAAAD/fbu0=",0)</f>
        <v>#REF!</v>
      </c>
      <c r="IE380" t="e">
        <f>IF(#REF!,"AAAAAD/fbu4=",0)</f>
        <v>#REF!</v>
      </c>
      <c r="IF380" t="e">
        <f>IF(#REF!,"AAAAAD/fbu8=",0)</f>
        <v>#REF!</v>
      </c>
      <c r="IG380" t="e">
        <f>IF(#REF!,"AAAAAD/fbvA=",0)</f>
        <v>#REF!</v>
      </c>
      <c r="IH380" t="e">
        <f>IF(#REF!,"AAAAAD/fbvE=",0)</f>
        <v>#REF!</v>
      </c>
      <c r="II380" t="e">
        <f>IF(#REF!,"AAAAAD/fbvI=",0)</f>
        <v>#REF!</v>
      </c>
      <c r="IJ380" t="e">
        <f>IF(#REF!,"AAAAAD/fbvM=",0)</f>
        <v>#REF!</v>
      </c>
      <c r="IK380" t="e">
        <f>IF(#REF!,"AAAAAD/fbvQ=",0)</f>
        <v>#REF!</v>
      </c>
      <c r="IL380" t="e">
        <f>IF(#REF!,"AAAAAD/fbvU=",0)</f>
        <v>#REF!</v>
      </c>
      <c r="IM380" t="e">
        <f>IF(#REF!,"AAAAAD/fbvY=",0)</f>
        <v>#REF!</v>
      </c>
      <c r="IN380" t="e">
        <f>IF(#REF!,"AAAAAD/fbvc=",0)</f>
        <v>#REF!</v>
      </c>
      <c r="IO380" t="e">
        <f>IF(#REF!,"AAAAAD/fbvg=",0)</f>
        <v>#REF!</v>
      </c>
      <c r="IP380" t="e">
        <f>IF(#REF!,"AAAAAD/fbvk=",0)</f>
        <v>#REF!</v>
      </c>
      <c r="IQ380" t="e">
        <f>IF(#REF!,"AAAAAD/fbvo=",0)</f>
        <v>#REF!</v>
      </c>
      <c r="IR380" t="e">
        <f>IF(#REF!,"AAAAAD/fbvs=",0)</f>
        <v>#REF!</v>
      </c>
      <c r="IS380" t="e">
        <f>IF(#REF!,"AAAAAD/fbvw=",0)</f>
        <v>#REF!</v>
      </c>
      <c r="IT380" t="e">
        <f>IF(#REF!,"AAAAAD/fbv0=",0)</f>
        <v>#REF!</v>
      </c>
      <c r="IU380" t="e">
        <f>IF(#REF!,"AAAAAD/fbv4=",0)</f>
        <v>#REF!</v>
      </c>
      <c r="IV380" t="e">
        <f>IF(#REF!,"AAAAAD/fbv8=",0)</f>
        <v>#REF!</v>
      </c>
    </row>
    <row r="381" spans="1:256">
      <c r="A381" t="e">
        <f>IF(#REF!,"AAAAAD/x7AA=",0)</f>
        <v>#REF!</v>
      </c>
      <c r="B381" t="e">
        <f>IF(#REF!,"AAAAAD/x7AE=",0)</f>
        <v>#REF!</v>
      </c>
      <c r="C381" t="e">
        <f>IF(#REF!,"AAAAAD/x7AI=",0)</f>
        <v>#REF!</v>
      </c>
      <c r="D381" t="e">
        <f>IF(#REF!,"AAAAAD/x7AM=",0)</f>
        <v>#REF!</v>
      </c>
      <c r="E381" t="e">
        <f>IF(#REF!,"AAAAAD/x7AQ=",0)</f>
        <v>#REF!</v>
      </c>
      <c r="F381" t="e">
        <f>IF(#REF!,"AAAAAD/x7AU=",0)</f>
        <v>#REF!</v>
      </c>
      <c r="G381" t="e">
        <f>IF(#REF!,"AAAAAD/x7AY=",0)</f>
        <v>#REF!</v>
      </c>
      <c r="H381" t="e">
        <f>IF(#REF!,"AAAAAD/x7Ac=",0)</f>
        <v>#REF!</v>
      </c>
      <c r="I381" t="e">
        <f>IF(#REF!,"AAAAAD/x7Ag=",0)</f>
        <v>#REF!</v>
      </c>
      <c r="J381" t="e">
        <f>IF(#REF!,"AAAAAD/x7Ak=",0)</f>
        <v>#REF!</v>
      </c>
      <c r="K381" t="e">
        <f>IF(#REF!,"AAAAAD/x7Ao=",0)</f>
        <v>#REF!</v>
      </c>
      <c r="L381" t="e">
        <f>IF(#REF!,"AAAAAD/x7As=",0)</f>
        <v>#REF!</v>
      </c>
      <c r="M381" t="e">
        <f>IF(#REF!,"AAAAAD/x7Aw=",0)</f>
        <v>#REF!</v>
      </c>
      <c r="N381" t="e">
        <f>IF(#REF!,"AAAAAD/x7A0=",0)</f>
        <v>#REF!</v>
      </c>
      <c r="O381" t="e">
        <f>IF(#REF!,"AAAAAD/x7A4=",0)</f>
        <v>#REF!</v>
      </c>
      <c r="P381" t="e">
        <f>IF(#REF!,"AAAAAD/x7A8=",0)</f>
        <v>#REF!</v>
      </c>
      <c r="Q381" t="e">
        <f>IF(#REF!,"AAAAAD/x7BA=",0)</f>
        <v>#REF!</v>
      </c>
      <c r="R381" t="e">
        <f>IF(#REF!,"AAAAAD/x7BE=",0)</f>
        <v>#REF!</v>
      </c>
      <c r="S381" t="e">
        <f>IF(#REF!,"AAAAAD/x7BI=",0)</f>
        <v>#REF!</v>
      </c>
      <c r="T381" t="e">
        <f>IF(#REF!,"AAAAAD/x7BM=",0)</f>
        <v>#REF!</v>
      </c>
      <c r="U381" t="e">
        <f>IF(#REF!,"AAAAAD/x7BQ=",0)</f>
        <v>#REF!</v>
      </c>
      <c r="V381" t="e">
        <f>IF(#REF!,"AAAAAD/x7BU=",0)</f>
        <v>#REF!</v>
      </c>
      <c r="W381" t="e">
        <f>IF(#REF!,"AAAAAD/x7BY=",0)</f>
        <v>#REF!</v>
      </c>
      <c r="X381" t="e">
        <f>IF(#REF!,"AAAAAD/x7Bc=",0)</f>
        <v>#REF!</v>
      </c>
      <c r="Y381" t="e">
        <f>IF(#REF!,"AAAAAD/x7Bg=",0)</f>
        <v>#REF!</v>
      </c>
      <c r="Z381" t="e">
        <f>IF(#REF!,"AAAAAD/x7Bk=",0)</f>
        <v>#REF!</v>
      </c>
      <c r="AA381" t="e">
        <f>IF(#REF!,"AAAAAD/x7Bo=",0)</f>
        <v>#REF!</v>
      </c>
      <c r="AB381" t="e">
        <f>IF(#REF!,"AAAAAD/x7Bs=",0)</f>
        <v>#REF!</v>
      </c>
      <c r="AC381" t="e">
        <f>IF(#REF!,"AAAAAD/x7Bw=",0)</f>
        <v>#REF!</v>
      </c>
      <c r="AD381" t="e">
        <f>IF(#REF!,"AAAAAD/x7B0=",0)</f>
        <v>#REF!</v>
      </c>
      <c r="AE381" t="e">
        <f>IF(#REF!,"AAAAAD/x7B4=",0)</f>
        <v>#REF!</v>
      </c>
      <c r="AF381" t="e">
        <f>IF(#REF!,"AAAAAD/x7B8=",0)</f>
        <v>#REF!</v>
      </c>
      <c r="AG381" t="e">
        <f>IF(#REF!,"AAAAAD/x7CA=",0)</f>
        <v>#REF!</v>
      </c>
      <c r="AH381" t="e">
        <f>IF(#REF!,"AAAAAD/x7CE=",0)</f>
        <v>#REF!</v>
      </c>
      <c r="AI381" t="e">
        <f>IF(#REF!,"AAAAAD/x7CI=",0)</f>
        <v>#REF!</v>
      </c>
      <c r="AJ381" t="e">
        <f>IF(#REF!,"AAAAAD/x7CM=",0)</f>
        <v>#REF!</v>
      </c>
      <c r="AK381" t="e">
        <f>IF(#REF!,"AAAAAD/x7CQ=",0)</f>
        <v>#REF!</v>
      </c>
      <c r="AL381" t="e">
        <f>IF(#REF!,"AAAAAD/x7CU=",0)</f>
        <v>#REF!</v>
      </c>
      <c r="AM381" t="e">
        <f>IF(#REF!,"AAAAAD/x7CY=",0)</f>
        <v>#REF!</v>
      </c>
      <c r="AN381" t="e">
        <f>IF(#REF!,"AAAAAD/x7Cc=",0)</f>
        <v>#REF!</v>
      </c>
      <c r="AO381" t="e">
        <f>IF(#REF!,"AAAAAD/x7Cg=",0)</f>
        <v>#REF!</v>
      </c>
      <c r="AP381" t="e">
        <f>IF(#REF!,"AAAAAD/x7Ck=",0)</f>
        <v>#REF!</v>
      </c>
      <c r="AQ381" t="e">
        <f>IF(#REF!,"AAAAAD/x7Co=",0)</f>
        <v>#REF!</v>
      </c>
      <c r="AR381" t="e">
        <f>IF(#REF!,"AAAAAD/x7Cs=",0)</f>
        <v>#REF!</v>
      </c>
      <c r="AS381" t="e">
        <f>IF(#REF!,"AAAAAD/x7Cw=",0)</f>
        <v>#REF!</v>
      </c>
      <c r="AT381" t="e">
        <f>IF(#REF!,"AAAAAD/x7C0=",0)</f>
        <v>#REF!</v>
      </c>
      <c r="AU381" t="e">
        <f>IF(#REF!,"AAAAAD/x7C4=",0)</f>
        <v>#REF!</v>
      </c>
      <c r="AV381" t="e">
        <f>IF(#REF!,"AAAAAD/x7C8=",0)</f>
        <v>#REF!</v>
      </c>
      <c r="AW381" t="e">
        <f>IF(#REF!,"AAAAAD/x7DA=",0)</f>
        <v>#REF!</v>
      </c>
      <c r="AX381" t="e">
        <f>IF(#REF!,"AAAAAD/x7DE=",0)</f>
        <v>#REF!</v>
      </c>
      <c r="AY381" t="e">
        <f>IF(#REF!,"AAAAAD/x7DI=",0)</f>
        <v>#REF!</v>
      </c>
      <c r="AZ381" t="e">
        <f>IF(#REF!,"AAAAAD/x7DM=",0)</f>
        <v>#REF!</v>
      </c>
      <c r="BA381" t="e">
        <f>IF(#REF!,"AAAAAD/x7DQ=",0)</f>
        <v>#REF!</v>
      </c>
      <c r="BB381" t="e">
        <f>IF(#REF!,"AAAAAD/x7DU=",0)</f>
        <v>#REF!</v>
      </c>
      <c r="BC381" t="e">
        <f>IF(#REF!,"AAAAAD/x7DY=",0)</f>
        <v>#REF!</v>
      </c>
      <c r="BD381" t="e">
        <f>IF(#REF!,"AAAAAD/x7Dc=",0)</f>
        <v>#REF!</v>
      </c>
      <c r="BE381" t="e">
        <f>IF(#REF!,"AAAAAD/x7Dg=",0)</f>
        <v>#REF!</v>
      </c>
      <c r="BF381" t="e">
        <f>IF(#REF!,"AAAAAD/x7Dk=",0)</f>
        <v>#REF!</v>
      </c>
      <c r="BG381" t="e">
        <f>IF(#REF!,"AAAAAD/x7Do=",0)</f>
        <v>#REF!</v>
      </c>
      <c r="BH381" t="e">
        <f>IF(#REF!,"AAAAAD/x7Ds=",0)</f>
        <v>#REF!</v>
      </c>
      <c r="BI381" t="e">
        <f>IF(#REF!,"AAAAAD/x7Dw=",0)</f>
        <v>#REF!</v>
      </c>
      <c r="BJ381" t="e">
        <f>IF(#REF!,"AAAAAD/x7D0=",0)</f>
        <v>#REF!</v>
      </c>
      <c r="BK381" t="e">
        <f>IF(#REF!,"AAAAAD/x7D4=",0)</f>
        <v>#REF!</v>
      </c>
      <c r="BL381" t="e">
        <f>IF(#REF!,"AAAAAD/x7D8=",0)</f>
        <v>#REF!</v>
      </c>
      <c r="BM381" t="e">
        <f>IF(#REF!,"AAAAAD/x7EA=",0)</f>
        <v>#REF!</v>
      </c>
      <c r="BN381" t="e">
        <f>IF(#REF!,"AAAAAD/x7EE=",0)</f>
        <v>#REF!</v>
      </c>
      <c r="BO381" t="e">
        <f>IF(#REF!,"AAAAAD/x7EI=",0)</f>
        <v>#REF!</v>
      </c>
      <c r="BP381" t="e">
        <f>IF(#REF!,"AAAAAD/x7EM=",0)</f>
        <v>#REF!</v>
      </c>
      <c r="BQ381" t="e">
        <f>IF(#REF!,"AAAAAD/x7EQ=",0)</f>
        <v>#REF!</v>
      </c>
      <c r="BR381" t="e">
        <f>IF(#REF!,"AAAAAD/x7EU=",0)</f>
        <v>#REF!</v>
      </c>
      <c r="BS381" t="e">
        <f>IF(#REF!,"AAAAAD/x7EY=",0)</f>
        <v>#REF!</v>
      </c>
      <c r="BT381" t="e">
        <f>IF(#REF!,"AAAAAD/x7Ec=",0)</f>
        <v>#REF!</v>
      </c>
      <c r="BU381" t="e">
        <f>IF(#REF!,"AAAAAD/x7Eg=",0)</f>
        <v>#REF!</v>
      </c>
      <c r="BV381" t="e">
        <f>IF(#REF!,"AAAAAD/x7Ek=",0)</f>
        <v>#REF!</v>
      </c>
      <c r="BW381" t="e">
        <f>IF(#REF!,"AAAAAD/x7Eo=",0)</f>
        <v>#REF!</v>
      </c>
      <c r="BX381" t="e">
        <f>IF(#REF!,"AAAAAD/x7Es=",0)</f>
        <v>#REF!</v>
      </c>
      <c r="BY381" t="e">
        <f>IF(#REF!,"AAAAAD/x7Ew=",0)</f>
        <v>#REF!</v>
      </c>
      <c r="BZ381" t="e">
        <f>IF(#REF!,"AAAAAD/x7E0=",0)</f>
        <v>#REF!</v>
      </c>
      <c r="CA381" t="e">
        <f>IF(#REF!,"AAAAAD/x7E4=",0)</f>
        <v>#REF!</v>
      </c>
      <c r="CB381" t="e">
        <f>IF(#REF!,"AAAAAD/x7E8=",0)</f>
        <v>#REF!</v>
      </c>
      <c r="CC381" t="e">
        <f>IF(#REF!,"AAAAAD/x7FA=",0)</f>
        <v>#REF!</v>
      </c>
      <c r="CD381" t="e">
        <f>IF(#REF!,"AAAAAD/x7FE=",0)</f>
        <v>#REF!</v>
      </c>
      <c r="CE381" t="e">
        <f>IF(#REF!,"AAAAAD/x7FI=",0)</f>
        <v>#REF!</v>
      </c>
      <c r="CF381" t="e">
        <f>IF(#REF!,"AAAAAD/x7FM=",0)</f>
        <v>#REF!</v>
      </c>
      <c r="CG381" t="e">
        <f>IF(#REF!,"AAAAAD/x7FQ=",0)</f>
        <v>#REF!</v>
      </c>
      <c r="CH381" t="e">
        <f>IF(#REF!,"AAAAAD/x7FU=",0)</f>
        <v>#REF!</v>
      </c>
      <c r="CI381" t="e">
        <f>IF(#REF!,"AAAAAD/x7FY=",0)</f>
        <v>#REF!</v>
      </c>
      <c r="CJ381" t="e">
        <f>IF(#REF!,"AAAAAD/x7Fc=",0)</f>
        <v>#REF!</v>
      </c>
      <c r="CK381" t="e">
        <f>IF(#REF!,"AAAAAD/x7Fg=",0)</f>
        <v>#REF!</v>
      </c>
      <c r="CL381" t="e">
        <f>IF(#REF!,"AAAAAD/x7Fk=",0)</f>
        <v>#REF!</v>
      </c>
      <c r="CM381" t="e">
        <f>IF(#REF!,"AAAAAD/x7Fo=",0)</f>
        <v>#REF!</v>
      </c>
      <c r="CN381" t="e">
        <f>IF(#REF!,"AAAAAD/x7Fs=",0)</f>
        <v>#REF!</v>
      </c>
      <c r="CO381" t="e">
        <f>IF(#REF!,"AAAAAD/x7Fw=",0)</f>
        <v>#REF!</v>
      </c>
      <c r="CP381" t="e">
        <f>IF(#REF!,"AAAAAD/x7F0=",0)</f>
        <v>#REF!</v>
      </c>
      <c r="CQ381" t="e">
        <f>IF(#REF!,"AAAAAD/x7F4=",0)</f>
        <v>#REF!</v>
      </c>
      <c r="CR381" t="e">
        <f>IF(#REF!,"AAAAAD/x7F8=",0)</f>
        <v>#REF!</v>
      </c>
      <c r="CS381" t="e">
        <f>IF(#REF!,"AAAAAD/x7GA=",0)</f>
        <v>#REF!</v>
      </c>
      <c r="CT381" t="e">
        <f>IF(#REF!,"AAAAAD/x7GE=",0)</f>
        <v>#REF!</v>
      </c>
      <c r="CU381" t="e">
        <f>IF(#REF!,"AAAAAD/x7GI=",0)</f>
        <v>#REF!</v>
      </c>
      <c r="CV381" t="e">
        <f>IF(#REF!,"AAAAAD/x7GM=",0)</f>
        <v>#REF!</v>
      </c>
      <c r="CW381" t="e">
        <f>IF(#REF!,"AAAAAD/x7GQ=",0)</f>
        <v>#REF!</v>
      </c>
      <c r="CX381" t="e">
        <f>IF(#REF!,"AAAAAD/x7GU=",0)</f>
        <v>#REF!</v>
      </c>
      <c r="CY381" t="e">
        <f>IF(#REF!,"AAAAAD/x7GY=",0)</f>
        <v>#REF!</v>
      </c>
      <c r="CZ381" t="e">
        <f>IF(#REF!,"AAAAAD/x7Gc=",0)</f>
        <v>#REF!</v>
      </c>
      <c r="DA381" t="e">
        <f>IF(#REF!,"AAAAAD/x7Gg=",0)</f>
        <v>#REF!</v>
      </c>
      <c r="DB381" t="e">
        <f>IF(#REF!,"AAAAAD/x7Gk=",0)</f>
        <v>#REF!</v>
      </c>
      <c r="DC381" t="e">
        <f>IF(#REF!,"AAAAAD/x7Go=",0)</f>
        <v>#REF!</v>
      </c>
      <c r="DD381" t="e">
        <f>IF(#REF!,"AAAAAD/x7Gs=",0)</f>
        <v>#REF!</v>
      </c>
      <c r="DE381" t="e">
        <f>IF(#REF!,"AAAAAD/x7Gw=",0)</f>
        <v>#REF!</v>
      </c>
      <c r="DF381" t="e">
        <f>IF(#REF!,"AAAAAD/x7G0=",0)</f>
        <v>#REF!</v>
      </c>
      <c r="DG381" t="e">
        <f>IF(#REF!,"AAAAAD/x7G4=",0)</f>
        <v>#REF!</v>
      </c>
      <c r="DH381" t="e">
        <f>IF(#REF!,"AAAAAD/x7G8=",0)</f>
        <v>#REF!</v>
      </c>
      <c r="DI381" t="e">
        <f>IF(#REF!,"AAAAAD/x7HA=",0)</f>
        <v>#REF!</v>
      </c>
      <c r="DJ381" t="e">
        <f>IF(#REF!,"AAAAAD/x7HE=",0)</f>
        <v>#REF!</v>
      </c>
      <c r="DK381" t="e">
        <f>IF(#REF!,"AAAAAD/x7HI=",0)</f>
        <v>#REF!</v>
      </c>
      <c r="DL381" t="e">
        <f>IF(#REF!,"AAAAAD/x7HM=",0)</f>
        <v>#REF!</v>
      </c>
      <c r="DM381" t="e">
        <f>IF(#REF!,"AAAAAD/x7HQ=",0)</f>
        <v>#REF!</v>
      </c>
      <c r="DN381" t="e">
        <f>IF(#REF!,"AAAAAD/x7HU=",0)</f>
        <v>#REF!</v>
      </c>
      <c r="DO381" t="e">
        <f>IF(#REF!,"AAAAAD/x7HY=",0)</f>
        <v>#REF!</v>
      </c>
      <c r="DP381" t="e">
        <f>IF(#REF!,"AAAAAD/x7Hc=",0)</f>
        <v>#REF!</v>
      </c>
      <c r="DQ381" t="e">
        <f>IF(#REF!,"AAAAAD/x7Hg=",0)</f>
        <v>#REF!</v>
      </c>
      <c r="DR381" t="e">
        <f>IF(#REF!,"AAAAAD/x7Hk=",0)</f>
        <v>#REF!</v>
      </c>
      <c r="DS381" t="e">
        <f>IF(#REF!,"AAAAAD/x7Ho=",0)</f>
        <v>#REF!</v>
      </c>
      <c r="DT381" t="e">
        <f>IF(#REF!,"AAAAAD/x7Hs=",0)</f>
        <v>#REF!</v>
      </c>
      <c r="DU381" t="e">
        <f>IF(#REF!,"AAAAAD/x7Hw=",0)</f>
        <v>#REF!</v>
      </c>
      <c r="DV381" t="e">
        <f>IF(#REF!,"AAAAAD/x7H0=",0)</f>
        <v>#REF!</v>
      </c>
      <c r="DW381" t="e">
        <f>IF(#REF!,"AAAAAD/x7H4=",0)</f>
        <v>#REF!</v>
      </c>
      <c r="DX381" t="e">
        <f>IF(#REF!,"AAAAAD/x7H8=",0)</f>
        <v>#REF!</v>
      </c>
      <c r="DY381" t="e">
        <f>IF(#REF!,"AAAAAD/x7IA=",0)</f>
        <v>#REF!</v>
      </c>
      <c r="DZ381" t="e">
        <f>IF(#REF!,"AAAAAD/x7IE=",0)</f>
        <v>#REF!</v>
      </c>
      <c r="EA381" t="e">
        <f>IF(#REF!,"AAAAAD/x7II=",0)</f>
        <v>#REF!</v>
      </c>
      <c r="EB381" t="e">
        <f>IF(#REF!,"AAAAAD/x7IM=",0)</f>
        <v>#REF!</v>
      </c>
      <c r="EC381" t="e">
        <f>IF(#REF!,"AAAAAD/x7IQ=",0)</f>
        <v>#REF!</v>
      </c>
      <c r="ED381" t="e">
        <f>IF(#REF!,"AAAAAD/x7IU=",0)</f>
        <v>#REF!</v>
      </c>
      <c r="EE381" t="e">
        <f>IF(#REF!,"AAAAAD/x7IY=",0)</f>
        <v>#REF!</v>
      </c>
      <c r="EF381" t="e">
        <f>IF(#REF!,"AAAAAD/x7Ic=",0)</f>
        <v>#REF!</v>
      </c>
      <c r="EG381" t="e">
        <f>IF(#REF!,"AAAAAD/x7Ig=",0)</f>
        <v>#REF!</v>
      </c>
      <c r="EH381" t="e">
        <f>IF(#REF!,"AAAAAD/x7Ik=",0)</f>
        <v>#REF!</v>
      </c>
      <c r="EI381" t="e">
        <f>IF(#REF!,"AAAAAD/x7Io=",0)</f>
        <v>#REF!</v>
      </c>
      <c r="EJ381" t="e">
        <f>IF(#REF!,"AAAAAD/x7Is=",0)</f>
        <v>#REF!</v>
      </c>
      <c r="EK381" t="e">
        <f>IF(#REF!,"AAAAAD/x7Iw=",0)</f>
        <v>#REF!</v>
      </c>
      <c r="EL381" t="e">
        <f>IF(#REF!,"AAAAAD/x7I0=",0)</f>
        <v>#REF!</v>
      </c>
      <c r="EM381" t="e">
        <f>IF(#REF!,"AAAAAD/x7I4=",0)</f>
        <v>#REF!</v>
      </c>
      <c r="EN381" t="e">
        <f>IF(#REF!,"AAAAAD/x7I8=",0)</f>
        <v>#REF!</v>
      </c>
      <c r="EO381" t="e">
        <f>IF(#REF!,"AAAAAD/x7JA=",0)</f>
        <v>#REF!</v>
      </c>
      <c r="EP381" t="e">
        <f>IF(#REF!,"AAAAAD/x7JE=",0)</f>
        <v>#REF!</v>
      </c>
      <c r="EQ381" t="e">
        <f>IF(#REF!,"AAAAAD/x7JI=",0)</f>
        <v>#REF!</v>
      </c>
      <c r="ER381" t="e">
        <f>IF(#REF!,"AAAAAD/x7JM=",0)</f>
        <v>#REF!</v>
      </c>
      <c r="ES381" t="e">
        <f>IF(#REF!,"AAAAAD/x7JQ=",0)</f>
        <v>#REF!</v>
      </c>
      <c r="ET381" t="e">
        <f>IF(#REF!,"AAAAAD/x7JU=",0)</f>
        <v>#REF!</v>
      </c>
      <c r="EU381" t="e">
        <f>IF(#REF!,"AAAAAD/x7JY=",0)</f>
        <v>#REF!</v>
      </c>
      <c r="EV381" t="e">
        <f>IF(#REF!,"AAAAAD/x7Jc=",0)</f>
        <v>#REF!</v>
      </c>
      <c r="EW381" t="e">
        <f>IF(#REF!,"AAAAAD/x7Jg=",0)</f>
        <v>#REF!</v>
      </c>
      <c r="EX381" t="e">
        <f>IF(#REF!,"AAAAAD/x7Jk=",0)</f>
        <v>#REF!</v>
      </c>
      <c r="EY381" t="e">
        <f>IF(#REF!,"AAAAAD/x7Jo=",0)</f>
        <v>#REF!</v>
      </c>
      <c r="EZ381" t="e">
        <f>IF(#REF!,"AAAAAD/x7Js=",0)</f>
        <v>#REF!</v>
      </c>
      <c r="FA381" t="e">
        <f>IF(#REF!,"AAAAAD/x7Jw=",0)</f>
        <v>#REF!</v>
      </c>
      <c r="FB381" t="e">
        <f>IF(#REF!,"AAAAAD/x7J0=",0)</f>
        <v>#REF!</v>
      </c>
      <c r="FC381" t="e">
        <f>IF(#REF!,"AAAAAD/x7J4=",0)</f>
        <v>#REF!</v>
      </c>
      <c r="FD381" t="e">
        <f>IF(#REF!,"AAAAAD/x7J8=",0)</f>
        <v>#REF!</v>
      </c>
      <c r="FE381" t="e">
        <f>IF(#REF!,"AAAAAD/x7KA=",0)</f>
        <v>#REF!</v>
      </c>
      <c r="FF381" t="e">
        <f>IF(#REF!,"AAAAAD/x7KE=",0)</f>
        <v>#REF!</v>
      </c>
      <c r="FG381" t="e">
        <f>IF(#REF!,"AAAAAD/x7KI=",0)</f>
        <v>#REF!</v>
      </c>
      <c r="FH381" t="e">
        <f>IF(#REF!,"AAAAAD/x7KM=",0)</f>
        <v>#REF!</v>
      </c>
      <c r="FI381" t="e">
        <f>IF(#REF!,"AAAAAD/x7KQ=",0)</f>
        <v>#REF!</v>
      </c>
      <c r="FJ381" t="e">
        <f>IF(#REF!,"AAAAAD/x7KU=",0)</f>
        <v>#REF!</v>
      </c>
      <c r="FK381" t="e">
        <f>IF(#REF!,"AAAAAD/x7KY=",0)</f>
        <v>#REF!</v>
      </c>
      <c r="FL381" t="e">
        <f>IF(#REF!,"AAAAAD/x7Kc=",0)</f>
        <v>#REF!</v>
      </c>
      <c r="FM381" t="e">
        <f>IF(#REF!,"AAAAAD/x7Kg=",0)</f>
        <v>#REF!</v>
      </c>
      <c r="FN381" t="e">
        <f>IF(#REF!,"AAAAAD/x7Kk=",0)</f>
        <v>#REF!</v>
      </c>
      <c r="FO381" t="e">
        <f>IF(#REF!,"AAAAAD/x7Ko=",0)</f>
        <v>#REF!</v>
      </c>
      <c r="FP381" t="e">
        <f>IF(#REF!,"AAAAAD/x7Ks=",0)</f>
        <v>#REF!</v>
      </c>
      <c r="FQ381" t="e">
        <f>IF(#REF!,"AAAAAD/x7Kw=",0)</f>
        <v>#REF!</v>
      </c>
      <c r="FR381" t="e">
        <f>IF(#REF!,"AAAAAD/x7K0=",0)</f>
        <v>#REF!</v>
      </c>
      <c r="FS381" t="e">
        <f>IF(#REF!,"AAAAAD/x7K4=",0)</f>
        <v>#REF!</v>
      </c>
      <c r="FT381" t="e">
        <f>IF(#REF!,"AAAAAD/x7K8=",0)</f>
        <v>#REF!</v>
      </c>
      <c r="FU381" t="e">
        <f>IF(#REF!,"AAAAAD/x7LA=",0)</f>
        <v>#REF!</v>
      </c>
      <c r="FV381" t="e">
        <f>IF(#REF!,"AAAAAD/x7LE=",0)</f>
        <v>#REF!</v>
      </c>
      <c r="FW381" t="e">
        <f>IF(#REF!,"AAAAAD/x7LI=",0)</f>
        <v>#REF!</v>
      </c>
      <c r="FX381" t="e">
        <f>IF(#REF!,"AAAAAD/x7LM=",0)</f>
        <v>#REF!</v>
      </c>
      <c r="FY381" t="e">
        <f>IF(#REF!,"AAAAAD/x7LQ=",0)</f>
        <v>#REF!</v>
      </c>
      <c r="FZ381" t="e">
        <f>IF(#REF!,"AAAAAD/x7LU=",0)</f>
        <v>#REF!</v>
      </c>
      <c r="GA381" t="e">
        <f>IF(#REF!,"AAAAAD/x7LY=",0)</f>
        <v>#REF!</v>
      </c>
      <c r="GB381" t="e">
        <f>IF(#REF!,"AAAAAD/x7Lc=",0)</f>
        <v>#REF!</v>
      </c>
      <c r="GC381" t="e">
        <f>IF(#REF!,"AAAAAD/x7Lg=",0)</f>
        <v>#REF!</v>
      </c>
      <c r="GD381" t="e">
        <f>IF(#REF!,"AAAAAD/x7Lk=",0)</f>
        <v>#REF!</v>
      </c>
      <c r="GE381" t="e">
        <f>IF(#REF!,"AAAAAD/x7Lo=",0)</f>
        <v>#REF!</v>
      </c>
      <c r="GF381" t="e">
        <f>IF(#REF!,"AAAAAD/x7Ls=",0)</f>
        <v>#REF!</v>
      </c>
      <c r="GG381" t="e">
        <f>IF(#REF!,"AAAAAD/x7Lw=",0)</f>
        <v>#REF!</v>
      </c>
      <c r="GH381" t="e">
        <f>IF(#REF!,"AAAAAD/x7L0=",0)</f>
        <v>#REF!</v>
      </c>
      <c r="GI381" t="e">
        <f>IF(#REF!,"AAAAAD/x7L4=",0)</f>
        <v>#REF!</v>
      </c>
      <c r="GJ381" t="e">
        <f>IF(#REF!,"AAAAAD/x7L8=",0)</f>
        <v>#REF!</v>
      </c>
      <c r="GK381" t="e">
        <f>IF(#REF!,"AAAAAD/x7MA=",0)</f>
        <v>#REF!</v>
      </c>
      <c r="GL381" t="e">
        <f>IF(#REF!,"AAAAAD/x7ME=",0)</f>
        <v>#REF!</v>
      </c>
      <c r="GM381" t="e">
        <f>IF(#REF!,"AAAAAD/x7MI=",0)</f>
        <v>#REF!</v>
      </c>
      <c r="GN381" t="e">
        <f>IF(#REF!,"AAAAAD/x7MM=",0)</f>
        <v>#REF!</v>
      </c>
      <c r="GO381" t="e">
        <f>IF(#REF!,"AAAAAD/x7MQ=",0)</f>
        <v>#REF!</v>
      </c>
      <c r="GP381" t="e">
        <f>IF(#REF!,"AAAAAD/x7MU=",0)</f>
        <v>#REF!</v>
      </c>
      <c r="GQ381" t="e">
        <f>IF(#REF!,"AAAAAD/x7MY=",0)</f>
        <v>#REF!</v>
      </c>
      <c r="GR381" t="e">
        <f>IF(#REF!,"AAAAAD/x7Mc=",0)</f>
        <v>#REF!</v>
      </c>
      <c r="GS381" t="e">
        <f>IF(#REF!,"AAAAAD/x7Mg=",0)</f>
        <v>#REF!</v>
      </c>
      <c r="GT381" t="e">
        <f>IF(#REF!,"AAAAAD/x7Mk=",0)</f>
        <v>#REF!</v>
      </c>
      <c r="GU381" t="e">
        <f>IF(#REF!,"AAAAAD/x7Mo=",0)</f>
        <v>#REF!</v>
      </c>
      <c r="GV381" t="e">
        <f>IF(#REF!,"AAAAAD/x7Ms=",0)</f>
        <v>#REF!</v>
      </c>
      <c r="GW381" t="e">
        <f>IF(#REF!,"AAAAAD/x7Mw=",0)</f>
        <v>#REF!</v>
      </c>
      <c r="GX381" t="e">
        <f>IF(#REF!,"AAAAAD/x7M0=",0)</f>
        <v>#REF!</v>
      </c>
      <c r="GY381" t="e">
        <f>IF(#REF!,"AAAAAD/x7M4=",0)</f>
        <v>#REF!</v>
      </c>
      <c r="GZ381" t="e">
        <f>IF(#REF!,"AAAAAD/x7M8=",0)</f>
        <v>#REF!</v>
      </c>
      <c r="HA381" t="e">
        <f>IF(#REF!,"AAAAAD/x7NA=",0)</f>
        <v>#REF!</v>
      </c>
      <c r="HB381" t="e">
        <f>IF(#REF!,"AAAAAD/x7NE=",0)</f>
        <v>#REF!</v>
      </c>
      <c r="HC381" t="e">
        <f>IF(#REF!,"AAAAAD/x7NI=",0)</f>
        <v>#REF!</v>
      </c>
      <c r="HD381" t="e">
        <f>IF(#REF!,"AAAAAD/x7NM=",0)</f>
        <v>#REF!</v>
      </c>
      <c r="HE381" t="e">
        <f>IF(#REF!,"AAAAAD/x7NQ=",0)</f>
        <v>#REF!</v>
      </c>
      <c r="HF381" t="e">
        <f>IF(#REF!,"AAAAAD/x7NU=",0)</f>
        <v>#REF!</v>
      </c>
      <c r="HG381" t="e">
        <f>IF(#REF!,"AAAAAD/x7NY=",0)</f>
        <v>#REF!</v>
      </c>
      <c r="HH381" t="e">
        <f>IF(#REF!,"AAAAAD/x7Nc=",0)</f>
        <v>#REF!</v>
      </c>
      <c r="HI381" t="e">
        <f>IF(#REF!,"AAAAAD/x7Ng=",0)</f>
        <v>#REF!</v>
      </c>
      <c r="HJ381" t="e">
        <f>IF(#REF!,"AAAAAD/x7Nk=",0)</f>
        <v>#REF!</v>
      </c>
      <c r="HK381" t="e">
        <f>IF(#REF!,"AAAAAD/x7No=",0)</f>
        <v>#REF!</v>
      </c>
      <c r="HL381" t="e">
        <f>IF(#REF!,"AAAAAD/x7Ns=",0)</f>
        <v>#REF!</v>
      </c>
      <c r="HM381" t="e">
        <f>IF(#REF!,"AAAAAD/x7Nw=",0)</f>
        <v>#REF!</v>
      </c>
      <c r="HN381" t="e">
        <f>IF(#REF!,"AAAAAD/x7N0=",0)</f>
        <v>#REF!</v>
      </c>
      <c r="HO381" t="e">
        <f>IF(#REF!,"AAAAAD/x7N4=",0)</f>
        <v>#REF!</v>
      </c>
      <c r="HP381" t="e">
        <f>IF(#REF!,"AAAAAD/x7N8=",0)</f>
        <v>#REF!</v>
      </c>
      <c r="HQ381" t="e">
        <f>IF(#REF!,"AAAAAD/x7OA=",0)</f>
        <v>#REF!</v>
      </c>
      <c r="HR381" t="e">
        <f>IF(#REF!,"AAAAAD/x7OE=",0)</f>
        <v>#REF!</v>
      </c>
      <c r="HS381" t="e">
        <f>IF(#REF!,"AAAAAD/x7OI=",0)</f>
        <v>#REF!</v>
      </c>
      <c r="HT381" t="e">
        <f>IF(#REF!,"AAAAAD/x7OM=",0)</f>
        <v>#REF!</v>
      </c>
      <c r="HU381" t="e">
        <f>IF(#REF!,"AAAAAD/x7OQ=",0)</f>
        <v>#REF!</v>
      </c>
      <c r="HV381" t="e">
        <f>IF(#REF!,"AAAAAD/x7OU=",0)</f>
        <v>#REF!</v>
      </c>
      <c r="HW381" t="e">
        <f>IF(#REF!,"AAAAAD/x7OY=",0)</f>
        <v>#REF!</v>
      </c>
      <c r="HX381" t="e">
        <f>IF(#REF!,"AAAAAD/x7Oc=",0)</f>
        <v>#REF!</v>
      </c>
      <c r="HY381" t="e">
        <f>IF(#REF!,"AAAAAD/x7Og=",0)</f>
        <v>#REF!</v>
      </c>
      <c r="HZ381" t="e">
        <f>IF(#REF!,"AAAAAD/x7Ok=",0)</f>
        <v>#REF!</v>
      </c>
      <c r="IA381" t="e">
        <f>IF(#REF!,"AAAAAD/x7Oo=",0)</f>
        <v>#REF!</v>
      </c>
      <c r="IB381" t="e">
        <f>IF(#REF!,"AAAAAD/x7Os=",0)</f>
        <v>#REF!</v>
      </c>
      <c r="IC381" t="e">
        <f>IF(#REF!,"AAAAAD/x7Ow=",0)</f>
        <v>#REF!</v>
      </c>
      <c r="ID381" t="e">
        <f>IF(#REF!,"AAAAAD/x7O0=",0)</f>
        <v>#REF!</v>
      </c>
      <c r="IE381" t="e">
        <f>IF(#REF!,"AAAAAD/x7O4=",0)</f>
        <v>#REF!</v>
      </c>
      <c r="IF381" t="e">
        <f>IF(#REF!,"AAAAAD/x7O8=",0)</f>
        <v>#REF!</v>
      </c>
      <c r="IG381" t="e">
        <f>IF(#REF!,"AAAAAD/x7PA=",0)</f>
        <v>#REF!</v>
      </c>
      <c r="IH381" t="e">
        <f>IF(#REF!,"AAAAAD/x7PE=",0)</f>
        <v>#REF!</v>
      </c>
      <c r="II381" t="e">
        <f>IF(#REF!,"AAAAAD/x7PI=",0)</f>
        <v>#REF!</v>
      </c>
      <c r="IJ381" t="e">
        <f>IF(#REF!,"AAAAAD/x7PM=",0)</f>
        <v>#REF!</v>
      </c>
      <c r="IK381" t="e">
        <f>IF(#REF!,"AAAAAD/x7PQ=",0)</f>
        <v>#REF!</v>
      </c>
      <c r="IL381" t="e">
        <f>IF(#REF!,"AAAAAD/x7PU=",0)</f>
        <v>#REF!</v>
      </c>
      <c r="IM381" t="e">
        <f>IF(#REF!,"AAAAAD/x7PY=",0)</f>
        <v>#REF!</v>
      </c>
      <c r="IN381" t="e">
        <f>IF(#REF!,"AAAAAD/x7Pc=",0)</f>
        <v>#REF!</v>
      </c>
      <c r="IO381" t="e">
        <f>IF(#REF!,"AAAAAD/x7Pg=",0)</f>
        <v>#REF!</v>
      </c>
      <c r="IP381" t="e">
        <f>IF(#REF!,"AAAAAD/x7Pk=",0)</f>
        <v>#REF!</v>
      </c>
      <c r="IQ381" t="e">
        <f>IF(#REF!,"AAAAAD/x7Po=",0)</f>
        <v>#REF!</v>
      </c>
      <c r="IR381" t="e">
        <f>IF(#REF!,"AAAAAD/x7Ps=",0)</f>
        <v>#REF!</v>
      </c>
      <c r="IS381" t="e">
        <f>IF(#REF!,"AAAAAD/x7Pw=",0)</f>
        <v>#REF!</v>
      </c>
      <c r="IT381" t="e">
        <f>IF(#REF!,"AAAAAD/x7P0=",0)</f>
        <v>#REF!</v>
      </c>
      <c r="IU381" t="e">
        <f>IF(#REF!,"AAAAAD/x7P4=",0)</f>
        <v>#REF!</v>
      </c>
      <c r="IV381" t="e">
        <f>IF(#REF!,"AAAAAD/x7P8=",0)</f>
        <v>#REF!</v>
      </c>
    </row>
    <row r="382" spans="1:256">
      <c r="A382" t="e">
        <f>IF(#REF!,"AAAAAHzbJwA=",0)</f>
        <v>#REF!</v>
      </c>
      <c r="B382" t="e">
        <f>IF(#REF!,"AAAAAHzbJwE=",0)</f>
        <v>#REF!</v>
      </c>
      <c r="C382" t="e">
        <f>IF(#REF!,"AAAAAHzbJwI=",0)</f>
        <v>#REF!</v>
      </c>
      <c r="D382" t="e">
        <f>IF(#REF!,"AAAAAHzbJwM=",0)</f>
        <v>#REF!</v>
      </c>
      <c r="E382" t="e">
        <f>IF(#REF!,"AAAAAHzbJwQ=",0)</f>
        <v>#REF!</v>
      </c>
      <c r="F382" t="e">
        <f>IF(#REF!,"AAAAAHzbJwU=",0)</f>
        <v>#REF!</v>
      </c>
      <c r="G382" t="e">
        <f>IF(#REF!,"AAAAAHzbJwY=",0)</f>
        <v>#REF!</v>
      </c>
      <c r="H382" t="e">
        <f>IF(#REF!,"AAAAAHzbJwc=",0)</f>
        <v>#REF!</v>
      </c>
      <c r="I382" t="e">
        <f>IF(#REF!,"AAAAAHzbJwg=",0)</f>
        <v>#REF!</v>
      </c>
      <c r="J382" t="e">
        <f>IF(#REF!,"AAAAAHzbJwk=",0)</f>
        <v>#REF!</v>
      </c>
      <c r="K382" t="e">
        <f>IF(#REF!,"AAAAAHzbJwo=",0)</f>
        <v>#REF!</v>
      </c>
      <c r="L382" t="e">
        <f>IF(#REF!,"AAAAAHzbJws=",0)</f>
        <v>#REF!</v>
      </c>
      <c r="M382" t="e">
        <f>IF(#REF!,"AAAAAHzbJww=",0)</f>
        <v>#REF!</v>
      </c>
      <c r="N382" t="e">
        <f>IF(#REF!,"AAAAAHzbJw0=",0)</f>
        <v>#REF!</v>
      </c>
      <c r="O382" t="e">
        <f>IF(#REF!,"AAAAAHzbJw4=",0)</f>
        <v>#REF!</v>
      </c>
      <c r="P382" t="e">
        <f>IF(#REF!,"AAAAAHzbJw8=",0)</f>
        <v>#REF!</v>
      </c>
      <c r="Q382" t="e">
        <f>IF(#REF!,"AAAAAHzbJxA=",0)</f>
        <v>#REF!</v>
      </c>
      <c r="R382" t="e">
        <f>IF(#REF!,"AAAAAHzbJxE=",0)</f>
        <v>#REF!</v>
      </c>
      <c r="S382" t="e">
        <f>IF(#REF!,"AAAAAHzbJxI=",0)</f>
        <v>#REF!</v>
      </c>
      <c r="T382" t="e">
        <f>IF(#REF!,"AAAAAHzbJxM=",0)</f>
        <v>#REF!</v>
      </c>
      <c r="U382" t="e">
        <f>IF(#REF!,"AAAAAHzbJxQ=",0)</f>
        <v>#REF!</v>
      </c>
      <c r="V382" t="e">
        <f>IF(#REF!,"AAAAAHzbJxU=",0)</f>
        <v>#REF!</v>
      </c>
      <c r="W382" t="e">
        <f>IF(#REF!,"AAAAAHzbJxY=",0)</f>
        <v>#REF!</v>
      </c>
      <c r="X382" t="e">
        <f>IF(#REF!,"AAAAAHzbJxc=",0)</f>
        <v>#REF!</v>
      </c>
      <c r="Y382" t="e">
        <f>IF(#REF!,"AAAAAHzbJxg=",0)</f>
        <v>#REF!</v>
      </c>
      <c r="Z382" t="e">
        <f>IF(#REF!,"AAAAAHzbJxk=",0)</f>
        <v>#REF!</v>
      </c>
      <c r="AA382" t="e">
        <f>IF(#REF!,"AAAAAHzbJxo=",0)</f>
        <v>#REF!</v>
      </c>
      <c r="AB382" t="e">
        <f>IF(#REF!,"AAAAAHzbJxs=",0)</f>
        <v>#REF!</v>
      </c>
      <c r="AC382" t="e">
        <f>IF(#REF!,"AAAAAHzbJxw=",0)</f>
        <v>#REF!</v>
      </c>
      <c r="AD382" t="e">
        <f>IF(#REF!,"AAAAAHzbJx0=",0)</f>
        <v>#REF!</v>
      </c>
      <c r="AE382" t="e">
        <f>IF(#REF!,"AAAAAHzbJx4=",0)</f>
        <v>#REF!</v>
      </c>
      <c r="AF382" t="e">
        <f>IF(#REF!,"AAAAAHzbJx8=",0)</f>
        <v>#REF!</v>
      </c>
      <c r="AG382" t="e">
        <f>IF(#REF!,"AAAAAHzbJyA=",0)</f>
        <v>#REF!</v>
      </c>
      <c r="AH382" t="e">
        <f>IF(#REF!,"AAAAAHzbJyE=",0)</f>
        <v>#REF!</v>
      </c>
      <c r="AI382" t="e">
        <f>IF(#REF!,"AAAAAHzbJyI=",0)</f>
        <v>#REF!</v>
      </c>
      <c r="AJ382" t="e">
        <f>IF(#REF!,"AAAAAHzbJyM=",0)</f>
        <v>#REF!</v>
      </c>
      <c r="AK382" t="e">
        <f>IF(#REF!,"AAAAAHzbJyQ=",0)</f>
        <v>#REF!</v>
      </c>
      <c r="AL382" t="e">
        <f>IF(#REF!,"AAAAAHzbJyU=",0)</f>
        <v>#REF!</v>
      </c>
      <c r="AM382" t="e">
        <f>IF(#REF!,"AAAAAHzbJyY=",0)</f>
        <v>#REF!</v>
      </c>
      <c r="AN382" t="e">
        <f>IF(#REF!,"AAAAAHzbJyc=",0)</f>
        <v>#REF!</v>
      </c>
      <c r="AO382" t="e">
        <f>IF(#REF!,"AAAAAHzbJyg=",0)</f>
        <v>#REF!</v>
      </c>
      <c r="AP382" t="e">
        <f>IF(#REF!,"AAAAAHzbJyk=",0)</f>
        <v>#REF!</v>
      </c>
      <c r="AQ382" t="e">
        <f>IF(#REF!,"AAAAAHzbJyo=",0)</f>
        <v>#REF!</v>
      </c>
      <c r="AR382" t="e">
        <f>IF(#REF!,"AAAAAHzbJys=",0)</f>
        <v>#REF!</v>
      </c>
      <c r="AS382" t="e">
        <f>IF(#REF!,"AAAAAHzbJyw=",0)</f>
        <v>#REF!</v>
      </c>
      <c r="AT382" t="e">
        <f>IF(#REF!,"AAAAAHzbJy0=",0)</f>
        <v>#REF!</v>
      </c>
      <c r="AU382" t="e">
        <f>IF(#REF!,"AAAAAHzbJy4=",0)</f>
        <v>#REF!</v>
      </c>
      <c r="AV382" t="e">
        <f>IF(#REF!,"AAAAAHzbJy8=",0)</f>
        <v>#REF!</v>
      </c>
      <c r="AW382" t="e">
        <f>IF(#REF!,"AAAAAHzbJzA=",0)</f>
        <v>#REF!</v>
      </c>
      <c r="AX382" t="e">
        <f>IF(#REF!,"AAAAAHzbJzE=",0)</f>
        <v>#REF!</v>
      </c>
      <c r="AY382" t="e">
        <f>IF(#REF!,"AAAAAHzbJzI=",0)</f>
        <v>#REF!</v>
      </c>
      <c r="AZ382" t="e">
        <f>IF(#REF!,"AAAAAHzbJzM=",0)</f>
        <v>#REF!</v>
      </c>
      <c r="BA382" t="e">
        <f>IF(#REF!,"AAAAAHzbJzQ=",0)</f>
        <v>#REF!</v>
      </c>
      <c r="BB382" t="e">
        <f>IF(#REF!,"AAAAAHzbJzU=",0)</f>
        <v>#REF!</v>
      </c>
      <c r="BC382" t="e">
        <f>IF(#REF!,"AAAAAHzbJzY=",0)</f>
        <v>#REF!</v>
      </c>
      <c r="BD382" t="e">
        <f>IF(#REF!,"AAAAAHzbJzc=",0)</f>
        <v>#REF!</v>
      </c>
      <c r="BE382" t="e">
        <f>IF(#REF!,"AAAAAHzbJzg=",0)</f>
        <v>#REF!</v>
      </c>
      <c r="BF382" t="e">
        <f>IF(#REF!,"AAAAAHzbJzk=",0)</f>
        <v>#REF!</v>
      </c>
      <c r="BG382" t="e">
        <f>IF(#REF!,"AAAAAHzbJzo=",0)</f>
        <v>#REF!</v>
      </c>
      <c r="BH382" t="e">
        <f>IF(#REF!,"AAAAAHzbJzs=",0)</f>
        <v>#REF!</v>
      </c>
      <c r="BI382" t="e">
        <f>IF(#REF!,"AAAAAHzbJzw=",0)</f>
        <v>#REF!</v>
      </c>
      <c r="BJ382" t="e">
        <f>IF(#REF!,"AAAAAHzbJz0=",0)</f>
        <v>#REF!</v>
      </c>
      <c r="BK382" t="e">
        <f>IF(#REF!,"AAAAAHzbJz4=",0)</f>
        <v>#REF!</v>
      </c>
      <c r="BL382" t="e">
        <f>IF(#REF!,"AAAAAHzbJz8=",0)</f>
        <v>#REF!</v>
      </c>
      <c r="BM382" t="e">
        <f>IF(#REF!,"AAAAAHzbJ0A=",0)</f>
        <v>#REF!</v>
      </c>
      <c r="BN382" t="e">
        <f>IF(#REF!,"AAAAAHzbJ0E=",0)</f>
        <v>#REF!</v>
      </c>
      <c r="BO382" t="e">
        <f>IF(#REF!,"AAAAAHzbJ0I=",0)</f>
        <v>#REF!</v>
      </c>
      <c r="BP382" t="e">
        <f>IF(#REF!,"AAAAAHzbJ0M=",0)</f>
        <v>#REF!</v>
      </c>
      <c r="BQ382" t="e">
        <f>IF(#REF!,"AAAAAHzbJ0Q=",0)</f>
        <v>#REF!</v>
      </c>
      <c r="BR382" t="e">
        <f>IF(#REF!,"AAAAAHzbJ0U=",0)</f>
        <v>#REF!</v>
      </c>
      <c r="BS382" t="e">
        <f>IF(#REF!,"AAAAAHzbJ0Y=",0)</f>
        <v>#REF!</v>
      </c>
      <c r="BT382" t="e">
        <f>IF(#REF!,"AAAAAHzbJ0c=",0)</f>
        <v>#REF!</v>
      </c>
      <c r="BU382" t="e">
        <f>IF(#REF!,"AAAAAHzbJ0g=",0)</f>
        <v>#REF!</v>
      </c>
      <c r="BV382" t="e">
        <f>IF(#REF!,"AAAAAHzbJ0k=",0)</f>
        <v>#REF!</v>
      </c>
      <c r="BW382" t="e">
        <f>IF(#REF!,"AAAAAHzbJ0o=",0)</f>
        <v>#REF!</v>
      </c>
      <c r="BX382" t="e">
        <f>IF(#REF!,"AAAAAHzbJ0s=",0)</f>
        <v>#REF!</v>
      </c>
      <c r="BY382" t="e">
        <f>IF(#REF!,"AAAAAHzbJ0w=",0)</f>
        <v>#REF!</v>
      </c>
      <c r="BZ382" t="e">
        <f>IF(#REF!,"AAAAAHzbJ00=",0)</f>
        <v>#REF!</v>
      </c>
      <c r="CA382" t="e">
        <f>IF(#REF!,"AAAAAHzbJ04=",0)</f>
        <v>#REF!</v>
      </c>
      <c r="CB382" t="e">
        <f>IF(#REF!,"AAAAAHzbJ08=",0)</f>
        <v>#REF!</v>
      </c>
      <c r="CC382" t="e">
        <f>IF(#REF!,"AAAAAHzbJ1A=",0)</f>
        <v>#REF!</v>
      </c>
      <c r="CD382" t="e">
        <f>IF(#REF!,"AAAAAHzbJ1E=",0)</f>
        <v>#REF!</v>
      </c>
      <c r="CE382" t="e">
        <f>IF(#REF!,"AAAAAHzbJ1I=",0)</f>
        <v>#REF!</v>
      </c>
      <c r="CF382" t="e">
        <f>IF(#REF!,"AAAAAHzbJ1M=",0)</f>
        <v>#REF!</v>
      </c>
      <c r="CG382" t="e">
        <f>IF(#REF!,"AAAAAHzbJ1Q=",0)</f>
        <v>#REF!</v>
      </c>
      <c r="CH382" t="e">
        <f>IF(#REF!,"AAAAAHzbJ1U=",0)</f>
        <v>#REF!</v>
      </c>
      <c r="CI382" t="e">
        <f>IF(#REF!,"AAAAAHzbJ1Y=",0)</f>
        <v>#REF!</v>
      </c>
      <c r="CJ382" t="e">
        <f>IF(#REF!,"AAAAAHzbJ1c=",0)</f>
        <v>#REF!</v>
      </c>
      <c r="CK382" t="e">
        <f>IF(#REF!,"AAAAAHzbJ1g=",0)</f>
        <v>#REF!</v>
      </c>
      <c r="CL382" t="e">
        <f>IF(#REF!,"AAAAAHzbJ1k=",0)</f>
        <v>#REF!</v>
      </c>
      <c r="CM382" t="e">
        <f>IF(#REF!,"AAAAAHzbJ1o=",0)</f>
        <v>#REF!</v>
      </c>
      <c r="CN382" t="e">
        <f>IF(#REF!,"AAAAAHzbJ1s=",0)</f>
        <v>#REF!</v>
      </c>
      <c r="CO382" t="e">
        <f>IF(#REF!,"AAAAAHzbJ1w=",0)</f>
        <v>#REF!</v>
      </c>
      <c r="CP382" t="e">
        <f>IF(#REF!,"AAAAAHzbJ10=",0)</f>
        <v>#REF!</v>
      </c>
      <c r="CQ382" t="e">
        <f>IF(#REF!,"AAAAAHzbJ14=",0)</f>
        <v>#REF!</v>
      </c>
      <c r="CR382" t="e">
        <f>IF(#REF!,"AAAAAHzbJ18=",0)</f>
        <v>#REF!</v>
      </c>
      <c r="CS382" t="e">
        <f>IF(#REF!,"AAAAAHzbJ2A=",0)</f>
        <v>#REF!</v>
      </c>
      <c r="CT382" t="e">
        <f>IF(#REF!,"AAAAAHzbJ2E=",0)</f>
        <v>#REF!</v>
      </c>
      <c r="CU382" t="e">
        <f>IF(#REF!,"AAAAAHzbJ2I=",0)</f>
        <v>#REF!</v>
      </c>
      <c r="CV382" t="e">
        <f>IF(#REF!,"AAAAAHzbJ2M=",0)</f>
        <v>#REF!</v>
      </c>
      <c r="CW382" t="e">
        <f>IF(#REF!,"AAAAAHzbJ2Q=",0)</f>
        <v>#REF!</v>
      </c>
      <c r="CX382" t="e">
        <f>IF(#REF!,"AAAAAHzbJ2U=",0)</f>
        <v>#REF!</v>
      </c>
      <c r="CY382" t="e">
        <f>IF(#REF!,"AAAAAHzbJ2Y=",0)</f>
        <v>#REF!</v>
      </c>
      <c r="CZ382" t="e">
        <f>IF(#REF!,"AAAAAHzbJ2c=",0)</f>
        <v>#REF!</v>
      </c>
      <c r="DA382" t="e">
        <f>IF(#REF!,"AAAAAHzbJ2g=",0)</f>
        <v>#REF!</v>
      </c>
      <c r="DB382" t="e">
        <f>IF(#REF!,"AAAAAHzbJ2k=",0)</f>
        <v>#REF!</v>
      </c>
      <c r="DC382" t="e">
        <f>IF(#REF!,"AAAAAHzbJ2o=",0)</f>
        <v>#REF!</v>
      </c>
      <c r="DD382" t="e">
        <f>IF(#REF!,"AAAAAHzbJ2s=",0)</f>
        <v>#REF!</v>
      </c>
      <c r="DE382" t="e">
        <f>IF(#REF!,"AAAAAHzbJ2w=",0)</f>
        <v>#REF!</v>
      </c>
      <c r="DF382" t="e">
        <f>IF(#REF!,"AAAAAHzbJ20=",0)</f>
        <v>#REF!</v>
      </c>
      <c r="DG382" t="e">
        <f>IF(#REF!,"AAAAAHzbJ24=",0)</f>
        <v>#REF!</v>
      </c>
      <c r="DH382" t="e">
        <f>IF(#REF!,"AAAAAHzbJ28=",0)</f>
        <v>#REF!</v>
      </c>
      <c r="DI382" t="e">
        <f>IF(#REF!,"AAAAAHzbJ3A=",0)</f>
        <v>#REF!</v>
      </c>
      <c r="DJ382" t="e">
        <f>IF(#REF!,"AAAAAHzbJ3E=",0)</f>
        <v>#REF!</v>
      </c>
      <c r="DK382" t="e">
        <f>IF(#REF!,"AAAAAHzbJ3I=",0)</f>
        <v>#REF!</v>
      </c>
      <c r="DL382" t="e">
        <f>IF(#REF!,"AAAAAHzbJ3M=",0)</f>
        <v>#REF!</v>
      </c>
      <c r="DM382" t="e">
        <f>IF(#REF!,"AAAAAHzbJ3Q=",0)</f>
        <v>#REF!</v>
      </c>
      <c r="DN382" t="e">
        <f>IF(#REF!,"AAAAAHzbJ3U=",0)</f>
        <v>#REF!</v>
      </c>
      <c r="DO382" t="e">
        <f>IF(#REF!,"AAAAAHzbJ3Y=",0)</f>
        <v>#REF!</v>
      </c>
      <c r="DP382" t="e">
        <f>IF(#REF!,"AAAAAHzbJ3c=",0)</f>
        <v>#REF!</v>
      </c>
      <c r="DQ382" t="e">
        <f>IF(#REF!,"AAAAAHzbJ3g=",0)</f>
        <v>#REF!</v>
      </c>
      <c r="DR382" t="e">
        <f>IF(#REF!,"AAAAAHzbJ3k=",0)</f>
        <v>#REF!</v>
      </c>
      <c r="DS382" t="e">
        <f>IF(#REF!,"AAAAAHzbJ3o=",0)</f>
        <v>#REF!</v>
      </c>
      <c r="DT382" t="e">
        <f>IF(#REF!,"AAAAAHzbJ3s=",0)</f>
        <v>#REF!</v>
      </c>
      <c r="DU382" t="e">
        <f>IF(#REF!,"AAAAAHzbJ3w=",0)</f>
        <v>#REF!</v>
      </c>
      <c r="DV382" t="e">
        <f>IF(#REF!,"AAAAAHzbJ30=",0)</f>
        <v>#REF!</v>
      </c>
      <c r="DW382" t="e">
        <f>IF(#REF!,"AAAAAHzbJ34=",0)</f>
        <v>#REF!</v>
      </c>
      <c r="DX382" t="e">
        <f>IF(#REF!,"AAAAAHzbJ38=",0)</f>
        <v>#REF!</v>
      </c>
      <c r="DY382" t="e">
        <f>IF(#REF!,"AAAAAHzbJ4A=",0)</f>
        <v>#REF!</v>
      </c>
      <c r="DZ382" t="e">
        <f>IF(#REF!,"AAAAAHzbJ4E=",0)</f>
        <v>#REF!</v>
      </c>
      <c r="EA382" t="e">
        <f>IF(#REF!,"AAAAAHzbJ4I=",0)</f>
        <v>#REF!</v>
      </c>
      <c r="EB382" t="e">
        <f>IF(#REF!,"AAAAAHzbJ4M=",0)</f>
        <v>#REF!</v>
      </c>
      <c r="EC382" t="e">
        <f>IF(#REF!,"AAAAAHzbJ4Q=",0)</f>
        <v>#REF!</v>
      </c>
      <c r="ED382" t="e">
        <f>IF(#REF!,"AAAAAHzbJ4U=",0)</f>
        <v>#REF!</v>
      </c>
      <c r="EE382" t="e">
        <f>IF(#REF!,"AAAAAHzbJ4Y=",0)</f>
        <v>#REF!</v>
      </c>
      <c r="EF382" t="e">
        <f>IF(#REF!,"AAAAAHzbJ4c=",0)</f>
        <v>#REF!</v>
      </c>
      <c r="EG382" t="e">
        <f>IF(#REF!,"AAAAAHzbJ4g=",0)</f>
        <v>#REF!</v>
      </c>
      <c r="EH382" t="e">
        <f>IF(#REF!,"AAAAAHzbJ4k=",0)</f>
        <v>#REF!</v>
      </c>
      <c r="EI382" t="e">
        <f>IF(#REF!,"AAAAAHzbJ4o=",0)</f>
        <v>#REF!</v>
      </c>
      <c r="EJ382" t="e">
        <f>IF(#REF!,"AAAAAHzbJ4s=",0)</f>
        <v>#REF!</v>
      </c>
      <c r="EK382" t="e">
        <f>IF(#REF!,"AAAAAHzbJ4w=",0)</f>
        <v>#REF!</v>
      </c>
      <c r="EL382" t="e">
        <f>IF(#REF!,"AAAAAHzbJ40=",0)</f>
        <v>#REF!</v>
      </c>
      <c r="EM382" t="e">
        <f>IF(#REF!,"AAAAAHzbJ44=",0)</f>
        <v>#REF!</v>
      </c>
      <c r="EN382" t="e">
        <f>IF(#REF!,"AAAAAHzbJ48=",0)</f>
        <v>#REF!</v>
      </c>
      <c r="EO382" t="e">
        <f>IF(#REF!,"AAAAAHzbJ5A=",0)</f>
        <v>#REF!</v>
      </c>
      <c r="EP382" t="e">
        <f>IF(#REF!,"AAAAAHzbJ5E=",0)</f>
        <v>#REF!</v>
      </c>
      <c r="EQ382" t="e">
        <f>IF(#REF!,"AAAAAHzbJ5I=",0)</f>
        <v>#REF!</v>
      </c>
      <c r="ER382" t="e">
        <f>IF(#REF!,"AAAAAHzbJ5M=",0)</f>
        <v>#REF!</v>
      </c>
      <c r="ES382" t="e">
        <f>IF(#REF!,"AAAAAHzbJ5Q=",0)</f>
        <v>#REF!</v>
      </c>
      <c r="ET382" t="e">
        <f>IF(#REF!,"AAAAAHzbJ5U=",0)</f>
        <v>#REF!</v>
      </c>
      <c r="EU382" t="e">
        <f>IF(#REF!,"AAAAAHzbJ5Y=",0)</f>
        <v>#REF!</v>
      </c>
      <c r="EV382" t="e">
        <f>IF(#REF!,"AAAAAHzbJ5c=",0)</f>
        <v>#REF!</v>
      </c>
      <c r="EW382" t="e">
        <f>IF(#REF!,"AAAAAHzbJ5g=",0)</f>
        <v>#REF!</v>
      </c>
      <c r="EX382" t="e">
        <f>IF(#REF!,"AAAAAHzbJ5k=",0)</f>
        <v>#REF!</v>
      </c>
      <c r="EY382" t="e">
        <f>IF(#REF!,"AAAAAHzbJ5o=",0)</f>
        <v>#REF!</v>
      </c>
      <c r="EZ382" t="e">
        <f>IF(#REF!,"AAAAAHzbJ5s=",0)</f>
        <v>#REF!</v>
      </c>
      <c r="FA382" t="e">
        <f>IF(#REF!,"AAAAAHzbJ5w=",0)</f>
        <v>#REF!</v>
      </c>
      <c r="FB382" t="e">
        <f>IF(#REF!,"AAAAAHzbJ50=",0)</f>
        <v>#REF!</v>
      </c>
      <c r="FC382" t="e">
        <f>IF(#REF!,"AAAAAHzbJ54=",0)</f>
        <v>#REF!</v>
      </c>
      <c r="FD382" t="e">
        <f>IF(#REF!,"AAAAAHzbJ58=",0)</f>
        <v>#REF!</v>
      </c>
      <c r="FE382" t="e">
        <f>IF(#REF!,"AAAAAHzbJ6A=",0)</f>
        <v>#REF!</v>
      </c>
      <c r="FF382" t="e">
        <f>IF(#REF!,"AAAAAHzbJ6E=",0)</f>
        <v>#REF!</v>
      </c>
      <c r="FG382" t="e">
        <f>IF(#REF!,"AAAAAHzbJ6I=",0)</f>
        <v>#REF!</v>
      </c>
      <c r="FH382" t="e">
        <f>IF(#REF!,"AAAAAHzbJ6M=",0)</f>
        <v>#REF!</v>
      </c>
      <c r="FI382" t="e">
        <f>IF(#REF!,"AAAAAHzbJ6Q=",0)</f>
        <v>#REF!</v>
      </c>
      <c r="FJ382" t="e">
        <f>IF(#REF!,"AAAAAHzbJ6U=",0)</f>
        <v>#REF!</v>
      </c>
      <c r="FK382" t="e">
        <f>IF(#REF!,"AAAAAHzbJ6Y=",0)</f>
        <v>#REF!</v>
      </c>
      <c r="FL382" t="e">
        <f>IF(#REF!,"AAAAAHzbJ6c=",0)</f>
        <v>#REF!</v>
      </c>
      <c r="FM382" t="e">
        <f>IF(#REF!,"AAAAAHzbJ6g=",0)</f>
        <v>#REF!</v>
      </c>
      <c r="FN382" t="e">
        <f>IF(#REF!,"AAAAAHzbJ6k=",0)</f>
        <v>#REF!</v>
      </c>
      <c r="FO382" t="e">
        <f>IF(#REF!,"AAAAAHzbJ6o=",0)</f>
        <v>#REF!</v>
      </c>
      <c r="FP382" t="e">
        <f>IF(#REF!,"AAAAAHzbJ6s=",0)</f>
        <v>#REF!</v>
      </c>
      <c r="FQ382" t="e">
        <f>IF(#REF!,"AAAAAHzbJ6w=",0)</f>
        <v>#REF!</v>
      </c>
      <c r="FR382" t="e">
        <f>IF(#REF!,"AAAAAHzbJ60=",0)</f>
        <v>#REF!</v>
      </c>
      <c r="FS382" t="e">
        <f>IF(#REF!,"AAAAAHzbJ64=",0)</f>
        <v>#REF!</v>
      </c>
      <c r="FT382" t="e">
        <f>IF(#REF!,"AAAAAHzbJ68=",0)</f>
        <v>#REF!</v>
      </c>
      <c r="FU382" t="e">
        <f>IF(#REF!,"AAAAAHzbJ7A=",0)</f>
        <v>#REF!</v>
      </c>
      <c r="FV382" t="e">
        <f>IF(#REF!,"AAAAAHzbJ7E=",0)</f>
        <v>#REF!</v>
      </c>
      <c r="FW382" t="e">
        <f>IF(#REF!,"AAAAAHzbJ7I=",0)</f>
        <v>#REF!</v>
      </c>
      <c r="FX382" t="e">
        <f>IF(#REF!,"AAAAAHzbJ7M=",0)</f>
        <v>#REF!</v>
      </c>
      <c r="FY382" t="e">
        <f>IF(#REF!,"AAAAAHzbJ7Q=",0)</f>
        <v>#REF!</v>
      </c>
      <c r="FZ382" t="e">
        <f>IF(#REF!,"AAAAAHzbJ7U=",0)</f>
        <v>#REF!</v>
      </c>
      <c r="GA382" t="e">
        <f>IF(#REF!,"AAAAAHzbJ7Y=",0)</f>
        <v>#REF!</v>
      </c>
      <c r="GB382" t="e">
        <f>IF(#REF!,"AAAAAHzbJ7c=",0)</f>
        <v>#REF!</v>
      </c>
      <c r="GC382" t="e">
        <f>IF(#REF!,"AAAAAHzbJ7g=",0)</f>
        <v>#REF!</v>
      </c>
      <c r="GD382" t="e">
        <f>IF(#REF!,"AAAAAHzbJ7k=",0)</f>
        <v>#REF!</v>
      </c>
      <c r="GE382" t="e">
        <f>IF(#REF!,"AAAAAHzbJ7o=",0)</f>
        <v>#REF!</v>
      </c>
      <c r="GF382" t="e">
        <f>IF(#REF!,"AAAAAHzbJ7s=",0)</f>
        <v>#REF!</v>
      </c>
      <c r="GG382" t="e">
        <f>IF(#REF!,"AAAAAHzbJ7w=",0)</f>
        <v>#REF!</v>
      </c>
      <c r="GH382" t="e">
        <f>IF(#REF!,"AAAAAHzbJ70=",0)</f>
        <v>#REF!</v>
      </c>
      <c r="GI382" t="e">
        <f>IF(#REF!,"AAAAAHzbJ74=",0)</f>
        <v>#REF!</v>
      </c>
      <c r="GJ382" t="e">
        <f>IF(#REF!,"AAAAAHzbJ78=",0)</f>
        <v>#REF!</v>
      </c>
      <c r="GK382" t="e">
        <f>IF(#REF!,"AAAAAHzbJ8A=",0)</f>
        <v>#REF!</v>
      </c>
      <c r="GL382" t="e">
        <f>IF(#REF!,"AAAAAHzbJ8E=",0)</f>
        <v>#REF!</v>
      </c>
      <c r="GM382" t="e">
        <f>IF(#REF!,"AAAAAHzbJ8I=",0)</f>
        <v>#REF!</v>
      </c>
      <c r="GN382" t="e">
        <f>IF(#REF!,"AAAAAHzbJ8M=",0)</f>
        <v>#REF!</v>
      </c>
      <c r="GO382" t="e">
        <f>IF(#REF!,"AAAAAHzbJ8Q=",0)</f>
        <v>#REF!</v>
      </c>
      <c r="GP382" t="e">
        <f>IF(#REF!,"AAAAAHzbJ8U=",0)</f>
        <v>#REF!</v>
      </c>
      <c r="GQ382" t="e">
        <f>IF(#REF!,"AAAAAHzbJ8Y=",0)</f>
        <v>#REF!</v>
      </c>
      <c r="GR382" t="e">
        <f>IF(#REF!,"AAAAAHzbJ8c=",0)</f>
        <v>#REF!</v>
      </c>
      <c r="GS382" t="e">
        <f>IF(#REF!,"AAAAAHzbJ8g=",0)</f>
        <v>#REF!</v>
      </c>
      <c r="GT382" t="e">
        <f>IF(#REF!,"AAAAAHzbJ8k=",0)</f>
        <v>#REF!</v>
      </c>
      <c r="GU382" t="e">
        <f>IF(#REF!,"AAAAAHzbJ8o=",0)</f>
        <v>#REF!</v>
      </c>
      <c r="GV382" t="e">
        <f>IF(#REF!,"AAAAAHzbJ8s=",0)</f>
        <v>#REF!</v>
      </c>
      <c r="GW382" t="e">
        <f>IF(#REF!,"AAAAAHzbJ8w=",0)</f>
        <v>#REF!</v>
      </c>
      <c r="GX382" t="e">
        <f>IF(#REF!,"AAAAAHzbJ80=",0)</f>
        <v>#REF!</v>
      </c>
      <c r="GY382" t="e">
        <f>IF(#REF!,"AAAAAHzbJ84=",0)</f>
        <v>#REF!</v>
      </c>
      <c r="GZ382" t="e">
        <f>IF(#REF!,"AAAAAHzbJ88=",0)</f>
        <v>#REF!</v>
      </c>
      <c r="HA382" t="e">
        <f>IF(#REF!,"AAAAAHzbJ9A=",0)</f>
        <v>#REF!</v>
      </c>
      <c r="HB382" t="e">
        <f>IF(#REF!,"AAAAAHzbJ9E=",0)</f>
        <v>#REF!</v>
      </c>
      <c r="HC382" t="e">
        <f>IF(#REF!,"AAAAAHzbJ9I=",0)</f>
        <v>#REF!</v>
      </c>
      <c r="HD382" t="e">
        <f>IF(#REF!,"AAAAAHzbJ9M=",0)</f>
        <v>#REF!</v>
      </c>
      <c r="HE382" t="e">
        <f>IF(#REF!,"AAAAAHzbJ9Q=",0)</f>
        <v>#REF!</v>
      </c>
      <c r="HF382" t="e">
        <f>IF(#REF!,"AAAAAHzbJ9U=",0)</f>
        <v>#REF!</v>
      </c>
      <c r="HG382" t="e">
        <f>IF(#REF!,"AAAAAHzbJ9Y=",0)</f>
        <v>#REF!</v>
      </c>
      <c r="HH382" t="e">
        <f>IF(#REF!,"AAAAAHzbJ9c=",0)</f>
        <v>#REF!</v>
      </c>
      <c r="HI382" t="e">
        <f>IF(#REF!,"AAAAAHzbJ9g=",0)</f>
        <v>#REF!</v>
      </c>
      <c r="HJ382" t="e">
        <f>IF(#REF!,"AAAAAHzbJ9k=",0)</f>
        <v>#REF!</v>
      </c>
      <c r="HK382" t="e">
        <f>IF(#REF!,"AAAAAHzbJ9o=",0)</f>
        <v>#REF!</v>
      </c>
      <c r="HL382" t="e">
        <f>IF(#REF!,"AAAAAHzbJ9s=",0)</f>
        <v>#REF!</v>
      </c>
      <c r="HM382" t="e">
        <f>IF(#REF!,"AAAAAHzbJ9w=",0)</f>
        <v>#REF!</v>
      </c>
      <c r="HN382" t="e">
        <f>IF(#REF!,"AAAAAHzbJ90=",0)</f>
        <v>#REF!</v>
      </c>
      <c r="HO382" t="e">
        <f>IF(#REF!,"AAAAAHzbJ94=",0)</f>
        <v>#REF!</v>
      </c>
      <c r="HP382" t="e">
        <f>IF(#REF!,"AAAAAHzbJ98=",0)</f>
        <v>#REF!</v>
      </c>
      <c r="HQ382" t="e">
        <f>IF(#REF!,"AAAAAHzbJ+A=",0)</f>
        <v>#REF!</v>
      </c>
      <c r="HR382" t="e">
        <f>IF(#REF!,"AAAAAHzbJ+E=",0)</f>
        <v>#REF!</v>
      </c>
      <c r="HS382" t="e">
        <f>IF(#REF!,"AAAAAHzbJ+I=",0)</f>
        <v>#REF!</v>
      </c>
      <c r="HT382" t="e">
        <f>IF(#REF!,"AAAAAHzbJ+M=",0)</f>
        <v>#REF!</v>
      </c>
      <c r="HU382" t="e">
        <f>IF(#REF!,"AAAAAHzbJ+Q=",0)</f>
        <v>#REF!</v>
      </c>
      <c r="HV382" t="e">
        <f>IF(#REF!,"AAAAAHzbJ+U=",0)</f>
        <v>#REF!</v>
      </c>
      <c r="HW382" t="e">
        <f>IF(#REF!,"AAAAAHzbJ+Y=",0)</f>
        <v>#REF!</v>
      </c>
      <c r="HX382" t="e">
        <f>IF(#REF!,"AAAAAHzbJ+c=",0)</f>
        <v>#REF!</v>
      </c>
      <c r="HY382" t="e">
        <f>IF(#REF!,"AAAAAHzbJ+g=",0)</f>
        <v>#REF!</v>
      </c>
      <c r="HZ382" t="e">
        <f>IF(#REF!,"AAAAAHzbJ+k=",0)</f>
        <v>#REF!</v>
      </c>
      <c r="IA382" t="e">
        <f>IF(#REF!,"AAAAAHzbJ+o=",0)</f>
        <v>#REF!</v>
      </c>
      <c r="IB382" t="e">
        <f>IF(#REF!,"AAAAAHzbJ+s=",0)</f>
        <v>#REF!</v>
      </c>
      <c r="IC382" t="e">
        <f>IF(#REF!,"AAAAAHzbJ+w=",0)</f>
        <v>#REF!</v>
      </c>
      <c r="ID382" t="e">
        <f>IF(#REF!,"AAAAAHzbJ+0=",0)</f>
        <v>#REF!</v>
      </c>
      <c r="IE382" t="e">
        <f>IF(#REF!,"AAAAAHzbJ+4=",0)</f>
        <v>#REF!</v>
      </c>
      <c r="IF382" t="e">
        <f>IF(#REF!,"AAAAAHzbJ+8=",0)</f>
        <v>#REF!</v>
      </c>
      <c r="IG382" t="e">
        <f>IF(#REF!,"AAAAAHzbJ/A=",0)</f>
        <v>#REF!</v>
      </c>
      <c r="IH382" t="e">
        <f>IF(#REF!,"AAAAAHzbJ/E=",0)</f>
        <v>#REF!</v>
      </c>
      <c r="II382" t="e">
        <f>IF(#REF!,"AAAAAHzbJ/I=",0)</f>
        <v>#REF!</v>
      </c>
      <c r="IJ382" t="e">
        <f>IF(#REF!,"AAAAAHzbJ/M=",0)</f>
        <v>#REF!</v>
      </c>
      <c r="IK382" t="e">
        <f>IF(#REF!,"AAAAAHzbJ/Q=",0)</f>
        <v>#REF!</v>
      </c>
      <c r="IL382" t="e">
        <f>IF(#REF!,"AAAAAHzbJ/U=",0)</f>
        <v>#REF!</v>
      </c>
      <c r="IM382" t="e">
        <f>IF(#REF!,"AAAAAHzbJ/Y=",0)</f>
        <v>#REF!</v>
      </c>
      <c r="IN382" t="e">
        <f>IF(#REF!,"AAAAAHzbJ/c=",0)</f>
        <v>#REF!</v>
      </c>
      <c r="IO382" t="e">
        <f>IF(#REF!,"AAAAAHzbJ/g=",0)</f>
        <v>#REF!</v>
      </c>
      <c r="IP382" t="e">
        <f>IF(#REF!,"AAAAAHzbJ/k=",0)</f>
        <v>#REF!</v>
      </c>
      <c r="IQ382" t="e">
        <f>IF(#REF!,"AAAAAHzbJ/o=",0)</f>
        <v>#REF!</v>
      </c>
      <c r="IR382" t="e">
        <f>IF(#REF!,"AAAAAHzbJ/s=",0)</f>
        <v>#REF!</v>
      </c>
      <c r="IS382" t="e">
        <f>IF(#REF!,"AAAAAHzbJ/w=",0)</f>
        <v>#REF!</v>
      </c>
      <c r="IT382" t="e">
        <f>IF(#REF!,"AAAAAHzbJ/0=",0)</f>
        <v>#REF!</v>
      </c>
      <c r="IU382" t="e">
        <f>IF(#REF!,"AAAAAHzbJ/4=",0)</f>
        <v>#REF!</v>
      </c>
      <c r="IV382" t="e">
        <f>IF(#REF!,"AAAAAHzbJ/8=",0)</f>
        <v>#REF!</v>
      </c>
    </row>
    <row r="383" spans="1:256">
      <c r="A383" t="e">
        <f>IF(#REF!,"AAAAAHutfwA=",0)</f>
        <v>#REF!</v>
      </c>
      <c r="B383" t="e">
        <f>IF(#REF!,"AAAAAHutfwE=",0)</f>
        <v>#REF!</v>
      </c>
      <c r="C383" t="e">
        <f>IF(#REF!,"AAAAAHutfwI=",0)</f>
        <v>#REF!</v>
      </c>
      <c r="D383" t="e">
        <f>IF(#REF!,"AAAAAHutfwM=",0)</f>
        <v>#REF!</v>
      </c>
      <c r="E383" t="e">
        <f>IF(#REF!,"AAAAAHutfwQ=",0)</f>
        <v>#REF!</v>
      </c>
      <c r="F383" t="e">
        <f>IF(#REF!,"AAAAAHutfwU=",0)</f>
        <v>#REF!</v>
      </c>
      <c r="G383" t="e">
        <f>IF(#REF!,"AAAAAHutfwY=",0)</f>
        <v>#REF!</v>
      </c>
      <c r="H383" t="e">
        <f>IF(#REF!,"AAAAAHutfwc=",0)</f>
        <v>#REF!</v>
      </c>
      <c r="I383" t="e">
        <f>IF(#REF!,"AAAAAHutfwg=",0)</f>
        <v>#REF!</v>
      </c>
      <c r="J383" t="e">
        <f>IF(#REF!,"AAAAAHutfwk=",0)</f>
        <v>#REF!</v>
      </c>
      <c r="K383" t="e">
        <f>IF(#REF!,"AAAAAHutfwo=",0)</f>
        <v>#REF!</v>
      </c>
      <c r="L383" t="e">
        <f>IF(#REF!,"AAAAAHutfws=",0)</f>
        <v>#REF!</v>
      </c>
      <c r="M383" t="e">
        <f>IF(#REF!,"AAAAAHutfww=",0)</f>
        <v>#REF!</v>
      </c>
      <c r="N383" t="e">
        <f>IF(#REF!,"AAAAAHutfw0=",0)</f>
        <v>#REF!</v>
      </c>
      <c r="O383" t="e">
        <f>IF(#REF!,"AAAAAHutfw4=",0)</f>
        <v>#REF!</v>
      </c>
      <c r="P383" t="e">
        <f>IF(#REF!,"AAAAAHutfw8=",0)</f>
        <v>#REF!</v>
      </c>
      <c r="Q383" t="e">
        <f>IF(#REF!,"AAAAAHutfxA=",0)</f>
        <v>#REF!</v>
      </c>
      <c r="R383" t="e">
        <f>IF(#REF!,"AAAAAHutfxE=",0)</f>
        <v>#REF!</v>
      </c>
      <c r="S383" t="e">
        <f>IF(#REF!,"AAAAAHutfxI=",0)</f>
        <v>#REF!</v>
      </c>
      <c r="T383" t="e">
        <f>IF(#REF!,"AAAAAHutfxM=",0)</f>
        <v>#REF!</v>
      </c>
      <c r="U383" t="e">
        <f>IF(#REF!,"AAAAAHutfxQ=",0)</f>
        <v>#REF!</v>
      </c>
      <c r="V383" t="e">
        <f>IF(#REF!,"AAAAAHutfxU=",0)</f>
        <v>#REF!</v>
      </c>
      <c r="W383" t="e">
        <f>IF(#REF!,"AAAAAHutfxY=",0)</f>
        <v>#REF!</v>
      </c>
      <c r="X383" t="e">
        <f>IF(#REF!,"AAAAAHutfxc=",0)</f>
        <v>#REF!</v>
      </c>
      <c r="Y383" t="e">
        <f>IF(#REF!,"AAAAAHutfxg=",0)</f>
        <v>#REF!</v>
      </c>
      <c r="Z383" t="e">
        <f>IF(#REF!,"AAAAAHutfxk=",0)</f>
        <v>#REF!</v>
      </c>
      <c r="AA383" t="e">
        <f>IF(#REF!,"AAAAAHutfxo=",0)</f>
        <v>#REF!</v>
      </c>
      <c r="AB383" t="e">
        <f>IF(#REF!,"AAAAAHutfxs=",0)</f>
        <v>#REF!</v>
      </c>
      <c r="AC383" t="e">
        <f>IF(#REF!,"AAAAAHutfxw=",0)</f>
        <v>#REF!</v>
      </c>
      <c r="AD383" t="e">
        <f>IF(#REF!,"AAAAAHutfx0=",0)</f>
        <v>#REF!</v>
      </c>
      <c r="AE383" t="e">
        <f>IF(#REF!,"AAAAAHutfx4=",0)</f>
        <v>#REF!</v>
      </c>
      <c r="AF383" t="e">
        <f>IF(#REF!,"AAAAAHutfx8=",0)</f>
        <v>#REF!</v>
      </c>
      <c r="AG383" t="e">
        <f>IF(#REF!,"AAAAAHutfyA=",0)</f>
        <v>#REF!</v>
      </c>
      <c r="AH383" t="e">
        <f>IF(#REF!,"AAAAAHutfyE=",0)</f>
        <v>#REF!</v>
      </c>
      <c r="AI383" t="e">
        <f>IF(#REF!,"AAAAAHutfyI=",0)</f>
        <v>#REF!</v>
      </c>
      <c r="AJ383" t="e">
        <f>IF(#REF!,"AAAAAHutfyM=",0)</f>
        <v>#REF!</v>
      </c>
      <c r="AK383" t="e">
        <f>IF(#REF!,"AAAAAHutfyQ=",0)</f>
        <v>#REF!</v>
      </c>
      <c r="AL383" t="e">
        <f>IF(#REF!,"AAAAAHutfyU=",0)</f>
        <v>#REF!</v>
      </c>
      <c r="AM383" t="e">
        <f>IF(#REF!,"AAAAAHutfyY=",0)</f>
        <v>#REF!</v>
      </c>
      <c r="AN383" t="e">
        <f>IF(#REF!,"AAAAAHutfyc=",0)</f>
        <v>#REF!</v>
      </c>
      <c r="AO383" t="e">
        <f>IF(#REF!,"AAAAAHutfyg=",0)</f>
        <v>#REF!</v>
      </c>
      <c r="AP383" t="e">
        <f>IF(#REF!,"AAAAAHutfyk=",0)</f>
        <v>#REF!</v>
      </c>
      <c r="AQ383" t="e">
        <f>IF(#REF!,"AAAAAHutfyo=",0)</f>
        <v>#REF!</v>
      </c>
      <c r="AR383" t="e">
        <f>IF(#REF!,"AAAAAHutfys=",0)</f>
        <v>#REF!</v>
      </c>
      <c r="AS383" t="e">
        <f>IF(#REF!,"AAAAAHutfyw=",0)</f>
        <v>#REF!</v>
      </c>
      <c r="AT383" t="e">
        <f>IF(#REF!,"AAAAAHutfy0=",0)</f>
        <v>#REF!</v>
      </c>
      <c r="AU383" t="e">
        <f>IF(#REF!,"AAAAAHutfy4=",0)</f>
        <v>#REF!</v>
      </c>
      <c r="AV383" t="e">
        <f>IF(#REF!,"AAAAAHutfy8=",0)</f>
        <v>#REF!</v>
      </c>
      <c r="AW383" t="e">
        <f>IF(#REF!,"AAAAAHutfzA=",0)</f>
        <v>#REF!</v>
      </c>
      <c r="AX383" t="e">
        <f>IF(#REF!,"AAAAAHutfzE=",0)</f>
        <v>#REF!</v>
      </c>
      <c r="AY383" t="e">
        <f>IF(#REF!,"AAAAAHutfzI=",0)</f>
        <v>#REF!</v>
      </c>
      <c r="AZ383" t="e">
        <f>IF(#REF!,"AAAAAHutfzM=",0)</f>
        <v>#REF!</v>
      </c>
      <c r="BA383" t="e">
        <f>IF(#REF!,"AAAAAHutfzQ=",0)</f>
        <v>#REF!</v>
      </c>
      <c r="BB383" t="e">
        <f>IF(#REF!,"AAAAAHutfzU=",0)</f>
        <v>#REF!</v>
      </c>
      <c r="BC383" t="e">
        <f>IF(#REF!,"AAAAAHutfzY=",0)</f>
        <v>#REF!</v>
      </c>
      <c r="BD383" t="e">
        <f>IF(#REF!,"AAAAAHutfzc=",0)</f>
        <v>#REF!</v>
      </c>
      <c r="BE383" t="e">
        <f>IF(#REF!,"AAAAAHutfzg=",0)</f>
        <v>#REF!</v>
      </c>
      <c r="BF383" t="e">
        <f>IF(#REF!,"AAAAAHutfzk=",0)</f>
        <v>#REF!</v>
      </c>
      <c r="BG383" t="e">
        <f>IF(#REF!,"AAAAAHutfzo=",0)</f>
        <v>#REF!</v>
      </c>
      <c r="BH383" t="e">
        <f>IF(#REF!,"AAAAAHutfzs=",0)</f>
        <v>#REF!</v>
      </c>
      <c r="BI383" t="e">
        <f>IF(#REF!,"AAAAAHutfzw=",0)</f>
        <v>#REF!</v>
      </c>
      <c r="BJ383" t="e">
        <f>IF(#REF!,"AAAAAHutfz0=",0)</f>
        <v>#REF!</v>
      </c>
      <c r="BK383" t="e">
        <f>IF(#REF!,"AAAAAHutfz4=",0)</f>
        <v>#REF!</v>
      </c>
      <c r="BL383" t="e">
        <f>IF(#REF!,"AAAAAHutfz8=",0)</f>
        <v>#REF!</v>
      </c>
      <c r="BM383" t="e">
        <f>IF(#REF!,"AAAAAHutf0A=",0)</f>
        <v>#REF!</v>
      </c>
      <c r="BN383" t="e">
        <f>IF(#REF!,"AAAAAHutf0E=",0)</f>
        <v>#REF!</v>
      </c>
      <c r="BO383" t="e">
        <f>IF(#REF!,"AAAAAHutf0I=",0)</f>
        <v>#REF!</v>
      </c>
      <c r="BP383" t="e">
        <f>IF(#REF!,"AAAAAHutf0M=",0)</f>
        <v>#REF!</v>
      </c>
      <c r="BQ383" t="e">
        <f>IF(#REF!,"AAAAAHutf0Q=",0)</f>
        <v>#REF!</v>
      </c>
      <c r="BR383" t="e">
        <f>IF(#REF!,"AAAAAHutf0U=",0)</f>
        <v>#REF!</v>
      </c>
      <c r="BS383" t="e">
        <f>IF(#REF!,"AAAAAHutf0Y=",0)</f>
        <v>#REF!</v>
      </c>
      <c r="BT383" t="e">
        <f>IF(#REF!,"AAAAAHutf0c=",0)</f>
        <v>#REF!</v>
      </c>
      <c r="BU383" t="e">
        <f>IF(#REF!,"AAAAAHutf0g=",0)</f>
        <v>#REF!</v>
      </c>
      <c r="BV383" t="e">
        <f>IF(#REF!,"AAAAAHutf0k=",0)</f>
        <v>#REF!</v>
      </c>
      <c r="BW383" t="e">
        <f>IF(#REF!,"AAAAAHutf0o=",0)</f>
        <v>#REF!</v>
      </c>
      <c r="BX383" t="e">
        <f>IF(#REF!,"AAAAAHutf0s=",0)</f>
        <v>#REF!</v>
      </c>
      <c r="BY383" t="e">
        <f>IF(#REF!,"AAAAAHutf0w=",0)</f>
        <v>#REF!</v>
      </c>
      <c r="BZ383" t="e">
        <f>IF(#REF!,"AAAAAHutf00=",0)</f>
        <v>#REF!</v>
      </c>
      <c r="CA383" t="e">
        <f>IF(#REF!,"AAAAAHutf04=",0)</f>
        <v>#REF!</v>
      </c>
      <c r="CB383" t="e">
        <f>IF(#REF!,"AAAAAHutf08=",0)</f>
        <v>#REF!</v>
      </c>
      <c r="CC383" t="e">
        <f>IF(#REF!,"AAAAAHutf1A=",0)</f>
        <v>#REF!</v>
      </c>
      <c r="CD383" t="e">
        <f>IF(#REF!,"AAAAAHutf1E=",0)</f>
        <v>#REF!</v>
      </c>
      <c r="CE383" t="e">
        <f>IF(#REF!,"AAAAAHutf1I=",0)</f>
        <v>#REF!</v>
      </c>
      <c r="CF383" t="e">
        <f>IF(#REF!,"AAAAAHutf1M=",0)</f>
        <v>#REF!</v>
      </c>
      <c r="CG383" t="e">
        <f>IF(#REF!,"AAAAAHutf1Q=",0)</f>
        <v>#REF!</v>
      </c>
      <c r="CH383" t="e">
        <f>IF(#REF!,"AAAAAHutf1U=",0)</f>
        <v>#REF!</v>
      </c>
      <c r="CI383" t="e">
        <f>IF(#REF!,"AAAAAHutf1Y=",0)</f>
        <v>#REF!</v>
      </c>
      <c r="CJ383" t="e">
        <f>IF(#REF!,"AAAAAHutf1c=",0)</f>
        <v>#REF!</v>
      </c>
      <c r="CK383" t="e">
        <f>IF(#REF!,"AAAAAHutf1g=",0)</f>
        <v>#REF!</v>
      </c>
      <c r="CL383" t="e">
        <f>IF(#REF!,"AAAAAHutf1k=",0)</f>
        <v>#REF!</v>
      </c>
      <c r="CM383" t="e">
        <f>IF(#REF!,"AAAAAHutf1o=",0)</f>
        <v>#REF!</v>
      </c>
      <c r="CN383" t="e">
        <f>IF(#REF!,"AAAAAHutf1s=",0)</f>
        <v>#REF!</v>
      </c>
      <c r="CO383" t="e">
        <f>IF(#REF!,"AAAAAHutf1w=",0)</f>
        <v>#REF!</v>
      </c>
      <c r="CP383" t="e">
        <f>IF(#REF!,"AAAAAHutf10=",0)</f>
        <v>#REF!</v>
      </c>
      <c r="CQ383" t="e">
        <f>IF(#REF!,"AAAAAHutf14=",0)</f>
        <v>#REF!</v>
      </c>
      <c r="CR383" t="e">
        <f>IF(#REF!,"AAAAAHutf18=",0)</f>
        <v>#REF!</v>
      </c>
      <c r="CS383" t="e">
        <f>IF(#REF!,"AAAAAHutf2A=",0)</f>
        <v>#REF!</v>
      </c>
      <c r="CT383" t="e">
        <f>IF(#REF!,"AAAAAHutf2E=",0)</f>
        <v>#REF!</v>
      </c>
      <c r="CU383" t="e">
        <f>IF(#REF!,"AAAAAHutf2I=",0)</f>
        <v>#REF!</v>
      </c>
      <c r="CV383" t="e">
        <f>IF(#REF!,"AAAAAHutf2M=",0)</f>
        <v>#REF!</v>
      </c>
      <c r="CW383" t="e">
        <f>IF(#REF!,"AAAAAHutf2Q=",0)</f>
        <v>#REF!</v>
      </c>
      <c r="CX383" t="e">
        <f>IF(#REF!,"AAAAAHutf2U=",0)</f>
        <v>#REF!</v>
      </c>
      <c r="CY383" t="e">
        <f>IF(#REF!,"AAAAAHutf2Y=",0)</f>
        <v>#REF!</v>
      </c>
      <c r="CZ383" t="e">
        <f>IF(#REF!,"AAAAAHutf2c=",0)</f>
        <v>#REF!</v>
      </c>
      <c r="DA383" t="e">
        <f>IF(#REF!,"AAAAAHutf2g=",0)</f>
        <v>#REF!</v>
      </c>
      <c r="DB383" t="e">
        <f>IF(#REF!,"AAAAAHutf2k=",0)</f>
        <v>#REF!</v>
      </c>
      <c r="DC383" t="e">
        <f>IF(#REF!,"AAAAAHutf2o=",0)</f>
        <v>#REF!</v>
      </c>
      <c r="DD383" t="e">
        <f>IF(#REF!,"AAAAAHutf2s=",0)</f>
        <v>#REF!</v>
      </c>
      <c r="DE383" t="e">
        <f>IF(#REF!,"AAAAAHutf2w=",0)</f>
        <v>#REF!</v>
      </c>
      <c r="DF383" t="e">
        <f>IF(#REF!,"AAAAAHutf20=",0)</f>
        <v>#REF!</v>
      </c>
      <c r="DG383" t="e">
        <f>IF(#REF!,"AAAAAHutf24=",0)</f>
        <v>#REF!</v>
      </c>
      <c r="DH383" t="e">
        <f>IF(#REF!,"AAAAAHutf28=",0)</f>
        <v>#REF!</v>
      </c>
      <c r="DI383" t="e">
        <f>IF(#REF!,"AAAAAHutf3A=",0)</f>
        <v>#REF!</v>
      </c>
      <c r="DJ383" t="e">
        <f>IF(#REF!,"AAAAAHutf3E=",0)</f>
        <v>#REF!</v>
      </c>
      <c r="DK383" t="e">
        <f>IF(#REF!,"AAAAAHutf3I=",0)</f>
        <v>#REF!</v>
      </c>
      <c r="DL383" t="e">
        <f>IF(#REF!,"AAAAAHutf3M=",0)</f>
        <v>#REF!</v>
      </c>
      <c r="DM383" t="e">
        <f>IF(#REF!,"AAAAAHutf3Q=",0)</f>
        <v>#REF!</v>
      </c>
      <c r="DN383" t="e">
        <f>IF(#REF!,"AAAAAHutf3U=",0)</f>
        <v>#REF!</v>
      </c>
      <c r="DO383" t="e">
        <f>IF(#REF!,"AAAAAHutf3Y=",0)</f>
        <v>#REF!</v>
      </c>
      <c r="DP383" t="e">
        <f>IF(#REF!,"AAAAAHutf3c=",0)</f>
        <v>#REF!</v>
      </c>
      <c r="DQ383" t="e">
        <f>IF(#REF!,"AAAAAHutf3g=",0)</f>
        <v>#REF!</v>
      </c>
      <c r="DR383" t="e">
        <f>IF(#REF!,"AAAAAHutf3k=",0)</f>
        <v>#REF!</v>
      </c>
      <c r="DS383" t="e">
        <f>IF(#REF!,"AAAAAHutf3o=",0)</f>
        <v>#REF!</v>
      </c>
      <c r="DT383" t="e">
        <f>IF(#REF!,"AAAAAHutf3s=",0)</f>
        <v>#REF!</v>
      </c>
      <c r="DU383" t="e">
        <f>IF(#REF!,"AAAAAHutf3w=",0)</f>
        <v>#REF!</v>
      </c>
      <c r="DV383" t="e">
        <f>IF(#REF!,"AAAAAHutf30=",0)</f>
        <v>#REF!</v>
      </c>
      <c r="DW383" t="e">
        <f>IF(#REF!,"AAAAAHutf34=",0)</f>
        <v>#REF!</v>
      </c>
      <c r="DX383" t="e">
        <f>IF(#REF!,"AAAAAHutf38=",0)</f>
        <v>#REF!</v>
      </c>
      <c r="DY383" t="e">
        <f>IF(#REF!,"AAAAAHutf4A=",0)</f>
        <v>#REF!</v>
      </c>
      <c r="DZ383" t="e">
        <f>IF(#REF!,"AAAAAHutf4E=",0)</f>
        <v>#REF!</v>
      </c>
      <c r="EA383" t="e">
        <f>IF(#REF!,"AAAAAHutf4I=",0)</f>
        <v>#REF!</v>
      </c>
      <c r="EB383" t="e">
        <f>IF(#REF!,"AAAAAHutf4M=",0)</f>
        <v>#REF!</v>
      </c>
      <c r="EC383" t="e">
        <f>IF(#REF!,"AAAAAHutf4Q=",0)</f>
        <v>#REF!</v>
      </c>
      <c r="ED383" t="e">
        <f>IF(#REF!,"AAAAAHutf4U=",0)</f>
        <v>#REF!</v>
      </c>
      <c r="EE383" t="e">
        <f>IF(#REF!,"AAAAAHutf4Y=",0)</f>
        <v>#REF!</v>
      </c>
      <c r="EF383" t="e">
        <f>IF(#REF!,"AAAAAHutf4c=",0)</f>
        <v>#REF!</v>
      </c>
      <c r="EG383" t="e">
        <f>IF(#REF!,"AAAAAHutf4g=",0)</f>
        <v>#REF!</v>
      </c>
      <c r="EH383" t="e">
        <f>IF(#REF!,"AAAAAHutf4k=",0)</f>
        <v>#REF!</v>
      </c>
      <c r="EI383" t="e">
        <f>IF(#REF!,"AAAAAHutf4o=",0)</f>
        <v>#REF!</v>
      </c>
      <c r="EJ383" t="e">
        <f>IF(#REF!,"AAAAAHutf4s=",0)</f>
        <v>#REF!</v>
      </c>
      <c r="EK383" t="e">
        <f>IF(#REF!,"AAAAAHutf4w=",0)</f>
        <v>#REF!</v>
      </c>
      <c r="EL383" t="e">
        <f>IF(#REF!,"AAAAAHutf40=",0)</f>
        <v>#REF!</v>
      </c>
      <c r="EM383" t="e">
        <f>IF(#REF!,"AAAAAHutf44=",0)</f>
        <v>#REF!</v>
      </c>
      <c r="EN383" t="e">
        <f>IF(#REF!,"AAAAAHutf48=",0)</f>
        <v>#REF!</v>
      </c>
      <c r="EO383" t="e">
        <f>IF(#REF!,"AAAAAHutf5A=",0)</f>
        <v>#REF!</v>
      </c>
      <c r="EP383" t="e">
        <f>IF(#REF!,"AAAAAHutf5E=",0)</f>
        <v>#REF!</v>
      </c>
      <c r="EQ383" t="e">
        <f>IF(#REF!,"AAAAAHutf5I=",0)</f>
        <v>#REF!</v>
      </c>
      <c r="ER383" t="e">
        <f>IF(#REF!,"AAAAAHutf5M=",0)</f>
        <v>#REF!</v>
      </c>
      <c r="ES383" t="e">
        <f>IF(#REF!,"AAAAAHutf5Q=",0)</f>
        <v>#REF!</v>
      </c>
      <c r="ET383" t="e">
        <f>IF(#REF!,"AAAAAHutf5U=",0)</f>
        <v>#REF!</v>
      </c>
      <c r="EU383" t="e">
        <f>IF(#REF!,"AAAAAHutf5Y=",0)</f>
        <v>#REF!</v>
      </c>
      <c r="EV383" t="e">
        <f>IF(#REF!,"AAAAAHutf5c=",0)</f>
        <v>#REF!</v>
      </c>
      <c r="EW383" t="e">
        <f>IF(#REF!,"AAAAAHutf5g=",0)</f>
        <v>#REF!</v>
      </c>
      <c r="EX383" t="e">
        <f>IF(#REF!,"AAAAAHutf5k=",0)</f>
        <v>#REF!</v>
      </c>
      <c r="EY383" t="e">
        <f>IF(#REF!,"AAAAAHutf5o=",0)</f>
        <v>#REF!</v>
      </c>
      <c r="EZ383" t="e">
        <f>IF(#REF!,"AAAAAHutf5s=",0)</f>
        <v>#REF!</v>
      </c>
      <c r="FA383" t="e">
        <f>IF(#REF!,"AAAAAHutf5w=",0)</f>
        <v>#REF!</v>
      </c>
      <c r="FB383" t="e">
        <f>IF(#REF!,"AAAAAHutf50=",0)</f>
        <v>#REF!</v>
      </c>
      <c r="FC383" t="e">
        <f>IF(#REF!,"AAAAAHutf54=",0)</f>
        <v>#REF!</v>
      </c>
      <c r="FD383" t="e">
        <f>IF(#REF!,"AAAAAHutf58=",0)</f>
        <v>#REF!</v>
      </c>
      <c r="FE383" t="e">
        <f>IF(#REF!,"AAAAAHutf6A=",0)</f>
        <v>#REF!</v>
      </c>
      <c r="FF383" t="e">
        <f>IF(#REF!,"AAAAAHutf6E=",0)</f>
        <v>#REF!</v>
      </c>
      <c r="FG383" t="e">
        <f>IF(#REF!,"AAAAAHutf6I=",0)</f>
        <v>#REF!</v>
      </c>
      <c r="FH383" t="e">
        <f>IF(#REF!,"AAAAAHutf6M=",0)</f>
        <v>#REF!</v>
      </c>
      <c r="FI383" t="e">
        <f>IF(#REF!,"AAAAAHutf6Q=",0)</f>
        <v>#REF!</v>
      </c>
      <c r="FJ383" t="e">
        <f>IF(#REF!,"AAAAAHutf6U=",0)</f>
        <v>#REF!</v>
      </c>
      <c r="FK383" t="e">
        <f>IF(#REF!,"AAAAAHutf6Y=",0)</f>
        <v>#REF!</v>
      </c>
      <c r="FL383" t="e">
        <f>IF(#REF!,"AAAAAHutf6c=",0)</f>
        <v>#REF!</v>
      </c>
      <c r="FM383" t="e">
        <f>IF(#REF!,"AAAAAHutf6g=",0)</f>
        <v>#REF!</v>
      </c>
      <c r="FN383" t="e">
        <f>IF(#REF!,"AAAAAHutf6k=",0)</f>
        <v>#REF!</v>
      </c>
      <c r="FO383" t="e">
        <f>IF(#REF!,"AAAAAHutf6o=",0)</f>
        <v>#REF!</v>
      </c>
      <c r="FP383" t="e">
        <f>IF(#REF!,"AAAAAHutf6s=",0)</f>
        <v>#REF!</v>
      </c>
      <c r="FQ383" t="e">
        <f>IF(#REF!,"AAAAAHutf6w=",0)</f>
        <v>#REF!</v>
      </c>
      <c r="FR383" t="e">
        <f>IF(#REF!,"AAAAAHutf60=",0)</f>
        <v>#REF!</v>
      </c>
      <c r="FS383" t="e">
        <f>IF(#REF!,"AAAAAHutf64=",0)</f>
        <v>#REF!</v>
      </c>
      <c r="FT383" t="e">
        <f>IF(#REF!,"AAAAAHutf68=",0)</f>
        <v>#REF!</v>
      </c>
      <c r="FU383" t="e">
        <f>IF(#REF!,"AAAAAHutf7A=",0)</f>
        <v>#REF!</v>
      </c>
      <c r="FV383" t="e">
        <f>IF(#REF!,"AAAAAHutf7E=",0)</f>
        <v>#REF!</v>
      </c>
      <c r="FW383" t="e">
        <f>IF(#REF!,"AAAAAHutf7I=",0)</f>
        <v>#REF!</v>
      </c>
      <c r="FX383" t="e">
        <f>IF(#REF!,"AAAAAHutf7M=",0)</f>
        <v>#REF!</v>
      </c>
      <c r="FY383" t="e">
        <f>IF(#REF!,"AAAAAHutf7Q=",0)</f>
        <v>#REF!</v>
      </c>
      <c r="FZ383" t="e">
        <f>IF(#REF!,"AAAAAHutf7U=",0)</f>
        <v>#REF!</v>
      </c>
      <c r="GA383" t="e">
        <f>IF(#REF!,"AAAAAHutf7Y=",0)</f>
        <v>#REF!</v>
      </c>
      <c r="GB383" t="e">
        <f>IF(#REF!,"AAAAAHutf7c=",0)</f>
        <v>#REF!</v>
      </c>
      <c r="GC383" t="e">
        <f>IF(#REF!,"AAAAAHutf7g=",0)</f>
        <v>#REF!</v>
      </c>
      <c r="GD383" t="e">
        <f>IF(#REF!,"AAAAAHutf7k=",0)</f>
        <v>#REF!</v>
      </c>
      <c r="GE383" t="e">
        <f>IF(#REF!,"AAAAAHutf7o=",0)</f>
        <v>#REF!</v>
      </c>
      <c r="GF383" t="e">
        <f>IF(#REF!,"AAAAAHutf7s=",0)</f>
        <v>#REF!</v>
      </c>
      <c r="GG383" t="e">
        <f>IF(#REF!,"AAAAAHutf7w=",0)</f>
        <v>#REF!</v>
      </c>
      <c r="GH383" t="e">
        <f>IF(#REF!,"AAAAAHutf70=",0)</f>
        <v>#REF!</v>
      </c>
      <c r="GI383" t="e">
        <f>IF(#REF!,"AAAAAHutf74=",0)</f>
        <v>#REF!</v>
      </c>
      <c r="GJ383" t="e">
        <f>IF(#REF!,"AAAAAHutf78=",0)</f>
        <v>#REF!</v>
      </c>
      <c r="GK383" t="e">
        <f>IF(#REF!,"AAAAAHutf8A=",0)</f>
        <v>#REF!</v>
      </c>
      <c r="GL383" t="e">
        <f>IF(#REF!,"AAAAAHutf8E=",0)</f>
        <v>#REF!</v>
      </c>
      <c r="GM383" t="e">
        <f>IF(#REF!,"AAAAAHutf8I=",0)</f>
        <v>#REF!</v>
      </c>
      <c r="GN383" t="e">
        <f>IF(#REF!,"AAAAAHutf8M=",0)</f>
        <v>#REF!</v>
      </c>
      <c r="GO383" t="e">
        <f>IF(#REF!,"AAAAAHutf8Q=",0)</f>
        <v>#REF!</v>
      </c>
      <c r="GP383" t="e">
        <f>IF(#REF!,"AAAAAHutf8U=",0)</f>
        <v>#REF!</v>
      </c>
      <c r="GQ383" t="e">
        <f>IF(#REF!,"AAAAAHutf8Y=",0)</f>
        <v>#REF!</v>
      </c>
      <c r="GR383" t="e">
        <f>IF(#REF!,"AAAAAHutf8c=",0)</f>
        <v>#REF!</v>
      </c>
      <c r="GS383" t="e">
        <f>IF(#REF!,"AAAAAHutf8g=",0)</f>
        <v>#REF!</v>
      </c>
      <c r="GT383" t="e">
        <f>IF(#REF!,"AAAAAHutf8k=",0)</f>
        <v>#REF!</v>
      </c>
      <c r="GU383" t="e">
        <f>IF(#REF!,"AAAAAHutf8o=",0)</f>
        <v>#REF!</v>
      </c>
      <c r="GV383" t="e">
        <f>IF(#REF!,"AAAAAHutf8s=",0)</f>
        <v>#REF!</v>
      </c>
      <c r="GW383" t="e">
        <f>IF(#REF!,"AAAAAHutf8w=",0)</f>
        <v>#REF!</v>
      </c>
      <c r="GX383" t="e">
        <f>IF(#REF!,"AAAAAHutf80=",0)</f>
        <v>#REF!</v>
      </c>
      <c r="GY383" t="e">
        <f>IF(#REF!,"AAAAAHutf84=",0)</f>
        <v>#REF!</v>
      </c>
      <c r="GZ383" t="e">
        <f>IF(#REF!,"AAAAAHutf88=",0)</f>
        <v>#REF!</v>
      </c>
      <c r="HA383" t="e">
        <f>IF(#REF!,"AAAAAHutf9A=",0)</f>
        <v>#REF!</v>
      </c>
      <c r="HB383" t="e">
        <f>IF(#REF!,"AAAAAHutf9E=",0)</f>
        <v>#REF!</v>
      </c>
      <c r="HC383" t="e">
        <f>IF(#REF!,"AAAAAHutf9I=",0)</f>
        <v>#REF!</v>
      </c>
      <c r="HD383" t="e">
        <f>IF(#REF!,"AAAAAHutf9M=",0)</f>
        <v>#REF!</v>
      </c>
      <c r="HE383" t="e">
        <f>IF(#REF!,"AAAAAHutf9Q=",0)</f>
        <v>#REF!</v>
      </c>
      <c r="HF383" t="e">
        <f>IF(#REF!,"AAAAAHutf9U=",0)</f>
        <v>#REF!</v>
      </c>
      <c r="HG383" t="e">
        <f>IF(#REF!,"AAAAAHutf9Y=",0)</f>
        <v>#REF!</v>
      </c>
      <c r="HH383" t="e">
        <f>IF(#REF!,"AAAAAHutf9c=",0)</f>
        <v>#REF!</v>
      </c>
      <c r="HI383" t="e">
        <f>IF(#REF!,"AAAAAHutf9g=",0)</f>
        <v>#REF!</v>
      </c>
      <c r="HJ383" t="e">
        <f>IF(#REF!,"AAAAAHutf9k=",0)</f>
        <v>#REF!</v>
      </c>
      <c r="HK383" t="e">
        <f>IF(#REF!,"AAAAAHutf9o=",0)</f>
        <v>#REF!</v>
      </c>
      <c r="HL383" t="e">
        <f>IF(#REF!,"AAAAAHutf9s=",0)</f>
        <v>#REF!</v>
      </c>
      <c r="HM383" t="e">
        <f>IF(#REF!,"AAAAAHutf9w=",0)</f>
        <v>#REF!</v>
      </c>
      <c r="HN383" t="e">
        <f>IF(#REF!,"AAAAAHutf90=",0)</f>
        <v>#REF!</v>
      </c>
      <c r="HO383" t="e">
        <f>IF(#REF!,"AAAAAHutf94=",0)</f>
        <v>#REF!</v>
      </c>
      <c r="HP383" t="e">
        <f>IF(#REF!,"AAAAAHutf98=",0)</f>
        <v>#REF!</v>
      </c>
      <c r="HQ383" t="e">
        <f>IF(#REF!,"AAAAAHutf+A=",0)</f>
        <v>#REF!</v>
      </c>
      <c r="HR383" t="e">
        <f>IF(#REF!,"AAAAAHutf+E=",0)</f>
        <v>#REF!</v>
      </c>
      <c r="HS383" t="e">
        <f>IF(#REF!,"AAAAAHutf+I=",0)</f>
        <v>#REF!</v>
      </c>
      <c r="HT383" t="e">
        <f>IF(#REF!,"AAAAAHutf+M=",0)</f>
        <v>#REF!</v>
      </c>
      <c r="HU383" t="e">
        <f>IF(#REF!,"AAAAAHutf+Q=",0)</f>
        <v>#REF!</v>
      </c>
      <c r="HV383" t="e">
        <f>IF(#REF!,"AAAAAHutf+U=",0)</f>
        <v>#REF!</v>
      </c>
      <c r="HW383" t="e">
        <f>IF(#REF!,"AAAAAHutf+Y=",0)</f>
        <v>#REF!</v>
      </c>
      <c r="HX383" t="e">
        <f>IF(#REF!,"AAAAAHutf+c=",0)</f>
        <v>#REF!</v>
      </c>
      <c r="HY383" t="e">
        <f>IF(#REF!,"AAAAAHutf+g=",0)</f>
        <v>#REF!</v>
      </c>
      <c r="HZ383" t="e">
        <f>IF(#REF!,"AAAAAHutf+k=",0)</f>
        <v>#REF!</v>
      </c>
      <c r="IA383" t="e">
        <f>IF(#REF!,"AAAAAHutf+o=",0)</f>
        <v>#REF!</v>
      </c>
      <c r="IB383" t="e">
        <f>IF(#REF!,"AAAAAHutf+s=",0)</f>
        <v>#REF!</v>
      </c>
      <c r="IC383" t="e">
        <f>IF(#REF!,"AAAAAHutf+w=",0)</f>
        <v>#REF!</v>
      </c>
      <c r="ID383" t="e">
        <f>IF(#REF!,"AAAAAHutf+0=",0)</f>
        <v>#REF!</v>
      </c>
      <c r="IE383" t="e">
        <f>IF(#REF!,"AAAAAHutf+4=",0)</f>
        <v>#REF!</v>
      </c>
      <c r="IF383" t="e">
        <f>IF(#REF!,"AAAAAHutf+8=",0)</f>
        <v>#REF!</v>
      </c>
      <c r="IG383" t="e">
        <f>IF(#REF!,"AAAAAHutf/A=",0)</f>
        <v>#REF!</v>
      </c>
      <c r="IH383" t="e">
        <f>IF(#REF!,"AAAAAHutf/E=",0)</f>
        <v>#REF!</v>
      </c>
      <c r="II383" t="e">
        <f>IF(#REF!,"AAAAAHutf/I=",0)</f>
        <v>#REF!</v>
      </c>
      <c r="IJ383" t="e">
        <f>IF(#REF!,"AAAAAHutf/M=",0)</f>
        <v>#REF!</v>
      </c>
      <c r="IK383" t="e">
        <f>IF(#REF!,"AAAAAHutf/Q=",0)</f>
        <v>#REF!</v>
      </c>
      <c r="IL383" t="e">
        <f>IF(#REF!,"AAAAAHutf/U=",0)</f>
        <v>#REF!</v>
      </c>
      <c r="IM383" t="e">
        <f>IF(#REF!,"AAAAAHutf/Y=",0)</f>
        <v>#REF!</v>
      </c>
      <c r="IN383" t="e">
        <f>IF(#REF!,"AAAAAHutf/c=",0)</f>
        <v>#REF!</v>
      </c>
      <c r="IO383" t="e">
        <f>IF(#REF!,"AAAAAHutf/g=",0)</f>
        <v>#REF!</v>
      </c>
      <c r="IP383" t="e">
        <f>IF(#REF!,"AAAAAHutf/k=",0)</f>
        <v>#REF!</v>
      </c>
      <c r="IQ383" t="e">
        <f>IF(#REF!,"AAAAAHutf/o=",0)</f>
        <v>#REF!</v>
      </c>
      <c r="IR383" t="e">
        <f>IF(#REF!,"AAAAAHutf/s=",0)</f>
        <v>#REF!</v>
      </c>
      <c r="IS383" t="e">
        <f>IF(#REF!,"AAAAAHutf/w=",0)</f>
        <v>#REF!</v>
      </c>
      <c r="IT383" t="e">
        <f>IF(#REF!,"AAAAAHutf/0=",0)</f>
        <v>#REF!</v>
      </c>
      <c r="IU383" t="e">
        <f>IF(#REF!,"AAAAAHutf/4=",0)</f>
        <v>#REF!</v>
      </c>
      <c r="IV383" t="e">
        <f>IF(#REF!,"AAAAAHutf/8=",0)</f>
        <v>#REF!</v>
      </c>
    </row>
    <row r="384" spans="1:256">
      <c r="A384" t="e">
        <f>IF(#REF!,"AAAAAHTv1wA=",0)</f>
        <v>#REF!</v>
      </c>
      <c r="B384" t="e">
        <f>IF(#REF!,"AAAAAHTv1wE=",0)</f>
        <v>#REF!</v>
      </c>
      <c r="C384" t="e">
        <f>IF(#REF!,"AAAAAHTv1wI=",0)</f>
        <v>#REF!</v>
      </c>
      <c r="D384" t="e">
        <f>IF(#REF!,"AAAAAHTv1wM=",0)</f>
        <v>#REF!</v>
      </c>
      <c r="E384" t="e">
        <f>IF(#REF!,"AAAAAHTv1wQ=",0)</f>
        <v>#REF!</v>
      </c>
      <c r="F384" t="e">
        <f>IF(#REF!,"AAAAAHTv1wU=",0)</f>
        <v>#REF!</v>
      </c>
      <c r="G384" t="e">
        <f>IF(#REF!,"AAAAAHTv1wY=",0)</f>
        <v>#REF!</v>
      </c>
      <c r="H384" t="e">
        <f>IF(#REF!,"AAAAAHTv1wc=",0)</f>
        <v>#REF!</v>
      </c>
      <c r="I384" t="e">
        <f>IF(#REF!,"AAAAAHTv1wg=",0)</f>
        <v>#REF!</v>
      </c>
      <c r="J384" t="e">
        <f>IF(#REF!,"AAAAAHTv1wk=",0)</f>
        <v>#REF!</v>
      </c>
      <c r="K384" t="e">
        <f>IF(#REF!,"AAAAAHTv1wo=",0)</f>
        <v>#REF!</v>
      </c>
      <c r="L384" t="e">
        <f>IF(#REF!,"AAAAAHTv1ws=",0)</f>
        <v>#REF!</v>
      </c>
      <c r="M384" t="e">
        <f>IF(#REF!,"AAAAAHTv1ww=",0)</f>
        <v>#REF!</v>
      </c>
      <c r="N384" t="e">
        <f>IF(#REF!,"AAAAAHTv1w0=",0)</f>
        <v>#REF!</v>
      </c>
      <c r="O384" t="e">
        <f>IF(#REF!,"AAAAAHTv1w4=",0)</f>
        <v>#REF!</v>
      </c>
      <c r="P384" t="e">
        <f>IF(#REF!,"AAAAAHTv1w8=",0)</f>
        <v>#REF!</v>
      </c>
      <c r="Q384" t="e">
        <f>IF(#REF!,"AAAAAHTv1xA=",0)</f>
        <v>#REF!</v>
      </c>
      <c r="R384" t="e">
        <f>IF(#REF!,"AAAAAHTv1xE=",0)</f>
        <v>#REF!</v>
      </c>
      <c r="S384" t="e">
        <f>IF(#REF!,"AAAAAHTv1xI=",0)</f>
        <v>#REF!</v>
      </c>
      <c r="T384" t="e">
        <f>IF(#REF!,"AAAAAHTv1xM=",0)</f>
        <v>#REF!</v>
      </c>
      <c r="U384" t="e">
        <f>IF(#REF!,"AAAAAHTv1xQ=",0)</f>
        <v>#REF!</v>
      </c>
      <c r="V384" t="e">
        <f>IF(#REF!,"AAAAAHTv1xU=",0)</f>
        <v>#REF!</v>
      </c>
      <c r="W384" t="e">
        <f>IF(#REF!,"AAAAAHTv1xY=",0)</f>
        <v>#REF!</v>
      </c>
      <c r="X384" t="e">
        <f>IF(#REF!,"AAAAAHTv1xc=",0)</f>
        <v>#REF!</v>
      </c>
      <c r="Y384" t="e">
        <f>IF(#REF!,"AAAAAHTv1xg=",0)</f>
        <v>#REF!</v>
      </c>
      <c r="Z384" t="e">
        <f>IF(#REF!,"AAAAAHTv1xk=",0)</f>
        <v>#REF!</v>
      </c>
      <c r="AA384" t="e">
        <f>IF(#REF!,"AAAAAHTv1xo=",0)</f>
        <v>#REF!</v>
      </c>
      <c r="AB384" t="e">
        <f>IF(#REF!,"AAAAAHTv1xs=",0)</f>
        <v>#REF!</v>
      </c>
      <c r="AC384" t="e">
        <f>IF(#REF!,"AAAAAHTv1xw=",0)</f>
        <v>#REF!</v>
      </c>
      <c r="AD384" t="e">
        <f>IF(#REF!,"AAAAAHTv1x0=",0)</f>
        <v>#REF!</v>
      </c>
      <c r="AE384" t="e">
        <f>IF(#REF!,"AAAAAHTv1x4=",0)</f>
        <v>#REF!</v>
      </c>
      <c r="AF384" t="e">
        <f>IF(#REF!,"AAAAAHTv1x8=",0)</f>
        <v>#REF!</v>
      </c>
      <c r="AG384" t="e">
        <f>IF(#REF!,"AAAAAHTv1yA=",0)</f>
        <v>#REF!</v>
      </c>
      <c r="AH384" t="e">
        <f>IF(#REF!,"AAAAAHTv1yE=",0)</f>
        <v>#REF!</v>
      </c>
      <c r="AI384" t="e">
        <f>IF(#REF!,"AAAAAHTv1yI=",0)</f>
        <v>#REF!</v>
      </c>
      <c r="AJ384" t="e">
        <f>IF(#REF!,"AAAAAHTv1yM=",0)</f>
        <v>#REF!</v>
      </c>
      <c r="AK384" t="e">
        <f>IF(#REF!,"AAAAAHTv1yQ=",0)</f>
        <v>#REF!</v>
      </c>
      <c r="AL384" t="e">
        <f>IF(#REF!,"AAAAAHTv1yU=",0)</f>
        <v>#REF!</v>
      </c>
      <c r="AM384" t="e">
        <f>IF(#REF!,"AAAAAHTv1yY=",0)</f>
        <v>#REF!</v>
      </c>
      <c r="AN384" t="e">
        <f>IF(#REF!,"AAAAAHTv1yc=",0)</f>
        <v>#REF!</v>
      </c>
      <c r="AO384" t="e">
        <f>IF(#REF!,"AAAAAHTv1yg=",0)</f>
        <v>#REF!</v>
      </c>
      <c r="AP384" t="e">
        <f>IF(#REF!,"AAAAAHTv1yk=",0)</f>
        <v>#REF!</v>
      </c>
      <c r="AQ384" t="e">
        <f>IF(#REF!,"AAAAAHTv1yo=",0)</f>
        <v>#REF!</v>
      </c>
      <c r="AR384" t="e">
        <f>IF(#REF!,"AAAAAHTv1ys=",0)</f>
        <v>#REF!</v>
      </c>
      <c r="AS384" t="e">
        <f>IF(#REF!,"AAAAAHTv1yw=",0)</f>
        <v>#REF!</v>
      </c>
      <c r="AT384" t="e">
        <f>IF(#REF!,"AAAAAHTv1y0=",0)</f>
        <v>#REF!</v>
      </c>
      <c r="AU384" t="e">
        <f>IF(#REF!,"AAAAAHTv1y4=",0)</f>
        <v>#REF!</v>
      </c>
      <c r="AV384" t="e">
        <f>IF(#REF!,"AAAAAHTv1y8=",0)</f>
        <v>#REF!</v>
      </c>
      <c r="AW384" t="e">
        <f>IF(#REF!,"AAAAAHTv1zA=",0)</f>
        <v>#REF!</v>
      </c>
      <c r="AX384" t="e">
        <f>IF(#REF!,"AAAAAHTv1zE=",0)</f>
        <v>#REF!</v>
      </c>
      <c r="AY384" t="e">
        <f>IF(#REF!,"AAAAAHTv1zI=",0)</f>
        <v>#REF!</v>
      </c>
      <c r="AZ384" t="e">
        <f>IF(#REF!,"AAAAAHTv1zM=",0)</f>
        <v>#REF!</v>
      </c>
      <c r="BA384" t="e">
        <f>IF(#REF!,"AAAAAHTv1zQ=",0)</f>
        <v>#REF!</v>
      </c>
      <c r="BB384" t="e">
        <f>IF(#REF!,"AAAAAHTv1zU=",0)</f>
        <v>#REF!</v>
      </c>
      <c r="BC384" t="e">
        <f>IF(#REF!,"AAAAAHTv1zY=",0)</f>
        <v>#REF!</v>
      </c>
      <c r="BD384" t="e">
        <f>IF(#REF!,"AAAAAHTv1zc=",0)</f>
        <v>#REF!</v>
      </c>
      <c r="BE384" t="e">
        <f>IF(#REF!,"AAAAAHTv1zg=",0)</f>
        <v>#REF!</v>
      </c>
      <c r="BF384" t="e">
        <f>IF(#REF!,"AAAAAHTv1zk=",0)</f>
        <v>#REF!</v>
      </c>
      <c r="BG384" t="e">
        <f>IF(#REF!,"AAAAAHTv1zo=",0)</f>
        <v>#REF!</v>
      </c>
      <c r="BH384" t="e">
        <f>IF(#REF!,"AAAAAHTv1zs=",0)</f>
        <v>#REF!</v>
      </c>
      <c r="BI384" t="e">
        <f>IF(#REF!,"AAAAAHTv1zw=",0)</f>
        <v>#REF!</v>
      </c>
      <c r="BJ384" t="e">
        <f>IF(#REF!,"AAAAAHTv1z0=",0)</f>
        <v>#REF!</v>
      </c>
      <c r="BK384" t="e">
        <f>IF(#REF!,"AAAAAHTv1z4=",0)</f>
        <v>#REF!</v>
      </c>
      <c r="BL384" t="e">
        <f>IF(#REF!,"AAAAAHTv1z8=",0)</f>
        <v>#REF!</v>
      </c>
      <c r="BM384" t="e">
        <f>IF(#REF!,"AAAAAHTv10A=",0)</f>
        <v>#REF!</v>
      </c>
      <c r="BN384" t="e">
        <f>IF(#REF!,"AAAAAHTv10E=",0)</f>
        <v>#REF!</v>
      </c>
      <c r="BO384" t="e">
        <f>IF(#REF!,"AAAAAHTv10I=",0)</f>
        <v>#REF!</v>
      </c>
      <c r="BP384" t="e">
        <f>IF(#REF!,"AAAAAHTv10M=",0)</f>
        <v>#REF!</v>
      </c>
      <c r="BQ384" t="e">
        <f>IF(#REF!,"AAAAAHTv10Q=",0)</f>
        <v>#REF!</v>
      </c>
      <c r="BR384" t="e">
        <f>IF(#REF!,"AAAAAHTv10U=",0)</f>
        <v>#REF!</v>
      </c>
      <c r="BS384" t="e">
        <f>IF(#REF!,"AAAAAHTv10Y=",0)</f>
        <v>#REF!</v>
      </c>
      <c r="BT384" t="e">
        <f>IF(#REF!,"AAAAAHTv10c=",0)</f>
        <v>#REF!</v>
      </c>
      <c r="BU384" t="e">
        <f>IF(#REF!,"AAAAAHTv10g=",0)</f>
        <v>#REF!</v>
      </c>
      <c r="BV384" t="e">
        <f>IF(#REF!,"AAAAAHTv10k=",0)</f>
        <v>#REF!</v>
      </c>
      <c r="BW384" t="e">
        <f>IF(#REF!,"AAAAAHTv10o=",0)</f>
        <v>#REF!</v>
      </c>
      <c r="BX384" t="e">
        <f>IF(#REF!,"AAAAAHTv10s=",0)</f>
        <v>#REF!</v>
      </c>
      <c r="BY384" t="e">
        <f>IF(#REF!,"AAAAAHTv10w=",0)</f>
        <v>#REF!</v>
      </c>
      <c r="BZ384" t="e">
        <f>IF(#REF!,"AAAAAHTv100=",0)</f>
        <v>#REF!</v>
      </c>
      <c r="CA384" t="e">
        <f>IF(#REF!,"AAAAAHTv104=",0)</f>
        <v>#REF!</v>
      </c>
      <c r="CB384" t="e">
        <f>IF(#REF!,"AAAAAHTv108=",0)</f>
        <v>#REF!</v>
      </c>
      <c r="CC384" t="e">
        <f>IF(#REF!,"AAAAAHTv11A=",0)</f>
        <v>#REF!</v>
      </c>
      <c r="CD384" t="e">
        <f>IF(#REF!,"AAAAAHTv11E=",0)</f>
        <v>#REF!</v>
      </c>
      <c r="CE384" t="e">
        <f>IF(#REF!,"AAAAAHTv11I=",0)</f>
        <v>#REF!</v>
      </c>
      <c r="CF384" t="e">
        <f>IF(#REF!,"AAAAAHTv11M=",0)</f>
        <v>#REF!</v>
      </c>
      <c r="CG384" t="e">
        <f>IF(#REF!,"AAAAAHTv11Q=",0)</f>
        <v>#REF!</v>
      </c>
      <c r="CH384" t="e">
        <f>IF(#REF!,"AAAAAHTv11U=",0)</f>
        <v>#REF!</v>
      </c>
      <c r="CI384" t="e">
        <f>IF(#REF!,"AAAAAHTv11Y=",0)</f>
        <v>#REF!</v>
      </c>
      <c r="CJ384" t="e">
        <f>IF(#REF!,"AAAAAHTv11c=",0)</f>
        <v>#REF!</v>
      </c>
      <c r="CK384" t="e">
        <f>IF(#REF!,"AAAAAHTv11g=",0)</f>
        <v>#REF!</v>
      </c>
      <c r="CL384" t="e">
        <f>IF(#REF!,"AAAAAHTv11k=",0)</f>
        <v>#REF!</v>
      </c>
      <c r="CM384" t="e">
        <f>IF(#REF!,"AAAAAHTv11o=",0)</f>
        <v>#REF!</v>
      </c>
      <c r="CN384" t="e">
        <f>IF(#REF!,"AAAAAHTv11s=",0)</f>
        <v>#REF!</v>
      </c>
      <c r="CO384" t="e">
        <f>IF(#REF!,"AAAAAHTv11w=",0)</f>
        <v>#REF!</v>
      </c>
      <c r="CP384" t="e">
        <f>IF(#REF!,"AAAAAHTv110=",0)</f>
        <v>#REF!</v>
      </c>
      <c r="CQ384" t="e">
        <f>IF(#REF!,"AAAAAHTv114=",0)</f>
        <v>#REF!</v>
      </c>
      <c r="CR384" t="e">
        <f>IF(#REF!,"AAAAAHTv118=",0)</f>
        <v>#REF!</v>
      </c>
      <c r="CS384" t="e">
        <f>IF(#REF!,"AAAAAHTv12A=",0)</f>
        <v>#REF!</v>
      </c>
      <c r="CT384" t="e">
        <f>IF(#REF!,"AAAAAHTv12E=",0)</f>
        <v>#REF!</v>
      </c>
      <c r="CU384" t="e">
        <f>IF(#REF!,"AAAAAHTv12I=",0)</f>
        <v>#REF!</v>
      </c>
      <c r="CV384" t="e">
        <f>IF(#REF!,"AAAAAHTv12M=",0)</f>
        <v>#REF!</v>
      </c>
      <c r="CW384" t="e">
        <f>IF(#REF!,"AAAAAHTv12Q=",0)</f>
        <v>#REF!</v>
      </c>
      <c r="CX384" t="e">
        <f>IF(#REF!,"AAAAAHTv12U=",0)</f>
        <v>#REF!</v>
      </c>
      <c r="CY384" t="e">
        <f>IF(#REF!,"AAAAAHTv12Y=",0)</f>
        <v>#REF!</v>
      </c>
      <c r="CZ384" t="e">
        <f>IF(#REF!,"AAAAAHTv12c=",0)</f>
        <v>#REF!</v>
      </c>
      <c r="DA384" t="e">
        <f>IF(#REF!,"AAAAAHTv12g=",0)</f>
        <v>#REF!</v>
      </c>
      <c r="DB384" t="e">
        <f>IF(#REF!,"AAAAAHTv12k=",0)</f>
        <v>#REF!</v>
      </c>
      <c r="DC384" t="e">
        <f>IF(#REF!,"AAAAAHTv12o=",0)</f>
        <v>#REF!</v>
      </c>
      <c r="DD384" t="e">
        <f>IF(#REF!,"AAAAAHTv12s=",0)</f>
        <v>#REF!</v>
      </c>
      <c r="DE384" t="e">
        <f>IF(#REF!,"AAAAAHTv12w=",0)</f>
        <v>#REF!</v>
      </c>
      <c r="DF384" t="e">
        <f>IF(#REF!,"AAAAAHTv120=",0)</f>
        <v>#REF!</v>
      </c>
      <c r="DG384" t="e">
        <f>IF(#REF!,"AAAAAHTv124=",0)</f>
        <v>#REF!</v>
      </c>
      <c r="DH384" t="e">
        <f>IF(#REF!,"AAAAAHTv128=",0)</f>
        <v>#REF!</v>
      </c>
      <c r="DI384" t="e">
        <f>IF(#REF!,"AAAAAHTv13A=",0)</f>
        <v>#REF!</v>
      </c>
      <c r="DJ384" t="e">
        <f>IF(#REF!,"AAAAAHTv13E=",0)</f>
        <v>#REF!</v>
      </c>
      <c r="DK384" t="e">
        <f>IF(#REF!,"AAAAAHTv13I=",0)</f>
        <v>#REF!</v>
      </c>
      <c r="DL384" t="e">
        <f>IF(#REF!,"AAAAAHTv13M=",0)</f>
        <v>#REF!</v>
      </c>
      <c r="DM384" t="e">
        <f>IF(#REF!,"AAAAAHTv13Q=",0)</f>
        <v>#REF!</v>
      </c>
      <c r="DN384" t="e">
        <f>IF(#REF!,"AAAAAHTv13U=",0)</f>
        <v>#REF!</v>
      </c>
      <c r="DO384" t="e">
        <f>IF(#REF!,"AAAAAHTv13Y=",0)</f>
        <v>#REF!</v>
      </c>
      <c r="DP384" t="e">
        <f>IF(#REF!,"AAAAAHTv13c=",0)</f>
        <v>#REF!</v>
      </c>
      <c r="DQ384" t="e">
        <f>IF(#REF!,"AAAAAHTv13g=",0)</f>
        <v>#REF!</v>
      </c>
      <c r="DR384" t="e">
        <f>IF(#REF!,"AAAAAHTv13k=",0)</f>
        <v>#REF!</v>
      </c>
      <c r="DS384" t="e">
        <f>IF(#REF!,"AAAAAHTv13o=",0)</f>
        <v>#REF!</v>
      </c>
      <c r="DT384" t="e">
        <f>IF(#REF!,"AAAAAHTv13s=",0)</f>
        <v>#REF!</v>
      </c>
      <c r="DU384" t="e">
        <f>IF(#REF!,"AAAAAHTv13w=",0)</f>
        <v>#REF!</v>
      </c>
      <c r="DV384" t="e">
        <f>IF(#REF!,"AAAAAHTv130=",0)</f>
        <v>#REF!</v>
      </c>
      <c r="DW384" t="e">
        <f>IF(#REF!,"AAAAAHTv134=",0)</f>
        <v>#REF!</v>
      </c>
      <c r="DX384" t="e">
        <f>IF(#REF!,"AAAAAHTv138=",0)</f>
        <v>#REF!</v>
      </c>
      <c r="DY384" t="e">
        <f>IF(#REF!,"AAAAAHTv14A=",0)</f>
        <v>#REF!</v>
      </c>
      <c r="DZ384" t="e">
        <f>IF(#REF!,"AAAAAHTv14E=",0)</f>
        <v>#REF!</v>
      </c>
      <c r="EA384" t="e">
        <f>IF(#REF!,"AAAAAHTv14I=",0)</f>
        <v>#REF!</v>
      </c>
      <c r="EB384" t="e">
        <f>IF(#REF!,"AAAAAHTv14M=",0)</f>
        <v>#REF!</v>
      </c>
      <c r="EC384" t="e">
        <f>IF(#REF!,"AAAAAHTv14Q=",0)</f>
        <v>#REF!</v>
      </c>
      <c r="ED384" t="e">
        <f>IF(#REF!,"AAAAAHTv14U=",0)</f>
        <v>#REF!</v>
      </c>
      <c r="EE384" t="e">
        <f>IF(#REF!,"AAAAAHTv14Y=",0)</f>
        <v>#REF!</v>
      </c>
      <c r="EF384" t="e">
        <f>IF(#REF!,"AAAAAHTv14c=",0)</f>
        <v>#REF!</v>
      </c>
      <c r="EG384" t="e">
        <f>IF(#REF!,"AAAAAHTv14g=",0)</f>
        <v>#REF!</v>
      </c>
      <c r="EH384" t="e">
        <f>IF(#REF!,"AAAAAHTv14k=",0)</f>
        <v>#REF!</v>
      </c>
      <c r="EI384" t="e">
        <f>IF(#REF!,"AAAAAHTv14o=",0)</f>
        <v>#REF!</v>
      </c>
      <c r="EJ384" t="e">
        <f>IF(#REF!,"AAAAAHTv14s=",0)</f>
        <v>#REF!</v>
      </c>
      <c r="EK384" t="e">
        <f>IF(#REF!,"AAAAAHTv14w=",0)</f>
        <v>#REF!</v>
      </c>
      <c r="EL384" t="e">
        <f>IF(#REF!,"AAAAAHTv140=",0)</f>
        <v>#REF!</v>
      </c>
      <c r="EM384" t="e">
        <f>IF(#REF!,"AAAAAHTv144=",0)</f>
        <v>#REF!</v>
      </c>
      <c r="EN384" t="e">
        <f>IF(#REF!,"AAAAAHTv148=",0)</f>
        <v>#REF!</v>
      </c>
      <c r="EO384" t="e">
        <f>IF(#REF!,"AAAAAHTv15A=",0)</f>
        <v>#REF!</v>
      </c>
      <c r="EP384" t="e">
        <f>IF(#REF!,"AAAAAHTv15E=",0)</f>
        <v>#REF!</v>
      </c>
      <c r="EQ384" t="e">
        <f>IF(#REF!,"AAAAAHTv15I=",0)</f>
        <v>#REF!</v>
      </c>
      <c r="ER384" t="e">
        <f>IF(#REF!,"AAAAAHTv15M=",0)</f>
        <v>#REF!</v>
      </c>
      <c r="ES384" t="e">
        <f>IF(#REF!,"AAAAAHTv15Q=",0)</f>
        <v>#REF!</v>
      </c>
      <c r="ET384" t="e">
        <f>IF(#REF!,"AAAAAHTv15U=",0)</f>
        <v>#REF!</v>
      </c>
      <c r="EU384" t="e">
        <f>IF(#REF!,"AAAAAHTv15Y=",0)</f>
        <v>#REF!</v>
      </c>
      <c r="EV384" t="e">
        <f>IF(#REF!,"AAAAAHTv15c=",0)</f>
        <v>#REF!</v>
      </c>
      <c r="EW384" t="e">
        <f>IF(#REF!,"AAAAAHTv15g=",0)</f>
        <v>#REF!</v>
      </c>
      <c r="EX384" t="e">
        <f>IF(#REF!,"AAAAAHTv15k=",0)</f>
        <v>#REF!</v>
      </c>
      <c r="EY384" t="e">
        <f>IF(#REF!,"AAAAAHTv15o=",0)</f>
        <v>#REF!</v>
      </c>
      <c r="EZ384" t="e">
        <f>IF(#REF!,"AAAAAHTv15s=",0)</f>
        <v>#REF!</v>
      </c>
      <c r="FA384" t="e">
        <f>IF(#REF!,"AAAAAHTv15w=",0)</f>
        <v>#REF!</v>
      </c>
      <c r="FB384" t="e">
        <f>IF(#REF!,"AAAAAHTv150=",0)</f>
        <v>#REF!</v>
      </c>
      <c r="FC384" t="e">
        <f>IF(#REF!,"AAAAAHTv154=",0)</f>
        <v>#REF!</v>
      </c>
      <c r="FD384" t="e">
        <f>IF(#REF!,"AAAAAHTv158=",0)</f>
        <v>#REF!</v>
      </c>
      <c r="FE384" t="e">
        <f>IF(#REF!,"AAAAAHTv16A=",0)</f>
        <v>#REF!</v>
      </c>
      <c r="FF384" t="e">
        <f>IF(#REF!,"AAAAAHTv16E=",0)</f>
        <v>#REF!</v>
      </c>
      <c r="FG384" t="e">
        <f>IF(#REF!,"AAAAAHTv16I=",0)</f>
        <v>#REF!</v>
      </c>
      <c r="FH384" t="e">
        <f>IF(#REF!,"AAAAAHTv16M=",0)</f>
        <v>#REF!</v>
      </c>
      <c r="FI384" t="e">
        <f>IF(#REF!,"AAAAAHTv16Q=",0)</f>
        <v>#REF!</v>
      </c>
      <c r="FJ384" t="e">
        <f>IF(#REF!,"AAAAAHTv16U=",0)</f>
        <v>#REF!</v>
      </c>
      <c r="FK384" t="e">
        <f>IF(#REF!,"AAAAAHTv16Y=",0)</f>
        <v>#REF!</v>
      </c>
      <c r="FL384" t="e">
        <f>IF(#REF!,"AAAAAHTv16c=",0)</f>
        <v>#REF!</v>
      </c>
      <c r="FM384" t="e">
        <f>IF(#REF!,"AAAAAHTv16g=",0)</f>
        <v>#REF!</v>
      </c>
      <c r="FN384" t="e">
        <f>IF(#REF!,"AAAAAHTv16k=",0)</f>
        <v>#REF!</v>
      </c>
      <c r="FO384" t="e">
        <f>IF(#REF!,"AAAAAHTv16o=",0)</f>
        <v>#REF!</v>
      </c>
      <c r="FP384" t="e">
        <f>IF(#REF!,"AAAAAHTv16s=",0)</f>
        <v>#REF!</v>
      </c>
      <c r="FQ384" t="e">
        <f>IF(#REF!,"AAAAAHTv16w=",0)</f>
        <v>#REF!</v>
      </c>
      <c r="FR384" t="e">
        <f>IF(#REF!,"AAAAAHTv160=",0)</f>
        <v>#REF!</v>
      </c>
      <c r="FS384" t="e">
        <f>IF(#REF!,"AAAAAHTv164=",0)</f>
        <v>#REF!</v>
      </c>
      <c r="FT384" t="e">
        <f>IF(#REF!,"AAAAAHTv168=",0)</f>
        <v>#REF!</v>
      </c>
      <c r="FU384" t="e">
        <f>IF(#REF!,"AAAAAHTv17A=",0)</f>
        <v>#REF!</v>
      </c>
      <c r="FV384" t="e">
        <f>IF(#REF!,"AAAAAHTv17E=",0)</f>
        <v>#REF!</v>
      </c>
      <c r="FW384" t="e">
        <f>IF(#REF!,"AAAAAHTv17I=",0)</f>
        <v>#REF!</v>
      </c>
      <c r="FX384" t="e">
        <f>IF(#REF!,"AAAAAHTv17M=",0)</f>
        <v>#REF!</v>
      </c>
      <c r="FY384" t="e">
        <f>IF(#REF!,"AAAAAHTv17Q=",0)</f>
        <v>#REF!</v>
      </c>
      <c r="FZ384" t="e">
        <f>IF(#REF!,"AAAAAHTv17U=",0)</f>
        <v>#REF!</v>
      </c>
      <c r="GA384" t="e">
        <f>IF(#REF!,"AAAAAHTv17Y=",0)</f>
        <v>#REF!</v>
      </c>
      <c r="GB384" t="e">
        <f>IF(#REF!,"AAAAAHTv17c=",0)</f>
        <v>#REF!</v>
      </c>
      <c r="GC384" t="e">
        <f>IF(#REF!,"AAAAAHTv17g=",0)</f>
        <v>#REF!</v>
      </c>
      <c r="GD384" t="e">
        <f>IF(#REF!,"AAAAAHTv17k=",0)</f>
        <v>#REF!</v>
      </c>
      <c r="GE384" t="e">
        <f>IF(#REF!,"AAAAAHTv17o=",0)</f>
        <v>#REF!</v>
      </c>
      <c r="GF384" t="e">
        <f>IF(#REF!,"AAAAAHTv17s=",0)</f>
        <v>#REF!</v>
      </c>
      <c r="GG384" t="e">
        <f>IF(#REF!,"AAAAAHTv17w=",0)</f>
        <v>#REF!</v>
      </c>
      <c r="GH384" t="e">
        <f>IF(#REF!,"AAAAAHTv170=",0)</f>
        <v>#REF!</v>
      </c>
      <c r="GI384" t="e">
        <f>IF(#REF!,"AAAAAHTv174=",0)</f>
        <v>#REF!</v>
      </c>
      <c r="GJ384" t="e">
        <f>IF(#REF!,"AAAAAHTv178=",0)</f>
        <v>#REF!</v>
      </c>
      <c r="GK384" t="e">
        <f>IF(#REF!,"AAAAAHTv18A=",0)</f>
        <v>#REF!</v>
      </c>
      <c r="GL384" t="e">
        <f>IF(#REF!,"AAAAAHTv18E=",0)</f>
        <v>#REF!</v>
      </c>
      <c r="GM384" t="e">
        <f>IF(#REF!,"AAAAAHTv18I=",0)</f>
        <v>#REF!</v>
      </c>
      <c r="GN384" t="e">
        <f>IF(#REF!,"AAAAAHTv18M=",0)</f>
        <v>#REF!</v>
      </c>
      <c r="GO384" t="e">
        <f>IF(#REF!,"AAAAAHTv18Q=",0)</f>
        <v>#REF!</v>
      </c>
      <c r="GP384" t="e">
        <f>IF(#REF!,"AAAAAHTv18U=",0)</f>
        <v>#REF!</v>
      </c>
      <c r="GQ384" t="e">
        <f>IF(#REF!,"AAAAAHTv18Y=",0)</f>
        <v>#REF!</v>
      </c>
      <c r="GR384" t="e">
        <f>IF(#REF!,"AAAAAHTv18c=",0)</f>
        <v>#REF!</v>
      </c>
      <c r="GS384" t="e">
        <f>IF(#REF!,"AAAAAHTv18g=",0)</f>
        <v>#REF!</v>
      </c>
      <c r="GT384" t="e">
        <f>IF(#REF!,"AAAAAHTv18k=",0)</f>
        <v>#REF!</v>
      </c>
      <c r="GU384" t="e">
        <f>IF(#REF!,"AAAAAHTv18o=",0)</f>
        <v>#REF!</v>
      </c>
      <c r="GV384" t="e">
        <f>IF(#REF!,"AAAAAHTv18s=",0)</f>
        <v>#REF!</v>
      </c>
      <c r="GW384" t="e">
        <f>IF(#REF!,"AAAAAHTv18w=",0)</f>
        <v>#REF!</v>
      </c>
      <c r="GX384" t="e">
        <f>IF(#REF!,"AAAAAHTv180=",0)</f>
        <v>#REF!</v>
      </c>
      <c r="GY384" t="e">
        <f>IF(#REF!,"AAAAAHTv184=",0)</f>
        <v>#REF!</v>
      </c>
      <c r="GZ384" t="e">
        <f>IF(#REF!,"AAAAAHTv188=",0)</f>
        <v>#REF!</v>
      </c>
      <c r="HA384" t="e">
        <f>IF(#REF!,"AAAAAHTv19A=",0)</f>
        <v>#REF!</v>
      </c>
      <c r="HB384" t="e">
        <f>IF(#REF!,"AAAAAHTv19E=",0)</f>
        <v>#REF!</v>
      </c>
      <c r="HC384" t="e">
        <f>IF(#REF!,"AAAAAHTv19I=",0)</f>
        <v>#REF!</v>
      </c>
      <c r="HD384" t="e">
        <f>IF(#REF!,"AAAAAHTv19M=",0)</f>
        <v>#REF!</v>
      </c>
      <c r="HE384" t="e">
        <f>IF(#REF!,"AAAAAHTv19Q=",0)</f>
        <v>#REF!</v>
      </c>
      <c r="HF384" t="e">
        <f>IF(#REF!,"AAAAAHTv19U=",0)</f>
        <v>#REF!</v>
      </c>
      <c r="HG384" t="e">
        <f>IF(#REF!,"AAAAAHTv19Y=",0)</f>
        <v>#REF!</v>
      </c>
      <c r="HH384" t="e">
        <f>IF(#REF!,"AAAAAHTv19c=",0)</f>
        <v>#REF!</v>
      </c>
      <c r="HI384" t="e">
        <f>IF(#REF!,"AAAAAHTv19g=",0)</f>
        <v>#REF!</v>
      </c>
      <c r="HJ384" t="e">
        <f>IF(#REF!,"AAAAAHTv19k=",0)</f>
        <v>#REF!</v>
      </c>
      <c r="HK384" t="e">
        <f>IF(#REF!,"AAAAAHTv19o=",0)</f>
        <v>#REF!</v>
      </c>
      <c r="HL384" t="e">
        <f>IF(#REF!,"AAAAAHTv19s=",0)</f>
        <v>#REF!</v>
      </c>
      <c r="HM384" t="e">
        <f>IF(#REF!,"AAAAAHTv19w=",0)</f>
        <v>#REF!</v>
      </c>
      <c r="HN384" t="e">
        <f>IF(#REF!,"AAAAAHTv190=",0)</f>
        <v>#REF!</v>
      </c>
      <c r="HO384" t="e">
        <f>IF(#REF!,"AAAAAHTv194=",0)</f>
        <v>#REF!</v>
      </c>
      <c r="HP384" t="e">
        <f>IF(#REF!,"AAAAAHTv198=",0)</f>
        <v>#REF!</v>
      </c>
      <c r="HQ384" t="e">
        <f>IF(#REF!,"AAAAAHTv1+A=",0)</f>
        <v>#REF!</v>
      </c>
      <c r="HR384" t="e">
        <f>IF(#REF!,"AAAAAHTv1+E=",0)</f>
        <v>#REF!</v>
      </c>
      <c r="HS384" t="e">
        <f>IF(#REF!,"AAAAAHTv1+I=",0)</f>
        <v>#REF!</v>
      </c>
      <c r="HT384" t="e">
        <f>IF(#REF!,"AAAAAHTv1+M=",0)</f>
        <v>#REF!</v>
      </c>
      <c r="HU384" t="e">
        <f>IF(#REF!,"AAAAAHTv1+Q=",0)</f>
        <v>#REF!</v>
      </c>
      <c r="HV384" t="e">
        <f>IF(#REF!,"AAAAAHTv1+U=",0)</f>
        <v>#REF!</v>
      </c>
      <c r="HW384" t="e">
        <f>IF(#REF!,"AAAAAHTv1+Y=",0)</f>
        <v>#REF!</v>
      </c>
      <c r="HX384" t="e">
        <f>IF(#REF!,"AAAAAHTv1+c=",0)</f>
        <v>#REF!</v>
      </c>
      <c r="HY384" t="e">
        <f>IF(#REF!,"AAAAAHTv1+g=",0)</f>
        <v>#REF!</v>
      </c>
      <c r="HZ384" t="e">
        <f>IF(#REF!,"AAAAAHTv1+k=",0)</f>
        <v>#REF!</v>
      </c>
      <c r="IA384" t="e">
        <f>IF(#REF!,"AAAAAHTv1+o=",0)</f>
        <v>#REF!</v>
      </c>
      <c r="IB384" t="e">
        <f>IF(#REF!,"AAAAAHTv1+s=",0)</f>
        <v>#REF!</v>
      </c>
      <c r="IC384" t="e">
        <f>IF(#REF!,"AAAAAHTv1+w=",0)</f>
        <v>#REF!</v>
      </c>
      <c r="ID384" t="e">
        <f>IF(#REF!,"AAAAAHTv1+0=",0)</f>
        <v>#REF!</v>
      </c>
      <c r="IE384" t="e">
        <f>IF(#REF!,"AAAAAHTv1+4=",0)</f>
        <v>#REF!</v>
      </c>
      <c r="IF384" t="e">
        <f>IF(#REF!,"AAAAAHTv1+8=",0)</f>
        <v>#REF!</v>
      </c>
      <c r="IG384" t="e">
        <f>IF(#REF!,"AAAAAHTv1/A=",0)</f>
        <v>#REF!</v>
      </c>
      <c r="IH384" t="e">
        <f>IF(#REF!,"AAAAAHTv1/E=",0)</f>
        <v>#REF!</v>
      </c>
      <c r="II384" t="e">
        <f>IF(#REF!,"AAAAAHTv1/I=",0)</f>
        <v>#REF!</v>
      </c>
      <c r="IJ384" t="e">
        <f>IF(#REF!,"AAAAAHTv1/M=",0)</f>
        <v>#REF!</v>
      </c>
      <c r="IK384" t="e">
        <f>IF(#REF!,"AAAAAHTv1/Q=",0)</f>
        <v>#REF!</v>
      </c>
      <c r="IL384" t="e">
        <f>IF(#REF!,"AAAAAHTv1/U=",0)</f>
        <v>#REF!</v>
      </c>
      <c r="IM384" t="e">
        <f>IF(#REF!,"AAAAAHTv1/Y=",0)</f>
        <v>#REF!</v>
      </c>
      <c r="IN384" t="e">
        <f>IF(#REF!,"AAAAAHTv1/c=",0)</f>
        <v>#REF!</v>
      </c>
      <c r="IO384" t="e">
        <f>IF(#REF!,"AAAAAHTv1/g=",0)</f>
        <v>#REF!</v>
      </c>
      <c r="IP384" t="e">
        <f>IF(#REF!,"AAAAAHTv1/k=",0)</f>
        <v>#REF!</v>
      </c>
      <c r="IQ384" t="e">
        <f>IF(#REF!,"AAAAAHTv1/o=",0)</f>
        <v>#REF!</v>
      </c>
      <c r="IR384" t="e">
        <f>IF(#REF!,"AAAAAHTv1/s=",0)</f>
        <v>#REF!</v>
      </c>
      <c r="IS384" t="e">
        <f>IF(#REF!,"AAAAAHTv1/w=",0)</f>
        <v>#REF!</v>
      </c>
      <c r="IT384" t="e">
        <f>IF(#REF!,"AAAAAHTv1/0=",0)</f>
        <v>#REF!</v>
      </c>
      <c r="IU384" t="e">
        <f>IF(#REF!,"AAAAAHTv1/4=",0)</f>
        <v>#REF!</v>
      </c>
      <c r="IV384" t="e">
        <f>IF(#REF!,"AAAAAHTv1/8=",0)</f>
        <v>#REF!</v>
      </c>
    </row>
    <row r="385" spans="1:256">
      <c r="A385" t="e">
        <f>IF(#REF!,"AAAAAH8W3QA=",0)</f>
        <v>#REF!</v>
      </c>
      <c r="B385" t="e">
        <f>IF(#REF!,"AAAAAH8W3QE=",0)</f>
        <v>#REF!</v>
      </c>
      <c r="C385" t="e">
        <f>IF(#REF!,"AAAAAH8W3QI=",0)</f>
        <v>#REF!</v>
      </c>
      <c r="D385" t="e">
        <f>IF(#REF!,"AAAAAH8W3QM=",0)</f>
        <v>#REF!</v>
      </c>
      <c r="E385" t="e">
        <f>IF(#REF!,"AAAAAH8W3QQ=",0)</f>
        <v>#REF!</v>
      </c>
      <c r="F385" t="e">
        <f>IF(#REF!,"AAAAAH8W3QU=",0)</f>
        <v>#REF!</v>
      </c>
      <c r="G385" t="e">
        <f>IF(#REF!,"AAAAAH8W3QY=",0)</f>
        <v>#REF!</v>
      </c>
      <c r="H385" t="e">
        <f>IF(#REF!,"AAAAAH8W3Qc=",0)</f>
        <v>#REF!</v>
      </c>
      <c r="I385" t="e">
        <f>IF(#REF!,"AAAAAH8W3Qg=",0)</f>
        <v>#REF!</v>
      </c>
      <c r="J385" t="e">
        <f>IF(#REF!,"AAAAAH8W3Qk=",0)</f>
        <v>#REF!</v>
      </c>
      <c r="K385" t="e">
        <f>IF(#REF!,"AAAAAH8W3Qo=",0)</f>
        <v>#REF!</v>
      </c>
      <c r="L385" t="e">
        <f>IF(#REF!,"AAAAAH8W3Qs=",0)</f>
        <v>#REF!</v>
      </c>
      <c r="M385" t="e">
        <f>IF(#REF!,"AAAAAH8W3Qw=",0)</f>
        <v>#REF!</v>
      </c>
      <c r="N385" t="e">
        <f>IF(#REF!,"AAAAAH8W3Q0=",0)</f>
        <v>#REF!</v>
      </c>
      <c r="O385" t="e">
        <f>IF(#REF!,"AAAAAH8W3Q4=",0)</f>
        <v>#REF!</v>
      </c>
      <c r="P385" t="e">
        <f>IF(#REF!,"AAAAAH8W3Q8=",0)</f>
        <v>#REF!</v>
      </c>
      <c r="Q385" t="e">
        <f>IF(#REF!,"AAAAAH8W3RA=",0)</f>
        <v>#REF!</v>
      </c>
      <c r="R385" t="e">
        <f>IF(#REF!,"AAAAAH8W3RE=",0)</f>
        <v>#REF!</v>
      </c>
      <c r="S385" t="e">
        <f>IF(#REF!,"AAAAAH8W3RI=",0)</f>
        <v>#REF!</v>
      </c>
      <c r="T385" t="e">
        <f>IF(#REF!,"AAAAAH8W3RM=",0)</f>
        <v>#REF!</v>
      </c>
      <c r="U385" t="e">
        <f>IF(#REF!,"AAAAAH8W3RQ=",0)</f>
        <v>#REF!</v>
      </c>
      <c r="V385" t="e">
        <f>IF(#REF!,"AAAAAH8W3RU=",0)</f>
        <v>#REF!</v>
      </c>
      <c r="W385" t="e">
        <f>IF(#REF!,"AAAAAH8W3RY=",0)</f>
        <v>#REF!</v>
      </c>
      <c r="X385" t="e">
        <f>IF(#REF!,"AAAAAH8W3Rc=",0)</f>
        <v>#REF!</v>
      </c>
      <c r="Y385" t="e">
        <f>IF(#REF!,"AAAAAH8W3Rg=",0)</f>
        <v>#REF!</v>
      </c>
      <c r="Z385" t="e">
        <f>IF(#REF!,"AAAAAH8W3Rk=",0)</f>
        <v>#REF!</v>
      </c>
      <c r="AA385" t="e">
        <f>IF(#REF!,"AAAAAH8W3Ro=",0)</f>
        <v>#REF!</v>
      </c>
      <c r="AB385" t="e">
        <f>IF(#REF!,"AAAAAH8W3Rs=",0)</f>
        <v>#REF!</v>
      </c>
      <c r="AC385" t="e">
        <f>IF(#REF!,"AAAAAH8W3Rw=",0)</f>
        <v>#REF!</v>
      </c>
      <c r="AD385" t="e">
        <f>IF(#REF!,"AAAAAH8W3R0=",0)</f>
        <v>#REF!</v>
      </c>
      <c r="AE385" t="e">
        <f>IF(#REF!,"AAAAAH8W3R4=",0)</f>
        <v>#REF!</v>
      </c>
      <c r="AF385" t="e">
        <f>IF(#REF!,"AAAAAH8W3R8=",0)</f>
        <v>#REF!</v>
      </c>
      <c r="AG385" t="e">
        <f>IF(#REF!,"AAAAAH8W3SA=",0)</f>
        <v>#REF!</v>
      </c>
      <c r="AH385" t="e">
        <f>IF(#REF!,"AAAAAH8W3SE=",0)</f>
        <v>#REF!</v>
      </c>
      <c r="AI385" t="e">
        <f>IF(#REF!,"AAAAAH8W3SI=",0)</f>
        <v>#REF!</v>
      </c>
      <c r="AJ385" t="e">
        <f>IF(#REF!,"AAAAAH8W3SM=",0)</f>
        <v>#REF!</v>
      </c>
      <c r="AK385" t="e">
        <f>IF(#REF!,"AAAAAH8W3SQ=",0)</f>
        <v>#REF!</v>
      </c>
      <c r="AL385" t="e">
        <f>IF(#REF!,"AAAAAH8W3SU=",0)</f>
        <v>#REF!</v>
      </c>
      <c r="AM385" t="e">
        <f>IF(#REF!,"AAAAAH8W3SY=",0)</f>
        <v>#REF!</v>
      </c>
      <c r="AN385" t="e">
        <f>IF(#REF!,"AAAAAH8W3Sc=",0)</f>
        <v>#REF!</v>
      </c>
      <c r="AO385" t="e">
        <f>IF(#REF!,"AAAAAH8W3Sg=",0)</f>
        <v>#REF!</v>
      </c>
      <c r="AP385" t="e">
        <f>IF(#REF!,"AAAAAH8W3Sk=",0)</f>
        <v>#REF!</v>
      </c>
      <c r="AQ385" t="e">
        <f>IF(#REF!,"AAAAAH8W3So=",0)</f>
        <v>#REF!</v>
      </c>
      <c r="AR385" t="e">
        <f>IF(#REF!,"AAAAAH8W3Ss=",0)</f>
        <v>#REF!</v>
      </c>
      <c r="AS385" t="e">
        <f>IF(#REF!,"AAAAAH8W3Sw=",0)</f>
        <v>#REF!</v>
      </c>
      <c r="AT385" t="e">
        <f>IF(#REF!,"AAAAAH8W3S0=",0)</f>
        <v>#REF!</v>
      </c>
      <c r="AU385" t="e">
        <f>IF(#REF!,"AAAAAH8W3S4=",0)</f>
        <v>#REF!</v>
      </c>
      <c r="AV385" t="e">
        <f>IF(#REF!,"AAAAAH8W3S8=",0)</f>
        <v>#REF!</v>
      </c>
      <c r="AW385" t="e">
        <f>IF(#REF!,"AAAAAH8W3TA=",0)</f>
        <v>#REF!</v>
      </c>
      <c r="AX385" t="e">
        <f>IF(#REF!,"AAAAAH8W3TE=",0)</f>
        <v>#REF!</v>
      </c>
      <c r="AY385" t="e">
        <f>IF(#REF!,"AAAAAH8W3TI=",0)</f>
        <v>#REF!</v>
      </c>
      <c r="AZ385" t="e">
        <f>IF(#REF!,"AAAAAH8W3TM=",0)</f>
        <v>#REF!</v>
      </c>
      <c r="BA385" t="e">
        <f>IF(#REF!,"AAAAAH8W3TQ=",0)</f>
        <v>#REF!</v>
      </c>
      <c r="BB385" t="e">
        <f>IF(#REF!,"AAAAAH8W3TU=",0)</f>
        <v>#REF!</v>
      </c>
      <c r="BC385" t="e">
        <f>IF(#REF!,"AAAAAH8W3TY=",0)</f>
        <v>#REF!</v>
      </c>
      <c r="BD385" t="e">
        <f>IF(#REF!,"AAAAAH8W3Tc=",0)</f>
        <v>#REF!</v>
      </c>
      <c r="BE385" t="e">
        <f>IF(#REF!,"AAAAAH8W3Tg=",0)</f>
        <v>#REF!</v>
      </c>
      <c r="BF385" t="e">
        <f>IF(#REF!,"AAAAAH8W3Tk=",0)</f>
        <v>#REF!</v>
      </c>
      <c r="BG385" t="e">
        <f>IF(#REF!,"AAAAAH8W3To=",0)</f>
        <v>#REF!</v>
      </c>
      <c r="BH385" t="e">
        <f>IF(#REF!,"AAAAAH8W3Ts=",0)</f>
        <v>#REF!</v>
      </c>
      <c r="BI385" t="e">
        <f>IF(#REF!,"AAAAAH8W3Tw=",0)</f>
        <v>#REF!</v>
      </c>
      <c r="BJ385" t="e">
        <f>IF(#REF!,"AAAAAH8W3T0=",0)</f>
        <v>#REF!</v>
      </c>
      <c r="BK385" t="e">
        <f>IF(#REF!,"AAAAAH8W3T4=",0)</f>
        <v>#REF!</v>
      </c>
      <c r="BL385" t="e">
        <f>IF(#REF!,"AAAAAH8W3T8=",0)</f>
        <v>#REF!</v>
      </c>
      <c r="BM385" t="e">
        <f>IF(#REF!,"AAAAAH8W3UA=",0)</f>
        <v>#REF!</v>
      </c>
      <c r="BN385" t="e">
        <f>IF(#REF!,"AAAAAH8W3UE=",0)</f>
        <v>#REF!</v>
      </c>
      <c r="BO385" t="e">
        <f>IF(#REF!,"AAAAAH8W3UI=",0)</f>
        <v>#REF!</v>
      </c>
      <c r="BP385" t="e">
        <f>IF(#REF!,"AAAAAH8W3UM=",0)</f>
        <v>#REF!</v>
      </c>
      <c r="BQ385" t="e">
        <f>IF(#REF!,"AAAAAH8W3UQ=",0)</f>
        <v>#REF!</v>
      </c>
      <c r="BR385" t="e">
        <f>IF(#REF!,"AAAAAH8W3UU=",0)</f>
        <v>#REF!</v>
      </c>
      <c r="BS385" t="e">
        <f>IF(#REF!,"AAAAAH8W3UY=",0)</f>
        <v>#REF!</v>
      </c>
      <c r="BT385" t="e">
        <f>IF(#REF!,"AAAAAH8W3Uc=",0)</f>
        <v>#REF!</v>
      </c>
      <c r="BU385" t="e">
        <f>IF(#REF!,"AAAAAH8W3Ug=",0)</f>
        <v>#REF!</v>
      </c>
      <c r="BV385" t="e">
        <f>IF(#REF!,"AAAAAH8W3Uk=",0)</f>
        <v>#REF!</v>
      </c>
      <c r="BW385" t="e">
        <f>IF(#REF!,"AAAAAH8W3Uo=",0)</f>
        <v>#REF!</v>
      </c>
      <c r="BX385" t="e">
        <f>IF(#REF!,"AAAAAH8W3Us=",0)</f>
        <v>#REF!</v>
      </c>
      <c r="BY385" t="e">
        <f>IF(#REF!,"AAAAAH8W3Uw=",0)</f>
        <v>#REF!</v>
      </c>
      <c r="BZ385" t="e">
        <f>IF(#REF!,"AAAAAH8W3U0=",0)</f>
        <v>#REF!</v>
      </c>
      <c r="CA385" t="e">
        <f>IF(#REF!,"AAAAAH8W3U4=",0)</f>
        <v>#REF!</v>
      </c>
      <c r="CB385" t="e">
        <f>IF(#REF!,"AAAAAH8W3U8=",0)</f>
        <v>#REF!</v>
      </c>
      <c r="CC385" t="e">
        <f>IF(#REF!,"AAAAAH8W3VA=",0)</f>
        <v>#REF!</v>
      </c>
      <c r="CD385" t="e">
        <f>IF(#REF!,"AAAAAH8W3VE=",0)</f>
        <v>#REF!</v>
      </c>
      <c r="CE385" t="e">
        <f>IF(#REF!,"AAAAAH8W3VI=",0)</f>
        <v>#REF!</v>
      </c>
      <c r="CF385" t="e">
        <f>IF(#REF!,"AAAAAH8W3VM=",0)</f>
        <v>#REF!</v>
      </c>
      <c r="CG385" t="e">
        <f>IF(#REF!,"AAAAAH8W3VQ=",0)</f>
        <v>#REF!</v>
      </c>
      <c r="CH385" t="e">
        <f>IF(#REF!,"AAAAAH8W3VU=",0)</f>
        <v>#REF!</v>
      </c>
      <c r="CI385" t="e">
        <f>IF(#REF!,"AAAAAH8W3VY=",0)</f>
        <v>#REF!</v>
      </c>
      <c r="CJ385" t="e">
        <f>IF(#REF!,"AAAAAH8W3Vc=",0)</f>
        <v>#REF!</v>
      </c>
      <c r="CK385" t="e">
        <f>IF(#REF!,"AAAAAH8W3Vg=",0)</f>
        <v>#REF!</v>
      </c>
      <c r="CL385" t="e">
        <f>IF(#REF!,"AAAAAH8W3Vk=",0)</f>
        <v>#REF!</v>
      </c>
      <c r="CM385" t="e">
        <f>IF(#REF!,"AAAAAH8W3Vo=",0)</f>
        <v>#REF!</v>
      </c>
      <c r="CN385" t="e">
        <f>IF(#REF!,"AAAAAH8W3Vs=",0)</f>
        <v>#REF!</v>
      </c>
      <c r="CO385" t="e">
        <f>IF(#REF!,"AAAAAH8W3Vw=",0)</f>
        <v>#REF!</v>
      </c>
      <c r="CP385" t="e">
        <f>IF(#REF!,"AAAAAH8W3V0=",0)</f>
        <v>#REF!</v>
      </c>
      <c r="CQ385" t="e">
        <f>IF(#REF!,"AAAAAH8W3V4=",0)</f>
        <v>#REF!</v>
      </c>
      <c r="CR385" t="e">
        <f>IF(#REF!,"AAAAAH8W3V8=",0)</f>
        <v>#REF!</v>
      </c>
      <c r="CS385" t="e">
        <f>IF(#REF!,"AAAAAH8W3WA=",0)</f>
        <v>#REF!</v>
      </c>
      <c r="CT385" t="e">
        <f>IF(#REF!,"AAAAAH8W3WE=",0)</f>
        <v>#REF!</v>
      </c>
      <c r="CU385" t="e">
        <f>IF(#REF!,"AAAAAH8W3WI=",0)</f>
        <v>#REF!</v>
      </c>
      <c r="CV385" t="e">
        <f>IF(#REF!,"AAAAAH8W3WM=",0)</f>
        <v>#REF!</v>
      </c>
      <c r="CW385" t="e">
        <f>IF(#REF!,"AAAAAH8W3WQ=",0)</f>
        <v>#REF!</v>
      </c>
      <c r="CX385" t="e">
        <f>IF(#REF!,"AAAAAH8W3WU=",0)</f>
        <v>#REF!</v>
      </c>
      <c r="CY385" t="e">
        <f>IF(#REF!,"AAAAAH8W3WY=",0)</f>
        <v>#REF!</v>
      </c>
      <c r="CZ385" t="e">
        <f>IF(#REF!,"AAAAAH8W3Wc=",0)</f>
        <v>#REF!</v>
      </c>
      <c r="DA385" t="e">
        <f>IF(#REF!,"AAAAAH8W3Wg=",0)</f>
        <v>#REF!</v>
      </c>
      <c r="DB385" t="e">
        <f>IF(#REF!,"AAAAAH8W3Wk=",0)</f>
        <v>#REF!</v>
      </c>
      <c r="DC385" t="e">
        <f>IF(#REF!,"AAAAAH8W3Wo=",0)</f>
        <v>#REF!</v>
      </c>
      <c r="DD385" t="e">
        <f>IF(#REF!,"AAAAAH8W3Ws=",0)</f>
        <v>#REF!</v>
      </c>
      <c r="DE385" t="e">
        <f>IF(#REF!,"AAAAAH8W3Ww=",0)</f>
        <v>#REF!</v>
      </c>
      <c r="DF385" t="e">
        <f>IF(#REF!,"AAAAAH8W3W0=",0)</f>
        <v>#REF!</v>
      </c>
      <c r="DG385" t="e">
        <f>IF(#REF!,"AAAAAH8W3W4=",0)</f>
        <v>#REF!</v>
      </c>
      <c r="DH385" t="e">
        <f>IF(#REF!,"AAAAAH8W3W8=",0)</f>
        <v>#REF!</v>
      </c>
      <c r="DI385" t="e">
        <f>IF(#REF!,"AAAAAH8W3XA=",0)</f>
        <v>#REF!</v>
      </c>
      <c r="DJ385" t="e">
        <f>IF(#REF!,"AAAAAH8W3XE=",0)</f>
        <v>#REF!</v>
      </c>
      <c r="DK385" t="e">
        <f>IF(#REF!,"AAAAAH8W3XI=",0)</f>
        <v>#REF!</v>
      </c>
      <c r="DL385" t="e">
        <f>IF(#REF!,"AAAAAH8W3XM=",0)</f>
        <v>#REF!</v>
      </c>
      <c r="DM385" t="e">
        <f>IF(#REF!,"AAAAAH8W3XQ=",0)</f>
        <v>#REF!</v>
      </c>
      <c r="DN385" t="e">
        <f>IF(#REF!,"AAAAAH8W3XU=",0)</f>
        <v>#REF!</v>
      </c>
      <c r="DO385" t="e">
        <f>IF(#REF!,"AAAAAH8W3XY=",0)</f>
        <v>#REF!</v>
      </c>
      <c r="DP385" t="e">
        <f>IF(#REF!,"AAAAAH8W3Xc=",0)</f>
        <v>#REF!</v>
      </c>
      <c r="DQ385" t="e">
        <f>IF(#REF!,"AAAAAH8W3Xg=",0)</f>
        <v>#REF!</v>
      </c>
      <c r="DR385" t="e">
        <f>IF(#REF!,"AAAAAH8W3Xk=",0)</f>
        <v>#REF!</v>
      </c>
      <c r="DS385" t="e">
        <f>IF(#REF!,"AAAAAH8W3Xo=",0)</f>
        <v>#REF!</v>
      </c>
      <c r="DT385" t="e">
        <f>IF(#REF!,"AAAAAH8W3Xs=",0)</f>
        <v>#REF!</v>
      </c>
      <c r="DU385" t="e">
        <f>IF(#REF!,"AAAAAH8W3Xw=",0)</f>
        <v>#REF!</v>
      </c>
      <c r="DV385" t="e">
        <f>IF(#REF!,"AAAAAH8W3X0=",0)</f>
        <v>#REF!</v>
      </c>
      <c r="DW385" t="e">
        <f>IF(#REF!,"AAAAAH8W3X4=",0)</f>
        <v>#REF!</v>
      </c>
      <c r="DX385" t="e">
        <f>IF(#REF!,"AAAAAH8W3X8=",0)</f>
        <v>#REF!</v>
      </c>
      <c r="DY385" t="e">
        <f>IF(#REF!,"AAAAAH8W3YA=",0)</f>
        <v>#REF!</v>
      </c>
      <c r="DZ385" t="e">
        <f>IF(#REF!,"AAAAAH8W3YE=",0)</f>
        <v>#REF!</v>
      </c>
      <c r="EA385" t="e">
        <f>IF(#REF!,"AAAAAH8W3YI=",0)</f>
        <v>#REF!</v>
      </c>
      <c r="EB385" t="e">
        <f>IF(#REF!,"AAAAAH8W3YM=",0)</f>
        <v>#REF!</v>
      </c>
      <c r="EC385" t="e">
        <f>IF(#REF!,"AAAAAH8W3YQ=",0)</f>
        <v>#REF!</v>
      </c>
      <c r="ED385" t="e">
        <f>IF(#REF!,"AAAAAH8W3YU=",0)</f>
        <v>#REF!</v>
      </c>
      <c r="EE385" t="e">
        <f>IF(#REF!,"AAAAAH8W3YY=",0)</f>
        <v>#REF!</v>
      </c>
      <c r="EF385" t="e">
        <f>IF(#REF!,"AAAAAH8W3Yc=",0)</f>
        <v>#REF!</v>
      </c>
      <c r="EG385" t="e">
        <f>IF(#REF!,"AAAAAH8W3Yg=",0)</f>
        <v>#REF!</v>
      </c>
      <c r="EH385" t="e">
        <f>IF(#REF!,"AAAAAH8W3Yk=",0)</f>
        <v>#REF!</v>
      </c>
      <c r="EI385" t="e">
        <f>IF(#REF!,"AAAAAH8W3Yo=",0)</f>
        <v>#REF!</v>
      </c>
      <c r="EJ385" t="e">
        <f>IF(#REF!,"AAAAAH8W3Ys=",0)</f>
        <v>#REF!</v>
      </c>
      <c r="EK385" t="e">
        <f>IF(#REF!,"AAAAAH8W3Yw=",0)</f>
        <v>#REF!</v>
      </c>
      <c r="EL385" t="e">
        <f>IF(#REF!,"AAAAAH8W3Y0=",0)</f>
        <v>#REF!</v>
      </c>
      <c r="EM385" t="e">
        <f>IF(#REF!,"AAAAAH8W3Y4=",0)</f>
        <v>#REF!</v>
      </c>
      <c r="EN385" t="e">
        <f>IF(#REF!,"AAAAAH8W3Y8=",0)</f>
        <v>#REF!</v>
      </c>
      <c r="EO385" t="e">
        <f>IF(#REF!,"AAAAAH8W3ZA=",0)</f>
        <v>#REF!</v>
      </c>
      <c r="EP385" t="e">
        <f>IF(#REF!,"AAAAAH8W3ZE=",0)</f>
        <v>#REF!</v>
      </c>
      <c r="EQ385" t="e">
        <f>IF(#REF!,"AAAAAH8W3ZI=",0)</f>
        <v>#REF!</v>
      </c>
      <c r="ER385" t="e">
        <f>IF(#REF!,"AAAAAH8W3ZM=",0)</f>
        <v>#REF!</v>
      </c>
      <c r="ES385" t="e">
        <f>IF(#REF!,"AAAAAH8W3ZQ=",0)</f>
        <v>#REF!</v>
      </c>
      <c r="ET385" t="e">
        <f>IF(#REF!,"AAAAAH8W3ZU=",0)</f>
        <v>#REF!</v>
      </c>
      <c r="EU385" t="e">
        <f>IF(#REF!,"AAAAAH8W3ZY=",0)</f>
        <v>#REF!</v>
      </c>
      <c r="EV385" t="e">
        <f>IF(#REF!,"AAAAAH8W3Zc=",0)</f>
        <v>#REF!</v>
      </c>
      <c r="EW385" t="e">
        <f>IF(#REF!,"AAAAAH8W3Zg=",0)</f>
        <v>#REF!</v>
      </c>
      <c r="EX385" t="e">
        <f>IF(#REF!,"AAAAAH8W3Zk=",0)</f>
        <v>#REF!</v>
      </c>
      <c r="EY385" t="e">
        <f>IF(#REF!,"AAAAAH8W3Zo=",0)</f>
        <v>#REF!</v>
      </c>
      <c r="EZ385" t="e">
        <f>IF(#REF!,"AAAAAH8W3Zs=",0)</f>
        <v>#REF!</v>
      </c>
      <c r="FA385" t="e">
        <f>IF(#REF!,"AAAAAH8W3Zw=",0)</f>
        <v>#REF!</v>
      </c>
      <c r="FB385" t="e">
        <f>IF(#REF!,"AAAAAH8W3Z0=",0)</f>
        <v>#REF!</v>
      </c>
      <c r="FC385" t="e">
        <f>IF(#REF!,"AAAAAH8W3Z4=",0)</f>
        <v>#REF!</v>
      </c>
      <c r="FD385" t="e">
        <f>IF(#REF!,"AAAAAH8W3Z8=",0)</f>
        <v>#REF!</v>
      </c>
      <c r="FE385" t="e">
        <f>IF(#REF!,"AAAAAH8W3aA=",0)</f>
        <v>#REF!</v>
      </c>
      <c r="FF385" t="e">
        <f>IF(#REF!,"AAAAAH8W3aE=",0)</f>
        <v>#REF!</v>
      </c>
      <c r="FG385" t="e">
        <f>IF(#REF!,"AAAAAH8W3aI=",0)</f>
        <v>#REF!</v>
      </c>
      <c r="FH385" t="e">
        <f>IF(#REF!,"AAAAAH8W3aM=",0)</f>
        <v>#REF!</v>
      </c>
      <c r="FI385" t="e">
        <f>IF(#REF!,"AAAAAH8W3aQ=",0)</f>
        <v>#REF!</v>
      </c>
      <c r="FJ385" t="e">
        <f>IF(#REF!,"AAAAAH8W3aU=",0)</f>
        <v>#REF!</v>
      </c>
      <c r="FK385" t="e">
        <f>IF(#REF!,"AAAAAH8W3aY=",0)</f>
        <v>#REF!</v>
      </c>
      <c r="FL385" t="e">
        <f>IF(#REF!,"AAAAAH8W3ac=",0)</f>
        <v>#REF!</v>
      </c>
      <c r="FM385" t="e">
        <f>IF(#REF!,"AAAAAH8W3ag=",0)</f>
        <v>#REF!</v>
      </c>
      <c r="FN385" t="e">
        <f>IF(#REF!,"AAAAAH8W3ak=",0)</f>
        <v>#REF!</v>
      </c>
      <c r="FO385" t="e">
        <f>IF(#REF!,"AAAAAH8W3ao=",0)</f>
        <v>#REF!</v>
      </c>
      <c r="FP385" t="e">
        <f>IF(#REF!,"AAAAAH8W3as=",0)</f>
        <v>#REF!</v>
      </c>
      <c r="FQ385" t="e">
        <f>IF(#REF!,"AAAAAH8W3aw=",0)</f>
        <v>#REF!</v>
      </c>
      <c r="FR385" t="e">
        <f>IF(#REF!,"AAAAAH8W3a0=",0)</f>
        <v>#REF!</v>
      </c>
      <c r="FS385" t="e">
        <f>IF(#REF!,"AAAAAH8W3a4=",0)</f>
        <v>#REF!</v>
      </c>
      <c r="FT385" t="e">
        <f>IF(#REF!,"AAAAAH8W3a8=",0)</f>
        <v>#REF!</v>
      </c>
      <c r="FU385" t="e">
        <f>IF(#REF!,"AAAAAH8W3bA=",0)</f>
        <v>#REF!</v>
      </c>
      <c r="FV385" t="e">
        <f>IF(#REF!,"AAAAAH8W3bE=",0)</f>
        <v>#REF!</v>
      </c>
      <c r="FW385" t="e">
        <f>IF(#REF!,"AAAAAH8W3bI=",0)</f>
        <v>#REF!</v>
      </c>
      <c r="FX385" t="e">
        <f>IF(#REF!,"AAAAAH8W3bM=",0)</f>
        <v>#REF!</v>
      </c>
      <c r="FY385" t="e">
        <f>IF(#REF!,"AAAAAH8W3bQ=",0)</f>
        <v>#REF!</v>
      </c>
      <c r="FZ385" t="e">
        <f>IF(#REF!,"AAAAAH8W3bU=",0)</f>
        <v>#REF!</v>
      </c>
      <c r="GA385" t="e">
        <f>IF(#REF!,"AAAAAH8W3bY=",0)</f>
        <v>#REF!</v>
      </c>
      <c r="GB385" t="e">
        <f>IF(#REF!,"AAAAAH8W3bc=",0)</f>
        <v>#REF!</v>
      </c>
      <c r="GC385" t="e">
        <f>IF(#REF!,"AAAAAH8W3bg=",0)</f>
        <v>#REF!</v>
      </c>
      <c r="GD385" t="e">
        <f>IF(#REF!,"AAAAAH8W3bk=",0)</f>
        <v>#REF!</v>
      </c>
      <c r="GE385" t="e">
        <f>IF(#REF!,"AAAAAH8W3bo=",0)</f>
        <v>#REF!</v>
      </c>
      <c r="GF385" t="e">
        <f>IF(#REF!,"AAAAAH8W3bs=",0)</f>
        <v>#REF!</v>
      </c>
      <c r="GG385" t="e">
        <f>IF(#REF!,"AAAAAH8W3bw=",0)</f>
        <v>#REF!</v>
      </c>
      <c r="GH385" t="e">
        <f>IF(#REF!,"AAAAAH8W3b0=",0)</f>
        <v>#REF!</v>
      </c>
      <c r="GI385" t="e">
        <f>IF(#REF!,"AAAAAH8W3b4=",0)</f>
        <v>#REF!</v>
      </c>
      <c r="GJ385" t="e">
        <f>IF(#REF!,"AAAAAH8W3b8=",0)</f>
        <v>#REF!</v>
      </c>
      <c r="GK385" t="e">
        <f>IF(#REF!,"AAAAAH8W3cA=",0)</f>
        <v>#REF!</v>
      </c>
      <c r="GL385" t="e">
        <f>IF(#REF!,"AAAAAH8W3cE=",0)</f>
        <v>#REF!</v>
      </c>
      <c r="GM385" t="e">
        <f>IF(#REF!,"AAAAAH8W3cI=",0)</f>
        <v>#REF!</v>
      </c>
      <c r="GN385" t="e">
        <f>IF(#REF!,"AAAAAH8W3cM=",0)</f>
        <v>#REF!</v>
      </c>
      <c r="GO385" t="e">
        <f>IF(#REF!,"AAAAAH8W3cQ=",0)</f>
        <v>#REF!</v>
      </c>
      <c r="GP385" t="e">
        <f>IF(#REF!,"AAAAAH8W3cU=",0)</f>
        <v>#REF!</v>
      </c>
      <c r="GQ385" t="e">
        <f>IF(#REF!,"AAAAAH8W3cY=",0)</f>
        <v>#REF!</v>
      </c>
      <c r="GR385" t="e">
        <f>IF(#REF!,"AAAAAH8W3cc=",0)</f>
        <v>#REF!</v>
      </c>
      <c r="GS385" t="e">
        <f>IF(#REF!,"AAAAAH8W3cg=",0)</f>
        <v>#REF!</v>
      </c>
      <c r="GT385" t="e">
        <f>IF(#REF!,"AAAAAH8W3ck=",0)</f>
        <v>#REF!</v>
      </c>
      <c r="GU385" t="e">
        <f>IF(#REF!,"AAAAAH8W3co=",0)</f>
        <v>#REF!</v>
      </c>
      <c r="GV385" t="e">
        <f>IF(#REF!,"AAAAAH8W3cs=",0)</f>
        <v>#REF!</v>
      </c>
      <c r="GW385" t="e">
        <f>IF(#REF!,"AAAAAH8W3cw=",0)</f>
        <v>#REF!</v>
      </c>
      <c r="GX385" t="e">
        <f>IF(#REF!,"AAAAAH8W3c0=",0)</f>
        <v>#REF!</v>
      </c>
      <c r="GY385" t="e">
        <f>IF(#REF!,"AAAAAH8W3c4=",0)</f>
        <v>#REF!</v>
      </c>
      <c r="GZ385" t="e">
        <f>IF(#REF!,"AAAAAH8W3c8=",0)</f>
        <v>#REF!</v>
      </c>
      <c r="HA385" t="e">
        <f>IF(#REF!,"AAAAAH8W3dA=",0)</f>
        <v>#REF!</v>
      </c>
      <c r="HB385" t="e">
        <f>IF(#REF!,"AAAAAH8W3dE=",0)</f>
        <v>#REF!</v>
      </c>
      <c r="HC385" t="e">
        <f>IF(#REF!,"AAAAAH8W3dI=",0)</f>
        <v>#REF!</v>
      </c>
      <c r="HD385" t="e">
        <f>IF(#REF!,"AAAAAH8W3dM=",0)</f>
        <v>#REF!</v>
      </c>
      <c r="HE385" t="e">
        <f>IF(#REF!,"AAAAAH8W3dQ=",0)</f>
        <v>#REF!</v>
      </c>
      <c r="HF385" t="e">
        <f>IF(#REF!,"AAAAAH8W3dU=",0)</f>
        <v>#REF!</v>
      </c>
      <c r="HG385" t="e">
        <f>IF(#REF!,"AAAAAH8W3dY=",0)</f>
        <v>#REF!</v>
      </c>
      <c r="HH385" t="e">
        <f>IF(#REF!,"AAAAAH8W3dc=",0)</f>
        <v>#REF!</v>
      </c>
      <c r="HI385" t="e">
        <f>IF(#REF!,"AAAAAH8W3dg=",0)</f>
        <v>#REF!</v>
      </c>
      <c r="HJ385" t="e">
        <f>IF(#REF!,"AAAAAH8W3dk=",0)</f>
        <v>#REF!</v>
      </c>
      <c r="HK385" t="e">
        <f>IF(#REF!,"AAAAAH8W3do=",0)</f>
        <v>#REF!</v>
      </c>
      <c r="HL385" t="e">
        <f>IF(#REF!,"AAAAAH8W3ds=",0)</f>
        <v>#REF!</v>
      </c>
      <c r="HM385" t="e">
        <f>IF(#REF!,"AAAAAH8W3dw=",0)</f>
        <v>#REF!</v>
      </c>
      <c r="HN385" t="e">
        <f>IF(#REF!,"AAAAAH8W3d0=",0)</f>
        <v>#REF!</v>
      </c>
      <c r="HO385" t="e">
        <f>IF(#REF!,"AAAAAH8W3d4=",0)</f>
        <v>#REF!</v>
      </c>
      <c r="HP385" t="e">
        <f>IF(#REF!,"AAAAAH8W3d8=",0)</f>
        <v>#REF!</v>
      </c>
      <c r="HQ385" t="e">
        <f>IF(#REF!,"AAAAAH8W3eA=",0)</f>
        <v>#REF!</v>
      </c>
      <c r="HR385" t="e">
        <f>IF(#REF!,"AAAAAH8W3eE=",0)</f>
        <v>#REF!</v>
      </c>
      <c r="HS385" t="e">
        <f>IF(#REF!,"AAAAAH8W3eI=",0)</f>
        <v>#REF!</v>
      </c>
      <c r="HT385" t="e">
        <f>IF(#REF!,"AAAAAH8W3eM=",0)</f>
        <v>#REF!</v>
      </c>
      <c r="HU385" t="e">
        <f>IF(#REF!,"AAAAAH8W3eQ=",0)</f>
        <v>#REF!</v>
      </c>
      <c r="HV385" t="e">
        <f>IF(#REF!,"AAAAAH8W3eU=",0)</f>
        <v>#REF!</v>
      </c>
      <c r="HW385" t="e">
        <f>IF(#REF!,"AAAAAH8W3eY=",0)</f>
        <v>#REF!</v>
      </c>
      <c r="HX385" t="e">
        <f>IF(#REF!,"AAAAAH8W3ec=",0)</f>
        <v>#REF!</v>
      </c>
      <c r="HY385" t="e">
        <f>IF(#REF!,"AAAAAH8W3eg=",0)</f>
        <v>#REF!</v>
      </c>
      <c r="HZ385" t="e">
        <f>IF(#REF!,"AAAAAH8W3ek=",0)</f>
        <v>#REF!</v>
      </c>
      <c r="IA385" t="e">
        <f>IF(#REF!,"AAAAAH8W3eo=",0)</f>
        <v>#REF!</v>
      </c>
      <c r="IB385" t="e">
        <f>IF(#REF!,"AAAAAH8W3es=",0)</f>
        <v>#REF!</v>
      </c>
      <c r="IC385" t="e">
        <f>IF(#REF!,"AAAAAH8W3ew=",0)</f>
        <v>#REF!</v>
      </c>
      <c r="ID385" t="e">
        <f>IF(#REF!,"AAAAAH8W3e0=",0)</f>
        <v>#REF!</v>
      </c>
      <c r="IE385" t="e">
        <f>IF(#REF!,"AAAAAH8W3e4=",0)</f>
        <v>#REF!</v>
      </c>
      <c r="IF385" t="e">
        <f>IF(#REF!,"AAAAAH8W3e8=",0)</f>
        <v>#REF!</v>
      </c>
      <c r="IG385" t="e">
        <f>IF(#REF!,"AAAAAH8W3fA=",0)</f>
        <v>#REF!</v>
      </c>
      <c r="IH385" t="e">
        <f>IF(#REF!,"AAAAAH8W3fE=",0)</f>
        <v>#REF!</v>
      </c>
      <c r="II385" t="e">
        <f>IF(#REF!,"AAAAAH8W3fI=",0)</f>
        <v>#REF!</v>
      </c>
      <c r="IJ385" t="e">
        <f>IF(#REF!,"AAAAAH8W3fM=",0)</f>
        <v>#REF!</v>
      </c>
      <c r="IK385" t="e">
        <f>IF(#REF!,"AAAAAH8W3fQ=",0)</f>
        <v>#REF!</v>
      </c>
      <c r="IL385" t="e">
        <f>IF(#REF!,"AAAAAH8W3fU=",0)</f>
        <v>#REF!</v>
      </c>
      <c r="IM385" t="e">
        <f>IF(#REF!,"AAAAAH8W3fY=",0)</f>
        <v>#REF!</v>
      </c>
      <c r="IN385" t="e">
        <f>IF(#REF!,"AAAAAH8W3fc=",0)</f>
        <v>#REF!</v>
      </c>
      <c r="IO385" t="e">
        <f>IF(#REF!,"AAAAAH8W3fg=",0)</f>
        <v>#REF!</v>
      </c>
      <c r="IP385" t="e">
        <f>IF(#REF!,"AAAAAH8W3fk=",0)</f>
        <v>#REF!</v>
      </c>
      <c r="IQ385" t="e">
        <f>IF(#REF!,"AAAAAH8W3fo=",0)</f>
        <v>#REF!</v>
      </c>
      <c r="IR385" t="e">
        <f>IF(#REF!,"AAAAAH8W3fs=",0)</f>
        <v>#REF!</v>
      </c>
      <c r="IS385" t="e">
        <f>IF(#REF!,"AAAAAH8W3fw=",0)</f>
        <v>#REF!</v>
      </c>
      <c r="IT385" t="e">
        <f>IF(#REF!,"AAAAAH8W3f0=",0)</f>
        <v>#REF!</v>
      </c>
      <c r="IU385" t="e">
        <f>IF(#REF!,"AAAAAH8W3f4=",0)</f>
        <v>#REF!</v>
      </c>
      <c r="IV385" t="e">
        <f>IF(#REF!,"AAAAAH8W3f8=",0)</f>
        <v>#REF!</v>
      </c>
    </row>
    <row r="386" spans="1:256">
      <c r="A386" t="e">
        <f>IF(#REF!,"AAAAAF/fdwA=",0)</f>
        <v>#REF!</v>
      </c>
      <c r="B386" t="e">
        <f>IF(#REF!,"AAAAAF/fdwE=",0)</f>
        <v>#REF!</v>
      </c>
      <c r="C386" t="e">
        <f>IF(#REF!,"AAAAAF/fdwI=",0)</f>
        <v>#REF!</v>
      </c>
      <c r="D386" t="e">
        <f>IF(#REF!,"AAAAAF/fdwM=",0)</f>
        <v>#REF!</v>
      </c>
      <c r="E386" t="e">
        <f>IF(#REF!,"AAAAAF/fdwQ=",0)</f>
        <v>#REF!</v>
      </c>
      <c r="F386" t="e">
        <f>IF(#REF!,"AAAAAF/fdwU=",0)</f>
        <v>#REF!</v>
      </c>
      <c r="G386" t="e">
        <f>IF(#REF!,"AAAAAF/fdwY=",0)</f>
        <v>#REF!</v>
      </c>
      <c r="H386" t="e">
        <f>IF(#REF!,"AAAAAF/fdwc=",0)</f>
        <v>#REF!</v>
      </c>
      <c r="I386" t="e">
        <f>IF(#REF!,"AAAAAF/fdwg=",0)</f>
        <v>#REF!</v>
      </c>
      <c r="J386" t="e">
        <f>IF(#REF!,"AAAAAF/fdwk=",0)</f>
        <v>#REF!</v>
      </c>
      <c r="K386" t="e">
        <f>IF(#REF!,"AAAAAF/fdwo=",0)</f>
        <v>#REF!</v>
      </c>
      <c r="L386" t="e">
        <f>IF(#REF!,"AAAAAF/fdws=",0)</f>
        <v>#REF!</v>
      </c>
      <c r="M386" t="e">
        <f>IF(#REF!,"AAAAAF/fdww=",0)</f>
        <v>#REF!</v>
      </c>
      <c r="N386" t="e">
        <f>IF(#REF!,"AAAAAF/fdw0=",0)</f>
        <v>#REF!</v>
      </c>
      <c r="O386" t="e">
        <f>IF(#REF!,"AAAAAF/fdw4=",0)</f>
        <v>#REF!</v>
      </c>
      <c r="P386" t="e">
        <f>IF(#REF!,"AAAAAF/fdw8=",0)</f>
        <v>#REF!</v>
      </c>
      <c r="Q386" t="e">
        <f>IF(#REF!,"AAAAAF/fdxA=",0)</f>
        <v>#REF!</v>
      </c>
      <c r="R386" t="e">
        <f>IF(#REF!,"AAAAAF/fdxE=",0)</f>
        <v>#REF!</v>
      </c>
      <c r="S386" t="e">
        <f>IF(#REF!,"AAAAAF/fdxI=",0)</f>
        <v>#REF!</v>
      </c>
      <c r="T386" t="e">
        <f>IF(#REF!,"AAAAAF/fdxM=",0)</f>
        <v>#REF!</v>
      </c>
      <c r="U386" t="e">
        <f>IF(#REF!,"AAAAAF/fdxQ=",0)</f>
        <v>#REF!</v>
      </c>
      <c r="V386" t="e">
        <f>IF(#REF!,"AAAAAF/fdxU=",0)</f>
        <v>#REF!</v>
      </c>
      <c r="W386" t="e">
        <f>IF(#REF!,"AAAAAF/fdxY=",0)</f>
        <v>#REF!</v>
      </c>
      <c r="X386" t="e">
        <f>IF(#REF!,"AAAAAF/fdxc=",0)</f>
        <v>#REF!</v>
      </c>
      <c r="Y386" t="e">
        <f>IF(#REF!,"AAAAAF/fdxg=",0)</f>
        <v>#REF!</v>
      </c>
      <c r="Z386" t="e">
        <f>IF(#REF!,"AAAAAF/fdxk=",0)</f>
        <v>#REF!</v>
      </c>
      <c r="AA386" t="e">
        <f>IF(#REF!,"AAAAAF/fdxo=",0)</f>
        <v>#REF!</v>
      </c>
      <c r="AB386" t="e">
        <f>IF(#REF!,"AAAAAF/fdxs=",0)</f>
        <v>#REF!</v>
      </c>
      <c r="AC386" t="e">
        <f>IF(#REF!,"AAAAAF/fdxw=",0)</f>
        <v>#REF!</v>
      </c>
      <c r="AD386" t="e">
        <f>IF(#REF!,"AAAAAF/fdx0=",0)</f>
        <v>#REF!</v>
      </c>
      <c r="AE386" t="e">
        <f>IF(#REF!,"AAAAAF/fdx4=",0)</f>
        <v>#REF!</v>
      </c>
      <c r="AF386" t="e">
        <f>IF(#REF!,"AAAAAF/fdx8=",0)</f>
        <v>#REF!</v>
      </c>
      <c r="AG386" t="e">
        <f>IF(#REF!,"AAAAAF/fdyA=",0)</f>
        <v>#REF!</v>
      </c>
      <c r="AH386" t="e">
        <f>IF(#REF!,"AAAAAF/fdyE=",0)</f>
        <v>#REF!</v>
      </c>
      <c r="AI386" t="e">
        <f>IF(#REF!,"AAAAAF/fdyI=",0)</f>
        <v>#REF!</v>
      </c>
      <c r="AJ386" t="e">
        <f>IF(#REF!,"AAAAAF/fdyM=",0)</f>
        <v>#REF!</v>
      </c>
      <c r="AK386" t="e">
        <f>IF(#REF!,"AAAAAF/fdyQ=",0)</f>
        <v>#REF!</v>
      </c>
      <c r="AL386" t="e">
        <f>IF(#REF!,"AAAAAF/fdyU=",0)</f>
        <v>#REF!</v>
      </c>
      <c r="AM386" t="e">
        <f>IF(#REF!,"AAAAAF/fdyY=",0)</f>
        <v>#REF!</v>
      </c>
      <c r="AN386" t="e">
        <f>IF(#REF!,"AAAAAF/fdyc=",0)</f>
        <v>#REF!</v>
      </c>
      <c r="AO386" t="e">
        <f>IF(#REF!,"AAAAAF/fdyg=",0)</f>
        <v>#REF!</v>
      </c>
      <c r="AP386" t="e">
        <f>IF(#REF!,"AAAAAF/fdyk=",0)</f>
        <v>#REF!</v>
      </c>
      <c r="AQ386" t="e">
        <f>IF(#REF!,"AAAAAF/fdyo=",0)</f>
        <v>#REF!</v>
      </c>
      <c r="AR386" t="e">
        <f>IF(#REF!,"AAAAAF/fdys=",0)</f>
        <v>#REF!</v>
      </c>
      <c r="AS386" t="e">
        <f>IF(#REF!,"AAAAAF/fdyw=",0)</f>
        <v>#REF!</v>
      </c>
      <c r="AT386" t="e">
        <f>IF(#REF!,"AAAAAF/fdy0=",0)</f>
        <v>#REF!</v>
      </c>
      <c r="AU386" t="e">
        <f>IF(#REF!,"AAAAAF/fdy4=",0)</f>
        <v>#REF!</v>
      </c>
      <c r="AV386" t="e">
        <f>IF(#REF!,"AAAAAF/fdy8=",0)</f>
        <v>#REF!</v>
      </c>
      <c r="AW386" t="e">
        <f>IF(#REF!,"AAAAAF/fdzA=",0)</f>
        <v>#REF!</v>
      </c>
      <c r="AX386" t="e">
        <f>IF(#REF!,"AAAAAF/fdzE=",0)</f>
        <v>#REF!</v>
      </c>
      <c r="AY386" t="e">
        <f>IF(#REF!,"AAAAAF/fdzI=",0)</f>
        <v>#REF!</v>
      </c>
      <c r="AZ386" t="e">
        <f>IF(#REF!,"AAAAAF/fdzM=",0)</f>
        <v>#REF!</v>
      </c>
      <c r="BA386" t="e">
        <f>IF(#REF!,"AAAAAF/fdzQ=",0)</f>
        <v>#REF!</v>
      </c>
      <c r="BB386" t="e">
        <f>IF(#REF!,"AAAAAF/fdzU=",0)</f>
        <v>#REF!</v>
      </c>
      <c r="BC386" t="e">
        <f>IF(#REF!,"AAAAAF/fdzY=",0)</f>
        <v>#REF!</v>
      </c>
      <c r="BD386" t="e">
        <f>IF(#REF!,"AAAAAF/fdzc=",0)</f>
        <v>#REF!</v>
      </c>
      <c r="BE386" t="e">
        <f>IF(#REF!,"AAAAAF/fdzg=",0)</f>
        <v>#REF!</v>
      </c>
      <c r="BF386" t="e">
        <f>IF(#REF!,"AAAAAF/fdzk=",0)</f>
        <v>#REF!</v>
      </c>
      <c r="BG386" t="e">
        <f>IF(#REF!,"AAAAAF/fdzo=",0)</f>
        <v>#REF!</v>
      </c>
      <c r="BH386" t="e">
        <f>IF(#REF!,"AAAAAF/fdzs=",0)</f>
        <v>#REF!</v>
      </c>
      <c r="BI386" t="e">
        <f>IF(#REF!,"AAAAAF/fdzw=",0)</f>
        <v>#REF!</v>
      </c>
      <c r="BJ386" t="e">
        <f>IF(#REF!,"AAAAAF/fdz0=",0)</f>
        <v>#REF!</v>
      </c>
      <c r="BK386" t="e">
        <f>IF(#REF!,"AAAAAF/fdz4=",0)</f>
        <v>#REF!</v>
      </c>
      <c r="BL386" t="e">
        <f>IF(#REF!,"AAAAAF/fdz8=",0)</f>
        <v>#REF!</v>
      </c>
      <c r="BM386" t="e">
        <f>IF(#REF!,"AAAAAF/fd0A=",0)</f>
        <v>#REF!</v>
      </c>
      <c r="BN386" t="e">
        <f>IF(#REF!,"AAAAAF/fd0E=",0)</f>
        <v>#REF!</v>
      </c>
      <c r="BO386" t="e">
        <f>IF(#REF!,"AAAAAF/fd0I=",0)</f>
        <v>#REF!</v>
      </c>
      <c r="BP386" t="e">
        <f>IF(#REF!,"AAAAAF/fd0M=",0)</f>
        <v>#REF!</v>
      </c>
      <c r="BQ386" t="e">
        <f>IF(#REF!,"AAAAAF/fd0Q=",0)</f>
        <v>#REF!</v>
      </c>
      <c r="BR386" t="e">
        <f>IF(#REF!,"AAAAAF/fd0U=",0)</f>
        <v>#REF!</v>
      </c>
      <c r="BS386" t="e">
        <f>IF(#REF!,"AAAAAF/fd0Y=",0)</f>
        <v>#REF!</v>
      </c>
      <c r="BT386" t="e">
        <f>IF(#REF!,"AAAAAF/fd0c=",0)</f>
        <v>#REF!</v>
      </c>
      <c r="BU386" t="e">
        <f>IF(#REF!,"AAAAAF/fd0g=",0)</f>
        <v>#REF!</v>
      </c>
      <c r="BV386" t="e">
        <f>IF(#REF!,"AAAAAF/fd0k=",0)</f>
        <v>#REF!</v>
      </c>
      <c r="BW386" t="e">
        <f>IF(#REF!,"AAAAAF/fd0o=",0)</f>
        <v>#REF!</v>
      </c>
      <c r="BX386" t="e">
        <f>IF(#REF!,"AAAAAF/fd0s=",0)</f>
        <v>#REF!</v>
      </c>
      <c r="BY386" t="e">
        <f>IF(#REF!,"AAAAAF/fd0w=",0)</f>
        <v>#REF!</v>
      </c>
      <c r="BZ386" t="e">
        <f>IF(#REF!,"AAAAAF/fd00=",0)</f>
        <v>#REF!</v>
      </c>
      <c r="CA386" t="e">
        <f>IF(#REF!,"AAAAAF/fd04=",0)</f>
        <v>#REF!</v>
      </c>
      <c r="CB386" t="e">
        <f>IF(#REF!,"AAAAAF/fd08=",0)</f>
        <v>#REF!</v>
      </c>
      <c r="CC386" t="e">
        <f>IF(#REF!,"AAAAAF/fd1A=",0)</f>
        <v>#REF!</v>
      </c>
      <c r="CD386" t="e">
        <f>IF(#REF!,"AAAAAF/fd1E=",0)</f>
        <v>#REF!</v>
      </c>
      <c r="CE386" t="e">
        <f>IF(#REF!,"AAAAAF/fd1I=",0)</f>
        <v>#REF!</v>
      </c>
      <c r="CF386" t="e">
        <f>IF(#REF!,"AAAAAF/fd1M=",0)</f>
        <v>#REF!</v>
      </c>
      <c r="CG386" t="e">
        <f>IF(#REF!,"AAAAAF/fd1Q=",0)</f>
        <v>#REF!</v>
      </c>
      <c r="CH386" t="e">
        <f>IF(#REF!,"AAAAAF/fd1U=",0)</f>
        <v>#REF!</v>
      </c>
      <c r="CI386" t="e">
        <f>IF(#REF!,"AAAAAF/fd1Y=",0)</f>
        <v>#REF!</v>
      </c>
      <c r="CJ386" t="e">
        <f>IF(#REF!,"AAAAAF/fd1c=",0)</f>
        <v>#REF!</v>
      </c>
      <c r="CK386" t="e">
        <f>IF(#REF!,"AAAAAF/fd1g=",0)</f>
        <v>#REF!</v>
      </c>
      <c r="CL386" t="e">
        <f>IF(#REF!,"AAAAAF/fd1k=",0)</f>
        <v>#REF!</v>
      </c>
      <c r="CM386" t="e">
        <f>IF(#REF!,"AAAAAF/fd1o=",0)</f>
        <v>#REF!</v>
      </c>
      <c r="CN386" t="e">
        <f>IF(#REF!,"AAAAAF/fd1s=",0)</f>
        <v>#REF!</v>
      </c>
      <c r="CO386" t="e">
        <f>IF(#REF!,"AAAAAF/fd1w=",0)</f>
        <v>#REF!</v>
      </c>
      <c r="CP386" t="e">
        <f>IF(#REF!,"AAAAAF/fd10=",0)</f>
        <v>#REF!</v>
      </c>
      <c r="CQ386" t="e">
        <f>IF(#REF!,"AAAAAF/fd14=",0)</f>
        <v>#REF!</v>
      </c>
      <c r="CR386" t="e">
        <f>IF(#REF!,"AAAAAF/fd18=",0)</f>
        <v>#REF!</v>
      </c>
      <c r="CS386" t="e">
        <f>IF(#REF!,"AAAAAF/fd2A=",0)</f>
        <v>#REF!</v>
      </c>
      <c r="CT386" t="e">
        <f>IF(#REF!,"AAAAAF/fd2E=",0)</f>
        <v>#REF!</v>
      </c>
      <c r="CU386" t="e">
        <f>IF(#REF!,"AAAAAF/fd2I=",0)</f>
        <v>#REF!</v>
      </c>
      <c r="CV386" t="e">
        <f>IF(#REF!,"AAAAAF/fd2M=",0)</f>
        <v>#REF!</v>
      </c>
      <c r="CW386" t="e">
        <f>IF(#REF!,"AAAAAF/fd2Q=",0)</f>
        <v>#REF!</v>
      </c>
      <c r="CX386" t="e">
        <f>IF(#REF!,"AAAAAF/fd2U=",0)</f>
        <v>#REF!</v>
      </c>
      <c r="CY386" t="e">
        <f>IF(#REF!,"AAAAAF/fd2Y=",0)</f>
        <v>#REF!</v>
      </c>
      <c r="CZ386" t="e">
        <f>IF(#REF!,"AAAAAF/fd2c=",0)</f>
        <v>#REF!</v>
      </c>
      <c r="DA386" t="e">
        <f>IF(#REF!,"AAAAAF/fd2g=",0)</f>
        <v>#REF!</v>
      </c>
      <c r="DB386" t="e">
        <f>IF(#REF!,"AAAAAF/fd2k=",0)</f>
        <v>#REF!</v>
      </c>
      <c r="DC386" t="e">
        <f>IF(#REF!,"AAAAAF/fd2o=",0)</f>
        <v>#REF!</v>
      </c>
      <c r="DD386" t="e">
        <f>IF(#REF!,"AAAAAF/fd2s=",0)</f>
        <v>#REF!</v>
      </c>
      <c r="DE386" t="e">
        <f>IF(#REF!,"AAAAAF/fd2w=",0)</f>
        <v>#REF!</v>
      </c>
      <c r="DF386" t="e">
        <f>IF(#REF!,"AAAAAF/fd20=",0)</f>
        <v>#REF!</v>
      </c>
      <c r="DG386" t="e">
        <f>IF(#REF!,"AAAAAF/fd24=",0)</f>
        <v>#REF!</v>
      </c>
      <c r="DH386" t="e">
        <f>IF(#REF!,"AAAAAF/fd28=",0)</f>
        <v>#REF!</v>
      </c>
      <c r="DI386" t="e">
        <f>IF(#REF!,"AAAAAF/fd3A=",0)</f>
        <v>#REF!</v>
      </c>
      <c r="DJ386" t="e">
        <f>IF(#REF!,"AAAAAF/fd3E=",0)</f>
        <v>#REF!</v>
      </c>
      <c r="DK386" t="e">
        <f>IF(#REF!,"AAAAAF/fd3I=",0)</f>
        <v>#REF!</v>
      </c>
      <c r="DL386" t="e">
        <f>IF(#REF!,"AAAAAF/fd3M=",0)</f>
        <v>#REF!</v>
      </c>
      <c r="DM386" t="e">
        <f>IF(#REF!,"AAAAAF/fd3Q=",0)</f>
        <v>#REF!</v>
      </c>
      <c r="DN386" t="e">
        <f>IF(#REF!,"AAAAAF/fd3U=",0)</f>
        <v>#REF!</v>
      </c>
      <c r="DO386" t="e">
        <f>IF(#REF!,"AAAAAF/fd3Y=",0)</f>
        <v>#REF!</v>
      </c>
      <c r="DP386" t="e">
        <f>IF(#REF!,"AAAAAF/fd3c=",0)</f>
        <v>#REF!</v>
      </c>
      <c r="DQ386" t="e">
        <f>IF(#REF!,"AAAAAF/fd3g=",0)</f>
        <v>#REF!</v>
      </c>
      <c r="DR386" t="e">
        <f>IF(#REF!,"AAAAAF/fd3k=",0)</f>
        <v>#REF!</v>
      </c>
      <c r="DS386" t="e">
        <f>IF(#REF!,"AAAAAF/fd3o=",0)</f>
        <v>#REF!</v>
      </c>
      <c r="DT386" t="e">
        <f>IF(#REF!,"AAAAAF/fd3s=",0)</f>
        <v>#REF!</v>
      </c>
      <c r="DU386" t="e">
        <f>IF(#REF!,"AAAAAF/fd3w=",0)</f>
        <v>#REF!</v>
      </c>
      <c r="DV386" t="e">
        <f>IF(#REF!,"AAAAAF/fd30=",0)</f>
        <v>#REF!</v>
      </c>
      <c r="DW386" t="e">
        <f>IF(#REF!,"AAAAAF/fd34=",0)</f>
        <v>#REF!</v>
      </c>
      <c r="DX386" t="e">
        <f>IF(#REF!,"AAAAAF/fd38=",0)</f>
        <v>#REF!</v>
      </c>
      <c r="DY386" t="e">
        <f>IF(#REF!,"AAAAAF/fd4A=",0)</f>
        <v>#REF!</v>
      </c>
      <c r="DZ386" t="e">
        <f>IF(#REF!,"AAAAAF/fd4E=",0)</f>
        <v>#REF!</v>
      </c>
      <c r="EA386" t="e">
        <f>IF(#REF!,"AAAAAF/fd4I=",0)</f>
        <v>#REF!</v>
      </c>
      <c r="EB386" t="e">
        <f>IF(#REF!,"AAAAAF/fd4M=",0)</f>
        <v>#REF!</v>
      </c>
      <c r="EC386" t="e">
        <f>IF(#REF!,"AAAAAF/fd4Q=",0)</f>
        <v>#REF!</v>
      </c>
      <c r="ED386" t="e">
        <f>IF(#REF!,"AAAAAF/fd4U=",0)</f>
        <v>#REF!</v>
      </c>
      <c r="EE386" t="e">
        <f>IF(#REF!,"AAAAAF/fd4Y=",0)</f>
        <v>#REF!</v>
      </c>
      <c r="EF386" t="e">
        <f>IF(#REF!,"AAAAAF/fd4c=",0)</f>
        <v>#REF!</v>
      </c>
      <c r="EG386" t="e">
        <f>IF(#REF!,"AAAAAF/fd4g=",0)</f>
        <v>#REF!</v>
      </c>
      <c r="EH386" t="e">
        <f>IF(#REF!,"AAAAAF/fd4k=",0)</f>
        <v>#REF!</v>
      </c>
      <c r="EI386" t="e">
        <f>IF(#REF!,"AAAAAF/fd4o=",0)</f>
        <v>#REF!</v>
      </c>
      <c r="EJ386" t="e">
        <f>IF(#REF!,"AAAAAF/fd4s=",0)</f>
        <v>#REF!</v>
      </c>
      <c r="EK386" t="e">
        <f>IF(#REF!,"AAAAAF/fd4w=",0)</f>
        <v>#REF!</v>
      </c>
      <c r="EL386" t="e">
        <f>IF(#REF!,"AAAAAF/fd40=",0)</f>
        <v>#REF!</v>
      </c>
      <c r="EM386" t="e">
        <f>IF(#REF!,"AAAAAF/fd44=",0)</f>
        <v>#REF!</v>
      </c>
      <c r="EN386" t="e">
        <f>IF(#REF!,"AAAAAF/fd48=",0)</f>
        <v>#REF!</v>
      </c>
      <c r="EO386" t="e">
        <f>IF(#REF!,"AAAAAF/fd5A=",0)</f>
        <v>#REF!</v>
      </c>
      <c r="EP386" t="e">
        <f>IF(#REF!,"AAAAAF/fd5E=",0)</f>
        <v>#REF!</v>
      </c>
      <c r="EQ386" t="e">
        <f>IF(#REF!,"AAAAAF/fd5I=",0)</f>
        <v>#REF!</v>
      </c>
      <c r="ER386" t="e">
        <f>IF(#REF!,"AAAAAF/fd5M=",0)</f>
        <v>#REF!</v>
      </c>
      <c r="ES386" t="e">
        <f>IF(#REF!,"AAAAAF/fd5Q=",0)</f>
        <v>#REF!</v>
      </c>
      <c r="ET386" t="e">
        <f>IF(#REF!,"AAAAAF/fd5U=",0)</f>
        <v>#REF!</v>
      </c>
      <c r="EU386" t="e">
        <f>IF(#REF!,"AAAAAF/fd5Y=",0)</f>
        <v>#REF!</v>
      </c>
      <c r="EV386" t="e">
        <f>IF(#REF!,"AAAAAF/fd5c=",0)</f>
        <v>#REF!</v>
      </c>
      <c r="EW386" t="e">
        <f>IF(#REF!,"AAAAAF/fd5g=",0)</f>
        <v>#REF!</v>
      </c>
      <c r="EX386" t="e">
        <f>IF(#REF!,"AAAAAF/fd5k=",0)</f>
        <v>#REF!</v>
      </c>
      <c r="EY386" t="e">
        <f>IF(#REF!,"AAAAAF/fd5o=",0)</f>
        <v>#REF!</v>
      </c>
      <c r="EZ386" t="e">
        <f>IF(#REF!,"AAAAAF/fd5s=",0)</f>
        <v>#REF!</v>
      </c>
      <c r="FA386" t="e">
        <f>IF(#REF!,"AAAAAF/fd5w=",0)</f>
        <v>#REF!</v>
      </c>
      <c r="FB386" t="e">
        <f>IF(#REF!,"AAAAAF/fd50=",0)</f>
        <v>#REF!</v>
      </c>
      <c r="FC386" t="e">
        <f>IF(#REF!,"AAAAAF/fd54=",0)</f>
        <v>#REF!</v>
      </c>
      <c r="FD386" t="e">
        <f>IF(#REF!,"AAAAAF/fd58=",0)</f>
        <v>#REF!</v>
      </c>
      <c r="FE386" t="e">
        <f>IF(#REF!,"AAAAAF/fd6A=",0)</f>
        <v>#REF!</v>
      </c>
      <c r="FF386" t="e">
        <f>IF(#REF!,"AAAAAF/fd6E=",0)</f>
        <v>#REF!</v>
      </c>
      <c r="FG386" t="e">
        <f>IF(#REF!,"AAAAAF/fd6I=",0)</f>
        <v>#REF!</v>
      </c>
      <c r="FH386" t="e">
        <f>IF(#REF!,"AAAAAF/fd6M=",0)</f>
        <v>#REF!</v>
      </c>
      <c r="FI386" t="e">
        <f>IF(#REF!,"AAAAAF/fd6Q=",0)</f>
        <v>#REF!</v>
      </c>
      <c r="FJ386" t="e">
        <f>IF(#REF!,"AAAAAF/fd6U=",0)</f>
        <v>#REF!</v>
      </c>
      <c r="FK386" t="e">
        <f>IF(#REF!,"AAAAAF/fd6Y=",0)</f>
        <v>#REF!</v>
      </c>
      <c r="FL386" t="e">
        <f>IF(#REF!,"AAAAAF/fd6c=",0)</f>
        <v>#REF!</v>
      </c>
      <c r="FM386" t="e">
        <f>IF(#REF!,"AAAAAF/fd6g=",0)</f>
        <v>#REF!</v>
      </c>
      <c r="FN386" t="e">
        <f>IF(#REF!,"AAAAAF/fd6k=",0)</f>
        <v>#REF!</v>
      </c>
      <c r="FO386" t="e">
        <f>IF(#REF!,"AAAAAF/fd6o=",0)</f>
        <v>#REF!</v>
      </c>
      <c r="FP386" t="e">
        <f>IF(#REF!,"AAAAAF/fd6s=",0)</f>
        <v>#REF!</v>
      </c>
      <c r="FQ386" t="e">
        <f>IF(#REF!,"AAAAAF/fd6w=",0)</f>
        <v>#REF!</v>
      </c>
      <c r="FR386" t="e">
        <f>IF(#REF!,"AAAAAF/fd60=",0)</f>
        <v>#REF!</v>
      </c>
      <c r="FS386" t="e">
        <f>IF(#REF!,"AAAAAF/fd64=",0)</f>
        <v>#REF!</v>
      </c>
      <c r="FT386" t="e">
        <f>IF(#REF!,"AAAAAF/fd68=",0)</f>
        <v>#REF!</v>
      </c>
      <c r="FU386" t="e">
        <f>IF(#REF!,"AAAAAF/fd7A=",0)</f>
        <v>#REF!</v>
      </c>
      <c r="FV386" t="e">
        <f>IF(#REF!,"AAAAAF/fd7E=",0)</f>
        <v>#REF!</v>
      </c>
      <c r="FW386" t="e">
        <f>IF(#REF!,"AAAAAF/fd7I=",0)</f>
        <v>#REF!</v>
      </c>
      <c r="FX386" t="e">
        <f>IF(#REF!,"AAAAAF/fd7M=",0)</f>
        <v>#REF!</v>
      </c>
      <c r="FY386" t="e">
        <f>IF(#REF!,"AAAAAF/fd7Q=",0)</f>
        <v>#REF!</v>
      </c>
      <c r="FZ386" t="e">
        <f>IF(#REF!,"AAAAAF/fd7U=",0)</f>
        <v>#REF!</v>
      </c>
      <c r="GA386" t="e">
        <f>IF(#REF!,"AAAAAF/fd7Y=",0)</f>
        <v>#REF!</v>
      </c>
      <c r="GB386" t="e">
        <f>IF(#REF!,"AAAAAF/fd7c=",0)</f>
        <v>#REF!</v>
      </c>
      <c r="GC386" t="e">
        <f>IF(#REF!,"AAAAAF/fd7g=",0)</f>
        <v>#REF!</v>
      </c>
      <c r="GD386" t="e">
        <f>IF(#REF!,"AAAAAF/fd7k=",0)</f>
        <v>#REF!</v>
      </c>
      <c r="GE386" t="e">
        <f>IF(#REF!,"AAAAAF/fd7o=",0)</f>
        <v>#REF!</v>
      </c>
      <c r="GF386" t="e">
        <f>IF(#REF!,"AAAAAF/fd7s=",0)</f>
        <v>#REF!</v>
      </c>
      <c r="GG386" t="e">
        <f>IF(#REF!,"AAAAAF/fd7w=",0)</f>
        <v>#REF!</v>
      </c>
      <c r="GH386" t="e">
        <f>IF(#REF!,"AAAAAF/fd70=",0)</f>
        <v>#REF!</v>
      </c>
      <c r="GI386" t="e">
        <f>IF(#REF!,"AAAAAF/fd74=",0)</f>
        <v>#REF!</v>
      </c>
      <c r="GJ386" t="e">
        <f>IF(#REF!,"AAAAAF/fd78=",0)</f>
        <v>#REF!</v>
      </c>
      <c r="GK386" t="e">
        <f>IF(#REF!,"AAAAAF/fd8A=",0)</f>
        <v>#REF!</v>
      </c>
      <c r="GL386" t="e">
        <f>IF(#REF!,"AAAAAF/fd8E=",0)</f>
        <v>#REF!</v>
      </c>
      <c r="GM386" t="e">
        <f>IF(#REF!,"AAAAAF/fd8I=",0)</f>
        <v>#REF!</v>
      </c>
      <c r="GN386" t="e">
        <f>IF(#REF!,"AAAAAF/fd8M=",0)</f>
        <v>#REF!</v>
      </c>
      <c r="GO386" t="e">
        <f>IF(#REF!,"AAAAAF/fd8Q=",0)</f>
        <v>#REF!</v>
      </c>
      <c r="GP386" t="e">
        <f>IF(#REF!,"AAAAAF/fd8U=",0)</f>
        <v>#REF!</v>
      </c>
      <c r="GQ386" t="e">
        <f>IF(#REF!,"AAAAAF/fd8Y=",0)</f>
        <v>#REF!</v>
      </c>
      <c r="GR386" t="e">
        <f>IF(#REF!,"AAAAAF/fd8c=",0)</f>
        <v>#REF!</v>
      </c>
      <c r="GS386" t="e">
        <f>IF(#REF!,"AAAAAF/fd8g=",0)</f>
        <v>#REF!</v>
      </c>
      <c r="GT386" t="e">
        <f>IF(#REF!,"AAAAAF/fd8k=",0)</f>
        <v>#REF!</v>
      </c>
      <c r="GU386" t="e">
        <f>IF(#REF!,"AAAAAF/fd8o=",0)</f>
        <v>#REF!</v>
      </c>
      <c r="GV386" t="e">
        <f>IF(#REF!,"AAAAAF/fd8s=",0)</f>
        <v>#REF!</v>
      </c>
      <c r="GW386" t="e">
        <f>IF(#REF!,"AAAAAF/fd8w=",0)</f>
        <v>#REF!</v>
      </c>
      <c r="GX386" t="e">
        <f>IF(#REF!,"AAAAAF/fd80=",0)</f>
        <v>#REF!</v>
      </c>
      <c r="GY386" t="e">
        <f>IF(#REF!,"AAAAAF/fd84=",0)</f>
        <v>#REF!</v>
      </c>
      <c r="GZ386" t="e">
        <f>IF(#REF!,"AAAAAF/fd88=",0)</f>
        <v>#REF!</v>
      </c>
      <c r="HA386" t="e">
        <f>IF(#REF!,"AAAAAF/fd9A=",0)</f>
        <v>#REF!</v>
      </c>
      <c r="HB386" t="e">
        <f>IF(#REF!,"AAAAAF/fd9E=",0)</f>
        <v>#REF!</v>
      </c>
      <c r="HC386" t="e">
        <f>IF(#REF!,"AAAAAF/fd9I=",0)</f>
        <v>#REF!</v>
      </c>
      <c r="HD386" t="e">
        <f>IF(#REF!,"AAAAAF/fd9M=",0)</f>
        <v>#REF!</v>
      </c>
      <c r="HE386" t="e">
        <f>IF(#REF!,"AAAAAF/fd9Q=",0)</f>
        <v>#REF!</v>
      </c>
      <c r="HF386" t="e">
        <f>IF(#REF!,"AAAAAF/fd9U=",0)</f>
        <v>#REF!</v>
      </c>
      <c r="HG386" t="e">
        <f>IF(#REF!,"AAAAAF/fd9Y=",0)</f>
        <v>#REF!</v>
      </c>
      <c r="HH386" t="e">
        <f>IF(#REF!,"AAAAAF/fd9c=",0)</f>
        <v>#REF!</v>
      </c>
      <c r="HI386" t="e">
        <f>IF(#REF!,"AAAAAF/fd9g=",0)</f>
        <v>#REF!</v>
      </c>
      <c r="HJ386" t="e">
        <f>IF(#REF!,"AAAAAF/fd9k=",0)</f>
        <v>#REF!</v>
      </c>
      <c r="HK386" t="e">
        <f>IF(#REF!,"AAAAAF/fd9o=",0)</f>
        <v>#REF!</v>
      </c>
      <c r="HL386" t="e">
        <f>IF(#REF!,"AAAAAF/fd9s=",0)</f>
        <v>#REF!</v>
      </c>
      <c r="HM386" t="e">
        <f>IF(#REF!,"AAAAAF/fd9w=",0)</f>
        <v>#REF!</v>
      </c>
      <c r="HN386" t="e">
        <f>IF(#REF!,"AAAAAF/fd90=",0)</f>
        <v>#REF!</v>
      </c>
      <c r="HO386" t="e">
        <f>IF(#REF!,"AAAAAF/fd94=",0)</f>
        <v>#REF!</v>
      </c>
      <c r="HP386" t="e">
        <f>IF(#REF!,"AAAAAF/fd98=",0)</f>
        <v>#REF!</v>
      </c>
      <c r="HQ386" t="e">
        <f>IF(#REF!,"AAAAAF/fd+A=",0)</f>
        <v>#REF!</v>
      </c>
      <c r="HR386" t="e">
        <f>IF(#REF!,"AAAAAF/fd+E=",0)</f>
        <v>#REF!</v>
      </c>
      <c r="HS386" t="e">
        <f>IF(#REF!,"AAAAAF/fd+I=",0)</f>
        <v>#REF!</v>
      </c>
      <c r="HT386" t="e">
        <f>IF(#REF!,"AAAAAF/fd+M=",0)</f>
        <v>#REF!</v>
      </c>
      <c r="HU386" t="e">
        <f>IF(#REF!,"AAAAAF/fd+Q=",0)</f>
        <v>#REF!</v>
      </c>
      <c r="HV386" t="e">
        <f>IF(#REF!,"AAAAAF/fd+U=",0)</f>
        <v>#REF!</v>
      </c>
      <c r="HW386" t="e">
        <f>IF(#REF!,"AAAAAF/fd+Y=",0)</f>
        <v>#REF!</v>
      </c>
      <c r="HX386" t="e">
        <f>IF(#REF!,"AAAAAF/fd+c=",0)</f>
        <v>#REF!</v>
      </c>
      <c r="HY386" t="e">
        <f>IF(#REF!,"AAAAAF/fd+g=",0)</f>
        <v>#REF!</v>
      </c>
      <c r="HZ386" t="e">
        <f>IF(#REF!,"AAAAAF/fd+k=",0)</f>
        <v>#REF!</v>
      </c>
      <c r="IA386" t="e">
        <f>IF(#REF!,"AAAAAF/fd+o=",0)</f>
        <v>#REF!</v>
      </c>
      <c r="IB386" t="e">
        <f>IF(#REF!,"AAAAAF/fd+s=",0)</f>
        <v>#REF!</v>
      </c>
      <c r="IC386" t="e">
        <f>IF(#REF!,"AAAAAF/fd+w=",0)</f>
        <v>#REF!</v>
      </c>
      <c r="ID386" t="e">
        <f>IF(#REF!,"AAAAAF/fd+0=",0)</f>
        <v>#REF!</v>
      </c>
      <c r="IE386" t="e">
        <f>IF(#REF!,"AAAAAF/fd+4=",0)</f>
        <v>#REF!</v>
      </c>
      <c r="IF386" t="e">
        <f>IF(#REF!,"AAAAAF/fd+8=",0)</f>
        <v>#REF!</v>
      </c>
      <c r="IG386" t="e">
        <f>IF(#REF!,"AAAAAF/fd/A=",0)</f>
        <v>#REF!</v>
      </c>
      <c r="IH386" t="e">
        <f>IF(#REF!,"AAAAAF/fd/E=",0)</f>
        <v>#REF!</v>
      </c>
      <c r="II386" t="e">
        <f>IF(#REF!,"AAAAAF/fd/I=",0)</f>
        <v>#REF!</v>
      </c>
      <c r="IJ386" t="e">
        <f>IF(#REF!,"AAAAAF/fd/M=",0)</f>
        <v>#REF!</v>
      </c>
      <c r="IK386" t="e">
        <f>IF(#REF!,"AAAAAF/fd/Q=",0)</f>
        <v>#REF!</v>
      </c>
      <c r="IL386" t="e">
        <f>IF(#REF!,"AAAAAF/fd/U=",0)</f>
        <v>#REF!</v>
      </c>
      <c r="IM386" t="e">
        <f>IF(#REF!,"AAAAAF/fd/Y=",0)</f>
        <v>#REF!</v>
      </c>
      <c r="IN386" t="e">
        <f>IF(#REF!,"AAAAAF/fd/c=",0)</f>
        <v>#REF!</v>
      </c>
      <c r="IO386" t="e">
        <f>IF(#REF!,"AAAAAF/fd/g=",0)</f>
        <v>#REF!</v>
      </c>
      <c r="IP386" t="e">
        <f>IF(#REF!,"AAAAAF/fd/k=",0)</f>
        <v>#REF!</v>
      </c>
      <c r="IQ386" t="e">
        <f>IF(#REF!,"AAAAAF/fd/o=",0)</f>
        <v>#REF!</v>
      </c>
      <c r="IR386" t="e">
        <f>IF(#REF!,"AAAAAF/fd/s=",0)</f>
        <v>#REF!</v>
      </c>
      <c r="IS386" t="e">
        <f>IF(#REF!,"AAAAAF/fd/w=",0)</f>
        <v>#REF!</v>
      </c>
      <c r="IT386" t="e">
        <f>IF(#REF!,"AAAAAF/fd/0=",0)</f>
        <v>#REF!</v>
      </c>
      <c r="IU386" t="e">
        <f>IF(#REF!,"AAAAAF/fd/4=",0)</f>
        <v>#REF!</v>
      </c>
      <c r="IV386" t="e">
        <f>IF(#REF!,"AAAAAF/fd/8=",0)</f>
        <v>#REF!</v>
      </c>
    </row>
    <row r="387" spans="1:256">
      <c r="A387" t="e">
        <f>IF(#REF!,"AAAAAD8rdQA=",0)</f>
        <v>#REF!</v>
      </c>
      <c r="B387" t="e">
        <f>IF(#REF!,"AAAAAD8rdQE=",0)</f>
        <v>#REF!</v>
      </c>
      <c r="C387" t="e">
        <f>IF(#REF!,"AAAAAD8rdQI=",0)</f>
        <v>#REF!</v>
      </c>
      <c r="D387" t="e">
        <f>IF(#REF!,"AAAAAD8rdQM=",0)</f>
        <v>#REF!</v>
      </c>
      <c r="E387" t="e">
        <f>IF(#REF!,"AAAAAD8rdQQ=",0)</f>
        <v>#REF!</v>
      </c>
      <c r="F387" t="e">
        <f>IF(#REF!,"AAAAAD8rdQU=",0)</f>
        <v>#REF!</v>
      </c>
      <c r="G387" t="e">
        <f>IF(#REF!,"AAAAAD8rdQY=",0)</f>
        <v>#REF!</v>
      </c>
      <c r="H387" t="e">
        <f>IF(#REF!,"AAAAAD8rdQc=",0)</f>
        <v>#REF!</v>
      </c>
      <c r="I387" t="e">
        <f>IF(#REF!,"AAAAAD8rdQg=",0)</f>
        <v>#REF!</v>
      </c>
      <c r="J387" t="e">
        <f>IF(#REF!,"AAAAAD8rdQk=",0)</f>
        <v>#REF!</v>
      </c>
      <c r="K387" t="e">
        <f>IF(#REF!,"AAAAAD8rdQo=",0)</f>
        <v>#REF!</v>
      </c>
      <c r="L387" t="e">
        <f>IF(#REF!,"AAAAAD8rdQs=",0)</f>
        <v>#REF!</v>
      </c>
      <c r="M387" t="e">
        <f>IF(#REF!,"AAAAAD8rdQw=",0)</f>
        <v>#REF!</v>
      </c>
      <c r="N387" t="e">
        <f>IF(#REF!,"AAAAAD8rdQ0=",0)</f>
        <v>#REF!</v>
      </c>
      <c r="O387" t="e">
        <f>IF(#REF!,"AAAAAD8rdQ4=",0)</f>
        <v>#REF!</v>
      </c>
      <c r="P387" t="e">
        <f>IF(#REF!,"AAAAAD8rdQ8=",0)</f>
        <v>#REF!</v>
      </c>
      <c r="Q387" t="e">
        <f>IF(#REF!,"AAAAAD8rdRA=",0)</f>
        <v>#REF!</v>
      </c>
      <c r="R387" t="e">
        <f>IF(#REF!,"AAAAAD8rdRE=",0)</f>
        <v>#REF!</v>
      </c>
      <c r="S387" t="e">
        <f>IF(#REF!,"AAAAAD8rdRI=",0)</f>
        <v>#REF!</v>
      </c>
      <c r="T387" t="e">
        <f>IF(#REF!,"AAAAAD8rdRM=",0)</f>
        <v>#REF!</v>
      </c>
      <c r="U387" t="e">
        <f>IF(#REF!,"AAAAAD8rdRQ=",0)</f>
        <v>#REF!</v>
      </c>
      <c r="V387" t="e">
        <f>IF(#REF!,"AAAAAD8rdRU=",0)</f>
        <v>#REF!</v>
      </c>
      <c r="W387" t="e">
        <f>IF(#REF!,"AAAAAD8rdRY=",0)</f>
        <v>#REF!</v>
      </c>
      <c r="X387" t="e">
        <f>IF(#REF!,"AAAAAD8rdRc=",0)</f>
        <v>#REF!</v>
      </c>
      <c r="Y387" t="e">
        <f>IF(#REF!,"AAAAAD8rdRg=",0)</f>
        <v>#REF!</v>
      </c>
      <c r="Z387" t="e">
        <f>IF(#REF!,"AAAAAD8rdRk=",0)</f>
        <v>#REF!</v>
      </c>
      <c r="AA387" t="e">
        <f>IF(#REF!,"AAAAAD8rdRo=",0)</f>
        <v>#REF!</v>
      </c>
      <c r="AB387" t="e">
        <f>IF(#REF!,"AAAAAD8rdRs=",0)</f>
        <v>#REF!</v>
      </c>
      <c r="AC387" t="e">
        <f>IF(#REF!,"AAAAAD8rdRw=",0)</f>
        <v>#REF!</v>
      </c>
      <c r="AD387" t="e">
        <f>IF(#REF!,"AAAAAD8rdR0=",0)</f>
        <v>#REF!</v>
      </c>
      <c r="AE387" t="e">
        <f>IF(#REF!,"AAAAAD8rdR4=",0)</f>
        <v>#REF!</v>
      </c>
      <c r="AF387" t="e">
        <f>IF(#REF!,"AAAAAD8rdR8=",0)</f>
        <v>#REF!</v>
      </c>
      <c r="AG387" t="e">
        <f>IF(#REF!,"AAAAAD8rdSA=",0)</f>
        <v>#REF!</v>
      </c>
      <c r="AH387" t="e">
        <f>IF(#REF!,"AAAAAD8rdSE=",0)</f>
        <v>#REF!</v>
      </c>
      <c r="AI387" t="e">
        <f>IF(#REF!,"AAAAAD8rdSI=",0)</f>
        <v>#REF!</v>
      </c>
      <c r="AJ387" t="e">
        <f>IF(#REF!,"AAAAAD8rdSM=",0)</f>
        <v>#REF!</v>
      </c>
      <c r="AK387" t="e">
        <f>IF(#REF!,"AAAAAD8rdSQ=",0)</f>
        <v>#REF!</v>
      </c>
      <c r="AL387" t="e">
        <f>IF(#REF!,"AAAAAD8rdSU=",0)</f>
        <v>#REF!</v>
      </c>
      <c r="AM387" t="e">
        <f>IF(#REF!,"AAAAAD8rdSY=",0)</f>
        <v>#REF!</v>
      </c>
      <c r="AN387" t="e">
        <f>IF(#REF!,"AAAAAD8rdSc=",0)</f>
        <v>#REF!</v>
      </c>
      <c r="AO387" t="e">
        <f>IF(#REF!,"AAAAAD8rdSg=",0)</f>
        <v>#REF!</v>
      </c>
      <c r="AP387" t="e">
        <f>IF(#REF!,"AAAAAD8rdSk=",0)</f>
        <v>#REF!</v>
      </c>
      <c r="AQ387" t="e">
        <f>IF(#REF!,"AAAAAD8rdSo=",0)</f>
        <v>#REF!</v>
      </c>
      <c r="AR387" t="e">
        <f>IF(#REF!,"AAAAAD8rdSs=",0)</f>
        <v>#REF!</v>
      </c>
      <c r="AS387" t="e">
        <f>IF(#REF!,"AAAAAD8rdSw=",0)</f>
        <v>#REF!</v>
      </c>
      <c r="AT387" t="e">
        <f>IF(#REF!,"AAAAAD8rdS0=",0)</f>
        <v>#REF!</v>
      </c>
      <c r="AU387" t="e">
        <f>IF(#REF!,"AAAAAD8rdS4=",0)</f>
        <v>#REF!</v>
      </c>
      <c r="AV387" t="e">
        <f>IF(#REF!,"AAAAAD8rdS8=",0)</f>
        <v>#REF!</v>
      </c>
      <c r="AW387" t="e">
        <f>IF(#REF!,"AAAAAD8rdTA=",0)</f>
        <v>#REF!</v>
      </c>
      <c r="AX387" t="e">
        <f>IF(#REF!,"AAAAAD8rdTE=",0)</f>
        <v>#REF!</v>
      </c>
      <c r="AY387" t="e">
        <f>IF(#REF!,"AAAAAD8rdTI=",0)</f>
        <v>#REF!</v>
      </c>
      <c r="AZ387" t="e">
        <f>IF(#REF!,"AAAAAD8rdTM=",0)</f>
        <v>#REF!</v>
      </c>
      <c r="BA387" t="e">
        <f>IF(#REF!,"AAAAAD8rdTQ=",0)</f>
        <v>#REF!</v>
      </c>
      <c r="BB387" t="e">
        <f>IF(#REF!,"AAAAAD8rdTU=",0)</f>
        <v>#REF!</v>
      </c>
      <c r="BC387" t="e">
        <f>IF(#REF!,"AAAAAD8rdTY=",0)</f>
        <v>#REF!</v>
      </c>
      <c r="BD387" t="e">
        <f>IF(#REF!,"AAAAAD8rdTc=",0)</f>
        <v>#REF!</v>
      </c>
      <c r="BE387" t="e">
        <f>IF(#REF!,"AAAAAD8rdTg=",0)</f>
        <v>#REF!</v>
      </c>
      <c r="BF387" t="e">
        <f>IF(#REF!,"AAAAAD8rdTk=",0)</f>
        <v>#REF!</v>
      </c>
      <c r="BG387" t="e">
        <f>IF(#REF!,"AAAAAD8rdTo=",0)</f>
        <v>#REF!</v>
      </c>
      <c r="BH387" t="e">
        <f>IF(#REF!,"AAAAAD8rdTs=",0)</f>
        <v>#REF!</v>
      </c>
      <c r="BI387" t="e">
        <f>IF(#REF!,"AAAAAD8rdTw=",0)</f>
        <v>#REF!</v>
      </c>
      <c r="BJ387" t="e">
        <f>IF(#REF!,"AAAAAD8rdT0=",0)</f>
        <v>#REF!</v>
      </c>
      <c r="BK387" t="e">
        <f>IF(#REF!,"AAAAAD8rdT4=",0)</f>
        <v>#REF!</v>
      </c>
      <c r="BL387" t="e">
        <f>IF(#REF!,"AAAAAD8rdT8=",0)</f>
        <v>#REF!</v>
      </c>
      <c r="BM387" t="e">
        <f>IF(#REF!,"AAAAAD8rdUA=",0)</f>
        <v>#REF!</v>
      </c>
      <c r="BN387" t="e">
        <f>IF(#REF!,"AAAAAD8rdUE=",0)</f>
        <v>#REF!</v>
      </c>
      <c r="BO387" t="e">
        <f>IF(#REF!,"AAAAAD8rdUI=",0)</f>
        <v>#REF!</v>
      </c>
      <c r="BP387" t="e">
        <f>IF(#REF!,"AAAAAD8rdUM=",0)</f>
        <v>#REF!</v>
      </c>
      <c r="BQ387" t="e">
        <f>IF(#REF!,"AAAAAD8rdUQ=",0)</f>
        <v>#REF!</v>
      </c>
      <c r="BR387" t="e">
        <f>IF(#REF!,"AAAAAD8rdUU=",0)</f>
        <v>#REF!</v>
      </c>
      <c r="BS387" t="e">
        <f>IF(#REF!,"AAAAAD8rdUY=",0)</f>
        <v>#REF!</v>
      </c>
      <c r="BT387" t="e">
        <f>IF(#REF!,"AAAAAD8rdUc=",0)</f>
        <v>#REF!</v>
      </c>
      <c r="BU387" t="e">
        <f>IF(#REF!,"AAAAAD8rdUg=",0)</f>
        <v>#REF!</v>
      </c>
      <c r="BV387" t="e">
        <f>IF(#REF!,"AAAAAD8rdUk=",0)</f>
        <v>#REF!</v>
      </c>
      <c r="BW387" t="e">
        <f>IF(#REF!,"AAAAAD8rdUo=",0)</f>
        <v>#REF!</v>
      </c>
      <c r="BX387" t="e">
        <f>IF(#REF!,"AAAAAD8rdUs=",0)</f>
        <v>#REF!</v>
      </c>
      <c r="BY387" t="e">
        <f>IF(#REF!,"AAAAAD8rdUw=",0)</f>
        <v>#REF!</v>
      </c>
      <c r="BZ387" t="e">
        <f>IF(#REF!,"AAAAAD8rdU0=",0)</f>
        <v>#REF!</v>
      </c>
      <c r="CA387" t="e">
        <f>IF(#REF!,"AAAAAD8rdU4=",0)</f>
        <v>#REF!</v>
      </c>
      <c r="CB387" t="e">
        <f>IF(#REF!,"AAAAAD8rdU8=",0)</f>
        <v>#REF!</v>
      </c>
      <c r="CC387" t="e">
        <f>IF(#REF!,"AAAAAD8rdVA=",0)</f>
        <v>#REF!</v>
      </c>
      <c r="CD387" t="e">
        <f>IF(#REF!,"AAAAAD8rdVE=",0)</f>
        <v>#REF!</v>
      </c>
      <c r="CE387" t="e">
        <f>IF(#REF!,"AAAAAD8rdVI=",0)</f>
        <v>#REF!</v>
      </c>
      <c r="CF387" t="e">
        <f>IF(#REF!,"AAAAAD8rdVM=",0)</f>
        <v>#REF!</v>
      </c>
      <c r="CG387" t="e">
        <f>IF(#REF!,"AAAAAD8rdVQ=",0)</f>
        <v>#REF!</v>
      </c>
      <c r="CH387" t="e">
        <f>IF(#REF!,"AAAAAD8rdVU=",0)</f>
        <v>#REF!</v>
      </c>
      <c r="CI387" t="e">
        <f>IF(#REF!,"AAAAAD8rdVY=",0)</f>
        <v>#REF!</v>
      </c>
      <c r="CJ387" t="e">
        <f>IF(#REF!,"AAAAAD8rdVc=",0)</f>
        <v>#REF!</v>
      </c>
      <c r="CK387" t="e">
        <f>IF(#REF!,"AAAAAD8rdVg=",0)</f>
        <v>#REF!</v>
      </c>
      <c r="CL387" t="e">
        <f>IF(#REF!,"AAAAAD8rdVk=",0)</f>
        <v>#REF!</v>
      </c>
      <c r="CM387" t="e">
        <f>IF(#REF!,"AAAAAD8rdVo=",0)</f>
        <v>#REF!</v>
      </c>
      <c r="CN387" t="e">
        <f>IF(#REF!,"AAAAAD8rdVs=",0)</f>
        <v>#REF!</v>
      </c>
      <c r="CO387" t="e">
        <f>IF(#REF!,"AAAAAD8rdVw=",0)</f>
        <v>#REF!</v>
      </c>
      <c r="CP387" t="e">
        <f>IF(#REF!,"AAAAAD8rdV0=",0)</f>
        <v>#REF!</v>
      </c>
      <c r="CQ387" t="e">
        <f>IF(#REF!,"AAAAAD8rdV4=",0)</f>
        <v>#REF!</v>
      </c>
      <c r="CR387" t="e">
        <f>IF(#REF!,"AAAAAD8rdV8=",0)</f>
        <v>#REF!</v>
      </c>
      <c r="CS387" t="e">
        <f>IF(#REF!,"AAAAAD8rdWA=",0)</f>
        <v>#REF!</v>
      </c>
      <c r="CT387" t="e">
        <f>IF(#REF!,"AAAAAD8rdWE=",0)</f>
        <v>#REF!</v>
      </c>
      <c r="CU387" t="e">
        <f>IF(#REF!,"AAAAAD8rdWI=",0)</f>
        <v>#REF!</v>
      </c>
      <c r="CV387" t="e">
        <f>IF(#REF!,"AAAAAD8rdWM=",0)</f>
        <v>#REF!</v>
      </c>
      <c r="CW387" t="e">
        <f>IF(#REF!,"AAAAAD8rdWQ=",0)</f>
        <v>#REF!</v>
      </c>
      <c r="CX387" t="e">
        <f>IF(#REF!,"AAAAAD8rdWU=",0)</f>
        <v>#REF!</v>
      </c>
      <c r="CY387" t="e">
        <f>IF(#REF!,"AAAAAD8rdWY=",0)</f>
        <v>#REF!</v>
      </c>
      <c r="CZ387" t="e">
        <f>IF(#REF!,"AAAAAD8rdWc=",0)</f>
        <v>#REF!</v>
      </c>
      <c r="DA387" t="e">
        <f>IF(#REF!,"AAAAAD8rdWg=",0)</f>
        <v>#REF!</v>
      </c>
      <c r="DB387" t="e">
        <f>IF(#REF!,"AAAAAD8rdWk=",0)</f>
        <v>#REF!</v>
      </c>
      <c r="DC387" t="e">
        <f>IF(#REF!,"AAAAAD8rdWo=",0)</f>
        <v>#REF!</v>
      </c>
      <c r="DD387" t="e">
        <f>IF(#REF!,"AAAAAD8rdWs=",0)</f>
        <v>#REF!</v>
      </c>
      <c r="DE387" t="e">
        <f>IF(#REF!,"AAAAAD8rdWw=",0)</f>
        <v>#REF!</v>
      </c>
      <c r="DF387" t="e">
        <f>IF(#REF!,"AAAAAD8rdW0=",0)</f>
        <v>#REF!</v>
      </c>
      <c r="DG387" t="e">
        <f>IF(#REF!,"AAAAAD8rdW4=",0)</f>
        <v>#REF!</v>
      </c>
      <c r="DH387" t="e">
        <f>IF(#REF!,"AAAAAD8rdW8=",0)</f>
        <v>#REF!</v>
      </c>
      <c r="DI387" t="e">
        <f>IF(#REF!,"AAAAAD8rdXA=",0)</f>
        <v>#REF!</v>
      </c>
      <c r="DJ387" t="e">
        <f>IF(#REF!,"AAAAAD8rdXE=",0)</f>
        <v>#REF!</v>
      </c>
      <c r="DK387" t="e">
        <f>IF(#REF!,"AAAAAD8rdXI=",0)</f>
        <v>#REF!</v>
      </c>
      <c r="DL387" t="e">
        <f>IF(#REF!,"AAAAAD8rdXM=",0)</f>
        <v>#REF!</v>
      </c>
      <c r="DM387" t="e">
        <f>IF(#REF!,"AAAAAD8rdXQ=",0)</f>
        <v>#REF!</v>
      </c>
      <c r="DN387" t="e">
        <f>IF(#REF!,"AAAAAD8rdXU=",0)</f>
        <v>#REF!</v>
      </c>
      <c r="DO387" t="e">
        <f>IF(#REF!,"AAAAAD8rdXY=",0)</f>
        <v>#REF!</v>
      </c>
      <c r="DP387" t="e">
        <f>IF(#REF!,"AAAAAD8rdXc=",0)</f>
        <v>#REF!</v>
      </c>
      <c r="DQ387" t="e">
        <f>IF(#REF!,"AAAAAD8rdXg=",0)</f>
        <v>#REF!</v>
      </c>
      <c r="DR387" t="e">
        <f>IF(#REF!,"AAAAAD8rdXk=",0)</f>
        <v>#REF!</v>
      </c>
      <c r="DS387" t="e">
        <f>IF(#REF!,"AAAAAD8rdXo=",0)</f>
        <v>#REF!</v>
      </c>
      <c r="DT387" t="e">
        <f>IF(#REF!,"AAAAAD8rdXs=",0)</f>
        <v>#REF!</v>
      </c>
      <c r="DU387" t="e">
        <f>IF(#REF!,"AAAAAD8rdXw=",0)</f>
        <v>#REF!</v>
      </c>
      <c r="DV387" t="e">
        <f>IF(#REF!,"AAAAAD8rdX0=",0)</f>
        <v>#REF!</v>
      </c>
      <c r="DW387" t="e">
        <f>IF(#REF!,"AAAAAD8rdX4=",0)</f>
        <v>#REF!</v>
      </c>
      <c r="DX387" t="e">
        <f>IF(#REF!,"AAAAAD8rdX8=",0)</f>
        <v>#REF!</v>
      </c>
      <c r="DY387" t="e">
        <f>IF(#REF!,"AAAAAD8rdYA=",0)</f>
        <v>#REF!</v>
      </c>
      <c r="DZ387" t="e">
        <f>IF(#REF!,"AAAAAD8rdYE=",0)</f>
        <v>#REF!</v>
      </c>
      <c r="EA387" t="e">
        <f>IF(#REF!,"AAAAAD8rdYI=",0)</f>
        <v>#REF!</v>
      </c>
      <c r="EB387" t="e">
        <f>IF(#REF!,"AAAAAD8rdYM=",0)</f>
        <v>#REF!</v>
      </c>
      <c r="EC387" t="e">
        <f>IF(#REF!,"AAAAAD8rdYQ=",0)</f>
        <v>#REF!</v>
      </c>
      <c r="ED387" t="e">
        <f>IF(#REF!,"AAAAAD8rdYU=",0)</f>
        <v>#REF!</v>
      </c>
      <c r="EE387" t="e">
        <f>IF(#REF!,"AAAAAD8rdYY=",0)</f>
        <v>#REF!</v>
      </c>
      <c r="EF387" t="e">
        <f>IF(#REF!,"AAAAAD8rdYc=",0)</f>
        <v>#REF!</v>
      </c>
      <c r="EG387" t="e">
        <f>IF(#REF!,"AAAAAD8rdYg=",0)</f>
        <v>#REF!</v>
      </c>
      <c r="EH387" t="e">
        <f>IF(#REF!,"AAAAAD8rdYk=",0)</f>
        <v>#REF!</v>
      </c>
      <c r="EI387" t="e">
        <f>IF(#REF!,"AAAAAD8rdYo=",0)</f>
        <v>#REF!</v>
      </c>
      <c r="EJ387" t="e">
        <f>IF(#REF!,"AAAAAD8rdYs=",0)</f>
        <v>#REF!</v>
      </c>
      <c r="EK387" t="e">
        <f>IF(#REF!,"AAAAAD8rdYw=",0)</f>
        <v>#REF!</v>
      </c>
      <c r="EL387" t="e">
        <f>IF(#REF!,"AAAAAD8rdY0=",0)</f>
        <v>#REF!</v>
      </c>
      <c r="EM387" t="e">
        <f>IF(#REF!,"AAAAAD8rdY4=",0)</f>
        <v>#REF!</v>
      </c>
      <c r="EN387" t="e">
        <f>IF(#REF!,"AAAAAD8rdY8=",0)</f>
        <v>#REF!</v>
      </c>
      <c r="EO387" t="e">
        <f>IF(#REF!,"AAAAAD8rdZA=",0)</f>
        <v>#REF!</v>
      </c>
      <c r="EP387" t="e">
        <f>IF(#REF!,"AAAAAD8rdZE=",0)</f>
        <v>#REF!</v>
      </c>
      <c r="EQ387" t="e">
        <f>IF(#REF!,"AAAAAD8rdZI=",0)</f>
        <v>#REF!</v>
      </c>
      <c r="ER387" t="e">
        <f>IF(#REF!,"AAAAAD8rdZM=",0)</f>
        <v>#REF!</v>
      </c>
      <c r="ES387" t="e">
        <f>IF(#REF!,"AAAAAD8rdZQ=",0)</f>
        <v>#REF!</v>
      </c>
      <c r="ET387" t="e">
        <f>IF(#REF!,"AAAAAD8rdZU=",0)</f>
        <v>#REF!</v>
      </c>
      <c r="EU387" t="e">
        <f>IF(#REF!,"AAAAAD8rdZY=",0)</f>
        <v>#REF!</v>
      </c>
      <c r="EV387" t="e">
        <f>IF(#REF!,"AAAAAD8rdZc=",0)</f>
        <v>#REF!</v>
      </c>
      <c r="EW387" t="e">
        <f>IF(#REF!,"AAAAAD8rdZg=",0)</f>
        <v>#REF!</v>
      </c>
      <c r="EX387" t="e">
        <f>IF(#REF!,"AAAAAD8rdZk=",0)</f>
        <v>#REF!</v>
      </c>
      <c r="EY387" t="e">
        <f>IF(#REF!,"AAAAAD8rdZo=",0)</f>
        <v>#REF!</v>
      </c>
      <c r="EZ387" t="e">
        <f>IF(#REF!,"AAAAAD8rdZs=",0)</f>
        <v>#REF!</v>
      </c>
      <c r="FA387" t="e">
        <f>IF(#REF!,"AAAAAD8rdZw=",0)</f>
        <v>#REF!</v>
      </c>
      <c r="FB387" t="e">
        <f>IF(#REF!,"AAAAAD8rdZ0=",0)</f>
        <v>#REF!</v>
      </c>
      <c r="FC387" t="e">
        <f>IF(#REF!,"AAAAAD8rdZ4=",0)</f>
        <v>#REF!</v>
      </c>
      <c r="FD387" t="e">
        <f>IF(#REF!,"AAAAAD8rdZ8=",0)</f>
        <v>#REF!</v>
      </c>
      <c r="FE387" t="e">
        <f>IF(#REF!,"AAAAAD8rdaA=",0)</f>
        <v>#REF!</v>
      </c>
      <c r="FF387" t="e">
        <f>IF(#REF!,"AAAAAD8rdaE=",0)</f>
        <v>#REF!</v>
      </c>
      <c r="FG387" t="e">
        <f>IF(#REF!,"AAAAAD8rdaI=",0)</f>
        <v>#REF!</v>
      </c>
      <c r="FH387" t="e">
        <f>IF(#REF!,"AAAAAD8rdaM=",0)</f>
        <v>#REF!</v>
      </c>
      <c r="FI387" t="e">
        <f>IF(#REF!,"AAAAAD8rdaQ=",0)</f>
        <v>#REF!</v>
      </c>
      <c r="FJ387" t="e">
        <f>IF(#REF!,"AAAAAD8rdaU=",0)</f>
        <v>#REF!</v>
      </c>
      <c r="FK387" t="e">
        <f>IF(#REF!,"AAAAAD8rdaY=",0)</f>
        <v>#REF!</v>
      </c>
      <c r="FL387" t="e">
        <f>IF(#REF!,"AAAAAD8rdac=",0)</f>
        <v>#REF!</v>
      </c>
      <c r="FM387" t="e">
        <f>IF(#REF!,"AAAAAD8rdag=",0)</f>
        <v>#REF!</v>
      </c>
      <c r="FN387" t="e">
        <f>IF(#REF!,"AAAAAD8rdak=",0)</f>
        <v>#REF!</v>
      </c>
      <c r="FO387" t="e">
        <f>IF(#REF!,"AAAAAD8rdao=",0)</f>
        <v>#REF!</v>
      </c>
      <c r="FP387" t="e">
        <f>IF(#REF!,"AAAAAD8rdas=",0)</f>
        <v>#REF!</v>
      </c>
      <c r="FQ387" t="e">
        <f>IF(#REF!,"AAAAAD8rdaw=",0)</f>
        <v>#REF!</v>
      </c>
      <c r="FR387" t="e">
        <f>IF(#REF!,"AAAAAD8rda0=",0)</f>
        <v>#REF!</v>
      </c>
      <c r="FS387" t="e">
        <f>IF(#REF!,"AAAAAD8rda4=",0)</f>
        <v>#REF!</v>
      </c>
      <c r="FT387" t="e">
        <f>IF(#REF!,"AAAAAD8rda8=",0)</f>
        <v>#REF!</v>
      </c>
      <c r="FU387" t="e">
        <f>IF(#REF!,"AAAAAD8rdbA=",0)</f>
        <v>#REF!</v>
      </c>
      <c r="FV387" t="e">
        <f>IF(#REF!,"AAAAAD8rdbE=",0)</f>
        <v>#REF!</v>
      </c>
      <c r="FW387" t="e">
        <f>IF(#REF!,"AAAAAD8rdbI=",0)</f>
        <v>#REF!</v>
      </c>
      <c r="FX387" t="e">
        <f>IF(#REF!,"AAAAAD8rdbM=",0)</f>
        <v>#REF!</v>
      </c>
      <c r="FY387" t="e">
        <f>IF(#REF!,"AAAAAD8rdbQ=",0)</f>
        <v>#REF!</v>
      </c>
      <c r="FZ387" t="e">
        <f>IF(#REF!,"AAAAAD8rdbU=",0)</f>
        <v>#REF!</v>
      </c>
      <c r="GA387" t="e">
        <f>IF(#REF!,"AAAAAD8rdbY=",0)</f>
        <v>#REF!</v>
      </c>
      <c r="GB387" t="e">
        <f>IF(#REF!,"AAAAAD8rdbc=",0)</f>
        <v>#REF!</v>
      </c>
      <c r="GC387" t="e">
        <f>IF(#REF!,"AAAAAD8rdbg=",0)</f>
        <v>#REF!</v>
      </c>
      <c r="GD387" t="e">
        <f>IF(#REF!,"AAAAAD8rdbk=",0)</f>
        <v>#REF!</v>
      </c>
      <c r="GE387" t="e">
        <f>IF(#REF!,"AAAAAD8rdbo=",0)</f>
        <v>#REF!</v>
      </c>
      <c r="GF387" t="e">
        <f>IF(#REF!,"AAAAAD8rdbs=",0)</f>
        <v>#REF!</v>
      </c>
      <c r="GG387" t="e">
        <f>IF(#REF!,"AAAAAD8rdbw=",0)</f>
        <v>#REF!</v>
      </c>
      <c r="GH387" t="e">
        <f>IF(#REF!,"AAAAAD8rdb0=",0)</f>
        <v>#REF!</v>
      </c>
      <c r="GI387" t="e">
        <f>IF(#REF!,"AAAAAD8rdb4=",0)</f>
        <v>#REF!</v>
      </c>
      <c r="GJ387" t="e">
        <f>IF(#REF!,"AAAAAD8rdb8=",0)</f>
        <v>#REF!</v>
      </c>
      <c r="GK387" t="e">
        <f>IF(#REF!,"AAAAAD8rdcA=",0)</f>
        <v>#REF!</v>
      </c>
      <c r="GL387" t="e">
        <f>IF(#REF!,"AAAAAD8rdcE=",0)</f>
        <v>#REF!</v>
      </c>
      <c r="GM387" t="e">
        <f>IF(#REF!,"AAAAAD8rdcI=",0)</f>
        <v>#REF!</v>
      </c>
      <c r="GN387" t="e">
        <f>IF(#REF!,"AAAAAD8rdcM=",0)</f>
        <v>#REF!</v>
      </c>
      <c r="GO387" t="e">
        <f>IF(#REF!,"AAAAAD8rdcQ=",0)</f>
        <v>#REF!</v>
      </c>
      <c r="GP387" t="e">
        <f>IF(#REF!,"AAAAAD8rdcU=",0)</f>
        <v>#REF!</v>
      </c>
      <c r="GQ387" t="e">
        <f>IF(#REF!,"AAAAAD8rdcY=",0)</f>
        <v>#REF!</v>
      </c>
      <c r="GR387" t="e">
        <f>IF(#REF!,"AAAAAD8rdcc=",0)</f>
        <v>#REF!</v>
      </c>
      <c r="GS387" t="e">
        <f>IF(#REF!,"AAAAAD8rdcg=",0)</f>
        <v>#REF!</v>
      </c>
      <c r="GT387" t="e">
        <f>IF(#REF!,"AAAAAD8rdck=",0)</f>
        <v>#REF!</v>
      </c>
      <c r="GU387" t="e">
        <f>IF(#REF!,"AAAAAD8rdco=",0)</f>
        <v>#REF!</v>
      </c>
      <c r="GV387" t="e">
        <f>IF(#REF!,"AAAAAD8rdcs=",0)</f>
        <v>#REF!</v>
      </c>
      <c r="GW387" t="e">
        <f>IF(#REF!,"AAAAAD8rdcw=",0)</f>
        <v>#REF!</v>
      </c>
      <c r="GX387" t="e">
        <f>IF(#REF!,"AAAAAD8rdc0=",0)</f>
        <v>#REF!</v>
      </c>
      <c r="GY387" t="e">
        <f>IF(#REF!,"AAAAAD8rdc4=",0)</f>
        <v>#REF!</v>
      </c>
      <c r="GZ387" t="e">
        <f>IF(#REF!,"AAAAAD8rdc8=",0)</f>
        <v>#REF!</v>
      </c>
      <c r="HA387" t="e">
        <f>IF(#REF!,"AAAAAD8rddA=",0)</f>
        <v>#REF!</v>
      </c>
      <c r="HB387" t="e">
        <f>IF(#REF!,"AAAAAD8rddE=",0)</f>
        <v>#REF!</v>
      </c>
      <c r="HC387" t="e">
        <f>IF(#REF!,"AAAAAD8rddI=",0)</f>
        <v>#REF!</v>
      </c>
      <c r="HD387" t="e">
        <f>IF(#REF!,"AAAAAD8rddM=",0)</f>
        <v>#REF!</v>
      </c>
      <c r="HE387" t="e">
        <f>IF(#REF!,"AAAAAD8rddQ=",0)</f>
        <v>#REF!</v>
      </c>
      <c r="HF387" t="e">
        <f>IF(#REF!,"AAAAAD8rddU=",0)</f>
        <v>#REF!</v>
      </c>
      <c r="HG387" t="e">
        <f>IF(#REF!,"AAAAAD8rddY=",0)</f>
        <v>#REF!</v>
      </c>
      <c r="HH387" t="e">
        <f>IF(#REF!,"AAAAAD8rddc=",0)</f>
        <v>#REF!</v>
      </c>
      <c r="HI387" t="e">
        <f>IF(#REF!,"AAAAAD8rddg=",0)</f>
        <v>#REF!</v>
      </c>
      <c r="HJ387" t="e">
        <f>IF(#REF!,"AAAAAD8rddk=",0)</f>
        <v>#REF!</v>
      </c>
      <c r="HK387" t="e">
        <f>IF(#REF!,"AAAAAD8rddo=",0)</f>
        <v>#REF!</v>
      </c>
      <c r="HL387" t="e">
        <f>IF(#REF!,"AAAAAD8rdds=",0)</f>
        <v>#REF!</v>
      </c>
      <c r="HM387" t="e">
        <f>IF(#REF!,"AAAAAD8rddw=",0)</f>
        <v>#REF!</v>
      </c>
      <c r="HN387" t="e">
        <f>IF(#REF!,"AAAAAD8rdd0=",0)</f>
        <v>#REF!</v>
      </c>
      <c r="HO387" t="e">
        <f>IF(#REF!,"AAAAAD8rdd4=",0)</f>
        <v>#REF!</v>
      </c>
      <c r="HP387" t="e">
        <f>IF(#REF!,"AAAAAD8rdd8=",0)</f>
        <v>#REF!</v>
      </c>
      <c r="HQ387" t="e">
        <f>IF(#REF!,"AAAAAD8rdeA=",0)</f>
        <v>#REF!</v>
      </c>
      <c r="HR387" t="e">
        <f>IF(#REF!,"AAAAAD8rdeE=",0)</f>
        <v>#REF!</v>
      </c>
      <c r="HS387" t="e">
        <f>IF(#REF!,"AAAAAD8rdeI=",0)</f>
        <v>#REF!</v>
      </c>
      <c r="HT387" t="e">
        <f>IF(#REF!,"AAAAAD8rdeM=",0)</f>
        <v>#REF!</v>
      </c>
      <c r="HU387" t="e">
        <f>IF(#REF!,"AAAAAD8rdeQ=",0)</f>
        <v>#REF!</v>
      </c>
      <c r="HV387" t="e">
        <f>IF(#REF!,"AAAAAD8rdeU=",0)</f>
        <v>#REF!</v>
      </c>
      <c r="HW387" t="e">
        <f>IF(#REF!,"AAAAAD8rdeY=",0)</f>
        <v>#REF!</v>
      </c>
      <c r="HX387" t="e">
        <f>IF(#REF!,"AAAAAD8rdec=",0)</f>
        <v>#REF!</v>
      </c>
      <c r="HY387" t="e">
        <f>IF(#REF!,"AAAAAD8rdeg=",0)</f>
        <v>#REF!</v>
      </c>
      <c r="HZ387" t="e">
        <f>IF(#REF!,"AAAAAD8rdek=",0)</f>
        <v>#REF!</v>
      </c>
      <c r="IA387" t="e">
        <f>IF(#REF!,"AAAAAD8rdeo=",0)</f>
        <v>#REF!</v>
      </c>
      <c r="IB387" t="e">
        <f>IF(#REF!,"AAAAAD8rdes=",0)</f>
        <v>#REF!</v>
      </c>
      <c r="IC387" t="e">
        <f>IF(#REF!,"AAAAAD8rdew=",0)</f>
        <v>#REF!</v>
      </c>
      <c r="ID387" t="e">
        <f>IF(#REF!,"AAAAAD8rde0=",0)</f>
        <v>#REF!</v>
      </c>
      <c r="IE387" t="e">
        <f>IF(#REF!,"AAAAAD8rde4=",0)</f>
        <v>#REF!</v>
      </c>
      <c r="IF387" t="e">
        <f>IF(#REF!,"AAAAAD8rde8=",0)</f>
        <v>#REF!</v>
      </c>
      <c r="IG387" t="e">
        <f>IF(#REF!,"AAAAAD8rdfA=",0)</f>
        <v>#REF!</v>
      </c>
      <c r="IH387" t="e">
        <f>IF(#REF!,"AAAAAD8rdfE=",0)</f>
        <v>#REF!</v>
      </c>
      <c r="II387" t="e">
        <f>IF(#REF!,"AAAAAD8rdfI=",0)</f>
        <v>#REF!</v>
      </c>
      <c r="IJ387" t="e">
        <f>IF(#REF!,"AAAAAD8rdfM=",0)</f>
        <v>#REF!</v>
      </c>
      <c r="IK387" t="e">
        <f>IF(#REF!,"AAAAAD8rdfQ=",0)</f>
        <v>#REF!</v>
      </c>
      <c r="IL387" t="e">
        <f>IF(#REF!,"AAAAAD8rdfU=",0)</f>
        <v>#REF!</v>
      </c>
      <c r="IM387" t="e">
        <f>IF(#REF!,"AAAAAD8rdfY=",0)</f>
        <v>#REF!</v>
      </c>
      <c r="IN387" t="e">
        <f>IF(#REF!,"AAAAAD8rdfc=",0)</f>
        <v>#REF!</v>
      </c>
      <c r="IO387" t="e">
        <f>IF(#REF!,"AAAAAD8rdfg=",0)</f>
        <v>#REF!</v>
      </c>
      <c r="IP387" t="e">
        <f>IF(#REF!,"AAAAAD8rdfk=",0)</f>
        <v>#REF!</v>
      </c>
      <c r="IQ387" t="e">
        <f>IF(#REF!,"AAAAAD8rdfo=",0)</f>
        <v>#REF!</v>
      </c>
      <c r="IR387" t="e">
        <f>IF(#REF!,"AAAAAD8rdfs=",0)</f>
        <v>#REF!</v>
      </c>
      <c r="IS387" t="e">
        <f>IF(#REF!,"AAAAAD8rdfw=",0)</f>
        <v>#REF!</v>
      </c>
      <c r="IT387" t="e">
        <f>IF(#REF!,"AAAAAD8rdf0=",0)</f>
        <v>#REF!</v>
      </c>
      <c r="IU387" t="e">
        <f>IF(#REF!,"AAAAAD8rdf4=",0)</f>
        <v>#REF!</v>
      </c>
      <c r="IV387" t="e">
        <f>IF(#REF!,"AAAAAD8rdf8=",0)</f>
        <v>#REF!</v>
      </c>
    </row>
    <row r="388" spans="1:256">
      <c r="A388" t="e">
        <f>IF(#REF!,"AAAAAH7PzQA=",0)</f>
        <v>#REF!</v>
      </c>
      <c r="B388" t="e">
        <f>IF(#REF!,"AAAAAH7PzQE=",0)</f>
        <v>#REF!</v>
      </c>
      <c r="C388" t="e">
        <f>IF(#REF!,"AAAAAH7PzQI=",0)</f>
        <v>#REF!</v>
      </c>
      <c r="D388" t="e">
        <f>IF(#REF!,"AAAAAH7PzQM=",0)</f>
        <v>#REF!</v>
      </c>
      <c r="E388" t="e">
        <f>IF(#REF!,"AAAAAH7PzQQ=",0)</f>
        <v>#REF!</v>
      </c>
      <c r="F388" t="e">
        <f>IF(#REF!,"AAAAAH7PzQU=",0)</f>
        <v>#REF!</v>
      </c>
      <c r="G388" t="e">
        <f>IF(#REF!,"AAAAAH7PzQY=",0)</f>
        <v>#REF!</v>
      </c>
      <c r="H388" t="e">
        <f>IF(#REF!,"AAAAAH7PzQc=",0)</f>
        <v>#REF!</v>
      </c>
      <c r="I388" t="e">
        <f>IF(#REF!,"AAAAAH7PzQg=",0)</f>
        <v>#REF!</v>
      </c>
      <c r="J388" t="e">
        <f>IF(#REF!,"AAAAAH7PzQk=",0)</f>
        <v>#REF!</v>
      </c>
      <c r="K388" t="e">
        <f>IF(#REF!,"AAAAAH7PzQo=",0)</f>
        <v>#REF!</v>
      </c>
      <c r="L388" t="e">
        <f>IF(#REF!,"AAAAAH7PzQs=",0)</f>
        <v>#REF!</v>
      </c>
      <c r="M388" t="e">
        <f>IF(#REF!,"AAAAAH7PzQw=",0)</f>
        <v>#REF!</v>
      </c>
      <c r="N388" t="e">
        <f>IF(#REF!,"AAAAAH7PzQ0=",0)</f>
        <v>#REF!</v>
      </c>
      <c r="O388" t="e">
        <f>IF(#REF!,"AAAAAH7PzQ4=",0)</f>
        <v>#REF!</v>
      </c>
      <c r="P388" t="e">
        <f>IF(#REF!,"AAAAAH7PzQ8=",0)</f>
        <v>#REF!</v>
      </c>
      <c r="Q388" t="e">
        <f>IF(#REF!,"AAAAAH7PzRA=",0)</f>
        <v>#REF!</v>
      </c>
      <c r="R388" t="e">
        <f>IF(#REF!,"AAAAAH7PzRE=",0)</f>
        <v>#REF!</v>
      </c>
      <c r="S388" t="e">
        <f>IF(#REF!,"AAAAAH7PzRI=",0)</f>
        <v>#REF!</v>
      </c>
      <c r="T388" t="e">
        <f>IF(#REF!,"AAAAAH7PzRM=",0)</f>
        <v>#REF!</v>
      </c>
      <c r="U388" t="e">
        <f>IF(#REF!,"AAAAAH7PzRQ=",0)</f>
        <v>#REF!</v>
      </c>
      <c r="V388" t="e">
        <f>IF(#REF!,"AAAAAH7PzRU=",0)</f>
        <v>#REF!</v>
      </c>
      <c r="W388" t="e">
        <f>IF(#REF!,"AAAAAH7PzRY=",0)</f>
        <v>#REF!</v>
      </c>
      <c r="X388" t="e">
        <f>IF(#REF!,"AAAAAH7PzRc=",0)</f>
        <v>#REF!</v>
      </c>
      <c r="Y388" t="e">
        <f>IF(#REF!,"AAAAAH7PzRg=",0)</f>
        <v>#REF!</v>
      </c>
      <c r="Z388" t="e">
        <f>IF(#REF!,"AAAAAH7PzRk=",0)</f>
        <v>#REF!</v>
      </c>
      <c r="AA388" t="e">
        <f>IF(#REF!,"AAAAAH7PzRo=",0)</f>
        <v>#REF!</v>
      </c>
      <c r="AB388" t="e">
        <f>IF(#REF!,"AAAAAH7PzRs=",0)</f>
        <v>#REF!</v>
      </c>
      <c r="AC388" t="e">
        <f>IF(#REF!,"AAAAAH7PzRw=",0)</f>
        <v>#REF!</v>
      </c>
      <c r="AD388" t="e">
        <f>IF(#REF!,"AAAAAH7PzR0=",0)</f>
        <v>#REF!</v>
      </c>
      <c r="AE388" t="e">
        <f>IF(#REF!,"AAAAAH7PzR4=",0)</f>
        <v>#REF!</v>
      </c>
      <c r="AF388" t="e">
        <f>IF(#REF!,"AAAAAH7PzR8=",0)</f>
        <v>#REF!</v>
      </c>
      <c r="AG388" t="e">
        <f>IF(#REF!,"AAAAAH7PzSA=",0)</f>
        <v>#REF!</v>
      </c>
      <c r="AH388" t="e">
        <f>IF(#REF!,"AAAAAH7PzSE=",0)</f>
        <v>#REF!</v>
      </c>
      <c r="AI388" t="e">
        <f>IF(#REF!,"AAAAAH7PzSI=",0)</f>
        <v>#REF!</v>
      </c>
      <c r="AJ388" t="e">
        <f>IF(#REF!,"AAAAAH7PzSM=",0)</f>
        <v>#REF!</v>
      </c>
      <c r="AK388" t="e">
        <f>IF(#REF!,"AAAAAH7PzSQ=",0)</f>
        <v>#REF!</v>
      </c>
      <c r="AL388" t="e">
        <f>IF(#REF!,"AAAAAH7PzSU=",0)</f>
        <v>#REF!</v>
      </c>
      <c r="AM388" t="e">
        <f>IF(#REF!,"AAAAAH7PzSY=",0)</f>
        <v>#REF!</v>
      </c>
      <c r="AN388" t="e">
        <f>IF(#REF!,"AAAAAH7PzSc=",0)</f>
        <v>#REF!</v>
      </c>
      <c r="AO388" t="e">
        <f>IF(#REF!,"AAAAAH7PzSg=",0)</f>
        <v>#REF!</v>
      </c>
      <c r="AP388" t="e">
        <f>IF(#REF!,"AAAAAH7PzSk=",0)</f>
        <v>#REF!</v>
      </c>
      <c r="AQ388" t="e">
        <f>IF(#REF!,"AAAAAH7PzSo=",0)</f>
        <v>#REF!</v>
      </c>
      <c r="AR388" t="e">
        <f>IF(#REF!,"AAAAAH7PzSs=",0)</f>
        <v>#REF!</v>
      </c>
      <c r="AS388" t="e">
        <f>IF(#REF!,"AAAAAH7PzSw=",0)</f>
        <v>#REF!</v>
      </c>
      <c r="AT388" t="e">
        <f>IF(#REF!,"AAAAAH7PzS0=",0)</f>
        <v>#REF!</v>
      </c>
      <c r="AU388" t="e">
        <f>IF(#REF!,"AAAAAH7PzS4=",0)</f>
        <v>#REF!</v>
      </c>
      <c r="AV388" t="e">
        <f>IF(#REF!,"AAAAAH7PzS8=",0)</f>
        <v>#REF!</v>
      </c>
      <c r="AW388" t="e">
        <f>IF(#REF!,"AAAAAH7PzTA=",0)</f>
        <v>#REF!</v>
      </c>
      <c r="AX388" t="e">
        <f>IF(#REF!,"AAAAAH7PzTE=",0)</f>
        <v>#REF!</v>
      </c>
      <c r="AY388" t="e">
        <f>IF(#REF!,"AAAAAH7PzTI=",0)</f>
        <v>#REF!</v>
      </c>
      <c r="AZ388" t="e">
        <f>IF(#REF!,"AAAAAH7PzTM=",0)</f>
        <v>#REF!</v>
      </c>
      <c r="BA388" t="e">
        <f>IF(#REF!,"AAAAAH7PzTQ=",0)</f>
        <v>#REF!</v>
      </c>
      <c r="BB388" t="e">
        <f>IF(#REF!,"AAAAAH7PzTU=",0)</f>
        <v>#REF!</v>
      </c>
      <c r="BC388" t="e">
        <f>IF(#REF!,"AAAAAH7PzTY=",0)</f>
        <v>#REF!</v>
      </c>
      <c r="BD388" t="e">
        <f>IF(#REF!,"AAAAAH7PzTc=",0)</f>
        <v>#REF!</v>
      </c>
      <c r="BE388" t="e">
        <f>IF(#REF!,"AAAAAH7PzTg=",0)</f>
        <v>#REF!</v>
      </c>
      <c r="BF388" t="e">
        <f>IF(#REF!,"AAAAAH7PzTk=",0)</f>
        <v>#REF!</v>
      </c>
      <c r="BG388" t="e">
        <f>IF(#REF!,"AAAAAH7PzTo=",0)</f>
        <v>#REF!</v>
      </c>
      <c r="BH388" t="e">
        <f>IF(#REF!,"AAAAAH7PzTs=",0)</f>
        <v>#REF!</v>
      </c>
      <c r="BI388" t="e">
        <f>IF(#REF!,"AAAAAH7PzTw=",0)</f>
        <v>#REF!</v>
      </c>
      <c r="BJ388" t="e">
        <f>IF(#REF!,"AAAAAH7PzT0=",0)</f>
        <v>#REF!</v>
      </c>
      <c r="BK388" t="e">
        <f>IF(#REF!,"AAAAAH7PzT4=",0)</f>
        <v>#REF!</v>
      </c>
      <c r="BL388" t="e">
        <f>IF(#REF!,"AAAAAH7PzT8=",0)</f>
        <v>#REF!</v>
      </c>
      <c r="BM388" t="e">
        <f>IF(#REF!,"AAAAAH7PzUA=",0)</f>
        <v>#REF!</v>
      </c>
      <c r="BN388" t="e">
        <f>IF(#REF!,"AAAAAH7PzUE=",0)</f>
        <v>#REF!</v>
      </c>
      <c r="BO388" t="e">
        <f>IF(#REF!,"AAAAAH7PzUI=",0)</f>
        <v>#REF!</v>
      </c>
      <c r="BP388" t="e">
        <f>IF(#REF!,"AAAAAH7PzUM=",0)</f>
        <v>#REF!</v>
      </c>
      <c r="BQ388" t="e">
        <f>IF(#REF!,"AAAAAH7PzUQ=",0)</f>
        <v>#REF!</v>
      </c>
      <c r="BR388" t="e">
        <f>IF(#REF!,"AAAAAH7PzUU=",0)</f>
        <v>#REF!</v>
      </c>
      <c r="BS388" t="e">
        <f>IF(#REF!,"AAAAAH7PzUY=",0)</f>
        <v>#REF!</v>
      </c>
      <c r="BT388" t="e">
        <f>IF(#REF!,"AAAAAH7PzUc=",0)</f>
        <v>#REF!</v>
      </c>
      <c r="BU388" t="e">
        <f>IF(#REF!,"AAAAAH7PzUg=",0)</f>
        <v>#REF!</v>
      </c>
      <c r="BV388" t="e">
        <f>IF(#REF!,"AAAAAH7PzUk=",0)</f>
        <v>#REF!</v>
      </c>
      <c r="BW388" t="e">
        <f>IF(#REF!,"AAAAAH7PzUo=",0)</f>
        <v>#REF!</v>
      </c>
      <c r="BX388" t="e">
        <f>IF(#REF!,"AAAAAH7PzUs=",0)</f>
        <v>#REF!</v>
      </c>
      <c r="BY388" t="e">
        <f>IF(#REF!,"AAAAAH7PzUw=",0)</f>
        <v>#REF!</v>
      </c>
      <c r="BZ388" t="e">
        <f>IF(#REF!,"AAAAAH7PzU0=",0)</f>
        <v>#REF!</v>
      </c>
      <c r="CA388" t="e">
        <f>IF(#REF!,"AAAAAH7PzU4=",0)</f>
        <v>#REF!</v>
      </c>
      <c r="CB388" t="e">
        <f>IF(#REF!,"AAAAAH7PzU8=",0)</f>
        <v>#REF!</v>
      </c>
      <c r="CC388" t="e">
        <f>IF(#REF!,"AAAAAH7PzVA=",0)</f>
        <v>#REF!</v>
      </c>
      <c r="CD388" t="e">
        <f>IF(#REF!,"AAAAAH7PzVE=",0)</f>
        <v>#REF!</v>
      </c>
      <c r="CE388" t="e">
        <f>IF(#REF!,"AAAAAH7PzVI=",0)</f>
        <v>#REF!</v>
      </c>
      <c r="CF388" t="e">
        <f>IF(#REF!,"AAAAAH7PzVM=",0)</f>
        <v>#REF!</v>
      </c>
      <c r="CG388" t="e">
        <f>IF(#REF!,"AAAAAH7PzVQ=",0)</f>
        <v>#REF!</v>
      </c>
      <c r="CH388" t="e">
        <f>IF(#REF!,"AAAAAH7PzVU=",0)</f>
        <v>#REF!</v>
      </c>
      <c r="CI388" t="e">
        <f>IF(#REF!,"AAAAAH7PzVY=",0)</f>
        <v>#REF!</v>
      </c>
      <c r="CJ388" t="e">
        <f>IF(#REF!,"AAAAAH7PzVc=",0)</f>
        <v>#REF!</v>
      </c>
      <c r="CK388" t="e">
        <f>IF(#REF!,"AAAAAH7PzVg=",0)</f>
        <v>#REF!</v>
      </c>
      <c r="CL388" t="e">
        <f>IF(#REF!,"AAAAAH7PzVk=",0)</f>
        <v>#REF!</v>
      </c>
      <c r="CM388" t="e">
        <f>IF(#REF!,"AAAAAH7PzVo=",0)</f>
        <v>#REF!</v>
      </c>
      <c r="CN388" t="e">
        <f>IF(#REF!,"AAAAAH7PzVs=",0)</f>
        <v>#REF!</v>
      </c>
      <c r="CO388" t="e">
        <f>IF(#REF!,"AAAAAH7PzVw=",0)</f>
        <v>#REF!</v>
      </c>
      <c r="CP388" t="e">
        <f>IF(#REF!,"AAAAAH7PzV0=",0)</f>
        <v>#REF!</v>
      </c>
      <c r="CQ388" t="e">
        <f>IF(#REF!,"AAAAAH7PzV4=",0)</f>
        <v>#REF!</v>
      </c>
      <c r="CR388" t="e">
        <f>IF(#REF!,"AAAAAH7PzV8=",0)</f>
        <v>#REF!</v>
      </c>
      <c r="CS388" t="e">
        <f>IF(#REF!,"AAAAAH7PzWA=",0)</f>
        <v>#REF!</v>
      </c>
      <c r="CT388" t="e">
        <f>IF(#REF!,"AAAAAH7PzWE=",0)</f>
        <v>#REF!</v>
      </c>
      <c r="CU388" t="e">
        <f>IF(#REF!,"AAAAAH7PzWI=",0)</f>
        <v>#REF!</v>
      </c>
      <c r="CV388" t="e">
        <f>IF(#REF!,"AAAAAH7PzWM=",0)</f>
        <v>#REF!</v>
      </c>
      <c r="CW388" t="e">
        <f>IF(#REF!,"AAAAAH7PzWQ=",0)</f>
        <v>#REF!</v>
      </c>
      <c r="CX388" t="e">
        <f>IF(#REF!,"AAAAAH7PzWU=",0)</f>
        <v>#REF!</v>
      </c>
      <c r="CY388" t="e">
        <f>IF(#REF!,"AAAAAH7PzWY=",0)</f>
        <v>#REF!</v>
      </c>
      <c r="CZ388" t="e">
        <f>IF(#REF!,"AAAAAH7PzWc=",0)</f>
        <v>#REF!</v>
      </c>
      <c r="DA388" t="e">
        <f>IF(#REF!,"AAAAAH7PzWg=",0)</f>
        <v>#REF!</v>
      </c>
      <c r="DB388" t="e">
        <f>IF(#REF!,"AAAAAH7PzWk=",0)</f>
        <v>#REF!</v>
      </c>
      <c r="DC388" t="e">
        <f>IF(#REF!,"AAAAAH7PzWo=",0)</f>
        <v>#REF!</v>
      </c>
      <c r="DD388" t="e">
        <f>IF(#REF!,"AAAAAH7PzWs=",0)</f>
        <v>#REF!</v>
      </c>
      <c r="DE388" t="e">
        <f>IF(#REF!,"AAAAAH7PzWw=",0)</f>
        <v>#REF!</v>
      </c>
      <c r="DF388" t="e">
        <f>IF(#REF!,"AAAAAH7PzW0=",0)</f>
        <v>#REF!</v>
      </c>
      <c r="DG388" t="e">
        <f>IF(#REF!,"AAAAAH7PzW4=",0)</f>
        <v>#REF!</v>
      </c>
      <c r="DH388" t="e">
        <f>IF(#REF!,"AAAAAH7PzW8=",0)</f>
        <v>#REF!</v>
      </c>
      <c r="DI388" t="e">
        <f>IF(#REF!,"AAAAAH7PzXA=",0)</f>
        <v>#REF!</v>
      </c>
      <c r="DJ388" t="e">
        <f>IF(#REF!,"AAAAAH7PzXE=",0)</f>
        <v>#REF!</v>
      </c>
      <c r="DK388" t="e">
        <f>IF(#REF!,"AAAAAH7PzXI=",0)</f>
        <v>#REF!</v>
      </c>
      <c r="DL388" t="e">
        <f>IF(#REF!,"AAAAAH7PzXM=",0)</f>
        <v>#REF!</v>
      </c>
      <c r="DM388" t="e">
        <f>IF(#REF!,"AAAAAH7PzXQ=",0)</f>
        <v>#REF!</v>
      </c>
      <c r="DN388" t="e">
        <f>IF(#REF!,"AAAAAH7PzXU=",0)</f>
        <v>#REF!</v>
      </c>
      <c r="DO388" t="e">
        <f>IF(#REF!,"AAAAAH7PzXY=",0)</f>
        <v>#REF!</v>
      </c>
      <c r="DP388" t="e">
        <f>IF(#REF!,"AAAAAH7PzXc=",0)</f>
        <v>#REF!</v>
      </c>
      <c r="DQ388" t="e">
        <f>IF(#REF!,"AAAAAH7PzXg=",0)</f>
        <v>#REF!</v>
      </c>
      <c r="DR388" t="e">
        <f>IF(#REF!,"AAAAAH7PzXk=",0)</f>
        <v>#REF!</v>
      </c>
      <c r="DS388" t="e">
        <f>IF(#REF!,"AAAAAH7PzXo=",0)</f>
        <v>#REF!</v>
      </c>
      <c r="DT388" t="e">
        <f>IF(#REF!,"AAAAAH7PzXs=",0)</f>
        <v>#REF!</v>
      </c>
      <c r="DU388" t="e">
        <f>IF(#REF!,"AAAAAH7PzXw=",0)</f>
        <v>#REF!</v>
      </c>
      <c r="DV388" t="e">
        <f>IF(#REF!,"AAAAAH7PzX0=",0)</f>
        <v>#REF!</v>
      </c>
      <c r="DW388" t="e">
        <f>IF(#REF!,"AAAAAH7PzX4=",0)</f>
        <v>#REF!</v>
      </c>
      <c r="DX388" t="e">
        <f>IF(#REF!,"AAAAAH7PzX8=",0)</f>
        <v>#REF!</v>
      </c>
      <c r="DY388" t="e">
        <f>IF(#REF!,"AAAAAH7PzYA=",0)</f>
        <v>#REF!</v>
      </c>
      <c r="DZ388" t="e">
        <f>IF(#REF!,"AAAAAH7PzYE=",0)</f>
        <v>#REF!</v>
      </c>
      <c r="EA388" t="e">
        <f>IF(#REF!,"AAAAAH7PzYI=",0)</f>
        <v>#REF!</v>
      </c>
      <c r="EB388" t="e">
        <f>IF(#REF!,"AAAAAH7PzYM=",0)</f>
        <v>#REF!</v>
      </c>
      <c r="EC388" t="e">
        <f>IF(#REF!,"AAAAAH7PzYQ=",0)</f>
        <v>#REF!</v>
      </c>
      <c r="ED388" t="e">
        <f>IF(#REF!,"AAAAAH7PzYU=",0)</f>
        <v>#REF!</v>
      </c>
      <c r="EE388" t="e">
        <f>IF(#REF!,"AAAAAH7PzYY=",0)</f>
        <v>#REF!</v>
      </c>
      <c r="EF388" t="e">
        <f>IF(#REF!,"AAAAAH7PzYc=",0)</f>
        <v>#REF!</v>
      </c>
      <c r="EG388" t="e">
        <f>IF(#REF!,"AAAAAH7PzYg=",0)</f>
        <v>#REF!</v>
      </c>
      <c r="EH388" t="e">
        <f>IF(#REF!,"AAAAAH7PzYk=",0)</f>
        <v>#REF!</v>
      </c>
      <c r="EI388" t="e">
        <f>IF(#REF!,"AAAAAH7PzYo=",0)</f>
        <v>#REF!</v>
      </c>
      <c r="EJ388" t="e">
        <f>IF(#REF!,"AAAAAH7PzYs=",0)</f>
        <v>#REF!</v>
      </c>
      <c r="EK388" t="e">
        <f>IF(#REF!,"AAAAAH7PzYw=",0)</f>
        <v>#REF!</v>
      </c>
      <c r="EL388" t="e">
        <f>IF(#REF!,"AAAAAH7PzY0=",0)</f>
        <v>#REF!</v>
      </c>
      <c r="EM388" t="e">
        <f>IF(#REF!,"AAAAAH7PzY4=",0)</f>
        <v>#REF!</v>
      </c>
      <c r="EN388" t="e">
        <f>IF(#REF!,"AAAAAH7PzY8=",0)</f>
        <v>#REF!</v>
      </c>
      <c r="EO388" t="e">
        <f>IF(#REF!,"AAAAAH7PzZA=",0)</f>
        <v>#REF!</v>
      </c>
      <c r="EP388" t="e">
        <f>IF(#REF!,"AAAAAH7PzZE=",0)</f>
        <v>#REF!</v>
      </c>
      <c r="EQ388" t="e">
        <f>IF(#REF!,"AAAAAH7PzZI=",0)</f>
        <v>#REF!</v>
      </c>
      <c r="ER388" t="e">
        <f>IF(#REF!,"AAAAAH7PzZM=",0)</f>
        <v>#REF!</v>
      </c>
      <c r="ES388" t="e">
        <f>IF(#REF!,"AAAAAH7PzZQ=",0)</f>
        <v>#REF!</v>
      </c>
      <c r="ET388" t="e">
        <f>IF(#REF!,"AAAAAH7PzZU=",0)</f>
        <v>#REF!</v>
      </c>
      <c r="EU388" t="e">
        <f>IF(#REF!,"AAAAAH7PzZY=",0)</f>
        <v>#REF!</v>
      </c>
      <c r="EV388" t="e">
        <f>IF(#REF!,"AAAAAH7PzZc=",0)</f>
        <v>#REF!</v>
      </c>
      <c r="EW388" t="e">
        <f>IF(#REF!,"AAAAAH7PzZg=",0)</f>
        <v>#REF!</v>
      </c>
      <c r="EX388" t="e">
        <f>IF(#REF!,"AAAAAH7PzZk=",0)</f>
        <v>#REF!</v>
      </c>
      <c r="EY388" t="e">
        <f>IF(#REF!,"AAAAAH7PzZo=",0)</f>
        <v>#REF!</v>
      </c>
      <c r="EZ388" t="e">
        <f>IF(#REF!,"AAAAAH7PzZs=",0)</f>
        <v>#REF!</v>
      </c>
      <c r="FA388" t="e">
        <f>IF(#REF!,"AAAAAH7PzZw=",0)</f>
        <v>#REF!</v>
      </c>
      <c r="FB388" t="e">
        <f>IF(#REF!,"AAAAAH7PzZ0=",0)</f>
        <v>#REF!</v>
      </c>
      <c r="FC388" t="e">
        <f>IF(#REF!,"AAAAAH7PzZ4=",0)</f>
        <v>#REF!</v>
      </c>
      <c r="FD388" t="e">
        <f>IF(#REF!,"AAAAAH7PzZ8=",0)</f>
        <v>#REF!</v>
      </c>
      <c r="FE388" t="e">
        <f>IF(#REF!,"AAAAAH7PzaA=",0)</f>
        <v>#REF!</v>
      </c>
      <c r="FF388" t="e">
        <f>IF(#REF!,"AAAAAH7PzaE=",0)</f>
        <v>#REF!</v>
      </c>
      <c r="FG388" t="e">
        <f>IF(#REF!,"AAAAAH7PzaI=",0)</f>
        <v>#REF!</v>
      </c>
      <c r="FH388" t="e">
        <f>IF(#REF!,"AAAAAH7PzaM=",0)</f>
        <v>#REF!</v>
      </c>
      <c r="FI388" t="e">
        <f>IF(#REF!,"AAAAAH7PzaQ=",0)</f>
        <v>#REF!</v>
      </c>
      <c r="FJ388" t="e">
        <f>IF(#REF!,"AAAAAH7PzaU=",0)</f>
        <v>#REF!</v>
      </c>
      <c r="FK388" t="e">
        <f>IF(#REF!,"AAAAAH7PzaY=",0)</f>
        <v>#REF!</v>
      </c>
      <c r="FL388" t="e">
        <f>IF(#REF!,"AAAAAH7Pzac=",0)</f>
        <v>#REF!</v>
      </c>
      <c r="FM388" t="e">
        <f>IF(#REF!,"AAAAAH7Pzag=",0)</f>
        <v>#REF!</v>
      </c>
      <c r="FN388" t="e">
        <f>IF(#REF!,"AAAAAH7Pzak=",0)</f>
        <v>#REF!</v>
      </c>
      <c r="FO388" t="e">
        <f>IF(#REF!,"AAAAAH7Pzao=",0)</f>
        <v>#REF!</v>
      </c>
      <c r="FP388" t="e">
        <f>IF(#REF!,"AAAAAH7Pzas=",0)</f>
        <v>#REF!</v>
      </c>
      <c r="FQ388" t="e">
        <f>IF(#REF!,"AAAAAH7Pzaw=",0)</f>
        <v>#REF!</v>
      </c>
      <c r="FR388" t="e">
        <f>IF(#REF!,"AAAAAH7Pza0=",0)</f>
        <v>#REF!</v>
      </c>
      <c r="FS388" t="e">
        <f>IF(#REF!,"AAAAAH7Pza4=",0)</f>
        <v>#REF!</v>
      </c>
      <c r="FT388" t="e">
        <f>IF(#REF!,"AAAAAH7Pza8=",0)</f>
        <v>#REF!</v>
      </c>
      <c r="FU388" t="e">
        <f>IF(#REF!,"AAAAAH7PzbA=",0)</f>
        <v>#REF!</v>
      </c>
      <c r="FV388" t="e">
        <f>IF(#REF!,"AAAAAH7PzbE=",0)</f>
        <v>#REF!</v>
      </c>
      <c r="FW388" t="e">
        <f>IF(#REF!,"AAAAAH7PzbI=",0)</f>
        <v>#REF!</v>
      </c>
      <c r="FX388" t="e">
        <f>IF(#REF!,"AAAAAH7PzbM=",0)</f>
        <v>#REF!</v>
      </c>
      <c r="FY388" t="e">
        <f>IF(#REF!,"AAAAAH7PzbQ=",0)</f>
        <v>#REF!</v>
      </c>
      <c r="FZ388" t="e">
        <f>IF(#REF!,"AAAAAH7PzbU=",0)</f>
        <v>#REF!</v>
      </c>
      <c r="GA388" t="e">
        <f>IF(#REF!,"AAAAAH7PzbY=",0)</f>
        <v>#REF!</v>
      </c>
      <c r="GB388" t="e">
        <f>IF(#REF!,"AAAAAH7Pzbc=",0)</f>
        <v>#REF!</v>
      </c>
      <c r="GC388" t="e">
        <f>IF(#REF!,"AAAAAH7Pzbg=",0)</f>
        <v>#REF!</v>
      </c>
      <c r="GD388" t="e">
        <f>IF(#REF!,"AAAAAH7Pzbk=",0)</f>
        <v>#REF!</v>
      </c>
      <c r="GE388" t="e">
        <f>IF(#REF!,"AAAAAH7Pzbo=",0)</f>
        <v>#REF!</v>
      </c>
      <c r="GF388" t="e">
        <f>IF(#REF!,"AAAAAH7Pzbs=",0)</f>
        <v>#REF!</v>
      </c>
      <c r="GG388" t="e">
        <f>IF(#REF!,"AAAAAH7Pzbw=",0)</f>
        <v>#REF!</v>
      </c>
      <c r="GH388" t="e">
        <f>IF(#REF!,"AAAAAH7Pzb0=",0)</f>
        <v>#REF!</v>
      </c>
      <c r="GI388" t="e">
        <f>IF(#REF!,"AAAAAH7Pzb4=",0)</f>
        <v>#REF!</v>
      </c>
      <c r="GJ388" t="e">
        <f>IF(#REF!,"AAAAAH7Pzb8=",0)</f>
        <v>#REF!</v>
      </c>
      <c r="GK388" t="e">
        <f>IF(#REF!,"AAAAAH7PzcA=",0)</f>
        <v>#REF!</v>
      </c>
      <c r="GL388" t="e">
        <f>IF(#REF!,"AAAAAH7PzcE=",0)</f>
        <v>#REF!</v>
      </c>
      <c r="GM388" t="e">
        <f>IF(#REF!,"AAAAAH7PzcI=",0)</f>
        <v>#REF!</v>
      </c>
      <c r="GN388" t="e">
        <f>IF(#REF!,"AAAAAH7PzcM=",0)</f>
        <v>#REF!</v>
      </c>
      <c r="GO388" t="e">
        <f>IF(#REF!,"AAAAAH7PzcQ=",0)</f>
        <v>#REF!</v>
      </c>
      <c r="GP388" t="e">
        <f>IF(#REF!,"AAAAAH7PzcU=",0)</f>
        <v>#REF!</v>
      </c>
      <c r="GQ388" t="e">
        <f>IF(#REF!,"AAAAAH7PzcY=",0)</f>
        <v>#REF!</v>
      </c>
      <c r="GR388" t="e">
        <f>IF(#REF!,"AAAAAH7Pzcc=",0)</f>
        <v>#REF!</v>
      </c>
      <c r="GS388" t="e">
        <f>IF(#REF!,"AAAAAH7Pzcg=",0)</f>
        <v>#REF!</v>
      </c>
      <c r="GT388" t="e">
        <f>IF(#REF!,"AAAAAH7Pzck=",0)</f>
        <v>#REF!</v>
      </c>
      <c r="GU388" t="e">
        <f>IF(#REF!,"AAAAAH7Pzco=",0)</f>
        <v>#REF!</v>
      </c>
      <c r="GV388" t="e">
        <f>IF(#REF!,"AAAAAH7Pzcs=",0)</f>
        <v>#REF!</v>
      </c>
      <c r="GW388" t="e">
        <f>IF(#REF!,"AAAAAH7Pzcw=",0)</f>
        <v>#REF!</v>
      </c>
      <c r="GX388" t="e">
        <f>IF(#REF!,"AAAAAH7Pzc0=",0)</f>
        <v>#REF!</v>
      </c>
      <c r="GY388" t="e">
        <f>IF(#REF!,"AAAAAH7Pzc4=",0)</f>
        <v>#REF!</v>
      </c>
      <c r="GZ388" t="e">
        <f>IF(#REF!,"AAAAAH7Pzc8=",0)</f>
        <v>#REF!</v>
      </c>
      <c r="HA388" t="e">
        <f>IF(#REF!,"AAAAAH7PzdA=",0)</f>
        <v>#REF!</v>
      </c>
      <c r="HB388" t="e">
        <f>IF(#REF!,"AAAAAH7PzdE=",0)</f>
        <v>#REF!</v>
      </c>
      <c r="HC388" t="e">
        <f>IF(#REF!,"AAAAAH7PzdI=",0)</f>
        <v>#REF!</v>
      </c>
      <c r="HD388" t="e">
        <f>IF(#REF!,"AAAAAH7PzdM=",0)</f>
        <v>#REF!</v>
      </c>
      <c r="HE388" t="e">
        <f>IF(#REF!,"AAAAAH7PzdQ=",0)</f>
        <v>#REF!</v>
      </c>
      <c r="HF388" t="e">
        <f>IF(#REF!,"AAAAAH7PzdU=",0)</f>
        <v>#REF!</v>
      </c>
      <c r="HG388" t="e">
        <f>IF(#REF!,"AAAAAH7PzdY=",0)</f>
        <v>#REF!</v>
      </c>
      <c r="HH388" t="e">
        <f>IF(#REF!,"AAAAAH7Pzdc=",0)</f>
        <v>#REF!</v>
      </c>
      <c r="HI388" t="e">
        <f>IF(#REF!,"AAAAAH7Pzdg=",0)</f>
        <v>#REF!</v>
      </c>
      <c r="HJ388" t="e">
        <f>IF(#REF!,"AAAAAH7Pzdk=",0)</f>
        <v>#REF!</v>
      </c>
      <c r="HK388" t="e">
        <f>IF(#REF!,"AAAAAH7Pzdo=",0)</f>
        <v>#REF!</v>
      </c>
      <c r="HL388" t="e">
        <f>IF(#REF!,"AAAAAH7Pzds=",0)</f>
        <v>#REF!</v>
      </c>
      <c r="HM388" t="e">
        <f>IF(#REF!,"AAAAAH7Pzdw=",0)</f>
        <v>#REF!</v>
      </c>
      <c r="HN388" t="e">
        <f>IF(#REF!,"AAAAAH7Pzd0=",0)</f>
        <v>#REF!</v>
      </c>
      <c r="HO388" t="e">
        <f>IF(#REF!,"AAAAAH7Pzd4=",0)</f>
        <v>#REF!</v>
      </c>
      <c r="HP388" t="e">
        <f>IF(#REF!,"AAAAAH7Pzd8=",0)</f>
        <v>#REF!</v>
      </c>
      <c r="HQ388" t="e">
        <f>IF(#REF!,"AAAAAH7PzeA=",0)</f>
        <v>#REF!</v>
      </c>
      <c r="HR388" t="e">
        <f>IF(#REF!,"AAAAAH7PzeE=",0)</f>
        <v>#REF!</v>
      </c>
      <c r="HS388" t="e">
        <f>IF(#REF!,"AAAAAH7PzeI=",0)</f>
        <v>#REF!</v>
      </c>
      <c r="HT388" t="e">
        <f>IF(#REF!,"AAAAAH7PzeM=",0)</f>
        <v>#REF!</v>
      </c>
      <c r="HU388" t="e">
        <f>IF(#REF!,"AAAAAH7PzeQ=",0)</f>
        <v>#REF!</v>
      </c>
      <c r="HV388" t="e">
        <f>IF(#REF!,"AAAAAH7PzeU=",0)</f>
        <v>#REF!</v>
      </c>
      <c r="HW388" t="e">
        <f>IF(#REF!,"AAAAAH7PzeY=",0)</f>
        <v>#REF!</v>
      </c>
      <c r="HX388" t="e">
        <f>IF(#REF!,"AAAAAH7Pzec=",0)</f>
        <v>#REF!</v>
      </c>
      <c r="HY388" t="e">
        <f>IF(#REF!,"AAAAAH7Pzeg=",0)</f>
        <v>#REF!</v>
      </c>
      <c r="HZ388" t="e">
        <f>IF(#REF!,"AAAAAH7Pzek=",0)</f>
        <v>#REF!</v>
      </c>
      <c r="IA388" t="e">
        <f>IF(#REF!,"AAAAAH7Pzeo=",0)</f>
        <v>#REF!</v>
      </c>
      <c r="IB388" t="e">
        <f>IF(#REF!,"AAAAAH7Pzes=",0)</f>
        <v>#REF!</v>
      </c>
      <c r="IC388" t="e">
        <f>IF(#REF!,"AAAAAH7Pzew=",0)</f>
        <v>#REF!</v>
      </c>
      <c r="ID388" t="e">
        <f>IF(#REF!,"AAAAAH7Pze0=",0)</f>
        <v>#REF!</v>
      </c>
      <c r="IE388" t="e">
        <f>IF(#REF!,"AAAAAH7Pze4=",0)</f>
        <v>#REF!</v>
      </c>
      <c r="IF388" t="e">
        <f>IF(#REF!,"AAAAAH7Pze8=",0)</f>
        <v>#REF!</v>
      </c>
      <c r="IG388" t="e">
        <f>IF(#REF!,"AAAAAH7PzfA=",0)</f>
        <v>#REF!</v>
      </c>
      <c r="IH388" t="e">
        <f>IF(#REF!,"AAAAAH7PzfE=",0)</f>
        <v>#REF!</v>
      </c>
      <c r="II388" t="e">
        <f>IF(#REF!,"AAAAAH7PzfI=",0)</f>
        <v>#REF!</v>
      </c>
      <c r="IJ388" t="e">
        <f>IF(#REF!,"AAAAAH7PzfM=",0)</f>
        <v>#REF!</v>
      </c>
      <c r="IK388" t="e">
        <f>IF(#REF!,"AAAAAH7PzfQ=",0)</f>
        <v>#REF!</v>
      </c>
      <c r="IL388" t="e">
        <f>IF(#REF!,"AAAAAH7PzfU=",0)</f>
        <v>#REF!</v>
      </c>
      <c r="IM388" t="e">
        <f>IF(#REF!,"AAAAAH7PzfY=",0)</f>
        <v>#REF!</v>
      </c>
      <c r="IN388" t="e">
        <f>IF(#REF!,"AAAAAH7Pzfc=",0)</f>
        <v>#REF!</v>
      </c>
      <c r="IO388" t="e">
        <f>IF(#REF!,"AAAAAH7Pzfg=",0)</f>
        <v>#REF!</v>
      </c>
      <c r="IP388" t="e">
        <f>IF(#REF!,"AAAAAH7Pzfk=",0)</f>
        <v>#REF!</v>
      </c>
      <c r="IQ388" t="e">
        <f>IF(#REF!,"AAAAAH7Pzfo=",0)</f>
        <v>#REF!</v>
      </c>
      <c r="IR388" t="e">
        <f>IF(#REF!,"AAAAAH7Pzfs=",0)</f>
        <v>#REF!</v>
      </c>
      <c r="IS388" t="e">
        <f>IF(#REF!,"AAAAAH7Pzfw=",0)</f>
        <v>#REF!</v>
      </c>
      <c r="IT388" t="e">
        <f>IF(#REF!,"AAAAAH7Pzf0=",0)</f>
        <v>#REF!</v>
      </c>
      <c r="IU388" t="e">
        <f>IF(#REF!,"AAAAAH7Pzf4=",0)</f>
        <v>#REF!</v>
      </c>
      <c r="IV388" t="e">
        <f>IF(#REF!,"AAAAAH7Pzf8=",0)</f>
        <v>#REF!</v>
      </c>
    </row>
    <row r="389" spans="1:256">
      <c r="A389" t="e">
        <f>IF(#REF!,"AAAAAF9/rQA=",0)</f>
        <v>#REF!</v>
      </c>
      <c r="B389" t="e">
        <f>IF(#REF!,"AAAAAF9/rQE=",0)</f>
        <v>#REF!</v>
      </c>
      <c r="C389" t="e">
        <f>IF(#REF!,"AAAAAF9/rQI=",0)</f>
        <v>#REF!</v>
      </c>
      <c r="D389" t="e">
        <f>IF(#REF!,"AAAAAF9/rQM=",0)</f>
        <v>#REF!</v>
      </c>
      <c r="E389" t="e">
        <f>IF(#REF!,"AAAAAF9/rQQ=",0)</f>
        <v>#REF!</v>
      </c>
      <c r="F389" t="e">
        <f>IF(#REF!,"AAAAAF9/rQU=",0)</f>
        <v>#REF!</v>
      </c>
      <c r="G389" t="e">
        <f>IF(#REF!,"AAAAAF9/rQY=",0)</f>
        <v>#REF!</v>
      </c>
      <c r="H389" t="e">
        <f>IF(#REF!,"AAAAAF9/rQc=",0)</f>
        <v>#REF!</v>
      </c>
      <c r="I389" t="e">
        <f>IF(#REF!,"AAAAAF9/rQg=",0)</f>
        <v>#REF!</v>
      </c>
      <c r="J389" t="e">
        <f>IF(#REF!,"AAAAAF9/rQk=",0)</f>
        <v>#REF!</v>
      </c>
      <c r="K389" t="e">
        <f>IF(#REF!,"AAAAAF9/rQo=",0)</f>
        <v>#REF!</v>
      </c>
      <c r="L389" t="e">
        <f>IF(#REF!,"AAAAAF9/rQs=",0)</f>
        <v>#REF!</v>
      </c>
      <c r="M389" t="e">
        <f>IF(#REF!,"AAAAAF9/rQw=",0)</f>
        <v>#REF!</v>
      </c>
      <c r="N389" t="e">
        <f>IF(#REF!,"AAAAAF9/rQ0=",0)</f>
        <v>#REF!</v>
      </c>
      <c r="O389" t="e">
        <f>IF(#REF!,"AAAAAF9/rQ4=",0)</f>
        <v>#REF!</v>
      </c>
      <c r="P389" t="e">
        <f>IF(#REF!,"AAAAAF9/rQ8=",0)</f>
        <v>#REF!</v>
      </c>
      <c r="Q389" t="e">
        <f>IF(#REF!,"AAAAAF9/rRA=",0)</f>
        <v>#REF!</v>
      </c>
      <c r="R389" t="e">
        <f>IF(#REF!,"AAAAAF9/rRE=",0)</f>
        <v>#REF!</v>
      </c>
      <c r="S389" t="e">
        <f>IF(#REF!,"AAAAAF9/rRI=",0)</f>
        <v>#REF!</v>
      </c>
      <c r="T389" t="e">
        <f>IF(#REF!,"AAAAAF9/rRM=",0)</f>
        <v>#REF!</v>
      </c>
      <c r="U389" t="e">
        <f>IF(#REF!,"AAAAAF9/rRQ=",0)</f>
        <v>#REF!</v>
      </c>
      <c r="V389" t="e">
        <f>IF(#REF!,"AAAAAF9/rRU=",0)</f>
        <v>#REF!</v>
      </c>
      <c r="W389" t="e">
        <f>IF(#REF!,"AAAAAF9/rRY=",0)</f>
        <v>#REF!</v>
      </c>
      <c r="X389" t="e">
        <f>IF(#REF!,"AAAAAF9/rRc=",0)</f>
        <v>#REF!</v>
      </c>
      <c r="Y389" t="e">
        <f>IF(#REF!,"AAAAAF9/rRg=",0)</f>
        <v>#REF!</v>
      </c>
      <c r="Z389" t="e">
        <f>IF(#REF!,"AAAAAF9/rRk=",0)</f>
        <v>#REF!</v>
      </c>
      <c r="AA389" t="e">
        <f>IF(#REF!,"AAAAAF9/rRo=",0)</f>
        <v>#REF!</v>
      </c>
      <c r="AB389" t="e">
        <f>IF(#REF!,"AAAAAF9/rRs=",0)</f>
        <v>#REF!</v>
      </c>
      <c r="AC389" t="e">
        <f>IF(#REF!,"AAAAAF9/rRw=",0)</f>
        <v>#REF!</v>
      </c>
      <c r="AD389" t="e">
        <f>IF(#REF!,"AAAAAF9/rR0=",0)</f>
        <v>#REF!</v>
      </c>
      <c r="AE389" t="e">
        <f>IF(#REF!,"AAAAAF9/rR4=",0)</f>
        <v>#REF!</v>
      </c>
      <c r="AF389" t="e">
        <f>IF(#REF!,"AAAAAF9/rR8=",0)</f>
        <v>#REF!</v>
      </c>
      <c r="AG389" t="e">
        <f>IF(#REF!,"AAAAAF9/rSA=",0)</f>
        <v>#REF!</v>
      </c>
      <c r="AH389" t="e">
        <f>IF(#REF!,"AAAAAF9/rSE=",0)</f>
        <v>#REF!</v>
      </c>
      <c r="AI389" t="e">
        <f>IF(#REF!,"AAAAAF9/rSI=",0)</f>
        <v>#REF!</v>
      </c>
      <c r="AJ389" t="e">
        <f>IF(#REF!,"AAAAAF9/rSM=",0)</f>
        <v>#REF!</v>
      </c>
      <c r="AK389" t="e">
        <f>IF(#REF!,"AAAAAF9/rSQ=",0)</f>
        <v>#REF!</v>
      </c>
      <c r="AL389" t="e">
        <f>IF(#REF!,"AAAAAF9/rSU=",0)</f>
        <v>#REF!</v>
      </c>
      <c r="AM389" t="e">
        <f>IF(#REF!,"AAAAAF9/rSY=",0)</f>
        <v>#REF!</v>
      </c>
      <c r="AN389" t="e">
        <f>IF(#REF!,"AAAAAF9/rSc=",0)</f>
        <v>#REF!</v>
      </c>
      <c r="AO389" t="e">
        <f>IF(#REF!,"AAAAAF9/rSg=",0)</f>
        <v>#REF!</v>
      </c>
      <c r="AP389" t="e">
        <f>IF(#REF!,"AAAAAF9/rSk=",0)</f>
        <v>#REF!</v>
      </c>
      <c r="AQ389" t="e">
        <f>IF(#REF!,"AAAAAF9/rSo=",0)</f>
        <v>#REF!</v>
      </c>
      <c r="AR389" t="e">
        <f>IF(#REF!,"AAAAAF9/rSs=",0)</f>
        <v>#REF!</v>
      </c>
      <c r="AS389" t="e">
        <f>IF(#REF!,"AAAAAF9/rSw=",0)</f>
        <v>#REF!</v>
      </c>
      <c r="AT389" t="e">
        <f>IF(#REF!,"AAAAAF9/rS0=",0)</f>
        <v>#REF!</v>
      </c>
      <c r="AU389" t="e">
        <f>IF(#REF!,"AAAAAF9/rS4=",0)</f>
        <v>#REF!</v>
      </c>
      <c r="AV389" t="e">
        <f>IF(#REF!,"AAAAAF9/rS8=",0)</f>
        <v>#REF!</v>
      </c>
      <c r="AW389" t="e">
        <f>IF(#REF!,"AAAAAF9/rTA=",0)</f>
        <v>#REF!</v>
      </c>
      <c r="AX389" t="e">
        <f>IF(#REF!,"AAAAAF9/rTE=",0)</f>
        <v>#REF!</v>
      </c>
      <c r="AY389" t="e">
        <f>IF(#REF!,"AAAAAF9/rTI=",0)</f>
        <v>#REF!</v>
      </c>
      <c r="AZ389" t="e">
        <f>IF(#REF!,"AAAAAF9/rTM=",0)</f>
        <v>#REF!</v>
      </c>
      <c r="BA389" t="e">
        <f>IF(#REF!,"AAAAAF9/rTQ=",0)</f>
        <v>#REF!</v>
      </c>
      <c r="BB389" t="e">
        <f>IF(#REF!,"AAAAAF9/rTU=",0)</f>
        <v>#REF!</v>
      </c>
      <c r="BC389" t="e">
        <f>IF(#REF!,"AAAAAF9/rTY=",0)</f>
        <v>#REF!</v>
      </c>
      <c r="BD389" t="e">
        <f>IF(#REF!,"AAAAAF9/rTc=",0)</f>
        <v>#REF!</v>
      </c>
      <c r="BE389" t="e">
        <f>IF(#REF!,"AAAAAF9/rTg=",0)</f>
        <v>#REF!</v>
      </c>
      <c r="BF389" t="e">
        <f>IF(#REF!,"AAAAAF9/rTk=",0)</f>
        <v>#REF!</v>
      </c>
      <c r="BG389" t="e">
        <f>IF(#REF!,"AAAAAF9/rTo=",0)</f>
        <v>#REF!</v>
      </c>
      <c r="BH389" t="e">
        <f>IF(#REF!,"AAAAAF9/rTs=",0)</f>
        <v>#REF!</v>
      </c>
      <c r="BI389" t="e">
        <f>IF(#REF!,"AAAAAF9/rTw=",0)</f>
        <v>#REF!</v>
      </c>
      <c r="BJ389" t="e">
        <f>IF(#REF!,"AAAAAF9/rT0=",0)</f>
        <v>#REF!</v>
      </c>
      <c r="BK389" t="e">
        <f>IF(#REF!,"AAAAAF9/rT4=",0)</f>
        <v>#REF!</v>
      </c>
      <c r="BL389" t="e">
        <f>IF(#REF!,"AAAAAF9/rT8=",0)</f>
        <v>#REF!</v>
      </c>
      <c r="BM389" t="e">
        <f>IF(#REF!,"AAAAAF9/rUA=",0)</f>
        <v>#REF!</v>
      </c>
      <c r="BN389" t="e">
        <f>IF(#REF!,"AAAAAF9/rUE=",0)</f>
        <v>#REF!</v>
      </c>
      <c r="BO389" t="e">
        <f>IF(#REF!,"AAAAAF9/rUI=",0)</f>
        <v>#REF!</v>
      </c>
      <c r="BP389" t="e">
        <f>IF(#REF!,"AAAAAF9/rUM=",0)</f>
        <v>#REF!</v>
      </c>
      <c r="BQ389" t="e">
        <f>IF(#REF!,"AAAAAF9/rUQ=",0)</f>
        <v>#REF!</v>
      </c>
      <c r="BR389" t="e">
        <f>IF(#REF!,"AAAAAF9/rUU=",0)</f>
        <v>#REF!</v>
      </c>
      <c r="BS389" t="e">
        <f>IF(#REF!,"AAAAAF9/rUY=",0)</f>
        <v>#REF!</v>
      </c>
      <c r="BT389" t="e">
        <f>IF(#REF!,"AAAAAF9/rUc=",0)</f>
        <v>#REF!</v>
      </c>
      <c r="BU389" t="e">
        <f>IF(#REF!,"AAAAAF9/rUg=",0)</f>
        <v>#REF!</v>
      </c>
      <c r="BV389" t="e">
        <f>IF(#REF!,"AAAAAF9/rUk=",0)</f>
        <v>#REF!</v>
      </c>
      <c r="BW389" t="e">
        <f>IF(#REF!,"AAAAAF9/rUo=",0)</f>
        <v>#REF!</v>
      </c>
      <c r="BX389" t="e">
        <f>IF(#REF!,"AAAAAF9/rUs=",0)</f>
        <v>#REF!</v>
      </c>
      <c r="BY389" t="e">
        <f>IF(#REF!,"AAAAAF9/rUw=",0)</f>
        <v>#REF!</v>
      </c>
      <c r="BZ389" t="e">
        <f>IF(#REF!,"AAAAAF9/rU0=",0)</f>
        <v>#REF!</v>
      </c>
      <c r="CA389" t="e">
        <f>IF(#REF!,"AAAAAF9/rU4=",0)</f>
        <v>#REF!</v>
      </c>
      <c r="CB389" t="e">
        <f>IF(#REF!,"AAAAAF9/rU8=",0)</f>
        <v>#REF!</v>
      </c>
      <c r="CC389" t="e">
        <f>IF(#REF!,"AAAAAF9/rVA=",0)</f>
        <v>#REF!</v>
      </c>
      <c r="CD389" t="e">
        <f>IF(#REF!,"AAAAAF9/rVE=",0)</f>
        <v>#REF!</v>
      </c>
      <c r="CE389" t="e">
        <f>IF(#REF!,"AAAAAF9/rVI=",0)</f>
        <v>#REF!</v>
      </c>
      <c r="CF389" t="e">
        <f>IF(#REF!,"AAAAAF9/rVM=",0)</f>
        <v>#REF!</v>
      </c>
      <c r="CG389" t="e">
        <f>IF(#REF!,"AAAAAF9/rVQ=",0)</f>
        <v>#REF!</v>
      </c>
      <c r="CH389" t="e">
        <f>IF(#REF!,"AAAAAF9/rVU=",0)</f>
        <v>#REF!</v>
      </c>
      <c r="CI389" t="e">
        <f>IF(#REF!,"AAAAAF9/rVY=",0)</f>
        <v>#REF!</v>
      </c>
      <c r="CJ389" t="e">
        <f>IF(#REF!,"AAAAAF9/rVc=",0)</f>
        <v>#REF!</v>
      </c>
      <c r="CK389" t="e">
        <f>IF(#REF!,"AAAAAF9/rVg=",0)</f>
        <v>#REF!</v>
      </c>
      <c r="CL389" t="e">
        <f>IF(#REF!,"AAAAAF9/rVk=",0)</f>
        <v>#REF!</v>
      </c>
      <c r="CM389" t="e">
        <f>IF(#REF!,"AAAAAF9/rVo=",0)</f>
        <v>#REF!</v>
      </c>
      <c r="CN389" t="e">
        <f>IF(#REF!,"AAAAAF9/rVs=",0)</f>
        <v>#REF!</v>
      </c>
      <c r="CO389" t="e">
        <f>IF(#REF!,"AAAAAF9/rVw=",0)</f>
        <v>#REF!</v>
      </c>
      <c r="CP389" t="e">
        <f>IF(#REF!,"AAAAAF9/rV0=",0)</f>
        <v>#REF!</v>
      </c>
      <c r="CQ389" t="e">
        <f>IF(#REF!,"AAAAAF9/rV4=",0)</f>
        <v>#REF!</v>
      </c>
      <c r="CR389" t="e">
        <f>IF(#REF!,"AAAAAF9/rV8=",0)</f>
        <v>#REF!</v>
      </c>
      <c r="CS389" t="e">
        <f>IF(#REF!,"AAAAAF9/rWA=",0)</f>
        <v>#REF!</v>
      </c>
      <c r="CT389" t="e">
        <f>IF(#REF!,"AAAAAF9/rWE=",0)</f>
        <v>#REF!</v>
      </c>
      <c r="CU389" t="e">
        <f>IF(#REF!,"AAAAAF9/rWI=",0)</f>
        <v>#REF!</v>
      </c>
      <c r="CV389" t="e">
        <f>IF(#REF!,"AAAAAF9/rWM=",0)</f>
        <v>#REF!</v>
      </c>
      <c r="CW389" t="e">
        <f>IF(#REF!,"AAAAAF9/rWQ=",0)</f>
        <v>#REF!</v>
      </c>
      <c r="CX389" t="e">
        <f>IF(#REF!,"AAAAAF9/rWU=",0)</f>
        <v>#REF!</v>
      </c>
      <c r="CY389" t="e">
        <f>IF(#REF!,"AAAAAF9/rWY=",0)</f>
        <v>#REF!</v>
      </c>
      <c r="CZ389" t="e">
        <f>IF(#REF!,"AAAAAF9/rWc=",0)</f>
        <v>#REF!</v>
      </c>
      <c r="DA389" t="e">
        <f>IF(#REF!,"AAAAAF9/rWg=",0)</f>
        <v>#REF!</v>
      </c>
      <c r="DB389" t="e">
        <f>IF(#REF!,"AAAAAF9/rWk=",0)</f>
        <v>#REF!</v>
      </c>
      <c r="DC389" t="e">
        <f>IF(#REF!,"AAAAAF9/rWo=",0)</f>
        <v>#REF!</v>
      </c>
      <c r="DD389" t="e">
        <f>IF(#REF!,"AAAAAF9/rWs=",0)</f>
        <v>#REF!</v>
      </c>
      <c r="DE389" t="e">
        <f>IF(#REF!,"AAAAAF9/rWw=",0)</f>
        <v>#REF!</v>
      </c>
      <c r="DF389" t="e">
        <f>IF(#REF!,"AAAAAF9/rW0=",0)</f>
        <v>#REF!</v>
      </c>
      <c r="DG389" t="e">
        <f>IF(#REF!,"AAAAAF9/rW4=",0)</f>
        <v>#REF!</v>
      </c>
      <c r="DH389" t="e">
        <f>IF(#REF!,"AAAAAF9/rW8=",0)</f>
        <v>#REF!</v>
      </c>
      <c r="DI389" t="e">
        <f>IF(#REF!,"AAAAAF9/rXA=",0)</f>
        <v>#REF!</v>
      </c>
      <c r="DJ389" t="e">
        <f>IF(#REF!,"AAAAAF9/rXE=",0)</f>
        <v>#REF!</v>
      </c>
      <c r="DK389" t="e">
        <f>IF(#REF!,"AAAAAF9/rXI=",0)</f>
        <v>#REF!</v>
      </c>
      <c r="DL389" t="e">
        <f>IF(#REF!,"AAAAAF9/rXM=",0)</f>
        <v>#REF!</v>
      </c>
      <c r="DM389" t="e">
        <f>IF(#REF!,"AAAAAF9/rXQ=",0)</f>
        <v>#REF!</v>
      </c>
      <c r="DN389" t="e">
        <f>IF(#REF!,"AAAAAF9/rXU=",0)</f>
        <v>#REF!</v>
      </c>
      <c r="DO389" t="e">
        <f>IF(#REF!,"AAAAAF9/rXY=",0)</f>
        <v>#REF!</v>
      </c>
      <c r="DP389" t="e">
        <f>IF(#REF!,"AAAAAF9/rXc=",0)</f>
        <v>#REF!</v>
      </c>
      <c r="DQ389" t="e">
        <f>IF(#REF!,"AAAAAF9/rXg=",0)</f>
        <v>#REF!</v>
      </c>
      <c r="DR389" t="e">
        <f>IF(#REF!,"AAAAAF9/rXk=",0)</f>
        <v>#REF!</v>
      </c>
      <c r="DS389" t="e">
        <f>IF(#REF!,"AAAAAF9/rXo=",0)</f>
        <v>#REF!</v>
      </c>
      <c r="DT389" t="e">
        <f>IF(#REF!,"AAAAAF9/rXs=",0)</f>
        <v>#REF!</v>
      </c>
      <c r="DU389" t="e">
        <f>IF(#REF!,"AAAAAF9/rXw=",0)</f>
        <v>#REF!</v>
      </c>
      <c r="DV389" t="e">
        <f>IF(#REF!,"AAAAAF9/rX0=",0)</f>
        <v>#REF!</v>
      </c>
      <c r="DW389" t="e">
        <f>IF(#REF!,"AAAAAF9/rX4=",0)</f>
        <v>#REF!</v>
      </c>
      <c r="DX389" t="e">
        <f>IF(#REF!,"AAAAAF9/rX8=",0)</f>
        <v>#REF!</v>
      </c>
      <c r="DY389" t="e">
        <f>IF(#REF!,"AAAAAF9/rYA=",0)</f>
        <v>#REF!</v>
      </c>
      <c r="DZ389" t="e">
        <f>IF(#REF!,"AAAAAF9/rYE=",0)</f>
        <v>#REF!</v>
      </c>
      <c r="EA389" t="e">
        <f>IF(#REF!,"AAAAAF9/rYI=",0)</f>
        <v>#REF!</v>
      </c>
      <c r="EB389" t="e">
        <f>IF(#REF!,"AAAAAF9/rYM=",0)</f>
        <v>#REF!</v>
      </c>
      <c r="EC389" t="e">
        <f>IF(#REF!,"AAAAAF9/rYQ=",0)</f>
        <v>#REF!</v>
      </c>
      <c r="ED389" t="e">
        <f>IF(#REF!,"AAAAAF9/rYU=",0)</f>
        <v>#REF!</v>
      </c>
      <c r="EE389" t="e">
        <f>IF(#REF!,"AAAAAF9/rYY=",0)</f>
        <v>#REF!</v>
      </c>
      <c r="EF389" t="e">
        <f>IF(#REF!,"AAAAAF9/rYc=",0)</f>
        <v>#REF!</v>
      </c>
      <c r="EG389" t="e">
        <f>IF(#REF!,"AAAAAF9/rYg=",0)</f>
        <v>#REF!</v>
      </c>
      <c r="EH389" t="e">
        <f>IF(#REF!,"AAAAAF9/rYk=",0)</f>
        <v>#REF!</v>
      </c>
      <c r="EI389" t="e">
        <f>IF(#REF!,"AAAAAF9/rYo=",0)</f>
        <v>#REF!</v>
      </c>
      <c r="EJ389" t="e">
        <f>IF(#REF!,"AAAAAF9/rYs=",0)</f>
        <v>#REF!</v>
      </c>
      <c r="EK389" t="e">
        <f>IF(#REF!,"AAAAAF9/rYw=",0)</f>
        <v>#REF!</v>
      </c>
      <c r="EL389" t="e">
        <f>IF(#REF!,"AAAAAF9/rY0=",0)</f>
        <v>#REF!</v>
      </c>
      <c r="EM389" t="e">
        <f>IF(#REF!,"AAAAAF9/rY4=",0)</f>
        <v>#REF!</v>
      </c>
      <c r="EN389" t="e">
        <f>IF(#REF!,"AAAAAF9/rY8=",0)</f>
        <v>#REF!</v>
      </c>
      <c r="EO389" t="e">
        <f>IF(#REF!,"AAAAAF9/rZA=",0)</f>
        <v>#REF!</v>
      </c>
      <c r="EP389" t="e">
        <f>IF(#REF!,"AAAAAF9/rZE=",0)</f>
        <v>#REF!</v>
      </c>
      <c r="EQ389" t="e">
        <f>IF(#REF!,"AAAAAF9/rZI=",0)</f>
        <v>#REF!</v>
      </c>
      <c r="ER389" t="e">
        <f>IF(#REF!,"AAAAAF9/rZM=",0)</f>
        <v>#REF!</v>
      </c>
      <c r="ES389" t="e">
        <f>IF(#REF!,"AAAAAF9/rZQ=",0)</f>
        <v>#REF!</v>
      </c>
      <c r="ET389" t="e">
        <f>IF(#REF!,"AAAAAF9/rZU=",0)</f>
        <v>#REF!</v>
      </c>
      <c r="EU389" t="e">
        <f>IF(#REF!,"AAAAAF9/rZY=",0)</f>
        <v>#REF!</v>
      </c>
      <c r="EV389" t="e">
        <f>IF(#REF!,"AAAAAF9/rZc=",0)</f>
        <v>#REF!</v>
      </c>
      <c r="EW389" t="e">
        <f>IF(#REF!,"AAAAAF9/rZg=",0)</f>
        <v>#REF!</v>
      </c>
      <c r="EX389" t="e">
        <f>IF(#REF!,"AAAAAF9/rZk=",0)</f>
        <v>#REF!</v>
      </c>
      <c r="EY389" t="e">
        <f>IF(#REF!,"AAAAAF9/rZo=",0)</f>
        <v>#REF!</v>
      </c>
      <c r="EZ389" t="e">
        <f>IF(#REF!,"AAAAAF9/rZs=",0)</f>
        <v>#REF!</v>
      </c>
      <c r="FA389" t="e">
        <f>IF(#REF!,"AAAAAF9/rZw=",0)</f>
        <v>#REF!</v>
      </c>
      <c r="FB389" t="e">
        <f>IF(#REF!,"AAAAAF9/rZ0=",0)</f>
        <v>#REF!</v>
      </c>
      <c r="FC389" t="e">
        <f>IF(#REF!,"AAAAAF9/rZ4=",0)</f>
        <v>#REF!</v>
      </c>
      <c r="FD389" t="e">
        <f>IF(#REF!,"AAAAAF9/rZ8=",0)</f>
        <v>#REF!</v>
      </c>
      <c r="FE389" t="e">
        <f>IF(#REF!,"AAAAAF9/raA=",0)</f>
        <v>#REF!</v>
      </c>
      <c r="FF389" t="e">
        <f>IF(#REF!,"AAAAAF9/raE=",0)</f>
        <v>#REF!</v>
      </c>
      <c r="FG389" t="e">
        <f>IF(#REF!,"AAAAAF9/raI=",0)</f>
        <v>#REF!</v>
      </c>
      <c r="FH389" t="e">
        <f>IF(#REF!,"AAAAAF9/raM=",0)</f>
        <v>#REF!</v>
      </c>
      <c r="FI389" t="e">
        <f>IF(#REF!,"AAAAAF9/raQ=",0)</f>
        <v>#REF!</v>
      </c>
      <c r="FJ389" t="e">
        <f>IF(#REF!,"AAAAAF9/raU=",0)</f>
        <v>#REF!</v>
      </c>
      <c r="FK389" t="e">
        <f>IF(#REF!,"AAAAAF9/raY=",0)</f>
        <v>#REF!</v>
      </c>
      <c r="FL389" t="e">
        <f>IF(#REF!,"AAAAAF9/rac=",0)</f>
        <v>#REF!</v>
      </c>
      <c r="FM389" t="e">
        <f>IF(#REF!,"AAAAAF9/rag=",0)</f>
        <v>#REF!</v>
      </c>
      <c r="FN389" t="e">
        <f>IF(#REF!,"AAAAAF9/rak=",0)</f>
        <v>#REF!</v>
      </c>
      <c r="FO389" t="e">
        <f>IF(#REF!,"AAAAAF9/rao=",0)</f>
        <v>#REF!</v>
      </c>
      <c r="FP389" t="e">
        <f>IF(#REF!,"AAAAAF9/ras=",0)</f>
        <v>#REF!</v>
      </c>
      <c r="FQ389" t="e">
        <f>IF(#REF!,"AAAAAF9/raw=",0)</f>
        <v>#REF!</v>
      </c>
      <c r="FR389" t="e">
        <f>IF(#REF!,"AAAAAF9/ra0=",0)</f>
        <v>#REF!</v>
      </c>
      <c r="FS389" t="e">
        <f>IF(#REF!,"AAAAAF9/ra4=",0)</f>
        <v>#REF!</v>
      </c>
      <c r="FT389" t="e">
        <f>IF(#REF!,"AAAAAF9/ra8=",0)</f>
        <v>#REF!</v>
      </c>
      <c r="FU389" t="e">
        <f>IF(#REF!,"AAAAAF9/rbA=",0)</f>
        <v>#REF!</v>
      </c>
      <c r="FV389" t="e">
        <f>IF(#REF!,"AAAAAF9/rbE=",0)</f>
        <v>#REF!</v>
      </c>
      <c r="FW389" t="e">
        <f>IF(#REF!,"AAAAAF9/rbI=",0)</f>
        <v>#REF!</v>
      </c>
      <c r="FX389" t="e">
        <f>IF(#REF!,"AAAAAF9/rbM=",0)</f>
        <v>#REF!</v>
      </c>
      <c r="FY389" t="e">
        <f>IF(#REF!,"AAAAAF9/rbQ=",0)</f>
        <v>#REF!</v>
      </c>
      <c r="FZ389" t="e">
        <f>IF(#REF!,"AAAAAF9/rbU=",0)</f>
        <v>#REF!</v>
      </c>
      <c r="GA389" t="e">
        <f>IF(#REF!,"AAAAAF9/rbY=",0)</f>
        <v>#REF!</v>
      </c>
      <c r="GB389" t="e">
        <f>IF(#REF!,"AAAAAF9/rbc=",0)</f>
        <v>#REF!</v>
      </c>
      <c r="GC389" t="e">
        <f>IF(#REF!,"AAAAAF9/rbg=",0)</f>
        <v>#REF!</v>
      </c>
      <c r="GD389" t="e">
        <f>IF(#REF!,"AAAAAF9/rbk=",0)</f>
        <v>#REF!</v>
      </c>
      <c r="GE389" t="e">
        <f>IF(#REF!,"AAAAAF9/rbo=",0)</f>
        <v>#REF!</v>
      </c>
      <c r="GF389" t="e">
        <f>IF(#REF!,"AAAAAF9/rbs=",0)</f>
        <v>#REF!</v>
      </c>
      <c r="GG389" t="e">
        <f>IF(#REF!,"AAAAAF9/rbw=",0)</f>
        <v>#REF!</v>
      </c>
      <c r="GH389" t="e">
        <f>IF(#REF!,"AAAAAF9/rb0=",0)</f>
        <v>#REF!</v>
      </c>
      <c r="GI389" t="e">
        <f>IF(#REF!,"AAAAAF9/rb4=",0)</f>
        <v>#REF!</v>
      </c>
      <c r="GJ389" t="e">
        <f>IF(#REF!,"AAAAAF9/rb8=",0)</f>
        <v>#REF!</v>
      </c>
      <c r="GK389" t="e">
        <f>IF(#REF!,"AAAAAF9/rcA=",0)</f>
        <v>#REF!</v>
      </c>
      <c r="GL389" t="e">
        <f>IF(#REF!,"AAAAAF9/rcE=",0)</f>
        <v>#REF!</v>
      </c>
      <c r="GM389" t="e">
        <f>IF(#REF!,"AAAAAF9/rcI=",0)</f>
        <v>#REF!</v>
      </c>
      <c r="GN389" t="e">
        <f>IF(#REF!,"AAAAAF9/rcM=",0)</f>
        <v>#REF!</v>
      </c>
      <c r="GO389" t="e">
        <f>IF(#REF!,"AAAAAF9/rcQ=",0)</f>
        <v>#REF!</v>
      </c>
      <c r="GP389" t="e">
        <f>IF(#REF!,"AAAAAF9/rcU=",0)</f>
        <v>#REF!</v>
      </c>
      <c r="GQ389" t="e">
        <f>IF(#REF!,"AAAAAF9/rcY=",0)</f>
        <v>#REF!</v>
      </c>
      <c r="GR389" t="e">
        <f>IF(#REF!,"AAAAAF9/rcc=",0)</f>
        <v>#REF!</v>
      </c>
      <c r="GS389" t="e">
        <f>IF(#REF!,"AAAAAF9/rcg=",0)</f>
        <v>#REF!</v>
      </c>
      <c r="GT389" t="e">
        <f>IF(#REF!,"AAAAAF9/rck=",0)</f>
        <v>#REF!</v>
      </c>
      <c r="GU389" t="e">
        <f>IF(#REF!,"AAAAAF9/rco=",0)</f>
        <v>#REF!</v>
      </c>
      <c r="GV389" t="e">
        <f>IF(#REF!,"AAAAAF9/rcs=",0)</f>
        <v>#REF!</v>
      </c>
      <c r="GW389" t="e">
        <f>IF(#REF!,"AAAAAF9/rcw=",0)</f>
        <v>#REF!</v>
      </c>
      <c r="GX389" t="e">
        <f>IF(#REF!,"AAAAAF9/rc0=",0)</f>
        <v>#REF!</v>
      </c>
      <c r="GY389" t="e">
        <f>IF(#REF!,"AAAAAF9/rc4=",0)</f>
        <v>#REF!</v>
      </c>
      <c r="GZ389" t="e">
        <f>IF(#REF!,"AAAAAF9/rc8=",0)</f>
        <v>#REF!</v>
      </c>
      <c r="HA389" t="e">
        <f>IF(#REF!,"AAAAAF9/rdA=",0)</f>
        <v>#REF!</v>
      </c>
      <c r="HB389" t="e">
        <f>IF(#REF!,"AAAAAF9/rdE=",0)</f>
        <v>#REF!</v>
      </c>
      <c r="HC389" t="e">
        <f>IF(#REF!,"AAAAAF9/rdI=",0)</f>
        <v>#REF!</v>
      </c>
      <c r="HD389" t="e">
        <f>IF(#REF!,"AAAAAF9/rdM=",0)</f>
        <v>#REF!</v>
      </c>
      <c r="HE389" t="e">
        <f>IF(#REF!,"AAAAAF9/rdQ=",0)</f>
        <v>#REF!</v>
      </c>
      <c r="HF389" t="e">
        <f>IF(#REF!,"AAAAAF9/rdU=",0)</f>
        <v>#REF!</v>
      </c>
      <c r="HG389" t="e">
        <f>IF(#REF!,"AAAAAF9/rdY=",0)</f>
        <v>#REF!</v>
      </c>
      <c r="HH389" t="e">
        <f>IF(#REF!,"AAAAAF9/rdc=",0)</f>
        <v>#REF!</v>
      </c>
      <c r="HI389" t="e">
        <f>IF(#REF!,"AAAAAF9/rdg=",0)</f>
        <v>#REF!</v>
      </c>
      <c r="HJ389" t="e">
        <f>IF(#REF!,"AAAAAF9/rdk=",0)</f>
        <v>#REF!</v>
      </c>
      <c r="HK389" t="e">
        <f>IF(#REF!,"AAAAAF9/rdo=",0)</f>
        <v>#REF!</v>
      </c>
      <c r="HL389" t="e">
        <f>IF(#REF!,"AAAAAF9/rds=",0)</f>
        <v>#REF!</v>
      </c>
      <c r="HM389" t="e">
        <f>IF(#REF!,"AAAAAF9/rdw=",0)</f>
        <v>#REF!</v>
      </c>
      <c r="HN389" t="e">
        <f>IF(#REF!,"AAAAAF9/rd0=",0)</f>
        <v>#REF!</v>
      </c>
      <c r="HO389" t="e">
        <f>IF(#REF!,"AAAAAF9/rd4=",0)</f>
        <v>#REF!</v>
      </c>
      <c r="HP389" t="e">
        <f>IF(#REF!,"AAAAAF9/rd8=",0)</f>
        <v>#REF!</v>
      </c>
      <c r="HQ389" t="e">
        <f>IF(#REF!,"AAAAAF9/reA=",0)</f>
        <v>#REF!</v>
      </c>
      <c r="HR389" t="e">
        <f>IF(#REF!,"AAAAAF9/reE=",0)</f>
        <v>#REF!</v>
      </c>
      <c r="HS389" t="e">
        <f>IF(#REF!,"AAAAAF9/reI=",0)</f>
        <v>#REF!</v>
      </c>
      <c r="HT389" t="e">
        <f>IF(#REF!,"AAAAAF9/reM=",0)</f>
        <v>#REF!</v>
      </c>
      <c r="HU389" t="e">
        <f>IF(#REF!,"AAAAAF9/reQ=",0)</f>
        <v>#REF!</v>
      </c>
      <c r="HV389" t="e">
        <f>IF(#REF!,"AAAAAF9/reU=",0)</f>
        <v>#REF!</v>
      </c>
      <c r="HW389" t="e">
        <f>IF(#REF!,"AAAAAF9/reY=",0)</f>
        <v>#REF!</v>
      </c>
      <c r="HX389" t="e">
        <f>IF(#REF!,"AAAAAF9/rec=",0)</f>
        <v>#REF!</v>
      </c>
      <c r="HY389" t="e">
        <f>IF(#REF!,"AAAAAF9/reg=",0)</f>
        <v>#REF!</v>
      </c>
      <c r="HZ389" t="e">
        <f>IF(#REF!,"AAAAAF9/rek=",0)</f>
        <v>#REF!</v>
      </c>
      <c r="IA389" t="e">
        <f>IF(#REF!,"AAAAAF9/reo=",0)</f>
        <v>#REF!</v>
      </c>
      <c r="IB389" t="e">
        <f>IF(#REF!,"AAAAAF9/res=",0)</f>
        <v>#REF!</v>
      </c>
      <c r="IC389" t="e">
        <f>IF(#REF!,"AAAAAF9/rew=",0)</f>
        <v>#REF!</v>
      </c>
      <c r="ID389" t="e">
        <f>IF(#REF!,"AAAAAF9/re0=",0)</f>
        <v>#REF!</v>
      </c>
      <c r="IE389" t="e">
        <f>IF(#REF!,"AAAAAF9/re4=",0)</f>
        <v>#REF!</v>
      </c>
      <c r="IF389" t="e">
        <f>IF(#REF!,"AAAAAF9/re8=",0)</f>
        <v>#REF!</v>
      </c>
      <c r="IG389" t="e">
        <f>IF(#REF!,"AAAAAF9/rfA=",0)</f>
        <v>#REF!</v>
      </c>
      <c r="IH389" t="e">
        <f>IF(#REF!,"AAAAAF9/rfE=",0)</f>
        <v>#REF!</v>
      </c>
      <c r="II389" t="e">
        <f>IF(#REF!,"AAAAAF9/rfI=",0)</f>
        <v>#REF!</v>
      </c>
      <c r="IJ389" t="e">
        <f>IF(#REF!,"AAAAAF9/rfM=",0)</f>
        <v>#REF!</v>
      </c>
      <c r="IK389" t="e">
        <f>IF(#REF!,"AAAAAF9/rfQ=",0)</f>
        <v>#REF!</v>
      </c>
      <c r="IL389" t="e">
        <f>IF(#REF!,"AAAAAF9/rfU=",0)</f>
        <v>#REF!</v>
      </c>
      <c r="IM389" t="e">
        <f>IF(#REF!,"AAAAAF9/rfY=",0)</f>
        <v>#REF!</v>
      </c>
      <c r="IN389" t="e">
        <f>IF(#REF!,"AAAAAF9/rfc=",0)</f>
        <v>#REF!</v>
      </c>
      <c r="IO389" t="e">
        <f>IF(#REF!,"AAAAAF9/rfg=",0)</f>
        <v>#REF!</v>
      </c>
      <c r="IP389" t="e">
        <f>IF(#REF!,"AAAAAF9/rfk=",0)</f>
        <v>#REF!</v>
      </c>
      <c r="IQ389" t="e">
        <f>IF(#REF!,"AAAAAF9/rfo=",0)</f>
        <v>#REF!</v>
      </c>
      <c r="IR389" t="e">
        <f>IF(#REF!,"AAAAAF9/rfs=",0)</f>
        <v>#REF!</v>
      </c>
      <c r="IS389" t="e">
        <f>IF(#REF!,"AAAAAF9/rfw=",0)</f>
        <v>#REF!</v>
      </c>
      <c r="IT389" t="e">
        <f>IF(#REF!,"AAAAAF9/rf0=",0)</f>
        <v>#REF!</v>
      </c>
      <c r="IU389" t="e">
        <f>IF(#REF!,"AAAAAF9/rf4=",0)</f>
        <v>#REF!</v>
      </c>
      <c r="IV389" t="e">
        <f>IF(#REF!,"AAAAAF9/rf8=",0)</f>
        <v>#REF!</v>
      </c>
    </row>
    <row r="390" spans="1:256">
      <c r="A390" t="e">
        <f>IF(#REF!,"AAAAAB/1fgA=",0)</f>
        <v>#REF!</v>
      </c>
      <c r="B390" t="e">
        <f>IF(#REF!,"AAAAAB/1fgE=",0)</f>
        <v>#REF!</v>
      </c>
      <c r="C390" t="e">
        <f>IF(#REF!,"AAAAAB/1fgI=",0)</f>
        <v>#REF!</v>
      </c>
      <c r="D390" t="e">
        <f>IF(#REF!,"AAAAAB/1fgM=",0)</f>
        <v>#REF!</v>
      </c>
      <c r="E390" t="e">
        <f>IF(#REF!,"AAAAAB/1fgQ=",0)</f>
        <v>#REF!</v>
      </c>
      <c r="F390" t="e">
        <f>IF(#REF!,"AAAAAB/1fgU=",0)</f>
        <v>#REF!</v>
      </c>
      <c r="G390" t="e">
        <f>IF(#REF!,"AAAAAB/1fgY=",0)</f>
        <v>#REF!</v>
      </c>
      <c r="H390" t="e">
        <f>IF(#REF!,"AAAAAB/1fgc=",0)</f>
        <v>#REF!</v>
      </c>
      <c r="I390" t="e">
        <f>IF(#REF!,"AAAAAB/1fgg=",0)</f>
        <v>#REF!</v>
      </c>
      <c r="J390" t="e">
        <f>IF(#REF!,"AAAAAB/1fgk=",0)</f>
        <v>#REF!</v>
      </c>
      <c r="K390" t="e">
        <f>IF(#REF!,"AAAAAB/1fgo=",0)</f>
        <v>#REF!</v>
      </c>
      <c r="L390" t="e">
        <f>IF(#REF!,"AAAAAB/1fgs=",0)</f>
        <v>#REF!</v>
      </c>
      <c r="M390" t="e">
        <f>IF(#REF!,"AAAAAB/1fgw=",0)</f>
        <v>#REF!</v>
      </c>
      <c r="N390" t="e">
        <f>IF(#REF!,"AAAAAB/1fg0=",0)</f>
        <v>#REF!</v>
      </c>
      <c r="O390" t="e">
        <f>IF(#REF!,"AAAAAB/1fg4=",0)</f>
        <v>#REF!</v>
      </c>
      <c r="P390" t="e">
        <f>IF(#REF!,"AAAAAB/1fg8=",0)</f>
        <v>#REF!</v>
      </c>
      <c r="Q390" t="e">
        <f>IF(#REF!,"AAAAAB/1fhA=",0)</f>
        <v>#REF!</v>
      </c>
      <c r="R390" t="e">
        <f>IF(#REF!,"AAAAAB/1fhE=",0)</f>
        <v>#REF!</v>
      </c>
      <c r="S390" t="e">
        <f>IF(#REF!,"AAAAAB/1fhI=",0)</f>
        <v>#REF!</v>
      </c>
      <c r="T390" t="e">
        <f>IF(#REF!,"AAAAAB/1fhM=",0)</f>
        <v>#REF!</v>
      </c>
      <c r="U390" t="e">
        <f>IF(#REF!,"AAAAAB/1fhQ=",0)</f>
        <v>#REF!</v>
      </c>
      <c r="V390" t="e">
        <f>IF(#REF!,"AAAAAB/1fhU=",0)</f>
        <v>#REF!</v>
      </c>
      <c r="W390" t="e">
        <f>IF(#REF!,"AAAAAB/1fhY=",0)</f>
        <v>#REF!</v>
      </c>
      <c r="X390" t="e">
        <f>IF(#REF!,"AAAAAB/1fhc=",0)</f>
        <v>#REF!</v>
      </c>
      <c r="Y390" t="e">
        <f>IF(#REF!,"AAAAAB/1fhg=",0)</f>
        <v>#REF!</v>
      </c>
      <c r="Z390" t="e">
        <f>IF(#REF!,"AAAAAB/1fhk=",0)</f>
        <v>#REF!</v>
      </c>
      <c r="AA390" t="e">
        <f>IF(#REF!,"AAAAAB/1fho=",0)</f>
        <v>#REF!</v>
      </c>
      <c r="AB390" t="e">
        <f>IF(#REF!,"AAAAAB/1fhs=",0)</f>
        <v>#REF!</v>
      </c>
      <c r="AC390" t="e">
        <f>IF(#REF!,"AAAAAB/1fhw=",0)</f>
        <v>#REF!</v>
      </c>
      <c r="AD390" t="e">
        <f>IF(#REF!,"AAAAAB/1fh0=",0)</f>
        <v>#REF!</v>
      </c>
      <c r="AE390" t="e">
        <f>IF(#REF!,"AAAAAB/1fh4=",0)</f>
        <v>#REF!</v>
      </c>
      <c r="AF390" t="e">
        <f>IF(#REF!,"AAAAAB/1fh8=",0)</f>
        <v>#REF!</v>
      </c>
      <c r="AG390" t="e">
        <f>IF(#REF!,"AAAAAB/1fiA=",0)</f>
        <v>#REF!</v>
      </c>
      <c r="AH390" t="e">
        <f>IF(#REF!,"AAAAAB/1fiE=",0)</f>
        <v>#REF!</v>
      </c>
      <c r="AI390" t="e">
        <f>IF(#REF!,"AAAAAB/1fiI=",0)</f>
        <v>#REF!</v>
      </c>
      <c r="AJ390" t="e">
        <f>IF(#REF!,"AAAAAB/1fiM=",0)</f>
        <v>#REF!</v>
      </c>
      <c r="AK390" t="e">
        <f>IF(#REF!,"AAAAAB/1fiQ=",0)</f>
        <v>#REF!</v>
      </c>
      <c r="AL390" t="e">
        <f>IF(#REF!,"AAAAAB/1fiU=",0)</f>
        <v>#REF!</v>
      </c>
      <c r="AM390" t="e">
        <f>IF(#REF!,"AAAAAB/1fiY=",0)</f>
        <v>#REF!</v>
      </c>
      <c r="AN390" t="e">
        <f>IF(#REF!,"AAAAAB/1fic=",0)</f>
        <v>#REF!</v>
      </c>
      <c r="AO390" t="e">
        <f>IF(#REF!,"AAAAAB/1fig=",0)</f>
        <v>#REF!</v>
      </c>
      <c r="AP390" t="e">
        <f>IF(#REF!,"AAAAAB/1fik=",0)</f>
        <v>#REF!</v>
      </c>
      <c r="AQ390" t="e">
        <f>IF(#REF!,"AAAAAB/1fio=",0)</f>
        <v>#REF!</v>
      </c>
      <c r="AR390" t="e">
        <f>IF(#REF!,"AAAAAB/1fis=",0)</f>
        <v>#REF!</v>
      </c>
      <c r="AS390" t="e">
        <f>IF(#REF!,"AAAAAB/1fiw=",0)</f>
        <v>#REF!</v>
      </c>
      <c r="AT390" t="e">
        <f>IF(#REF!,"AAAAAB/1fi0=",0)</f>
        <v>#REF!</v>
      </c>
      <c r="AU390" t="e">
        <f>IF(#REF!,"AAAAAB/1fi4=",0)</f>
        <v>#REF!</v>
      </c>
      <c r="AV390" t="e">
        <f>IF(#REF!,"AAAAAB/1fi8=",0)</f>
        <v>#REF!</v>
      </c>
      <c r="AW390" t="e">
        <f>IF(#REF!,"AAAAAB/1fjA=",0)</f>
        <v>#REF!</v>
      </c>
      <c r="AX390" t="e">
        <f>IF(#REF!,"AAAAAB/1fjE=",0)</f>
        <v>#REF!</v>
      </c>
      <c r="AY390" t="e">
        <f>IF(#REF!,"AAAAAB/1fjI=",0)</f>
        <v>#REF!</v>
      </c>
      <c r="AZ390" t="e">
        <f>IF(#REF!,"AAAAAB/1fjM=",0)</f>
        <v>#REF!</v>
      </c>
      <c r="BA390" t="e">
        <f>IF(#REF!,"AAAAAB/1fjQ=",0)</f>
        <v>#REF!</v>
      </c>
      <c r="BB390" t="e">
        <f>IF(#REF!,"AAAAAB/1fjU=",0)</f>
        <v>#REF!</v>
      </c>
      <c r="BC390" t="e">
        <f>IF(#REF!,"AAAAAB/1fjY=",0)</f>
        <v>#REF!</v>
      </c>
      <c r="BD390" t="e">
        <f>IF(#REF!,"AAAAAB/1fjc=",0)</f>
        <v>#REF!</v>
      </c>
      <c r="BE390" t="e">
        <f>IF(#REF!,"AAAAAB/1fjg=",0)</f>
        <v>#REF!</v>
      </c>
      <c r="BF390" t="e">
        <f>IF(#REF!,"AAAAAB/1fjk=",0)</f>
        <v>#REF!</v>
      </c>
      <c r="BG390" t="e">
        <f>IF(#REF!,"AAAAAB/1fjo=",0)</f>
        <v>#REF!</v>
      </c>
      <c r="BH390" t="e">
        <f>IF(#REF!,"AAAAAB/1fjs=",0)</f>
        <v>#REF!</v>
      </c>
      <c r="BI390" t="e">
        <f>IF(#REF!,"AAAAAB/1fjw=",0)</f>
        <v>#REF!</v>
      </c>
      <c r="BJ390" t="e">
        <f>IF(#REF!,"AAAAAB/1fj0=",0)</f>
        <v>#REF!</v>
      </c>
      <c r="BK390" t="e">
        <f>IF(#REF!,"AAAAAB/1fj4=",0)</f>
        <v>#REF!</v>
      </c>
      <c r="BL390" t="e">
        <f>IF(#REF!,"AAAAAB/1fj8=",0)</f>
        <v>#REF!</v>
      </c>
      <c r="BM390" t="e">
        <f>IF(#REF!,"AAAAAB/1fkA=",0)</f>
        <v>#REF!</v>
      </c>
      <c r="BN390" t="e">
        <f>IF(#REF!,"AAAAAB/1fkE=",0)</f>
        <v>#REF!</v>
      </c>
      <c r="BO390" t="e">
        <f>IF(#REF!,"AAAAAB/1fkI=",0)</f>
        <v>#REF!</v>
      </c>
      <c r="BP390" t="e">
        <f>IF(#REF!,"AAAAAB/1fkM=",0)</f>
        <v>#REF!</v>
      </c>
      <c r="BQ390" t="e">
        <f>IF(#REF!,"AAAAAB/1fkQ=",0)</f>
        <v>#REF!</v>
      </c>
      <c r="BR390" t="e">
        <f>IF(#REF!,"AAAAAB/1fkU=",0)</f>
        <v>#REF!</v>
      </c>
      <c r="BS390" t="e">
        <f>IF(#REF!,"AAAAAB/1fkY=",0)</f>
        <v>#REF!</v>
      </c>
      <c r="BT390" t="e">
        <f>IF(#REF!,"AAAAAB/1fkc=",0)</f>
        <v>#REF!</v>
      </c>
      <c r="BU390" t="e">
        <f>IF(#REF!,"AAAAAB/1fkg=",0)</f>
        <v>#REF!</v>
      </c>
      <c r="BV390" t="e">
        <f>IF(#REF!,"AAAAAB/1fkk=",0)</f>
        <v>#REF!</v>
      </c>
      <c r="BW390" t="e">
        <f>IF(#REF!,"AAAAAB/1fko=",0)</f>
        <v>#REF!</v>
      </c>
      <c r="BX390" t="e">
        <f>IF(#REF!,"AAAAAB/1fks=",0)</f>
        <v>#REF!</v>
      </c>
      <c r="BY390" t="e">
        <f>IF(#REF!,"AAAAAB/1fkw=",0)</f>
        <v>#REF!</v>
      </c>
      <c r="BZ390" t="e">
        <f>IF(#REF!,"AAAAAB/1fk0=",0)</f>
        <v>#REF!</v>
      </c>
      <c r="CA390" t="e">
        <f>IF(#REF!,"AAAAAB/1fk4=",0)</f>
        <v>#REF!</v>
      </c>
      <c r="CB390" t="e">
        <f>IF(#REF!,"AAAAAB/1fk8=",0)</f>
        <v>#REF!</v>
      </c>
      <c r="CC390" t="e">
        <f>IF(#REF!,"AAAAAB/1flA=",0)</f>
        <v>#REF!</v>
      </c>
      <c r="CD390" t="e">
        <f>IF(#REF!,"AAAAAB/1flE=",0)</f>
        <v>#REF!</v>
      </c>
      <c r="CE390" t="e">
        <f>IF(#REF!,"AAAAAB/1flI=",0)</f>
        <v>#REF!</v>
      </c>
      <c r="CF390" t="e">
        <f>IF(#REF!,"AAAAAB/1flM=",0)</f>
        <v>#REF!</v>
      </c>
      <c r="CG390" t="e">
        <f>IF(#REF!,"AAAAAB/1flQ=",0)</f>
        <v>#REF!</v>
      </c>
      <c r="CH390" t="e">
        <f>IF(#REF!,"AAAAAB/1flU=",0)</f>
        <v>#REF!</v>
      </c>
      <c r="CI390" t="e">
        <f>IF(#REF!,"AAAAAB/1flY=",0)</f>
        <v>#REF!</v>
      </c>
      <c r="CJ390" t="e">
        <f>IF(#REF!,"AAAAAB/1flc=",0)</f>
        <v>#REF!</v>
      </c>
      <c r="CK390" t="e">
        <f>IF(#REF!,"AAAAAB/1flg=",0)</f>
        <v>#REF!</v>
      </c>
      <c r="CL390" t="e">
        <f>IF(#REF!,"AAAAAB/1flk=",0)</f>
        <v>#REF!</v>
      </c>
      <c r="CM390" t="e">
        <f>IF(#REF!,"AAAAAB/1flo=",0)</f>
        <v>#REF!</v>
      </c>
      <c r="CN390" t="e">
        <f>IF(#REF!,"AAAAAB/1fls=",0)</f>
        <v>#REF!</v>
      </c>
      <c r="CO390" t="e">
        <f>IF(#REF!,"AAAAAB/1flw=",0)</f>
        <v>#REF!</v>
      </c>
      <c r="CP390" t="e">
        <f>IF(#REF!,"AAAAAB/1fl0=",0)</f>
        <v>#REF!</v>
      </c>
      <c r="CQ390" t="e">
        <f>IF(#REF!,"AAAAAB/1fl4=",0)</f>
        <v>#REF!</v>
      </c>
      <c r="CR390" t="e">
        <f>IF(#REF!,"AAAAAB/1fl8=",0)</f>
        <v>#REF!</v>
      </c>
      <c r="CS390" t="e">
        <f>IF(#REF!,"AAAAAB/1fmA=",0)</f>
        <v>#REF!</v>
      </c>
      <c r="CT390" t="e">
        <f>IF(#REF!,"AAAAAB/1fmE=",0)</f>
        <v>#REF!</v>
      </c>
      <c r="CU390" t="e">
        <f>IF(#REF!,"AAAAAB/1fmI=",0)</f>
        <v>#REF!</v>
      </c>
      <c r="CV390" t="e">
        <f>IF(#REF!,"AAAAAB/1fmM=",0)</f>
        <v>#REF!</v>
      </c>
      <c r="CW390" t="e">
        <f>IF(#REF!,"AAAAAB/1fmQ=",0)</f>
        <v>#REF!</v>
      </c>
      <c r="CX390" t="e">
        <f>IF(#REF!,"AAAAAB/1fmU=",0)</f>
        <v>#REF!</v>
      </c>
      <c r="CY390" t="e">
        <f>IF(#REF!,"AAAAAB/1fmY=",0)</f>
        <v>#REF!</v>
      </c>
      <c r="CZ390" t="e">
        <f>IF(#REF!,"AAAAAB/1fmc=",0)</f>
        <v>#REF!</v>
      </c>
      <c r="DA390" t="e">
        <f>IF(#REF!,"AAAAAB/1fmg=",0)</f>
        <v>#REF!</v>
      </c>
      <c r="DB390" t="e">
        <f>IF(#REF!,"AAAAAB/1fmk=",0)</f>
        <v>#REF!</v>
      </c>
      <c r="DC390" t="e">
        <f>IF(#REF!,"AAAAAB/1fmo=",0)</f>
        <v>#REF!</v>
      </c>
      <c r="DD390" t="e">
        <f>IF(#REF!,"AAAAAB/1fms=",0)</f>
        <v>#REF!</v>
      </c>
      <c r="DE390" t="e">
        <f>IF(#REF!,"AAAAAB/1fmw=",0)</f>
        <v>#REF!</v>
      </c>
      <c r="DF390" t="e">
        <f>IF(#REF!,"AAAAAB/1fm0=",0)</f>
        <v>#REF!</v>
      </c>
      <c r="DG390" t="e">
        <f>IF(#REF!,"AAAAAB/1fm4=",0)</f>
        <v>#REF!</v>
      </c>
      <c r="DH390" t="e">
        <f>IF(#REF!,"AAAAAB/1fm8=",0)</f>
        <v>#REF!</v>
      </c>
      <c r="DI390" t="e">
        <f>IF(#REF!,"AAAAAB/1fnA=",0)</f>
        <v>#REF!</v>
      </c>
      <c r="DJ390" t="e">
        <f>IF(#REF!,"AAAAAB/1fnE=",0)</f>
        <v>#REF!</v>
      </c>
      <c r="DK390" t="e">
        <f>IF(#REF!,"AAAAAB/1fnI=",0)</f>
        <v>#REF!</v>
      </c>
      <c r="DL390" t="e">
        <f>IF(#REF!,"AAAAAB/1fnM=",0)</f>
        <v>#REF!</v>
      </c>
      <c r="DM390" t="e">
        <f>IF(#REF!,"AAAAAB/1fnQ=",0)</f>
        <v>#REF!</v>
      </c>
      <c r="DN390" t="e">
        <f>IF(#REF!,"AAAAAB/1fnU=",0)</f>
        <v>#REF!</v>
      </c>
      <c r="DO390" t="e">
        <f>IF(#REF!,"AAAAAB/1fnY=",0)</f>
        <v>#REF!</v>
      </c>
      <c r="DP390" t="e">
        <f>IF(#REF!,"AAAAAB/1fnc=",0)</f>
        <v>#REF!</v>
      </c>
      <c r="DQ390" t="e">
        <f>IF(#REF!,"AAAAAB/1fng=",0)</f>
        <v>#REF!</v>
      </c>
      <c r="DR390" t="e">
        <f>IF(#REF!,"AAAAAB/1fnk=",0)</f>
        <v>#REF!</v>
      </c>
      <c r="DS390" t="e">
        <f>IF(#REF!,"AAAAAB/1fno=",0)</f>
        <v>#REF!</v>
      </c>
      <c r="DT390" t="e">
        <f>IF(#REF!,"AAAAAB/1fns=",0)</f>
        <v>#REF!</v>
      </c>
      <c r="DU390" t="e">
        <f>IF(#REF!,"AAAAAB/1fnw=",0)</f>
        <v>#REF!</v>
      </c>
      <c r="DV390" t="e">
        <f>IF(#REF!,"AAAAAB/1fn0=",0)</f>
        <v>#REF!</v>
      </c>
      <c r="DW390" t="e">
        <f>IF(#REF!,"AAAAAB/1fn4=",0)</f>
        <v>#REF!</v>
      </c>
      <c r="DX390" t="e">
        <f>IF(#REF!,"AAAAAB/1fn8=",0)</f>
        <v>#REF!</v>
      </c>
      <c r="DY390" t="e">
        <f>IF(#REF!,"AAAAAB/1foA=",0)</f>
        <v>#REF!</v>
      </c>
      <c r="DZ390" t="e">
        <f>IF(#REF!,"AAAAAB/1foE=",0)</f>
        <v>#REF!</v>
      </c>
      <c r="EA390" t="e">
        <f>IF(#REF!,"AAAAAB/1foI=",0)</f>
        <v>#REF!</v>
      </c>
      <c r="EB390" t="e">
        <f>IF(#REF!,"AAAAAB/1foM=",0)</f>
        <v>#REF!</v>
      </c>
      <c r="EC390" t="e">
        <f>IF(#REF!,"AAAAAB/1foQ=",0)</f>
        <v>#REF!</v>
      </c>
      <c r="ED390" t="e">
        <f>IF(#REF!,"AAAAAB/1foU=",0)</f>
        <v>#REF!</v>
      </c>
      <c r="EE390" t="e">
        <f>IF(#REF!,"AAAAAB/1foY=",0)</f>
        <v>#REF!</v>
      </c>
      <c r="EF390" t="e">
        <f>IF(#REF!,"AAAAAB/1foc=",0)</f>
        <v>#REF!</v>
      </c>
      <c r="EG390" t="e">
        <f>IF(#REF!,"AAAAAB/1fog=",0)</f>
        <v>#REF!</v>
      </c>
      <c r="EH390" t="e">
        <f>IF(#REF!,"AAAAAB/1fok=",0)</f>
        <v>#REF!</v>
      </c>
      <c r="EI390" t="e">
        <f>IF(#REF!,"AAAAAB/1foo=",0)</f>
        <v>#REF!</v>
      </c>
      <c r="EJ390" t="e">
        <f>IF(#REF!,"AAAAAB/1fos=",0)</f>
        <v>#REF!</v>
      </c>
      <c r="EK390" t="e">
        <f>IF(#REF!,"AAAAAB/1fow=",0)</f>
        <v>#REF!</v>
      </c>
      <c r="EL390" t="e">
        <f>IF(#REF!,"AAAAAB/1fo0=",0)</f>
        <v>#REF!</v>
      </c>
      <c r="EM390" t="e">
        <f>IF(#REF!,"AAAAAB/1fo4=",0)</f>
        <v>#REF!</v>
      </c>
      <c r="EN390" t="e">
        <f>IF(#REF!,"AAAAAB/1fo8=",0)</f>
        <v>#REF!</v>
      </c>
      <c r="EO390" t="e">
        <f>IF(#REF!,"AAAAAB/1fpA=",0)</f>
        <v>#REF!</v>
      </c>
      <c r="EP390" t="e">
        <f>IF(#REF!,"AAAAAB/1fpE=",0)</f>
        <v>#REF!</v>
      </c>
      <c r="EQ390" t="e">
        <f>IF(#REF!,"AAAAAB/1fpI=",0)</f>
        <v>#REF!</v>
      </c>
      <c r="ER390" t="e">
        <f>IF(#REF!,"AAAAAB/1fpM=",0)</f>
        <v>#REF!</v>
      </c>
      <c r="ES390" t="e">
        <f>IF(#REF!,"AAAAAB/1fpQ=",0)</f>
        <v>#REF!</v>
      </c>
      <c r="ET390" t="e">
        <f>IF(#REF!,"AAAAAB/1fpU=",0)</f>
        <v>#REF!</v>
      </c>
      <c r="EU390" t="e">
        <f>IF(#REF!,"AAAAAB/1fpY=",0)</f>
        <v>#REF!</v>
      </c>
      <c r="EV390" t="e">
        <f>IF(#REF!,"AAAAAB/1fpc=",0)</f>
        <v>#REF!</v>
      </c>
      <c r="EW390" t="e">
        <f>IF(#REF!,"AAAAAB/1fpg=",0)</f>
        <v>#REF!</v>
      </c>
      <c r="EX390" t="e">
        <f>IF(#REF!,"AAAAAB/1fpk=",0)</f>
        <v>#REF!</v>
      </c>
      <c r="EY390" t="e">
        <f>IF(#REF!,"AAAAAB/1fpo=",0)</f>
        <v>#REF!</v>
      </c>
      <c r="EZ390" t="e">
        <f>IF(#REF!,"AAAAAB/1fps=",0)</f>
        <v>#REF!</v>
      </c>
      <c r="FA390" t="e">
        <f>IF(#REF!,"AAAAAB/1fpw=",0)</f>
        <v>#REF!</v>
      </c>
      <c r="FB390" t="e">
        <f>IF(#REF!,"AAAAAB/1fp0=",0)</f>
        <v>#REF!</v>
      </c>
      <c r="FC390" t="e">
        <f>IF(#REF!,"AAAAAB/1fp4=",0)</f>
        <v>#REF!</v>
      </c>
      <c r="FD390" t="e">
        <f>IF(#REF!,"AAAAAB/1fp8=",0)</f>
        <v>#REF!</v>
      </c>
      <c r="FE390" t="e">
        <f>IF(#REF!,"AAAAAB/1fqA=",0)</f>
        <v>#REF!</v>
      </c>
      <c r="FF390" t="e">
        <f>IF(#REF!,"AAAAAB/1fqE=",0)</f>
        <v>#REF!</v>
      </c>
      <c r="FG390" t="e">
        <f>IF(#REF!,"AAAAAB/1fqI=",0)</f>
        <v>#REF!</v>
      </c>
      <c r="FH390" t="e">
        <f>IF(#REF!,"AAAAAB/1fqM=",0)</f>
        <v>#REF!</v>
      </c>
      <c r="FI390" t="e">
        <f>IF(#REF!,"AAAAAB/1fqQ=",0)</f>
        <v>#REF!</v>
      </c>
      <c r="FJ390" t="e">
        <f>IF(#REF!,"AAAAAB/1fqU=",0)</f>
        <v>#REF!</v>
      </c>
      <c r="FK390" t="e">
        <f>IF(#REF!,"AAAAAB/1fqY=",0)</f>
        <v>#REF!</v>
      </c>
      <c r="FL390" t="e">
        <f>IF(#REF!,"AAAAAB/1fqc=",0)</f>
        <v>#REF!</v>
      </c>
      <c r="FM390" t="e">
        <f>IF(#REF!,"AAAAAB/1fqg=",0)</f>
        <v>#REF!</v>
      </c>
      <c r="FN390" t="e">
        <f>IF(#REF!,"AAAAAB/1fqk=",0)</f>
        <v>#REF!</v>
      </c>
      <c r="FO390" t="e">
        <f>IF(#REF!,"AAAAAB/1fqo=",0)</f>
        <v>#REF!</v>
      </c>
      <c r="FP390" t="e">
        <f>IF(#REF!,"AAAAAB/1fqs=",0)</f>
        <v>#REF!</v>
      </c>
      <c r="FQ390" t="e">
        <f>IF(#REF!,"AAAAAB/1fqw=",0)</f>
        <v>#REF!</v>
      </c>
      <c r="FR390" t="e">
        <f>IF(#REF!,"AAAAAB/1fq0=",0)</f>
        <v>#REF!</v>
      </c>
      <c r="FS390" t="e">
        <f>IF(#REF!,"AAAAAB/1fq4=",0)</f>
        <v>#REF!</v>
      </c>
      <c r="FT390" t="e">
        <f>IF(#REF!,"AAAAAB/1fq8=",0)</f>
        <v>#REF!</v>
      </c>
      <c r="FU390" t="e">
        <f>IF(#REF!,"AAAAAB/1frA=",0)</f>
        <v>#REF!</v>
      </c>
      <c r="FV390" t="e">
        <f>IF(#REF!,"AAAAAB/1frE=",0)</f>
        <v>#REF!</v>
      </c>
      <c r="FW390" t="e">
        <f>IF(#REF!,"AAAAAB/1frI=",0)</f>
        <v>#REF!</v>
      </c>
      <c r="FX390" t="e">
        <f>IF(#REF!,"AAAAAB/1frM=",0)</f>
        <v>#REF!</v>
      </c>
      <c r="FY390" t="e">
        <f>IF(#REF!,"AAAAAB/1frQ=",0)</f>
        <v>#REF!</v>
      </c>
      <c r="FZ390" t="e">
        <f>IF(#REF!,"AAAAAB/1frU=",0)</f>
        <v>#REF!</v>
      </c>
      <c r="GA390" t="e">
        <f>IF(#REF!,"AAAAAB/1frY=",0)</f>
        <v>#REF!</v>
      </c>
      <c r="GB390" t="e">
        <f>IF(#REF!,"AAAAAB/1frc=",0)</f>
        <v>#REF!</v>
      </c>
      <c r="GC390" t="e">
        <f>IF(#REF!,"AAAAAB/1frg=",0)</f>
        <v>#REF!</v>
      </c>
      <c r="GD390" t="e">
        <f>IF(#REF!,"AAAAAB/1frk=",0)</f>
        <v>#REF!</v>
      </c>
      <c r="GE390" t="e">
        <f>IF(#REF!,"AAAAAB/1fro=",0)</f>
        <v>#REF!</v>
      </c>
      <c r="GF390" t="e">
        <f>IF(#REF!,"AAAAAB/1frs=",0)</f>
        <v>#REF!</v>
      </c>
      <c r="GG390" t="e">
        <f>IF(#REF!,"AAAAAB/1frw=",0)</f>
        <v>#REF!</v>
      </c>
      <c r="GH390" t="e">
        <f>IF(#REF!,"AAAAAB/1fr0=",0)</f>
        <v>#REF!</v>
      </c>
      <c r="GI390" t="e">
        <f>IF(#REF!,"AAAAAB/1fr4=",0)</f>
        <v>#REF!</v>
      </c>
      <c r="GJ390" t="e">
        <f>IF(#REF!,"AAAAAB/1fr8=",0)</f>
        <v>#REF!</v>
      </c>
      <c r="GK390" t="e">
        <f>IF(#REF!,"AAAAAB/1fsA=",0)</f>
        <v>#REF!</v>
      </c>
      <c r="GL390" t="e">
        <f>IF(#REF!,"AAAAAB/1fsE=",0)</f>
        <v>#REF!</v>
      </c>
      <c r="GM390" t="e">
        <f>IF(#REF!,"AAAAAB/1fsI=",0)</f>
        <v>#REF!</v>
      </c>
      <c r="GN390" t="e">
        <f>IF(#REF!,"AAAAAB/1fsM=",0)</f>
        <v>#REF!</v>
      </c>
      <c r="GO390" t="e">
        <f>IF(#REF!,"AAAAAB/1fsQ=",0)</f>
        <v>#REF!</v>
      </c>
      <c r="GP390" t="e">
        <f>IF(#REF!,"AAAAAB/1fsU=",0)</f>
        <v>#REF!</v>
      </c>
      <c r="GQ390" t="e">
        <f>IF(#REF!,"AAAAAB/1fsY=",0)</f>
        <v>#REF!</v>
      </c>
      <c r="GR390" t="e">
        <f>IF(#REF!,"AAAAAB/1fsc=",0)</f>
        <v>#REF!</v>
      </c>
      <c r="GS390" t="e">
        <f>IF(#REF!,"AAAAAB/1fsg=",0)</f>
        <v>#REF!</v>
      </c>
      <c r="GT390" t="e">
        <f>IF(#REF!,"AAAAAB/1fsk=",0)</f>
        <v>#REF!</v>
      </c>
      <c r="GU390" t="e">
        <f>IF(#REF!,"AAAAAB/1fso=",0)</f>
        <v>#REF!</v>
      </c>
      <c r="GV390" t="e">
        <f>IF(#REF!,"AAAAAB/1fss=",0)</f>
        <v>#REF!</v>
      </c>
      <c r="GW390" t="e">
        <f>IF(#REF!,"AAAAAB/1fsw=",0)</f>
        <v>#REF!</v>
      </c>
      <c r="GX390" t="e">
        <f>IF(#REF!,"AAAAAB/1fs0=",0)</f>
        <v>#REF!</v>
      </c>
      <c r="GY390" t="e">
        <f>IF(#REF!,"AAAAAB/1fs4=",0)</f>
        <v>#REF!</v>
      </c>
      <c r="GZ390" t="e">
        <f>IF(#REF!,"AAAAAB/1fs8=",0)</f>
        <v>#REF!</v>
      </c>
      <c r="HA390" t="e">
        <f>IF(#REF!,"AAAAAB/1ftA=",0)</f>
        <v>#REF!</v>
      </c>
      <c r="HB390" t="e">
        <f>IF(#REF!,"AAAAAB/1ftE=",0)</f>
        <v>#REF!</v>
      </c>
      <c r="HC390" t="e">
        <f>IF(#REF!,"AAAAAB/1ftI=",0)</f>
        <v>#REF!</v>
      </c>
      <c r="HD390" t="e">
        <f>IF(#REF!,"AAAAAB/1ftM=",0)</f>
        <v>#REF!</v>
      </c>
      <c r="HE390" t="e">
        <f>IF(#REF!,"AAAAAB/1ftQ=",0)</f>
        <v>#REF!</v>
      </c>
      <c r="HF390" t="e">
        <f>IF(#REF!,"AAAAAB/1ftU=",0)</f>
        <v>#REF!</v>
      </c>
      <c r="HG390" t="e">
        <f>IF(#REF!,"AAAAAB/1ftY=",0)</f>
        <v>#REF!</v>
      </c>
      <c r="HH390" t="e">
        <f>IF(#REF!,"AAAAAB/1ftc=",0)</f>
        <v>#REF!</v>
      </c>
      <c r="HI390" t="e">
        <f>IF(#REF!,"AAAAAB/1ftg=",0)</f>
        <v>#REF!</v>
      </c>
      <c r="HJ390" t="e">
        <f>IF(#REF!,"AAAAAB/1ftk=",0)</f>
        <v>#REF!</v>
      </c>
      <c r="HK390" t="e">
        <f>IF(#REF!,"AAAAAB/1fto=",0)</f>
        <v>#REF!</v>
      </c>
      <c r="HL390" t="e">
        <f>IF(#REF!,"AAAAAB/1fts=",0)</f>
        <v>#REF!</v>
      </c>
      <c r="HM390" t="e">
        <f>IF(#REF!,"AAAAAB/1ftw=",0)</f>
        <v>#REF!</v>
      </c>
      <c r="HN390" t="e">
        <f>IF(#REF!,"AAAAAB/1ft0=",0)</f>
        <v>#REF!</v>
      </c>
      <c r="HO390" t="e">
        <f>IF(#REF!,"AAAAAB/1ft4=",0)</f>
        <v>#REF!</v>
      </c>
      <c r="HP390" t="e">
        <f>IF(#REF!,"AAAAAB/1ft8=",0)</f>
        <v>#REF!</v>
      </c>
      <c r="HQ390" t="e">
        <f>IF(#REF!,"AAAAAB/1fuA=",0)</f>
        <v>#REF!</v>
      </c>
      <c r="HR390" t="e">
        <f>IF(#REF!,"AAAAAB/1fuE=",0)</f>
        <v>#REF!</v>
      </c>
      <c r="HS390" t="e">
        <f>IF(#REF!,"AAAAAB/1fuI=",0)</f>
        <v>#REF!</v>
      </c>
      <c r="HT390" t="e">
        <f>IF(#REF!,"AAAAAB/1fuM=",0)</f>
        <v>#REF!</v>
      </c>
      <c r="HU390" t="e">
        <f>IF(#REF!,"AAAAAB/1fuQ=",0)</f>
        <v>#REF!</v>
      </c>
      <c r="HV390" t="e">
        <f>IF(#REF!,"AAAAAB/1fuU=",0)</f>
        <v>#REF!</v>
      </c>
      <c r="HW390" t="e">
        <f>IF(#REF!,"AAAAAB/1fuY=",0)</f>
        <v>#REF!</v>
      </c>
      <c r="HX390" t="e">
        <f>IF(#REF!,"AAAAAB/1fuc=",0)</f>
        <v>#REF!</v>
      </c>
      <c r="HY390" t="e">
        <f>IF(#REF!,"AAAAAB/1fug=",0)</f>
        <v>#REF!</v>
      </c>
      <c r="HZ390" t="e">
        <f>IF(#REF!,"AAAAAB/1fuk=",0)</f>
        <v>#REF!</v>
      </c>
      <c r="IA390" t="e">
        <f>IF(#REF!,"AAAAAB/1fuo=",0)</f>
        <v>#REF!</v>
      </c>
      <c r="IB390" t="e">
        <f>IF(#REF!,"AAAAAB/1fus=",0)</f>
        <v>#REF!</v>
      </c>
      <c r="IC390" t="e">
        <f>IF(#REF!,"AAAAAB/1fuw=",0)</f>
        <v>#REF!</v>
      </c>
      <c r="ID390" t="e">
        <f>IF(#REF!,"AAAAAB/1fu0=",0)</f>
        <v>#REF!</v>
      </c>
      <c r="IE390" t="e">
        <f>IF(#REF!,"AAAAAB/1fu4=",0)</f>
        <v>#REF!</v>
      </c>
      <c r="IF390" t="e">
        <f>IF(#REF!,"AAAAAB/1fu8=",0)</f>
        <v>#REF!</v>
      </c>
      <c r="IG390" t="e">
        <f>IF(#REF!,"AAAAAB/1fvA=",0)</f>
        <v>#REF!</v>
      </c>
      <c r="IH390" t="e">
        <f>IF(#REF!,"AAAAAB/1fvE=",0)</f>
        <v>#REF!</v>
      </c>
      <c r="II390" t="e">
        <f>IF(#REF!,"AAAAAB/1fvI=",0)</f>
        <v>#REF!</v>
      </c>
      <c r="IJ390" t="e">
        <f>IF(#REF!,"AAAAAB/1fvM=",0)</f>
        <v>#REF!</v>
      </c>
      <c r="IK390" t="e">
        <f>IF(#REF!,"AAAAAB/1fvQ=",0)</f>
        <v>#REF!</v>
      </c>
      <c r="IL390" t="e">
        <f>IF(#REF!,"AAAAAB/1fvU=",0)</f>
        <v>#REF!</v>
      </c>
      <c r="IM390" t="e">
        <f>IF(#REF!,"AAAAAB/1fvY=",0)</f>
        <v>#REF!</v>
      </c>
      <c r="IN390" t="e">
        <f>IF(#REF!,"AAAAAB/1fvc=",0)</f>
        <v>#REF!</v>
      </c>
      <c r="IO390" t="e">
        <f>IF(#REF!,"AAAAAB/1fvg=",0)</f>
        <v>#REF!</v>
      </c>
      <c r="IP390" t="e">
        <f>IF(#REF!,"AAAAAB/1fvk=",0)</f>
        <v>#REF!</v>
      </c>
      <c r="IQ390" t="e">
        <f>IF(#REF!,"AAAAAB/1fvo=",0)</f>
        <v>#REF!</v>
      </c>
      <c r="IR390" t="e">
        <f>IF(#REF!,"AAAAAB/1fvs=",0)</f>
        <v>#REF!</v>
      </c>
      <c r="IS390" t="e">
        <f>IF(#REF!,"AAAAAB/1fvw=",0)</f>
        <v>#REF!</v>
      </c>
      <c r="IT390" t="e">
        <f>IF(#REF!,"AAAAAB/1fv0=",0)</f>
        <v>#REF!</v>
      </c>
      <c r="IU390" t="e">
        <f>IF(#REF!,"AAAAAB/1fv4=",0)</f>
        <v>#REF!</v>
      </c>
      <c r="IV390" t="e">
        <f>IF(#REF!,"AAAAAB/1fv8=",0)</f>
        <v>#REF!</v>
      </c>
    </row>
    <row r="391" spans="1:256">
      <c r="A391" t="e">
        <f>IF(#REF!,"AAAAAF6Z/QA=",0)</f>
        <v>#REF!</v>
      </c>
      <c r="B391" t="e">
        <f>IF(#REF!,"AAAAAF6Z/QE=",0)</f>
        <v>#REF!</v>
      </c>
      <c r="C391" t="e">
        <f>IF(#REF!,"AAAAAF6Z/QI=",0)</f>
        <v>#REF!</v>
      </c>
      <c r="D391" t="e">
        <f>IF(#REF!,"AAAAAF6Z/QM=",0)</f>
        <v>#REF!</v>
      </c>
      <c r="E391" t="e">
        <f>IF(#REF!,"AAAAAF6Z/QQ=",0)</f>
        <v>#REF!</v>
      </c>
      <c r="F391" t="e">
        <f>IF(#REF!,"AAAAAF6Z/QU=",0)</f>
        <v>#REF!</v>
      </c>
      <c r="G391" t="e">
        <f>IF(#REF!,"AAAAAF6Z/QY=",0)</f>
        <v>#REF!</v>
      </c>
      <c r="H391" t="e">
        <f>IF(#REF!,"AAAAAF6Z/Qc=",0)</f>
        <v>#REF!</v>
      </c>
      <c r="I391" t="e">
        <f>IF(#REF!,"AAAAAF6Z/Qg=",0)</f>
        <v>#REF!</v>
      </c>
      <c r="J391" t="e">
        <f>IF(#REF!,"AAAAAF6Z/Qk=",0)</f>
        <v>#REF!</v>
      </c>
      <c r="K391" t="e">
        <f>IF(#REF!,"AAAAAF6Z/Qo=",0)</f>
        <v>#REF!</v>
      </c>
      <c r="L391" t="e">
        <f>IF(#REF!,"AAAAAF6Z/Qs=",0)</f>
        <v>#REF!</v>
      </c>
      <c r="M391" t="e">
        <f>IF(#REF!,"AAAAAF6Z/Qw=",0)</f>
        <v>#REF!</v>
      </c>
      <c r="N391" t="e">
        <f>IF(#REF!,"AAAAAF6Z/Q0=",0)</f>
        <v>#REF!</v>
      </c>
      <c r="O391" t="e">
        <f>IF(#REF!,"AAAAAF6Z/Q4=",0)</f>
        <v>#REF!</v>
      </c>
      <c r="P391" t="e">
        <f>IF(#REF!,"AAAAAF6Z/Q8=",0)</f>
        <v>#REF!</v>
      </c>
      <c r="Q391" t="e">
        <f>IF(#REF!,"AAAAAF6Z/RA=",0)</f>
        <v>#REF!</v>
      </c>
      <c r="R391" t="e">
        <f>IF(#REF!,"AAAAAF6Z/RE=",0)</f>
        <v>#REF!</v>
      </c>
      <c r="S391" t="e">
        <f>IF(#REF!,"AAAAAF6Z/RI=",0)</f>
        <v>#REF!</v>
      </c>
      <c r="T391" t="e">
        <f>IF(#REF!,"AAAAAF6Z/RM=",0)</f>
        <v>#REF!</v>
      </c>
      <c r="U391" t="e">
        <f>IF(#REF!,"AAAAAF6Z/RQ=",0)</f>
        <v>#REF!</v>
      </c>
      <c r="V391" t="e">
        <f>IF(#REF!,"AAAAAF6Z/RU=",0)</f>
        <v>#REF!</v>
      </c>
      <c r="W391" t="e">
        <f>IF(#REF!,"AAAAAF6Z/RY=",0)</f>
        <v>#REF!</v>
      </c>
      <c r="X391" t="e">
        <f>IF(#REF!,"AAAAAF6Z/Rc=",0)</f>
        <v>#REF!</v>
      </c>
      <c r="Y391" t="e">
        <f>IF(#REF!,"AAAAAF6Z/Rg=",0)</f>
        <v>#REF!</v>
      </c>
      <c r="Z391" t="e">
        <f>IF(#REF!,"AAAAAF6Z/Rk=",0)</f>
        <v>#REF!</v>
      </c>
      <c r="AA391" t="e">
        <f>IF(#REF!,"AAAAAF6Z/Ro=",0)</f>
        <v>#REF!</v>
      </c>
      <c r="AB391" t="e">
        <f>IF(#REF!,"AAAAAF6Z/Rs=",0)</f>
        <v>#REF!</v>
      </c>
      <c r="AC391" t="e">
        <f>IF(#REF!,"AAAAAF6Z/Rw=",0)</f>
        <v>#REF!</v>
      </c>
      <c r="AD391" t="e">
        <f>IF(#REF!,"AAAAAF6Z/R0=",0)</f>
        <v>#REF!</v>
      </c>
      <c r="AE391" t="e">
        <f>IF(#REF!,"AAAAAF6Z/R4=",0)</f>
        <v>#REF!</v>
      </c>
      <c r="AF391" t="e">
        <f>IF(#REF!,"AAAAAF6Z/R8=",0)</f>
        <v>#REF!</v>
      </c>
      <c r="AG391" t="e">
        <f>IF(#REF!,"AAAAAF6Z/SA=",0)</f>
        <v>#REF!</v>
      </c>
      <c r="AH391" t="e">
        <f>IF(#REF!,"AAAAAF6Z/SE=",0)</f>
        <v>#REF!</v>
      </c>
      <c r="AI391" t="e">
        <f>IF(#REF!,"AAAAAF6Z/SI=",0)</f>
        <v>#REF!</v>
      </c>
      <c r="AJ391" t="e">
        <f>IF(#REF!,"AAAAAF6Z/SM=",0)</f>
        <v>#REF!</v>
      </c>
      <c r="AK391" t="e">
        <f>IF(#REF!,"AAAAAF6Z/SQ=",0)</f>
        <v>#REF!</v>
      </c>
      <c r="AL391" t="e">
        <f>IF(#REF!,"AAAAAF6Z/SU=",0)</f>
        <v>#REF!</v>
      </c>
      <c r="AM391" t="e">
        <f>IF(#REF!,"AAAAAF6Z/SY=",0)</f>
        <v>#REF!</v>
      </c>
      <c r="AN391" t="e">
        <f>IF(#REF!,"AAAAAF6Z/Sc=",0)</f>
        <v>#REF!</v>
      </c>
      <c r="AO391" t="e">
        <f>IF(#REF!,"AAAAAF6Z/Sg=",0)</f>
        <v>#REF!</v>
      </c>
      <c r="AP391" t="e">
        <f>IF(#REF!,"AAAAAF6Z/Sk=",0)</f>
        <v>#REF!</v>
      </c>
      <c r="AQ391" t="e">
        <f>IF(#REF!,"AAAAAF6Z/So=",0)</f>
        <v>#REF!</v>
      </c>
      <c r="AR391" t="e">
        <f>IF(#REF!,"AAAAAF6Z/Ss=",0)</f>
        <v>#REF!</v>
      </c>
      <c r="AS391" t="e">
        <f>IF(#REF!,"AAAAAF6Z/Sw=",0)</f>
        <v>#REF!</v>
      </c>
      <c r="AT391" t="e">
        <f>IF(#REF!,"AAAAAF6Z/S0=",0)</f>
        <v>#REF!</v>
      </c>
      <c r="AU391" t="e">
        <f>IF(#REF!,"AAAAAF6Z/S4=",0)</f>
        <v>#REF!</v>
      </c>
      <c r="AV391" t="e">
        <f>IF(#REF!,"AAAAAF6Z/S8=",0)</f>
        <v>#REF!</v>
      </c>
      <c r="AW391" t="e">
        <f>IF(#REF!,"AAAAAF6Z/TA=",0)</f>
        <v>#REF!</v>
      </c>
      <c r="AX391" t="e">
        <f>IF(#REF!,"AAAAAF6Z/TE=",0)</f>
        <v>#REF!</v>
      </c>
      <c r="AY391" t="e">
        <f>IF(#REF!,"AAAAAF6Z/TI=",0)</f>
        <v>#REF!</v>
      </c>
      <c r="AZ391" t="e">
        <f>IF(#REF!,"AAAAAF6Z/TM=",0)</f>
        <v>#REF!</v>
      </c>
      <c r="BA391" t="e">
        <f>IF(#REF!,"AAAAAF6Z/TQ=",0)</f>
        <v>#REF!</v>
      </c>
      <c r="BB391" t="e">
        <f>IF(#REF!,"AAAAAF6Z/TU=",0)</f>
        <v>#REF!</v>
      </c>
      <c r="BC391" t="e">
        <f>IF(#REF!,"AAAAAF6Z/TY=",0)</f>
        <v>#REF!</v>
      </c>
      <c r="BD391" t="e">
        <f>IF(#REF!,"AAAAAF6Z/Tc=",0)</f>
        <v>#REF!</v>
      </c>
      <c r="BE391" t="e">
        <f>IF(#REF!,"AAAAAF6Z/Tg=",0)</f>
        <v>#REF!</v>
      </c>
      <c r="BF391" t="e">
        <f>IF(#REF!,"AAAAAF6Z/Tk=",0)</f>
        <v>#REF!</v>
      </c>
      <c r="BG391" t="e">
        <f>IF(#REF!,"AAAAAF6Z/To=",0)</f>
        <v>#REF!</v>
      </c>
      <c r="BH391" t="e">
        <f>IF(#REF!,"AAAAAF6Z/Ts=",0)</f>
        <v>#REF!</v>
      </c>
      <c r="BI391" t="e">
        <f>IF(#REF!,"AAAAAF6Z/Tw=",0)</f>
        <v>#REF!</v>
      </c>
      <c r="BJ391" t="e">
        <f>IF(#REF!,"AAAAAF6Z/T0=",0)</f>
        <v>#REF!</v>
      </c>
      <c r="BK391" t="e">
        <f>IF(#REF!,"AAAAAF6Z/T4=",0)</f>
        <v>#REF!</v>
      </c>
      <c r="BL391" t="e">
        <f>IF(#REF!,"AAAAAF6Z/T8=",0)</f>
        <v>#REF!</v>
      </c>
      <c r="BM391" t="e">
        <f>IF(#REF!,"AAAAAF6Z/UA=",0)</f>
        <v>#REF!</v>
      </c>
      <c r="BN391" t="e">
        <f>IF(#REF!,"AAAAAF6Z/UE=",0)</f>
        <v>#REF!</v>
      </c>
      <c r="BO391" t="e">
        <f>IF(#REF!,"AAAAAF6Z/UI=",0)</f>
        <v>#REF!</v>
      </c>
      <c r="BP391" t="e">
        <f>IF(#REF!,"AAAAAF6Z/UM=",0)</f>
        <v>#REF!</v>
      </c>
      <c r="BQ391" t="e">
        <f>IF(#REF!,"AAAAAF6Z/UQ=",0)</f>
        <v>#REF!</v>
      </c>
      <c r="BR391" t="e">
        <f>IF(#REF!,"AAAAAF6Z/UU=",0)</f>
        <v>#REF!</v>
      </c>
      <c r="BS391" t="e">
        <f>IF(#REF!,"AAAAAF6Z/UY=",0)</f>
        <v>#REF!</v>
      </c>
      <c r="BT391" t="e">
        <f>IF(#REF!,"AAAAAF6Z/Uc=",0)</f>
        <v>#REF!</v>
      </c>
      <c r="BU391" t="e">
        <f>IF(#REF!,"AAAAAF6Z/Ug=",0)</f>
        <v>#REF!</v>
      </c>
      <c r="BV391" t="e">
        <f>IF(#REF!,"AAAAAF6Z/Uk=",0)</f>
        <v>#REF!</v>
      </c>
      <c r="BW391" t="e">
        <f>IF(#REF!,"AAAAAF6Z/Uo=",0)</f>
        <v>#REF!</v>
      </c>
      <c r="BX391" t="e">
        <f>IF(#REF!,"AAAAAF6Z/Us=",0)</f>
        <v>#REF!</v>
      </c>
      <c r="BY391" t="e">
        <f>IF(#REF!,"AAAAAF6Z/Uw=",0)</f>
        <v>#REF!</v>
      </c>
      <c r="BZ391" t="e">
        <f>IF(#REF!,"AAAAAF6Z/U0=",0)</f>
        <v>#REF!</v>
      </c>
      <c r="CA391" t="e">
        <f>IF(#REF!,"AAAAAF6Z/U4=",0)</f>
        <v>#REF!</v>
      </c>
      <c r="CB391" t="e">
        <f>IF(#REF!,"AAAAAF6Z/U8=",0)</f>
        <v>#REF!</v>
      </c>
      <c r="CC391" t="e">
        <f>IF(#REF!,"AAAAAF6Z/VA=",0)</f>
        <v>#REF!</v>
      </c>
      <c r="CD391" t="e">
        <f>IF(#REF!,"AAAAAF6Z/VE=",0)</f>
        <v>#REF!</v>
      </c>
      <c r="CE391" t="e">
        <f>IF(#REF!,"AAAAAF6Z/VI=",0)</f>
        <v>#REF!</v>
      </c>
      <c r="CF391" t="e">
        <f>IF(#REF!,"AAAAAF6Z/VM=",0)</f>
        <v>#REF!</v>
      </c>
      <c r="CG391" t="e">
        <f>IF(#REF!,"AAAAAF6Z/VQ=",0)</f>
        <v>#REF!</v>
      </c>
      <c r="CH391" t="e">
        <f>IF(#REF!,"AAAAAF6Z/VU=",0)</f>
        <v>#REF!</v>
      </c>
      <c r="CI391" t="e">
        <f>IF(#REF!,"AAAAAF6Z/VY=",0)</f>
        <v>#REF!</v>
      </c>
      <c r="CJ391" t="e">
        <f>IF(#REF!,"AAAAAF6Z/Vc=",0)</f>
        <v>#REF!</v>
      </c>
      <c r="CK391" t="e">
        <f>IF(#REF!,"AAAAAF6Z/Vg=",0)</f>
        <v>#REF!</v>
      </c>
      <c r="CL391" t="e">
        <f>IF(#REF!,"AAAAAF6Z/Vk=",0)</f>
        <v>#REF!</v>
      </c>
      <c r="CM391" t="e">
        <f>IF(#REF!,"AAAAAF6Z/Vo=",0)</f>
        <v>#REF!</v>
      </c>
      <c r="CN391" t="e">
        <f>IF(#REF!,"AAAAAF6Z/Vs=",0)</f>
        <v>#REF!</v>
      </c>
      <c r="CO391" t="e">
        <f>IF(#REF!,"AAAAAF6Z/Vw=",0)</f>
        <v>#REF!</v>
      </c>
      <c r="CP391" t="e">
        <f>IF(#REF!,"AAAAAF6Z/V0=",0)</f>
        <v>#REF!</v>
      </c>
      <c r="CQ391" t="e">
        <f>IF(#REF!,"AAAAAF6Z/V4=",0)</f>
        <v>#REF!</v>
      </c>
      <c r="CR391" t="e">
        <f>IF(#REF!,"AAAAAF6Z/V8=",0)</f>
        <v>#REF!</v>
      </c>
      <c r="CS391" t="e">
        <f>IF(#REF!,"AAAAAF6Z/WA=",0)</f>
        <v>#REF!</v>
      </c>
      <c r="CT391" t="e">
        <f>IF(#REF!,"AAAAAF6Z/WE=",0)</f>
        <v>#REF!</v>
      </c>
      <c r="CU391" t="e">
        <f>IF(#REF!,"AAAAAF6Z/WI=",0)</f>
        <v>#REF!</v>
      </c>
      <c r="CV391" t="e">
        <f>IF(#REF!,"AAAAAF6Z/WM=",0)</f>
        <v>#REF!</v>
      </c>
      <c r="CW391" t="e">
        <f>IF(#REF!,"AAAAAF6Z/WQ=",0)</f>
        <v>#REF!</v>
      </c>
      <c r="CX391" t="e">
        <f>IF(#REF!,"AAAAAF6Z/WU=",0)</f>
        <v>#REF!</v>
      </c>
      <c r="CY391" t="e">
        <f>IF(#REF!,"AAAAAF6Z/WY=",0)</f>
        <v>#REF!</v>
      </c>
      <c r="CZ391" t="e">
        <f>IF(#REF!,"AAAAAF6Z/Wc=",0)</f>
        <v>#REF!</v>
      </c>
      <c r="DA391" t="e">
        <f>IF(#REF!,"AAAAAF6Z/Wg=",0)</f>
        <v>#REF!</v>
      </c>
      <c r="DB391" t="e">
        <f>IF(#REF!,"AAAAAF6Z/Wk=",0)</f>
        <v>#REF!</v>
      </c>
      <c r="DC391" t="e">
        <f>IF(#REF!,"AAAAAF6Z/Wo=",0)</f>
        <v>#REF!</v>
      </c>
      <c r="DD391" t="e">
        <f>IF(#REF!,"AAAAAF6Z/Ws=",0)</f>
        <v>#REF!</v>
      </c>
      <c r="DE391" t="e">
        <f>IF(#REF!,"AAAAAF6Z/Ww=",0)</f>
        <v>#REF!</v>
      </c>
      <c r="DF391" t="e">
        <f>IF(#REF!,"AAAAAF6Z/W0=",0)</f>
        <v>#REF!</v>
      </c>
      <c r="DG391" t="e">
        <f>IF(#REF!,"AAAAAF6Z/W4=",0)</f>
        <v>#REF!</v>
      </c>
      <c r="DH391" t="e">
        <f>IF(#REF!,"AAAAAF6Z/W8=",0)</f>
        <v>#REF!</v>
      </c>
      <c r="DI391" t="e">
        <f>IF(#REF!,"AAAAAF6Z/XA=",0)</f>
        <v>#REF!</v>
      </c>
      <c r="DJ391" t="e">
        <f>IF(#REF!,"AAAAAF6Z/XE=",0)</f>
        <v>#REF!</v>
      </c>
      <c r="DK391" t="e">
        <f>IF(#REF!,"AAAAAF6Z/XI=",0)</f>
        <v>#REF!</v>
      </c>
      <c r="DL391" t="e">
        <f>IF(#REF!,"AAAAAF6Z/XM=",0)</f>
        <v>#REF!</v>
      </c>
      <c r="DM391" t="e">
        <f>IF(#REF!,"AAAAAF6Z/XQ=",0)</f>
        <v>#REF!</v>
      </c>
      <c r="DN391" t="e">
        <f>IF(#REF!,"AAAAAF6Z/XU=",0)</f>
        <v>#REF!</v>
      </c>
      <c r="DO391" t="e">
        <f>IF(#REF!,"AAAAAF6Z/XY=",0)</f>
        <v>#REF!</v>
      </c>
      <c r="DP391" t="e">
        <f>IF(#REF!,"AAAAAF6Z/Xc=",0)</f>
        <v>#REF!</v>
      </c>
      <c r="DQ391" t="e">
        <f>IF(#REF!,"AAAAAF6Z/Xg=",0)</f>
        <v>#REF!</v>
      </c>
      <c r="DR391" t="e">
        <f>IF(#REF!,"AAAAAF6Z/Xk=",0)</f>
        <v>#REF!</v>
      </c>
      <c r="DS391" t="e">
        <f>IF(#REF!,"AAAAAF6Z/Xo=",0)</f>
        <v>#REF!</v>
      </c>
      <c r="DT391" t="e">
        <f>IF(#REF!,"AAAAAF6Z/Xs=",0)</f>
        <v>#REF!</v>
      </c>
      <c r="DU391" t="e">
        <f>IF(#REF!,"AAAAAF6Z/Xw=",0)</f>
        <v>#REF!</v>
      </c>
      <c r="DV391" t="e">
        <f>IF(#REF!,"AAAAAF6Z/X0=",0)</f>
        <v>#REF!</v>
      </c>
      <c r="DW391" t="e">
        <f>IF(#REF!,"AAAAAF6Z/X4=",0)</f>
        <v>#REF!</v>
      </c>
      <c r="DX391" t="e">
        <f>IF(#REF!,"AAAAAF6Z/X8=",0)</f>
        <v>#REF!</v>
      </c>
      <c r="DY391" t="e">
        <f>IF(#REF!,"AAAAAF6Z/YA=",0)</f>
        <v>#REF!</v>
      </c>
      <c r="DZ391" t="e">
        <f>IF(#REF!,"AAAAAF6Z/YE=",0)</f>
        <v>#REF!</v>
      </c>
      <c r="EA391" t="e">
        <f>IF(#REF!,"AAAAAF6Z/YI=",0)</f>
        <v>#REF!</v>
      </c>
      <c r="EB391" t="e">
        <f>IF(#REF!,"AAAAAF6Z/YM=",0)</f>
        <v>#REF!</v>
      </c>
      <c r="EC391" t="e">
        <f>IF(#REF!,"AAAAAF6Z/YQ=",0)</f>
        <v>#REF!</v>
      </c>
      <c r="ED391" t="e">
        <f>IF(#REF!,"AAAAAF6Z/YU=",0)</f>
        <v>#REF!</v>
      </c>
      <c r="EE391" t="e">
        <f>IF(#REF!,"AAAAAF6Z/YY=",0)</f>
        <v>#REF!</v>
      </c>
      <c r="EF391" t="e">
        <f>IF(#REF!,"AAAAAF6Z/Yc=",0)</f>
        <v>#REF!</v>
      </c>
      <c r="EG391" t="e">
        <f>IF(#REF!,"AAAAAF6Z/Yg=",0)</f>
        <v>#REF!</v>
      </c>
      <c r="EH391" t="e">
        <f>IF(#REF!,"AAAAAF6Z/Yk=",0)</f>
        <v>#REF!</v>
      </c>
      <c r="EI391" t="e">
        <f>IF(#REF!,"AAAAAF6Z/Yo=",0)</f>
        <v>#REF!</v>
      </c>
      <c r="EJ391" t="e">
        <f>IF(#REF!,"AAAAAF6Z/Ys=",0)</f>
        <v>#REF!</v>
      </c>
      <c r="EK391" t="e">
        <f>IF(#REF!,"AAAAAF6Z/Yw=",0)</f>
        <v>#REF!</v>
      </c>
      <c r="EL391" t="e">
        <f>IF(#REF!,"AAAAAF6Z/Y0=",0)</f>
        <v>#REF!</v>
      </c>
      <c r="EM391" t="e">
        <f>IF(#REF!,"AAAAAF6Z/Y4=",0)</f>
        <v>#REF!</v>
      </c>
      <c r="EN391" t="e">
        <f>IF(#REF!,"AAAAAF6Z/Y8=",0)</f>
        <v>#REF!</v>
      </c>
      <c r="EO391" t="e">
        <f>IF(#REF!,"AAAAAF6Z/ZA=",0)</f>
        <v>#REF!</v>
      </c>
      <c r="EP391" t="e">
        <f>IF(#REF!,"AAAAAF6Z/ZE=",0)</f>
        <v>#REF!</v>
      </c>
      <c r="EQ391" t="e">
        <f>IF(#REF!,"AAAAAF6Z/ZI=",0)</f>
        <v>#REF!</v>
      </c>
      <c r="ER391" t="e">
        <f>IF(#REF!,"AAAAAF6Z/ZM=",0)</f>
        <v>#REF!</v>
      </c>
      <c r="ES391" t="e">
        <f>IF(#REF!,"AAAAAF6Z/ZQ=",0)</f>
        <v>#REF!</v>
      </c>
      <c r="ET391" t="e">
        <f>IF(#REF!,"AAAAAF6Z/ZU=",0)</f>
        <v>#REF!</v>
      </c>
      <c r="EU391" t="e">
        <f>IF(#REF!,"AAAAAF6Z/ZY=",0)</f>
        <v>#REF!</v>
      </c>
      <c r="EV391" t="e">
        <f>IF(#REF!,"AAAAAF6Z/Zc=",0)</f>
        <v>#REF!</v>
      </c>
      <c r="EW391" t="e">
        <f>IF(#REF!,"AAAAAF6Z/Zg=",0)</f>
        <v>#REF!</v>
      </c>
      <c r="EX391" t="e">
        <f>IF(#REF!,"AAAAAF6Z/Zk=",0)</f>
        <v>#REF!</v>
      </c>
      <c r="EY391" t="e">
        <f>IF(#REF!,"AAAAAF6Z/Zo=",0)</f>
        <v>#REF!</v>
      </c>
      <c r="EZ391" t="e">
        <f>IF(#REF!,"AAAAAF6Z/Zs=",0)</f>
        <v>#REF!</v>
      </c>
      <c r="FA391" t="e">
        <f>IF(#REF!,"AAAAAF6Z/Zw=",0)</f>
        <v>#REF!</v>
      </c>
      <c r="FB391" t="e">
        <f>IF(#REF!,"AAAAAF6Z/Z0=",0)</f>
        <v>#REF!</v>
      </c>
      <c r="FC391" t="e">
        <f>IF(#REF!,"AAAAAF6Z/Z4=",0)</f>
        <v>#REF!</v>
      </c>
      <c r="FD391" t="e">
        <f>IF(#REF!,"AAAAAF6Z/Z8=",0)</f>
        <v>#REF!</v>
      </c>
      <c r="FE391" t="e">
        <f>IF(#REF!,"AAAAAF6Z/aA=",0)</f>
        <v>#REF!</v>
      </c>
      <c r="FF391" t="e">
        <f>IF(#REF!,"AAAAAF6Z/aE=",0)</f>
        <v>#REF!</v>
      </c>
      <c r="FG391" t="e">
        <f>IF(#REF!,"AAAAAF6Z/aI=",0)</f>
        <v>#REF!</v>
      </c>
      <c r="FH391" t="e">
        <f>IF(#REF!,"AAAAAF6Z/aM=",0)</f>
        <v>#REF!</v>
      </c>
      <c r="FI391" t="e">
        <f>IF(#REF!,"AAAAAF6Z/aQ=",0)</f>
        <v>#REF!</v>
      </c>
      <c r="FJ391" t="e">
        <f>IF(#REF!,"AAAAAF6Z/aU=",0)</f>
        <v>#REF!</v>
      </c>
      <c r="FK391" t="e">
        <f>IF(#REF!,"AAAAAF6Z/aY=",0)</f>
        <v>#REF!</v>
      </c>
      <c r="FL391" t="e">
        <f>IF(#REF!,"AAAAAF6Z/ac=",0)</f>
        <v>#REF!</v>
      </c>
      <c r="FM391" t="e">
        <f>IF(#REF!,"AAAAAF6Z/ag=",0)</f>
        <v>#REF!</v>
      </c>
      <c r="FN391" t="e">
        <f>IF(#REF!,"AAAAAF6Z/ak=",0)</f>
        <v>#REF!</v>
      </c>
      <c r="FO391" t="e">
        <f>IF(#REF!,"AAAAAF6Z/ao=",0)</f>
        <v>#REF!</v>
      </c>
      <c r="FP391" t="e">
        <f>IF(#REF!,"AAAAAF6Z/as=",0)</f>
        <v>#REF!</v>
      </c>
      <c r="FQ391" t="e">
        <f>IF(#REF!,"AAAAAF6Z/aw=",0)</f>
        <v>#REF!</v>
      </c>
      <c r="FR391" t="e">
        <f>IF(#REF!,"AAAAAF6Z/a0=",0)</f>
        <v>#REF!</v>
      </c>
      <c r="FS391" t="e">
        <f>IF(#REF!,"AAAAAF6Z/a4=",0)</f>
        <v>#REF!</v>
      </c>
      <c r="FT391" t="e">
        <f>IF(#REF!,"AAAAAF6Z/a8=",0)</f>
        <v>#REF!</v>
      </c>
      <c r="FU391" t="e">
        <f>IF(#REF!,"AAAAAF6Z/bA=",0)</f>
        <v>#REF!</v>
      </c>
      <c r="FV391" t="e">
        <f>IF(#REF!,"AAAAAF6Z/bE=",0)</f>
        <v>#REF!</v>
      </c>
      <c r="FW391" t="e">
        <f>IF(#REF!,"AAAAAF6Z/bI=",0)</f>
        <v>#REF!</v>
      </c>
      <c r="FX391" t="e">
        <f>IF(#REF!,"AAAAAF6Z/bM=",0)</f>
        <v>#REF!</v>
      </c>
      <c r="FY391" t="e">
        <f>IF(#REF!,"AAAAAF6Z/bQ=",0)</f>
        <v>#REF!</v>
      </c>
      <c r="FZ391" t="e">
        <f>IF(#REF!,"AAAAAF6Z/bU=",0)</f>
        <v>#REF!</v>
      </c>
      <c r="GA391" t="e">
        <f>IF(#REF!,"AAAAAF6Z/bY=",0)</f>
        <v>#REF!</v>
      </c>
      <c r="GB391" t="e">
        <f>IF(#REF!,"AAAAAF6Z/bc=",0)</f>
        <v>#REF!</v>
      </c>
      <c r="GC391" t="e">
        <f>IF(#REF!,"AAAAAF6Z/bg=",0)</f>
        <v>#REF!</v>
      </c>
      <c r="GD391" t="e">
        <f>IF(#REF!,"AAAAAF6Z/bk=",0)</f>
        <v>#REF!</v>
      </c>
      <c r="GE391" t="e">
        <f>IF(#REF!,"AAAAAF6Z/bo=",0)</f>
        <v>#REF!</v>
      </c>
      <c r="GF391" t="e">
        <f>IF(#REF!,"AAAAAF6Z/bs=",0)</f>
        <v>#REF!</v>
      </c>
      <c r="GG391" t="e">
        <f>IF(#REF!,"AAAAAF6Z/bw=",0)</f>
        <v>#REF!</v>
      </c>
      <c r="GH391" t="e">
        <f>IF(#REF!,"AAAAAF6Z/b0=",0)</f>
        <v>#REF!</v>
      </c>
      <c r="GI391" t="e">
        <f>IF(#REF!,"AAAAAF6Z/b4=",0)</f>
        <v>#REF!</v>
      </c>
      <c r="GJ391" t="e">
        <f>IF(#REF!,"AAAAAF6Z/b8=",0)</f>
        <v>#REF!</v>
      </c>
      <c r="GK391" t="e">
        <f>IF(#REF!,"AAAAAF6Z/cA=",0)</f>
        <v>#REF!</v>
      </c>
      <c r="GL391" t="e">
        <f>IF(#REF!,"AAAAAF6Z/cE=",0)</f>
        <v>#REF!</v>
      </c>
      <c r="GM391" t="e">
        <f>IF(#REF!,"AAAAAF6Z/cI=",0)</f>
        <v>#REF!</v>
      </c>
      <c r="GN391" t="e">
        <f>IF(#REF!,"AAAAAF6Z/cM=",0)</f>
        <v>#REF!</v>
      </c>
      <c r="GO391" t="e">
        <f>IF(#REF!,"AAAAAF6Z/cQ=",0)</f>
        <v>#REF!</v>
      </c>
      <c r="GP391" t="e">
        <f>IF(#REF!,"AAAAAF6Z/cU=",0)</f>
        <v>#REF!</v>
      </c>
      <c r="GQ391" t="e">
        <f>IF(#REF!,"AAAAAF6Z/cY=",0)</f>
        <v>#REF!</v>
      </c>
      <c r="GR391" t="e">
        <f>IF(#REF!,"AAAAAF6Z/cc=",0)</f>
        <v>#REF!</v>
      </c>
      <c r="GS391" t="e">
        <f>IF(#REF!,"AAAAAF6Z/cg=",0)</f>
        <v>#REF!</v>
      </c>
      <c r="GT391" t="e">
        <f>IF(#REF!,"AAAAAF6Z/ck=",0)</f>
        <v>#REF!</v>
      </c>
      <c r="GU391" t="e">
        <f>IF(#REF!,"AAAAAF6Z/co=",0)</f>
        <v>#REF!</v>
      </c>
      <c r="GV391" t="e">
        <f>IF(#REF!,"AAAAAF6Z/cs=",0)</f>
        <v>#REF!</v>
      </c>
      <c r="GW391" t="e">
        <f>IF(#REF!,"AAAAAF6Z/cw=",0)</f>
        <v>#REF!</v>
      </c>
      <c r="GX391" t="e">
        <f>IF(#REF!,"AAAAAF6Z/c0=",0)</f>
        <v>#REF!</v>
      </c>
      <c r="GY391" t="e">
        <f>IF(#REF!,"AAAAAF6Z/c4=",0)</f>
        <v>#REF!</v>
      </c>
      <c r="GZ391" t="e">
        <f>IF(#REF!,"AAAAAF6Z/c8=",0)</f>
        <v>#REF!</v>
      </c>
      <c r="HA391" t="e">
        <f>IF(#REF!,"AAAAAF6Z/dA=",0)</f>
        <v>#REF!</v>
      </c>
      <c r="HB391" t="e">
        <f>IF(#REF!,"AAAAAF6Z/dE=",0)</f>
        <v>#REF!</v>
      </c>
      <c r="HC391" t="e">
        <f>IF(#REF!,"AAAAAF6Z/dI=",0)</f>
        <v>#REF!</v>
      </c>
      <c r="HD391" t="e">
        <f>IF(#REF!,"AAAAAF6Z/dM=",0)</f>
        <v>#REF!</v>
      </c>
      <c r="HE391" t="e">
        <f>IF(#REF!,"AAAAAF6Z/dQ=",0)</f>
        <v>#REF!</v>
      </c>
      <c r="HF391" t="e">
        <f>IF(#REF!,"AAAAAF6Z/dU=",0)</f>
        <v>#REF!</v>
      </c>
      <c r="HG391" t="e">
        <f>IF(#REF!,"AAAAAF6Z/dY=",0)</f>
        <v>#REF!</v>
      </c>
      <c r="HH391" t="e">
        <f>IF(#REF!,"AAAAAF6Z/dc=",0)</f>
        <v>#REF!</v>
      </c>
      <c r="HI391" t="e">
        <f>IF(#REF!,"AAAAAF6Z/dg=",0)</f>
        <v>#REF!</v>
      </c>
      <c r="HJ391" t="e">
        <f>IF(#REF!,"AAAAAF6Z/dk=",0)</f>
        <v>#REF!</v>
      </c>
      <c r="HK391" t="e">
        <f>IF(#REF!,"AAAAAF6Z/do=",0)</f>
        <v>#REF!</v>
      </c>
      <c r="HL391" t="e">
        <f>IF(#REF!,"AAAAAF6Z/ds=",0)</f>
        <v>#REF!</v>
      </c>
      <c r="HM391" t="e">
        <f>IF(#REF!,"AAAAAF6Z/dw=",0)</f>
        <v>#REF!</v>
      </c>
      <c r="HN391" t="e">
        <f>IF(#REF!,"AAAAAF6Z/d0=",0)</f>
        <v>#REF!</v>
      </c>
      <c r="HO391" t="e">
        <f>IF(#REF!,"AAAAAF6Z/d4=",0)</f>
        <v>#REF!</v>
      </c>
      <c r="HP391" t="e">
        <f>IF(#REF!,"AAAAAF6Z/d8=",0)</f>
        <v>#REF!</v>
      </c>
      <c r="HQ391" t="e">
        <f>IF(#REF!,"AAAAAF6Z/eA=",0)</f>
        <v>#REF!</v>
      </c>
      <c r="HR391" t="e">
        <f>IF(#REF!,"AAAAAF6Z/eE=",0)</f>
        <v>#REF!</v>
      </c>
      <c r="HS391" t="e">
        <f>IF(#REF!,"AAAAAF6Z/eI=",0)</f>
        <v>#REF!</v>
      </c>
      <c r="HT391" t="e">
        <f>IF(#REF!,"AAAAAF6Z/eM=",0)</f>
        <v>#REF!</v>
      </c>
      <c r="HU391" t="e">
        <f>IF(#REF!,"AAAAAF6Z/eQ=",0)</f>
        <v>#REF!</v>
      </c>
      <c r="HV391" t="e">
        <f>IF(#REF!,"AAAAAF6Z/eU=",0)</f>
        <v>#REF!</v>
      </c>
      <c r="HW391" t="e">
        <f>IF(#REF!,"AAAAAF6Z/eY=",0)</f>
        <v>#REF!</v>
      </c>
      <c r="HX391" t="e">
        <f>IF(#REF!,"AAAAAF6Z/ec=",0)</f>
        <v>#REF!</v>
      </c>
      <c r="HY391" t="e">
        <f>IF(#REF!,"AAAAAF6Z/eg=",0)</f>
        <v>#REF!</v>
      </c>
      <c r="HZ391" t="e">
        <f>IF(#REF!,"AAAAAF6Z/ek=",0)</f>
        <v>#REF!</v>
      </c>
      <c r="IA391" t="e">
        <f>IF(#REF!,"AAAAAF6Z/eo=",0)</f>
        <v>#REF!</v>
      </c>
      <c r="IB391" t="e">
        <f>IF(#REF!,"AAAAAF6Z/es=",0)</f>
        <v>#REF!</v>
      </c>
      <c r="IC391" t="e">
        <f>IF(#REF!,"AAAAAF6Z/ew=",0)</f>
        <v>#REF!</v>
      </c>
      <c r="ID391" t="e">
        <f>IF(#REF!,"AAAAAF6Z/e0=",0)</f>
        <v>#REF!</v>
      </c>
      <c r="IE391" t="e">
        <f>IF(#REF!,"AAAAAF6Z/e4=",0)</f>
        <v>#REF!</v>
      </c>
      <c r="IF391" t="e">
        <f>IF(#REF!,"AAAAAF6Z/e8=",0)</f>
        <v>#REF!</v>
      </c>
      <c r="IG391" t="e">
        <f>IF(#REF!,"AAAAAF6Z/fA=",0)</f>
        <v>#REF!</v>
      </c>
      <c r="IH391" t="e">
        <f>IF(#REF!,"AAAAAF6Z/fE=",0)</f>
        <v>#REF!</v>
      </c>
      <c r="II391" t="e">
        <f>IF(#REF!,"AAAAAF6Z/fI=",0)</f>
        <v>#REF!</v>
      </c>
      <c r="IJ391" t="e">
        <f>IF(#REF!,"AAAAAF6Z/fM=",0)</f>
        <v>#REF!</v>
      </c>
      <c r="IK391" t="e">
        <f>IF(#REF!,"AAAAAF6Z/fQ=",0)</f>
        <v>#REF!</v>
      </c>
      <c r="IL391" t="e">
        <f>IF(#REF!,"AAAAAF6Z/fU=",0)</f>
        <v>#REF!</v>
      </c>
      <c r="IM391" t="e">
        <f>IF(#REF!,"AAAAAF6Z/fY=",0)</f>
        <v>#REF!</v>
      </c>
      <c r="IN391" t="e">
        <f>IF(#REF!,"AAAAAF6Z/fc=",0)</f>
        <v>#REF!</v>
      </c>
      <c r="IO391" t="e">
        <f>IF(#REF!,"AAAAAF6Z/fg=",0)</f>
        <v>#REF!</v>
      </c>
      <c r="IP391" t="e">
        <f>IF(#REF!,"AAAAAF6Z/fk=",0)</f>
        <v>#REF!</v>
      </c>
      <c r="IQ391" t="e">
        <f>IF(#REF!,"AAAAAF6Z/fo=",0)</f>
        <v>#REF!</v>
      </c>
      <c r="IR391" t="e">
        <f>IF(#REF!,"AAAAAF6Z/fs=",0)</f>
        <v>#REF!</v>
      </c>
      <c r="IS391" t="e">
        <f>IF(#REF!,"AAAAAF6Z/fw=",0)</f>
        <v>#REF!</v>
      </c>
      <c r="IT391" t="e">
        <f>IF(#REF!,"AAAAAF6Z/f0=",0)</f>
        <v>#REF!</v>
      </c>
      <c r="IU391" t="e">
        <f>IF(#REF!,"AAAAAF6Z/f4=",0)</f>
        <v>#REF!</v>
      </c>
      <c r="IV391" t="e">
        <f>IF(#REF!,"AAAAAF6Z/f8=",0)</f>
        <v>#REF!</v>
      </c>
    </row>
    <row r="392" spans="1:256">
      <c r="A392" t="e">
        <f>IF(#REF!,"AAAAAB3++wA=",0)</f>
        <v>#REF!</v>
      </c>
      <c r="B392" t="e">
        <f>IF(#REF!,"AAAAAB3++wE=",0)</f>
        <v>#REF!</v>
      </c>
      <c r="C392" t="e">
        <f>IF(#REF!,"AAAAAB3++wI=",0)</f>
        <v>#REF!</v>
      </c>
      <c r="D392" t="e">
        <f>IF(#REF!,"AAAAAB3++wM=",0)</f>
        <v>#REF!</v>
      </c>
      <c r="E392" t="e">
        <f>IF(#REF!,"AAAAAB3++wQ=",0)</f>
        <v>#REF!</v>
      </c>
      <c r="F392" t="e">
        <f>IF(#REF!,"AAAAAB3++wU=",0)</f>
        <v>#REF!</v>
      </c>
      <c r="G392" t="e">
        <f>IF(#REF!,"AAAAAB3++wY=",0)</f>
        <v>#REF!</v>
      </c>
      <c r="H392" t="e">
        <f>IF(#REF!,"AAAAAB3++wc=",0)</f>
        <v>#REF!</v>
      </c>
      <c r="I392" t="e">
        <f>IF(#REF!,"AAAAAB3++wg=",0)</f>
        <v>#REF!</v>
      </c>
      <c r="J392" t="e">
        <f>IF(#REF!,"AAAAAB3++wk=",0)</f>
        <v>#REF!</v>
      </c>
      <c r="K392" t="e">
        <f>IF(#REF!,"AAAAAB3++wo=",0)</f>
        <v>#REF!</v>
      </c>
      <c r="L392" t="e">
        <f>IF(#REF!,"AAAAAB3++ws=",0)</f>
        <v>#REF!</v>
      </c>
      <c r="M392" t="e">
        <f>IF(#REF!,"AAAAAB3++ww=",0)</f>
        <v>#REF!</v>
      </c>
      <c r="N392" t="e">
        <f>IF(#REF!,"AAAAAB3++w0=",0)</f>
        <v>#REF!</v>
      </c>
      <c r="O392" t="e">
        <f>IF(#REF!,"AAAAAB3++w4=",0)</f>
        <v>#REF!</v>
      </c>
      <c r="P392" t="e">
        <f>IF(#REF!,"AAAAAB3++w8=",0)</f>
        <v>#REF!</v>
      </c>
      <c r="Q392" t="e">
        <f>IF(#REF!,"AAAAAB3++xA=",0)</f>
        <v>#REF!</v>
      </c>
      <c r="R392" t="e">
        <f>IF(#REF!,"AAAAAB3++xE=",0)</f>
        <v>#REF!</v>
      </c>
      <c r="S392" t="e">
        <f>IF(#REF!,"AAAAAB3++xI=",0)</f>
        <v>#REF!</v>
      </c>
      <c r="T392" t="e">
        <f>IF(#REF!,"AAAAAB3++xM=",0)</f>
        <v>#REF!</v>
      </c>
      <c r="U392" t="e">
        <f>IF(#REF!,"AAAAAB3++xQ=",0)</f>
        <v>#REF!</v>
      </c>
      <c r="V392" t="e">
        <f>IF(#REF!,"AAAAAB3++xU=",0)</f>
        <v>#REF!</v>
      </c>
      <c r="W392" t="e">
        <f>IF(#REF!,"AAAAAB3++xY=",0)</f>
        <v>#REF!</v>
      </c>
      <c r="X392" t="e">
        <f>IF(#REF!,"AAAAAB3++xc=",0)</f>
        <v>#REF!</v>
      </c>
      <c r="Y392" t="e">
        <f>IF(#REF!,"AAAAAB3++xg=",0)</f>
        <v>#REF!</v>
      </c>
      <c r="Z392" t="e">
        <f>IF(#REF!,"AAAAAB3++xk=",0)</f>
        <v>#REF!</v>
      </c>
      <c r="AA392" t="e">
        <f>IF(#REF!,"AAAAAB3++xo=",0)</f>
        <v>#REF!</v>
      </c>
      <c r="AB392" t="e">
        <f>IF(#REF!,"AAAAAB3++xs=",0)</f>
        <v>#REF!</v>
      </c>
      <c r="AC392" t="e">
        <f>IF(#REF!,"AAAAAB3++xw=",0)</f>
        <v>#REF!</v>
      </c>
      <c r="AD392" t="e">
        <f>IF(#REF!,"AAAAAB3++x0=",0)</f>
        <v>#REF!</v>
      </c>
      <c r="AE392" t="e">
        <f>IF(#REF!,"AAAAAB3++x4=",0)</f>
        <v>#REF!</v>
      </c>
      <c r="AF392" t="e">
        <f>IF(#REF!,"AAAAAB3++x8=",0)</f>
        <v>#REF!</v>
      </c>
      <c r="AG392" t="e">
        <f>IF(#REF!,"AAAAAB3++yA=",0)</f>
        <v>#REF!</v>
      </c>
      <c r="AH392" t="e">
        <f>IF(#REF!,"AAAAAB3++yE=",0)</f>
        <v>#REF!</v>
      </c>
      <c r="AI392" t="e">
        <f>IF(#REF!,"AAAAAB3++yI=",0)</f>
        <v>#REF!</v>
      </c>
      <c r="AJ392" t="e">
        <f>IF(#REF!,"AAAAAB3++yM=",0)</f>
        <v>#REF!</v>
      </c>
      <c r="AK392" t="e">
        <f>IF(#REF!,"AAAAAB3++yQ=",0)</f>
        <v>#REF!</v>
      </c>
      <c r="AL392" t="e">
        <f>IF(#REF!,"AAAAAB3++yU=",0)</f>
        <v>#REF!</v>
      </c>
      <c r="AM392" t="e">
        <f>IF(#REF!,"AAAAAB3++yY=",0)</f>
        <v>#REF!</v>
      </c>
      <c r="AN392" t="e">
        <f>IF(#REF!,"AAAAAB3++yc=",0)</f>
        <v>#REF!</v>
      </c>
      <c r="AO392" t="e">
        <f>IF(#REF!,"AAAAAB3++yg=",0)</f>
        <v>#REF!</v>
      </c>
      <c r="AP392" t="e">
        <f>IF(#REF!,"AAAAAB3++yk=",0)</f>
        <v>#REF!</v>
      </c>
      <c r="AQ392" t="e">
        <f>IF(#REF!,"AAAAAB3++yo=",0)</f>
        <v>#REF!</v>
      </c>
      <c r="AR392" t="e">
        <f>IF(#REF!,"AAAAAB3++ys=",0)</f>
        <v>#REF!</v>
      </c>
      <c r="AS392" t="e">
        <f>IF(#REF!,"AAAAAB3++yw=",0)</f>
        <v>#REF!</v>
      </c>
      <c r="AT392" t="e">
        <f>IF(#REF!,"AAAAAB3++y0=",0)</f>
        <v>#REF!</v>
      </c>
      <c r="AU392" t="e">
        <f>IF(#REF!,"AAAAAB3++y4=",0)</f>
        <v>#REF!</v>
      </c>
      <c r="AV392" t="e">
        <f>IF(#REF!,"AAAAAB3++y8=",0)</f>
        <v>#REF!</v>
      </c>
      <c r="AW392" t="e">
        <f>IF(#REF!,"AAAAAB3++zA=",0)</f>
        <v>#REF!</v>
      </c>
      <c r="AX392" t="e">
        <f>IF(#REF!,"AAAAAB3++zE=",0)</f>
        <v>#REF!</v>
      </c>
      <c r="AY392" t="e">
        <f>IF(#REF!,"AAAAAB3++zI=",0)</f>
        <v>#REF!</v>
      </c>
      <c r="AZ392" t="e">
        <f>IF(#REF!,"AAAAAB3++zM=",0)</f>
        <v>#REF!</v>
      </c>
      <c r="BA392" t="e">
        <f>IF(#REF!,"AAAAAB3++zQ=",0)</f>
        <v>#REF!</v>
      </c>
      <c r="BB392" t="e">
        <f>IF(#REF!,"AAAAAB3++zU=",0)</f>
        <v>#REF!</v>
      </c>
      <c r="BC392" t="e">
        <f>IF(#REF!,"AAAAAB3++zY=",0)</f>
        <v>#REF!</v>
      </c>
      <c r="BD392" t="e">
        <f>IF(#REF!,"AAAAAB3++zc=",0)</f>
        <v>#REF!</v>
      </c>
      <c r="BE392" t="e">
        <f>IF(#REF!,"AAAAAB3++zg=",0)</f>
        <v>#REF!</v>
      </c>
      <c r="BF392" t="e">
        <f>IF(#REF!,"AAAAAB3++zk=",0)</f>
        <v>#REF!</v>
      </c>
      <c r="BG392" t="e">
        <f>IF(#REF!,"AAAAAB3++zo=",0)</f>
        <v>#REF!</v>
      </c>
      <c r="BH392" t="e">
        <f>IF(#REF!,"AAAAAB3++zs=",0)</f>
        <v>#REF!</v>
      </c>
      <c r="BI392" t="e">
        <f>IF(#REF!,"AAAAAB3++zw=",0)</f>
        <v>#REF!</v>
      </c>
      <c r="BJ392" t="e">
        <f>IF(#REF!,"AAAAAB3++z0=",0)</f>
        <v>#REF!</v>
      </c>
      <c r="BK392" t="e">
        <f>IF(#REF!,"AAAAAB3++z4=",0)</f>
        <v>#REF!</v>
      </c>
      <c r="BL392" t="e">
        <f>IF(#REF!,"AAAAAB3++z8=",0)</f>
        <v>#REF!</v>
      </c>
      <c r="BM392" t="e">
        <f>IF(#REF!,"AAAAAB3++0A=",0)</f>
        <v>#REF!</v>
      </c>
      <c r="BN392" t="e">
        <f>IF(#REF!,"AAAAAB3++0E=",0)</f>
        <v>#REF!</v>
      </c>
      <c r="BO392" t="e">
        <f>IF(#REF!,"AAAAAB3++0I=",0)</f>
        <v>#REF!</v>
      </c>
      <c r="BP392" t="e">
        <f>IF(#REF!,"AAAAAB3++0M=",0)</f>
        <v>#REF!</v>
      </c>
      <c r="BQ392" t="e">
        <f>IF(#REF!,"AAAAAB3++0Q=",0)</f>
        <v>#REF!</v>
      </c>
      <c r="BR392" t="e">
        <f>IF(#REF!,"AAAAAB3++0U=",0)</f>
        <v>#REF!</v>
      </c>
      <c r="BS392" t="e">
        <f>IF(#REF!,"AAAAAB3++0Y=",0)</f>
        <v>#REF!</v>
      </c>
      <c r="BT392" t="e">
        <f>IF(#REF!,"AAAAAB3++0c=",0)</f>
        <v>#REF!</v>
      </c>
      <c r="BU392" t="e">
        <f>IF(#REF!,"AAAAAB3++0g=",0)</f>
        <v>#REF!</v>
      </c>
      <c r="BV392" t="e">
        <f>IF(#REF!,"AAAAAB3++0k=",0)</f>
        <v>#REF!</v>
      </c>
      <c r="BW392" t="e">
        <f>IF(#REF!,"AAAAAB3++0o=",0)</f>
        <v>#REF!</v>
      </c>
      <c r="BX392" t="e">
        <f>IF(#REF!,"AAAAAB3++0s=",0)</f>
        <v>#REF!</v>
      </c>
      <c r="BY392" t="e">
        <f>IF(#REF!,"AAAAAB3++0w=",0)</f>
        <v>#REF!</v>
      </c>
      <c r="BZ392" t="e">
        <f>IF(#REF!,"AAAAAB3++00=",0)</f>
        <v>#REF!</v>
      </c>
      <c r="CA392" t="e">
        <f>IF(#REF!,"AAAAAB3++04=",0)</f>
        <v>#REF!</v>
      </c>
      <c r="CB392" t="e">
        <f>IF(#REF!,"AAAAAB3++08=",0)</f>
        <v>#REF!</v>
      </c>
      <c r="CC392" t="e">
        <f>IF(#REF!,"AAAAAB3++1A=",0)</f>
        <v>#REF!</v>
      </c>
      <c r="CD392" t="e">
        <f>IF(#REF!,"AAAAAB3++1E=",0)</f>
        <v>#REF!</v>
      </c>
      <c r="CE392" t="e">
        <f>IF(#REF!,"AAAAAB3++1I=",0)</f>
        <v>#REF!</v>
      </c>
      <c r="CF392" t="e">
        <f>IF(#REF!,"AAAAAB3++1M=",0)</f>
        <v>#REF!</v>
      </c>
      <c r="CG392" t="e">
        <f>IF(#REF!,"AAAAAB3++1Q=",0)</f>
        <v>#REF!</v>
      </c>
      <c r="CH392" t="e">
        <f>IF(#REF!,"AAAAAB3++1U=",0)</f>
        <v>#REF!</v>
      </c>
      <c r="CI392" t="e">
        <f>IF(#REF!,"AAAAAB3++1Y=",0)</f>
        <v>#REF!</v>
      </c>
      <c r="CJ392" t="e">
        <f>IF(#REF!,"AAAAAB3++1c=",0)</f>
        <v>#REF!</v>
      </c>
      <c r="CK392" t="e">
        <f>IF(#REF!,"AAAAAB3++1g=",0)</f>
        <v>#REF!</v>
      </c>
      <c r="CL392" t="e">
        <f>IF(#REF!,"AAAAAB3++1k=",0)</f>
        <v>#REF!</v>
      </c>
      <c r="CM392" t="e">
        <f>IF(#REF!,"AAAAAB3++1o=",0)</f>
        <v>#REF!</v>
      </c>
      <c r="CN392" t="e">
        <f>IF(#REF!,"AAAAAB3++1s=",0)</f>
        <v>#REF!</v>
      </c>
      <c r="CO392" t="e">
        <f>IF(#REF!,"AAAAAB3++1w=",0)</f>
        <v>#REF!</v>
      </c>
      <c r="CP392" t="e">
        <f>IF(#REF!,"AAAAAB3++10=",0)</f>
        <v>#REF!</v>
      </c>
      <c r="CQ392" t="e">
        <f>IF(#REF!,"AAAAAB3++14=",0)</f>
        <v>#REF!</v>
      </c>
      <c r="CR392" t="e">
        <f>IF(#REF!,"AAAAAB3++18=",0)</f>
        <v>#REF!</v>
      </c>
      <c r="CS392" t="e">
        <f>IF(#REF!,"AAAAAB3++2A=",0)</f>
        <v>#REF!</v>
      </c>
      <c r="CT392" t="e">
        <f>IF(#REF!,"AAAAAB3++2E=",0)</f>
        <v>#REF!</v>
      </c>
      <c r="CU392" t="e">
        <f>IF(#REF!,"AAAAAB3++2I=",0)</f>
        <v>#REF!</v>
      </c>
      <c r="CV392" t="e">
        <f>IF(#REF!,"AAAAAB3++2M=",0)</f>
        <v>#REF!</v>
      </c>
      <c r="CW392" t="e">
        <f>IF(#REF!,"AAAAAB3++2Q=",0)</f>
        <v>#REF!</v>
      </c>
      <c r="CX392" t="e">
        <f>IF(#REF!,"AAAAAB3++2U=",0)</f>
        <v>#REF!</v>
      </c>
      <c r="CY392" t="e">
        <f>IF(#REF!,"AAAAAB3++2Y=",0)</f>
        <v>#REF!</v>
      </c>
      <c r="CZ392" t="e">
        <f>IF(#REF!,"AAAAAB3++2c=",0)</f>
        <v>#REF!</v>
      </c>
      <c r="DA392" t="e">
        <f>IF(#REF!,"AAAAAB3++2g=",0)</f>
        <v>#REF!</v>
      </c>
      <c r="DB392" t="e">
        <f>IF(#REF!,"AAAAAB3++2k=",0)</f>
        <v>#REF!</v>
      </c>
      <c r="DC392" t="e">
        <f>IF(#REF!,"AAAAAB3++2o=",0)</f>
        <v>#REF!</v>
      </c>
      <c r="DD392" t="e">
        <f>IF(#REF!,"AAAAAB3++2s=",0)</f>
        <v>#REF!</v>
      </c>
      <c r="DE392" t="e">
        <f>IF(#REF!,"AAAAAB3++2w=",0)</f>
        <v>#REF!</v>
      </c>
      <c r="DF392" t="e">
        <f>IF(#REF!,"AAAAAB3++20=",0)</f>
        <v>#REF!</v>
      </c>
      <c r="DG392" t="e">
        <f>IF(#REF!,"AAAAAB3++24=",0)</f>
        <v>#REF!</v>
      </c>
      <c r="DH392" t="e">
        <f>IF(#REF!,"AAAAAB3++28=",0)</f>
        <v>#REF!</v>
      </c>
      <c r="DI392" t="e">
        <f>IF(#REF!,"AAAAAB3++3A=",0)</f>
        <v>#REF!</v>
      </c>
      <c r="DJ392" t="e">
        <f>IF(#REF!,"AAAAAB3++3E=",0)</f>
        <v>#REF!</v>
      </c>
      <c r="DK392" t="e">
        <f>IF(#REF!,"AAAAAB3++3I=",0)</f>
        <v>#REF!</v>
      </c>
      <c r="DL392" t="e">
        <f>IF(#REF!,"AAAAAB3++3M=",0)</f>
        <v>#REF!</v>
      </c>
      <c r="DM392" t="e">
        <f>IF(#REF!,"AAAAAB3++3Q=",0)</f>
        <v>#REF!</v>
      </c>
      <c r="DN392" t="e">
        <f>IF(#REF!,"AAAAAB3++3U=",0)</f>
        <v>#REF!</v>
      </c>
      <c r="DO392" t="e">
        <f>IF(#REF!,"AAAAAB3++3Y=",0)</f>
        <v>#REF!</v>
      </c>
      <c r="DP392" t="e">
        <f>IF(#REF!,"AAAAAB3++3c=",0)</f>
        <v>#REF!</v>
      </c>
      <c r="DQ392" t="e">
        <f>IF(#REF!,"AAAAAB3++3g=",0)</f>
        <v>#REF!</v>
      </c>
      <c r="DR392" t="e">
        <f>IF(#REF!,"AAAAAB3++3k=",0)</f>
        <v>#REF!</v>
      </c>
      <c r="DS392" t="e">
        <f>IF(#REF!,"AAAAAB3++3o=",0)</f>
        <v>#REF!</v>
      </c>
      <c r="DT392" t="e">
        <f>IF(#REF!,"AAAAAB3++3s=",0)</f>
        <v>#REF!</v>
      </c>
      <c r="DU392" t="e">
        <f>IF(#REF!,"AAAAAB3++3w=",0)</f>
        <v>#REF!</v>
      </c>
      <c r="DV392" t="e">
        <f>IF(#REF!,"AAAAAB3++30=",0)</f>
        <v>#REF!</v>
      </c>
      <c r="DW392" t="e">
        <f>IF(#REF!,"AAAAAB3++34=",0)</f>
        <v>#REF!</v>
      </c>
      <c r="DX392" t="e">
        <f>IF(#REF!,"AAAAAB3++38=",0)</f>
        <v>#REF!</v>
      </c>
      <c r="DY392" t="e">
        <f>IF(#REF!,"AAAAAB3++4A=",0)</f>
        <v>#REF!</v>
      </c>
      <c r="DZ392" t="e">
        <f>IF(#REF!,"AAAAAB3++4E=",0)</f>
        <v>#REF!</v>
      </c>
      <c r="EA392" t="e">
        <f>IF(#REF!,"AAAAAB3++4I=",0)</f>
        <v>#REF!</v>
      </c>
      <c r="EB392" t="e">
        <f>IF(#REF!,"AAAAAB3++4M=",0)</f>
        <v>#REF!</v>
      </c>
      <c r="EC392" t="e">
        <f>IF(#REF!,"AAAAAB3++4Q=",0)</f>
        <v>#REF!</v>
      </c>
      <c r="ED392" t="e">
        <f>IF(#REF!,"AAAAAB3++4U=",0)</f>
        <v>#REF!</v>
      </c>
      <c r="EE392" t="e">
        <f>IF(#REF!,"AAAAAB3++4Y=",0)</f>
        <v>#REF!</v>
      </c>
      <c r="EF392" t="e">
        <f>IF(#REF!,"AAAAAB3++4c=",0)</f>
        <v>#REF!</v>
      </c>
      <c r="EG392" t="e">
        <f>IF(#REF!,"AAAAAB3++4g=",0)</f>
        <v>#REF!</v>
      </c>
      <c r="EH392" t="e">
        <f>IF(#REF!,"AAAAAB3++4k=",0)</f>
        <v>#REF!</v>
      </c>
      <c r="EI392" t="e">
        <f>IF(#REF!,"AAAAAB3++4o=",0)</f>
        <v>#REF!</v>
      </c>
      <c r="EJ392" t="e">
        <f>IF(#REF!,"AAAAAB3++4s=",0)</f>
        <v>#REF!</v>
      </c>
      <c r="EK392" t="e">
        <f>IF(#REF!,"AAAAAB3++4w=",0)</f>
        <v>#REF!</v>
      </c>
      <c r="EL392" t="e">
        <f>IF(#REF!,"AAAAAB3++40=",0)</f>
        <v>#REF!</v>
      </c>
      <c r="EM392" t="e">
        <f>IF(#REF!,"AAAAAB3++44=",0)</f>
        <v>#REF!</v>
      </c>
      <c r="EN392" t="e">
        <f>IF(#REF!,"AAAAAB3++48=",0)</f>
        <v>#REF!</v>
      </c>
      <c r="EO392" t="e">
        <f>IF(#REF!,"AAAAAB3++5A=",0)</f>
        <v>#REF!</v>
      </c>
      <c r="EP392" t="e">
        <f>IF(#REF!,"AAAAAB3++5E=",0)</f>
        <v>#REF!</v>
      </c>
      <c r="EQ392" t="e">
        <f>IF(#REF!,"AAAAAB3++5I=",0)</f>
        <v>#REF!</v>
      </c>
      <c r="ER392" t="e">
        <f>IF(#REF!,"AAAAAB3++5M=",0)</f>
        <v>#REF!</v>
      </c>
      <c r="ES392" t="e">
        <f>IF(#REF!,"AAAAAB3++5Q=",0)</f>
        <v>#REF!</v>
      </c>
      <c r="ET392" t="e">
        <f>IF(#REF!,"AAAAAB3++5U=",0)</f>
        <v>#REF!</v>
      </c>
      <c r="EU392" t="e">
        <f>IF(#REF!,"AAAAAB3++5Y=",0)</f>
        <v>#REF!</v>
      </c>
      <c r="EV392" t="e">
        <f>IF(#REF!,"AAAAAB3++5c=",0)</f>
        <v>#REF!</v>
      </c>
      <c r="EW392" t="e">
        <f>IF(#REF!,"AAAAAB3++5g=",0)</f>
        <v>#REF!</v>
      </c>
      <c r="EX392" t="e">
        <f>IF(#REF!,"AAAAAB3++5k=",0)</f>
        <v>#REF!</v>
      </c>
      <c r="EY392" t="e">
        <f>IF(#REF!,"AAAAAB3++5o=",0)</f>
        <v>#REF!</v>
      </c>
      <c r="EZ392" t="e">
        <f>IF(#REF!,"AAAAAB3++5s=",0)</f>
        <v>#REF!</v>
      </c>
      <c r="FA392" t="e">
        <f>IF(#REF!,"AAAAAB3++5w=",0)</f>
        <v>#REF!</v>
      </c>
      <c r="FB392" t="e">
        <f>IF(#REF!,"AAAAAB3++50=",0)</f>
        <v>#REF!</v>
      </c>
      <c r="FC392" t="e">
        <f>IF(#REF!,"AAAAAB3++54=",0)</f>
        <v>#REF!</v>
      </c>
      <c r="FD392" t="e">
        <f>IF(#REF!,"AAAAAB3++58=",0)</f>
        <v>#REF!</v>
      </c>
      <c r="FE392" t="e">
        <f>IF(#REF!,"AAAAAB3++6A=",0)</f>
        <v>#REF!</v>
      </c>
      <c r="FF392" t="e">
        <f>IF(#REF!,"AAAAAB3++6E=",0)</f>
        <v>#REF!</v>
      </c>
      <c r="FG392" t="e">
        <f>IF(#REF!,"AAAAAB3++6I=",0)</f>
        <v>#REF!</v>
      </c>
      <c r="FH392" t="e">
        <f>IF(#REF!,"AAAAAB3++6M=",0)</f>
        <v>#REF!</v>
      </c>
      <c r="FI392" t="e">
        <f>IF(#REF!,"AAAAAB3++6Q=",0)</f>
        <v>#REF!</v>
      </c>
      <c r="FJ392" t="e">
        <f>IF(#REF!,"AAAAAB3++6U=",0)</f>
        <v>#REF!</v>
      </c>
      <c r="FK392" t="e">
        <f>IF(#REF!,"AAAAAB3++6Y=",0)</f>
        <v>#REF!</v>
      </c>
      <c r="FL392" t="e">
        <f>IF(#REF!,"AAAAAB3++6c=",0)</f>
        <v>#REF!</v>
      </c>
      <c r="FM392" t="e">
        <f>IF(#REF!,"AAAAAB3++6g=",0)</f>
        <v>#REF!</v>
      </c>
      <c r="FN392" t="e">
        <f>IF(#REF!,"AAAAAB3++6k=",0)</f>
        <v>#REF!</v>
      </c>
      <c r="FO392" t="e">
        <f>IF(#REF!,"AAAAAB3++6o=",0)</f>
        <v>#REF!</v>
      </c>
      <c r="FP392" t="e">
        <f>IF(#REF!,"AAAAAB3++6s=",0)</f>
        <v>#REF!</v>
      </c>
      <c r="FQ392" t="e">
        <f>IF(#REF!,"AAAAAB3++6w=",0)</f>
        <v>#REF!</v>
      </c>
      <c r="FR392" t="e">
        <f>IF(#REF!,"AAAAAB3++60=",0)</f>
        <v>#REF!</v>
      </c>
      <c r="FS392" t="e">
        <f>IF(#REF!,"AAAAAB3++64=",0)</f>
        <v>#REF!</v>
      </c>
      <c r="FT392" t="e">
        <f>IF(#REF!,"AAAAAB3++68=",0)</f>
        <v>#REF!</v>
      </c>
      <c r="FU392" t="e">
        <f>IF(#REF!,"AAAAAB3++7A=",0)</f>
        <v>#REF!</v>
      </c>
      <c r="FV392" t="e">
        <f>IF(#REF!,"AAAAAB3++7E=",0)</f>
        <v>#REF!</v>
      </c>
      <c r="FW392" t="e">
        <f>IF(#REF!,"AAAAAB3++7I=",0)</f>
        <v>#REF!</v>
      </c>
      <c r="FX392" t="e">
        <f>IF(#REF!,"AAAAAB3++7M=",0)</f>
        <v>#REF!</v>
      </c>
      <c r="FY392" t="e">
        <f>IF(#REF!,"AAAAAB3++7Q=",0)</f>
        <v>#REF!</v>
      </c>
      <c r="FZ392" t="e">
        <f>IF(#REF!,"AAAAAB3++7U=",0)</f>
        <v>#REF!</v>
      </c>
      <c r="GA392" t="e">
        <f>IF(#REF!,"AAAAAB3++7Y=",0)</f>
        <v>#REF!</v>
      </c>
      <c r="GB392" t="e">
        <f>IF(#REF!,"AAAAAB3++7c=",0)</f>
        <v>#REF!</v>
      </c>
      <c r="GC392" t="e">
        <f>IF(#REF!,"AAAAAB3++7g=",0)</f>
        <v>#REF!</v>
      </c>
      <c r="GD392" t="e">
        <f>IF(#REF!,"AAAAAB3++7k=",0)</f>
        <v>#REF!</v>
      </c>
      <c r="GE392" t="e">
        <f>IF(#REF!,"AAAAAB3++7o=",0)</f>
        <v>#REF!</v>
      </c>
      <c r="GF392" t="e">
        <f>IF(#REF!,"AAAAAB3++7s=",0)</f>
        <v>#REF!</v>
      </c>
      <c r="GG392" t="e">
        <f>IF(#REF!,"AAAAAB3++7w=",0)</f>
        <v>#REF!</v>
      </c>
      <c r="GH392" t="e">
        <f>IF(#REF!,"AAAAAB3++70=",0)</f>
        <v>#REF!</v>
      </c>
      <c r="GI392" t="e">
        <f>IF(#REF!,"AAAAAB3++74=",0)</f>
        <v>#REF!</v>
      </c>
      <c r="GJ392" t="e">
        <f>IF(#REF!,"AAAAAB3++78=",0)</f>
        <v>#REF!</v>
      </c>
      <c r="GK392" t="e">
        <f>IF(#REF!,"AAAAAB3++8A=",0)</f>
        <v>#REF!</v>
      </c>
      <c r="GL392" t="e">
        <f>IF(#REF!,"AAAAAB3++8E=",0)</f>
        <v>#REF!</v>
      </c>
      <c r="GM392" t="e">
        <f>IF(#REF!,"AAAAAB3++8I=",0)</f>
        <v>#REF!</v>
      </c>
      <c r="GN392" t="e">
        <f>IF(#REF!,"AAAAAB3++8M=",0)</f>
        <v>#REF!</v>
      </c>
      <c r="GO392" t="e">
        <f>IF(#REF!,"AAAAAB3++8Q=",0)</f>
        <v>#REF!</v>
      </c>
      <c r="GP392" t="e">
        <f>IF(#REF!,"AAAAAB3++8U=",0)</f>
        <v>#REF!</v>
      </c>
      <c r="GQ392" t="e">
        <f>IF(#REF!,"AAAAAB3++8Y=",0)</f>
        <v>#REF!</v>
      </c>
      <c r="GR392" t="e">
        <f>IF(#REF!,"AAAAAB3++8c=",0)</f>
        <v>#REF!</v>
      </c>
      <c r="GS392" t="e">
        <f>IF(#REF!,"AAAAAB3++8g=",0)</f>
        <v>#REF!</v>
      </c>
      <c r="GT392" t="e">
        <f>IF(#REF!,"AAAAAB3++8k=",0)</f>
        <v>#REF!</v>
      </c>
      <c r="GU392" t="e">
        <f>IF(#REF!,"AAAAAB3++8o=",0)</f>
        <v>#REF!</v>
      </c>
      <c r="GV392" t="e">
        <f>IF(#REF!,"AAAAAB3++8s=",0)</f>
        <v>#REF!</v>
      </c>
      <c r="GW392" t="e">
        <f>IF(#REF!,"AAAAAB3++8w=",0)</f>
        <v>#REF!</v>
      </c>
      <c r="GX392" t="e">
        <f>IF(#REF!,"AAAAAB3++80=",0)</f>
        <v>#REF!</v>
      </c>
      <c r="GY392" t="e">
        <f>IF(#REF!,"AAAAAB3++84=",0)</f>
        <v>#REF!</v>
      </c>
      <c r="GZ392" t="e">
        <f>IF(#REF!,"AAAAAB3++88=",0)</f>
        <v>#REF!</v>
      </c>
      <c r="HA392" t="e">
        <f>IF(#REF!,"AAAAAB3++9A=",0)</f>
        <v>#REF!</v>
      </c>
      <c r="HB392" t="e">
        <f>IF(#REF!,"AAAAAB3++9E=",0)</f>
        <v>#REF!</v>
      </c>
      <c r="HC392" t="e">
        <f>IF(#REF!,"AAAAAB3++9I=",0)</f>
        <v>#REF!</v>
      </c>
      <c r="HD392" t="e">
        <f>IF(#REF!,"AAAAAB3++9M=",0)</f>
        <v>#REF!</v>
      </c>
      <c r="HE392" t="e">
        <f>IF(#REF!,"AAAAAB3++9Q=",0)</f>
        <v>#REF!</v>
      </c>
      <c r="HF392" t="e">
        <f>IF(#REF!,"AAAAAB3++9U=",0)</f>
        <v>#REF!</v>
      </c>
      <c r="HG392" t="e">
        <f>IF(#REF!,"AAAAAB3++9Y=",0)</f>
        <v>#REF!</v>
      </c>
      <c r="HH392" t="e">
        <f>IF(#REF!,"AAAAAB3++9c=",0)</f>
        <v>#REF!</v>
      </c>
      <c r="HI392" t="e">
        <f>IF(#REF!,"AAAAAB3++9g=",0)</f>
        <v>#REF!</v>
      </c>
      <c r="HJ392" t="e">
        <f>IF(#REF!,"AAAAAB3++9k=",0)</f>
        <v>#REF!</v>
      </c>
      <c r="HK392" t="e">
        <f>IF(#REF!,"AAAAAB3++9o=",0)</f>
        <v>#REF!</v>
      </c>
      <c r="HL392" t="e">
        <f>IF(#REF!,"AAAAAB3++9s=",0)</f>
        <v>#REF!</v>
      </c>
      <c r="HM392" t="e">
        <f>IF(#REF!,"AAAAAB3++9w=",0)</f>
        <v>#REF!</v>
      </c>
      <c r="HN392" t="e">
        <f>IF(#REF!,"AAAAAB3++90=",0)</f>
        <v>#REF!</v>
      </c>
      <c r="HO392" t="e">
        <f>IF(#REF!,"AAAAAB3++94=",0)</f>
        <v>#REF!</v>
      </c>
      <c r="HP392" t="e">
        <f>IF(#REF!,"AAAAAB3++98=",0)</f>
        <v>#REF!</v>
      </c>
      <c r="HQ392" t="e">
        <f>IF(#REF!,"AAAAAB3+++A=",0)</f>
        <v>#REF!</v>
      </c>
      <c r="HR392" t="e">
        <f>IF(#REF!,"AAAAAB3+++E=",0)</f>
        <v>#REF!</v>
      </c>
      <c r="HS392" t="e">
        <f>IF(#REF!,"AAAAAB3+++I=",0)</f>
        <v>#REF!</v>
      </c>
      <c r="HT392" t="e">
        <f>IF(#REF!,"AAAAAB3+++M=",0)</f>
        <v>#REF!</v>
      </c>
      <c r="HU392" t="e">
        <f>IF(#REF!,"AAAAAB3+++Q=",0)</f>
        <v>#REF!</v>
      </c>
      <c r="HV392" t="e">
        <f>IF(#REF!,"AAAAAB3+++U=",0)</f>
        <v>#REF!</v>
      </c>
      <c r="HW392" t="e">
        <f>IF(#REF!,"AAAAAB3+++Y=",0)</f>
        <v>#REF!</v>
      </c>
      <c r="HX392" t="e">
        <f>IF(#REF!,"AAAAAB3+++c=",0)</f>
        <v>#REF!</v>
      </c>
      <c r="HY392" t="e">
        <f>IF(#REF!,"AAAAAB3+++g=",0)</f>
        <v>#REF!</v>
      </c>
      <c r="HZ392" t="e">
        <f>IF(#REF!,"AAAAAB3+++k=",0)</f>
        <v>#REF!</v>
      </c>
      <c r="IA392" t="e">
        <f>IF(#REF!,"AAAAAB3+++o=",0)</f>
        <v>#REF!</v>
      </c>
      <c r="IB392" t="e">
        <f>IF(#REF!,"AAAAAB3+++s=",0)</f>
        <v>#REF!</v>
      </c>
      <c r="IC392" t="e">
        <f>IF(#REF!,"AAAAAB3+++w=",0)</f>
        <v>#REF!</v>
      </c>
      <c r="ID392" t="e">
        <f>IF(#REF!,"AAAAAB3+++0=",0)</f>
        <v>#REF!</v>
      </c>
      <c r="IE392" t="e">
        <f>IF(#REF!,"AAAAAB3+++4=",0)</f>
        <v>#REF!</v>
      </c>
      <c r="IF392" t="e">
        <f>IF(#REF!,"AAAAAB3+++8=",0)</f>
        <v>#REF!</v>
      </c>
      <c r="IG392" t="e">
        <f>IF(#REF!,"AAAAAB3++/A=",0)</f>
        <v>#REF!</v>
      </c>
      <c r="IH392" t="e">
        <f>IF(#REF!,"AAAAAB3++/E=",0)</f>
        <v>#REF!</v>
      </c>
      <c r="II392" t="e">
        <f>IF(#REF!,"AAAAAB3++/I=",0)</f>
        <v>#REF!</v>
      </c>
      <c r="IJ392" t="e">
        <f>IF(#REF!,"AAAAAB3++/M=",0)</f>
        <v>#REF!</v>
      </c>
      <c r="IK392" t="e">
        <f>IF(#REF!,"AAAAAB3++/Q=",0)</f>
        <v>#REF!</v>
      </c>
      <c r="IL392" t="e">
        <f>IF(#REF!,"AAAAAB3++/U=",0)</f>
        <v>#REF!</v>
      </c>
      <c r="IM392" t="e">
        <f>IF(#REF!,"AAAAAB3++/Y=",0)</f>
        <v>#REF!</v>
      </c>
      <c r="IN392" t="e">
        <f>IF(#REF!,"AAAAAB3++/c=",0)</f>
        <v>#REF!</v>
      </c>
      <c r="IO392" t="e">
        <f>IF(#REF!,"AAAAAB3++/g=",0)</f>
        <v>#REF!</v>
      </c>
      <c r="IP392" t="e">
        <f>IF(#REF!,"AAAAAB3++/k=",0)</f>
        <v>#REF!</v>
      </c>
      <c r="IQ392" t="e">
        <f>IF(#REF!,"AAAAAB3++/o=",0)</f>
        <v>#REF!</v>
      </c>
      <c r="IR392" t="e">
        <f>IF(#REF!,"AAAAAB3++/s=",0)</f>
        <v>#REF!</v>
      </c>
      <c r="IS392" t="e">
        <f>IF(#REF!,"AAAAAB3++/w=",0)</f>
        <v>#REF!</v>
      </c>
      <c r="IT392" t="e">
        <f>IF(#REF!,"AAAAAB3++/0=",0)</f>
        <v>#REF!</v>
      </c>
      <c r="IU392" t="e">
        <f>IF(#REF!,"AAAAAB3++/4=",0)</f>
        <v>#REF!</v>
      </c>
      <c r="IV392" t="e">
        <f>IF(#REF!,"AAAAAB3++/8=",0)</f>
        <v>#REF!</v>
      </c>
    </row>
    <row r="393" spans="1:256">
      <c r="A393" t="e">
        <f>IF(#REF!,"AAAAAH7/dwA=",0)</f>
        <v>#REF!</v>
      </c>
      <c r="B393" t="e">
        <f>IF(#REF!,"AAAAAH7/dwE=",0)</f>
        <v>#REF!</v>
      </c>
      <c r="C393" t="e">
        <f>IF(#REF!,"AAAAAH7/dwI=",0)</f>
        <v>#REF!</v>
      </c>
      <c r="D393" t="e">
        <f>IF(#REF!,"AAAAAH7/dwM=",0)</f>
        <v>#REF!</v>
      </c>
      <c r="E393" t="e">
        <f>IF(#REF!,"AAAAAH7/dwQ=",0)</f>
        <v>#REF!</v>
      </c>
      <c r="F393" t="e">
        <f>IF(#REF!,"AAAAAH7/dwU=",0)</f>
        <v>#REF!</v>
      </c>
      <c r="G393" t="e">
        <f>IF(#REF!,"AAAAAH7/dwY=",0)</f>
        <v>#REF!</v>
      </c>
      <c r="H393" t="e">
        <f>IF(#REF!,"AAAAAH7/dwc=",0)</f>
        <v>#REF!</v>
      </c>
      <c r="I393" t="e">
        <f>IF(#REF!,"AAAAAH7/dwg=",0)</f>
        <v>#REF!</v>
      </c>
      <c r="J393" t="e">
        <f>IF(#REF!,"AAAAAH7/dwk=",0)</f>
        <v>#REF!</v>
      </c>
      <c r="K393" t="e">
        <f>IF(#REF!,"AAAAAH7/dwo=",0)</f>
        <v>#REF!</v>
      </c>
      <c r="L393" t="e">
        <f>IF(#REF!,"AAAAAH7/dws=",0)</f>
        <v>#REF!</v>
      </c>
      <c r="M393" t="e">
        <f>IF(#REF!,"AAAAAH7/dww=",0)</f>
        <v>#REF!</v>
      </c>
      <c r="N393" t="e">
        <f>IF(#REF!,"AAAAAH7/dw0=",0)</f>
        <v>#REF!</v>
      </c>
      <c r="O393" t="e">
        <f>IF(#REF!,"AAAAAH7/dw4=",0)</f>
        <v>#REF!</v>
      </c>
      <c r="P393" t="e">
        <f>IF(#REF!,"AAAAAH7/dw8=",0)</f>
        <v>#REF!</v>
      </c>
      <c r="Q393" t="e">
        <f>IF(#REF!,"AAAAAH7/dxA=",0)</f>
        <v>#REF!</v>
      </c>
      <c r="R393" t="e">
        <f>IF(#REF!,"AAAAAH7/dxE=",0)</f>
        <v>#REF!</v>
      </c>
      <c r="S393" t="e">
        <f>IF(#REF!,"AAAAAH7/dxI=",0)</f>
        <v>#REF!</v>
      </c>
      <c r="T393" t="e">
        <f>IF(#REF!,"AAAAAH7/dxM=",0)</f>
        <v>#REF!</v>
      </c>
      <c r="U393" t="e">
        <f>IF(#REF!,"AAAAAH7/dxQ=",0)</f>
        <v>#REF!</v>
      </c>
      <c r="V393" t="e">
        <f>IF(#REF!,"AAAAAH7/dxU=",0)</f>
        <v>#REF!</v>
      </c>
      <c r="W393" t="e">
        <f>IF(#REF!,"AAAAAH7/dxY=",0)</f>
        <v>#REF!</v>
      </c>
      <c r="X393" t="e">
        <f>IF(#REF!,"AAAAAH7/dxc=",0)</f>
        <v>#REF!</v>
      </c>
      <c r="Y393" t="e">
        <f>IF(#REF!,"AAAAAH7/dxg=",0)</f>
        <v>#REF!</v>
      </c>
      <c r="Z393" t="e">
        <f>IF(#REF!,"AAAAAH7/dxk=",0)</f>
        <v>#REF!</v>
      </c>
      <c r="AA393" t="e">
        <f>IF(#REF!,"AAAAAH7/dxo=",0)</f>
        <v>#REF!</v>
      </c>
      <c r="AB393" t="e">
        <f>IF(#REF!,"AAAAAH7/dxs=",0)</f>
        <v>#REF!</v>
      </c>
      <c r="AC393" t="e">
        <f>IF(#REF!,"AAAAAH7/dxw=",0)</f>
        <v>#REF!</v>
      </c>
      <c r="AD393" t="e">
        <f>IF(#REF!,"AAAAAH7/dx0=",0)</f>
        <v>#REF!</v>
      </c>
      <c r="AE393" t="e">
        <f>IF(#REF!,"AAAAAH7/dx4=",0)</f>
        <v>#REF!</v>
      </c>
      <c r="AF393" t="e">
        <f>IF(#REF!,"AAAAAH7/dx8=",0)</f>
        <v>#REF!</v>
      </c>
      <c r="AG393" t="e">
        <f>IF(#REF!,"AAAAAH7/dyA=",0)</f>
        <v>#REF!</v>
      </c>
      <c r="AH393" t="e">
        <f>IF(#REF!,"AAAAAH7/dyE=",0)</f>
        <v>#REF!</v>
      </c>
      <c r="AI393" t="e">
        <f>IF(#REF!,"AAAAAH7/dyI=",0)</f>
        <v>#REF!</v>
      </c>
      <c r="AJ393" t="e">
        <f>IF(#REF!,"AAAAAH7/dyM=",0)</f>
        <v>#REF!</v>
      </c>
      <c r="AK393" t="e">
        <f>IF(#REF!,"AAAAAH7/dyQ=",0)</f>
        <v>#REF!</v>
      </c>
      <c r="AL393" t="e">
        <f>IF(#REF!,"AAAAAH7/dyU=",0)</f>
        <v>#REF!</v>
      </c>
      <c r="AM393" t="e">
        <f>IF(#REF!,"AAAAAH7/dyY=",0)</f>
        <v>#REF!</v>
      </c>
      <c r="AN393" t="e">
        <f>IF(#REF!,"AAAAAH7/dyc=",0)</f>
        <v>#REF!</v>
      </c>
      <c r="AO393" t="e">
        <f>IF(#REF!,"AAAAAH7/dyg=",0)</f>
        <v>#REF!</v>
      </c>
      <c r="AP393" t="e">
        <f>IF(#REF!,"AAAAAH7/dyk=",0)</f>
        <v>#REF!</v>
      </c>
      <c r="AQ393" t="e">
        <f>IF(#REF!,"AAAAAH7/dyo=",0)</f>
        <v>#REF!</v>
      </c>
      <c r="AR393" t="e">
        <f>IF(#REF!,"AAAAAH7/dys=",0)</f>
        <v>#REF!</v>
      </c>
      <c r="AS393" t="e">
        <f>IF(#REF!,"AAAAAH7/dyw=",0)</f>
        <v>#REF!</v>
      </c>
      <c r="AT393" t="e">
        <f>IF(#REF!,"AAAAAH7/dy0=",0)</f>
        <v>#REF!</v>
      </c>
      <c r="AU393" t="e">
        <f>IF(#REF!,"AAAAAH7/dy4=",0)</f>
        <v>#REF!</v>
      </c>
      <c r="AV393" t="e">
        <f>IF(#REF!,"AAAAAH7/dy8=",0)</f>
        <v>#REF!</v>
      </c>
      <c r="AW393" t="e">
        <f>IF(#REF!,"AAAAAH7/dzA=",0)</f>
        <v>#REF!</v>
      </c>
      <c r="AX393" t="e">
        <f>IF(#REF!,"AAAAAH7/dzE=",0)</f>
        <v>#REF!</v>
      </c>
      <c r="AY393" t="e">
        <f>IF(#REF!,"AAAAAH7/dzI=",0)</f>
        <v>#REF!</v>
      </c>
      <c r="AZ393" t="e">
        <f>IF(#REF!,"AAAAAH7/dzM=",0)</f>
        <v>#REF!</v>
      </c>
      <c r="BA393" t="e">
        <f>IF(#REF!,"AAAAAH7/dzQ=",0)</f>
        <v>#REF!</v>
      </c>
      <c r="BB393" t="e">
        <f>IF(#REF!,"AAAAAH7/dzU=",0)</f>
        <v>#REF!</v>
      </c>
      <c r="BC393" t="e">
        <f>IF(#REF!,"AAAAAH7/dzY=",0)</f>
        <v>#REF!</v>
      </c>
      <c r="BD393" t="e">
        <f>IF(#REF!,"AAAAAH7/dzc=",0)</f>
        <v>#REF!</v>
      </c>
      <c r="BE393" t="e">
        <f>IF(#REF!,"AAAAAH7/dzg=",0)</f>
        <v>#REF!</v>
      </c>
      <c r="BF393" t="e">
        <f>IF(#REF!,"AAAAAH7/dzk=",0)</f>
        <v>#REF!</v>
      </c>
      <c r="BG393" t="e">
        <f>IF(#REF!,"AAAAAH7/dzo=",0)</f>
        <v>#REF!</v>
      </c>
      <c r="BH393" t="e">
        <f>IF(#REF!,"AAAAAH7/dzs=",0)</f>
        <v>#REF!</v>
      </c>
      <c r="BI393" t="e">
        <f>IF(#REF!,"AAAAAH7/dzw=",0)</f>
        <v>#REF!</v>
      </c>
      <c r="BJ393" t="e">
        <f>IF(#REF!,"AAAAAH7/dz0=",0)</f>
        <v>#REF!</v>
      </c>
      <c r="BK393" t="e">
        <f>IF(#REF!,"AAAAAH7/dz4=",0)</f>
        <v>#REF!</v>
      </c>
      <c r="BL393" t="e">
        <f>IF(#REF!,"AAAAAH7/dz8=",0)</f>
        <v>#REF!</v>
      </c>
      <c r="BM393" t="e">
        <f>IF(#REF!,"AAAAAH7/d0A=",0)</f>
        <v>#REF!</v>
      </c>
      <c r="BN393" t="e">
        <f>IF(#REF!,"AAAAAH7/d0E=",0)</f>
        <v>#REF!</v>
      </c>
      <c r="BO393" t="e">
        <f>IF(#REF!,"AAAAAH7/d0I=",0)</f>
        <v>#REF!</v>
      </c>
      <c r="BP393" t="e">
        <f>IF(#REF!,"AAAAAH7/d0M=",0)</f>
        <v>#REF!</v>
      </c>
      <c r="BQ393" t="e">
        <f>IF(#REF!,"AAAAAH7/d0Q=",0)</f>
        <v>#REF!</v>
      </c>
      <c r="BR393" t="e">
        <f>IF(#REF!,"AAAAAH7/d0U=",0)</f>
        <v>#REF!</v>
      </c>
      <c r="BS393" t="e">
        <f>IF(#REF!,"AAAAAH7/d0Y=",0)</f>
        <v>#REF!</v>
      </c>
      <c r="BT393" t="e">
        <f>IF(#REF!,"AAAAAH7/d0c=",0)</f>
        <v>#REF!</v>
      </c>
      <c r="BU393" t="e">
        <f>IF(#REF!,"AAAAAH7/d0g=",0)</f>
        <v>#REF!</v>
      </c>
      <c r="BV393" t="e">
        <f>IF(#REF!,"AAAAAH7/d0k=",0)</f>
        <v>#REF!</v>
      </c>
      <c r="BW393" t="e">
        <f>IF(#REF!,"AAAAAH7/d0o=",0)</f>
        <v>#REF!</v>
      </c>
      <c r="BX393" t="e">
        <f>IF(#REF!,"AAAAAH7/d0s=",0)</f>
        <v>#REF!</v>
      </c>
      <c r="BY393" t="e">
        <f>IF(#REF!,"AAAAAH7/d0w=",0)</f>
        <v>#REF!</v>
      </c>
      <c r="BZ393" t="e">
        <f>IF(#REF!,"AAAAAH7/d00=",0)</f>
        <v>#REF!</v>
      </c>
      <c r="CA393" t="e">
        <f>IF(#REF!,"AAAAAH7/d04=",0)</f>
        <v>#REF!</v>
      </c>
      <c r="CB393" t="e">
        <f>IF(#REF!,"AAAAAH7/d08=",0)</f>
        <v>#REF!</v>
      </c>
      <c r="CC393" t="e">
        <f>IF(#REF!,"AAAAAH7/d1A=",0)</f>
        <v>#REF!</v>
      </c>
      <c r="CD393" t="e">
        <f>IF(#REF!,"AAAAAH7/d1E=",0)</f>
        <v>#REF!</v>
      </c>
      <c r="CE393" t="e">
        <f>IF(#REF!,"AAAAAH7/d1I=",0)</f>
        <v>#REF!</v>
      </c>
      <c r="CF393" t="e">
        <f>IF(#REF!,"AAAAAH7/d1M=",0)</f>
        <v>#REF!</v>
      </c>
      <c r="CG393" t="e">
        <f>IF(#REF!,"AAAAAH7/d1Q=",0)</f>
        <v>#REF!</v>
      </c>
      <c r="CH393" t="e">
        <f>IF(#REF!,"AAAAAH7/d1U=",0)</f>
        <v>#REF!</v>
      </c>
      <c r="CI393" t="e">
        <f>IF(#REF!,"AAAAAH7/d1Y=",0)</f>
        <v>#REF!</v>
      </c>
      <c r="CJ393" t="e">
        <f>IF(#REF!,"AAAAAH7/d1c=",0)</f>
        <v>#REF!</v>
      </c>
      <c r="CK393" t="e">
        <f>IF(#REF!,"AAAAAH7/d1g=",0)</f>
        <v>#REF!</v>
      </c>
      <c r="CL393" t="e">
        <f>IF(#REF!,"AAAAAH7/d1k=",0)</f>
        <v>#REF!</v>
      </c>
      <c r="CM393" t="e">
        <f>IF(#REF!,"AAAAAH7/d1o=",0)</f>
        <v>#REF!</v>
      </c>
      <c r="CN393" t="e">
        <f>IF(#REF!,"AAAAAH7/d1s=",0)</f>
        <v>#REF!</v>
      </c>
      <c r="CO393" t="e">
        <f>IF(#REF!,"AAAAAH7/d1w=",0)</f>
        <v>#REF!</v>
      </c>
      <c r="CP393" t="e">
        <f>IF(#REF!,"AAAAAH7/d10=",0)</f>
        <v>#REF!</v>
      </c>
      <c r="CQ393" t="e">
        <f>IF(#REF!,"AAAAAH7/d14=",0)</f>
        <v>#REF!</v>
      </c>
      <c r="CR393" t="e">
        <f>IF(#REF!,"AAAAAH7/d18=",0)</f>
        <v>#REF!</v>
      </c>
      <c r="CS393" t="e">
        <f>IF(#REF!,"AAAAAH7/d2A=",0)</f>
        <v>#REF!</v>
      </c>
      <c r="CT393" t="e">
        <f>IF(#REF!,"AAAAAH7/d2E=",0)</f>
        <v>#REF!</v>
      </c>
      <c r="CU393" t="e">
        <f>IF(#REF!,"AAAAAH7/d2I=",0)</f>
        <v>#REF!</v>
      </c>
      <c r="CV393" t="e">
        <f>IF(#REF!,"AAAAAH7/d2M=",0)</f>
        <v>#REF!</v>
      </c>
      <c r="CW393" t="e">
        <f>IF(#REF!,"AAAAAH7/d2Q=",0)</f>
        <v>#REF!</v>
      </c>
      <c r="CX393" t="e">
        <f>IF(#REF!,"AAAAAH7/d2U=",0)</f>
        <v>#REF!</v>
      </c>
      <c r="CY393" t="e">
        <f>IF(#REF!,"AAAAAH7/d2Y=",0)</f>
        <v>#REF!</v>
      </c>
      <c r="CZ393" t="e">
        <f>IF(#REF!,"AAAAAH7/d2c=",0)</f>
        <v>#REF!</v>
      </c>
      <c r="DA393" t="e">
        <f>IF(#REF!,"AAAAAH7/d2g=",0)</f>
        <v>#REF!</v>
      </c>
      <c r="DB393" t="e">
        <f>IF(#REF!,"AAAAAH7/d2k=",0)</f>
        <v>#REF!</v>
      </c>
      <c r="DC393" t="e">
        <f>IF(#REF!,"AAAAAH7/d2o=",0)</f>
        <v>#REF!</v>
      </c>
      <c r="DD393" t="e">
        <f>IF(#REF!,"AAAAAH7/d2s=",0)</f>
        <v>#REF!</v>
      </c>
      <c r="DE393" t="e">
        <f>IF(#REF!,"AAAAAH7/d2w=",0)</f>
        <v>#REF!</v>
      </c>
      <c r="DF393" t="e">
        <f>IF(#REF!,"AAAAAH7/d20=",0)</f>
        <v>#REF!</v>
      </c>
      <c r="DG393" t="e">
        <f>IF(#REF!,"AAAAAH7/d24=",0)</f>
        <v>#REF!</v>
      </c>
      <c r="DH393" t="e">
        <f>IF(#REF!,"AAAAAH7/d28=",0)</f>
        <v>#REF!</v>
      </c>
      <c r="DI393" t="e">
        <f>IF(#REF!,"AAAAAH7/d3A=",0)</f>
        <v>#REF!</v>
      </c>
      <c r="DJ393" t="e">
        <f>IF(#REF!,"AAAAAH7/d3E=",0)</f>
        <v>#REF!</v>
      </c>
      <c r="DK393" t="e">
        <f>IF(#REF!,"AAAAAH7/d3I=",0)</f>
        <v>#REF!</v>
      </c>
      <c r="DL393" t="e">
        <f>IF(#REF!,"AAAAAH7/d3M=",0)</f>
        <v>#REF!</v>
      </c>
      <c r="DM393" t="e">
        <f>IF(#REF!,"AAAAAH7/d3Q=",0)</f>
        <v>#REF!</v>
      </c>
      <c r="DN393" t="e">
        <f>IF(#REF!,"AAAAAH7/d3U=",0)</f>
        <v>#REF!</v>
      </c>
      <c r="DO393" t="e">
        <f>IF(#REF!,"AAAAAH7/d3Y=",0)</f>
        <v>#REF!</v>
      </c>
      <c r="DP393" t="e">
        <f>IF(#REF!,"AAAAAH7/d3c=",0)</f>
        <v>#REF!</v>
      </c>
      <c r="DQ393" t="e">
        <f>IF(#REF!,"AAAAAH7/d3g=",0)</f>
        <v>#REF!</v>
      </c>
      <c r="DR393" t="e">
        <f>IF(#REF!,"AAAAAH7/d3k=",0)</f>
        <v>#REF!</v>
      </c>
      <c r="DS393" t="e">
        <f>IF(#REF!,"AAAAAH7/d3o=",0)</f>
        <v>#REF!</v>
      </c>
      <c r="DT393" t="e">
        <f>IF(#REF!,"AAAAAH7/d3s=",0)</f>
        <v>#REF!</v>
      </c>
      <c r="DU393" t="e">
        <f>IF(#REF!,"AAAAAH7/d3w=",0)</f>
        <v>#REF!</v>
      </c>
      <c r="DV393" t="e">
        <f>IF(#REF!,"AAAAAH7/d30=",0)</f>
        <v>#REF!</v>
      </c>
      <c r="DW393" t="e">
        <f>IF(#REF!,"AAAAAH7/d34=",0)</f>
        <v>#REF!</v>
      </c>
      <c r="DX393" t="e">
        <f>IF(#REF!,"AAAAAH7/d38=",0)</f>
        <v>#REF!</v>
      </c>
      <c r="DY393" t="e">
        <f>IF(#REF!,"AAAAAH7/d4A=",0)</f>
        <v>#REF!</v>
      </c>
      <c r="DZ393" t="e">
        <f>IF(#REF!,"AAAAAH7/d4E=",0)</f>
        <v>#REF!</v>
      </c>
      <c r="EA393" t="e">
        <f>IF(#REF!,"AAAAAH7/d4I=",0)</f>
        <v>#REF!</v>
      </c>
      <c r="EB393" t="e">
        <f>IF(#REF!,"AAAAAH7/d4M=",0)</f>
        <v>#REF!</v>
      </c>
      <c r="EC393" t="e">
        <f>IF(#REF!,"AAAAAH7/d4Q=",0)</f>
        <v>#REF!</v>
      </c>
      <c r="ED393" t="e">
        <f>IF(#REF!,"AAAAAH7/d4U=",0)</f>
        <v>#REF!</v>
      </c>
      <c r="EE393" t="e">
        <f>IF(#REF!,"AAAAAH7/d4Y=",0)</f>
        <v>#REF!</v>
      </c>
      <c r="EF393" t="e">
        <f>IF(#REF!,"AAAAAH7/d4c=",0)</f>
        <v>#REF!</v>
      </c>
      <c r="EG393" t="e">
        <f>IF(#REF!,"AAAAAH7/d4g=",0)</f>
        <v>#REF!</v>
      </c>
      <c r="EH393" t="e">
        <f>IF(#REF!,"AAAAAH7/d4k=",0)</f>
        <v>#REF!</v>
      </c>
      <c r="EI393" t="e">
        <f>IF(#REF!,"AAAAAH7/d4o=",0)</f>
        <v>#REF!</v>
      </c>
      <c r="EJ393" t="e">
        <f>IF(#REF!,"AAAAAH7/d4s=",0)</f>
        <v>#REF!</v>
      </c>
      <c r="EK393" t="e">
        <f>IF(#REF!,"AAAAAH7/d4w=",0)</f>
        <v>#REF!</v>
      </c>
      <c r="EL393" t="e">
        <f>IF(#REF!,"AAAAAH7/d40=",0)</f>
        <v>#REF!</v>
      </c>
      <c r="EM393" t="e">
        <f>IF(#REF!,"AAAAAH7/d44=",0)</f>
        <v>#REF!</v>
      </c>
      <c r="EN393" t="e">
        <f>IF(#REF!,"AAAAAH7/d48=",0)</f>
        <v>#REF!</v>
      </c>
      <c r="EO393" t="e">
        <f>IF(#REF!,"AAAAAH7/d5A=",0)</f>
        <v>#REF!</v>
      </c>
      <c r="EP393" t="e">
        <f>IF(#REF!,"AAAAAH7/d5E=",0)</f>
        <v>#REF!</v>
      </c>
      <c r="EQ393" t="e">
        <f>IF(#REF!,"AAAAAH7/d5I=",0)</f>
        <v>#REF!</v>
      </c>
      <c r="ER393" t="e">
        <f>IF(#REF!,"AAAAAH7/d5M=",0)</f>
        <v>#REF!</v>
      </c>
      <c r="ES393" t="e">
        <f>IF(#REF!,"AAAAAH7/d5Q=",0)</f>
        <v>#REF!</v>
      </c>
      <c r="ET393" t="e">
        <f>IF(#REF!,"AAAAAH7/d5U=",0)</f>
        <v>#REF!</v>
      </c>
      <c r="EU393" t="e">
        <f>IF(#REF!,"AAAAAH7/d5Y=",0)</f>
        <v>#REF!</v>
      </c>
      <c r="EV393" t="e">
        <f>IF(#REF!,"AAAAAH7/d5c=",0)</f>
        <v>#REF!</v>
      </c>
      <c r="EW393" t="e">
        <f>IF(#REF!,"AAAAAH7/d5g=",0)</f>
        <v>#REF!</v>
      </c>
      <c r="EX393" t="e">
        <f>IF(#REF!,"AAAAAH7/d5k=",0)</f>
        <v>#REF!</v>
      </c>
      <c r="EY393" t="e">
        <f>IF(#REF!,"AAAAAH7/d5o=",0)</f>
        <v>#REF!</v>
      </c>
      <c r="EZ393" t="e">
        <f>IF(#REF!,"AAAAAH7/d5s=",0)</f>
        <v>#REF!</v>
      </c>
      <c r="FA393" t="e">
        <f>IF(#REF!,"AAAAAH7/d5w=",0)</f>
        <v>#REF!</v>
      </c>
      <c r="FB393" t="e">
        <f>IF(#REF!,"AAAAAH7/d50=",0)</f>
        <v>#REF!</v>
      </c>
      <c r="FC393" t="e">
        <f>IF(#REF!,"AAAAAH7/d54=",0)</f>
        <v>#REF!</v>
      </c>
      <c r="FD393" t="e">
        <f>IF(#REF!,"AAAAAH7/d58=",0)</f>
        <v>#REF!</v>
      </c>
      <c r="FE393" t="e">
        <f>IF(#REF!,"AAAAAH7/d6A=",0)</f>
        <v>#REF!</v>
      </c>
      <c r="FF393" t="e">
        <f>IF(#REF!,"AAAAAH7/d6E=",0)</f>
        <v>#REF!</v>
      </c>
      <c r="FG393" t="e">
        <f>IF(#REF!,"AAAAAH7/d6I=",0)</f>
        <v>#REF!</v>
      </c>
      <c r="FH393" t="e">
        <f>IF(#REF!,"AAAAAH7/d6M=",0)</f>
        <v>#REF!</v>
      </c>
      <c r="FI393" t="e">
        <f>IF(#REF!,"AAAAAH7/d6Q=",0)</f>
        <v>#REF!</v>
      </c>
      <c r="FJ393" t="e">
        <f>IF(#REF!,"AAAAAH7/d6U=",0)</f>
        <v>#REF!</v>
      </c>
      <c r="FK393" t="e">
        <f>IF(#REF!,"AAAAAH7/d6Y=",0)</f>
        <v>#REF!</v>
      </c>
      <c r="FL393" t="e">
        <f>IF(#REF!,"AAAAAH7/d6c=",0)</f>
        <v>#REF!</v>
      </c>
      <c r="FM393" t="e">
        <f>IF(#REF!,"AAAAAH7/d6g=",0)</f>
        <v>#REF!</v>
      </c>
      <c r="FN393" t="e">
        <f>IF(#REF!,"AAAAAH7/d6k=",0)</f>
        <v>#REF!</v>
      </c>
      <c r="FO393" t="e">
        <f>IF(#REF!,"AAAAAH7/d6o=",0)</f>
        <v>#REF!</v>
      </c>
      <c r="FP393" t="e">
        <f>IF(#REF!,"AAAAAH7/d6s=",0)</f>
        <v>#REF!</v>
      </c>
      <c r="FQ393" t="e">
        <f>IF(#REF!,"AAAAAH7/d6w=",0)</f>
        <v>#REF!</v>
      </c>
      <c r="FR393" t="e">
        <f>IF(#REF!,"AAAAAH7/d60=",0)</f>
        <v>#REF!</v>
      </c>
      <c r="FS393" t="e">
        <f>IF(#REF!,"AAAAAH7/d64=",0)</f>
        <v>#REF!</v>
      </c>
      <c r="FT393" t="e">
        <f>IF(#REF!,"AAAAAH7/d68=",0)</f>
        <v>#REF!</v>
      </c>
      <c r="FU393" t="e">
        <f>IF(#REF!,"AAAAAH7/d7A=",0)</f>
        <v>#REF!</v>
      </c>
      <c r="FV393" t="e">
        <f>IF(#REF!,"AAAAAH7/d7E=",0)</f>
        <v>#REF!</v>
      </c>
      <c r="FW393" t="e">
        <f>IF(#REF!,"AAAAAH7/d7I=",0)</f>
        <v>#REF!</v>
      </c>
      <c r="FX393" t="e">
        <f>IF(#REF!,"AAAAAH7/d7M=",0)</f>
        <v>#REF!</v>
      </c>
      <c r="FY393" t="e">
        <f>IF(#REF!,"AAAAAH7/d7Q=",0)</f>
        <v>#REF!</v>
      </c>
      <c r="FZ393" t="e">
        <f>IF(#REF!,"AAAAAH7/d7U=",0)</f>
        <v>#REF!</v>
      </c>
      <c r="GA393" t="e">
        <f>IF(#REF!,"AAAAAH7/d7Y=",0)</f>
        <v>#REF!</v>
      </c>
      <c r="GB393" t="e">
        <f>IF(#REF!,"AAAAAH7/d7c=",0)</f>
        <v>#REF!</v>
      </c>
      <c r="GC393" t="e">
        <f>IF(#REF!,"AAAAAH7/d7g=",0)</f>
        <v>#REF!</v>
      </c>
      <c r="GD393" t="e">
        <f>IF(#REF!,"AAAAAH7/d7k=",0)</f>
        <v>#REF!</v>
      </c>
      <c r="GE393" t="e">
        <f>IF(#REF!,"AAAAAH7/d7o=",0)</f>
        <v>#REF!</v>
      </c>
      <c r="GF393" t="e">
        <f>IF(#REF!,"AAAAAH7/d7s=",0)</f>
        <v>#REF!</v>
      </c>
      <c r="GG393" t="e">
        <f>IF(#REF!,"AAAAAH7/d7w=",0)</f>
        <v>#REF!</v>
      </c>
      <c r="GH393" t="e">
        <f>IF(#REF!,"AAAAAH7/d70=",0)</f>
        <v>#REF!</v>
      </c>
      <c r="GI393" t="e">
        <f>IF(#REF!,"AAAAAH7/d74=",0)</f>
        <v>#REF!</v>
      </c>
      <c r="GJ393" t="e">
        <f>IF(#REF!,"AAAAAH7/d78=",0)</f>
        <v>#REF!</v>
      </c>
      <c r="GK393" t="e">
        <f>IF(#REF!,"AAAAAH7/d8A=",0)</f>
        <v>#REF!</v>
      </c>
      <c r="GL393" t="e">
        <f>IF(#REF!,"AAAAAH7/d8E=",0)</f>
        <v>#REF!</v>
      </c>
      <c r="GM393" t="e">
        <f>IF(#REF!,"AAAAAH7/d8I=",0)</f>
        <v>#REF!</v>
      </c>
      <c r="GN393" t="e">
        <f>IF(#REF!,"AAAAAH7/d8M=",0)</f>
        <v>#REF!</v>
      </c>
      <c r="GO393" t="e">
        <f>IF(#REF!,"AAAAAH7/d8Q=",0)</f>
        <v>#REF!</v>
      </c>
      <c r="GP393" t="e">
        <f>IF(#REF!,"AAAAAH7/d8U=",0)</f>
        <v>#REF!</v>
      </c>
      <c r="GQ393" t="e">
        <f>IF(#REF!,"AAAAAH7/d8Y=",0)</f>
        <v>#REF!</v>
      </c>
      <c r="GR393" t="e">
        <f>IF(#REF!,"AAAAAH7/d8c=",0)</f>
        <v>#REF!</v>
      </c>
      <c r="GS393" t="e">
        <f>IF(#REF!,"AAAAAH7/d8g=",0)</f>
        <v>#REF!</v>
      </c>
      <c r="GT393" t="e">
        <f>IF(#REF!,"AAAAAH7/d8k=",0)</f>
        <v>#REF!</v>
      </c>
      <c r="GU393" t="e">
        <f>IF(#REF!,"AAAAAH7/d8o=",0)</f>
        <v>#REF!</v>
      </c>
      <c r="GV393" t="e">
        <f>IF(#REF!,"AAAAAH7/d8s=",0)</f>
        <v>#REF!</v>
      </c>
      <c r="GW393" t="e">
        <f>IF(#REF!,"AAAAAH7/d8w=",0)</f>
        <v>#REF!</v>
      </c>
      <c r="GX393" t="e">
        <f>IF(#REF!,"AAAAAH7/d80=",0)</f>
        <v>#REF!</v>
      </c>
      <c r="GY393" t="e">
        <f>IF(#REF!,"AAAAAH7/d84=",0)</f>
        <v>#REF!</v>
      </c>
      <c r="GZ393" t="e">
        <f>IF(#REF!,"AAAAAH7/d88=",0)</f>
        <v>#REF!</v>
      </c>
      <c r="HA393" t="e">
        <f>IF(#REF!,"AAAAAH7/d9A=",0)</f>
        <v>#REF!</v>
      </c>
      <c r="HB393" t="e">
        <f>IF(#REF!,"AAAAAH7/d9E=",0)</f>
        <v>#REF!</v>
      </c>
      <c r="HC393" t="e">
        <f>IF(#REF!,"AAAAAH7/d9I=",0)</f>
        <v>#REF!</v>
      </c>
      <c r="HD393" t="e">
        <f>IF(#REF!,"AAAAAH7/d9M=",0)</f>
        <v>#REF!</v>
      </c>
      <c r="HE393" t="e">
        <f>IF(#REF!,"AAAAAH7/d9Q=",0)</f>
        <v>#REF!</v>
      </c>
      <c r="HF393" t="e">
        <f>IF(#REF!,"AAAAAH7/d9U=",0)</f>
        <v>#REF!</v>
      </c>
      <c r="HG393" t="e">
        <f>IF(#REF!,"AAAAAH7/d9Y=",0)</f>
        <v>#REF!</v>
      </c>
      <c r="HH393" t="e">
        <f>IF(#REF!,"AAAAAH7/d9c=",0)</f>
        <v>#REF!</v>
      </c>
      <c r="HI393" t="e">
        <f>IF(#REF!,"AAAAAH7/d9g=",0)</f>
        <v>#REF!</v>
      </c>
      <c r="HJ393" t="e">
        <f>IF(#REF!,"AAAAAH7/d9k=",0)</f>
        <v>#REF!</v>
      </c>
      <c r="HK393" t="e">
        <f>IF(#REF!,"AAAAAH7/d9o=",0)</f>
        <v>#REF!</v>
      </c>
      <c r="HL393" t="e">
        <f>IF(#REF!,"AAAAAH7/d9s=",0)</f>
        <v>#REF!</v>
      </c>
      <c r="HM393" t="e">
        <f>IF(#REF!,"AAAAAH7/d9w=",0)</f>
        <v>#REF!</v>
      </c>
      <c r="HN393" t="e">
        <f>IF(#REF!,"AAAAAH7/d90=",0)</f>
        <v>#REF!</v>
      </c>
      <c r="HO393" t="e">
        <f>IF(#REF!,"AAAAAH7/d94=",0)</f>
        <v>#REF!</v>
      </c>
      <c r="HP393" t="e">
        <f>IF(#REF!,"AAAAAH7/d98=",0)</f>
        <v>#REF!</v>
      </c>
      <c r="HQ393" t="e">
        <f>IF(#REF!,"AAAAAH7/d+A=",0)</f>
        <v>#REF!</v>
      </c>
      <c r="HR393" t="e">
        <f>IF(#REF!,"AAAAAH7/d+E=",0)</f>
        <v>#REF!</v>
      </c>
      <c r="HS393" t="e">
        <f>IF(#REF!,"AAAAAH7/d+I=",0)</f>
        <v>#REF!</v>
      </c>
      <c r="HT393" t="e">
        <f>IF(#REF!,"AAAAAH7/d+M=",0)</f>
        <v>#REF!</v>
      </c>
      <c r="HU393" t="e">
        <f>IF(#REF!,"AAAAAH7/d+Q=",0)</f>
        <v>#REF!</v>
      </c>
      <c r="HV393" t="e">
        <f>IF(#REF!,"AAAAAH7/d+U=",0)</f>
        <v>#REF!</v>
      </c>
      <c r="HW393" t="e">
        <f>IF(#REF!,"AAAAAH7/d+Y=",0)</f>
        <v>#REF!</v>
      </c>
      <c r="HX393" t="e">
        <f>IF(#REF!,"AAAAAH7/d+c=",0)</f>
        <v>#REF!</v>
      </c>
      <c r="HY393" t="e">
        <f>IF(#REF!,"AAAAAH7/d+g=",0)</f>
        <v>#REF!</v>
      </c>
      <c r="HZ393" t="e">
        <f>IF(#REF!,"AAAAAH7/d+k=",0)</f>
        <v>#REF!</v>
      </c>
      <c r="IA393" t="e">
        <f>IF(#REF!,"AAAAAH7/d+o=",0)</f>
        <v>#REF!</v>
      </c>
      <c r="IB393" t="e">
        <f>IF(#REF!,"AAAAAH7/d+s=",0)</f>
        <v>#REF!</v>
      </c>
      <c r="IC393" t="e">
        <f>IF(#REF!,"AAAAAH7/d+w=",0)</f>
        <v>#REF!</v>
      </c>
      <c r="ID393" t="e">
        <f>IF(#REF!,"AAAAAH7/d+0=",0)</f>
        <v>#REF!</v>
      </c>
      <c r="IE393" t="e">
        <f>IF(#REF!,"AAAAAH7/d+4=",0)</f>
        <v>#REF!</v>
      </c>
      <c r="IF393" t="e">
        <f>IF(#REF!,"AAAAAH7/d+8=",0)</f>
        <v>#REF!</v>
      </c>
      <c r="IG393" t="e">
        <f>IF(#REF!,"AAAAAH7/d/A=",0)</f>
        <v>#REF!</v>
      </c>
      <c r="IH393" t="e">
        <f>IF(#REF!,"AAAAAH7/d/E=",0)</f>
        <v>#REF!</v>
      </c>
      <c r="II393" t="e">
        <f>IF(#REF!,"AAAAAH7/d/I=",0)</f>
        <v>#REF!</v>
      </c>
      <c r="IJ393" t="e">
        <f>IF(#REF!,"AAAAAH7/d/M=",0)</f>
        <v>#REF!</v>
      </c>
      <c r="IK393" t="e">
        <f>IF(#REF!,"AAAAAH7/d/Q=",0)</f>
        <v>#REF!</v>
      </c>
      <c r="IL393" t="e">
        <f>IF(#REF!,"AAAAAH7/d/U=",0)</f>
        <v>#REF!</v>
      </c>
      <c r="IM393" t="e">
        <f>IF(#REF!,"AAAAAH7/d/Y=",0)</f>
        <v>#REF!</v>
      </c>
      <c r="IN393" t="e">
        <f>IF(#REF!,"AAAAAH7/d/c=",0)</f>
        <v>#REF!</v>
      </c>
      <c r="IO393" t="e">
        <f>IF(#REF!,"AAAAAH7/d/g=",0)</f>
        <v>#REF!</v>
      </c>
      <c r="IP393" t="e">
        <f>IF(#REF!,"AAAAAH7/d/k=",0)</f>
        <v>#REF!</v>
      </c>
      <c r="IQ393" t="e">
        <f>IF(#REF!,"AAAAAH7/d/o=",0)</f>
        <v>#REF!</v>
      </c>
      <c r="IR393" t="e">
        <f>IF(#REF!,"AAAAAH7/d/s=",0)</f>
        <v>#REF!</v>
      </c>
      <c r="IS393" t="e">
        <f>IF(#REF!,"AAAAAH7/d/w=",0)</f>
        <v>#REF!</v>
      </c>
      <c r="IT393" t="e">
        <f>IF(#REF!,"AAAAAH7/d/0=",0)</f>
        <v>#REF!</v>
      </c>
      <c r="IU393" t="e">
        <f>IF(#REF!,"AAAAAH7/d/4=",0)</f>
        <v>#REF!</v>
      </c>
      <c r="IV393" t="e">
        <f>IF(#REF!,"AAAAAH7/d/8=",0)</f>
        <v>#REF!</v>
      </c>
    </row>
    <row r="394" spans="1:256">
      <c r="A394" t="e">
        <f>IF(#REF!,"AAAAAG+/oQA=",0)</f>
        <v>#REF!</v>
      </c>
      <c r="B394" t="e">
        <f>IF(#REF!,"AAAAAG+/oQE=",0)</f>
        <v>#REF!</v>
      </c>
      <c r="C394" t="e">
        <f>IF(#REF!,"AAAAAG+/oQI=",0)</f>
        <v>#REF!</v>
      </c>
      <c r="D394" t="e">
        <f>IF(#REF!,"AAAAAG+/oQM=",0)</f>
        <v>#REF!</v>
      </c>
      <c r="E394" t="e">
        <f>IF(#REF!,"AAAAAG+/oQQ=",0)</f>
        <v>#REF!</v>
      </c>
      <c r="F394" t="e">
        <f>IF(#REF!,"AAAAAG+/oQU=",0)</f>
        <v>#REF!</v>
      </c>
      <c r="G394" t="e">
        <f>IF(#REF!,"AAAAAG+/oQY=",0)</f>
        <v>#REF!</v>
      </c>
      <c r="H394" t="e">
        <f>IF(#REF!,"AAAAAG+/oQc=",0)</f>
        <v>#REF!</v>
      </c>
      <c r="I394" t="e">
        <f>IF(#REF!,"AAAAAG+/oQg=",0)</f>
        <v>#REF!</v>
      </c>
      <c r="J394" t="e">
        <f>IF(#REF!,"AAAAAG+/oQk=",0)</f>
        <v>#REF!</v>
      </c>
      <c r="K394" t="e">
        <f>IF(#REF!,"AAAAAG+/oQo=",0)</f>
        <v>#REF!</v>
      </c>
      <c r="L394" t="e">
        <f>IF(#REF!,"AAAAAG+/oQs=",0)</f>
        <v>#REF!</v>
      </c>
      <c r="M394" t="e">
        <f>IF(#REF!,"AAAAAG+/oQw=",0)</f>
        <v>#REF!</v>
      </c>
      <c r="N394" t="e">
        <f>IF(#REF!,"AAAAAG+/oQ0=",0)</f>
        <v>#REF!</v>
      </c>
      <c r="O394" t="e">
        <f>IF(#REF!,"AAAAAG+/oQ4=",0)</f>
        <v>#REF!</v>
      </c>
      <c r="P394" t="e">
        <f>IF(#REF!,"AAAAAG+/oQ8=",0)</f>
        <v>#REF!</v>
      </c>
      <c r="Q394" t="e">
        <f>IF(#REF!,"AAAAAG+/oRA=",0)</f>
        <v>#REF!</v>
      </c>
      <c r="R394" t="e">
        <f>IF(#REF!,"AAAAAG+/oRE=",0)</f>
        <v>#REF!</v>
      </c>
      <c r="S394" t="e">
        <f>IF(#REF!,"AAAAAG+/oRI=",0)</f>
        <v>#REF!</v>
      </c>
      <c r="T394" t="e">
        <f>IF(#REF!,"AAAAAG+/oRM=",0)</f>
        <v>#REF!</v>
      </c>
      <c r="U394" t="e">
        <f>IF(#REF!,"AAAAAG+/oRQ=",0)</f>
        <v>#REF!</v>
      </c>
      <c r="V394" t="e">
        <f>IF(#REF!,"AAAAAG+/oRU=",0)</f>
        <v>#REF!</v>
      </c>
      <c r="W394" t="e">
        <f>IF(#REF!,"AAAAAG+/oRY=",0)</f>
        <v>#REF!</v>
      </c>
      <c r="X394" t="e">
        <f>IF(#REF!,"AAAAAG+/oRc=",0)</f>
        <v>#REF!</v>
      </c>
      <c r="Y394" t="e">
        <f>IF(#REF!,"AAAAAG+/oRg=",0)</f>
        <v>#REF!</v>
      </c>
      <c r="Z394" t="e">
        <f>IF(#REF!,"AAAAAG+/oRk=",0)</f>
        <v>#REF!</v>
      </c>
      <c r="AA394" t="e">
        <f>IF(#REF!,"AAAAAG+/oRo=",0)</f>
        <v>#REF!</v>
      </c>
      <c r="AB394" t="e">
        <f>IF(#REF!,"AAAAAG+/oRs=",0)</f>
        <v>#REF!</v>
      </c>
      <c r="AC394" t="e">
        <f>IF(#REF!,"AAAAAG+/oRw=",0)</f>
        <v>#REF!</v>
      </c>
      <c r="AD394" t="e">
        <f>IF(#REF!,"AAAAAG+/oR0=",0)</f>
        <v>#REF!</v>
      </c>
      <c r="AE394" t="e">
        <f>IF(#REF!,"AAAAAG+/oR4=",0)</f>
        <v>#REF!</v>
      </c>
      <c r="AF394" t="e">
        <f>IF(#REF!,"AAAAAG+/oR8=",0)</f>
        <v>#REF!</v>
      </c>
      <c r="AG394" t="e">
        <f>IF(#REF!,"AAAAAG+/oSA=",0)</f>
        <v>#REF!</v>
      </c>
      <c r="AH394" t="e">
        <f>IF(#REF!,"AAAAAG+/oSE=",0)</f>
        <v>#REF!</v>
      </c>
      <c r="AI394" t="e">
        <f>IF(#REF!,"AAAAAG+/oSI=",0)</f>
        <v>#REF!</v>
      </c>
      <c r="AJ394" t="e">
        <f>IF(#REF!,"AAAAAG+/oSM=",0)</f>
        <v>#REF!</v>
      </c>
      <c r="AK394" t="e">
        <f>IF(#REF!,"AAAAAG+/oSQ=",0)</f>
        <v>#REF!</v>
      </c>
      <c r="AL394" t="e">
        <f>IF(#REF!,"AAAAAG+/oSU=",0)</f>
        <v>#REF!</v>
      </c>
      <c r="AM394" t="e">
        <f>IF(#REF!,"AAAAAG+/oSY=",0)</f>
        <v>#REF!</v>
      </c>
      <c r="AN394" t="e">
        <f>IF(#REF!,"AAAAAG+/oSc=",0)</f>
        <v>#REF!</v>
      </c>
      <c r="AO394" t="e">
        <f>IF(#REF!,"AAAAAG+/oSg=",0)</f>
        <v>#REF!</v>
      </c>
      <c r="AP394" t="e">
        <f>IF(#REF!,"AAAAAG+/oSk=",0)</f>
        <v>#REF!</v>
      </c>
      <c r="AQ394" t="e">
        <f>IF(#REF!,"AAAAAG+/oSo=",0)</f>
        <v>#REF!</v>
      </c>
      <c r="AR394" t="e">
        <f>IF(#REF!,"AAAAAG+/oSs=",0)</f>
        <v>#REF!</v>
      </c>
      <c r="AS394" t="e">
        <f>IF(#REF!,"AAAAAG+/oSw=",0)</f>
        <v>#REF!</v>
      </c>
      <c r="AT394" t="e">
        <f>IF(#REF!,"AAAAAG+/oS0=",0)</f>
        <v>#REF!</v>
      </c>
      <c r="AU394" t="e">
        <f>IF(#REF!,"AAAAAG+/oS4=",0)</f>
        <v>#REF!</v>
      </c>
      <c r="AV394" t="e">
        <f>IF(#REF!,"AAAAAG+/oS8=",0)</f>
        <v>#REF!</v>
      </c>
      <c r="AW394" t="e">
        <f>IF(#REF!,"AAAAAG+/oTA=",0)</f>
        <v>#REF!</v>
      </c>
      <c r="AX394" t="e">
        <f>IF(#REF!,"AAAAAG+/oTE=",0)</f>
        <v>#REF!</v>
      </c>
      <c r="AY394" t="e">
        <f>IF(#REF!,"AAAAAG+/oTI=",0)</f>
        <v>#REF!</v>
      </c>
      <c r="AZ394" t="e">
        <f>IF(#REF!,"AAAAAG+/oTM=",0)</f>
        <v>#REF!</v>
      </c>
      <c r="BA394" t="e">
        <f>IF(#REF!,"AAAAAG+/oTQ=",0)</f>
        <v>#REF!</v>
      </c>
      <c r="BB394" t="e">
        <f>IF(#REF!,"AAAAAG+/oTU=",0)</f>
        <v>#REF!</v>
      </c>
      <c r="BC394" t="e">
        <f>IF(#REF!,"AAAAAG+/oTY=",0)</f>
        <v>#REF!</v>
      </c>
      <c r="BD394" t="e">
        <f>IF(#REF!,"AAAAAG+/oTc=",0)</f>
        <v>#REF!</v>
      </c>
      <c r="BE394" t="e">
        <f>IF(#REF!,"AAAAAG+/oTg=",0)</f>
        <v>#REF!</v>
      </c>
      <c r="BF394" t="e">
        <f>IF(#REF!,"AAAAAG+/oTk=",0)</f>
        <v>#REF!</v>
      </c>
      <c r="BG394" t="e">
        <f>IF(#REF!,"AAAAAG+/oTo=",0)</f>
        <v>#REF!</v>
      </c>
      <c r="BH394" t="e">
        <f>IF(#REF!,"AAAAAG+/oTs=",0)</f>
        <v>#REF!</v>
      </c>
      <c r="BI394" t="e">
        <f>IF(#REF!,"AAAAAG+/oTw=",0)</f>
        <v>#REF!</v>
      </c>
      <c r="BJ394" t="e">
        <f>IF(#REF!,"AAAAAG+/oT0=",0)</f>
        <v>#REF!</v>
      </c>
      <c r="BK394" t="e">
        <f>IF(#REF!,"AAAAAG+/oT4=",0)</f>
        <v>#REF!</v>
      </c>
      <c r="BL394" t="e">
        <f>IF(#REF!,"AAAAAG+/oT8=",0)</f>
        <v>#REF!</v>
      </c>
      <c r="BM394" t="e">
        <f>IF(#REF!,"AAAAAG+/oUA=",0)</f>
        <v>#REF!</v>
      </c>
      <c r="BN394" t="e">
        <f>IF(#REF!,"AAAAAG+/oUE=",0)</f>
        <v>#REF!</v>
      </c>
      <c r="BO394" t="e">
        <f>IF(#REF!,"AAAAAG+/oUI=",0)</f>
        <v>#REF!</v>
      </c>
      <c r="BP394" t="e">
        <f>IF(#REF!,"AAAAAG+/oUM=",0)</f>
        <v>#REF!</v>
      </c>
      <c r="BQ394" t="e">
        <f>IF(#REF!,"AAAAAG+/oUQ=",0)</f>
        <v>#REF!</v>
      </c>
      <c r="BR394" t="e">
        <f>IF(#REF!,"AAAAAG+/oUU=",0)</f>
        <v>#REF!</v>
      </c>
      <c r="BS394" t="e">
        <f>IF(#REF!,"AAAAAG+/oUY=",0)</f>
        <v>#REF!</v>
      </c>
      <c r="BT394" t="e">
        <f>IF(#REF!,"AAAAAG+/oUc=",0)</f>
        <v>#REF!</v>
      </c>
      <c r="BU394" t="e">
        <f>IF(#REF!,"AAAAAG+/oUg=",0)</f>
        <v>#REF!</v>
      </c>
      <c r="BV394" t="e">
        <f>IF(#REF!,"AAAAAG+/oUk=",0)</f>
        <v>#REF!</v>
      </c>
      <c r="BW394" t="e">
        <f>IF(#REF!,"AAAAAG+/oUo=",0)</f>
        <v>#REF!</v>
      </c>
      <c r="BX394" t="e">
        <f>IF(#REF!,"AAAAAG+/oUs=",0)</f>
        <v>#REF!</v>
      </c>
      <c r="BY394" t="e">
        <f>IF(#REF!,"AAAAAG+/oUw=",0)</f>
        <v>#REF!</v>
      </c>
      <c r="BZ394" t="e">
        <f>IF(#REF!,"AAAAAG+/oU0=",0)</f>
        <v>#REF!</v>
      </c>
      <c r="CA394" t="e">
        <f>IF(#REF!,"AAAAAG+/oU4=",0)</f>
        <v>#REF!</v>
      </c>
      <c r="CB394" t="e">
        <f>IF(#REF!,"AAAAAG+/oU8=",0)</f>
        <v>#REF!</v>
      </c>
      <c r="CC394" t="e">
        <f>IF(#REF!,"AAAAAG+/oVA=",0)</f>
        <v>#REF!</v>
      </c>
      <c r="CD394" t="e">
        <f>IF(#REF!,"AAAAAG+/oVE=",0)</f>
        <v>#REF!</v>
      </c>
      <c r="CE394" t="e">
        <f>IF(#REF!,"AAAAAG+/oVI=",0)</f>
        <v>#REF!</v>
      </c>
      <c r="CF394" t="e">
        <f>IF(#REF!,"AAAAAG+/oVM=",0)</f>
        <v>#REF!</v>
      </c>
      <c r="CG394" t="e">
        <f>IF(#REF!,"AAAAAG+/oVQ=",0)</f>
        <v>#REF!</v>
      </c>
      <c r="CH394" t="e">
        <f>IF(#REF!,"AAAAAG+/oVU=",0)</f>
        <v>#REF!</v>
      </c>
      <c r="CI394" t="e">
        <f>IF(#REF!,"AAAAAG+/oVY=",0)</f>
        <v>#REF!</v>
      </c>
      <c r="CJ394" t="e">
        <f>IF(#REF!,"AAAAAG+/oVc=",0)</f>
        <v>#REF!</v>
      </c>
      <c r="CK394" t="e">
        <f>IF(#REF!,"AAAAAG+/oVg=",0)</f>
        <v>#REF!</v>
      </c>
      <c r="CL394" t="e">
        <f>IF(#REF!,"AAAAAG+/oVk=",0)</f>
        <v>#REF!</v>
      </c>
      <c r="CM394" t="e">
        <f>IF(#REF!,"AAAAAG+/oVo=",0)</f>
        <v>#REF!</v>
      </c>
      <c r="CN394" t="e">
        <f>IF(#REF!,"AAAAAG+/oVs=",0)</f>
        <v>#REF!</v>
      </c>
      <c r="CO394" t="e">
        <f>IF(#REF!,"AAAAAG+/oVw=",0)</f>
        <v>#REF!</v>
      </c>
      <c r="CP394" t="e">
        <f>IF(#REF!,"AAAAAG+/oV0=",0)</f>
        <v>#REF!</v>
      </c>
      <c r="CQ394" t="e">
        <f>IF(#REF!,"AAAAAG+/oV4=",0)</f>
        <v>#REF!</v>
      </c>
      <c r="CR394" t="e">
        <f>IF(#REF!,"AAAAAG+/oV8=",0)</f>
        <v>#REF!</v>
      </c>
      <c r="CS394" t="e">
        <f>IF(#REF!,"AAAAAG+/oWA=",0)</f>
        <v>#REF!</v>
      </c>
      <c r="CT394" t="e">
        <f>IF(#REF!,"AAAAAG+/oWE=",0)</f>
        <v>#REF!</v>
      </c>
      <c r="CU394" t="e">
        <f>IF(#REF!,"AAAAAG+/oWI=",0)</f>
        <v>#REF!</v>
      </c>
      <c r="CV394" t="e">
        <f>IF(#REF!,"AAAAAG+/oWM=",0)</f>
        <v>#REF!</v>
      </c>
      <c r="CW394" t="e">
        <f>IF(#REF!,"AAAAAG+/oWQ=",0)</f>
        <v>#REF!</v>
      </c>
      <c r="CX394" t="e">
        <f>IF(#REF!,"AAAAAG+/oWU=",0)</f>
        <v>#REF!</v>
      </c>
      <c r="CY394" t="e">
        <f>IF(#REF!,"AAAAAG+/oWY=",0)</f>
        <v>#REF!</v>
      </c>
      <c r="CZ394" t="e">
        <f>IF(#REF!,"AAAAAG+/oWc=",0)</f>
        <v>#REF!</v>
      </c>
      <c r="DA394" t="e">
        <f>IF(#REF!,"AAAAAG+/oWg=",0)</f>
        <v>#REF!</v>
      </c>
      <c r="DB394" t="e">
        <f>IF(#REF!,"AAAAAG+/oWk=",0)</f>
        <v>#REF!</v>
      </c>
      <c r="DC394" t="e">
        <f>IF(#REF!,"AAAAAG+/oWo=",0)</f>
        <v>#REF!</v>
      </c>
      <c r="DD394" t="e">
        <f>IF(#REF!,"AAAAAG+/oWs=",0)</f>
        <v>#REF!</v>
      </c>
      <c r="DE394" t="e">
        <f>IF(#REF!,"AAAAAG+/oWw=",0)</f>
        <v>#REF!</v>
      </c>
      <c r="DF394" t="e">
        <f>IF(#REF!,"AAAAAG+/oW0=",0)</f>
        <v>#REF!</v>
      </c>
      <c r="DG394" t="e">
        <f>IF(#REF!,"AAAAAG+/oW4=",0)</f>
        <v>#REF!</v>
      </c>
      <c r="DH394" t="e">
        <f>IF(#REF!,"AAAAAG+/oW8=",0)</f>
        <v>#REF!</v>
      </c>
      <c r="DI394" t="e">
        <f>IF(#REF!,"AAAAAG+/oXA=",0)</f>
        <v>#REF!</v>
      </c>
      <c r="DJ394" t="e">
        <f>IF(#REF!,"AAAAAG+/oXE=",0)</f>
        <v>#REF!</v>
      </c>
      <c r="DK394" t="e">
        <f>IF(#REF!,"AAAAAG+/oXI=",0)</f>
        <v>#REF!</v>
      </c>
      <c r="DL394" t="e">
        <f>IF(#REF!,"AAAAAG+/oXM=",0)</f>
        <v>#REF!</v>
      </c>
      <c r="DM394" t="e">
        <f>IF(#REF!,"AAAAAG+/oXQ=",0)</f>
        <v>#REF!</v>
      </c>
      <c r="DN394" t="e">
        <f>IF(#REF!,"AAAAAG+/oXU=",0)</f>
        <v>#REF!</v>
      </c>
      <c r="DO394" t="e">
        <f>IF(#REF!,"AAAAAG+/oXY=",0)</f>
        <v>#REF!</v>
      </c>
      <c r="DP394" t="e">
        <f>IF(#REF!,"AAAAAG+/oXc=",0)</f>
        <v>#REF!</v>
      </c>
      <c r="DQ394" t="e">
        <f>IF(#REF!,"AAAAAG+/oXg=",0)</f>
        <v>#REF!</v>
      </c>
      <c r="DR394" t="e">
        <f>IF(#REF!,"AAAAAG+/oXk=",0)</f>
        <v>#REF!</v>
      </c>
      <c r="DS394" t="e">
        <f>IF(#REF!,"AAAAAG+/oXo=",0)</f>
        <v>#REF!</v>
      </c>
      <c r="DT394" t="e">
        <f>IF(#REF!,"AAAAAG+/oXs=",0)</f>
        <v>#REF!</v>
      </c>
      <c r="DU394" t="e">
        <f>IF(#REF!,"AAAAAG+/oXw=",0)</f>
        <v>#REF!</v>
      </c>
      <c r="DV394" t="e">
        <f>IF(#REF!,"AAAAAG+/oX0=",0)</f>
        <v>#REF!</v>
      </c>
      <c r="DW394" t="e">
        <f>IF(#REF!,"AAAAAG+/oX4=",0)</f>
        <v>#REF!</v>
      </c>
      <c r="DX394" t="e">
        <f>IF(#REF!,"AAAAAG+/oX8=",0)</f>
        <v>#REF!</v>
      </c>
      <c r="DY394" t="e">
        <f>IF(#REF!,"AAAAAG+/oYA=",0)</f>
        <v>#REF!</v>
      </c>
      <c r="DZ394" t="e">
        <f>IF(#REF!,"AAAAAG+/oYE=",0)</f>
        <v>#REF!</v>
      </c>
      <c r="EA394" t="e">
        <f>IF(#REF!,"AAAAAG+/oYI=",0)</f>
        <v>#REF!</v>
      </c>
      <c r="EB394" t="e">
        <f>IF(#REF!,"AAAAAG+/oYM=",0)</f>
        <v>#REF!</v>
      </c>
      <c r="EC394" t="e">
        <f>IF(#REF!,"AAAAAG+/oYQ=",0)</f>
        <v>#REF!</v>
      </c>
      <c r="ED394" t="e">
        <f>IF(#REF!,"AAAAAG+/oYU=",0)</f>
        <v>#REF!</v>
      </c>
      <c r="EE394" t="e">
        <f>IF(#REF!,"AAAAAG+/oYY=",0)</f>
        <v>#REF!</v>
      </c>
      <c r="EF394" t="e">
        <f>IF(#REF!,"AAAAAG+/oYc=",0)</f>
        <v>#REF!</v>
      </c>
      <c r="EG394" t="e">
        <f>IF(#REF!,"AAAAAG+/oYg=",0)</f>
        <v>#REF!</v>
      </c>
      <c r="EH394" t="e">
        <f>IF(#REF!,"AAAAAG+/oYk=",0)</f>
        <v>#REF!</v>
      </c>
      <c r="EI394" t="e">
        <f>IF(#REF!,"AAAAAG+/oYo=",0)</f>
        <v>#REF!</v>
      </c>
      <c r="EJ394" t="e">
        <f>IF(#REF!,"AAAAAG+/oYs=",0)</f>
        <v>#REF!</v>
      </c>
      <c r="EK394" t="e">
        <f>IF(#REF!,"AAAAAG+/oYw=",0)</f>
        <v>#REF!</v>
      </c>
      <c r="EL394" t="e">
        <f>IF(#REF!,"AAAAAG+/oY0=",0)</f>
        <v>#REF!</v>
      </c>
      <c r="EM394" t="e">
        <f>IF(#REF!,"AAAAAG+/oY4=",0)</f>
        <v>#REF!</v>
      </c>
      <c r="EN394" t="e">
        <f>IF(#REF!,"AAAAAG+/oY8=",0)</f>
        <v>#REF!</v>
      </c>
      <c r="EO394" t="e">
        <f>IF(#REF!,"AAAAAG+/oZA=",0)</f>
        <v>#REF!</v>
      </c>
      <c r="EP394" t="e">
        <f>IF(#REF!,"AAAAAG+/oZE=",0)</f>
        <v>#REF!</v>
      </c>
      <c r="EQ394" t="e">
        <f>IF(#REF!,"AAAAAG+/oZI=",0)</f>
        <v>#REF!</v>
      </c>
      <c r="ER394" t="e">
        <f>IF(#REF!,"AAAAAG+/oZM=",0)</f>
        <v>#REF!</v>
      </c>
      <c r="ES394" t="e">
        <f>IF(#REF!,"AAAAAG+/oZQ=",0)</f>
        <v>#REF!</v>
      </c>
      <c r="ET394" t="e">
        <f>IF(#REF!,"AAAAAG+/oZU=",0)</f>
        <v>#REF!</v>
      </c>
      <c r="EU394" t="e">
        <f>IF(#REF!,"AAAAAG+/oZY=",0)</f>
        <v>#REF!</v>
      </c>
      <c r="EV394" t="e">
        <f>IF(#REF!,"AAAAAG+/oZc=",0)</f>
        <v>#REF!</v>
      </c>
      <c r="EW394" t="e">
        <f>IF(#REF!,"AAAAAG+/oZg=",0)</f>
        <v>#REF!</v>
      </c>
      <c r="EX394" t="e">
        <f>IF(#REF!,"AAAAAG+/oZk=",0)</f>
        <v>#REF!</v>
      </c>
      <c r="EY394" t="e">
        <f>IF(#REF!,"AAAAAG+/oZo=",0)</f>
        <v>#REF!</v>
      </c>
      <c r="EZ394" t="e">
        <f>IF(#REF!,"AAAAAG+/oZs=",0)</f>
        <v>#REF!</v>
      </c>
      <c r="FA394" t="e">
        <f>IF(#REF!,"AAAAAG+/oZw=",0)</f>
        <v>#REF!</v>
      </c>
      <c r="FB394" t="e">
        <f>IF(#REF!,"AAAAAG+/oZ0=",0)</f>
        <v>#REF!</v>
      </c>
      <c r="FC394" t="e">
        <f>IF(#REF!,"AAAAAG+/oZ4=",0)</f>
        <v>#REF!</v>
      </c>
      <c r="FD394" t="e">
        <f>IF(#REF!,"AAAAAG+/oZ8=",0)</f>
        <v>#REF!</v>
      </c>
      <c r="FE394" t="e">
        <f>IF(#REF!,"AAAAAG+/oaA=",0)</f>
        <v>#REF!</v>
      </c>
      <c r="FF394" t="e">
        <f>IF(#REF!,"AAAAAG+/oaE=",0)</f>
        <v>#REF!</v>
      </c>
      <c r="FG394" t="e">
        <f>IF(#REF!,"AAAAAG+/oaI=",0)</f>
        <v>#REF!</v>
      </c>
      <c r="FH394" t="e">
        <f>IF(#REF!,"AAAAAG+/oaM=",0)</f>
        <v>#REF!</v>
      </c>
      <c r="FI394" t="e">
        <f>IF(#REF!,"AAAAAG+/oaQ=",0)</f>
        <v>#REF!</v>
      </c>
      <c r="FJ394" t="e">
        <f>IF(#REF!,"AAAAAG+/oaU=",0)</f>
        <v>#REF!</v>
      </c>
      <c r="FK394" t="e">
        <f>IF(#REF!,"AAAAAG+/oaY=",0)</f>
        <v>#REF!</v>
      </c>
      <c r="FL394" t="e">
        <f>IF(#REF!,"AAAAAG+/oac=",0)</f>
        <v>#REF!</v>
      </c>
      <c r="FM394" t="e">
        <f>IF(#REF!,"AAAAAG+/oag=",0)</f>
        <v>#REF!</v>
      </c>
      <c r="FN394" t="e">
        <f>IF(#REF!,"AAAAAG+/oak=",0)</f>
        <v>#REF!</v>
      </c>
      <c r="FO394" t="e">
        <f>IF(#REF!,"AAAAAG+/oao=",0)</f>
        <v>#REF!</v>
      </c>
      <c r="FP394" t="e">
        <f>IF(#REF!,"AAAAAG+/oas=",0)</f>
        <v>#REF!</v>
      </c>
      <c r="FQ394" t="e">
        <f>IF(#REF!,"AAAAAG+/oaw=",0)</f>
        <v>#REF!</v>
      </c>
      <c r="FR394" t="e">
        <f>IF(#REF!,"AAAAAG+/oa0=",0)</f>
        <v>#REF!</v>
      </c>
      <c r="FS394" t="e">
        <f>IF(#REF!,"AAAAAG+/oa4=",0)</f>
        <v>#REF!</v>
      </c>
      <c r="FT394" t="e">
        <f>IF(#REF!,"AAAAAG+/oa8=",0)</f>
        <v>#REF!</v>
      </c>
      <c r="FU394" t="e">
        <f>IF(#REF!,"AAAAAG+/obA=",0)</f>
        <v>#REF!</v>
      </c>
      <c r="FV394" t="e">
        <f>IF(#REF!,"AAAAAG+/obE=",0)</f>
        <v>#REF!</v>
      </c>
      <c r="FW394" t="e">
        <f>IF(#REF!,"AAAAAG+/obI=",0)</f>
        <v>#REF!</v>
      </c>
      <c r="FX394" t="e">
        <f>IF(#REF!,"AAAAAG+/obM=",0)</f>
        <v>#REF!</v>
      </c>
      <c r="FY394" t="e">
        <f>IF(#REF!,"AAAAAG+/obQ=",0)</f>
        <v>#REF!</v>
      </c>
      <c r="FZ394" t="e">
        <f>IF(#REF!,"AAAAAG+/obU=",0)</f>
        <v>#REF!</v>
      </c>
      <c r="GA394" t="e">
        <f>IF(#REF!,"AAAAAG+/obY=",0)</f>
        <v>#REF!</v>
      </c>
      <c r="GB394" t="e">
        <f>IF(#REF!,"AAAAAG+/obc=",0)</f>
        <v>#REF!</v>
      </c>
      <c r="GC394" t="e">
        <f>IF(#REF!,"AAAAAG+/obg=",0)</f>
        <v>#REF!</v>
      </c>
      <c r="GD394" t="e">
        <f>IF(#REF!,"AAAAAG+/obk=",0)</f>
        <v>#REF!</v>
      </c>
      <c r="GE394" t="e">
        <f>IF(#REF!,"AAAAAG+/obo=",0)</f>
        <v>#REF!</v>
      </c>
      <c r="GF394" t="e">
        <f>IF(#REF!,"AAAAAG+/obs=",0)</f>
        <v>#REF!</v>
      </c>
      <c r="GG394" t="e">
        <f>IF(#REF!,"AAAAAG+/obw=",0)</f>
        <v>#REF!</v>
      </c>
      <c r="GH394" t="e">
        <f>IF(#REF!,"AAAAAG+/ob0=",0)</f>
        <v>#REF!</v>
      </c>
      <c r="GI394" t="e">
        <f>IF(#REF!,"AAAAAG+/ob4=",0)</f>
        <v>#REF!</v>
      </c>
      <c r="GJ394" t="e">
        <f>IF(#REF!,"AAAAAG+/ob8=",0)</f>
        <v>#REF!</v>
      </c>
      <c r="GK394" t="e">
        <f>IF(#REF!,"AAAAAG+/ocA=",0)</f>
        <v>#REF!</v>
      </c>
      <c r="GL394" t="e">
        <f>IF(#REF!,"AAAAAG+/ocE=",0)</f>
        <v>#REF!</v>
      </c>
      <c r="GM394" t="e">
        <f>IF(#REF!,"AAAAAG+/ocI=",0)</f>
        <v>#REF!</v>
      </c>
      <c r="GN394" t="e">
        <f>IF(#REF!,"AAAAAG+/ocM=",0)</f>
        <v>#REF!</v>
      </c>
      <c r="GO394" t="e">
        <f>IF(#REF!,"AAAAAG+/ocQ=",0)</f>
        <v>#REF!</v>
      </c>
      <c r="GP394" t="e">
        <f>IF(#REF!,"AAAAAG+/ocU=",0)</f>
        <v>#REF!</v>
      </c>
      <c r="GQ394" t="e">
        <f>IF(#REF!,"AAAAAG+/ocY=",0)</f>
        <v>#REF!</v>
      </c>
      <c r="GR394" t="e">
        <f>IF(#REF!,"AAAAAG+/occ=",0)</f>
        <v>#REF!</v>
      </c>
      <c r="GS394" t="e">
        <f>IF(#REF!,"AAAAAG+/ocg=",0)</f>
        <v>#REF!</v>
      </c>
      <c r="GT394" t="e">
        <f>IF(#REF!,"AAAAAG+/ock=",0)</f>
        <v>#REF!</v>
      </c>
      <c r="GU394" t="e">
        <f>IF(#REF!,"AAAAAG+/oco=",0)</f>
        <v>#REF!</v>
      </c>
      <c r="GV394" t="e">
        <f>IF(#REF!,"AAAAAG+/ocs=",0)</f>
        <v>#REF!</v>
      </c>
      <c r="GW394" t="e">
        <f>IF(#REF!,"AAAAAG+/ocw=",0)</f>
        <v>#REF!</v>
      </c>
      <c r="GX394" t="e">
        <f>IF(#REF!,"AAAAAG+/oc0=",0)</f>
        <v>#REF!</v>
      </c>
      <c r="GY394" t="e">
        <f>IF(#REF!,"AAAAAG+/oc4=",0)</f>
        <v>#REF!</v>
      </c>
      <c r="GZ394" t="e">
        <f>IF(#REF!,"AAAAAG+/oc8=",0)</f>
        <v>#REF!</v>
      </c>
      <c r="HA394" t="e">
        <f>IF(#REF!,"AAAAAG+/odA=",0)</f>
        <v>#REF!</v>
      </c>
      <c r="HB394" t="e">
        <f>IF(#REF!,"AAAAAG+/odE=",0)</f>
        <v>#REF!</v>
      </c>
      <c r="HC394" t="e">
        <f>IF(#REF!,"AAAAAG+/odI=",0)</f>
        <v>#REF!</v>
      </c>
      <c r="HD394" t="e">
        <f>IF(#REF!,"AAAAAG+/odM=",0)</f>
        <v>#REF!</v>
      </c>
      <c r="HE394" t="e">
        <f>IF(#REF!,"AAAAAG+/odQ=",0)</f>
        <v>#REF!</v>
      </c>
      <c r="HF394" t="e">
        <f>IF(#REF!,"AAAAAG+/odU=",0)</f>
        <v>#REF!</v>
      </c>
      <c r="HG394" t="e">
        <f>IF(#REF!,"AAAAAG+/odY=",0)</f>
        <v>#REF!</v>
      </c>
      <c r="HH394" t="e">
        <f>IF(#REF!,"AAAAAG+/odc=",0)</f>
        <v>#REF!</v>
      </c>
      <c r="HI394" t="e">
        <f>IF(#REF!,"AAAAAG+/odg=",0)</f>
        <v>#REF!</v>
      </c>
      <c r="HJ394" t="e">
        <f>IF(#REF!,"AAAAAG+/odk=",0)</f>
        <v>#REF!</v>
      </c>
      <c r="HK394" t="e">
        <f>IF(#REF!,"AAAAAG+/odo=",0)</f>
        <v>#REF!</v>
      </c>
      <c r="HL394" t="e">
        <f>IF(#REF!,"AAAAAG+/ods=",0)</f>
        <v>#REF!</v>
      </c>
      <c r="HM394" t="e">
        <f>IF(#REF!,"AAAAAG+/odw=",0)</f>
        <v>#REF!</v>
      </c>
      <c r="HN394" t="e">
        <f>IF(#REF!,"AAAAAG+/od0=",0)</f>
        <v>#REF!</v>
      </c>
      <c r="HO394" t="e">
        <f>IF(#REF!,"AAAAAG+/od4=",0)</f>
        <v>#REF!</v>
      </c>
      <c r="HP394" t="e">
        <f>IF(#REF!,"AAAAAG+/od8=",0)</f>
        <v>#REF!</v>
      </c>
      <c r="HQ394" t="e">
        <f>IF(#REF!,"AAAAAG+/oeA=",0)</f>
        <v>#REF!</v>
      </c>
      <c r="HR394" t="e">
        <f>IF(#REF!,"AAAAAG+/oeE=",0)</f>
        <v>#REF!</v>
      </c>
      <c r="HS394" t="e">
        <f>IF(#REF!,"AAAAAG+/oeI=",0)</f>
        <v>#REF!</v>
      </c>
      <c r="HT394" t="e">
        <f>IF(#REF!,"AAAAAG+/oeM=",0)</f>
        <v>#REF!</v>
      </c>
      <c r="HU394" t="e">
        <f>IF(#REF!,"AAAAAG+/oeQ=",0)</f>
        <v>#REF!</v>
      </c>
      <c r="HV394" t="e">
        <f>IF(#REF!,"AAAAAG+/oeU=",0)</f>
        <v>#REF!</v>
      </c>
      <c r="HW394" t="e">
        <f>IF(#REF!,"AAAAAG+/oeY=",0)</f>
        <v>#REF!</v>
      </c>
      <c r="HX394" t="e">
        <f>IF(#REF!,"AAAAAG+/oec=",0)</f>
        <v>#REF!</v>
      </c>
      <c r="HY394" t="e">
        <f>IF(#REF!,"AAAAAG+/oeg=",0)</f>
        <v>#REF!</v>
      </c>
      <c r="HZ394" t="e">
        <f>IF(#REF!,"AAAAAG+/oek=",0)</f>
        <v>#REF!</v>
      </c>
      <c r="IA394" t="e">
        <f>IF(#REF!,"AAAAAG+/oeo=",0)</f>
        <v>#REF!</v>
      </c>
      <c r="IB394" t="e">
        <f>IF(#REF!,"AAAAAG+/oes=",0)</f>
        <v>#REF!</v>
      </c>
      <c r="IC394" t="e">
        <f>IF(#REF!,"AAAAAG+/oew=",0)</f>
        <v>#REF!</v>
      </c>
      <c r="ID394" t="e">
        <f>IF(#REF!,"AAAAAG+/oe0=",0)</f>
        <v>#REF!</v>
      </c>
      <c r="IE394" t="e">
        <f>IF(#REF!,"AAAAAG+/oe4=",0)</f>
        <v>#REF!</v>
      </c>
      <c r="IF394" t="e">
        <f>IF(#REF!,"AAAAAG+/oe8=",0)</f>
        <v>#REF!</v>
      </c>
      <c r="IG394" t="e">
        <f>IF(#REF!,"AAAAAG+/ofA=",0)</f>
        <v>#REF!</v>
      </c>
      <c r="IH394" t="e">
        <f>IF(#REF!,"AAAAAG+/ofE=",0)</f>
        <v>#REF!</v>
      </c>
      <c r="II394" t="e">
        <f>IF(#REF!,"AAAAAG+/ofI=",0)</f>
        <v>#REF!</v>
      </c>
      <c r="IJ394" t="e">
        <f>IF(#REF!,"AAAAAG+/ofM=",0)</f>
        <v>#REF!</v>
      </c>
      <c r="IK394" t="e">
        <f>IF(#REF!,"AAAAAG+/ofQ=",0)</f>
        <v>#REF!</v>
      </c>
      <c r="IL394" t="e">
        <f>IF(#REF!,"AAAAAG+/ofU=",0)</f>
        <v>#REF!</v>
      </c>
      <c r="IM394" t="e">
        <f>IF(#REF!,"AAAAAG+/ofY=",0)</f>
        <v>#REF!</v>
      </c>
      <c r="IN394" t="e">
        <f>IF(#REF!,"AAAAAG+/ofc=",0)</f>
        <v>#REF!</v>
      </c>
      <c r="IO394" t="e">
        <f>IF(#REF!,"AAAAAG+/ofg=",0)</f>
        <v>#REF!</v>
      </c>
      <c r="IP394" t="e">
        <f>IF(#REF!,"AAAAAG+/ofk=",0)</f>
        <v>#REF!</v>
      </c>
      <c r="IQ394" t="e">
        <f>IF(#REF!,"AAAAAG+/ofo=",0)</f>
        <v>#REF!</v>
      </c>
      <c r="IR394" t="e">
        <f>IF(#REF!,"AAAAAG+/ofs=",0)</f>
        <v>#REF!</v>
      </c>
      <c r="IS394" t="e">
        <f>IF(#REF!,"AAAAAG+/ofw=",0)</f>
        <v>#REF!</v>
      </c>
      <c r="IT394" t="e">
        <f>IF(#REF!,"AAAAAG+/of0=",0)</f>
        <v>#REF!</v>
      </c>
      <c r="IU394" t="e">
        <f>IF(#REF!,"AAAAAG+/of4=",0)</f>
        <v>#REF!</v>
      </c>
      <c r="IV394" t="e">
        <f>IF(#REF!,"AAAAAG+/of8=",0)</f>
        <v>#REF!</v>
      </c>
    </row>
    <row r="395" spans="1:256">
      <c r="A395" t="e">
        <f>IF(#REF!,"AAAAAHvXnwA=",0)</f>
        <v>#REF!</v>
      </c>
      <c r="B395" t="e">
        <f>IF(#REF!,"AAAAAHvXnwE=",0)</f>
        <v>#REF!</v>
      </c>
      <c r="C395" t="e">
        <f>IF(#REF!,"AAAAAHvXnwI=",0)</f>
        <v>#REF!</v>
      </c>
      <c r="D395" t="e">
        <f>IF(#REF!,"AAAAAHvXnwM=",0)</f>
        <v>#REF!</v>
      </c>
      <c r="E395" t="e">
        <f>IF(#REF!,"AAAAAHvXnwQ=",0)</f>
        <v>#REF!</v>
      </c>
      <c r="F395" t="e">
        <f>IF(#REF!,"AAAAAHvXnwU=",0)</f>
        <v>#REF!</v>
      </c>
      <c r="G395" t="e">
        <f>IF(#REF!,"AAAAAHvXnwY=",0)</f>
        <v>#REF!</v>
      </c>
      <c r="H395" t="e">
        <f>IF(#REF!,"AAAAAHvXnwc=",0)</f>
        <v>#REF!</v>
      </c>
      <c r="I395" t="e">
        <f>IF(#REF!,"AAAAAHvXnwg=",0)</f>
        <v>#REF!</v>
      </c>
      <c r="J395" t="e">
        <f>IF(#REF!,"AAAAAHvXnwk=",0)</f>
        <v>#REF!</v>
      </c>
      <c r="K395" t="e">
        <f>IF(#REF!,"AAAAAHvXnwo=",0)</f>
        <v>#REF!</v>
      </c>
      <c r="L395" t="e">
        <f>IF(#REF!,"AAAAAHvXnws=",0)</f>
        <v>#REF!</v>
      </c>
      <c r="M395" t="e">
        <f>IF(#REF!,"AAAAAHvXnww=",0)</f>
        <v>#REF!</v>
      </c>
      <c r="N395" t="e">
        <f>IF(#REF!,"AAAAAHvXnw0=",0)</f>
        <v>#REF!</v>
      </c>
      <c r="O395" t="e">
        <f>IF(#REF!,"AAAAAHvXnw4=",0)</f>
        <v>#REF!</v>
      </c>
      <c r="P395" t="e">
        <f>IF(#REF!,"AAAAAHvXnw8=",0)</f>
        <v>#REF!</v>
      </c>
      <c r="Q395" t="e">
        <f>IF(#REF!,"AAAAAHvXnxA=",0)</f>
        <v>#REF!</v>
      </c>
      <c r="R395" t="e">
        <f>IF(#REF!,"AAAAAHvXnxE=",0)</f>
        <v>#REF!</v>
      </c>
      <c r="S395" t="e">
        <f>IF(#REF!,"AAAAAHvXnxI=",0)</f>
        <v>#REF!</v>
      </c>
      <c r="T395" t="e">
        <f>IF(#REF!,"AAAAAHvXnxM=",0)</f>
        <v>#REF!</v>
      </c>
      <c r="U395" t="e">
        <f>IF(#REF!,"AAAAAHvXnxQ=",0)</f>
        <v>#REF!</v>
      </c>
      <c r="V395" t="e">
        <f>IF(#REF!,"AAAAAHvXnxU=",0)</f>
        <v>#REF!</v>
      </c>
      <c r="W395" t="e">
        <f>IF(#REF!,"AAAAAHvXnxY=",0)</f>
        <v>#REF!</v>
      </c>
      <c r="X395" t="e">
        <f>IF(#REF!,"AAAAAHvXnxc=",0)</f>
        <v>#REF!</v>
      </c>
      <c r="Y395" t="e">
        <f>IF(#REF!,"AAAAAHvXnxg=",0)</f>
        <v>#REF!</v>
      </c>
      <c r="Z395" t="e">
        <f>IF(#REF!,"AAAAAHvXnxk=",0)</f>
        <v>#REF!</v>
      </c>
      <c r="AA395" t="e">
        <f>IF(#REF!,"AAAAAHvXnxo=",0)</f>
        <v>#REF!</v>
      </c>
      <c r="AB395" t="e">
        <f>IF(#REF!,"AAAAAHvXnxs=",0)</f>
        <v>#REF!</v>
      </c>
      <c r="AC395" t="e">
        <f>IF(#REF!,"AAAAAHvXnxw=",0)</f>
        <v>#REF!</v>
      </c>
      <c r="AD395" t="e">
        <f>IF(#REF!,"AAAAAHvXnx0=",0)</f>
        <v>#REF!</v>
      </c>
      <c r="AE395" t="e">
        <f>IF(#REF!,"AAAAAHvXnx4=",0)</f>
        <v>#REF!</v>
      </c>
      <c r="AF395" t="e">
        <f>IF(#REF!,"AAAAAHvXnx8=",0)</f>
        <v>#REF!</v>
      </c>
      <c r="AG395" t="e">
        <f>IF(#REF!,"AAAAAHvXnyA=",0)</f>
        <v>#REF!</v>
      </c>
      <c r="AH395" t="e">
        <f>IF(#REF!,"AAAAAHvXnyE=",0)</f>
        <v>#REF!</v>
      </c>
      <c r="AI395" t="e">
        <f>IF(#REF!,"AAAAAHvXnyI=",0)</f>
        <v>#REF!</v>
      </c>
      <c r="AJ395" t="e">
        <f>IF(#REF!,"AAAAAHvXnyM=",0)</f>
        <v>#REF!</v>
      </c>
      <c r="AK395" t="e">
        <f>IF(#REF!,"AAAAAHvXnyQ=",0)</f>
        <v>#REF!</v>
      </c>
      <c r="AL395" t="e">
        <f>IF(#REF!,"AAAAAHvXnyU=",0)</f>
        <v>#REF!</v>
      </c>
      <c r="AM395" t="e">
        <f>IF(#REF!,"AAAAAHvXnyY=",0)</f>
        <v>#REF!</v>
      </c>
      <c r="AN395" t="e">
        <f>IF(#REF!,"AAAAAHvXnyc=",0)</f>
        <v>#REF!</v>
      </c>
      <c r="AO395" t="e">
        <f>IF(#REF!,"AAAAAHvXnyg=",0)</f>
        <v>#REF!</v>
      </c>
      <c r="AP395" t="e">
        <f>IF(#REF!,"AAAAAHvXnyk=",0)</f>
        <v>#REF!</v>
      </c>
      <c r="AQ395" t="e">
        <f>IF(#REF!,"AAAAAHvXnyo=",0)</f>
        <v>#REF!</v>
      </c>
      <c r="AR395" t="e">
        <f>IF(#REF!,"AAAAAHvXnys=",0)</f>
        <v>#REF!</v>
      </c>
      <c r="AS395" t="e">
        <f>IF(#REF!,"AAAAAHvXnyw=",0)</f>
        <v>#REF!</v>
      </c>
      <c r="AT395" t="e">
        <f>IF(#REF!,"AAAAAHvXny0=",0)</f>
        <v>#REF!</v>
      </c>
      <c r="AU395" t="e">
        <f>IF(#REF!,"AAAAAHvXny4=",0)</f>
        <v>#REF!</v>
      </c>
      <c r="AV395" t="e">
        <f>IF(#REF!,"AAAAAHvXny8=",0)</f>
        <v>#REF!</v>
      </c>
      <c r="AW395" t="e">
        <f>IF(#REF!,"AAAAAHvXnzA=",0)</f>
        <v>#REF!</v>
      </c>
      <c r="AX395" t="e">
        <f>IF(#REF!,"AAAAAHvXnzE=",0)</f>
        <v>#REF!</v>
      </c>
      <c r="AY395" t="e">
        <f>IF(#REF!,"AAAAAHvXnzI=",0)</f>
        <v>#REF!</v>
      </c>
      <c r="AZ395" t="e">
        <f>IF(#REF!,"AAAAAHvXnzM=",0)</f>
        <v>#REF!</v>
      </c>
      <c r="BA395" t="e">
        <f>IF(#REF!,"AAAAAHvXnzQ=",0)</f>
        <v>#REF!</v>
      </c>
      <c r="BB395" t="e">
        <f>IF(#REF!,"AAAAAHvXnzU=",0)</f>
        <v>#REF!</v>
      </c>
      <c r="BC395" t="e">
        <f>IF(#REF!,"AAAAAHvXnzY=",0)</f>
        <v>#REF!</v>
      </c>
      <c r="BD395" t="e">
        <f>IF(#REF!,"AAAAAHvXnzc=",0)</f>
        <v>#REF!</v>
      </c>
      <c r="BE395" t="e">
        <f>IF(#REF!,"AAAAAHvXnzg=",0)</f>
        <v>#REF!</v>
      </c>
      <c r="BF395" t="e">
        <f>IF(#REF!,"AAAAAHvXnzk=",0)</f>
        <v>#REF!</v>
      </c>
      <c r="BG395" t="e">
        <f>IF(#REF!,"AAAAAHvXnzo=",0)</f>
        <v>#REF!</v>
      </c>
      <c r="BH395" t="e">
        <f>IF(#REF!,"AAAAAHvXnzs=",0)</f>
        <v>#REF!</v>
      </c>
      <c r="BI395" t="e">
        <f>IF(#REF!,"AAAAAHvXnzw=",0)</f>
        <v>#REF!</v>
      </c>
      <c r="BJ395" t="e">
        <f>IF(#REF!,"AAAAAHvXnz0=",0)</f>
        <v>#REF!</v>
      </c>
      <c r="BK395" t="e">
        <f>IF(#REF!,"AAAAAHvXnz4=",0)</f>
        <v>#REF!</v>
      </c>
      <c r="BL395" t="e">
        <f>IF(#REF!,"AAAAAHvXnz8=",0)</f>
        <v>#REF!</v>
      </c>
      <c r="BM395" t="e">
        <f>IF(#REF!,"AAAAAHvXn0A=",0)</f>
        <v>#REF!</v>
      </c>
      <c r="BN395" t="e">
        <f>IF(#REF!,"AAAAAHvXn0E=",0)</f>
        <v>#REF!</v>
      </c>
      <c r="BO395" t="e">
        <f>IF(#REF!,"AAAAAHvXn0I=",0)</f>
        <v>#REF!</v>
      </c>
      <c r="BP395" t="e">
        <f>IF(#REF!,"AAAAAHvXn0M=",0)</f>
        <v>#REF!</v>
      </c>
      <c r="BQ395" t="e">
        <f>IF(#REF!,"AAAAAHvXn0Q=",0)</f>
        <v>#REF!</v>
      </c>
      <c r="BR395" t="e">
        <f>IF(#REF!,"AAAAAHvXn0U=",0)</f>
        <v>#REF!</v>
      </c>
      <c r="BS395" t="e">
        <f>IF(#REF!,"AAAAAHvXn0Y=",0)</f>
        <v>#REF!</v>
      </c>
      <c r="BT395" t="e">
        <f>IF(#REF!,"AAAAAHvXn0c=",0)</f>
        <v>#REF!</v>
      </c>
      <c r="BU395" t="e">
        <f>IF(#REF!,"AAAAAHvXn0g=",0)</f>
        <v>#REF!</v>
      </c>
      <c r="BV395" t="e">
        <f>IF(#REF!,"AAAAAHvXn0k=",0)</f>
        <v>#REF!</v>
      </c>
      <c r="BW395" t="e">
        <f>IF(#REF!,"AAAAAHvXn0o=",0)</f>
        <v>#REF!</v>
      </c>
      <c r="BX395" t="e">
        <f>IF(#REF!,"AAAAAHvXn0s=",0)</f>
        <v>#REF!</v>
      </c>
      <c r="BY395" t="e">
        <f>IF(#REF!,"AAAAAHvXn0w=",0)</f>
        <v>#REF!</v>
      </c>
      <c r="BZ395" t="e">
        <f>IF(#REF!,"AAAAAHvXn00=",0)</f>
        <v>#REF!</v>
      </c>
      <c r="CA395" t="e">
        <f>IF(#REF!,"AAAAAHvXn04=",0)</f>
        <v>#REF!</v>
      </c>
      <c r="CB395" t="e">
        <f>IF(#REF!,"AAAAAHvXn08=",0)</f>
        <v>#REF!</v>
      </c>
      <c r="CC395" t="e">
        <f>IF(#REF!,"AAAAAHvXn1A=",0)</f>
        <v>#REF!</v>
      </c>
      <c r="CD395" t="e">
        <f>IF(#REF!,"AAAAAHvXn1E=",0)</f>
        <v>#REF!</v>
      </c>
      <c r="CE395" t="e">
        <f>IF(#REF!,"AAAAAHvXn1I=",0)</f>
        <v>#REF!</v>
      </c>
      <c r="CF395" t="e">
        <f>IF(#REF!,"AAAAAHvXn1M=",0)</f>
        <v>#REF!</v>
      </c>
      <c r="CG395" t="e">
        <f>IF(#REF!,"AAAAAHvXn1Q=",0)</f>
        <v>#REF!</v>
      </c>
      <c r="CH395" t="e">
        <f>IF(#REF!,"AAAAAHvXn1U=",0)</f>
        <v>#REF!</v>
      </c>
      <c r="CI395" t="e">
        <f>IF(#REF!,"AAAAAHvXn1Y=",0)</f>
        <v>#REF!</v>
      </c>
      <c r="CJ395" t="e">
        <f>IF(#REF!,"AAAAAHvXn1c=",0)</f>
        <v>#REF!</v>
      </c>
      <c r="CK395" t="e">
        <f>IF(#REF!,"AAAAAHvXn1g=",0)</f>
        <v>#REF!</v>
      </c>
      <c r="CL395" t="e">
        <f>IF(#REF!,"AAAAAHvXn1k=",0)</f>
        <v>#REF!</v>
      </c>
      <c r="CM395" t="e">
        <f>IF(#REF!,"AAAAAHvXn1o=",0)</f>
        <v>#REF!</v>
      </c>
      <c r="CN395" t="e">
        <f>IF(#REF!,"AAAAAHvXn1s=",0)</f>
        <v>#REF!</v>
      </c>
      <c r="CO395" t="e">
        <f>IF(#REF!,"AAAAAHvXn1w=",0)</f>
        <v>#REF!</v>
      </c>
      <c r="CP395" t="e">
        <f>IF(#REF!,"AAAAAHvXn10=",0)</f>
        <v>#REF!</v>
      </c>
      <c r="CQ395" t="e">
        <f>IF(#REF!,"AAAAAHvXn14=",0)</f>
        <v>#REF!</v>
      </c>
      <c r="CR395" t="e">
        <f>IF(#REF!,"AAAAAHvXn18=",0)</f>
        <v>#REF!</v>
      </c>
      <c r="CS395" t="e">
        <f>IF(#REF!,"AAAAAHvXn2A=",0)</f>
        <v>#REF!</v>
      </c>
      <c r="CT395" t="e">
        <f>IF(#REF!,"AAAAAHvXn2E=",0)</f>
        <v>#REF!</v>
      </c>
      <c r="CU395" t="e">
        <f>IF(#REF!,"AAAAAHvXn2I=",0)</f>
        <v>#REF!</v>
      </c>
      <c r="CV395" t="e">
        <f>IF(#REF!,"AAAAAHvXn2M=",0)</f>
        <v>#REF!</v>
      </c>
      <c r="CW395" t="e">
        <f>IF(#REF!,"AAAAAHvXn2Q=",0)</f>
        <v>#REF!</v>
      </c>
      <c r="CX395" t="e">
        <f>IF(#REF!,"AAAAAHvXn2U=",0)</f>
        <v>#REF!</v>
      </c>
      <c r="CY395" t="e">
        <f>IF(#REF!,"AAAAAHvXn2Y=",0)</f>
        <v>#REF!</v>
      </c>
      <c r="CZ395" t="e">
        <f>IF(#REF!,"AAAAAHvXn2c=",0)</f>
        <v>#REF!</v>
      </c>
      <c r="DA395" t="e">
        <f>IF(#REF!,"AAAAAHvXn2g=",0)</f>
        <v>#REF!</v>
      </c>
      <c r="DB395" t="e">
        <f>IF(#REF!,"AAAAAHvXn2k=",0)</f>
        <v>#REF!</v>
      </c>
      <c r="DC395" t="e">
        <f>IF(#REF!,"AAAAAHvXn2o=",0)</f>
        <v>#REF!</v>
      </c>
      <c r="DD395" t="e">
        <f>IF(#REF!,"AAAAAHvXn2s=",0)</f>
        <v>#REF!</v>
      </c>
      <c r="DE395" t="e">
        <f>IF(#REF!,"AAAAAHvXn2w=",0)</f>
        <v>#REF!</v>
      </c>
      <c r="DF395" t="e">
        <f>IF(#REF!,"AAAAAHvXn20=",0)</f>
        <v>#REF!</v>
      </c>
      <c r="DG395" t="e">
        <f>IF(#REF!,"AAAAAHvXn24=",0)</f>
        <v>#REF!</v>
      </c>
      <c r="DH395" t="e">
        <f>IF(#REF!,"AAAAAHvXn28=",0)</f>
        <v>#REF!</v>
      </c>
      <c r="DI395" t="e">
        <f>IF(#REF!,"AAAAAHvXn3A=",0)</f>
        <v>#REF!</v>
      </c>
      <c r="DJ395" t="e">
        <f>IF(#REF!,"AAAAAHvXn3E=",0)</f>
        <v>#REF!</v>
      </c>
      <c r="DK395" t="e">
        <f>IF(#REF!,"AAAAAHvXn3I=",0)</f>
        <v>#REF!</v>
      </c>
      <c r="DL395" t="e">
        <f>IF(#REF!,"AAAAAHvXn3M=",0)</f>
        <v>#REF!</v>
      </c>
      <c r="DM395" t="e">
        <f>IF(#REF!,"AAAAAHvXn3Q=",0)</f>
        <v>#REF!</v>
      </c>
      <c r="DN395" t="e">
        <f>IF(#REF!,"AAAAAHvXn3U=",0)</f>
        <v>#REF!</v>
      </c>
      <c r="DO395" t="e">
        <f>IF(#REF!,"AAAAAHvXn3Y=",0)</f>
        <v>#REF!</v>
      </c>
      <c r="DP395" t="e">
        <f>IF(#REF!,"AAAAAHvXn3c=",0)</f>
        <v>#REF!</v>
      </c>
      <c r="DQ395" t="e">
        <f>IF(#REF!,"AAAAAHvXn3g=",0)</f>
        <v>#REF!</v>
      </c>
      <c r="DR395" t="e">
        <f>IF(#REF!,"AAAAAHvXn3k=",0)</f>
        <v>#REF!</v>
      </c>
      <c r="DS395" t="e">
        <f>IF(#REF!,"AAAAAHvXn3o=",0)</f>
        <v>#REF!</v>
      </c>
      <c r="DT395" t="e">
        <f>IF(#REF!,"AAAAAHvXn3s=",0)</f>
        <v>#REF!</v>
      </c>
      <c r="DU395" t="e">
        <f>IF(#REF!,"AAAAAHvXn3w=",0)</f>
        <v>#REF!</v>
      </c>
      <c r="DV395" t="e">
        <f>IF(#REF!,"AAAAAHvXn30=",0)</f>
        <v>#REF!</v>
      </c>
      <c r="DW395" t="e">
        <f>IF(#REF!,"AAAAAHvXn34=",0)</f>
        <v>#REF!</v>
      </c>
      <c r="DX395" t="e">
        <f>IF(#REF!,"AAAAAHvXn38=",0)</f>
        <v>#REF!</v>
      </c>
      <c r="DY395" t="e">
        <f>IF(#REF!,"AAAAAHvXn4A=",0)</f>
        <v>#REF!</v>
      </c>
      <c r="DZ395" t="e">
        <f>IF(#REF!,"AAAAAHvXn4E=",0)</f>
        <v>#REF!</v>
      </c>
      <c r="EA395" t="e">
        <f>IF(#REF!,"AAAAAHvXn4I=",0)</f>
        <v>#REF!</v>
      </c>
      <c r="EB395" t="e">
        <f>IF(#REF!,"AAAAAHvXn4M=",0)</f>
        <v>#REF!</v>
      </c>
      <c r="EC395" t="e">
        <f>IF(#REF!,"AAAAAHvXn4Q=",0)</f>
        <v>#REF!</v>
      </c>
      <c r="ED395" t="e">
        <f>IF(#REF!,"AAAAAHvXn4U=",0)</f>
        <v>#REF!</v>
      </c>
      <c r="EE395" t="e">
        <f>IF(#REF!,"AAAAAHvXn4Y=",0)</f>
        <v>#REF!</v>
      </c>
      <c r="EF395" t="e">
        <f>IF(#REF!,"AAAAAHvXn4c=",0)</f>
        <v>#REF!</v>
      </c>
      <c r="EG395" t="e">
        <f>IF(#REF!,"AAAAAHvXn4g=",0)</f>
        <v>#REF!</v>
      </c>
      <c r="EH395" t="e">
        <f>IF(#REF!,"AAAAAHvXn4k=",0)</f>
        <v>#REF!</v>
      </c>
      <c r="EI395" t="e">
        <f>IF(#REF!,"AAAAAHvXn4o=",0)</f>
        <v>#REF!</v>
      </c>
      <c r="EJ395" t="e">
        <f>IF(#REF!,"AAAAAHvXn4s=",0)</f>
        <v>#REF!</v>
      </c>
      <c r="EK395" t="e">
        <f>IF(#REF!,"AAAAAHvXn4w=",0)</f>
        <v>#REF!</v>
      </c>
      <c r="EL395" t="e">
        <f>IF(#REF!,"AAAAAHvXn40=",0)</f>
        <v>#REF!</v>
      </c>
      <c r="EM395" t="e">
        <f>IF(#REF!,"AAAAAHvXn44=",0)</f>
        <v>#REF!</v>
      </c>
      <c r="EN395" t="e">
        <f>IF(#REF!,"AAAAAHvXn48=",0)</f>
        <v>#REF!</v>
      </c>
      <c r="EO395" t="e">
        <f>IF(#REF!,"AAAAAHvXn5A=",0)</f>
        <v>#REF!</v>
      </c>
      <c r="EP395" t="e">
        <f>IF(#REF!,"AAAAAHvXn5E=",0)</f>
        <v>#REF!</v>
      </c>
      <c r="EQ395" t="e">
        <f>IF(#REF!,"AAAAAHvXn5I=",0)</f>
        <v>#REF!</v>
      </c>
      <c r="ER395" t="e">
        <f>IF(#REF!,"AAAAAHvXn5M=",0)</f>
        <v>#REF!</v>
      </c>
      <c r="ES395" t="e">
        <f>IF(#REF!,"AAAAAHvXn5Q=",0)</f>
        <v>#REF!</v>
      </c>
      <c r="ET395" t="e">
        <f>IF(#REF!,"AAAAAHvXn5U=",0)</f>
        <v>#REF!</v>
      </c>
      <c r="EU395" t="e">
        <f>IF(#REF!,"AAAAAHvXn5Y=",0)</f>
        <v>#REF!</v>
      </c>
      <c r="EV395" t="e">
        <f>IF(#REF!,"AAAAAHvXn5c=",0)</f>
        <v>#REF!</v>
      </c>
      <c r="EW395" t="e">
        <f>IF(#REF!,"AAAAAHvXn5g=",0)</f>
        <v>#REF!</v>
      </c>
      <c r="EX395" t="e">
        <f>IF(#REF!,"AAAAAHvXn5k=",0)</f>
        <v>#REF!</v>
      </c>
      <c r="EY395" t="e">
        <f>IF(#REF!,"AAAAAHvXn5o=",0)</f>
        <v>#REF!</v>
      </c>
      <c r="EZ395" t="e">
        <f>IF(#REF!,"AAAAAHvXn5s=",0)</f>
        <v>#REF!</v>
      </c>
      <c r="FA395" t="e">
        <f>IF(#REF!,"AAAAAHvXn5w=",0)</f>
        <v>#REF!</v>
      </c>
      <c r="FB395" t="e">
        <f>IF(#REF!,"AAAAAHvXn50=",0)</f>
        <v>#REF!</v>
      </c>
      <c r="FC395" t="e">
        <f>IF(#REF!,"AAAAAHvXn54=",0)</f>
        <v>#REF!</v>
      </c>
      <c r="FD395" t="e">
        <f>IF(#REF!,"AAAAAHvXn58=",0)</f>
        <v>#REF!</v>
      </c>
      <c r="FE395" t="e">
        <f>IF(#REF!,"AAAAAHvXn6A=",0)</f>
        <v>#REF!</v>
      </c>
      <c r="FF395" t="e">
        <f>IF(#REF!,"AAAAAHvXn6E=",0)</f>
        <v>#REF!</v>
      </c>
      <c r="FG395" t="e">
        <f>IF(#REF!,"AAAAAHvXn6I=",0)</f>
        <v>#REF!</v>
      </c>
      <c r="FH395" t="e">
        <f>IF(#REF!,"AAAAAHvXn6M=",0)</f>
        <v>#REF!</v>
      </c>
      <c r="FI395" t="e">
        <f>IF(#REF!,"AAAAAHvXn6Q=",0)</f>
        <v>#REF!</v>
      </c>
      <c r="FJ395" t="e">
        <f>IF(#REF!,"AAAAAHvXn6U=",0)</f>
        <v>#REF!</v>
      </c>
      <c r="FK395" t="e">
        <f>IF(#REF!,"AAAAAHvXn6Y=",0)</f>
        <v>#REF!</v>
      </c>
      <c r="FL395" t="e">
        <f>IF(#REF!,"AAAAAHvXn6c=",0)</f>
        <v>#REF!</v>
      </c>
      <c r="FM395" t="e">
        <f>IF(#REF!,"AAAAAHvXn6g=",0)</f>
        <v>#REF!</v>
      </c>
      <c r="FN395" t="e">
        <f>IF(#REF!,"AAAAAHvXn6k=",0)</f>
        <v>#REF!</v>
      </c>
      <c r="FO395" t="e">
        <f>IF(#REF!,"AAAAAHvXn6o=",0)</f>
        <v>#REF!</v>
      </c>
      <c r="FP395" t="e">
        <f>IF(#REF!,"AAAAAHvXn6s=",0)</f>
        <v>#REF!</v>
      </c>
      <c r="FQ395" t="e">
        <f>IF(#REF!,"AAAAAHvXn6w=",0)</f>
        <v>#REF!</v>
      </c>
      <c r="FR395" t="e">
        <f>IF(#REF!,"AAAAAHvXn60=",0)</f>
        <v>#REF!</v>
      </c>
      <c r="FS395" t="e">
        <f>IF(#REF!,"AAAAAHvXn64=",0)</f>
        <v>#REF!</v>
      </c>
      <c r="FT395" t="e">
        <f>IF(#REF!,"AAAAAHvXn68=",0)</f>
        <v>#REF!</v>
      </c>
      <c r="FU395" t="e">
        <f>IF(#REF!,"AAAAAHvXn7A=",0)</f>
        <v>#REF!</v>
      </c>
      <c r="FV395" t="e">
        <f>IF(#REF!,"AAAAAHvXn7E=",0)</f>
        <v>#REF!</v>
      </c>
      <c r="FW395" t="e">
        <f>IF(#REF!,"AAAAAHvXn7I=",0)</f>
        <v>#REF!</v>
      </c>
      <c r="FX395" t="e">
        <f>IF(#REF!,"AAAAAHvXn7M=",0)</f>
        <v>#REF!</v>
      </c>
      <c r="FY395" t="e">
        <f>IF(#REF!,"AAAAAHvXn7Q=",0)</f>
        <v>#REF!</v>
      </c>
      <c r="FZ395" t="e">
        <f>IF(#REF!,"AAAAAHvXn7U=",0)</f>
        <v>#REF!</v>
      </c>
      <c r="GA395" t="e">
        <f>IF(#REF!,"AAAAAHvXn7Y=",0)</f>
        <v>#REF!</v>
      </c>
      <c r="GB395" t="e">
        <f>IF(#REF!,"AAAAAHvXn7c=",0)</f>
        <v>#REF!</v>
      </c>
      <c r="GC395" t="e">
        <f>IF(#REF!,"AAAAAHvXn7g=",0)</f>
        <v>#REF!</v>
      </c>
      <c r="GD395" t="e">
        <f>IF(#REF!,"AAAAAHvXn7k=",0)</f>
        <v>#REF!</v>
      </c>
      <c r="GE395" t="e">
        <f>IF(#REF!,"AAAAAHvXn7o=",0)</f>
        <v>#REF!</v>
      </c>
      <c r="GF395" t="e">
        <f>IF(#REF!,"AAAAAHvXn7s=",0)</f>
        <v>#REF!</v>
      </c>
      <c r="GG395" t="e">
        <f>IF(#REF!,"AAAAAHvXn7w=",0)</f>
        <v>#REF!</v>
      </c>
      <c r="GH395" t="e">
        <f>IF(#REF!,"AAAAAHvXn70=",0)</f>
        <v>#REF!</v>
      </c>
      <c r="GI395" t="e">
        <f>IF(#REF!,"AAAAAHvXn74=",0)</f>
        <v>#REF!</v>
      </c>
      <c r="GJ395" t="e">
        <f>IF(#REF!,"AAAAAHvXn78=",0)</f>
        <v>#REF!</v>
      </c>
      <c r="GK395" t="e">
        <f>IF(#REF!,"AAAAAHvXn8A=",0)</f>
        <v>#REF!</v>
      </c>
      <c r="GL395" t="e">
        <f>IF(#REF!,"AAAAAHvXn8E=",0)</f>
        <v>#REF!</v>
      </c>
      <c r="GM395" t="e">
        <f>IF(#REF!,"AAAAAHvXn8I=",0)</f>
        <v>#REF!</v>
      </c>
      <c r="GN395" t="e">
        <f>IF(#REF!,"AAAAAHvXn8M=",0)</f>
        <v>#REF!</v>
      </c>
      <c r="GO395" t="e">
        <f>IF(#REF!,"AAAAAHvXn8Q=",0)</f>
        <v>#REF!</v>
      </c>
      <c r="GP395" t="e">
        <f>IF(#REF!,"AAAAAHvXn8U=",0)</f>
        <v>#REF!</v>
      </c>
      <c r="GQ395" t="e">
        <f>IF(#REF!,"AAAAAHvXn8Y=",0)</f>
        <v>#REF!</v>
      </c>
      <c r="GR395" t="e">
        <f>IF(#REF!,"AAAAAHvXn8c=",0)</f>
        <v>#REF!</v>
      </c>
      <c r="GS395" t="e">
        <f>IF(#REF!,"AAAAAHvXn8g=",0)</f>
        <v>#REF!</v>
      </c>
      <c r="GT395" t="e">
        <f>IF(#REF!,"AAAAAHvXn8k=",0)</f>
        <v>#REF!</v>
      </c>
      <c r="GU395" t="e">
        <f>IF(#REF!,"AAAAAHvXn8o=",0)</f>
        <v>#REF!</v>
      </c>
      <c r="GV395" t="e">
        <f>IF(#REF!,"AAAAAHvXn8s=",0)</f>
        <v>#REF!</v>
      </c>
      <c r="GW395" t="e">
        <f>IF(#REF!,"AAAAAHvXn8w=",0)</f>
        <v>#REF!</v>
      </c>
      <c r="GX395" t="e">
        <f>IF(#REF!,"AAAAAHvXn80=",0)</f>
        <v>#REF!</v>
      </c>
      <c r="GY395" t="e">
        <f>IF(#REF!,"AAAAAHvXn84=",0)</f>
        <v>#REF!</v>
      </c>
      <c r="GZ395" t="e">
        <f>IF(#REF!,"AAAAAHvXn88=",0)</f>
        <v>#REF!</v>
      </c>
      <c r="HA395" t="e">
        <f>IF(#REF!,"AAAAAHvXn9A=",0)</f>
        <v>#REF!</v>
      </c>
      <c r="HB395" t="e">
        <f>IF(#REF!,"AAAAAHvXn9E=",0)</f>
        <v>#REF!</v>
      </c>
      <c r="HC395" t="e">
        <f>IF(#REF!,"AAAAAHvXn9I=",0)</f>
        <v>#REF!</v>
      </c>
      <c r="HD395" t="e">
        <f>IF(#REF!,"AAAAAHvXn9M=",0)</f>
        <v>#REF!</v>
      </c>
      <c r="HE395" t="e">
        <f>IF(#REF!,"AAAAAHvXn9Q=",0)</f>
        <v>#REF!</v>
      </c>
      <c r="HF395" t="e">
        <f>IF(#REF!,"AAAAAHvXn9U=",0)</f>
        <v>#REF!</v>
      </c>
      <c r="HG395" t="e">
        <f>IF(#REF!,"AAAAAHvXn9Y=",0)</f>
        <v>#REF!</v>
      </c>
      <c r="HH395" t="e">
        <f>IF(#REF!,"AAAAAHvXn9c=",0)</f>
        <v>#REF!</v>
      </c>
      <c r="HI395" t="e">
        <f>IF(#REF!,"AAAAAHvXn9g=",0)</f>
        <v>#REF!</v>
      </c>
      <c r="HJ395" t="e">
        <f>IF(#REF!,"AAAAAHvXn9k=",0)</f>
        <v>#REF!</v>
      </c>
      <c r="HK395" t="e">
        <f>IF(#REF!,"AAAAAHvXn9o=",0)</f>
        <v>#REF!</v>
      </c>
      <c r="HL395" t="e">
        <f>IF(#REF!,"AAAAAHvXn9s=",0)</f>
        <v>#REF!</v>
      </c>
      <c r="HM395" t="e">
        <f>IF(#REF!,"AAAAAHvXn9w=",0)</f>
        <v>#REF!</v>
      </c>
      <c r="HN395" t="e">
        <f>IF(#REF!,"AAAAAHvXn90=",0)</f>
        <v>#REF!</v>
      </c>
      <c r="HO395" t="e">
        <f>IF(#REF!,"AAAAAHvXn94=",0)</f>
        <v>#REF!</v>
      </c>
      <c r="HP395" t="e">
        <f>IF(#REF!,"AAAAAHvXn98=",0)</f>
        <v>#REF!</v>
      </c>
      <c r="HQ395" t="e">
        <f>IF(#REF!,"AAAAAHvXn+A=",0)</f>
        <v>#REF!</v>
      </c>
      <c r="HR395" t="e">
        <f>IF(#REF!,"AAAAAHvXn+E=",0)</f>
        <v>#REF!</v>
      </c>
      <c r="HS395" t="e">
        <f>IF(#REF!,"AAAAAHvXn+I=",0)</f>
        <v>#REF!</v>
      </c>
      <c r="HT395" t="e">
        <f>IF(#REF!,"AAAAAHvXn+M=",0)</f>
        <v>#REF!</v>
      </c>
      <c r="HU395" t="e">
        <f>IF(#REF!,"AAAAAHvXn+Q=",0)</f>
        <v>#REF!</v>
      </c>
      <c r="HV395" t="e">
        <f>IF(#REF!,"AAAAAHvXn+U=",0)</f>
        <v>#REF!</v>
      </c>
      <c r="HW395" t="e">
        <f>IF(#REF!,"AAAAAHvXn+Y=",0)</f>
        <v>#REF!</v>
      </c>
      <c r="HX395" t="e">
        <f>IF(#REF!,"AAAAAHvXn+c=",0)</f>
        <v>#REF!</v>
      </c>
      <c r="HY395" t="e">
        <f>IF(#REF!,"AAAAAHvXn+g=",0)</f>
        <v>#REF!</v>
      </c>
      <c r="HZ395" t="e">
        <f>IF(#REF!,"AAAAAHvXn+k=",0)</f>
        <v>#REF!</v>
      </c>
      <c r="IA395" t="e">
        <f>IF(#REF!,"AAAAAHvXn+o=",0)</f>
        <v>#REF!</v>
      </c>
      <c r="IB395" t="e">
        <f>IF(#REF!,"AAAAAHvXn+s=",0)</f>
        <v>#REF!</v>
      </c>
      <c r="IC395" t="e">
        <f>IF(#REF!,"AAAAAHvXn+w=",0)</f>
        <v>#REF!</v>
      </c>
      <c r="ID395" t="e">
        <f>IF(#REF!,"AAAAAHvXn+0=",0)</f>
        <v>#REF!</v>
      </c>
      <c r="IE395" t="e">
        <f>IF(#REF!,"AAAAAHvXn+4=",0)</f>
        <v>#REF!</v>
      </c>
      <c r="IF395" t="e">
        <f>IF(#REF!,"AAAAAHvXn+8=",0)</f>
        <v>#REF!</v>
      </c>
      <c r="IG395" t="e">
        <f>IF(#REF!,"AAAAAHvXn/A=",0)</f>
        <v>#REF!</v>
      </c>
      <c r="IH395" t="e">
        <f>IF(#REF!,"AAAAAHvXn/E=",0)</f>
        <v>#REF!</v>
      </c>
      <c r="II395" t="e">
        <f>IF(#REF!,"AAAAAHvXn/I=",0)</f>
        <v>#REF!</v>
      </c>
      <c r="IJ395" t="e">
        <f>IF(#REF!,"AAAAAHvXn/M=",0)</f>
        <v>#REF!</v>
      </c>
      <c r="IK395" t="e">
        <f>IF(#REF!,"AAAAAHvXn/Q=",0)</f>
        <v>#REF!</v>
      </c>
      <c r="IL395" t="e">
        <f>IF(#REF!,"AAAAAHvXn/U=",0)</f>
        <v>#REF!</v>
      </c>
      <c r="IM395" t="e">
        <f>IF(#REF!,"AAAAAHvXn/Y=",0)</f>
        <v>#REF!</v>
      </c>
      <c r="IN395" t="e">
        <f>IF(#REF!,"AAAAAHvXn/c=",0)</f>
        <v>#REF!</v>
      </c>
      <c r="IO395" t="e">
        <f>IF(#REF!,"AAAAAHvXn/g=",0)</f>
        <v>#REF!</v>
      </c>
      <c r="IP395" t="e">
        <f>IF(#REF!,"AAAAAHvXn/k=",0)</f>
        <v>#REF!</v>
      </c>
      <c r="IQ395" t="e">
        <f>IF(#REF!,"AAAAAHvXn/o=",0)</f>
        <v>#REF!</v>
      </c>
      <c r="IR395" t="e">
        <f>IF(#REF!,"AAAAAHvXn/s=",0)</f>
        <v>#REF!</v>
      </c>
      <c r="IS395" t="e">
        <f>IF(#REF!,"AAAAAHvXn/w=",0)</f>
        <v>#REF!</v>
      </c>
      <c r="IT395" t="e">
        <f>IF(#REF!,"AAAAAHvXn/0=",0)</f>
        <v>#REF!</v>
      </c>
      <c r="IU395" t="e">
        <f>IF(#REF!,"AAAAAHvXn/4=",0)</f>
        <v>#REF!</v>
      </c>
      <c r="IV395" t="e">
        <f>IF(#REF!,"AAAAAHvXn/8=",0)</f>
        <v>#REF!</v>
      </c>
    </row>
    <row r="396" spans="1:256">
      <c r="A396" t="e">
        <f>IF(#REF!,"AAAAAH//lQA=",0)</f>
        <v>#REF!</v>
      </c>
      <c r="B396" t="e">
        <f>IF(#REF!,"AAAAAH//lQE=",0)</f>
        <v>#REF!</v>
      </c>
      <c r="C396" t="e">
        <f>IF(#REF!,"AAAAAH//lQI=",0)</f>
        <v>#REF!</v>
      </c>
      <c r="D396" t="e">
        <f>IF(#REF!,"AAAAAH//lQM=",0)</f>
        <v>#REF!</v>
      </c>
      <c r="E396" t="e">
        <f>IF(#REF!,"AAAAAH//lQQ=",0)</f>
        <v>#REF!</v>
      </c>
      <c r="F396" t="e">
        <f>IF(#REF!,"AAAAAH//lQU=",0)</f>
        <v>#REF!</v>
      </c>
      <c r="G396" t="e">
        <f>IF(#REF!,"AAAAAH//lQY=",0)</f>
        <v>#REF!</v>
      </c>
      <c r="H396" t="e">
        <f>IF(#REF!,"AAAAAH//lQc=",0)</f>
        <v>#REF!</v>
      </c>
      <c r="I396" t="e">
        <f>IF(#REF!,"AAAAAH//lQg=",0)</f>
        <v>#REF!</v>
      </c>
      <c r="J396" t="e">
        <f>IF(#REF!,"AAAAAH//lQk=",0)</f>
        <v>#REF!</v>
      </c>
      <c r="K396" t="e">
        <f>IF(#REF!,"AAAAAH//lQo=",0)</f>
        <v>#REF!</v>
      </c>
      <c r="L396" t="e">
        <f>IF(#REF!,"AAAAAH//lQs=",0)</f>
        <v>#REF!</v>
      </c>
      <c r="M396" t="e">
        <f>IF(#REF!,"AAAAAH//lQw=",0)</f>
        <v>#REF!</v>
      </c>
      <c r="N396" t="e">
        <f>IF(#REF!,"AAAAAH//lQ0=",0)</f>
        <v>#REF!</v>
      </c>
      <c r="O396" t="e">
        <f>IF(#REF!,"AAAAAH//lQ4=",0)</f>
        <v>#REF!</v>
      </c>
      <c r="P396" t="e">
        <f>IF(#REF!,"AAAAAH//lQ8=",0)</f>
        <v>#REF!</v>
      </c>
      <c r="Q396" t="e">
        <f>IF(#REF!,"AAAAAH//lRA=",0)</f>
        <v>#REF!</v>
      </c>
      <c r="R396" t="e">
        <f>IF(#REF!,"AAAAAH//lRE=",0)</f>
        <v>#REF!</v>
      </c>
      <c r="S396" t="e">
        <f>IF(#REF!,"AAAAAH//lRI=",0)</f>
        <v>#REF!</v>
      </c>
      <c r="T396" t="e">
        <f>IF(#REF!,"AAAAAH//lRM=",0)</f>
        <v>#REF!</v>
      </c>
      <c r="U396" t="e">
        <f>IF(#REF!,"AAAAAH//lRQ=",0)</f>
        <v>#REF!</v>
      </c>
      <c r="V396" t="e">
        <f>IF(#REF!,"AAAAAH//lRU=",0)</f>
        <v>#REF!</v>
      </c>
      <c r="W396" t="e">
        <f>IF(#REF!,"AAAAAH//lRY=",0)</f>
        <v>#REF!</v>
      </c>
      <c r="X396" t="e">
        <f>IF(#REF!,"AAAAAH//lRc=",0)</f>
        <v>#REF!</v>
      </c>
      <c r="Y396" t="e">
        <f>IF(#REF!,"AAAAAH//lRg=",0)</f>
        <v>#REF!</v>
      </c>
      <c r="Z396" t="e">
        <f>IF(#REF!,"AAAAAH//lRk=",0)</f>
        <v>#REF!</v>
      </c>
      <c r="AA396" t="e">
        <f>IF(#REF!,"AAAAAH//lRo=",0)</f>
        <v>#REF!</v>
      </c>
      <c r="AB396" t="e">
        <f>IF(#REF!,"AAAAAH//lRs=",0)</f>
        <v>#REF!</v>
      </c>
      <c r="AC396" t="e">
        <f>IF(#REF!,"AAAAAH//lRw=",0)</f>
        <v>#REF!</v>
      </c>
      <c r="AD396" t="e">
        <f>IF(#REF!,"AAAAAH//lR0=",0)</f>
        <v>#REF!</v>
      </c>
      <c r="AE396" t="e">
        <f>IF(#REF!,"AAAAAH//lR4=",0)</f>
        <v>#REF!</v>
      </c>
      <c r="AF396" t="e">
        <f>IF(#REF!,"AAAAAH//lR8=",0)</f>
        <v>#REF!</v>
      </c>
      <c r="AG396" t="e">
        <f>IF(#REF!,"AAAAAH//lSA=",0)</f>
        <v>#REF!</v>
      </c>
      <c r="AH396" t="e">
        <f>IF(#REF!,"AAAAAH//lSE=",0)</f>
        <v>#REF!</v>
      </c>
      <c r="AI396" t="e">
        <f>IF(#REF!,"AAAAAH//lSI=",0)</f>
        <v>#REF!</v>
      </c>
      <c r="AJ396" t="e">
        <f>IF(#REF!,"AAAAAH//lSM=",0)</f>
        <v>#REF!</v>
      </c>
      <c r="AK396" t="e">
        <f>IF(#REF!,"AAAAAH//lSQ=",0)</f>
        <v>#REF!</v>
      </c>
      <c r="AL396" t="e">
        <f>IF(#REF!,"AAAAAH//lSU=",0)</f>
        <v>#REF!</v>
      </c>
      <c r="AM396" t="e">
        <f>IF(#REF!,"AAAAAH//lSY=",0)</f>
        <v>#REF!</v>
      </c>
      <c r="AN396" t="e">
        <f>IF(#REF!,"AAAAAH//lSc=",0)</f>
        <v>#REF!</v>
      </c>
      <c r="AO396" t="e">
        <f>IF(#REF!,"AAAAAH//lSg=",0)</f>
        <v>#REF!</v>
      </c>
      <c r="AP396" t="e">
        <f>IF(#REF!,"AAAAAH//lSk=",0)</f>
        <v>#REF!</v>
      </c>
      <c r="AQ396" t="e">
        <f>IF(#REF!,"AAAAAH//lSo=",0)</f>
        <v>#REF!</v>
      </c>
      <c r="AR396" t="e">
        <f>IF(#REF!,"AAAAAH//lSs=",0)</f>
        <v>#REF!</v>
      </c>
      <c r="AS396" t="e">
        <f>IF(#REF!,"AAAAAH//lSw=",0)</f>
        <v>#REF!</v>
      </c>
      <c r="AT396" t="e">
        <f>IF(#REF!,"AAAAAH//lS0=",0)</f>
        <v>#REF!</v>
      </c>
      <c r="AU396" t="e">
        <f>IF(#REF!,"AAAAAH//lS4=",0)</f>
        <v>#REF!</v>
      </c>
      <c r="AV396" t="e">
        <f>IF(#REF!,"AAAAAH//lS8=",0)</f>
        <v>#REF!</v>
      </c>
      <c r="AW396" t="e">
        <f>IF(#REF!,"AAAAAH//lTA=",0)</f>
        <v>#REF!</v>
      </c>
      <c r="AX396" t="e">
        <f>IF(#REF!,"AAAAAH//lTE=",0)</f>
        <v>#REF!</v>
      </c>
      <c r="AY396" t="e">
        <f>IF(#REF!,"AAAAAH//lTI=",0)</f>
        <v>#REF!</v>
      </c>
      <c r="AZ396" t="e">
        <f>IF(#REF!,"AAAAAH//lTM=",0)</f>
        <v>#REF!</v>
      </c>
      <c r="BA396" t="e">
        <f>IF(#REF!,"AAAAAH//lTQ=",0)</f>
        <v>#REF!</v>
      </c>
      <c r="BB396" t="e">
        <f>IF(#REF!,"AAAAAH//lTU=",0)</f>
        <v>#REF!</v>
      </c>
      <c r="BC396" t="e">
        <f>IF(#REF!,"AAAAAH//lTY=",0)</f>
        <v>#REF!</v>
      </c>
      <c r="BD396" t="e">
        <f>IF(#REF!,"AAAAAH//lTc=",0)</f>
        <v>#REF!</v>
      </c>
      <c r="BE396" t="e">
        <f>IF(#REF!,"AAAAAH//lTg=",0)</f>
        <v>#REF!</v>
      </c>
      <c r="BF396" t="e">
        <f>IF(#REF!,"AAAAAH//lTk=",0)</f>
        <v>#REF!</v>
      </c>
      <c r="BG396" t="e">
        <f>IF(#REF!,"AAAAAH//lTo=",0)</f>
        <v>#REF!</v>
      </c>
      <c r="BH396" t="e">
        <f>IF(#REF!,"AAAAAH//lTs=",0)</f>
        <v>#REF!</v>
      </c>
      <c r="BI396" t="e">
        <f>IF(#REF!,"AAAAAH//lTw=",0)</f>
        <v>#REF!</v>
      </c>
      <c r="BJ396" t="e">
        <f>IF(#REF!,"AAAAAH//lT0=",0)</f>
        <v>#REF!</v>
      </c>
      <c r="BK396" t="e">
        <f>IF(#REF!,"AAAAAH//lT4=",0)</f>
        <v>#REF!</v>
      </c>
      <c r="BL396" t="e">
        <f>IF(#REF!,"AAAAAH//lT8=",0)</f>
        <v>#REF!</v>
      </c>
      <c r="BM396" t="e">
        <f>IF(#REF!,"AAAAAH//lUA=",0)</f>
        <v>#REF!</v>
      </c>
      <c r="BN396" t="e">
        <f>IF(#REF!,"AAAAAH//lUE=",0)</f>
        <v>#REF!</v>
      </c>
      <c r="BO396" t="e">
        <f>IF(#REF!,"AAAAAH//lUI=",0)</f>
        <v>#REF!</v>
      </c>
      <c r="BP396" t="e">
        <f>IF(#REF!,"AAAAAH//lUM=",0)</f>
        <v>#REF!</v>
      </c>
      <c r="BQ396" t="e">
        <f>IF(#REF!,"AAAAAH//lUQ=",0)</f>
        <v>#REF!</v>
      </c>
      <c r="BR396" t="e">
        <f>IF(#REF!,"AAAAAH//lUU=",0)</f>
        <v>#REF!</v>
      </c>
      <c r="BS396" t="e">
        <f>IF(#REF!,"AAAAAH//lUY=",0)</f>
        <v>#REF!</v>
      </c>
      <c r="BT396" t="e">
        <f>IF(#REF!,"AAAAAH//lUc=",0)</f>
        <v>#REF!</v>
      </c>
      <c r="BU396" t="e">
        <f>IF(#REF!,"AAAAAH//lUg=",0)</f>
        <v>#REF!</v>
      </c>
      <c r="BV396" t="e">
        <f>IF(#REF!,"AAAAAH//lUk=",0)</f>
        <v>#REF!</v>
      </c>
      <c r="BW396" t="e">
        <f>IF(#REF!,"AAAAAH//lUo=",0)</f>
        <v>#REF!</v>
      </c>
      <c r="BX396" t="e">
        <f>IF(#REF!,"AAAAAH//lUs=",0)</f>
        <v>#REF!</v>
      </c>
      <c r="BY396" t="e">
        <f>IF(#REF!,"AAAAAH//lUw=",0)</f>
        <v>#REF!</v>
      </c>
      <c r="BZ396" t="e">
        <f>IF(#REF!,"AAAAAH//lU0=",0)</f>
        <v>#REF!</v>
      </c>
      <c r="CA396" t="e">
        <f>IF(#REF!,"AAAAAH//lU4=",0)</f>
        <v>#REF!</v>
      </c>
      <c r="CB396" t="e">
        <f>IF(#REF!,"AAAAAH//lU8=",0)</f>
        <v>#REF!</v>
      </c>
      <c r="CC396" t="e">
        <f>IF(#REF!,"AAAAAH//lVA=",0)</f>
        <v>#REF!</v>
      </c>
      <c r="CD396" t="e">
        <f>IF(#REF!,"AAAAAH//lVE=",0)</f>
        <v>#REF!</v>
      </c>
      <c r="CE396" t="e">
        <f>IF(#REF!,"AAAAAH//lVI=",0)</f>
        <v>#REF!</v>
      </c>
      <c r="CF396" t="e">
        <f>IF(#REF!,"AAAAAH//lVM=",0)</f>
        <v>#REF!</v>
      </c>
      <c r="CG396" t="e">
        <f>IF(#REF!,"AAAAAH//lVQ=",0)</f>
        <v>#REF!</v>
      </c>
      <c r="CH396" t="e">
        <f>IF(#REF!,"AAAAAH//lVU=",0)</f>
        <v>#REF!</v>
      </c>
      <c r="CI396" t="e">
        <f>IF(#REF!,"AAAAAH//lVY=",0)</f>
        <v>#REF!</v>
      </c>
      <c r="CJ396" t="e">
        <f>IF(#REF!,"AAAAAH//lVc=",0)</f>
        <v>#REF!</v>
      </c>
      <c r="CK396" t="e">
        <f>IF(#REF!,"AAAAAH//lVg=",0)</f>
        <v>#REF!</v>
      </c>
      <c r="CL396" t="e">
        <f>IF(#REF!,"AAAAAH//lVk=",0)</f>
        <v>#REF!</v>
      </c>
      <c r="CM396" t="e">
        <f>IF(#REF!,"AAAAAH//lVo=",0)</f>
        <v>#REF!</v>
      </c>
      <c r="CN396" t="e">
        <f>IF(#REF!,"AAAAAH//lVs=",0)</f>
        <v>#REF!</v>
      </c>
      <c r="CO396" t="e">
        <f>IF(#REF!,"AAAAAH//lVw=",0)</f>
        <v>#REF!</v>
      </c>
      <c r="CP396" t="e">
        <f>IF(#REF!,"AAAAAH//lV0=",0)</f>
        <v>#REF!</v>
      </c>
      <c r="CQ396" t="e">
        <f>IF(#REF!,"AAAAAH//lV4=",0)</f>
        <v>#REF!</v>
      </c>
      <c r="CR396" t="e">
        <f>IF(#REF!,"AAAAAH//lV8=",0)</f>
        <v>#REF!</v>
      </c>
      <c r="CS396" t="e">
        <f>IF(#REF!,"AAAAAH//lWA=",0)</f>
        <v>#REF!</v>
      </c>
      <c r="CT396" t="e">
        <f>IF(#REF!,"AAAAAH//lWE=",0)</f>
        <v>#REF!</v>
      </c>
      <c r="CU396" t="e">
        <f>IF(#REF!,"AAAAAH//lWI=",0)</f>
        <v>#REF!</v>
      </c>
      <c r="CV396" t="e">
        <f>IF(#REF!,"AAAAAH//lWM=",0)</f>
        <v>#REF!</v>
      </c>
      <c r="CW396" t="e">
        <f>IF(#REF!,"AAAAAH//lWQ=",0)</f>
        <v>#REF!</v>
      </c>
      <c r="CX396" t="e">
        <f>IF(#REF!,"AAAAAH//lWU=",0)</f>
        <v>#REF!</v>
      </c>
      <c r="CY396" t="e">
        <f>IF(#REF!,"AAAAAH//lWY=",0)</f>
        <v>#REF!</v>
      </c>
      <c r="CZ396" t="e">
        <f>IF(#REF!,"AAAAAH//lWc=",0)</f>
        <v>#REF!</v>
      </c>
      <c r="DA396" t="e">
        <f>IF(#REF!,"AAAAAH//lWg=",0)</f>
        <v>#REF!</v>
      </c>
      <c r="DB396" t="e">
        <f>IF(#REF!,"AAAAAH//lWk=",0)</f>
        <v>#REF!</v>
      </c>
      <c r="DC396" t="e">
        <f>IF(#REF!,"AAAAAH//lWo=",0)</f>
        <v>#REF!</v>
      </c>
      <c r="DD396" t="e">
        <f>IF(#REF!,"AAAAAH//lWs=",0)</f>
        <v>#REF!</v>
      </c>
      <c r="DE396" t="e">
        <f>IF(#REF!,"AAAAAH//lWw=",0)</f>
        <v>#REF!</v>
      </c>
      <c r="DF396" t="e">
        <f>IF(#REF!,"AAAAAH//lW0=",0)</f>
        <v>#REF!</v>
      </c>
      <c r="DG396" t="e">
        <f>IF(#REF!,"AAAAAH//lW4=",0)</f>
        <v>#REF!</v>
      </c>
      <c r="DH396" t="e">
        <f>IF(#REF!,"AAAAAH//lW8=",0)</f>
        <v>#REF!</v>
      </c>
      <c r="DI396" t="e">
        <f>IF(#REF!,"AAAAAH//lXA=",0)</f>
        <v>#REF!</v>
      </c>
      <c r="DJ396" t="e">
        <f>IF(#REF!,"AAAAAH//lXE=",0)</f>
        <v>#REF!</v>
      </c>
      <c r="DK396" t="e">
        <f>IF(#REF!,"AAAAAH//lXI=",0)</f>
        <v>#REF!</v>
      </c>
      <c r="DL396" t="e">
        <f>IF(#REF!,"AAAAAH//lXM=",0)</f>
        <v>#REF!</v>
      </c>
      <c r="DM396" t="e">
        <f>IF(#REF!,"AAAAAH//lXQ=",0)</f>
        <v>#REF!</v>
      </c>
      <c r="DN396" t="e">
        <f>IF(#REF!,"AAAAAH//lXU=",0)</f>
        <v>#REF!</v>
      </c>
      <c r="DO396" t="e">
        <f>IF(#REF!,"AAAAAH//lXY=",0)</f>
        <v>#REF!</v>
      </c>
      <c r="DP396" t="e">
        <f>IF(#REF!,"AAAAAH//lXc=",0)</f>
        <v>#REF!</v>
      </c>
      <c r="DQ396" t="e">
        <f>IF(#REF!,"AAAAAH//lXg=",0)</f>
        <v>#REF!</v>
      </c>
      <c r="DR396" t="e">
        <f>IF(#REF!,"AAAAAH//lXk=",0)</f>
        <v>#REF!</v>
      </c>
      <c r="DS396" t="e">
        <f>IF(#REF!,"AAAAAH//lXo=",0)</f>
        <v>#REF!</v>
      </c>
      <c r="DT396" t="e">
        <f>IF(#REF!,"AAAAAH//lXs=",0)</f>
        <v>#REF!</v>
      </c>
      <c r="DU396" t="e">
        <f>IF(#REF!,"AAAAAH//lXw=",0)</f>
        <v>#REF!</v>
      </c>
      <c r="DV396" t="e">
        <f>IF(#REF!,"AAAAAH//lX0=",0)</f>
        <v>#REF!</v>
      </c>
      <c r="DW396" t="e">
        <f>IF(#REF!,"AAAAAH//lX4=",0)</f>
        <v>#REF!</v>
      </c>
      <c r="DX396" t="e">
        <f>IF(#REF!,"AAAAAH//lX8=",0)</f>
        <v>#REF!</v>
      </c>
      <c r="DY396" t="e">
        <f>IF(#REF!,"AAAAAH//lYA=",0)</f>
        <v>#REF!</v>
      </c>
      <c r="DZ396" t="e">
        <f>IF(#REF!,"AAAAAH//lYE=",0)</f>
        <v>#REF!</v>
      </c>
      <c r="EA396" t="e">
        <f>IF(#REF!,"AAAAAH//lYI=",0)</f>
        <v>#REF!</v>
      </c>
      <c r="EB396" t="e">
        <f>IF(#REF!,"AAAAAH//lYM=",0)</f>
        <v>#REF!</v>
      </c>
      <c r="EC396" t="e">
        <f>IF(#REF!,"AAAAAH//lYQ=",0)</f>
        <v>#REF!</v>
      </c>
      <c r="ED396" t="e">
        <f>IF(#REF!,"AAAAAH//lYU=",0)</f>
        <v>#REF!</v>
      </c>
      <c r="EE396" t="e">
        <f>IF(#REF!,"AAAAAH//lYY=",0)</f>
        <v>#REF!</v>
      </c>
      <c r="EF396" t="e">
        <f>IF(#REF!,"AAAAAH//lYc=",0)</f>
        <v>#REF!</v>
      </c>
      <c r="EG396" t="e">
        <f>IF(#REF!,"AAAAAH//lYg=",0)</f>
        <v>#REF!</v>
      </c>
      <c r="EH396" t="e">
        <f>IF(#REF!,"AAAAAH//lYk=",0)</f>
        <v>#REF!</v>
      </c>
      <c r="EI396" t="e">
        <f>IF(#REF!,"AAAAAH//lYo=",0)</f>
        <v>#REF!</v>
      </c>
      <c r="EJ396" t="e">
        <f>IF(#REF!,"AAAAAH//lYs=",0)</f>
        <v>#REF!</v>
      </c>
      <c r="EK396" t="e">
        <f>IF(#REF!,"AAAAAH//lYw=",0)</f>
        <v>#REF!</v>
      </c>
      <c r="EL396" t="e">
        <f>IF(#REF!,"AAAAAH//lY0=",0)</f>
        <v>#REF!</v>
      </c>
      <c r="EM396" t="e">
        <f>IF(#REF!,"AAAAAH//lY4=",0)</f>
        <v>#REF!</v>
      </c>
      <c r="EN396" t="e">
        <f>IF(#REF!,"AAAAAH//lY8=",0)</f>
        <v>#REF!</v>
      </c>
      <c r="EO396" t="e">
        <f>IF(#REF!,"AAAAAH//lZA=",0)</f>
        <v>#REF!</v>
      </c>
      <c r="EP396" t="e">
        <f>IF(#REF!,"AAAAAH//lZE=",0)</f>
        <v>#REF!</v>
      </c>
      <c r="EQ396" t="e">
        <f>IF(#REF!,"AAAAAH//lZI=",0)</f>
        <v>#REF!</v>
      </c>
      <c r="ER396" t="e">
        <f>IF(#REF!,"AAAAAH//lZM=",0)</f>
        <v>#REF!</v>
      </c>
      <c r="ES396" t="e">
        <f>IF(#REF!,"AAAAAH//lZQ=",0)</f>
        <v>#REF!</v>
      </c>
      <c r="ET396" t="e">
        <f>IF(#REF!,"AAAAAH//lZU=",0)</f>
        <v>#REF!</v>
      </c>
      <c r="EU396" t="e">
        <f>IF(#REF!,"AAAAAH//lZY=",0)</f>
        <v>#REF!</v>
      </c>
      <c r="EV396" t="e">
        <f>IF(#REF!,"AAAAAH//lZc=",0)</f>
        <v>#REF!</v>
      </c>
      <c r="EW396" t="e">
        <f>IF(#REF!,"AAAAAH//lZg=",0)</f>
        <v>#REF!</v>
      </c>
      <c r="EX396" t="e">
        <f>IF(#REF!,"AAAAAH//lZk=",0)</f>
        <v>#REF!</v>
      </c>
      <c r="EY396" t="e">
        <f>IF(#REF!,"AAAAAH//lZo=",0)</f>
        <v>#REF!</v>
      </c>
      <c r="EZ396" t="e">
        <f>IF(#REF!,"AAAAAH//lZs=",0)</f>
        <v>#REF!</v>
      </c>
      <c r="FA396" t="e">
        <f>IF(#REF!,"AAAAAH//lZw=",0)</f>
        <v>#REF!</v>
      </c>
      <c r="FB396" t="e">
        <f>IF(#REF!,"AAAAAH//lZ0=",0)</f>
        <v>#REF!</v>
      </c>
      <c r="FC396" t="e">
        <f>IF(#REF!,"AAAAAH//lZ4=",0)</f>
        <v>#REF!</v>
      </c>
      <c r="FD396" t="e">
        <f>IF(#REF!,"AAAAAH//lZ8=",0)</f>
        <v>#REF!</v>
      </c>
      <c r="FE396" t="e">
        <f>IF(#REF!,"AAAAAH//laA=",0)</f>
        <v>#REF!</v>
      </c>
      <c r="FF396" t="e">
        <f>IF(#REF!,"AAAAAH//laE=",0)</f>
        <v>#REF!</v>
      </c>
      <c r="FG396" t="e">
        <f>IF(#REF!,"AAAAAH//laI=",0)</f>
        <v>#REF!</v>
      </c>
      <c r="FH396" t="e">
        <f>IF(#REF!,"AAAAAH//laM=",0)</f>
        <v>#REF!</v>
      </c>
      <c r="FI396" t="e">
        <f>IF(#REF!,"AAAAAH//laQ=",0)</f>
        <v>#REF!</v>
      </c>
      <c r="FJ396" t="e">
        <f>IF(#REF!,"AAAAAH//laU=",0)</f>
        <v>#REF!</v>
      </c>
      <c r="FK396" t="e">
        <f>IF(#REF!,"AAAAAH//laY=",0)</f>
        <v>#REF!</v>
      </c>
      <c r="FL396" t="e">
        <f>IF(#REF!,"AAAAAH//lac=",0)</f>
        <v>#REF!</v>
      </c>
      <c r="FM396" t="e">
        <f>IF(#REF!,"AAAAAH//lag=",0)</f>
        <v>#REF!</v>
      </c>
      <c r="FN396" t="e">
        <f>IF(#REF!,"AAAAAH//lak=",0)</f>
        <v>#REF!</v>
      </c>
      <c r="FO396" t="e">
        <f>IF(#REF!,"AAAAAH//lao=",0)</f>
        <v>#REF!</v>
      </c>
      <c r="FP396" t="e">
        <f>IF(#REF!,"AAAAAH//las=",0)</f>
        <v>#REF!</v>
      </c>
      <c r="FQ396" t="e">
        <f>IF(#REF!,"AAAAAH//law=",0)</f>
        <v>#REF!</v>
      </c>
      <c r="FR396" t="e">
        <f>IF(#REF!,"AAAAAH//la0=",0)</f>
        <v>#REF!</v>
      </c>
      <c r="FS396" t="e">
        <f>IF(#REF!,"AAAAAH//la4=",0)</f>
        <v>#REF!</v>
      </c>
      <c r="FT396" t="e">
        <f>IF(#REF!,"AAAAAH//la8=",0)</f>
        <v>#REF!</v>
      </c>
      <c r="FU396" t="e">
        <f>IF(#REF!,"AAAAAH//lbA=",0)</f>
        <v>#REF!</v>
      </c>
      <c r="FV396" t="e">
        <f>IF(#REF!,"AAAAAH//lbE=",0)</f>
        <v>#REF!</v>
      </c>
      <c r="FW396" t="e">
        <f>IF(#REF!,"AAAAAH//lbI=",0)</f>
        <v>#REF!</v>
      </c>
      <c r="FX396" t="e">
        <f>IF(#REF!,"AAAAAH//lbM=",0)</f>
        <v>#REF!</v>
      </c>
      <c r="FY396" t="e">
        <f>IF(#REF!,"AAAAAH//lbQ=",0)</f>
        <v>#REF!</v>
      </c>
      <c r="FZ396" t="e">
        <f>IF(#REF!,"AAAAAH//lbU=",0)</f>
        <v>#REF!</v>
      </c>
      <c r="GA396" t="e">
        <f>IF(#REF!,"AAAAAH//lbY=",0)</f>
        <v>#REF!</v>
      </c>
      <c r="GB396" t="e">
        <f>IF(#REF!,"AAAAAH//lbc=",0)</f>
        <v>#REF!</v>
      </c>
      <c r="GC396" t="e">
        <f>IF(#REF!,"AAAAAH//lbg=",0)</f>
        <v>#REF!</v>
      </c>
      <c r="GD396" t="e">
        <f>IF(#REF!,"AAAAAH//lbk=",0)</f>
        <v>#REF!</v>
      </c>
      <c r="GE396" t="e">
        <f>IF(#REF!,"AAAAAH//lbo=",0)</f>
        <v>#REF!</v>
      </c>
      <c r="GF396" t="e">
        <f>IF(#REF!,"AAAAAH//lbs=",0)</f>
        <v>#REF!</v>
      </c>
      <c r="GG396" t="e">
        <f>IF(#REF!,"AAAAAH//lbw=",0)</f>
        <v>#REF!</v>
      </c>
      <c r="GH396" t="e">
        <f>IF(#REF!,"AAAAAH//lb0=",0)</f>
        <v>#REF!</v>
      </c>
      <c r="GI396" t="e">
        <f>IF(#REF!,"AAAAAH//lb4=",0)</f>
        <v>#REF!</v>
      </c>
      <c r="GJ396" t="e">
        <f>IF(#REF!,"AAAAAH//lb8=",0)</f>
        <v>#REF!</v>
      </c>
      <c r="GK396" t="e">
        <f>IF(#REF!,"AAAAAH//lcA=",0)</f>
        <v>#REF!</v>
      </c>
      <c r="GL396" t="e">
        <f>IF(#REF!,"AAAAAH//lcE=",0)</f>
        <v>#REF!</v>
      </c>
      <c r="GM396" t="e">
        <f>IF(#REF!,"AAAAAH//lcI=",0)</f>
        <v>#REF!</v>
      </c>
      <c r="GN396" t="e">
        <f>IF(#REF!,"AAAAAH//lcM=",0)</f>
        <v>#REF!</v>
      </c>
      <c r="GO396" t="e">
        <f>IF(#REF!,"AAAAAH//lcQ=",0)</f>
        <v>#REF!</v>
      </c>
      <c r="GP396" t="e">
        <f>IF(#REF!,"AAAAAH//lcU=",0)</f>
        <v>#REF!</v>
      </c>
      <c r="GQ396" t="e">
        <f>IF(#REF!,"AAAAAH//lcY=",0)</f>
        <v>#REF!</v>
      </c>
      <c r="GR396" t="e">
        <f>IF(#REF!,"AAAAAH//lcc=",0)</f>
        <v>#REF!</v>
      </c>
      <c r="GS396" t="e">
        <f>IF(#REF!,"AAAAAH//lcg=",0)</f>
        <v>#REF!</v>
      </c>
      <c r="GT396" t="e">
        <f>IF(#REF!,"AAAAAH//lck=",0)</f>
        <v>#REF!</v>
      </c>
      <c r="GU396" t="e">
        <f>IF(#REF!,"AAAAAH//lco=",0)</f>
        <v>#REF!</v>
      </c>
      <c r="GV396" t="e">
        <f>IF(#REF!,"AAAAAH//lcs=",0)</f>
        <v>#REF!</v>
      </c>
      <c r="GW396" t="e">
        <f>IF(#REF!,"AAAAAH//lcw=",0)</f>
        <v>#REF!</v>
      </c>
      <c r="GX396" t="e">
        <f>IF(#REF!,"AAAAAH//lc0=",0)</f>
        <v>#REF!</v>
      </c>
      <c r="GY396" t="e">
        <f>IF(#REF!,"AAAAAH//lc4=",0)</f>
        <v>#REF!</v>
      </c>
      <c r="GZ396" t="e">
        <f>IF(#REF!,"AAAAAH//lc8=",0)</f>
        <v>#REF!</v>
      </c>
      <c r="HA396" t="e">
        <f>IF(#REF!,"AAAAAH//ldA=",0)</f>
        <v>#REF!</v>
      </c>
      <c r="HB396" t="e">
        <f>IF(#REF!,"AAAAAH//ldE=",0)</f>
        <v>#REF!</v>
      </c>
      <c r="HC396" t="e">
        <f>IF(#REF!,"AAAAAH//ldI=",0)</f>
        <v>#REF!</v>
      </c>
      <c r="HD396" t="e">
        <f>IF(#REF!,"AAAAAH//ldM=",0)</f>
        <v>#REF!</v>
      </c>
      <c r="HE396" t="e">
        <f>IF(#REF!,"AAAAAH//ldQ=",0)</f>
        <v>#REF!</v>
      </c>
      <c r="HF396" t="e">
        <f>IF(#REF!,"AAAAAH//ldU=",0)</f>
        <v>#REF!</v>
      </c>
      <c r="HG396" t="e">
        <f>IF(#REF!,"AAAAAH//ldY=",0)</f>
        <v>#REF!</v>
      </c>
      <c r="HH396" t="e">
        <f>IF(#REF!,"AAAAAH//ldc=",0)</f>
        <v>#REF!</v>
      </c>
      <c r="HI396" t="e">
        <f>IF(#REF!,"AAAAAH//ldg=",0)</f>
        <v>#REF!</v>
      </c>
      <c r="HJ396" t="e">
        <f>IF(#REF!,"AAAAAH//ldk=",0)</f>
        <v>#REF!</v>
      </c>
      <c r="HK396" t="e">
        <f>IF(#REF!,"AAAAAH//ldo=",0)</f>
        <v>#REF!</v>
      </c>
      <c r="HL396" t="e">
        <f>IF(#REF!,"AAAAAH//lds=",0)</f>
        <v>#REF!</v>
      </c>
      <c r="HM396" t="e">
        <f>IF(#REF!,"AAAAAH//ldw=",0)</f>
        <v>#REF!</v>
      </c>
      <c r="HN396" t="e">
        <f>IF(#REF!,"AAAAAH//ld0=",0)</f>
        <v>#REF!</v>
      </c>
      <c r="HO396" t="e">
        <f>IF(#REF!,"AAAAAH//ld4=",0)</f>
        <v>#REF!</v>
      </c>
      <c r="HP396" t="e">
        <f>IF(#REF!,"AAAAAH//ld8=",0)</f>
        <v>#REF!</v>
      </c>
      <c r="HQ396" t="e">
        <f>IF(#REF!,"AAAAAH//leA=",0)</f>
        <v>#REF!</v>
      </c>
      <c r="HR396" t="e">
        <f>IF(#REF!,"AAAAAH//leE=",0)</f>
        <v>#REF!</v>
      </c>
      <c r="HS396" t="e">
        <f>IF(#REF!,"AAAAAH//leI=",0)</f>
        <v>#REF!</v>
      </c>
      <c r="HT396" t="e">
        <f>IF(#REF!,"AAAAAH//leM=",0)</f>
        <v>#REF!</v>
      </c>
      <c r="HU396" t="e">
        <f>IF(#REF!,"AAAAAH//leQ=",0)</f>
        <v>#REF!</v>
      </c>
      <c r="HV396" t="e">
        <f>IF(#REF!,"AAAAAH//leU=",0)</f>
        <v>#REF!</v>
      </c>
      <c r="HW396" t="e">
        <f>IF(#REF!,"AAAAAH//leY=",0)</f>
        <v>#REF!</v>
      </c>
      <c r="HX396" t="e">
        <f>IF(#REF!,"AAAAAH//lec=",0)</f>
        <v>#REF!</v>
      </c>
      <c r="HY396" t="e">
        <f>IF(#REF!,"AAAAAH//leg=",0)</f>
        <v>#REF!</v>
      </c>
      <c r="HZ396" t="e">
        <f>IF(#REF!,"AAAAAH//lek=",0)</f>
        <v>#REF!</v>
      </c>
      <c r="IA396" t="e">
        <f>IF(#REF!,"AAAAAH//leo=",0)</f>
        <v>#REF!</v>
      </c>
      <c r="IB396" t="e">
        <f>IF(#REF!,"AAAAAH//les=",0)</f>
        <v>#REF!</v>
      </c>
      <c r="IC396" t="e">
        <f>IF(#REF!,"AAAAAH//lew=",0)</f>
        <v>#REF!</v>
      </c>
      <c r="ID396" t="e">
        <f>IF(#REF!,"AAAAAH//le0=",0)</f>
        <v>#REF!</v>
      </c>
      <c r="IE396" t="e">
        <f>IF(#REF!,"AAAAAH//le4=",0)</f>
        <v>#REF!</v>
      </c>
      <c r="IF396" t="e">
        <f>IF(#REF!,"AAAAAH//le8=",0)</f>
        <v>#REF!</v>
      </c>
      <c r="IG396" t="e">
        <f>IF(#REF!,"AAAAAH//lfA=",0)</f>
        <v>#REF!</v>
      </c>
      <c r="IH396" t="e">
        <f>IF(#REF!,"AAAAAH//lfE=",0)</f>
        <v>#REF!</v>
      </c>
      <c r="II396" t="e">
        <f>IF(#REF!,"AAAAAH//lfI=",0)</f>
        <v>#REF!</v>
      </c>
      <c r="IJ396" t="e">
        <f>IF(#REF!,"AAAAAH//lfM=",0)</f>
        <v>#REF!</v>
      </c>
      <c r="IK396" t="e">
        <f>IF(#REF!,"AAAAAH//lfQ=",0)</f>
        <v>#REF!</v>
      </c>
      <c r="IL396" t="e">
        <f>IF(#REF!,"AAAAAH//lfU=",0)</f>
        <v>#REF!</v>
      </c>
      <c r="IM396" t="e">
        <f>IF(#REF!,"AAAAAH//lfY=",0)</f>
        <v>#REF!</v>
      </c>
      <c r="IN396" t="e">
        <f>IF(#REF!,"AAAAAH//lfc=",0)</f>
        <v>#REF!</v>
      </c>
      <c r="IO396" t="e">
        <f>IF(#REF!,"AAAAAH//lfg=",0)</f>
        <v>#REF!</v>
      </c>
      <c r="IP396" t="e">
        <f>IF(#REF!,"AAAAAH//lfk=",0)</f>
        <v>#REF!</v>
      </c>
      <c r="IQ396" t="e">
        <f>IF(#REF!,"AAAAAH//lfo=",0)</f>
        <v>#REF!</v>
      </c>
      <c r="IR396" t="e">
        <f>IF(#REF!,"AAAAAH//lfs=",0)</f>
        <v>#REF!</v>
      </c>
      <c r="IS396" t="e">
        <f>IF(#REF!,"AAAAAH//lfw=",0)</f>
        <v>#REF!</v>
      </c>
      <c r="IT396" t="e">
        <f>IF(#REF!,"AAAAAH//lf0=",0)</f>
        <v>#REF!</v>
      </c>
      <c r="IU396" t="e">
        <f>IF(#REF!,"AAAAAH//lf4=",0)</f>
        <v>#REF!</v>
      </c>
      <c r="IV396" t="e">
        <f>IF(#REF!,"AAAAAH//lf8=",0)</f>
        <v>#REF!</v>
      </c>
    </row>
    <row r="397" spans="1:256">
      <c r="A397" t="e">
        <f>IF(#REF!,"AAAAAH81cwA=",0)</f>
        <v>#REF!</v>
      </c>
      <c r="B397" t="e">
        <f>IF(#REF!,"AAAAAH81cwE=",0)</f>
        <v>#REF!</v>
      </c>
      <c r="C397" t="e">
        <f>IF(#REF!,"AAAAAH81cwI=",0)</f>
        <v>#REF!</v>
      </c>
      <c r="D397" t="e">
        <f>IF(#REF!,"AAAAAH81cwM=",0)</f>
        <v>#REF!</v>
      </c>
      <c r="E397" t="e">
        <f>IF(#REF!,"AAAAAH81cwQ=",0)</f>
        <v>#REF!</v>
      </c>
      <c r="F397" t="e">
        <f>IF(#REF!,"AAAAAH81cwU=",0)</f>
        <v>#REF!</v>
      </c>
      <c r="G397" t="e">
        <f>IF(#REF!,"AAAAAH81cwY=",0)</f>
        <v>#REF!</v>
      </c>
      <c r="H397" t="e">
        <f>IF(#REF!,"AAAAAH81cwc=",0)</f>
        <v>#REF!</v>
      </c>
      <c r="I397" t="e">
        <f>IF(#REF!,"AAAAAH81cwg=",0)</f>
        <v>#REF!</v>
      </c>
      <c r="J397" t="e">
        <f>IF(#REF!,"AAAAAH81cwk=",0)</f>
        <v>#REF!</v>
      </c>
      <c r="K397" t="e">
        <f>IF(#REF!,"AAAAAH81cwo=",0)</f>
        <v>#REF!</v>
      </c>
      <c r="L397" t="e">
        <f>IF(#REF!,"AAAAAH81cws=",0)</f>
        <v>#REF!</v>
      </c>
      <c r="M397" t="e">
        <f>IF(#REF!,"AAAAAH81cww=",0)</f>
        <v>#REF!</v>
      </c>
      <c r="N397" t="e">
        <f>IF(#REF!,"AAAAAH81cw0=",0)</f>
        <v>#REF!</v>
      </c>
      <c r="O397" t="e">
        <f>IF(#REF!,"AAAAAH81cw4=",0)</f>
        <v>#REF!</v>
      </c>
      <c r="P397" t="e">
        <f>IF(#REF!,"AAAAAH81cw8=",0)</f>
        <v>#REF!</v>
      </c>
      <c r="Q397" t="e">
        <f>IF(#REF!,"AAAAAH81cxA=",0)</f>
        <v>#REF!</v>
      </c>
      <c r="R397" t="e">
        <f>IF(#REF!,"AAAAAH81cxE=",0)</f>
        <v>#REF!</v>
      </c>
      <c r="S397" t="e">
        <f>IF(#REF!,"AAAAAH81cxI=",0)</f>
        <v>#REF!</v>
      </c>
      <c r="T397" t="e">
        <f>IF(#REF!,"AAAAAH81cxM=",0)</f>
        <v>#REF!</v>
      </c>
      <c r="U397" t="e">
        <f>IF(#REF!,"AAAAAH81cxQ=",0)</f>
        <v>#REF!</v>
      </c>
      <c r="V397" t="e">
        <f>IF(#REF!,"AAAAAH81cxU=",0)</f>
        <v>#REF!</v>
      </c>
      <c r="W397" t="e">
        <f>IF(#REF!,"AAAAAH81cxY=",0)</f>
        <v>#REF!</v>
      </c>
      <c r="X397" t="e">
        <f>IF(#REF!,"AAAAAH81cxc=",0)</f>
        <v>#REF!</v>
      </c>
      <c r="Y397" t="e">
        <f>IF(#REF!,"AAAAAH81cxg=",0)</f>
        <v>#REF!</v>
      </c>
      <c r="Z397" t="e">
        <f>IF(#REF!,"AAAAAH81cxk=",0)</f>
        <v>#REF!</v>
      </c>
      <c r="AA397" t="e">
        <f>IF(#REF!,"AAAAAH81cxo=",0)</f>
        <v>#REF!</v>
      </c>
      <c r="AB397" t="e">
        <f>IF(#REF!,"AAAAAH81cxs=",0)</f>
        <v>#REF!</v>
      </c>
      <c r="AC397" t="e">
        <f>IF(#REF!,"AAAAAH81cxw=",0)</f>
        <v>#REF!</v>
      </c>
      <c r="AD397" t="e">
        <f>IF(#REF!,"AAAAAH81cx0=",0)</f>
        <v>#REF!</v>
      </c>
      <c r="AE397" t="e">
        <f>IF(#REF!,"AAAAAH81cx4=",0)</f>
        <v>#REF!</v>
      </c>
      <c r="AF397" t="e">
        <f>IF(#REF!,"AAAAAH81cx8=",0)</f>
        <v>#REF!</v>
      </c>
      <c r="AG397" t="e">
        <f>IF(#REF!,"AAAAAH81cyA=",0)</f>
        <v>#REF!</v>
      </c>
      <c r="AH397" t="e">
        <f>IF(#REF!,"AAAAAH81cyE=",0)</f>
        <v>#REF!</v>
      </c>
      <c r="AI397" t="e">
        <f>IF(#REF!,"AAAAAH81cyI=",0)</f>
        <v>#REF!</v>
      </c>
      <c r="AJ397" t="e">
        <f>IF(#REF!,"AAAAAH81cyM=",0)</f>
        <v>#REF!</v>
      </c>
      <c r="AK397" t="e">
        <f>IF(#REF!,"AAAAAH81cyQ=",0)</f>
        <v>#REF!</v>
      </c>
      <c r="AL397" t="e">
        <f>IF(#REF!,"AAAAAH81cyU=",0)</f>
        <v>#REF!</v>
      </c>
      <c r="AM397" t="e">
        <f>IF(#REF!,"AAAAAH81cyY=",0)</f>
        <v>#REF!</v>
      </c>
      <c r="AN397" t="e">
        <f>IF(#REF!,"AAAAAH81cyc=",0)</f>
        <v>#REF!</v>
      </c>
      <c r="AO397" t="e">
        <f>IF(#REF!,"AAAAAH81cyg=",0)</f>
        <v>#REF!</v>
      </c>
      <c r="AP397" t="e">
        <f>IF(#REF!,"AAAAAH81cyk=",0)</f>
        <v>#REF!</v>
      </c>
      <c r="AQ397" t="e">
        <f>IF(#REF!,"AAAAAH81cyo=",0)</f>
        <v>#REF!</v>
      </c>
      <c r="AR397" t="e">
        <f>IF(#REF!,"AAAAAH81cys=",0)</f>
        <v>#REF!</v>
      </c>
      <c r="AS397" t="e">
        <f>IF(#REF!,"AAAAAH81cyw=",0)</f>
        <v>#REF!</v>
      </c>
      <c r="AT397" t="e">
        <f>IF(#REF!,"AAAAAH81cy0=",0)</f>
        <v>#REF!</v>
      </c>
      <c r="AU397" t="e">
        <f>IF(#REF!,"AAAAAH81cy4=",0)</f>
        <v>#REF!</v>
      </c>
      <c r="AV397" t="e">
        <f>IF(#REF!,"AAAAAH81cy8=",0)</f>
        <v>#REF!</v>
      </c>
      <c r="AW397" t="e">
        <f>IF(#REF!,"AAAAAH81czA=",0)</f>
        <v>#REF!</v>
      </c>
      <c r="AX397" t="e">
        <f>IF(#REF!,"AAAAAH81czE=",0)</f>
        <v>#REF!</v>
      </c>
      <c r="AY397" t="e">
        <f>IF(#REF!,"AAAAAH81czI=",0)</f>
        <v>#REF!</v>
      </c>
      <c r="AZ397" t="e">
        <f>IF(#REF!,"AAAAAH81czM=",0)</f>
        <v>#REF!</v>
      </c>
      <c r="BA397" t="e">
        <f>IF(#REF!,"AAAAAH81czQ=",0)</f>
        <v>#REF!</v>
      </c>
      <c r="BB397" t="e">
        <f>IF(#REF!,"AAAAAH81czU=",0)</f>
        <v>#REF!</v>
      </c>
      <c r="BC397" t="e">
        <f>IF(#REF!,"AAAAAH81czY=",0)</f>
        <v>#REF!</v>
      </c>
      <c r="BD397" t="e">
        <f>IF(#REF!,"AAAAAH81czc=",0)</f>
        <v>#REF!</v>
      </c>
      <c r="BE397" t="e">
        <f>IF(#REF!,"AAAAAH81czg=",0)</f>
        <v>#REF!</v>
      </c>
      <c r="BF397" t="e">
        <f>IF(#REF!,"AAAAAH81czk=",0)</f>
        <v>#REF!</v>
      </c>
      <c r="BG397" t="e">
        <f>IF(#REF!,"AAAAAH81czo=",0)</f>
        <v>#REF!</v>
      </c>
      <c r="BH397" t="e">
        <f>IF(#REF!,"AAAAAH81czs=",0)</f>
        <v>#REF!</v>
      </c>
      <c r="BI397" t="e">
        <f>IF(#REF!,"AAAAAH81czw=",0)</f>
        <v>#REF!</v>
      </c>
      <c r="BJ397" t="e">
        <f>IF(#REF!,"AAAAAH81cz0=",0)</f>
        <v>#REF!</v>
      </c>
      <c r="BK397" t="e">
        <f>IF(#REF!,"AAAAAH81cz4=",0)</f>
        <v>#REF!</v>
      </c>
      <c r="BL397" t="e">
        <f>IF(#REF!,"AAAAAH81cz8=",0)</f>
        <v>#REF!</v>
      </c>
      <c r="BM397" t="e">
        <f>IF(#REF!,"AAAAAH81c0A=",0)</f>
        <v>#REF!</v>
      </c>
      <c r="BN397" t="e">
        <f>IF(#REF!,"AAAAAH81c0E=",0)</f>
        <v>#REF!</v>
      </c>
      <c r="BO397" t="e">
        <f>IF(#REF!,"AAAAAH81c0I=",0)</f>
        <v>#REF!</v>
      </c>
      <c r="BP397" t="e">
        <f>IF(#REF!,"AAAAAH81c0M=",0)</f>
        <v>#REF!</v>
      </c>
      <c r="BQ397" t="e">
        <f>IF(#REF!,"AAAAAH81c0Q=",0)</f>
        <v>#REF!</v>
      </c>
      <c r="BR397" t="e">
        <f>IF(#REF!,"AAAAAH81c0U=",0)</f>
        <v>#REF!</v>
      </c>
      <c r="BS397" t="e">
        <f>IF(#REF!,"AAAAAH81c0Y=",0)</f>
        <v>#REF!</v>
      </c>
      <c r="BT397" t="e">
        <f>IF(#REF!,"AAAAAH81c0c=",0)</f>
        <v>#REF!</v>
      </c>
      <c r="BU397" t="e">
        <f>IF(#REF!,"AAAAAH81c0g=",0)</f>
        <v>#REF!</v>
      </c>
      <c r="BV397" t="e">
        <f>IF(#REF!,"AAAAAH81c0k=",0)</f>
        <v>#REF!</v>
      </c>
      <c r="BW397" t="e">
        <f>IF(#REF!,"AAAAAH81c0o=",0)</f>
        <v>#REF!</v>
      </c>
      <c r="BX397" t="e">
        <f>IF(#REF!,"AAAAAH81c0s=",0)</f>
        <v>#REF!</v>
      </c>
      <c r="BY397" t="e">
        <f>IF(#REF!,"AAAAAH81c0w=",0)</f>
        <v>#REF!</v>
      </c>
      <c r="BZ397" t="e">
        <f>IF(#REF!,"AAAAAH81c00=",0)</f>
        <v>#REF!</v>
      </c>
      <c r="CA397" t="e">
        <f>IF(#REF!,"AAAAAH81c04=",0)</f>
        <v>#REF!</v>
      </c>
      <c r="CB397" t="e">
        <f>IF(#REF!,"AAAAAH81c08=",0)</f>
        <v>#REF!</v>
      </c>
      <c r="CC397" t="e">
        <f>IF(#REF!,"AAAAAH81c1A=",0)</f>
        <v>#REF!</v>
      </c>
      <c r="CD397" t="e">
        <f>IF(#REF!,"AAAAAH81c1E=",0)</f>
        <v>#REF!</v>
      </c>
      <c r="CE397" t="e">
        <f>IF(#REF!,"AAAAAH81c1I=",0)</f>
        <v>#REF!</v>
      </c>
      <c r="CF397" t="e">
        <f>IF(#REF!,"AAAAAH81c1M=",0)</f>
        <v>#REF!</v>
      </c>
      <c r="CG397" t="e">
        <f>IF(#REF!,"AAAAAH81c1Q=",0)</f>
        <v>#REF!</v>
      </c>
      <c r="CH397" t="e">
        <f>IF(#REF!,"AAAAAH81c1U=",0)</f>
        <v>#REF!</v>
      </c>
      <c r="CI397" t="e">
        <f>IF(#REF!,"AAAAAH81c1Y=",0)</f>
        <v>#REF!</v>
      </c>
      <c r="CJ397" t="e">
        <f>IF(#REF!,"AAAAAH81c1c=",0)</f>
        <v>#REF!</v>
      </c>
      <c r="CK397" t="e">
        <f>IF(#REF!,"AAAAAH81c1g=",0)</f>
        <v>#REF!</v>
      </c>
      <c r="CL397" t="e">
        <f>IF(#REF!,"AAAAAH81c1k=",0)</f>
        <v>#REF!</v>
      </c>
      <c r="CM397" t="e">
        <f>IF(#REF!,"AAAAAH81c1o=",0)</f>
        <v>#REF!</v>
      </c>
      <c r="CN397" t="e">
        <f>IF(#REF!,"AAAAAH81c1s=",0)</f>
        <v>#REF!</v>
      </c>
      <c r="CO397" t="e">
        <f>IF(#REF!,"AAAAAH81c1w=",0)</f>
        <v>#REF!</v>
      </c>
      <c r="CP397" t="e">
        <f>IF(#REF!,"AAAAAH81c10=",0)</f>
        <v>#REF!</v>
      </c>
      <c r="CQ397" t="e">
        <f>IF(#REF!,"AAAAAH81c14=",0)</f>
        <v>#REF!</v>
      </c>
      <c r="CR397" t="e">
        <f>IF(#REF!,"AAAAAH81c18=",0)</f>
        <v>#REF!</v>
      </c>
      <c r="CS397" t="e">
        <f>IF(#REF!,"AAAAAH81c2A=",0)</f>
        <v>#REF!</v>
      </c>
      <c r="CT397" t="e">
        <f>IF(#REF!,"AAAAAH81c2E=",0)</f>
        <v>#REF!</v>
      </c>
      <c r="CU397" t="e">
        <f>IF(#REF!,"AAAAAH81c2I=",0)</f>
        <v>#REF!</v>
      </c>
      <c r="CV397" t="e">
        <f>IF(#REF!,"AAAAAH81c2M=",0)</f>
        <v>#REF!</v>
      </c>
      <c r="CW397" t="e">
        <f>IF(#REF!,"AAAAAH81c2Q=",0)</f>
        <v>#REF!</v>
      </c>
      <c r="CX397" t="e">
        <f>IF(#REF!,"AAAAAH81c2U=",0)</f>
        <v>#REF!</v>
      </c>
      <c r="CY397" t="e">
        <f>IF(#REF!,"AAAAAH81c2Y=",0)</f>
        <v>#REF!</v>
      </c>
      <c r="CZ397" t="e">
        <f>IF(#REF!,"AAAAAH81c2c=",0)</f>
        <v>#REF!</v>
      </c>
      <c r="DA397" t="e">
        <f>IF(#REF!,"AAAAAH81c2g=",0)</f>
        <v>#REF!</v>
      </c>
      <c r="DB397" t="e">
        <f>IF(#REF!,"AAAAAH81c2k=",0)</f>
        <v>#REF!</v>
      </c>
      <c r="DC397" t="e">
        <f>IF(#REF!,"AAAAAH81c2o=",0)</f>
        <v>#REF!</v>
      </c>
      <c r="DD397" t="e">
        <f>IF(#REF!,"AAAAAH81c2s=",0)</f>
        <v>#REF!</v>
      </c>
      <c r="DE397" t="e">
        <f>IF(#REF!,"AAAAAH81c2w=",0)</f>
        <v>#REF!</v>
      </c>
      <c r="DF397" t="e">
        <f>IF(#REF!,"AAAAAH81c20=",0)</f>
        <v>#REF!</v>
      </c>
      <c r="DG397" t="e">
        <f>IF(#REF!,"AAAAAH81c24=",0)</f>
        <v>#REF!</v>
      </c>
      <c r="DH397" t="e">
        <f>IF(#REF!,"AAAAAH81c28=",0)</f>
        <v>#REF!</v>
      </c>
      <c r="DI397" t="e">
        <f>IF(#REF!,"AAAAAH81c3A=",0)</f>
        <v>#REF!</v>
      </c>
      <c r="DJ397" t="e">
        <f>IF(#REF!,"AAAAAH81c3E=",0)</f>
        <v>#REF!</v>
      </c>
      <c r="DK397" t="e">
        <f>IF(#REF!,"AAAAAH81c3I=",0)</f>
        <v>#REF!</v>
      </c>
      <c r="DL397" t="e">
        <f>IF(#REF!,"AAAAAH81c3M=",0)</f>
        <v>#REF!</v>
      </c>
      <c r="DM397" t="e">
        <f>IF(#REF!,"AAAAAH81c3Q=",0)</f>
        <v>#REF!</v>
      </c>
      <c r="DN397" t="e">
        <f>IF(#REF!,"AAAAAH81c3U=",0)</f>
        <v>#REF!</v>
      </c>
      <c r="DO397" t="e">
        <f>IF(#REF!,"AAAAAH81c3Y=",0)</f>
        <v>#REF!</v>
      </c>
      <c r="DP397" t="e">
        <f>IF(#REF!,"AAAAAH81c3c=",0)</f>
        <v>#REF!</v>
      </c>
      <c r="DQ397" t="e">
        <f>IF(#REF!,"AAAAAH81c3g=",0)</f>
        <v>#REF!</v>
      </c>
      <c r="DR397" t="e">
        <f>IF(#REF!,"AAAAAH81c3k=",0)</f>
        <v>#REF!</v>
      </c>
      <c r="DS397" t="e">
        <f>IF(#REF!,"AAAAAH81c3o=",0)</f>
        <v>#REF!</v>
      </c>
      <c r="DT397" t="e">
        <f>IF(#REF!,"AAAAAH81c3s=",0)</f>
        <v>#REF!</v>
      </c>
      <c r="DU397" t="e">
        <f>IF(#REF!,"AAAAAH81c3w=",0)</f>
        <v>#REF!</v>
      </c>
      <c r="DV397" t="e">
        <f>IF(#REF!,"AAAAAH81c30=",0)</f>
        <v>#REF!</v>
      </c>
      <c r="DW397" t="e">
        <f>IF(#REF!,"AAAAAH81c34=",0)</f>
        <v>#REF!</v>
      </c>
      <c r="DX397" t="e">
        <f>IF(#REF!,"AAAAAH81c38=",0)</f>
        <v>#REF!</v>
      </c>
      <c r="DY397" t="e">
        <f>IF(#REF!,"AAAAAH81c4A=",0)</f>
        <v>#REF!</v>
      </c>
      <c r="DZ397" t="e">
        <f>IF(#REF!,"AAAAAH81c4E=",0)</f>
        <v>#REF!</v>
      </c>
      <c r="EA397" t="e">
        <f>IF(#REF!,"AAAAAH81c4I=",0)</f>
        <v>#REF!</v>
      </c>
      <c r="EB397" t="e">
        <f>IF(#REF!,"AAAAAH81c4M=",0)</f>
        <v>#REF!</v>
      </c>
      <c r="EC397" t="e">
        <f>IF(#REF!,"AAAAAH81c4Q=",0)</f>
        <v>#REF!</v>
      </c>
      <c r="ED397" t="e">
        <f>IF(#REF!,"AAAAAH81c4U=",0)</f>
        <v>#REF!</v>
      </c>
      <c r="EE397" t="e">
        <f>IF(#REF!,"AAAAAH81c4Y=",0)</f>
        <v>#REF!</v>
      </c>
      <c r="EF397" t="e">
        <f>IF(#REF!,"AAAAAH81c4c=",0)</f>
        <v>#REF!</v>
      </c>
      <c r="EG397" t="e">
        <f>IF(#REF!,"AAAAAH81c4g=",0)</f>
        <v>#REF!</v>
      </c>
      <c r="EH397" t="e">
        <f>IF(#REF!,"AAAAAH81c4k=",0)</f>
        <v>#REF!</v>
      </c>
      <c r="EI397" t="e">
        <f>IF(#REF!,"AAAAAH81c4o=",0)</f>
        <v>#REF!</v>
      </c>
      <c r="EJ397" t="e">
        <f>IF(#REF!,"AAAAAH81c4s=",0)</f>
        <v>#REF!</v>
      </c>
      <c r="EK397" t="e">
        <f>IF(#REF!,"AAAAAH81c4w=",0)</f>
        <v>#REF!</v>
      </c>
      <c r="EL397" t="e">
        <f>IF(#REF!,"AAAAAH81c40=",0)</f>
        <v>#REF!</v>
      </c>
      <c r="EM397" t="e">
        <f>IF(#REF!,"AAAAAH81c44=",0)</f>
        <v>#REF!</v>
      </c>
      <c r="EN397" t="e">
        <f>IF(#REF!,"AAAAAH81c48=",0)</f>
        <v>#REF!</v>
      </c>
      <c r="EO397" t="e">
        <f>IF(#REF!,"AAAAAH81c5A=",0)</f>
        <v>#REF!</v>
      </c>
      <c r="EP397" s="8" t="s">
        <v>232</v>
      </c>
      <c r="EQ397" t="s">
        <v>233</v>
      </c>
      <c r="ER397" s="144" t="s">
        <v>234</v>
      </c>
      <c r="ES397" t="e">
        <f>IF("N",_xludf._xlfn.IFERROR,"AAAAAH81c5Q=")</f>
        <v>#VALUE!</v>
      </c>
      <c r="ET397" t="e">
        <f>IF("N",[0]!_xlnm.Print_Area,"AAAAAH81c5U=")</f>
        <v>#VALUE!</v>
      </c>
      <c r="EU397" t="e">
        <f>IF("N",PrintSheet!_xlnm.Print_Area,"AAAAAH81c5Y=")</f>
        <v>#VALUE!</v>
      </c>
      <c r="EV397" t="e">
        <f>IF("N",'Black &amp; White load sheet'!_xlnm.Print_Titles,"AAAAAH81c5c=")</f>
        <v>#VALUE!</v>
      </c>
      <c r="EW397" t="e">
        <f>IF("N",PrintSheet!_xlnm.Print_Titles,"AAAAAH81c5g=")</f>
        <v>#VALUE!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CY29"/>
  <sheetViews>
    <sheetView workbookViewId="0">
      <pane ySplit="2" topLeftCell="A3" activePane="bottomLeft" state="frozen"/>
      <selection pane="bottomLeft" activeCell="C1" sqref="C1"/>
    </sheetView>
  </sheetViews>
  <sheetFormatPr defaultColWidth="9.140625" defaultRowHeight="13.15"/>
  <cols>
    <col min="1" max="1" width="6.28515625" style="45" customWidth="1"/>
    <col min="2" max="2" width="7.28515625" style="45" customWidth="1"/>
    <col min="3" max="3" width="25.28515625" style="45" customWidth="1"/>
    <col min="4" max="4" width="10.85546875" style="187" customWidth="1"/>
    <col min="5" max="5" width="7.7109375" style="45" customWidth="1"/>
    <col min="6" max="6" width="7.28515625" style="45" hidden="1" customWidth="1"/>
    <col min="7" max="8" width="9.140625" style="45" hidden="1" customWidth="1"/>
    <col min="9" max="9" width="6.140625" style="45" customWidth="1"/>
    <col min="10" max="10" width="7.42578125" style="45" customWidth="1"/>
    <col min="11" max="12" width="12.140625" style="45" customWidth="1"/>
    <col min="13" max="13" width="9.42578125" style="45" customWidth="1"/>
    <col min="14" max="14" width="10.42578125" style="45" customWidth="1"/>
    <col min="15" max="15" width="9.140625" style="45" hidden="1" customWidth="1"/>
    <col min="16" max="16" width="6.140625" style="158" customWidth="1"/>
    <col min="17" max="17" width="8" style="45" customWidth="1"/>
    <col min="18" max="23" width="8" style="45" hidden="1" customWidth="1"/>
    <col min="24" max="33" width="9.140625" style="45" hidden="1" customWidth="1"/>
    <col min="34" max="34" width="12.28515625" style="45" customWidth="1"/>
    <col min="35" max="35" width="9.42578125" style="45" customWidth="1"/>
    <col min="36" max="38" width="9.140625" style="9" hidden="1" customWidth="1"/>
    <col min="39" max="60" width="9.140625" style="10" hidden="1" customWidth="1"/>
    <col min="61" max="82" width="9.140625" style="10" customWidth="1"/>
    <col min="83" max="85" width="9.140625" style="10"/>
    <col min="86" max="120" width="0" style="10" hidden="1" customWidth="1"/>
    <col min="121" max="16384" width="9.140625" style="10"/>
  </cols>
  <sheetData>
    <row r="1" spans="1:103" customFormat="1" ht="38.25" customHeight="1">
      <c r="A1" s="45"/>
      <c r="B1" s="45"/>
      <c r="C1" s="45"/>
      <c r="D1" s="187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158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250"/>
      <c r="AK1" s="250"/>
      <c r="AL1" s="250"/>
      <c r="AY1" s="227" t="str">
        <f>CONCATENATE("Setup!O7:O",COUNTA(Setup!O:O)+4)</f>
        <v>Setup!O7:O13</v>
      </c>
      <c r="BB1" t="s">
        <v>0</v>
      </c>
      <c r="BC1" t="s">
        <v>1</v>
      </c>
      <c r="BD1" t="s">
        <v>2</v>
      </c>
      <c r="BE1" t="s">
        <v>3</v>
      </c>
      <c r="BF1" t="s">
        <v>4</v>
      </c>
    </row>
    <row r="2" spans="1:103" s="149" customFormat="1" ht="27" thickBot="1">
      <c r="A2" s="148"/>
      <c r="B2" s="148" t="s">
        <v>56</v>
      </c>
      <c r="C2" s="72" t="s">
        <v>57</v>
      </c>
      <c r="D2" s="188" t="s">
        <v>58</v>
      </c>
      <c r="E2" s="72" t="s">
        <v>59</v>
      </c>
      <c r="F2" s="72" t="str">
        <f>Setup!K6</f>
        <v>BWt (Kg)</v>
      </c>
      <c r="G2" s="72" t="s">
        <v>60</v>
      </c>
      <c r="H2" s="72" t="s">
        <v>61</v>
      </c>
      <c r="I2" s="72" t="s">
        <v>62</v>
      </c>
      <c r="J2" s="72" t="s">
        <v>63</v>
      </c>
      <c r="K2" s="72" t="s">
        <v>64</v>
      </c>
      <c r="L2" s="72" t="s">
        <v>65</v>
      </c>
      <c r="M2" s="72" t="s">
        <v>66</v>
      </c>
      <c r="N2" s="72" t="s">
        <v>67</v>
      </c>
      <c r="O2" s="72" t="s">
        <v>68</v>
      </c>
      <c r="P2" s="181" t="s">
        <v>69</v>
      </c>
      <c r="Q2" s="72" t="s">
        <v>70</v>
      </c>
      <c r="R2" s="72" t="s">
        <v>71</v>
      </c>
      <c r="S2" s="72" t="s">
        <v>72</v>
      </c>
      <c r="T2" s="72" t="s">
        <v>73</v>
      </c>
      <c r="U2" s="72" t="s">
        <v>74</v>
      </c>
      <c r="V2" s="72" t="s">
        <v>75</v>
      </c>
      <c r="W2" s="72" t="s">
        <v>58</v>
      </c>
      <c r="X2" s="72" t="s">
        <v>76</v>
      </c>
      <c r="Y2" s="72" t="s">
        <v>77</v>
      </c>
      <c r="Z2" s="72" t="s">
        <v>78</v>
      </c>
      <c r="AA2" s="72" t="s">
        <v>79</v>
      </c>
      <c r="AB2" s="72"/>
      <c r="AC2" s="72" t="s">
        <v>80</v>
      </c>
      <c r="AD2" s="72" t="s">
        <v>81</v>
      </c>
      <c r="AE2" s="72" t="s">
        <v>82</v>
      </c>
      <c r="AF2" s="72" t="s">
        <v>83</v>
      </c>
      <c r="AG2" s="72" t="s">
        <v>84</v>
      </c>
      <c r="AH2" s="72" t="s">
        <v>85</v>
      </c>
      <c r="AI2" s="72" t="s">
        <v>86</v>
      </c>
      <c r="AJ2" s="148" t="s">
        <v>87</v>
      </c>
      <c r="AK2" s="148" t="s">
        <v>88</v>
      </c>
      <c r="AL2" s="148" t="s">
        <v>89</v>
      </c>
      <c r="AP2" s="149" t="s">
        <v>90</v>
      </c>
      <c r="AQ2" s="149" t="s">
        <v>91</v>
      </c>
      <c r="AR2" s="149">
        <v>-1</v>
      </c>
      <c r="CH2" s="149" t="s">
        <v>92</v>
      </c>
      <c r="CI2" s="149" t="s">
        <v>93</v>
      </c>
      <c r="CJ2" s="149" t="s">
        <v>94</v>
      </c>
      <c r="CK2" s="149" t="s">
        <v>95</v>
      </c>
      <c r="CL2" s="149" t="s">
        <v>96</v>
      </c>
      <c r="CM2" s="149" t="s">
        <v>68</v>
      </c>
      <c r="CN2" s="149" t="s">
        <v>69</v>
      </c>
      <c r="CO2" s="149" t="s">
        <v>97</v>
      </c>
      <c r="CP2" s="149" t="s">
        <v>71</v>
      </c>
      <c r="CQ2" s="149" t="s">
        <v>72</v>
      </c>
      <c r="CR2" s="149" t="s">
        <v>98</v>
      </c>
      <c r="CS2" s="149" t="s">
        <v>74</v>
      </c>
      <c r="CT2" s="149" t="s">
        <v>75</v>
      </c>
      <c r="CU2" s="149" t="s">
        <v>99</v>
      </c>
      <c r="CV2" s="149" t="s">
        <v>76</v>
      </c>
      <c r="CW2" s="149" t="s">
        <v>77</v>
      </c>
      <c r="CX2" s="149" t="s">
        <v>78</v>
      </c>
      <c r="CY2" s="149" t="s">
        <v>79</v>
      </c>
    </row>
    <row r="3" spans="1:103">
      <c r="C3" s="221" t="s">
        <v>100</v>
      </c>
      <c r="D3" s="223">
        <v>30253</v>
      </c>
      <c r="E3" s="221" t="s">
        <v>101</v>
      </c>
      <c r="J3" s="183"/>
      <c r="K3" s="45" t="s">
        <v>102</v>
      </c>
      <c r="L3" s="45" t="s">
        <v>102</v>
      </c>
      <c r="M3" s="45">
        <f>IFERROR(VLOOKUP($K3,DATA!$B$62:$D$66,IF($J3&gt;67,3,2)),0)+IFERROR(VLOOKUP($L3,DATA!$B$62:$D$66,IF($J3&gt;67,3,2)),0)</f>
        <v>0</v>
      </c>
      <c r="N3" s="45">
        <f>$J3+$M3</f>
        <v>0</v>
      </c>
      <c r="P3" s="182"/>
      <c r="AH3" s="221">
        <v>9634</v>
      </c>
      <c r="AI3" s="177" t="s">
        <v>103</v>
      </c>
      <c r="AJ3" s="183"/>
      <c r="AK3" s="183"/>
      <c r="AL3" s="183"/>
    </row>
    <row r="4" spans="1:103">
      <c r="C4" s="221" t="s">
        <v>104</v>
      </c>
      <c r="D4" s="224" t="s">
        <v>105</v>
      </c>
      <c r="E4" s="221" t="s">
        <v>101</v>
      </c>
      <c r="J4" s="183"/>
      <c r="P4" s="182"/>
      <c r="AH4" s="221"/>
      <c r="AI4" s="177" t="s">
        <v>103</v>
      </c>
      <c r="AJ4" s="183"/>
      <c r="AK4" s="183"/>
      <c r="AL4" s="183"/>
    </row>
    <row r="5" spans="1:103">
      <c r="C5" s="221"/>
      <c r="D5" s="224"/>
      <c r="E5" s="221"/>
      <c r="J5" s="183"/>
      <c r="P5" s="182"/>
      <c r="AH5" s="221"/>
      <c r="AI5" s="177"/>
      <c r="AJ5" s="183"/>
      <c r="AK5" s="183"/>
      <c r="AL5" s="183"/>
    </row>
    <row r="6" spans="1:103">
      <c r="C6" s="221" t="s">
        <v>106</v>
      </c>
      <c r="D6" s="224" t="s">
        <v>107</v>
      </c>
      <c r="E6" s="221"/>
      <c r="J6" s="183"/>
      <c r="P6" s="182"/>
      <c r="AH6" s="221"/>
      <c r="AI6" s="177" t="s">
        <v>103</v>
      </c>
      <c r="AJ6" s="183"/>
      <c r="AK6" s="183"/>
      <c r="AL6" s="183"/>
    </row>
    <row r="7" spans="1:103">
      <c r="C7" s="222" t="s">
        <v>108</v>
      </c>
      <c r="D7" s="225" t="s">
        <v>109</v>
      </c>
      <c r="E7" s="222"/>
      <c r="J7" s="183"/>
      <c r="P7" s="182"/>
      <c r="AH7" s="222"/>
      <c r="AI7" s="177" t="s">
        <v>103</v>
      </c>
      <c r="AJ7" s="183"/>
      <c r="AK7" s="183"/>
      <c r="AL7" s="183"/>
    </row>
    <row r="8" spans="1:103">
      <c r="C8" s="221" t="s">
        <v>110</v>
      </c>
      <c r="D8" s="224" t="s">
        <v>111</v>
      </c>
      <c r="E8" s="221"/>
      <c r="J8" s="183"/>
      <c r="P8" s="182"/>
      <c r="AH8" s="221"/>
      <c r="AI8" s="177" t="s">
        <v>103</v>
      </c>
      <c r="AJ8" s="183"/>
      <c r="AK8" s="183"/>
      <c r="AL8" s="183"/>
    </row>
    <row r="9" spans="1:103">
      <c r="C9" s="222" t="s">
        <v>112</v>
      </c>
      <c r="D9" s="225" t="s">
        <v>113</v>
      </c>
      <c r="E9" s="222" t="s">
        <v>114</v>
      </c>
      <c r="J9" s="183"/>
      <c r="P9" s="182"/>
      <c r="AH9" s="222"/>
      <c r="AI9" s="45" t="s">
        <v>103</v>
      </c>
      <c r="AJ9" s="183"/>
      <c r="AK9" s="183"/>
      <c r="AL9" s="183"/>
    </row>
    <row r="10" spans="1:103">
      <c r="C10" s="222" t="s">
        <v>115</v>
      </c>
      <c r="D10" s="226" t="s">
        <v>116</v>
      </c>
      <c r="E10" s="221" t="s">
        <v>117</v>
      </c>
      <c r="J10" s="183"/>
      <c r="P10" s="182"/>
      <c r="AH10" s="222"/>
      <c r="AI10" s="45" t="s">
        <v>103</v>
      </c>
      <c r="AJ10" s="183"/>
      <c r="AK10" s="183"/>
      <c r="AL10" s="183"/>
    </row>
    <row r="11" spans="1:103">
      <c r="C11" s="221" t="s">
        <v>118</v>
      </c>
      <c r="D11" s="224" t="s">
        <v>119</v>
      </c>
      <c r="E11" s="221" t="s">
        <v>120</v>
      </c>
      <c r="J11" s="183"/>
      <c r="P11" s="182"/>
      <c r="AH11" s="221"/>
      <c r="AI11" s="45" t="s">
        <v>103</v>
      </c>
      <c r="AJ11" s="183"/>
      <c r="AK11" s="183"/>
      <c r="AL11" s="183"/>
    </row>
    <row r="12" spans="1:103">
      <c r="C12" s="222" t="s">
        <v>121</v>
      </c>
      <c r="D12" s="225" t="s">
        <v>122</v>
      </c>
      <c r="E12" s="222"/>
      <c r="J12" s="183"/>
      <c r="P12" s="182"/>
      <c r="AH12" s="222"/>
      <c r="AI12" s="45" t="s">
        <v>103</v>
      </c>
      <c r="AJ12" s="183"/>
      <c r="AK12" s="183"/>
      <c r="AL12" s="183"/>
    </row>
    <row r="13" spans="1:103">
      <c r="C13" s="222" t="s">
        <v>123</v>
      </c>
      <c r="D13" s="226" t="s">
        <v>124</v>
      </c>
      <c r="E13" s="221" t="s">
        <v>101</v>
      </c>
      <c r="J13" s="183"/>
      <c r="P13" s="182"/>
      <c r="AH13" s="222"/>
      <c r="AI13" s="45" t="s">
        <v>103</v>
      </c>
      <c r="AJ13" s="183"/>
      <c r="AK13" s="183"/>
      <c r="AL13" s="183"/>
    </row>
    <row r="14" spans="1:103">
      <c r="C14" s="221" t="s">
        <v>125</v>
      </c>
      <c r="D14" s="224" t="s">
        <v>126</v>
      </c>
      <c r="E14" s="221" t="s">
        <v>127</v>
      </c>
      <c r="J14" s="183"/>
      <c r="P14" s="182"/>
      <c r="AH14" s="221"/>
      <c r="AI14" s="45" t="s">
        <v>103</v>
      </c>
      <c r="AJ14" s="183"/>
      <c r="AK14" s="183"/>
      <c r="AL14" s="183"/>
    </row>
    <row r="15" spans="1:103">
      <c r="C15" s="221" t="s">
        <v>128</v>
      </c>
      <c r="D15" s="223" t="s">
        <v>129</v>
      </c>
      <c r="E15" s="221" t="s">
        <v>130</v>
      </c>
      <c r="J15" s="183"/>
      <c r="K15" s="45" t="s">
        <v>131</v>
      </c>
      <c r="L15" s="45" t="s">
        <v>131</v>
      </c>
      <c r="M15" s="45">
        <f>IFERROR(VLOOKUP($K15,DATA!$B$62:$D$66,IF($J15&gt;67,3,2)),0)+IFERROR(VLOOKUP($L15,DATA!$B$62:$D$66,IF($J15&gt;67,3,2)),0)</f>
        <v>3</v>
      </c>
      <c r="N15" s="45">
        <f>$J15+$M15</f>
        <v>3</v>
      </c>
      <c r="AH15" s="221">
        <v>21075</v>
      </c>
      <c r="AI15" s="45" t="s">
        <v>103</v>
      </c>
      <c r="AJ15" s="183"/>
      <c r="AK15" s="183"/>
      <c r="AL15" s="183"/>
    </row>
    <row r="16" spans="1:103">
      <c r="C16" s="221" t="s">
        <v>132</v>
      </c>
      <c r="D16" s="223">
        <v>32224</v>
      </c>
      <c r="E16" s="221" t="s">
        <v>133</v>
      </c>
      <c r="J16" s="183"/>
      <c r="K16" s="45" t="s">
        <v>102</v>
      </c>
      <c r="L16" s="45" t="s">
        <v>131</v>
      </c>
      <c r="M16" s="45">
        <f>IFERROR(VLOOKUP($K16,DATA!$B$62:$D$66,IF($J16&gt;67,3,2)),0)+IFERROR(VLOOKUP($L16,DATA!$B$62:$D$66,IF($J16&gt;67,3,2)),0)</f>
        <v>1.5</v>
      </c>
      <c r="N16" s="45">
        <f>$J16+$M16</f>
        <v>1.5</v>
      </c>
      <c r="AH16" s="221">
        <v>10612</v>
      </c>
      <c r="AI16" s="45" t="s">
        <v>103</v>
      </c>
      <c r="AJ16" s="183"/>
      <c r="AK16" s="183"/>
      <c r="AL16" s="183"/>
    </row>
    <row r="17" spans="3:35">
      <c r="C17" s="221" t="s">
        <v>134</v>
      </c>
      <c r="D17" s="223">
        <v>35317</v>
      </c>
      <c r="E17" s="221" t="s">
        <v>135</v>
      </c>
      <c r="K17" s="45" t="s">
        <v>102</v>
      </c>
      <c r="L17" s="45" t="s">
        <v>102</v>
      </c>
      <c r="M17" s="45">
        <f>IFERROR(VLOOKUP($K17,DATA!$B$62:$D$66,IF($J17&gt;67,3,2)),0)+IFERROR(VLOOKUP($L17,DATA!$B$62:$D$66,IF($J17&gt;67,3,2)),0)</f>
        <v>0</v>
      </c>
      <c r="N17" s="45">
        <f>$J17+$M17</f>
        <v>0</v>
      </c>
      <c r="AH17" s="221">
        <v>17714</v>
      </c>
      <c r="AI17" s="45" t="s">
        <v>103</v>
      </c>
    </row>
    <row r="18" spans="3:35">
      <c r="C18" s="221" t="s">
        <v>136</v>
      </c>
      <c r="D18" s="223" t="s">
        <v>137</v>
      </c>
      <c r="E18" s="221" t="s">
        <v>138</v>
      </c>
      <c r="K18" s="45" t="s">
        <v>102</v>
      </c>
      <c r="L18" s="45" t="s">
        <v>139</v>
      </c>
      <c r="M18" s="45">
        <f>IFERROR(VLOOKUP($K18,DATA!$B$62:$D$66,IF($J18&gt;67,3,2)),0)+IFERROR(VLOOKUP($L18,DATA!$B$62:$D$66,IF($J18&gt;67,3,2)),0)</f>
        <v>1</v>
      </c>
      <c r="N18" s="45">
        <f>$J18+$M18</f>
        <v>1</v>
      </c>
      <c r="AH18" s="221">
        <v>20663</v>
      </c>
      <c r="AI18" s="45" t="s">
        <v>103</v>
      </c>
    </row>
    <row r="19" spans="3:35">
      <c r="D19" s="220"/>
    </row>
    <row r="20" spans="3:35">
      <c r="D20" s="220"/>
    </row>
    <row r="21" spans="3:35">
      <c r="D21" s="220"/>
    </row>
    <row r="22" spans="3:35">
      <c r="D22" s="220"/>
    </row>
    <row r="23" spans="3:35">
      <c r="D23" s="220"/>
    </row>
    <row r="24" spans="3:35">
      <c r="D24" s="220"/>
    </row>
    <row r="25" spans="3:35">
      <c r="D25" s="220"/>
    </row>
    <row r="26" spans="3:35">
      <c r="D26" s="220"/>
    </row>
    <row r="27" spans="3:35">
      <c r="D27" s="220"/>
    </row>
    <row r="28" spans="3:35">
      <c r="D28" s="220"/>
    </row>
    <row r="29" spans="3:35">
      <c r="D29" s="220"/>
    </row>
  </sheetData>
  <phoneticPr fontId="0" type="noConversion"/>
  <conditionalFormatting sqref="A1:AI1 K3:AI1048576 J19:J1048576 A3:I1048576">
    <cfRule type="expression" dxfId="34" priority="1" stopIfTrue="1">
      <formula>AND(ROW(A1)=$CC$1,COLUMN(A1)=$CC$2)</formula>
    </cfRule>
    <cfRule type="expression" dxfId="33" priority="2" stopIfTrue="1">
      <formula>OR(AND(ROW(A1)=$CC$1,COLUMN(A1)&lt;$CC$2),AND(ROW(A1)&lt;$CC$1,COLUMN(A1)=$CC$2))</formula>
    </cfRule>
  </conditionalFormatting>
  <dataValidations xWindow="434" yWindow="366" count="4">
    <dataValidation type="list" allowBlank="1" showInputMessage="1" showErrorMessage="1" sqref="B3:B3398" xr:uid="{00000000-0002-0000-0100-000000000000}">
      <formula1>"A,B,C,D,E,F,G,H"</formula1>
    </dataValidation>
    <dataValidation type="custom" errorStyle="warning" allowBlank="1" showInputMessage="1" showErrorMessage="1" error="-Must be a multiple of 1.0 unless a record attempt" sqref="W3:W65534 Q3:Q65534 R3:V148" xr:uid="{00000000-0002-0000-0100-000001000000}">
      <formula1>AND(MOD(Q3,1)=0)</formula1>
    </dataValidation>
    <dataValidation type="list" allowBlank="1" showInputMessage="1" showErrorMessage="1" promptTitle="Division" prompt="Select from menu" sqref="E19:E1048576" xr:uid="{00000000-0002-0000-0100-000002000000}">
      <formula1>INDIRECT($AY$1)</formula1>
    </dataValidation>
    <dataValidation type="list" errorStyle="warning" allowBlank="1" showInputMessage="1" showErrorMessage="1" error="-Must be a multiple of 1.0 unless a record attempt" sqref="K3:L1048576" xr:uid="{00000000-0002-0000-0100-000003000000}">
      <formula1>"No Adj,Ankle,Below Knee, Above Knee,Hip"</formula1>
    </dataValidation>
  </dataValidations>
  <pageMargins left="0.75" right="0.75" top="1" bottom="1" header="0.5" footer="0.5"/>
  <pageSetup orientation="portrait" r:id="rId1"/>
  <headerFooter alignWithMargins="0"/>
  <customProperties>
    <customPr name="DVSECTION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FT9"/>
  <sheetViews>
    <sheetView showGridLines="0" zoomScaleNormal="100" workbookViewId="0">
      <pane xSplit="9" ySplit="8" topLeftCell="P9" activePane="bottomRight" state="frozen"/>
      <selection pane="bottomRight" activeCell="B2" sqref="B2:E2"/>
      <selection pane="bottomLeft" activeCell="A9" sqref="A9"/>
      <selection pane="topRight" activeCell="H1" sqref="H1"/>
    </sheetView>
  </sheetViews>
  <sheetFormatPr defaultColWidth="9.140625" defaultRowHeight="13.15"/>
  <cols>
    <col min="1" max="1" width="13.42578125" style="1" hidden="1" customWidth="1"/>
    <col min="2" max="2" width="3.42578125" style="2" customWidth="1"/>
    <col min="3" max="3" width="21.7109375" style="2" customWidth="1"/>
    <col min="4" max="4" width="10.28515625" style="2" customWidth="1"/>
    <col min="5" max="5" width="6.85546875" style="2" customWidth="1"/>
    <col min="6" max="6" width="6" style="2" customWidth="1"/>
    <col min="7" max="7" width="6.140625" style="2" customWidth="1"/>
    <col min="8" max="8" width="7.7109375" style="2" customWidth="1"/>
    <col min="9" max="9" width="4.42578125" style="2" customWidth="1"/>
    <col min="10" max="10" width="5.42578125" style="25" hidden="1" customWidth="1"/>
    <col min="11" max="12" width="7.140625" style="2" hidden="1" customWidth="1"/>
    <col min="13" max="13" width="7" style="2" hidden="1" customWidth="1"/>
    <col min="14" max="15" width="7.140625" style="2" hidden="1" customWidth="1"/>
    <col min="16" max="16" width="5.42578125" style="157" customWidth="1"/>
    <col min="17" max="19" width="7.140625" style="2" customWidth="1"/>
    <col min="20" max="20" width="7.140625" style="2" hidden="1" customWidth="1"/>
    <col min="21" max="21" width="7.140625" style="2" customWidth="1"/>
    <col min="22" max="27" width="7.140625" style="2" hidden="1" customWidth="1"/>
    <col min="28" max="28" width="7.42578125" style="2" customWidth="1"/>
    <col min="29" max="29" width="8.85546875" style="2" customWidth="1"/>
    <col min="30" max="30" width="8.42578125" style="2" customWidth="1"/>
    <col min="31" max="31" width="5.140625" style="2" customWidth="1"/>
    <col min="32" max="32" width="14" style="2" customWidth="1"/>
    <col min="33" max="33" width="4.85546875" style="1" customWidth="1"/>
    <col min="34" max="34" width="11.85546875" style="44" customWidth="1"/>
    <col min="35" max="35" width="10.7109375" style="1" customWidth="1"/>
    <col min="36" max="36" width="6.42578125" style="25" customWidth="1"/>
    <col min="37" max="38" width="9.140625" style="1" customWidth="1"/>
    <col min="39" max="39" width="8.28515625" style="2" customWidth="1"/>
    <col min="40" max="40" width="8" style="2" customWidth="1"/>
    <col min="41" max="42" width="7.140625" style="2" customWidth="1"/>
    <col min="43" max="43" width="7.42578125" style="2" customWidth="1"/>
    <col min="44" max="44" width="18.42578125" style="134" customWidth="1"/>
    <col min="45" max="45" width="7.140625" style="2" customWidth="1"/>
    <col min="46" max="47" width="8.140625" style="2" customWidth="1"/>
    <col min="48" max="48" width="9.140625" style="1" customWidth="1"/>
    <col min="49" max="49" width="9.140625" style="130" customWidth="1"/>
    <col min="50" max="50" width="9.140625" style="1" customWidth="1"/>
    <col min="51" max="51" width="18.42578125" style="134" customWidth="1"/>
    <col min="52" max="52" width="9.140625" style="17" customWidth="1"/>
    <col min="53" max="53" width="12.85546875" style="17" customWidth="1"/>
    <col min="54" max="65" width="9.140625" style="17" customWidth="1"/>
    <col min="66" max="66" width="9.140625" style="26" customWidth="1"/>
    <col min="67" max="107" width="9.140625" style="1" customWidth="1"/>
    <col min="108" max="16384" width="9.140625" style="1"/>
  </cols>
  <sheetData>
    <row r="1" spans="1:176" s="13" customFormat="1" ht="24.75" hidden="1" customHeight="1" thickBot="1">
      <c r="A1" s="228">
        <f ca="1">COUNTIF(INDIRECT(AG1),RIGHT(B8,1))</f>
        <v>0</v>
      </c>
      <c r="B1" s="323" t="s">
        <v>140</v>
      </c>
      <c r="C1" s="324"/>
      <c r="D1" s="324"/>
      <c r="E1" s="325"/>
      <c r="F1" s="323" t="s">
        <v>59</v>
      </c>
      <c r="G1" s="325"/>
      <c r="H1" s="318" t="s">
        <v>141</v>
      </c>
      <c r="I1" s="319"/>
      <c r="J1" s="27">
        <f ca="1">IF(ISERROR(A2),1,0)</f>
        <v>1</v>
      </c>
      <c r="K1" s="12"/>
      <c r="L1" s="12"/>
      <c r="M1" s="12"/>
      <c r="N1" s="12"/>
      <c r="O1" s="12"/>
      <c r="P1" s="153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77" t="str">
        <f>CONCATENATE("$b$9:$b$",$AF$7)</f>
        <v>$b$9:$b$15</v>
      </c>
      <c r="AH1" s="12">
        <f ca="1">COUNTA(AF:AF)+ 2</f>
        <v>6</v>
      </c>
      <c r="AI1" s="229" t="str">
        <f>CONCATENATE("Setup!O7:O",COUNTA(Setup!O:O)+4)</f>
        <v>Setup!O7:O13</v>
      </c>
      <c r="AJ1" s="12"/>
      <c r="AM1" s="12"/>
      <c r="AN1" s="12"/>
      <c r="AQ1" s="12"/>
      <c r="AR1" s="131"/>
      <c r="AS1" s="12"/>
      <c r="AT1" s="12"/>
      <c r="AU1" s="12"/>
      <c r="AW1" s="126"/>
      <c r="AY1" s="131"/>
      <c r="AZ1" s="84" t="s">
        <v>74</v>
      </c>
      <c r="BA1" s="229" t="str">
        <f>VLOOKUP($AZ$1,$AZ$2:$BM$6,2,FALSE)</f>
        <v>$BB$1:$BE$1</v>
      </c>
      <c r="BB1" s="229" t="str">
        <f>VLOOKUP($AZ$1,$AZ$2:$BM$6,3,FALSE)</f>
        <v>Bench 1</v>
      </c>
      <c r="BC1" s="229" t="str">
        <f>VLOOKUP($AZ$1,$AZ$2:$BM$6,4,FALSE)</f>
        <v>Bench 2</v>
      </c>
      <c r="BD1" s="229" t="str">
        <f>VLOOKUP($AZ$1,$AZ$2:$BM$6,5,FALSE)</f>
        <v>Bench 3</v>
      </c>
      <c r="BE1" s="229" t="str">
        <f>VLOOKUP($AZ$1,$AZ$2:$BM$6,6,FALSE)</f>
        <v>Bench 4</v>
      </c>
      <c r="BF1" s="229">
        <f>VLOOKUP($AZ$1,$AZ$2:$BM$6,7,FALSE)</f>
        <v>0</v>
      </c>
      <c r="BG1" s="229">
        <f>VLOOKUP($AZ$1,$AZ$2:$BM$6,8,FALSE)</f>
        <v>0</v>
      </c>
      <c r="BH1" s="229">
        <f>VLOOKUP($AZ$1,$AZ$2:$BM$6,9,FALSE)</f>
        <v>0</v>
      </c>
      <c r="BI1" s="229">
        <f>VLOOKUP($AZ$1,$AZ$2:$BM$6,10,FALSE)</f>
        <v>0</v>
      </c>
      <c r="BJ1" s="229">
        <f>VLOOKUP($AZ$1,$AZ$2:$BM$6,11,FALSE)</f>
        <v>0</v>
      </c>
      <c r="BK1" s="229">
        <f>VLOOKUP($AZ$1,$AZ$2:$BM$6,12,FALSE)</f>
        <v>0</v>
      </c>
      <c r="BL1" s="229">
        <f>VLOOKUP($AZ$1,$AZ$2:$BM$6,13,FALSE)</f>
        <v>0</v>
      </c>
      <c r="BM1" s="229">
        <f>VLOOKUP($AZ$1,$AZ$2:$BM$6,14,FALSE)</f>
        <v>0</v>
      </c>
      <c r="BN1" s="227"/>
      <c r="BP1" s="247" t="s">
        <v>142</v>
      </c>
      <c r="BQ1" s="247">
        <f>IF(BP1=RIGHT($B$8,1),0,BQ8+1)</f>
        <v>0</v>
      </c>
    </row>
    <row r="2" spans="1:176" s="16" customFormat="1" ht="40.5" customHeight="1" thickBot="1">
      <c r="A2" s="14" t="e">
        <f ca="1">CONCATENATE(CHOOSE(MATCH(B3,K8:Z8,0),"K","L","M","N","O","P","Q","R","S","T","U","V","W","X","Y","Z"),MATCH(B2,INDIRECT(A7),0)+9,)</f>
        <v>#N/A</v>
      </c>
      <c r="B2" s="334" t="s">
        <v>143</v>
      </c>
      <c r="C2" s="335"/>
      <c r="D2" s="335"/>
      <c r="E2" s="336"/>
      <c r="F2" s="320" t="e">
        <f ca="1">INDIRECT(CONCATENATE("E",A4))</f>
        <v>#N/A</v>
      </c>
      <c r="G2" s="321"/>
      <c r="H2" s="175" t="e">
        <f ca="1">IF(INDIRECT(CONCATENATE("G",A4))="SHW","SHW",ROUND(INDIRECT(CONCATENATE("G",A4)),1))</f>
        <v>#N/A</v>
      </c>
      <c r="I2" s="61" t="e">
        <f ca="1">IF(H2="SHW","",IF(G8="WtCls (Kg)","Kg","Lb"))</f>
        <v>#N/A</v>
      </c>
      <c r="J2"/>
      <c r="K2" s="230"/>
      <c r="L2" s="230"/>
      <c r="M2" s="230"/>
      <c r="N2" s="247"/>
      <c r="O2" s="254"/>
      <c r="P2" s="231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326"/>
      <c r="AF2" s="75"/>
      <c r="AG2" s="75"/>
      <c r="AH2" s="76"/>
      <c r="AI2"/>
      <c r="AJ2" s="247"/>
      <c r="AK2"/>
      <c r="AL2"/>
      <c r="AM2" s="247"/>
      <c r="AN2" s="247"/>
      <c r="AQ2" s="247"/>
      <c r="AR2" s="132"/>
      <c r="AS2" s="247"/>
      <c r="AT2" s="247"/>
      <c r="AU2" s="247"/>
      <c r="AV2"/>
      <c r="AW2" s="127"/>
      <c r="AX2"/>
      <c r="AY2" s="132"/>
      <c r="AZ2" s="87" t="s">
        <v>74</v>
      </c>
      <c r="BA2" s="87" t="s">
        <v>144</v>
      </c>
      <c r="BB2" s="81" t="s">
        <v>97</v>
      </c>
      <c r="BC2" s="81" t="s">
        <v>71</v>
      </c>
      <c r="BD2" s="81" t="s">
        <v>72</v>
      </c>
      <c r="BE2" s="81" t="s">
        <v>73</v>
      </c>
      <c r="BF2" s="88"/>
      <c r="BG2" s="81"/>
      <c r="BH2" s="81"/>
      <c r="BI2" s="81"/>
      <c r="BJ2" s="81"/>
      <c r="BK2" s="81"/>
      <c r="BL2" s="81"/>
      <c r="BM2" s="81"/>
      <c r="BN2"/>
      <c r="BO2"/>
      <c r="BP2" s="247" t="s">
        <v>145</v>
      </c>
      <c r="BQ2" s="247">
        <f>IF(BP2=RIGHT($B$8,1),0,BQ1+1)</f>
        <v>1</v>
      </c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</row>
    <row r="3" spans="1:176" ht="25.5" customHeight="1" thickBot="1">
      <c r="A3" s="19">
        <f>MATCH(B3,K8:Z8,0)+10</f>
        <v>19</v>
      </c>
      <c r="B3" s="330" t="s">
        <v>72</v>
      </c>
      <c r="C3" s="331"/>
      <c r="D3" s="328" t="e">
        <f ca="1">INDIRECT(A2)</f>
        <v>#N/A</v>
      </c>
      <c r="E3" s="329"/>
      <c r="F3" s="329"/>
      <c r="G3" s="73" t="str">
        <f>Setup!H4</f>
        <v>Kg</v>
      </c>
      <c r="H3" s="62" t="e">
        <f ca="1">ABS(D3)</f>
        <v>#N/A</v>
      </c>
      <c r="I3" s="162" t="e">
        <f ca="1">-1*H3</f>
        <v>#N/A</v>
      </c>
      <c r="J3" s="247"/>
      <c r="K3" s="247"/>
      <c r="L3" s="247"/>
      <c r="M3" s="247"/>
      <c r="N3" s="247"/>
      <c r="O3" s="254"/>
      <c r="P3" s="154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47"/>
      <c r="AB3" s="247"/>
      <c r="AC3" s="247"/>
      <c r="AD3" s="247"/>
      <c r="AE3" s="327"/>
      <c r="AF3" s="76"/>
      <c r="AG3" s="75"/>
      <c r="AH3" s="76"/>
      <c r="AI3"/>
      <c r="AJ3" s="247"/>
      <c r="AK3"/>
      <c r="AL3"/>
      <c r="AM3" s="247"/>
      <c r="AN3" s="247"/>
      <c r="AO3" s="250"/>
      <c r="AP3" s="250"/>
      <c r="AQ3" s="247"/>
      <c r="AR3" s="132"/>
      <c r="AS3" s="247"/>
      <c r="AT3" s="247"/>
      <c r="AU3" s="247"/>
      <c r="AV3"/>
      <c r="AW3" s="127"/>
      <c r="AX3"/>
      <c r="AY3" s="132"/>
      <c r="AZ3" s="87" t="s">
        <v>79</v>
      </c>
      <c r="BA3" s="87" t="s">
        <v>144</v>
      </c>
      <c r="BB3" s="81" t="s">
        <v>99</v>
      </c>
      <c r="BC3" s="81" t="s">
        <v>76</v>
      </c>
      <c r="BD3" s="81" t="s">
        <v>77</v>
      </c>
      <c r="BE3" s="81" t="s">
        <v>78</v>
      </c>
      <c r="BF3" s="81"/>
      <c r="BG3" s="81"/>
      <c r="BH3" s="81"/>
      <c r="BI3" s="81"/>
      <c r="BJ3" s="81"/>
      <c r="BK3" s="81"/>
      <c r="BL3" s="81"/>
      <c r="BM3" s="81"/>
      <c r="BN3" s="81"/>
      <c r="BO3"/>
      <c r="BP3" s="247" t="s">
        <v>146</v>
      </c>
      <c r="BQ3" s="247">
        <f t="shared" ref="BQ3:BQ8" si="0">IF(BP3=RIGHT($B$8,1),0,BQ2+1)</f>
        <v>2</v>
      </c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</row>
    <row r="4" spans="1:176" s="21" customFormat="1" ht="25.5" customHeight="1" thickBot="1">
      <c r="A4" s="20" t="e">
        <f ca="1">MATCH(B2,INDIRECT(A7),0)+9</f>
        <v>#N/A</v>
      </c>
      <c r="B4" s="332" t="e">
        <f ca="1">IF(LEFT(B3,1)="D",CONCATENATE("Place - ",INDIRECT(CONCATENATE("AV",A4))),CONCATENATE("Rack - ",IF(LEFT(B3,2)=" S",INDIRECT(CONCATENATE("J",A4)),INDIRECT(CONCATENATE("P",A4)))))</f>
        <v>#N/A</v>
      </c>
      <c r="C4" s="333"/>
      <c r="D4" s="322" t="e">
        <f ca="1">IF(G4="Lb",2.2046*D3,D3/2.2046)</f>
        <v>#N/A</v>
      </c>
      <c r="E4" s="322"/>
      <c r="F4" s="322"/>
      <c r="G4" s="159" t="str">
        <f>IF(G3="Kg","Lb","Kg")</f>
        <v>Lb</v>
      </c>
      <c r="H4" s="160" t="s">
        <v>147</v>
      </c>
      <c r="I4" s="163"/>
      <c r="J4"/>
      <c r="K4" s="247"/>
      <c r="L4" s="247"/>
      <c r="M4" s="247"/>
      <c r="N4" s="247"/>
      <c r="O4" s="247"/>
      <c r="P4" s="154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327"/>
      <c r="AF4" s="75"/>
      <c r="AG4" s="75"/>
      <c r="AH4" s="76"/>
      <c r="AI4"/>
      <c r="AJ4" s="247"/>
      <c r="AK4"/>
      <c r="AL4"/>
      <c r="AM4" s="247"/>
      <c r="AN4" s="247"/>
      <c r="AQ4" s="247"/>
      <c r="AR4" s="132"/>
      <c r="AS4" s="247"/>
      <c r="AT4" s="247"/>
      <c r="AU4" s="247"/>
      <c r="AV4"/>
      <c r="AW4" s="127"/>
      <c r="AX4"/>
      <c r="AY4" s="132"/>
      <c r="AZ4" s="87" t="s">
        <v>68</v>
      </c>
      <c r="BA4" s="87" t="s">
        <v>144</v>
      </c>
      <c r="BB4" s="81" t="s">
        <v>93</v>
      </c>
      <c r="BC4" s="81" t="s">
        <v>94</v>
      </c>
      <c r="BD4" s="81" t="s">
        <v>95</v>
      </c>
      <c r="BE4" s="81" t="s">
        <v>96</v>
      </c>
      <c r="BF4" s="81"/>
      <c r="BG4" s="81"/>
      <c r="BH4" s="81"/>
      <c r="BI4" s="81"/>
      <c r="BJ4" s="81"/>
      <c r="BK4" s="81"/>
      <c r="BL4" s="81"/>
      <c r="BM4" s="81"/>
      <c r="BN4"/>
      <c r="BO4"/>
      <c r="BP4" s="247" t="s">
        <v>148</v>
      </c>
      <c r="BQ4" s="247">
        <f t="shared" si="0"/>
        <v>3</v>
      </c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</row>
    <row r="5" spans="1:176" customFormat="1" ht="21" customHeight="1" thickBot="1">
      <c r="A5" s="22" t="e">
        <f ca="1">CONCATENATE(IF(AND($A$3&gt;10,$A$3&lt;15),"O",IF(AND($A$3&gt;16,$A$3&lt;21),"U","AA")),$A$4)</f>
        <v>#N/A</v>
      </c>
      <c r="B5" s="164"/>
      <c r="C5" s="165"/>
      <c r="D5" s="165"/>
      <c r="E5" s="165"/>
      <c r="F5" s="337" t="s">
        <v>149</v>
      </c>
      <c r="G5" s="337"/>
      <c r="H5" s="165"/>
      <c r="I5" s="166"/>
      <c r="J5" s="43"/>
      <c r="K5" s="247"/>
      <c r="L5" s="247"/>
      <c r="M5" s="247"/>
      <c r="N5" s="247"/>
      <c r="O5" s="247"/>
      <c r="P5" s="154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327"/>
      <c r="AF5" s="75"/>
      <c r="AG5" s="75"/>
      <c r="AH5" s="76"/>
      <c r="AJ5" s="247"/>
      <c r="AM5" s="247"/>
      <c r="AN5" s="247"/>
      <c r="AQ5" s="247"/>
      <c r="AR5" s="132"/>
      <c r="AS5" s="247"/>
      <c r="AT5" s="247"/>
      <c r="AU5" s="247"/>
      <c r="AW5" s="127"/>
      <c r="AY5" s="132"/>
      <c r="AZ5" s="87" t="s">
        <v>150</v>
      </c>
      <c r="BA5" s="87" t="s">
        <v>151</v>
      </c>
      <c r="BB5" s="81" t="s">
        <v>93</v>
      </c>
      <c r="BC5" s="81" t="s">
        <v>94</v>
      </c>
      <c r="BD5" s="81" t="s">
        <v>95</v>
      </c>
      <c r="BE5" s="81" t="s">
        <v>96</v>
      </c>
      <c r="BF5" s="81" t="s">
        <v>97</v>
      </c>
      <c r="BG5" s="81" t="s">
        <v>71</v>
      </c>
      <c r="BH5" s="81" t="s">
        <v>72</v>
      </c>
      <c r="BI5" s="81" t="s">
        <v>73</v>
      </c>
      <c r="BJ5" s="81" t="s">
        <v>99</v>
      </c>
      <c r="BK5" s="81" t="s">
        <v>76</v>
      </c>
      <c r="BL5" s="81" t="s">
        <v>77</v>
      </c>
      <c r="BM5" s="81" t="s">
        <v>78</v>
      </c>
      <c r="BP5" s="247" t="s">
        <v>152</v>
      </c>
      <c r="BQ5" s="247">
        <f t="shared" si="0"/>
        <v>4</v>
      </c>
    </row>
    <row r="6" spans="1:176" customFormat="1" ht="21" hidden="1" customHeight="1">
      <c r="A6" s="22" t="str">
        <f>CONCATENATE(IF(AND($A$3&gt;10,$A$3&lt;15),"O",IF(AND($A$3&gt;16,$A$3&lt;21),"U","AA")),1)</f>
        <v>U1</v>
      </c>
      <c r="B6" s="161"/>
      <c r="C6" s="161"/>
      <c r="D6" s="161"/>
      <c r="E6" s="161"/>
      <c r="F6" s="161"/>
      <c r="G6" s="161"/>
      <c r="K6" s="247"/>
      <c r="L6" s="247"/>
      <c r="M6" s="247"/>
      <c r="N6" s="247"/>
      <c r="O6" s="247"/>
      <c r="P6" s="154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327"/>
      <c r="AF6" s="76">
        <f ca="1">A1+10</f>
        <v>10</v>
      </c>
      <c r="AG6" s="81"/>
      <c r="AH6" s="76"/>
      <c r="AJ6" s="247"/>
      <c r="AM6" s="247"/>
      <c r="AN6" s="247"/>
      <c r="AO6" s="247"/>
      <c r="AP6" s="247"/>
      <c r="AQ6" s="247"/>
      <c r="AR6" s="132"/>
      <c r="AS6" s="247"/>
      <c r="AT6" s="247"/>
      <c r="AU6" s="247"/>
      <c r="AW6" s="127"/>
      <c r="AY6" s="132"/>
      <c r="AZ6" s="87" t="s">
        <v>153</v>
      </c>
      <c r="BA6" s="87" t="s">
        <v>154</v>
      </c>
      <c r="BB6" s="81" t="s">
        <v>97</v>
      </c>
      <c r="BC6" s="81" t="s">
        <v>71</v>
      </c>
      <c r="BD6" s="81" t="s">
        <v>72</v>
      </c>
      <c r="BE6" s="81" t="s">
        <v>73</v>
      </c>
      <c r="BF6" s="81" t="s">
        <v>99</v>
      </c>
      <c r="BG6" s="81" t="s">
        <v>76</v>
      </c>
      <c r="BH6" s="81" t="s">
        <v>77</v>
      </c>
      <c r="BI6" s="81" t="s">
        <v>78</v>
      </c>
      <c r="BJ6" s="88"/>
      <c r="BK6" s="81"/>
      <c r="BL6" s="81"/>
      <c r="BM6" s="81"/>
      <c r="BP6" s="247" t="s">
        <v>155</v>
      </c>
      <c r="BQ6" s="247">
        <f t="shared" si="0"/>
        <v>5</v>
      </c>
    </row>
    <row r="7" spans="1:176" customFormat="1" ht="21" hidden="1" customHeight="1" thickBot="1">
      <c r="A7" s="23" t="str">
        <f ca="1">CONCATENATE("$C$10:$C$",A1+9)</f>
        <v>$C$10:$C$9</v>
      </c>
      <c r="B7" s="63"/>
      <c r="C7" s="63"/>
      <c r="D7" s="63"/>
      <c r="E7" s="63"/>
      <c r="F7" s="63"/>
      <c r="G7" s="63"/>
      <c r="H7" s="63"/>
      <c r="I7" s="63"/>
      <c r="J7" s="254"/>
      <c r="K7" s="247"/>
      <c r="L7" s="247"/>
      <c r="M7" s="247"/>
      <c r="N7" s="247"/>
      <c r="O7" s="247"/>
      <c r="P7" s="154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76">
        <v>15</v>
      </c>
      <c r="AG7" s="77" t="str">
        <f>CONCATENATE("$AG$9:$AG$",$AF$7)</f>
        <v>$AG$9:$AG$15</v>
      </c>
      <c r="AH7" s="76"/>
      <c r="AI7" s="16"/>
      <c r="AJ7" s="247" t="str">
        <f>IF($AB$8="PL Total","PL",IF($AB$8="Push Pull Total","PP",IF($AB$8="Best Squat","SQ",IF($AB$8="Best Bench","BP","DL"))))</f>
        <v>BP</v>
      </c>
      <c r="AM7" s="247"/>
      <c r="AN7" s="247"/>
      <c r="AO7" s="247"/>
      <c r="AP7" s="247"/>
      <c r="AQ7" s="247"/>
      <c r="AR7" s="132"/>
      <c r="AS7" s="247" t="str">
        <f>CONCATENATE("AR10:AR",AF7)</f>
        <v>AR10:AR15</v>
      </c>
      <c r="AT7" s="247"/>
      <c r="AU7" s="247" t="str">
        <f>CONCATENATE("AT10:AT",AF7)</f>
        <v>AT10:AT15</v>
      </c>
      <c r="AW7" s="127"/>
      <c r="AY7" s="132"/>
      <c r="AZ7" s="85"/>
      <c r="BA7" s="85"/>
      <c r="BB7" s="86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P7" s="247" t="s">
        <v>156</v>
      </c>
      <c r="BQ7" s="247">
        <f t="shared" si="0"/>
        <v>6</v>
      </c>
    </row>
    <row r="8" spans="1:176" s="71" customFormat="1" ht="28.5" customHeight="1" thickBot="1">
      <c r="A8" s="65" t="s">
        <v>157</v>
      </c>
      <c r="B8" s="66" t="s">
        <v>158</v>
      </c>
      <c r="C8" s="67" t="s">
        <v>57</v>
      </c>
      <c r="D8" s="68" t="s">
        <v>58</v>
      </c>
      <c r="E8" s="69" t="s">
        <v>59</v>
      </c>
      <c r="F8" s="69" t="str">
        <f>Setup!K6</f>
        <v>BWt (Kg)</v>
      </c>
      <c r="G8" s="69" t="str">
        <f>IF(F8="BWt (Kg)","WtCls (Kg)","WtCls (Lb)")</f>
        <v>WtCls (Kg)</v>
      </c>
      <c r="H8" s="69" t="s">
        <v>159</v>
      </c>
      <c r="I8" s="69" t="s">
        <v>62</v>
      </c>
      <c r="J8" s="179" t="s">
        <v>63</v>
      </c>
      <c r="K8" s="180" t="s">
        <v>160</v>
      </c>
      <c r="L8" s="180" t="s">
        <v>161</v>
      </c>
      <c r="M8" s="180" t="s">
        <v>162</v>
      </c>
      <c r="N8" s="180" t="s">
        <v>163</v>
      </c>
      <c r="O8" s="69" t="s">
        <v>68</v>
      </c>
      <c r="P8" s="155" t="s">
        <v>69</v>
      </c>
      <c r="Q8" s="70" t="s">
        <v>97</v>
      </c>
      <c r="R8" s="70" t="s">
        <v>71</v>
      </c>
      <c r="S8" s="70" t="s">
        <v>72</v>
      </c>
      <c r="T8" s="70" t="s">
        <v>73</v>
      </c>
      <c r="U8" s="70" t="s">
        <v>164</v>
      </c>
      <c r="V8" s="69" t="s">
        <v>75</v>
      </c>
      <c r="W8" s="70" t="s">
        <v>58</v>
      </c>
      <c r="X8" s="70" t="s">
        <v>76</v>
      </c>
      <c r="Y8" s="70" t="s">
        <v>77</v>
      </c>
      <c r="Z8" s="70" t="s">
        <v>78</v>
      </c>
      <c r="AA8" s="70" t="s">
        <v>79</v>
      </c>
      <c r="AB8" s="78" t="s">
        <v>74</v>
      </c>
      <c r="AC8" s="69" t="s">
        <v>165</v>
      </c>
      <c r="AD8" s="176" t="s">
        <v>166</v>
      </c>
      <c r="AE8" s="70" t="s">
        <v>167</v>
      </c>
      <c r="AF8" s="69" t="s">
        <v>83</v>
      </c>
      <c r="AG8" s="69" t="s">
        <v>168</v>
      </c>
      <c r="AH8" s="82" t="s">
        <v>85</v>
      </c>
      <c r="AI8" s="82" t="s">
        <v>86</v>
      </c>
      <c r="AJ8" s="82" t="s">
        <v>87</v>
      </c>
      <c r="AK8" s="82" t="s">
        <v>88</v>
      </c>
      <c r="AL8" s="82" t="s">
        <v>89</v>
      </c>
      <c r="AM8" s="82" t="s">
        <v>150</v>
      </c>
      <c r="AN8" s="94" t="s">
        <v>153</v>
      </c>
      <c r="AO8" s="82" t="s">
        <v>169</v>
      </c>
      <c r="AP8" s="82"/>
      <c r="AQ8" s="82" t="s">
        <v>170</v>
      </c>
      <c r="AR8" s="133" t="s">
        <v>90</v>
      </c>
      <c r="AS8" s="82" t="s">
        <v>91</v>
      </c>
      <c r="AT8" s="82" t="s">
        <v>171</v>
      </c>
      <c r="AU8" s="82" t="s">
        <v>172</v>
      </c>
      <c r="AV8" s="82" t="s">
        <v>173</v>
      </c>
      <c r="AW8" s="128" t="s">
        <v>174</v>
      </c>
      <c r="AX8" s="71" t="s">
        <v>175</v>
      </c>
      <c r="AY8" s="133" t="s">
        <v>176</v>
      </c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247" t="s">
        <v>177</v>
      </c>
      <c r="BQ8" s="247">
        <f t="shared" si="0"/>
        <v>7</v>
      </c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 t="s">
        <v>92</v>
      </c>
      <c r="CK8" s="82" t="s">
        <v>93</v>
      </c>
      <c r="CL8" s="82" t="s">
        <v>94</v>
      </c>
      <c r="CM8" s="82" t="s">
        <v>95</v>
      </c>
      <c r="CN8" s="82" t="s">
        <v>96</v>
      </c>
      <c r="CO8" s="82" t="s">
        <v>68</v>
      </c>
      <c r="CP8" s="82" t="s">
        <v>69</v>
      </c>
      <c r="CQ8" s="82" t="s">
        <v>97</v>
      </c>
      <c r="CR8" s="82" t="s">
        <v>71</v>
      </c>
      <c r="CS8" s="82" t="s">
        <v>72</v>
      </c>
      <c r="CT8" s="82" t="s">
        <v>98</v>
      </c>
      <c r="CU8" s="82" t="s">
        <v>74</v>
      </c>
      <c r="CV8" s="82" t="s">
        <v>75</v>
      </c>
      <c r="CW8" s="82" t="s">
        <v>99</v>
      </c>
      <c r="CX8" s="82" t="s">
        <v>76</v>
      </c>
      <c r="CY8" s="82" t="s">
        <v>77</v>
      </c>
      <c r="CZ8" s="82" t="s">
        <v>78</v>
      </c>
      <c r="DA8" s="82" t="s">
        <v>79</v>
      </c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</row>
    <row r="9" spans="1:176" s="16" customFormat="1" hidden="1">
      <c r="A9" s="16" t="str">
        <f t="shared" ref="A9" si="1">IF(T9,ABS(T9+0.0001*I9),"")</f>
        <v/>
      </c>
      <c r="B9" s="11"/>
      <c r="C9" s="152"/>
      <c r="D9" s="189"/>
      <c r="E9" s="11"/>
      <c r="F9" s="11">
        <f t="shared" ref="F9" si="2">N9</f>
        <v>0</v>
      </c>
      <c r="G9" s="24" t="str">
        <f>IF(OR(E9="",F9=""),"",IF(LEFT(E9,1)="M",VLOOKUP(F9,Setup!$J$9:$K$23,2,TRUE),VLOOKUP(F9,Setup!$L$9:$M$23,2,TRUE)))</f>
        <v/>
      </c>
      <c r="H9" s="24" t="e">
        <f>IF(F9="",0,VLOOKUP(ROUND(F9,1),DATA!$L:$N,IF(LEFT(E9,1)="F",2,3),TRUE))</f>
        <v>#N/A</v>
      </c>
      <c r="I9" s="11"/>
      <c r="J9" s="11"/>
      <c r="K9" s="232"/>
      <c r="L9" s="232"/>
      <c r="M9" s="232"/>
      <c r="N9" s="232"/>
      <c r="O9" s="90">
        <f t="shared" ref="O9" si="3">IF(MAX(CK9:CM9)&gt;0,MAX(ABS(K9)*CK9,ABS(L9)*CL9,CM9*ABS(M9)),0)</f>
        <v>0</v>
      </c>
      <c r="P9" s="156"/>
      <c r="Q9" s="232"/>
      <c r="R9" s="232"/>
      <c r="S9" s="232"/>
      <c r="T9" s="232"/>
      <c r="U9" s="90">
        <f t="shared" ref="U9" si="4">INT(IF(MAX(Q9:S9)&gt;0,MAX(Q9:S9),0))</f>
        <v>0</v>
      </c>
      <c r="V9" s="91">
        <f t="shared" ref="V9" si="5">IF(OR(O9=0,U9=0),0,O9+U9)</f>
        <v>0</v>
      </c>
      <c r="W9" s="232"/>
      <c r="X9" s="232"/>
      <c r="Y9" s="232"/>
      <c r="Z9" s="232"/>
      <c r="AA9" s="90">
        <f t="shared" ref="AA9" si="6">IF(MAX(CW9:CY9)&gt;0,MAX(ABS(W9)*CW9,ABS(X9)*CX9,CY9*ABS(Y9)),0)</f>
        <v>0</v>
      </c>
      <c r="AB9" s="91">
        <f t="shared" ref="AB9" si="7">INT(IF(MAX(CQ9:CS9)&gt;0,MAX(ABS(Q9)*CQ9,ABS(R9)*CR9,CS9*ABS(S9)),0))</f>
        <v>0</v>
      </c>
      <c r="AC9" s="92">
        <f t="shared" ref="AC9" si="8">IF(OR(F9="",AB9=0),0,H9*IF(AND($G$3="Lb",$H$8="Wilks"),AB9/2.2046,AB9))</f>
        <v>0</v>
      </c>
      <c r="AD9" s="92" t="str">
        <f t="shared" ref="AD9" si="9">IF(AB9=U9,"",H9*U9)</f>
        <v/>
      </c>
      <c r="AE9" s="140" t="str">
        <f ca="1">IF(E9="","",OFFSET(Setup!$Q$1,MATCH(E9,Setup!O:O,0)-1,0))</f>
        <v/>
      </c>
      <c r="AF9" s="90">
        <f t="shared" ref="AF9" ca="1" si="10">IF(OR(AB9=0,AR9=0),0,CONCATENATE(AV9,"-",E9,IF(AE9=1,"-",""),IF(AE9=1,IF(G9="SHW",G9,ROUND(G9,1)),"")))</f>
        <v>0</v>
      </c>
      <c r="AG9" s="24">
        <f>IF(OR(AB9=0),0,VLOOKUP(AV9,Setup!$S$6:$T$15,2,TRUE))</f>
        <v>0</v>
      </c>
      <c r="AH9" s="93"/>
      <c r="AI9" s="89"/>
      <c r="AJ9" s="83">
        <v>1</v>
      </c>
      <c r="AK9" s="24" t="str">
        <f t="shared" ref="AK9" si="11">IF(B9="","",VLOOKUP(B9,$BP$1:$BQ$8,2,FALSE))</f>
        <v/>
      </c>
      <c r="AL9" s="15">
        <f t="shared" ref="AL9" si="12">ROUND(IF($F$8="BWt (Kg)",F9,F9/2.2046),1)</f>
        <v>0</v>
      </c>
      <c r="AM9" s="15">
        <f t="shared" ref="AM9" si="13">IF(OR(O9=0,U9=0,AA9=0),0,O9+U9+AA9)</f>
        <v>0</v>
      </c>
      <c r="AN9" s="15">
        <f t="shared" ref="AN9" si="14">IF(OR(U9=0,AA9=0),0,U9+AA9)</f>
        <v>0</v>
      </c>
      <c r="AO9" s="15" t="str">
        <f t="shared" ref="AO9" si="15">IF(E9="","",LEFT(E9,1))</f>
        <v/>
      </c>
      <c r="AP9" s="15"/>
      <c r="AQ9" s="16">
        <f t="shared" ref="AQ9" si="16">IF(OR(ISERROR(E9),F9="",ISERROR(G9),AB9=0),0,1)</f>
        <v>0</v>
      </c>
      <c r="AR9" s="150">
        <f t="shared" ref="AR9" ca="1" si="17">IF(OR(ISERROR(AY9),ISERROR(AX9)),0,AY9)</f>
        <v>0</v>
      </c>
      <c r="AS9" s="15" t="e">
        <f t="shared" ref="AS9" ca="1" si="18">RANK(AR9,INDIRECT($AS$7))</f>
        <v>#N/A</v>
      </c>
      <c r="AT9" s="125">
        <f t="shared" ref="AT9" ca="1" si="19">INT(AR9/1000000)</f>
        <v>0</v>
      </c>
      <c r="AU9" s="74" t="e">
        <f t="shared" ref="AU9" ca="1" si="20">RANK(AT9,INDIRECT($AU$7))</f>
        <v>#N/A</v>
      </c>
      <c r="AV9" s="74" t="e">
        <f t="shared" ref="AV9" ca="1" si="21">AS9-AU9+1</f>
        <v>#N/A</v>
      </c>
      <c r="AW9" s="129">
        <f t="shared" ref="AW9" si="22">F9</f>
        <v>0</v>
      </c>
      <c r="AX9" s="15">
        <f>RANK(AW9,AW:AW)</f>
        <v>1</v>
      </c>
      <c r="AY9" s="150">
        <f ca="1">IF(OR(E9="",F9="",ISERROR(AE9)),0,(100000000*MATCH(E9,INDIRECT($AI$1),0)+IF(AE9=1,(16-IF(AO9="M",MATCH(G9,Setup!$K$9:$K$23,0),MATCH(G9,Setup!$M$9:$M$23)))*1000000,0)+IF(AB9&gt;0,IF(AE9=1,RANK(AB9,AB:AB,-1)*1000+AX9,IF(AE9=2,AC9,AD9)),0)))</f>
        <v>0</v>
      </c>
      <c r="AZ9" s="24"/>
      <c r="BA9" s="24"/>
      <c r="BB9" s="24"/>
      <c r="BC9" s="24"/>
      <c r="BD9" s="24"/>
      <c r="BE9" s="24"/>
      <c r="BF9" s="24"/>
      <c r="BG9" s="24"/>
      <c r="BH9" s="64"/>
      <c r="BI9" s="64"/>
      <c r="BJ9" s="64"/>
      <c r="BK9" s="64"/>
      <c r="BL9" s="64"/>
      <c r="BM9" s="64"/>
      <c r="BN9" s="18"/>
      <c r="CJ9" s="16">
        <v>0</v>
      </c>
      <c r="CK9" s="16">
        <v>0</v>
      </c>
      <c r="CL9" s="16">
        <v>0</v>
      </c>
      <c r="CM9" s="16">
        <v>0</v>
      </c>
      <c r="CN9" s="16">
        <v>0</v>
      </c>
      <c r="CO9" s="16">
        <v>0</v>
      </c>
      <c r="CP9" s="16">
        <v>0</v>
      </c>
      <c r="CQ9" s="16">
        <v>0</v>
      </c>
      <c r="CR9" s="16">
        <v>0</v>
      </c>
      <c r="CS9" s="16">
        <v>0</v>
      </c>
      <c r="CT9" s="16">
        <v>0</v>
      </c>
      <c r="CU9" s="16">
        <v>0</v>
      </c>
      <c r="CV9" s="16">
        <v>0</v>
      </c>
      <c r="CW9" s="16">
        <v>0</v>
      </c>
      <c r="CX9" s="16">
        <v>0</v>
      </c>
      <c r="CY9" s="16">
        <v>0</v>
      </c>
      <c r="CZ9" s="16">
        <v>0</v>
      </c>
    </row>
  </sheetData>
  <sheetProtection sheet="1" objects="1" scenarios="1"/>
  <sortState xmlns:xlrd2="http://schemas.microsoft.com/office/spreadsheetml/2017/richdata2" ref="A10:FT15">
    <sortCondition descending="1" ref="AR10:AR15"/>
  </sortState>
  <customSheetViews>
    <customSheetView guid="{07CDF5D6-CF56-477A-AAD4-2986DB622B49}" showRuler="0">
      <selection activeCell="N2" sqref="N2"/>
      <pageMargins left="0" right="0" top="0" bottom="0" header="0" footer="0"/>
      <pageSetup orientation="portrait" r:id="rId1"/>
      <headerFooter alignWithMargins="0"/>
    </customSheetView>
  </customSheetViews>
  <mergeCells count="11">
    <mergeCell ref="AE2:AE6"/>
    <mergeCell ref="D3:F3"/>
    <mergeCell ref="B3:C3"/>
    <mergeCell ref="B4:C4"/>
    <mergeCell ref="B2:E2"/>
    <mergeCell ref="F5:G5"/>
    <mergeCell ref="H1:I1"/>
    <mergeCell ref="F2:G2"/>
    <mergeCell ref="D4:F4"/>
    <mergeCell ref="B1:E1"/>
    <mergeCell ref="F1:G1"/>
  </mergeCells>
  <phoneticPr fontId="0" type="noConversion"/>
  <conditionalFormatting sqref="B9">
    <cfRule type="expression" dxfId="32" priority="161" stopIfTrue="1">
      <formula>AND($B9&lt;&gt;RIGHT($B$8,1))</formula>
    </cfRule>
  </conditionalFormatting>
  <conditionalFormatting sqref="C9">
    <cfRule type="cellIs" dxfId="31" priority="162" stopIfTrue="1" operator="equal">
      <formula>$B$2</formula>
    </cfRule>
    <cfRule type="expression" dxfId="30" priority="163" stopIfTrue="1">
      <formula>AND($B9&lt;&gt;RIGHT($B$8,1))</formula>
    </cfRule>
  </conditionalFormatting>
  <conditionalFormatting sqref="K9:N9 Q9:T9 W9:Z9">
    <cfRule type="expression" dxfId="29" priority="164" stopIfTrue="1">
      <formula>AND(COLUMN(K9)=$A$3,ROW(K9)=$A$4)</formula>
    </cfRule>
    <cfRule type="cellIs" dxfId="28" priority="165" stopIfTrue="1" operator="lessThan">
      <formula>0</formula>
    </cfRule>
    <cfRule type="expression" dxfId="27" priority="166" stopIfTrue="1">
      <formula>OR(AND(ROW(K9)=$A$4,COLUMN(K9)&lt;$A$3,CK9=1),AND(ROW(K9)&lt;$A$4,COLUMN(K9)=$A$3,CK9=1))</formula>
    </cfRule>
  </conditionalFormatting>
  <conditionalFormatting sqref="I9:J9 D9:F9">
    <cfRule type="expression" dxfId="26" priority="167" stopIfTrue="1">
      <formula>AND(ROW(D9)=$A$4)</formula>
    </cfRule>
    <cfRule type="expression" dxfId="25" priority="168" stopIfTrue="1">
      <formula>AND($B9&lt;&gt;RIGHT($B$8,1))</formula>
    </cfRule>
  </conditionalFormatting>
  <conditionalFormatting sqref="O9:P9 U9">
    <cfRule type="expression" dxfId="24" priority="169" stopIfTrue="1">
      <formula>AND(ROW(K9)=$A$4,COLUMN(K9)&lt;$A$3)</formula>
    </cfRule>
  </conditionalFormatting>
  <conditionalFormatting sqref="V9">
    <cfRule type="expression" dxfId="23" priority="170" stopIfTrue="1">
      <formula>AND(ROW(R9)=$A$4,COLUMN(R9)&lt;$A$3)</formula>
    </cfRule>
  </conditionalFormatting>
  <conditionalFormatting sqref="AA9">
    <cfRule type="expression" dxfId="22" priority="171" stopIfTrue="1">
      <formula>AND(ROW(W9)=$A$4,$A$3&gt;21)</formula>
    </cfRule>
  </conditionalFormatting>
  <conditionalFormatting sqref="AB9">
    <cfRule type="expression" dxfId="21" priority="178" stopIfTrue="1">
      <formula>AND(ROW(X9)=$A$4)</formula>
    </cfRule>
    <cfRule type="expression" dxfId="20" priority="179" stopIfTrue="1">
      <formula>AND(AE9=1)</formula>
    </cfRule>
  </conditionalFormatting>
  <conditionalFormatting sqref="AC9">
    <cfRule type="expression" dxfId="19" priority="180" stopIfTrue="1">
      <formula>AND(AE9=2)</formula>
    </cfRule>
  </conditionalFormatting>
  <conditionalFormatting sqref="AD9">
    <cfRule type="expression" dxfId="18" priority="181" stopIfTrue="1">
      <formula>AND(AE9=3)</formula>
    </cfRule>
  </conditionalFormatting>
  <conditionalFormatting sqref="H3:I4">
    <cfRule type="expression" dxfId="17" priority="172" stopIfTrue="1">
      <formula>AND(COLUMN(H3)=$K$3,ROW(H3)=VALUE(RIGHT(#REF!,1)))</formula>
    </cfRule>
  </conditionalFormatting>
  <conditionalFormatting sqref="D3:F4">
    <cfRule type="expression" dxfId="16" priority="173" stopIfTrue="1">
      <formula>NOT($A$2=$H$4)</formula>
    </cfRule>
    <cfRule type="cellIs" dxfId="15" priority="174" stopIfTrue="1" operator="lessThan">
      <formula>0</formula>
    </cfRule>
    <cfRule type="expression" dxfId="14" priority="175" stopIfTrue="1">
      <formula>OR($A$2=$H$4)</formula>
    </cfRule>
  </conditionalFormatting>
  <conditionalFormatting sqref="K8:N8 Q8:T8 W8:Z8">
    <cfRule type="cellIs" dxfId="13" priority="176" stopIfTrue="1" operator="equal">
      <formula>$B$3</formula>
    </cfRule>
  </conditionalFormatting>
  <conditionalFormatting sqref="G9:H9">
    <cfRule type="expression" dxfId="12" priority="177" stopIfTrue="1">
      <formula>AND(ROW(G9)=$A$4)</formula>
    </cfRule>
  </conditionalFormatting>
  <dataValidations count="10">
    <dataValidation type="list" allowBlank="1" showInputMessage="1" showErrorMessage="1" sqref="F5:G5" xr:uid="{00000000-0002-0000-0200-000000000000}">
      <formula1>"automatic, manual"</formula1>
    </dataValidation>
    <dataValidation type="list" allowBlank="1" showInputMessage="1" showErrorMessage="1" promptTitle="Changing Flights" prompt="Select the next flight from the dropdown list to move it to the top of the lifting order.  Then select Squat 1, Bench 1, or Deadlift 1 from the pulldown list in block C3 above." sqref="B8" xr:uid="{00000000-0002-0000-0200-000001000000}">
      <formula1>"Flt A,Flt B,Flt C,Flt D,Flt E,Flt F, Flt G,Flt H"</formula1>
    </dataValidation>
    <dataValidation allowBlank="1" showInputMessage="1" showErrorMessage="1" prompt="Don't enter anything here, these are calculated automatically." sqref="AG9 G9:H9 AB9:AD9 V9 AU9" xr:uid="{00000000-0002-0000-0200-000002000000}"/>
    <dataValidation type="custom" errorStyle="warning" allowBlank="1" showInputMessage="1" showErrorMessage="1" error="Must be a multiple of 1.0 unless record attempt" sqref="K9 Q9 W9" xr:uid="{00000000-0002-0000-0200-000003000000}">
      <formula1>OR(MOD(K9,1)=0,K9=0)</formula1>
    </dataValidation>
    <dataValidation type="list" allowBlank="1" showInputMessage="1" showErrorMessage="1" sqref="B9" xr:uid="{00000000-0002-0000-0200-000004000000}">
      <formula1>"A,B,C,D,E,F,G,H"</formula1>
    </dataValidation>
    <dataValidation type="list" allowBlank="1" showInputMessage="1" showErrorMessage="1" sqref="B2:E2" xr:uid="{00000000-0002-0000-0200-000005000000}">
      <formula1>INDIRECT($A$7)</formula1>
    </dataValidation>
    <dataValidation type="list" allowBlank="1" showInputMessage="1" showErrorMessage="1" promptTitle="Changing attempts" prompt="The flight at the top of the lifting order is sorted by the selected attempt and lot #.  The first lifter in the flight is selected in the name block." sqref="B3:C3" xr:uid="{00000000-0002-0000-0200-000006000000}">
      <formula1>INDIRECT($BA$1)</formula1>
    </dataValidation>
    <dataValidation type="list" allowBlank="1" showInputMessage="1" showErrorMessage="1" prompt="1st Character must be M or F to designate male/female to compute Wilks Coef.  Examples:  M-O = open male, F-M1 = female master" sqref="E9" xr:uid="{00000000-0002-0000-0200-000007000000}">
      <formula1>INDIRECT($AI$1)</formula1>
    </dataValidation>
    <dataValidation type="list" errorStyle="warning" allowBlank="1" showInputMessage="1" showErrorMessage="1" promptTitle="Determine place using" prompt="1 = Division, Wt Class &amp; total_x000a_2 = Division &amp; Total x Coef_x000a_3 = Division &amp; Total x Coef x Age Coef" sqref="AE9" xr:uid="{00000000-0002-0000-0200-000008000000}">
      <formula1>"1,2,3"</formula1>
    </dataValidation>
    <dataValidation type="custom" errorStyle="warning" allowBlank="1" showInputMessage="1" showErrorMessage="1" error="- Must be a multiple of 1.0 except for record attempts_x000a_- Must be greater than previous good attempt_x000a_- Must be &gt; or = to previous missed attempt" sqref="L9:N9 X9:Z9 R9:T9" xr:uid="{00000000-0002-0000-0200-000009000000}">
      <formula1>AND(MOD(L9,1)=0,L9&gt;=ABS(K9),L9&gt;K9)</formula1>
    </dataValidation>
  </dataValidations>
  <pageMargins left="0.75" right="0.75" top="1" bottom="1" header="0.5" footer="0.5"/>
  <pageSetup orientation="landscape" r:id="rId2"/>
  <headerFooter alignWithMargins="0"/>
  <customProperties>
    <customPr name="DVSECTIONID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O1292"/>
  <sheetViews>
    <sheetView workbookViewId="0">
      <pane ySplit="1" topLeftCell="A2" activePane="bottomLeft" state="frozen"/>
      <selection pane="bottomLeft" activeCell="L3" sqref="L3"/>
      <selection activeCell="J1" sqref="J1"/>
    </sheetView>
  </sheetViews>
  <sheetFormatPr defaultColWidth="8.85546875" defaultRowHeight="13.15"/>
  <cols>
    <col min="1" max="2" width="9.140625" style="5"/>
    <col min="5" max="5" width="8.28515625" customWidth="1"/>
    <col min="6" max="6" width="9.42578125" customWidth="1"/>
    <col min="7" max="7" width="16.42578125" customWidth="1"/>
    <col min="8" max="8" width="9.28515625" customWidth="1"/>
    <col min="9" max="9" width="6.7109375" customWidth="1"/>
    <col min="12" max="14" width="9.140625" style="2"/>
  </cols>
  <sheetData>
    <row r="1" spans="1:14" ht="26.45">
      <c r="A1" s="28" t="s">
        <v>178</v>
      </c>
      <c r="B1" s="28" t="s">
        <v>179</v>
      </c>
      <c r="E1" s="50" t="s">
        <v>180</v>
      </c>
      <c r="F1" s="50"/>
      <c r="G1" s="50"/>
      <c r="H1" s="50"/>
      <c r="L1" s="72" t="s">
        <v>181</v>
      </c>
      <c r="M1" s="99" t="s">
        <v>182</v>
      </c>
      <c r="N1" s="99" t="s">
        <v>183</v>
      </c>
    </row>
    <row r="2" spans="1:14">
      <c r="A2" s="233">
        <v>14</v>
      </c>
      <c r="B2" s="233">
        <v>1.23</v>
      </c>
      <c r="C2" s="340" t="s">
        <v>184</v>
      </c>
      <c r="L2" s="250">
        <v>28</v>
      </c>
      <c r="M2" s="250">
        <v>1.4172450000000001</v>
      </c>
      <c r="N2" s="250"/>
    </row>
    <row r="3" spans="1:14">
      <c r="A3" s="233">
        <v>15</v>
      </c>
      <c r="B3" s="233">
        <v>1.18</v>
      </c>
      <c r="C3" s="340"/>
      <c r="L3" s="250">
        <v>28.1</v>
      </c>
      <c r="M3" s="250">
        <v>1.41452</v>
      </c>
      <c r="N3" s="250"/>
    </row>
    <row r="4" spans="1:14">
      <c r="A4" s="233">
        <v>16</v>
      </c>
      <c r="B4" s="233">
        <v>1.1299999999999999</v>
      </c>
      <c r="C4" s="340"/>
      <c r="L4" s="250">
        <v>28.200000000000003</v>
      </c>
      <c r="M4" s="250">
        <v>1.411813</v>
      </c>
      <c r="N4" s="250"/>
    </row>
    <row r="5" spans="1:14">
      <c r="A5" s="29">
        <v>17</v>
      </c>
      <c r="B5" s="29">
        <v>1.08</v>
      </c>
      <c r="C5" s="340"/>
      <c r="L5" s="250">
        <v>28.300000000000004</v>
      </c>
      <c r="M5" s="250">
        <v>1.4091229999999999</v>
      </c>
      <c r="N5" s="250"/>
    </row>
    <row r="6" spans="1:14">
      <c r="A6" s="29">
        <v>18</v>
      </c>
      <c r="B6" s="29">
        <v>1.06</v>
      </c>
      <c r="C6" s="340"/>
      <c r="L6" s="250">
        <v>28.400000000000006</v>
      </c>
      <c r="M6" s="250">
        <v>1.40645</v>
      </c>
      <c r="N6" s="250"/>
    </row>
    <row r="7" spans="1:14">
      <c r="A7" s="29">
        <v>19</v>
      </c>
      <c r="B7" s="29">
        <v>1.04</v>
      </c>
      <c r="C7" s="340"/>
      <c r="L7" s="250">
        <v>28.500000000000007</v>
      </c>
      <c r="M7" s="250">
        <v>1.4037949999999999</v>
      </c>
      <c r="N7" s="250"/>
    </row>
    <row r="8" spans="1:14">
      <c r="A8" s="29">
        <v>20</v>
      </c>
      <c r="B8" s="29">
        <v>1.03</v>
      </c>
      <c r="C8" s="340"/>
      <c r="L8" s="250">
        <v>28.600000000000009</v>
      </c>
      <c r="M8" s="250">
        <v>1.401157</v>
      </c>
      <c r="N8" s="250"/>
    </row>
    <row r="9" spans="1:14">
      <c r="A9" s="29">
        <v>21</v>
      </c>
      <c r="B9" s="29">
        <v>1.02</v>
      </c>
      <c r="C9" s="340"/>
      <c r="L9" s="250">
        <v>28.70000000000001</v>
      </c>
      <c r="M9" s="250">
        <v>1.398536</v>
      </c>
      <c r="N9" s="250"/>
    </row>
    <row r="10" spans="1:14">
      <c r="A10" s="29">
        <v>22</v>
      </c>
      <c r="B10" s="29">
        <v>1.01</v>
      </c>
      <c r="C10" s="340"/>
      <c r="L10" s="250">
        <v>28.800000000000011</v>
      </c>
      <c r="M10" s="250">
        <v>1.395931</v>
      </c>
      <c r="N10" s="250"/>
    </row>
    <row r="11" spans="1:14">
      <c r="A11" s="250">
        <v>23</v>
      </c>
      <c r="B11" s="250">
        <v>1</v>
      </c>
      <c r="C11" s="340"/>
      <c r="L11" s="250">
        <v>28.900000000000013</v>
      </c>
      <c r="M11" s="250">
        <v>1.393343</v>
      </c>
      <c r="N11" s="250"/>
    </row>
    <row r="12" spans="1:14" ht="12.75" customHeight="1">
      <c r="A12" s="250">
        <v>30</v>
      </c>
      <c r="B12" s="250">
        <v>1</v>
      </c>
      <c r="D12" s="51"/>
      <c r="E12" s="338" t="s">
        <v>185</v>
      </c>
      <c r="F12" s="339"/>
      <c r="G12" s="52"/>
      <c r="L12" s="250">
        <v>29.000000000000014</v>
      </c>
      <c r="M12" s="250">
        <v>1.390771</v>
      </c>
      <c r="N12" s="250"/>
    </row>
    <row r="13" spans="1:14" ht="17.25" customHeight="1">
      <c r="A13" s="234">
        <v>40</v>
      </c>
      <c r="B13" s="234">
        <v>1</v>
      </c>
      <c r="C13" s="341" t="s">
        <v>186</v>
      </c>
      <c r="E13" s="53" t="s">
        <v>181</v>
      </c>
      <c r="F13" s="55" t="s">
        <v>187</v>
      </c>
      <c r="G13" s="3" t="s">
        <v>188</v>
      </c>
      <c r="L13" s="250">
        <v>29.100000000000016</v>
      </c>
      <c r="M13" s="250">
        <v>1.3882159999999999</v>
      </c>
      <c r="N13" s="250"/>
    </row>
    <row r="14" spans="1:14">
      <c r="A14" s="234">
        <v>41</v>
      </c>
      <c r="B14" s="234">
        <v>1.01</v>
      </c>
      <c r="C14" s="341"/>
      <c r="E14" s="53">
        <v>44</v>
      </c>
      <c r="F14" s="55">
        <v>97</v>
      </c>
      <c r="G14" s="3">
        <v>97.002400000000009</v>
      </c>
      <c r="L14" s="250">
        <v>29.200000000000017</v>
      </c>
      <c r="M14" s="250">
        <v>1.3856759999999999</v>
      </c>
      <c r="N14" s="250"/>
    </row>
    <row r="15" spans="1:14">
      <c r="A15" s="234">
        <v>42</v>
      </c>
      <c r="B15" s="234">
        <v>1.02</v>
      </c>
      <c r="C15" s="341"/>
      <c r="E15" s="53">
        <v>48</v>
      </c>
      <c r="F15" s="55">
        <v>105</v>
      </c>
      <c r="G15" s="3">
        <v>105.82080000000001</v>
      </c>
      <c r="L15" s="250">
        <v>29.300000000000018</v>
      </c>
      <c r="M15" s="250">
        <v>1.3831530000000001</v>
      </c>
      <c r="N15" s="250"/>
    </row>
    <row r="16" spans="1:14">
      <c r="A16" s="234">
        <v>43</v>
      </c>
      <c r="B16" s="234">
        <v>1.0309999999999999</v>
      </c>
      <c r="C16" s="341"/>
      <c r="E16" s="53">
        <v>52</v>
      </c>
      <c r="F16" s="55">
        <v>114</v>
      </c>
      <c r="G16" s="3">
        <v>114.6392</v>
      </c>
      <c r="L16" s="250">
        <v>29.40000000000002</v>
      </c>
      <c r="M16" s="250">
        <v>1.3806449999999999</v>
      </c>
      <c r="N16" s="250"/>
    </row>
    <row r="17" spans="1:15">
      <c r="A17" s="234">
        <v>44</v>
      </c>
      <c r="B17" s="234">
        <v>1.0429999999999999</v>
      </c>
      <c r="C17" s="341"/>
      <c r="E17" s="53">
        <v>56</v>
      </c>
      <c r="F17" s="55">
        <v>123</v>
      </c>
      <c r="G17" s="3">
        <v>123.45760000000001</v>
      </c>
      <c r="L17" s="250">
        <v>29.500000000000021</v>
      </c>
      <c r="M17" s="250">
        <v>1.378152</v>
      </c>
      <c r="N17" s="250"/>
    </row>
    <row r="18" spans="1:15" ht="12.75" customHeight="1">
      <c r="A18" s="234">
        <v>45</v>
      </c>
      <c r="B18" s="234">
        <v>1.0549999999999999</v>
      </c>
      <c r="C18" s="341"/>
      <c r="E18" s="53">
        <v>60</v>
      </c>
      <c r="F18" s="55">
        <v>132</v>
      </c>
      <c r="G18" s="3">
        <v>132.27600000000001</v>
      </c>
      <c r="J18" s="235"/>
      <c r="K18" s="235"/>
      <c r="L18" s="250">
        <v>29.600000000000023</v>
      </c>
      <c r="M18" s="236">
        <v>1.375675</v>
      </c>
      <c r="N18" s="236"/>
      <c r="O18" s="235"/>
    </row>
    <row r="19" spans="1:15" ht="12.75" customHeight="1">
      <c r="A19" s="234">
        <v>46</v>
      </c>
      <c r="B19" s="234">
        <v>1.0680000000000001</v>
      </c>
      <c r="C19" s="341"/>
      <c r="E19" s="53">
        <v>67.5</v>
      </c>
      <c r="F19" s="55">
        <v>148</v>
      </c>
      <c r="G19" s="3">
        <v>148.81050000000002</v>
      </c>
      <c r="L19" s="250">
        <v>29.700000000000024</v>
      </c>
      <c r="M19" s="250">
        <v>1.3732139999999999</v>
      </c>
      <c r="N19" s="250"/>
    </row>
    <row r="20" spans="1:15" ht="12.75" customHeight="1">
      <c r="A20" s="234">
        <v>47</v>
      </c>
      <c r="B20" s="234">
        <v>1.0820000000000001</v>
      </c>
      <c r="C20" s="341"/>
      <c r="E20" s="53">
        <v>75</v>
      </c>
      <c r="F20" s="55">
        <v>165</v>
      </c>
      <c r="G20" s="3">
        <v>165.345</v>
      </c>
      <c r="L20" s="250">
        <v>29.800000000000026</v>
      </c>
      <c r="M20" s="250">
        <v>1.3707670000000001</v>
      </c>
      <c r="N20" s="250"/>
    </row>
    <row r="21" spans="1:15">
      <c r="A21" s="234">
        <v>48</v>
      </c>
      <c r="B21" s="234">
        <v>1.097</v>
      </c>
      <c r="C21" s="341"/>
      <c r="E21" s="53">
        <v>82.5</v>
      </c>
      <c r="F21" s="55">
        <v>181</v>
      </c>
      <c r="G21" s="3">
        <v>181.87950000000001</v>
      </c>
      <c r="L21" s="250">
        <v>29.900000000000027</v>
      </c>
      <c r="M21" s="250">
        <v>1.3683350000000001</v>
      </c>
      <c r="N21" s="250"/>
    </row>
    <row r="22" spans="1:15">
      <c r="A22" s="234">
        <v>49</v>
      </c>
      <c r="B22" s="234">
        <v>1.113</v>
      </c>
      <c r="C22" s="341"/>
      <c r="E22" s="53">
        <v>90</v>
      </c>
      <c r="F22" s="55">
        <v>198</v>
      </c>
      <c r="G22" s="3">
        <v>198.41400000000002</v>
      </c>
      <c r="L22" s="250">
        <v>30.000000000000028</v>
      </c>
      <c r="M22" s="250">
        <v>1.365918</v>
      </c>
      <c r="N22" s="250"/>
    </row>
    <row r="23" spans="1:15">
      <c r="A23" s="234">
        <v>50</v>
      </c>
      <c r="B23" s="234">
        <v>1.1299999999999999</v>
      </c>
      <c r="E23" s="53">
        <v>100</v>
      </c>
      <c r="F23" s="55">
        <v>220</v>
      </c>
      <c r="G23" s="3">
        <v>220.46</v>
      </c>
      <c r="L23" s="250">
        <v>30.10000000000003</v>
      </c>
      <c r="M23" s="250">
        <v>1.363516</v>
      </c>
      <c r="N23" s="250"/>
    </row>
    <row r="24" spans="1:15">
      <c r="A24" s="234">
        <v>51</v>
      </c>
      <c r="B24" s="234">
        <v>1.147</v>
      </c>
      <c r="E24" s="53">
        <v>110</v>
      </c>
      <c r="F24" s="55">
        <v>242</v>
      </c>
      <c r="G24" s="3">
        <v>242.506</v>
      </c>
      <c r="I24" s="4"/>
      <c r="L24" s="250">
        <v>30.200000000000031</v>
      </c>
      <c r="M24" s="250">
        <v>1.3611279999999999</v>
      </c>
      <c r="N24" s="250"/>
    </row>
    <row r="25" spans="1:15">
      <c r="A25" s="234">
        <v>52</v>
      </c>
      <c r="B25" s="234">
        <v>1.165</v>
      </c>
      <c r="E25" s="53">
        <v>125</v>
      </c>
      <c r="F25" s="55">
        <v>275</v>
      </c>
      <c r="G25" s="3">
        <v>275.57499999999999</v>
      </c>
      <c r="I25" s="4"/>
      <c r="L25" s="250">
        <v>30.300000000000033</v>
      </c>
      <c r="M25" s="250">
        <v>1.3587549999999999</v>
      </c>
      <c r="N25" s="250"/>
    </row>
    <row r="26" spans="1:15">
      <c r="A26" s="234">
        <v>53</v>
      </c>
      <c r="B26" s="234">
        <v>1.1839999999999999</v>
      </c>
      <c r="E26" s="53">
        <v>140</v>
      </c>
      <c r="F26" s="55">
        <v>308</v>
      </c>
      <c r="G26" s="3">
        <v>308.64400000000001</v>
      </c>
      <c r="L26" s="250">
        <v>30.400000000000034</v>
      </c>
      <c r="M26" s="250">
        <v>1.356395</v>
      </c>
      <c r="N26" s="250"/>
    </row>
    <row r="27" spans="1:15">
      <c r="A27" s="234">
        <v>54</v>
      </c>
      <c r="B27" s="234">
        <v>1.204</v>
      </c>
      <c r="E27" s="53">
        <v>145</v>
      </c>
      <c r="F27" s="55">
        <v>319</v>
      </c>
      <c r="G27" s="3">
        <v>319.66700000000003</v>
      </c>
      <c r="L27" s="250">
        <v>30.500000000000036</v>
      </c>
      <c r="M27" s="250">
        <v>1.35405</v>
      </c>
      <c r="N27" s="250"/>
    </row>
    <row r="28" spans="1:15">
      <c r="A28" s="234">
        <v>55</v>
      </c>
      <c r="B28" s="234">
        <v>1.2250000000000001</v>
      </c>
      <c r="E28" s="54" t="s">
        <v>189</v>
      </c>
      <c r="F28" s="19" t="s">
        <v>189</v>
      </c>
      <c r="G28" s="138" t="s">
        <v>190</v>
      </c>
      <c r="L28" s="250">
        <v>30.600000000000037</v>
      </c>
      <c r="M28" s="250">
        <v>1.3517189999999999</v>
      </c>
      <c r="N28" s="250"/>
    </row>
    <row r="29" spans="1:15">
      <c r="A29" s="234">
        <v>56</v>
      </c>
      <c r="B29" s="234">
        <v>1.246</v>
      </c>
      <c r="L29" s="250">
        <v>30.700000000000038</v>
      </c>
      <c r="M29" s="250">
        <v>1.349402</v>
      </c>
      <c r="N29" s="250"/>
    </row>
    <row r="30" spans="1:15">
      <c r="A30" s="237">
        <v>57</v>
      </c>
      <c r="B30" s="237">
        <v>1.268</v>
      </c>
      <c r="L30" s="250">
        <v>30.80000000000004</v>
      </c>
      <c r="M30" s="250">
        <v>1.3470979999999999</v>
      </c>
      <c r="N30" s="250"/>
    </row>
    <row r="31" spans="1:15">
      <c r="A31" s="238">
        <v>58</v>
      </c>
      <c r="B31" s="238">
        <v>1.2909999999999999</v>
      </c>
      <c r="L31" s="250">
        <v>30.900000000000041</v>
      </c>
      <c r="M31" s="250">
        <v>1.344808</v>
      </c>
      <c r="N31" s="250"/>
    </row>
    <row r="32" spans="1:15">
      <c r="A32" s="238">
        <v>59</v>
      </c>
      <c r="B32" s="238">
        <v>1.3149999999999999</v>
      </c>
      <c r="F32" s="247">
        <v>44</v>
      </c>
      <c r="G32" s="247">
        <v>44</v>
      </c>
      <c r="L32" s="250">
        <v>31.000000000000043</v>
      </c>
      <c r="M32" s="250">
        <v>1.3425309999999999</v>
      </c>
      <c r="N32" s="250"/>
    </row>
    <row r="33" spans="1:14" ht="12.75" customHeight="1">
      <c r="A33" s="238">
        <v>60</v>
      </c>
      <c r="B33" s="238">
        <v>1.34</v>
      </c>
      <c r="F33" s="247">
        <v>48</v>
      </c>
      <c r="G33" s="247">
        <v>48</v>
      </c>
      <c r="L33" s="250">
        <v>31.100000000000044</v>
      </c>
      <c r="M33" s="250">
        <v>1.340268</v>
      </c>
      <c r="N33" s="250"/>
    </row>
    <row r="34" spans="1:14" ht="12.75" customHeight="1">
      <c r="A34" s="238">
        <v>61</v>
      </c>
      <c r="B34" s="238">
        <v>1.3660000000000001</v>
      </c>
      <c r="F34" s="247">
        <v>52</v>
      </c>
      <c r="G34" s="247">
        <v>52</v>
      </c>
      <c r="L34" s="250">
        <v>31.200000000000045</v>
      </c>
      <c r="M34" s="250">
        <v>1.338017</v>
      </c>
      <c r="N34" s="250"/>
    </row>
    <row r="35" spans="1:14" ht="12.75" customHeight="1">
      <c r="A35" s="238">
        <v>62</v>
      </c>
      <c r="B35" s="238">
        <v>1.393</v>
      </c>
      <c r="F35" s="247">
        <v>56</v>
      </c>
      <c r="G35" s="247">
        <v>56</v>
      </c>
      <c r="L35" s="250">
        <v>31.300000000000047</v>
      </c>
      <c r="M35" s="250">
        <v>1.33578</v>
      </c>
      <c r="N35" s="250"/>
    </row>
    <row r="36" spans="1:14" ht="12.75" customHeight="1">
      <c r="A36" s="238">
        <v>63</v>
      </c>
      <c r="B36" s="238">
        <v>1.421</v>
      </c>
      <c r="F36" s="247">
        <v>60</v>
      </c>
      <c r="G36" s="247">
        <v>60</v>
      </c>
      <c r="L36" s="250">
        <v>31.400000000000048</v>
      </c>
      <c r="M36" s="250">
        <v>1.333556</v>
      </c>
      <c r="N36" s="250"/>
    </row>
    <row r="37" spans="1:14">
      <c r="A37" s="238">
        <v>64</v>
      </c>
      <c r="B37" s="238">
        <v>1.45</v>
      </c>
      <c r="F37" s="247">
        <v>67.5</v>
      </c>
      <c r="G37" s="247">
        <v>67.5</v>
      </c>
      <c r="L37" s="250">
        <v>31.50000000000005</v>
      </c>
      <c r="M37" s="250">
        <v>1.3313440000000001</v>
      </c>
      <c r="N37" s="250"/>
    </row>
    <row r="38" spans="1:14" ht="12.75" customHeight="1">
      <c r="A38" s="238">
        <v>65</v>
      </c>
      <c r="B38" s="238">
        <v>1.48</v>
      </c>
      <c r="F38" s="247">
        <v>75</v>
      </c>
      <c r="G38" s="247">
        <v>75</v>
      </c>
      <c r="L38" s="250">
        <v>31.600000000000051</v>
      </c>
      <c r="M38" s="250">
        <v>1.3291459999999999</v>
      </c>
      <c r="N38" s="250"/>
    </row>
    <row r="39" spans="1:14" ht="13.5" customHeight="1">
      <c r="A39" s="238">
        <v>66</v>
      </c>
      <c r="B39" s="238">
        <v>1.5109999999999999</v>
      </c>
      <c r="F39" s="247">
        <v>82.5</v>
      </c>
      <c r="G39" s="247">
        <v>82.5</v>
      </c>
      <c r="L39" s="250">
        <v>31.700000000000053</v>
      </c>
      <c r="M39" s="250">
        <v>1.326959</v>
      </c>
      <c r="N39" s="250"/>
    </row>
    <row r="40" spans="1:14" ht="12.75" customHeight="1">
      <c r="A40" s="238">
        <v>67</v>
      </c>
      <c r="B40" s="238">
        <v>1.5429999999999999</v>
      </c>
      <c r="F40" s="247">
        <v>90</v>
      </c>
      <c r="G40" s="247">
        <v>90</v>
      </c>
      <c r="L40" s="250">
        <v>31.800000000000054</v>
      </c>
      <c r="M40" s="250">
        <v>1.324786</v>
      </c>
      <c r="N40" s="250"/>
    </row>
    <row r="41" spans="1:14" ht="12.75" customHeight="1">
      <c r="A41" s="238">
        <v>68</v>
      </c>
      <c r="B41" s="238">
        <v>1.5760000000000001</v>
      </c>
      <c r="F41" s="247">
        <v>97</v>
      </c>
      <c r="G41" s="247">
        <v>97.002400000000009</v>
      </c>
      <c r="L41" s="250">
        <v>31.900000000000055</v>
      </c>
      <c r="M41" s="250">
        <v>1.322624</v>
      </c>
      <c r="N41" s="250"/>
    </row>
    <row r="42" spans="1:14">
      <c r="A42" s="238">
        <v>69</v>
      </c>
      <c r="B42" s="238">
        <v>1.61</v>
      </c>
      <c r="F42" s="247">
        <v>100</v>
      </c>
      <c r="G42" s="247">
        <v>100</v>
      </c>
      <c r="L42" s="250">
        <v>32.000000000000057</v>
      </c>
      <c r="M42" s="250">
        <v>1.3204750000000001</v>
      </c>
      <c r="N42" s="250">
        <v>1.472993</v>
      </c>
    </row>
    <row r="43" spans="1:14">
      <c r="A43" s="238">
        <v>70</v>
      </c>
      <c r="B43" s="238">
        <v>1.645</v>
      </c>
      <c r="F43" s="247">
        <v>105</v>
      </c>
      <c r="G43" s="247">
        <v>105.82080000000001</v>
      </c>
      <c r="L43" s="250">
        <v>32.100000000000058</v>
      </c>
      <c r="M43" s="250">
        <v>1.318338</v>
      </c>
      <c r="N43" s="250">
        <v>1.4704109999999999</v>
      </c>
    </row>
    <row r="44" spans="1:14">
      <c r="A44" s="238">
        <v>71</v>
      </c>
      <c r="B44" s="238">
        <v>1.681</v>
      </c>
      <c r="F44" s="247">
        <v>110</v>
      </c>
      <c r="G44" s="247">
        <v>110</v>
      </c>
      <c r="L44" s="250">
        <v>32.20000000000006</v>
      </c>
      <c r="M44" s="250">
        <v>1.3162130000000001</v>
      </c>
      <c r="N44" s="250">
        <v>1.467843</v>
      </c>
    </row>
    <row r="45" spans="1:14">
      <c r="A45" s="238">
        <v>72</v>
      </c>
      <c r="B45" s="238">
        <v>1.718</v>
      </c>
      <c r="F45" s="247">
        <v>114</v>
      </c>
      <c r="G45" s="247">
        <v>114.6392</v>
      </c>
      <c r="L45" s="250">
        <v>32.300000000000061</v>
      </c>
      <c r="M45" s="250">
        <v>1.3140989999999999</v>
      </c>
      <c r="N45" s="250">
        <v>1.46529</v>
      </c>
    </row>
    <row r="46" spans="1:14">
      <c r="A46" s="238">
        <v>73</v>
      </c>
      <c r="B46" s="238">
        <v>1.756</v>
      </c>
      <c r="F46" s="247">
        <v>123</v>
      </c>
      <c r="G46" s="247">
        <v>123.45760000000001</v>
      </c>
      <c r="L46" s="250">
        <v>32.400000000000063</v>
      </c>
      <c r="M46" s="250">
        <v>1.311998</v>
      </c>
      <c r="N46" s="250">
        <v>1.4627520000000001</v>
      </c>
    </row>
    <row r="47" spans="1:14">
      <c r="A47" s="238">
        <v>74</v>
      </c>
      <c r="B47" s="238">
        <v>1.7949999999999999</v>
      </c>
      <c r="F47" s="247">
        <v>125</v>
      </c>
      <c r="G47" s="247">
        <v>125</v>
      </c>
      <c r="L47" s="250">
        <v>32.500000000000064</v>
      </c>
      <c r="M47" s="250">
        <v>1.3099080000000001</v>
      </c>
      <c r="N47" s="250">
        <v>1.4602280000000001</v>
      </c>
    </row>
    <row r="48" spans="1:14">
      <c r="A48" s="238">
        <v>75</v>
      </c>
      <c r="B48" s="238">
        <v>1.835</v>
      </c>
      <c r="F48" s="247">
        <v>132</v>
      </c>
      <c r="G48" s="247">
        <v>132.27600000000001</v>
      </c>
      <c r="L48" s="250">
        <v>32.600000000000065</v>
      </c>
      <c r="M48" s="250">
        <v>1.30783</v>
      </c>
      <c r="N48" s="250">
        <v>1.4577180000000001</v>
      </c>
    </row>
    <row r="49" spans="1:14">
      <c r="A49" s="238">
        <v>76</v>
      </c>
      <c r="B49" s="238">
        <v>1.8759999999999999</v>
      </c>
      <c r="F49" s="247">
        <v>140</v>
      </c>
      <c r="G49" s="247">
        <v>140</v>
      </c>
      <c r="L49" s="250">
        <v>32.700000000000067</v>
      </c>
      <c r="M49" s="250">
        <v>1.305763</v>
      </c>
      <c r="N49" s="250">
        <v>1.455233</v>
      </c>
    </row>
    <row r="50" spans="1:14">
      <c r="A50" s="238">
        <v>77</v>
      </c>
      <c r="B50" s="238">
        <v>1.9179999999999999</v>
      </c>
      <c r="F50" s="247">
        <v>145</v>
      </c>
      <c r="G50" s="247">
        <v>145</v>
      </c>
      <c r="L50" s="250">
        <v>32.800000000000068</v>
      </c>
      <c r="M50" s="250">
        <v>1.303763</v>
      </c>
      <c r="N50" s="250">
        <v>1.452742</v>
      </c>
    </row>
    <row r="51" spans="1:14">
      <c r="A51" s="238">
        <v>78</v>
      </c>
      <c r="B51" s="238">
        <v>1.9610000000000001</v>
      </c>
      <c r="F51" s="247">
        <v>148</v>
      </c>
      <c r="G51" s="247">
        <v>148.81050000000002</v>
      </c>
      <c r="L51" s="250">
        <v>32.90000000000007</v>
      </c>
      <c r="M51" s="250">
        <v>1.3016639999999999</v>
      </c>
      <c r="N51" s="250">
        <v>1.4502740000000001</v>
      </c>
    </row>
    <row r="52" spans="1:14">
      <c r="A52" s="238">
        <v>79</v>
      </c>
      <c r="B52" s="238">
        <v>2.0049999999999999</v>
      </c>
      <c r="F52" s="247">
        <v>165</v>
      </c>
      <c r="G52" s="247">
        <v>165.345</v>
      </c>
      <c r="L52" s="250">
        <v>33.000000000000071</v>
      </c>
      <c r="M52" s="250">
        <v>1.299631</v>
      </c>
      <c r="N52" s="250">
        <v>1.4478200000000001</v>
      </c>
    </row>
    <row r="53" spans="1:14">
      <c r="A53" s="238">
        <v>80</v>
      </c>
      <c r="B53" s="238">
        <v>2.0499999999999998</v>
      </c>
      <c r="F53" s="247">
        <v>181</v>
      </c>
      <c r="G53" s="247">
        <v>181.87950000000001</v>
      </c>
      <c r="L53" s="250">
        <v>33.100000000000072</v>
      </c>
      <c r="M53" s="250">
        <v>1.297609</v>
      </c>
      <c r="N53" s="250">
        <v>1.4453800000000001</v>
      </c>
    </row>
    <row r="54" spans="1:14">
      <c r="A54" s="247"/>
      <c r="B54" s="247"/>
      <c r="F54" s="247">
        <v>198</v>
      </c>
      <c r="G54" s="247">
        <v>198.41400000000002</v>
      </c>
      <c r="L54" s="250">
        <v>33.200000000000074</v>
      </c>
      <c r="M54" s="250">
        <v>1.295598</v>
      </c>
      <c r="N54" s="250">
        <v>1.4429540000000001</v>
      </c>
    </row>
    <row r="55" spans="1:14">
      <c r="A55" s="247"/>
      <c r="B55" s="247"/>
      <c r="F55" s="247">
        <v>220</v>
      </c>
      <c r="G55" s="247">
        <v>220.46</v>
      </c>
      <c r="L55" s="250">
        <v>33.300000000000075</v>
      </c>
      <c r="M55" s="250">
        <v>1.293598</v>
      </c>
      <c r="N55" s="250">
        <v>1.4405410000000001</v>
      </c>
    </row>
    <row r="56" spans="1:14">
      <c r="A56" s="247"/>
      <c r="B56" s="247"/>
      <c r="F56" s="247">
        <v>242</v>
      </c>
      <c r="G56" s="247">
        <v>242.506</v>
      </c>
      <c r="L56" s="250">
        <v>33.400000000000077</v>
      </c>
      <c r="M56" s="250">
        <v>1.2916080000000001</v>
      </c>
      <c r="N56" s="250">
        <v>1.4381409999999999</v>
      </c>
    </row>
    <row r="57" spans="1:14">
      <c r="A57" s="247"/>
      <c r="B57" s="247"/>
      <c r="F57" s="247">
        <v>275</v>
      </c>
      <c r="G57" s="247">
        <v>275.57499999999999</v>
      </c>
      <c r="L57" s="250">
        <v>33.500000000000078</v>
      </c>
      <c r="M57" s="250">
        <v>1.2896300000000001</v>
      </c>
      <c r="N57" s="250">
        <v>1.4357549999999999</v>
      </c>
    </row>
    <row r="58" spans="1:14">
      <c r="A58" s="247"/>
      <c r="B58" s="247"/>
      <c r="F58" s="247">
        <v>308</v>
      </c>
      <c r="G58" s="247">
        <v>308.64400000000001</v>
      </c>
      <c r="L58" s="250">
        <v>33.60000000000008</v>
      </c>
      <c r="M58" s="250">
        <v>1.2876620000000001</v>
      </c>
      <c r="N58" s="250">
        <v>1.433381</v>
      </c>
    </row>
    <row r="59" spans="1:14">
      <c r="A59" s="247"/>
      <c r="B59" s="247"/>
      <c r="F59" s="247">
        <v>319</v>
      </c>
      <c r="G59" s="247">
        <v>319.66700000000003</v>
      </c>
      <c r="L59" s="250">
        <v>33.700000000000081</v>
      </c>
      <c r="M59" s="250">
        <v>1.285704</v>
      </c>
      <c r="N59" s="250">
        <v>1.4310210000000001</v>
      </c>
    </row>
    <row r="60" spans="1:14">
      <c r="A60" s="247"/>
      <c r="B60" s="247"/>
      <c r="L60" s="250">
        <v>33.800000000000082</v>
      </c>
      <c r="M60" s="250">
        <v>1.283757</v>
      </c>
      <c r="N60" s="250">
        <v>1.4286730000000001</v>
      </c>
    </row>
    <row r="61" spans="1:14">
      <c r="A61" s="247"/>
      <c r="B61" s="247"/>
      <c r="L61" s="250">
        <v>33.900000000000084</v>
      </c>
      <c r="M61" s="250">
        <v>1.28182</v>
      </c>
      <c r="N61" s="250">
        <v>1.4263380000000001</v>
      </c>
    </row>
    <row r="62" spans="1:14">
      <c r="A62" s="247"/>
      <c r="B62" s="178" t="s">
        <v>131</v>
      </c>
      <c r="C62">
        <v>1.5</v>
      </c>
      <c r="D62">
        <v>2</v>
      </c>
      <c r="L62" s="250">
        <v>34.000000000000085</v>
      </c>
      <c r="M62" s="250">
        <v>1.2798940000000001</v>
      </c>
      <c r="N62" s="250">
        <v>1.4240159999999999</v>
      </c>
    </row>
    <row r="63" spans="1:14">
      <c r="A63" s="247"/>
      <c r="B63" s="178" t="s">
        <v>191</v>
      </c>
      <c r="C63">
        <v>0.5</v>
      </c>
      <c r="D63">
        <v>0.5</v>
      </c>
      <c r="L63" s="250">
        <v>34.100000000000087</v>
      </c>
      <c r="M63" s="250">
        <v>1.2779769999999999</v>
      </c>
      <c r="N63" s="250">
        <v>1.4217059999999999</v>
      </c>
    </row>
    <row r="64" spans="1:14">
      <c r="A64" s="247"/>
      <c r="B64" s="178" t="s">
        <v>139</v>
      </c>
      <c r="C64">
        <v>1</v>
      </c>
      <c r="D64">
        <v>1.5</v>
      </c>
      <c r="L64" s="250">
        <v>34.200000000000088</v>
      </c>
      <c r="M64" s="250">
        <v>1.276071</v>
      </c>
      <c r="N64" s="250">
        <v>1.4194089999999999</v>
      </c>
    </row>
    <row r="65" spans="2:14">
      <c r="B65" s="178" t="s">
        <v>192</v>
      </c>
      <c r="C65">
        <v>2.5</v>
      </c>
      <c r="D65">
        <v>3</v>
      </c>
      <c r="L65" s="250">
        <v>34.30000000000009</v>
      </c>
      <c r="M65" s="250">
        <v>1.2741739999999999</v>
      </c>
      <c r="N65" s="250">
        <v>1.4194089999999999</v>
      </c>
    </row>
    <row r="66" spans="2:14">
      <c r="B66" s="178" t="s">
        <v>102</v>
      </c>
      <c r="C66">
        <v>0</v>
      </c>
      <c r="D66">
        <v>0</v>
      </c>
      <c r="L66" s="250">
        <v>34.400000000000091</v>
      </c>
      <c r="M66" s="250">
        <v>1.2722880000000001</v>
      </c>
      <c r="N66" s="250">
        <v>1.4171240000000001</v>
      </c>
    </row>
    <row r="67" spans="2:14">
      <c r="B67" s="247"/>
      <c r="L67" s="250">
        <v>34.500000000000092</v>
      </c>
      <c r="M67" s="250">
        <v>1.270411</v>
      </c>
      <c r="N67" s="250">
        <v>1.41259</v>
      </c>
    </row>
    <row r="68" spans="2:14">
      <c r="B68" s="247"/>
      <c r="L68" s="250">
        <v>34.600000000000094</v>
      </c>
      <c r="M68" s="250">
        <v>1.2685439999999999</v>
      </c>
      <c r="N68" s="250">
        <v>1.4103410000000001</v>
      </c>
    </row>
    <row r="69" spans="2:14">
      <c r="B69" s="247"/>
      <c r="L69" s="250">
        <v>34.700000000000095</v>
      </c>
      <c r="M69" s="250">
        <v>1.2666869999999999</v>
      </c>
      <c r="N69" s="250">
        <v>1.408104</v>
      </c>
    </row>
    <row r="70" spans="2:14">
      <c r="B70" s="247"/>
      <c r="L70" s="250">
        <v>34.800000000000097</v>
      </c>
      <c r="M70" s="250">
        <v>1.264839</v>
      </c>
      <c r="N70" s="250">
        <v>1.408104</v>
      </c>
    </row>
    <row r="71" spans="2:14">
      <c r="B71" s="247"/>
      <c r="L71" s="250">
        <v>34.900000000000098</v>
      </c>
      <c r="M71" s="250">
        <v>1.263001</v>
      </c>
      <c r="N71" s="250">
        <v>1.4058790000000001</v>
      </c>
    </row>
    <row r="72" spans="2:14">
      <c r="B72" s="247"/>
      <c r="L72" s="250">
        <v>35.000000000000099</v>
      </c>
      <c r="M72" s="250">
        <v>1.261172</v>
      </c>
      <c r="N72" s="250">
        <v>1.401464</v>
      </c>
    </row>
    <row r="73" spans="2:14">
      <c r="B73" s="247"/>
      <c r="L73" s="250">
        <v>35.100000000000101</v>
      </c>
      <c r="M73" s="250">
        <v>1.259352</v>
      </c>
      <c r="N73" s="250">
        <v>1.399273</v>
      </c>
    </row>
    <row r="74" spans="2:14">
      <c r="B74" s="247"/>
      <c r="L74" s="250">
        <v>35.200000000000102</v>
      </c>
      <c r="M74" s="250">
        <v>1.257541</v>
      </c>
      <c r="N74" s="250">
        <v>1.3970940000000001</v>
      </c>
    </row>
    <row r="75" spans="2:14">
      <c r="B75" s="247"/>
      <c r="L75" s="250">
        <v>35.300000000000104</v>
      </c>
      <c r="M75" s="250">
        <v>1.2557400000000001</v>
      </c>
      <c r="N75" s="250">
        <v>1.3970940000000001</v>
      </c>
    </row>
    <row r="76" spans="2:14">
      <c r="B76" s="247"/>
      <c r="L76" s="250">
        <v>35.400000000000105</v>
      </c>
      <c r="M76" s="250">
        <v>1.2539480000000001</v>
      </c>
      <c r="N76" s="250">
        <v>1.3949260000000001</v>
      </c>
    </row>
    <row r="77" spans="2:14">
      <c r="B77" s="247"/>
      <c r="L77" s="250">
        <v>35.500000000000107</v>
      </c>
      <c r="M77" s="250">
        <v>1.252165</v>
      </c>
      <c r="N77" s="250">
        <v>1.3906240000000001</v>
      </c>
    </row>
    <row r="78" spans="2:14">
      <c r="B78" s="247"/>
      <c r="L78" s="250">
        <v>35.600000000000108</v>
      </c>
      <c r="M78" s="250">
        <v>1.250391</v>
      </c>
      <c r="N78" s="250">
        <v>1.38849</v>
      </c>
    </row>
    <row r="79" spans="2:14">
      <c r="B79" s="247"/>
      <c r="L79" s="250">
        <v>35.700000000000109</v>
      </c>
      <c r="M79" s="250">
        <v>1.2486250000000001</v>
      </c>
      <c r="N79" s="250">
        <v>1.386366</v>
      </c>
    </row>
    <row r="80" spans="2:14">
      <c r="B80" s="247"/>
      <c r="L80" s="250">
        <v>35.800000000000111</v>
      </c>
      <c r="M80" s="250">
        <v>1.246869</v>
      </c>
      <c r="N80" s="250">
        <v>1.386366</v>
      </c>
    </row>
    <row r="81" spans="12:14">
      <c r="L81" s="250">
        <v>35.900000000000112</v>
      </c>
      <c r="M81" s="250">
        <v>1.2451209999999999</v>
      </c>
      <c r="N81" s="250">
        <v>1.3821509999999999</v>
      </c>
    </row>
    <row r="82" spans="12:14">
      <c r="L82" s="250">
        <v>36.000000000000114</v>
      </c>
      <c r="M82" s="250">
        <v>1.243382</v>
      </c>
      <c r="N82" s="250">
        <v>1.3800600000000001</v>
      </c>
    </row>
    <row r="83" spans="12:14">
      <c r="L83" s="250">
        <v>36.100000000000115</v>
      </c>
      <c r="M83" s="250">
        <v>1.2416510000000001</v>
      </c>
      <c r="N83" s="250">
        <v>1.3779790000000001</v>
      </c>
    </row>
    <row r="84" spans="12:14">
      <c r="L84" s="250">
        <v>36.200000000000117</v>
      </c>
      <c r="M84" s="250">
        <v>1.2399290000000001</v>
      </c>
      <c r="N84" s="250">
        <v>1.375909</v>
      </c>
    </row>
    <row r="85" spans="12:14">
      <c r="L85" s="250">
        <v>36.300000000000118</v>
      </c>
      <c r="M85" s="250">
        <v>1.238216</v>
      </c>
      <c r="N85" s="250">
        <v>1.3738490000000001</v>
      </c>
    </row>
    <row r="86" spans="12:14">
      <c r="L86" s="250">
        <v>36.400000000000119</v>
      </c>
      <c r="M86" s="250">
        <v>1.23651</v>
      </c>
      <c r="N86" s="250">
        <v>1.3717999999999999</v>
      </c>
    </row>
    <row r="87" spans="12:14">
      <c r="L87" s="250">
        <v>36.500000000000121</v>
      </c>
      <c r="M87" s="250">
        <v>1.2348129999999999</v>
      </c>
      <c r="N87" s="250">
        <v>1.3697600000000001</v>
      </c>
    </row>
    <row r="88" spans="12:14">
      <c r="L88" s="250">
        <v>36.600000000000122</v>
      </c>
      <c r="M88" s="250">
        <v>1.233125</v>
      </c>
      <c r="N88" s="250">
        <v>1.367731</v>
      </c>
    </row>
    <row r="89" spans="12:14">
      <c r="L89" s="250">
        <v>36.700000000000124</v>
      </c>
      <c r="M89" s="250">
        <v>1.231444</v>
      </c>
      <c r="N89" s="250">
        <v>1.365712</v>
      </c>
    </row>
    <row r="90" spans="12:14">
      <c r="L90" s="250">
        <v>36.800000000000125</v>
      </c>
      <c r="M90" s="250">
        <v>1.2297720000000001</v>
      </c>
      <c r="N90" s="250">
        <v>1.3637030000000001</v>
      </c>
    </row>
    <row r="91" spans="12:14">
      <c r="L91" s="250">
        <v>36.900000000000126</v>
      </c>
      <c r="M91" s="250">
        <v>1.228108</v>
      </c>
      <c r="N91" s="250">
        <v>1.3617030000000001</v>
      </c>
    </row>
    <row r="92" spans="12:14">
      <c r="L92" s="250">
        <v>37.000000000000128</v>
      </c>
      <c r="M92" s="250">
        <v>1.226451</v>
      </c>
      <c r="N92" s="250">
        <v>1.3597140000000001</v>
      </c>
    </row>
    <row r="93" spans="12:14">
      <c r="L93" s="250">
        <v>37.100000000000129</v>
      </c>
      <c r="M93" s="250">
        <v>1.2248030000000001</v>
      </c>
      <c r="N93" s="250">
        <v>1.357734</v>
      </c>
    </row>
    <row r="94" spans="12:14">
      <c r="L94" s="250">
        <v>37.200000000000131</v>
      </c>
      <c r="M94" s="250">
        <v>1.2231620000000001</v>
      </c>
      <c r="N94" s="250">
        <v>1.355764</v>
      </c>
    </row>
    <row r="95" spans="12:14">
      <c r="L95" s="250">
        <v>37.300000000000132</v>
      </c>
      <c r="M95" s="250">
        <v>1.22153</v>
      </c>
      <c r="N95" s="250">
        <v>1.353804</v>
      </c>
    </row>
    <row r="96" spans="12:14">
      <c r="L96" s="250">
        <v>37.400000000000134</v>
      </c>
      <c r="M96" s="250">
        <v>1.219905</v>
      </c>
      <c r="N96" s="250">
        <v>1.351853</v>
      </c>
    </row>
    <row r="97" spans="12:14">
      <c r="L97" s="250">
        <v>37.500000000000135</v>
      </c>
      <c r="M97" s="250">
        <v>1.2182869999999999</v>
      </c>
      <c r="N97" s="250">
        <v>1.349912</v>
      </c>
    </row>
    <row r="98" spans="12:14">
      <c r="L98" s="250">
        <v>37.600000000000136</v>
      </c>
      <c r="M98" s="250">
        <v>1.2166779999999999</v>
      </c>
      <c r="N98" s="250">
        <v>1.347979</v>
      </c>
    </row>
    <row r="99" spans="12:14">
      <c r="L99" s="250">
        <v>37.700000000000138</v>
      </c>
      <c r="M99" s="250">
        <v>1.215076</v>
      </c>
      <c r="N99" s="250">
        <v>1.3460570000000001</v>
      </c>
    </row>
    <row r="100" spans="12:14">
      <c r="L100" s="250">
        <v>37.800000000000139</v>
      </c>
      <c r="M100" s="250">
        <v>1.213481</v>
      </c>
      <c r="N100" s="250">
        <v>1.3441430000000001</v>
      </c>
    </row>
    <row r="101" spans="12:14">
      <c r="L101" s="250">
        <v>37.900000000000141</v>
      </c>
      <c r="M101" s="250">
        <v>1.211894</v>
      </c>
      <c r="N101" s="250">
        <v>1.342239</v>
      </c>
    </row>
    <row r="102" spans="12:14">
      <c r="L102" s="250">
        <v>38.000000000000142</v>
      </c>
      <c r="M102" s="250">
        <v>1.2103139999999999</v>
      </c>
      <c r="N102" s="250">
        <v>1.3403430000000001</v>
      </c>
    </row>
    <row r="103" spans="12:14">
      <c r="L103" s="250">
        <v>38.100000000000144</v>
      </c>
      <c r="M103" s="250">
        <v>1.208742</v>
      </c>
      <c r="N103" s="250">
        <v>1.338457</v>
      </c>
    </row>
    <row r="104" spans="12:14">
      <c r="L104" s="250">
        <v>38.200000000000145</v>
      </c>
      <c r="M104" s="250">
        <v>1.2071769999999999</v>
      </c>
      <c r="N104" s="250">
        <v>1.336579</v>
      </c>
    </row>
    <row r="105" spans="12:14">
      <c r="L105" s="250">
        <v>38.300000000000146</v>
      </c>
      <c r="M105" s="250">
        <v>1.205619</v>
      </c>
      <c r="N105" s="250">
        <v>1.334711</v>
      </c>
    </row>
    <row r="106" spans="12:14">
      <c r="L106" s="250">
        <v>38.400000000000148</v>
      </c>
      <c r="M106" s="250">
        <v>1.2040679999999999</v>
      </c>
      <c r="N106" s="250">
        <v>1.3328519999999999</v>
      </c>
    </row>
    <row r="107" spans="12:14">
      <c r="L107" s="250">
        <v>38.500000000000149</v>
      </c>
      <c r="M107" s="250">
        <v>1.2025239999999999</v>
      </c>
      <c r="N107" s="250">
        <v>1.331</v>
      </c>
    </row>
    <row r="108" spans="12:14">
      <c r="L108" s="250">
        <v>38.600000000000151</v>
      </c>
      <c r="M108" s="250">
        <v>1.2009879999999999</v>
      </c>
      <c r="N108" s="250">
        <v>1.3291580000000001</v>
      </c>
    </row>
    <row r="109" spans="12:14">
      <c r="L109" s="250">
        <v>38.700000000000152</v>
      </c>
      <c r="M109" s="250">
        <v>1.1994579999999999</v>
      </c>
      <c r="N109" s="250">
        <v>1.3273239999999999</v>
      </c>
    </row>
    <row r="110" spans="12:14">
      <c r="L110" s="250">
        <v>38.800000000000153</v>
      </c>
      <c r="M110" s="250">
        <v>1.1979359999999999</v>
      </c>
      <c r="N110" s="250">
        <v>1.325499</v>
      </c>
    </row>
    <row r="111" spans="12:14">
      <c r="L111" s="250">
        <v>38.900000000000155</v>
      </c>
      <c r="M111" s="250">
        <v>1.19642</v>
      </c>
      <c r="N111" s="250">
        <v>1.323682</v>
      </c>
    </row>
    <row r="112" spans="12:14">
      <c r="L112" s="250">
        <v>39.000000000000156</v>
      </c>
      <c r="M112" s="250">
        <v>1.1949110000000001</v>
      </c>
      <c r="N112" s="250">
        <v>1.321874</v>
      </c>
    </row>
    <row r="113" spans="12:14">
      <c r="L113" s="250">
        <v>39.100000000000158</v>
      </c>
      <c r="M113" s="250">
        <v>1.1934089999999999</v>
      </c>
      <c r="N113" s="250">
        <v>1.320074</v>
      </c>
    </row>
    <row r="114" spans="12:14">
      <c r="L114" s="250">
        <v>39.200000000000159</v>
      </c>
      <c r="M114" s="250">
        <v>1.1919139999999999</v>
      </c>
      <c r="N114" s="250">
        <v>1.3182830000000001</v>
      </c>
    </row>
    <row r="115" spans="12:14">
      <c r="L115" s="250">
        <v>39.300000000000161</v>
      </c>
      <c r="M115" s="250">
        <v>1.190426</v>
      </c>
      <c r="N115" s="250">
        <v>1.3164990000000001</v>
      </c>
    </row>
    <row r="116" spans="12:14">
      <c r="L116" s="250">
        <v>39.400000000000162</v>
      </c>
      <c r="M116" s="250">
        <v>1.188944</v>
      </c>
      <c r="N116" s="250">
        <v>1.314724</v>
      </c>
    </row>
    <row r="117" spans="12:14">
      <c r="L117" s="250">
        <v>39.500000000000163</v>
      </c>
      <c r="M117" s="250">
        <v>1.1874690000000001</v>
      </c>
      <c r="N117" s="250">
        <v>1.3129569999999999</v>
      </c>
    </row>
    <row r="118" spans="12:14">
      <c r="L118" s="250">
        <v>39.600000000000165</v>
      </c>
      <c r="M118" s="250">
        <v>1.1859999999999999</v>
      </c>
      <c r="N118" s="250">
        <v>1.3111980000000001</v>
      </c>
    </row>
    <row r="119" spans="12:14">
      <c r="L119" s="250">
        <v>39.700000000000166</v>
      </c>
      <c r="M119" s="250">
        <v>1.1845380000000001</v>
      </c>
      <c r="N119" s="250">
        <v>1.309447</v>
      </c>
    </row>
    <row r="120" spans="12:14">
      <c r="L120" s="250">
        <v>39.800000000000168</v>
      </c>
      <c r="M120" s="250">
        <v>1.183082</v>
      </c>
      <c r="N120" s="250">
        <v>1.3077030000000001</v>
      </c>
    </row>
    <row r="121" spans="12:14">
      <c r="L121" s="250">
        <v>39.900000000000169</v>
      </c>
      <c r="M121" s="250">
        <v>1.1816329999999999</v>
      </c>
      <c r="N121" s="250">
        <v>1.305968</v>
      </c>
    </row>
    <row r="122" spans="12:14">
      <c r="L122" s="250">
        <v>40.000000000000171</v>
      </c>
      <c r="M122" s="250">
        <v>1.1801900000000001</v>
      </c>
      <c r="N122" s="250">
        <v>1.304241</v>
      </c>
    </row>
    <row r="123" spans="12:14">
      <c r="L123" s="250">
        <v>40.100000000000172</v>
      </c>
      <c r="M123" s="250">
        <v>1.1787540000000001</v>
      </c>
      <c r="N123" s="250">
        <v>1.302521</v>
      </c>
    </row>
    <row r="124" spans="12:14">
      <c r="L124" s="250">
        <v>40.200000000000173</v>
      </c>
      <c r="M124" s="250">
        <v>1.1773229999999999</v>
      </c>
      <c r="N124" s="250">
        <v>1.3008090000000001</v>
      </c>
    </row>
    <row r="125" spans="12:14">
      <c r="L125" s="250">
        <v>40.300000000000175</v>
      </c>
      <c r="M125" s="250">
        <v>1.175899</v>
      </c>
      <c r="N125" s="250">
        <v>1.299104</v>
      </c>
    </row>
    <row r="126" spans="12:14">
      <c r="L126" s="250">
        <v>40.400000000000176</v>
      </c>
      <c r="M126" s="250">
        <v>1.1744810000000001</v>
      </c>
      <c r="N126" s="250">
        <v>1.2974079999999999</v>
      </c>
    </row>
    <row r="127" spans="12:14">
      <c r="L127" s="250">
        <v>40.500000000000178</v>
      </c>
      <c r="M127" s="250">
        <v>1.1730700000000001</v>
      </c>
      <c r="N127" s="250">
        <v>1.2957179999999999</v>
      </c>
    </row>
    <row r="128" spans="12:14">
      <c r="L128" s="250">
        <v>40.600000000000179</v>
      </c>
      <c r="M128" s="250">
        <v>1.171664</v>
      </c>
      <c r="N128" s="250">
        <v>1.2940370000000001</v>
      </c>
    </row>
    <row r="129" spans="12:14">
      <c r="L129" s="250">
        <v>40.70000000000018</v>
      </c>
      <c r="M129" s="250">
        <v>1.1702650000000001</v>
      </c>
      <c r="N129" s="250">
        <v>1.292362</v>
      </c>
    </row>
    <row r="130" spans="12:14">
      <c r="L130" s="250">
        <v>40.800000000000182</v>
      </c>
      <c r="M130" s="250">
        <v>1.168871</v>
      </c>
      <c r="N130" s="250">
        <v>1.2906949999999999</v>
      </c>
    </row>
    <row r="131" spans="12:14">
      <c r="L131" s="250">
        <v>40.900000000000183</v>
      </c>
      <c r="M131" s="250">
        <v>1.167484</v>
      </c>
      <c r="N131" s="250">
        <v>1.2890360000000001</v>
      </c>
    </row>
    <row r="132" spans="12:14">
      <c r="L132" s="250">
        <v>41.000000000000185</v>
      </c>
      <c r="M132" s="250">
        <v>1.166102</v>
      </c>
      <c r="N132" s="250">
        <v>1.2873829999999999</v>
      </c>
    </row>
    <row r="133" spans="12:14">
      <c r="L133" s="250">
        <v>41.100000000000186</v>
      </c>
      <c r="M133" s="250">
        <v>1.165727</v>
      </c>
      <c r="N133" s="250">
        <v>1.285738</v>
      </c>
    </row>
    <row r="134" spans="12:14">
      <c r="L134" s="250">
        <v>41.200000000000188</v>
      </c>
      <c r="M134" s="250">
        <v>1.163357</v>
      </c>
      <c r="N134" s="250">
        <v>1.2841</v>
      </c>
    </row>
    <row r="135" spans="12:14">
      <c r="L135" s="250">
        <v>41.300000000000189</v>
      </c>
      <c r="M135" s="250">
        <v>1.1619930000000001</v>
      </c>
      <c r="N135" s="250">
        <v>1.2824690000000001</v>
      </c>
    </row>
    <row r="136" spans="12:14">
      <c r="L136" s="250">
        <v>41.40000000000019</v>
      </c>
      <c r="M136" s="250">
        <v>1.1606350000000001</v>
      </c>
      <c r="N136" s="250">
        <v>1.280845</v>
      </c>
    </row>
    <row r="137" spans="12:14">
      <c r="L137" s="250">
        <v>41.500000000000192</v>
      </c>
      <c r="M137" s="250">
        <v>1.1592819999999999</v>
      </c>
      <c r="N137" s="250">
        <v>1.279228</v>
      </c>
    </row>
    <row r="138" spans="12:14">
      <c r="L138" s="250">
        <v>41.600000000000193</v>
      </c>
      <c r="M138" s="250">
        <v>1.1579349999999999</v>
      </c>
      <c r="N138" s="250">
        <v>1.2776179999999999</v>
      </c>
    </row>
    <row r="139" spans="12:14">
      <c r="L139" s="250">
        <v>41.700000000000195</v>
      </c>
      <c r="M139" s="250">
        <v>1.1565939999999999</v>
      </c>
      <c r="N139" s="250">
        <v>1.2760149999999999</v>
      </c>
    </row>
    <row r="140" spans="12:14">
      <c r="L140" s="250">
        <v>41.800000000000196</v>
      </c>
      <c r="M140" s="250">
        <v>1.155259</v>
      </c>
      <c r="N140" s="250">
        <v>1.274419</v>
      </c>
    </row>
    <row r="141" spans="12:14">
      <c r="L141" s="250">
        <v>41.900000000000198</v>
      </c>
      <c r="M141" s="250">
        <v>1.153929</v>
      </c>
      <c r="N141" s="250">
        <v>1.2728299999999999</v>
      </c>
    </row>
    <row r="142" spans="12:14">
      <c r="L142" s="250">
        <v>42.000000000000199</v>
      </c>
      <c r="M142" s="250">
        <v>1.1526050000000001</v>
      </c>
      <c r="N142" s="250">
        <v>1.2712479999999999</v>
      </c>
    </row>
    <row r="143" spans="12:14">
      <c r="L143" s="250">
        <v>42.1000000000002</v>
      </c>
      <c r="M143" s="250">
        <v>1.151286</v>
      </c>
      <c r="N143" s="250">
        <v>1.2696719999999999</v>
      </c>
    </row>
    <row r="144" spans="12:14">
      <c r="L144" s="250">
        <v>42.200000000000202</v>
      </c>
      <c r="M144" s="250">
        <v>1.149972</v>
      </c>
      <c r="N144" s="250">
        <v>1.268103</v>
      </c>
    </row>
    <row r="145" spans="12:14">
      <c r="L145" s="250">
        <v>42.300000000000203</v>
      </c>
      <c r="M145" s="250">
        <v>1.1486639999999999</v>
      </c>
      <c r="N145" s="250">
        <v>1.26654</v>
      </c>
    </row>
    <row r="146" spans="12:14">
      <c r="L146" s="250">
        <v>42.400000000000205</v>
      </c>
      <c r="M146" s="250">
        <v>1.147362</v>
      </c>
      <c r="N146" s="250">
        <v>1.2649840000000001</v>
      </c>
    </row>
    <row r="147" spans="12:14">
      <c r="L147" s="250">
        <v>42.500000000000206</v>
      </c>
      <c r="M147" s="250">
        <v>1.1460649999999999</v>
      </c>
      <c r="N147" s="250">
        <v>1.2634350000000001</v>
      </c>
    </row>
    <row r="148" spans="12:14">
      <c r="L148" s="250">
        <v>42.600000000000207</v>
      </c>
      <c r="M148" s="250">
        <v>1.144773</v>
      </c>
      <c r="N148" s="250">
        <v>1.261892</v>
      </c>
    </row>
    <row r="149" spans="12:14">
      <c r="L149" s="250">
        <v>42.700000000000209</v>
      </c>
      <c r="M149" s="250">
        <v>1.143486</v>
      </c>
      <c r="N149" s="250">
        <v>1.260356</v>
      </c>
    </row>
    <row r="150" spans="12:14">
      <c r="L150" s="250">
        <v>42.80000000000021</v>
      </c>
      <c r="M150" s="250">
        <v>1.1422049999999999</v>
      </c>
      <c r="N150" s="250">
        <v>1.258826</v>
      </c>
    </row>
    <row r="151" spans="12:14">
      <c r="L151" s="250">
        <v>42.900000000000212</v>
      </c>
      <c r="M151" s="250">
        <v>1.140925</v>
      </c>
      <c r="N151" s="250">
        <v>1.2573019999999999</v>
      </c>
    </row>
    <row r="152" spans="12:14">
      <c r="L152" s="250">
        <v>43.000000000000213</v>
      </c>
      <c r="M152" s="250">
        <v>1.1396580000000001</v>
      </c>
      <c r="N152" s="250">
        <v>1.2557849999999999</v>
      </c>
    </row>
    <row r="153" spans="12:14">
      <c r="L153" s="250">
        <v>43.100000000000215</v>
      </c>
      <c r="M153" s="250">
        <v>1.1383920000000001</v>
      </c>
      <c r="N153" s="250">
        <v>1.2542740000000001</v>
      </c>
    </row>
    <row r="154" spans="12:14">
      <c r="L154" s="250">
        <v>43.200000000000216</v>
      </c>
      <c r="M154" s="250">
        <v>1.1371309999999999</v>
      </c>
      <c r="N154" s="250">
        <v>1.2527699999999999</v>
      </c>
    </row>
    <row r="155" spans="12:14">
      <c r="L155" s="250">
        <v>43.300000000000217</v>
      </c>
      <c r="M155" s="250">
        <v>1.135875</v>
      </c>
      <c r="N155" s="250">
        <v>1.251271</v>
      </c>
    </row>
    <row r="156" spans="12:14">
      <c r="L156" s="250">
        <v>43.400000000000219</v>
      </c>
      <c r="M156" s="250">
        <v>1.134625</v>
      </c>
      <c r="N156" s="250">
        <v>1.249779</v>
      </c>
    </row>
    <row r="157" spans="12:14">
      <c r="L157" s="250">
        <v>43.50000000000022</v>
      </c>
      <c r="M157" s="250">
        <v>1.1333789999999999</v>
      </c>
      <c r="N157" s="250">
        <v>1.248292</v>
      </c>
    </row>
    <row r="158" spans="12:14">
      <c r="L158" s="250">
        <v>43.600000000000222</v>
      </c>
      <c r="M158" s="250">
        <v>1.132139</v>
      </c>
      <c r="N158" s="250">
        <v>1.246812</v>
      </c>
    </row>
    <row r="159" spans="12:14">
      <c r="L159" s="250">
        <v>43.700000000000223</v>
      </c>
      <c r="M159" s="250">
        <v>1.130903</v>
      </c>
      <c r="N159" s="250">
        <v>1.2453380000000001</v>
      </c>
    </row>
    <row r="160" spans="12:14">
      <c r="L160" s="250">
        <v>43.800000000000225</v>
      </c>
      <c r="M160" s="250">
        <v>1.129672</v>
      </c>
      <c r="N160" s="250">
        <v>1.24387</v>
      </c>
    </row>
    <row r="161" spans="12:14">
      <c r="L161" s="250">
        <v>43.900000000000226</v>
      </c>
      <c r="M161" s="250">
        <v>1.1284460000000001</v>
      </c>
      <c r="N161" s="250">
        <v>1.242408</v>
      </c>
    </row>
    <row r="162" spans="12:14">
      <c r="L162" s="250">
        <v>44.000000000000227</v>
      </c>
      <c r="M162" s="250">
        <v>1.1272249999999999</v>
      </c>
      <c r="N162" s="250">
        <v>1.2409509999999999</v>
      </c>
    </row>
    <row r="163" spans="12:14">
      <c r="L163" s="250">
        <v>44.100000000000229</v>
      </c>
      <c r="M163" s="250">
        <v>1.126009</v>
      </c>
      <c r="N163" s="250">
        <v>1.239501</v>
      </c>
    </row>
    <row r="164" spans="12:14">
      <c r="L164" s="250">
        <v>44.20000000000023</v>
      </c>
      <c r="M164" s="250">
        <v>1.124798</v>
      </c>
      <c r="N164" s="250">
        <v>1.238057</v>
      </c>
    </row>
    <row r="165" spans="12:14">
      <c r="L165" s="250">
        <v>44.300000000000232</v>
      </c>
      <c r="M165" s="250">
        <v>1.123591</v>
      </c>
      <c r="N165" s="250">
        <v>1.236618</v>
      </c>
    </row>
    <row r="166" spans="12:14">
      <c r="L166" s="250">
        <v>44.400000000000233</v>
      </c>
      <c r="M166" s="250">
        <v>1.1223890000000001</v>
      </c>
      <c r="N166" s="250">
        <v>1.235185</v>
      </c>
    </row>
    <row r="167" spans="12:14">
      <c r="L167" s="250">
        <v>44.500000000000234</v>
      </c>
      <c r="M167" s="250">
        <v>1.121192</v>
      </c>
      <c r="N167" s="250">
        <v>1.233757</v>
      </c>
    </row>
    <row r="168" spans="12:14">
      <c r="L168" s="250">
        <v>44.600000000000236</v>
      </c>
      <c r="M168" s="250">
        <v>1.1200000000000001</v>
      </c>
      <c r="N168" s="250">
        <v>1.2323360000000001</v>
      </c>
    </row>
    <row r="169" spans="12:14">
      <c r="L169" s="250">
        <v>44.700000000000237</v>
      </c>
      <c r="M169" s="250">
        <v>1.1188119999999999</v>
      </c>
      <c r="N169" s="250">
        <v>1.23092</v>
      </c>
    </row>
    <row r="170" spans="12:14">
      <c r="L170" s="250">
        <v>44.800000000000239</v>
      </c>
      <c r="M170" s="250">
        <v>1.1176280000000001</v>
      </c>
      <c r="N170" s="250">
        <v>1.2295100000000001</v>
      </c>
    </row>
    <row r="171" spans="12:14">
      <c r="L171" s="250">
        <v>44.90000000000024</v>
      </c>
      <c r="M171" s="250">
        <v>1.1164499999999999</v>
      </c>
      <c r="N171" s="250">
        <v>1.228105</v>
      </c>
    </row>
    <row r="172" spans="12:14">
      <c r="L172" s="250">
        <v>45.000000000000242</v>
      </c>
      <c r="M172" s="250">
        <v>1.115275</v>
      </c>
      <c r="N172" s="250">
        <v>1.2267060000000001</v>
      </c>
    </row>
    <row r="173" spans="12:14">
      <c r="L173" s="250">
        <v>45.100000000000243</v>
      </c>
      <c r="M173" s="250">
        <v>1.114106</v>
      </c>
      <c r="N173" s="250">
        <v>1.225312</v>
      </c>
    </row>
    <row r="174" spans="12:14">
      <c r="L174" s="250">
        <v>45.200000000000244</v>
      </c>
      <c r="M174" s="250">
        <v>1.112941</v>
      </c>
      <c r="N174" s="250">
        <v>1.223924</v>
      </c>
    </row>
    <row r="175" spans="12:14">
      <c r="L175" s="250">
        <v>45.300000000000246</v>
      </c>
      <c r="M175" s="250">
        <v>1.11178</v>
      </c>
      <c r="N175" s="250">
        <v>1.2225410000000001</v>
      </c>
    </row>
    <row r="176" spans="12:14">
      <c r="L176" s="250">
        <v>45.400000000000247</v>
      </c>
      <c r="M176" s="250">
        <v>1.1106240000000001</v>
      </c>
      <c r="N176" s="250">
        <v>1.2211639999999999</v>
      </c>
    </row>
    <row r="177" spans="12:14">
      <c r="L177" s="250">
        <v>45.500000000000249</v>
      </c>
      <c r="M177" s="250">
        <v>1.109472</v>
      </c>
      <c r="N177" s="250">
        <v>1.219792</v>
      </c>
    </row>
    <row r="178" spans="12:14">
      <c r="L178" s="250">
        <v>45.60000000000025</v>
      </c>
      <c r="M178" s="250">
        <v>1.1083240000000001</v>
      </c>
      <c r="N178" s="250">
        <v>1.2184250000000001</v>
      </c>
    </row>
    <row r="179" spans="12:14">
      <c r="L179" s="250">
        <v>45.700000000000252</v>
      </c>
      <c r="M179" s="250">
        <v>1.107181</v>
      </c>
      <c r="N179" s="250">
        <v>1.2170639999999999</v>
      </c>
    </row>
    <row r="180" spans="12:14">
      <c r="L180" s="250">
        <v>45.800000000000253</v>
      </c>
      <c r="M180" s="250">
        <v>1.106042</v>
      </c>
      <c r="N180" s="250">
        <v>1.215708</v>
      </c>
    </row>
    <row r="181" spans="12:14">
      <c r="L181" s="250">
        <v>45.900000000000254</v>
      </c>
      <c r="M181" s="250">
        <v>1.104908</v>
      </c>
      <c r="N181" s="250">
        <v>1.2143569999999999</v>
      </c>
    </row>
    <row r="182" spans="12:14">
      <c r="L182" s="250">
        <v>46.000000000000256</v>
      </c>
      <c r="M182" s="250">
        <v>1.1037779999999999</v>
      </c>
      <c r="N182" s="250">
        <v>1.2130110000000001</v>
      </c>
    </row>
    <row r="183" spans="12:14">
      <c r="L183" s="250">
        <v>46.100000000000257</v>
      </c>
      <c r="M183" s="250">
        <v>1.102652</v>
      </c>
      <c r="N183" s="250">
        <v>1.2116709999999999</v>
      </c>
    </row>
    <row r="184" spans="12:14">
      <c r="L184" s="250">
        <v>46.200000000000259</v>
      </c>
      <c r="M184" s="250">
        <v>1.1015299999999999</v>
      </c>
      <c r="N184" s="250">
        <v>1.2103349999999999</v>
      </c>
    </row>
    <row r="185" spans="12:14">
      <c r="L185" s="250">
        <v>46.30000000000026</v>
      </c>
      <c r="M185" s="250">
        <v>1.1004119999999999</v>
      </c>
      <c r="N185" s="250">
        <v>1.2090050000000001</v>
      </c>
    </row>
    <row r="186" spans="12:14">
      <c r="L186" s="250">
        <v>46.400000000000261</v>
      </c>
      <c r="M186" s="250">
        <v>1.099299</v>
      </c>
      <c r="N186" s="250">
        <v>1.2076800000000001</v>
      </c>
    </row>
    <row r="187" spans="12:14">
      <c r="L187" s="250">
        <v>46.500000000000263</v>
      </c>
      <c r="M187" s="250">
        <v>1.09819</v>
      </c>
      <c r="N187" s="250">
        <v>1.2063600000000001</v>
      </c>
    </row>
    <row r="188" spans="12:14">
      <c r="L188" s="250">
        <v>46.600000000000264</v>
      </c>
      <c r="M188" s="250">
        <v>1.0970839999999999</v>
      </c>
      <c r="N188" s="250">
        <v>1.2050449999999999</v>
      </c>
    </row>
    <row r="189" spans="12:14">
      <c r="L189" s="250">
        <v>46.700000000000266</v>
      </c>
      <c r="M189" s="250">
        <v>1.0959829999999999</v>
      </c>
      <c r="N189" s="250">
        <v>1.203735</v>
      </c>
    </row>
    <row r="190" spans="12:14">
      <c r="L190" s="250">
        <v>46.800000000000267</v>
      </c>
      <c r="M190" s="250">
        <v>1.094886</v>
      </c>
      <c r="N190" s="250">
        <v>1.202429</v>
      </c>
    </row>
    <row r="191" spans="12:14">
      <c r="L191" s="250">
        <v>46.900000000000269</v>
      </c>
      <c r="M191" s="250">
        <v>1.093793</v>
      </c>
      <c r="N191" s="250">
        <v>1.2011289999999999</v>
      </c>
    </row>
    <row r="192" spans="12:14">
      <c r="L192" s="250">
        <v>47.00000000000027</v>
      </c>
      <c r="M192" s="250">
        <v>1.0927039999999999</v>
      </c>
      <c r="N192" s="250">
        <v>1.1998340000000001</v>
      </c>
    </row>
    <row r="193" spans="12:14">
      <c r="L193" s="250">
        <v>47.100000000000271</v>
      </c>
      <c r="M193" s="250">
        <v>1.09162</v>
      </c>
      <c r="N193" s="250">
        <v>1.1985429999999999</v>
      </c>
    </row>
    <row r="194" spans="12:14">
      <c r="L194" s="250">
        <v>47.200000000000273</v>
      </c>
      <c r="M194" s="250">
        <v>1.0905389999999999</v>
      </c>
      <c r="N194" s="250">
        <v>1.197257</v>
      </c>
    </row>
    <row r="195" spans="12:14">
      <c r="L195" s="250">
        <v>47.300000000000274</v>
      </c>
      <c r="M195" s="250">
        <v>1.0894619999999999</v>
      </c>
      <c r="N195" s="250">
        <v>1.1959770000000001</v>
      </c>
    </row>
    <row r="196" spans="12:14">
      <c r="L196" s="250">
        <v>47.400000000000276</v>
      </c>
      <c r="M196" s="250">
        <v>1.0883879999999999</v>
      </c>
      <c r="N196" s="250">
        <v>1.1947000000000001</v>
      </c>
    </row>
    <row r="197" spans="12:14">
      <c r="L197" s="250">
        <v>47.500000000000277</v>
      </c>
      <c r="M197" s="250">
        <v>1.0873189999999999</v>
      </c>
      <c r="N197" s="250">
        <v>1.1934290000000001</v>
      </c>
    </row>
    <row r="198" spans="12:14">
      <c r="L198" s="250">
        <v>47.600000000000279</v>
      </c>
      <c r="M198" s="250">
        <v>1.0862540000000001</v>
      </c>
      <c r="N198" s="250">
        <v>1.1921619999999999</v>
      </c>
    </row>
    <row r="199" spans="12:14">
      <c r="L199" s="250">
        <v>47.70000000000028</v>
      </c>
      <c r="M199" s="250">
        <v>1.0851919999999999</v>
      </c>
      <c r="N199" s="250">
        <v>1.1909000000000001</v>
      </c>
    </row>
    <row r="200" spans="12:14">
      <c r="L200" s="250">
        <v>47.800000000000281</v>
      </c>
      <c r="M200" s="250">
        <v>1.0841350000000001</v>
      </c>
      <c r="N200" s="250">
        <v>1.189643</v>
      </c>
    </row>
    <row r="201" spans="12:14">
      <c r="L201" s="250">
        <v>47.900000000000283</v>
      </c>
      <c r="M201" s="250">
        <v>1.083081</v>
      </c>
      <c r="N201" s="250">
        <v>1.1883900000000001</v>
      </c>
    </row>
    <row r="202" spans="12:14">
      <c r="L202" s="250">
        <v>48.000000000000284</v>
      </c>
      <c r="M202" s="250">
        <v>1.082031</v>
      </c>
      <c r="N202" s="250">
        <v>1.1871419999999999</v>
      </c>
    </row>
    <row r="203" spans="12:14">
      <c r="L203" s="250">
        <v>48.100000000000286</v>
      </c>
      <c r="M203" s="250">
        <v>1.0809850000000001</v>
      </c>
      <c r="N203" s="250">
        <v>1.185899</v>
      </c>
    </row>
    <row r="204" spans="12:14">
      <c r="L204" s="250">
        <v>48.200000000000287</v>
      </c>
      <c r="M204" s="250">
        <v>1.079942</v>
      </c>
      <c r="N204" s="250">
        <v>1.18466</v>
      </c>
    </row>
    <row r="205" spans="12:14">
      <c r="L205" s="250">
        <v>48.300000000000288</v>
      </c>
      <c r="M205" s="250">
        <v>1.0789029999999999</v>
      </c>
      <c r="N205" s="250">
        <v>1.1834249999999999</v>
      </c>
    </row>
    <row r="206" spans="12:14">
      <c r="L206" s="250">
        <v>48.40000000000029</v>
      </c>
      <c r="M206" s="250">
        <v>1.077868</v>
      </c>
      <c r="N206" s="250">
        <v>1.1821950000000001</v>
      </c>
    </row>
    <row r="207" spans="12:14">
      <c r="L207" s="250">
        <v>48.500000000000291</v>
      </c>
      <c r="M207" s="250">
        <v>1.076837</v>
      </c>
      <c r="N207" s="250">
        <v>1.1809700000000001</v>
      </c>
    </row>
    <row r="208" spans="12:14">
      <c r="L208" s="250">
        <v>48.600000000000293</v>
      </c>
      <c r="M208" s="250">
        <v>1.075809</v>
      </c>
      <c r="N208" s="250">
        <v>1.1797489999999999</v>
      </c>
    </row>
    <row r="209" spans="12:14">
      <c r="L209" s="250">
        <v>48.700000000000294</v>
      </c>
      <c r="M209" s="250">
        <v>1.0747850000000001</v>
      </c>
      <c r="N209" s="250">
        <v>1.1785319999999999</v>
      </c>
    </row>
    <row r="210" spans="12:14">
      <c r="L210" s="250">
        <v>48.800000000000296</v>
      </c>
      <c r="M210" s="250">
        <v>1.0737639999999999</v>
      </c>
      <c r="N210" s="250">
        <v>1.1773199999999999</v>
      </c>
    </row>
    <row r="211" spans="12:14">
      <c r="L211" s="250">
        <v>48.900000000000297</v>
      </c>
      <c r="M211" s="250">
        <v>1.0727469999999999</v>
      </c>
      <c r="N211" s="250">
        <v>1.176112</v>
      </c>
    </row>
    <row r="212" spans="12:14">
      <c r="L212" s="250">
        <v>49.000000000000298</v>
      </c>
      <c r="M212" s="250">
        <v>1.071734</v>
      </c>
      <c r="N212" s="250">
        <v>1.1749080000000001</v>
      </c>
    </row>
    <row r="213" spans="12:14">
      <c r="L213" s="250">
        <v>49.1000000000003</v>
      </c>
      <c r="M213" s="250">
        <v>1.070724</v>
      </c>
      <c r="N213" s="250">
        <v>1.1737089999999999</v>
      </c>
    </row>
    <row r="214" spans="12:14">
      <c r="L214" s="250">
        <v>49.200000000000301</v>
      </c>
      <c r="M214" s="250">
        <v>1.0697179999999999</v>
      </c>
      <c r="N214" s="250">
        <v>1.1725140000000001</v>
      </c>
    </row>
    <row r="215" spans="12:14">
      <c r="L215" s="250">
        <v>49.300000000000303</v>
      </c>
      <c r="M215" s="250">
        <v>1.0687150000000001</v>
      </c>
      <c r="N215" s="250">
        <v>1.1713229999999999</v>
      </c>
    </row>
    <row r="216" spans="12:14">
      <c r="L216" s="250">
        <v>49.400000000000304</v>
      </c>
      <c r="M216" s="250">
        <v>1.0677160000000001</v>
      </c>
      <c r="N216" s="250">
        <v>1.170137</v>
      </c>
    </row>
    <row r="217" spans="12:14">
      <c r="L217" s="250">
        <v>49.500000000000306</v>
      </c>
      <c r="M217" s="250">
        <v>1.0667199999999999</v>
      </c>
      <c r="N217" s="250">
        <v>1.168955</v>
      </c>
    </row>
    <row r="218" spans="12:14">
      <c r="L218" s="250">
        <v>49.600000000000307</v>
      </c>
      <c r="M218" s="250">
        <v>1.0657270000000001</v>
      </c>
      <c r="N218" s="250">
        <v>1.1677770000000001</v>
      </c>
    </row>
    <row r="219" spans="12:14">
      <c r="L219" s="250">
        <v>49.700000000000308</v>
      </c>
      <c r="M219" s="250">
        <v>1.0647390000000001</v>
      </c>
      <c r="N219" s="250">
        <v>1.1666030000000001</v>
      </c>
    </row>
    <row r="220" spans="12:14">
      <c r="L220" s="250">
        <v>49.80000000000031</v>
      </c>
      <c r="M220" s="250">
        <v>1.0637529999999999</v>
      </c>
      <c r="N220" s="250">
        <v>1.1654329999999999</v>
      </c>
    </row>
    <row r="221" spans="12:14">
      <c r="L221" s="250">
        <v>49.900000000000311</v>
      </c>
      <c r="M221" s="250">
        <v>1.0627709999999999</v>
      </c>
      <c r="N221" s="250">
        <v>1.1652670000000001</v>
      </c>
    </row>
    <row r="222" spans="12:14">
      <c r="L222" s="250">
        <v>50.000000000000313</v>
      </c>
      <c r="M222" s="250">
        <v>1.0617920000000001</v>
      </c>
      <c r="N222" s="250">
        <v>1.163106</v>
      </c>
    </row>
    <row r="223" spans="12:14">
      <c r="L223" s="250">
        <v>50.100000000000314</v>
      </c>
      <c r="M223" s="250">
        <v>1.0608169999999999</v>
      </c>
      <c r="N223" s="250">
        <v>1.161948</v>
      </c>
    </row>
    <row r="224" spans="12:14">
      <c r="L224" s="250">
        <v>50.200000000000315</v>
      </c>
      <c r="M224" s="250">
        <v>1.0598449999999999</v>
      </c>
      <c r="N224" s="250">
        <v>1.160795</v>
      </c>
    </row>
    <row r="225" spans="12:14">
      <c r="L225" s="250">
        <v>50.300000000000317</v>
      </c>
      <c r="M225" s="250">
        <v>1.0588759999999999</v>
      </c>
      <c r="N225" s="250">
        <v>1.159645</v>
      </c>
    </row>
    <row r="226" spans="12:14">
      <c r="L226" s="250">
        <v>50.400000000000318</v>
      </c>
      <c r="M226" s="250">
        <v>1.0579099999999999</v>
      </c>
      <c r="N226" s="250">
        <v>1.1585000000000001</v>
      </c>
    </row>
    <row r="227" spans="12:14">
      <c r="L227" s="250">
        <v>50.50000000000032</v>
      </c>
      <c r="M227" s="250">
        <v>1.056948</v>
      </c>
      <c r="N227" s="250">
        <v>1.1573580000000001</v>
      </c>
    </row>
    <row r="228" spans="12:14">
      <c r="L228" s="250">
        <v>50.600000000000321</v>
      </c>
      <c r="M228" s="250">
        <v>1.0559890000000001</v>
      </c>
      <c r="N228" s="250">
        <v>1.1562209999999999</v>
      </c>
    </row>
    <row r="229" spans="12:14">
      <c r="L229" s="250">
        <v>50.700000000000323</v>
      </c>
      <c r="M229" s="250">
        <v>1.0550330000000001</v>
      </c>
      <c r="N229" s="250">
        <v>1.155087</v>
      </c>
    </row>
    <row r="230" spans="12:14">
      <c r="L230" s="250">
        <v>50.800000000000324</v>
      </c>
      <c r="M230" s="250">
        <v>1.054081</v>
      </c>
      <c r="N230" s="250">
        <v>1.153958</v>
      </c>
    </row>
    <row r="231" spans="12:14">
      <c r="L231" s="250">
        <v>50.900000000000325</v>
      </c>
      <c r="M231" s="250">
        <v>1.053132</v>
      </c>
      <c r="N231" s="250">
        <v>1.1528320000000001</v>
      </c>
    </row>
    <row r="232" spans="12:14">
      <c r="L232" s="250">
        <v>51.000000000000327</v>
      </c>
      <c r="M232" s="250">
        <v>1.0521860000000001</v>
      </c>
      <c r="N232" s="250">
        <v>1.15171</v>
      </c>
    </row>
    <row r="233" spans="12:14">
      <c r="L233" s="250">
        <v>51.100000000000328</v>
      </c>
      <c r="M233" s="250">
        <v>1.0512429999999999</v>
      </c>
      <c r="N233" s="250">
        <v>1.1505920000000001</v>
      </c>
    </row>
    <row r="234" spans="12:14">
      <c r="L234" s="250">
        <v>51.20000000000033</v>
      </c>
      <c r="M234" s="250">
        <v>1.050303</v>
      </c>
      <c r="N234" s="250">
        <v>1.149478</v>
      </c>
    </row>
    <row r="235" spans="12:14">
      <c r="L235" s="250">
        <v>51.300000000000331</v>
      </c>
      <c r="M235" s="250">
        <v>1.049366</v>
      </c>
      <c r="N235" s="250">
        <v>1.1483669999999999</v>
      </c>
    </row>
    <row r="236" spans="12:14">
      <c r="L236" s="250">
        <v>51.400000000000333</v>
      </c>
      <c r="M236" s="250">
        <v>1.0484329999999999</v>
      </c>
      <c r="N236" s="250">
        <v>1.1472610000000001</v>
      </c>
    </row>
    <row r="237" spans="12:14">
      <c r="L237" s="250">
        <v>51.500000000000334</v>
      </c>
      <c r="M237" s="250">
        <v>1.0475019999999999</v>
      </c>
      <c r="N237" s="250">
        <v>1.146158</v>
      </c>
    </row>
    <row r="238" spans="12:14">
      <c r="L238" s="250">
        <v>51.600000000000335</v>
      </c>
      <c r="M238" s="250">
        <v>1.046575</v>
      </c>
      <c r="N238" s="250">
        <v>1.145059</v>
      </c>
    </row>
    <row r="239" spans="12:14">
      <c r="L239" s="250">
        <v>51.700000000000337</v>
      </c>
      <c r="M239" s="250">
        <v>1.0456510000000001</v>
      </c>
      <c r="N239" s="250">
        <v>1.1439630000000001</v>
      </c>
    </row>
    <row r="240" spans="12:14">
      <c r="L240" s="250">
        <v>51.800000000000338</v>
      </c>
      <c r="M240" s="250">
        <v>1.0447299999999999</v>
      </c>
      <c r="N240" s="250">
        <v>1.142871</v>
      </c>
    </row>
    <row r="241" spans="12:14">
      <c r="L241" s="250">
        <v>51.90000000000034</v>
      </c>
      <c r="M241" s="250">
        <v>1.043811</v>
      </c>
      <c r="N241" s="250">
        <v>1.141783</v>
      </c>
    </row>
    <row r="242" spans="12:14">
      <c r="L242" s="250">
        <v>52.000000000000341</v>
      </c>
      <c r="M242" s="250">
        <v>1.042896</v>
      </c>
      <c r="N242" s="250">
        <v>1.1406989999999999</v>
      </c>
    </row>
    <row r="243" spans="12:14">
      <c r="L243" s="250">
        <v>52.100000000000342</v>
      </c>
      <c r="M243" s="250">
        <v>1.041984</v>
      </c>
      <c r="N243" s="250">
        <v>1.139618</v>
      </c>
    </row>
    <row r="244" spans="12:14">
      <c r="L244" s="250">
        <v>52.200000000000344</v>
      </c>
      <c r="M244" s="250">
        <v>1.041075</v>
      </c>
      <c r="N244" s="250">
        <v>1.138541</v>
      </c>
    </row>
    <row r="245" spans="12:14">
      <c r="L245" s="250">
        <v>52.300000000000345</v>
      </c>
      <c r="M245" s="250">
        <v>1.0401689999999999</v>
      </c>
      <c r="N245" s="250">
        <v>1.137467</v>
      </c>
    </row>
    <row r="246" spans="12:14">
      <c r="L246" s="250">
        <v>52.400000000000347</v>
      </c>
      <c r="M246" s="250">
        <v>1.039266</v>
      </c>
      <c r="N246" s="250">
        <v>1.1363970000000001</v>
      </c>
    </row>
    <row r="247" spans="12:14">
      <c r="L247" s="250">
        <v>52.500000000000348</v>
      </c>
      <c r="M247" s="250">
        <v>1.038365</v>
      </c>
      <c r="N247" s="250">
        <v>1.1353310000000001</v>
      </c>
    </row>
    <row r="248" spans="12:14">
      <c r="L248" s="250">
        <v>52.60000000000035</v>
      </c>
      <c r="M248" s="250">
        <v>1.0374680000000001</v>
      </c>
      <c r="N248" s="250">
        <v>1.1342680000000001</v>
      </c>
    </row>
    <row r="249" spans="12:14">
      <c r="L249" s="250">
        <v>52.700000000000351</v>
      </c>
      <c r="M249" s="250">
        <v>1.036573</v>
      </c>
      <c r="N249" s="250">
        <v>1.1332089999999999</v>
      </c>
    </row>
    <row r="250" spans="12:14">
      <c r="L250" s="250">
        <v>52.800000000000352</v>
      </c>
      <c r="M250" s="250">
        <v>1.035682</v>
      </c>
      <c r="N250" s="250">
        <v>1.132153</v>
      </c>
    </row>
    <row r="251" spans="12:14">
      <c r="L251" s="250">
        <v>52.900000000000354</v>
      </c>
      <c r="M251" s="250">
        <v>1.0347930000000001</v>
      </c>
      <c r="N251" s="250">
        <v>1.1311</v>
      </c>
    </row>
    <row r="252" spans="12:14">
      <c r="L252" s="250">
        <v>53.000000000000355</v>
      </c>
      <c r="M252" s="250">
        <v>1.0339069999999999</v>
      </c>
      <c r="N252" s="250">
        <v>1.1300509999999999</v>
      </c>
    </row>
    <row r="253" spans="12:14">
      <c r="L253" s="250">
        <v>53.100000000000357</v>
      </c>
      <c r="M253" s="250">
        <v>1.0330239999999999</v>
      </c>
      <c r="N253" s="250">
        <v>1.129006</v>
      </c>
    </row>
    <row r="254" spans="12:14">
      <c r="L254" s="250">
        <v>53.200000000000358</v>
      </c>
      <c r="M254" s="250">
        <v>1.032144</v>
      </c>
      <c r="N254" s="250">
        <v>1.127942</v>
      </c>
    </row>
    <row r="255" spans="12:14">
      <c r="L255" s="250">
        <v>53.30000000000036</v>
      </c>
      <c r="M255" s="250">
        <v>1.0312669999999999</v>
      </c>
      <c r="N255" s="250">
        <v>1.126925</v>
      </c>
    </row>
    <row r="256" spans="12:14">
      <c r="L256" s="250">
        <v>53.400000000000361</v>
      </c>
      <c r="M256" s="250">
        <v>1.030392</v>
      </c>
      <c r="N256" s="250">
        <v>1.1258900000000001</v>
      </c>
    </row>
    <row r="257" spans="12:14">
      <c r="L257" s="250">
        <v>53.500000000000362</v>
      </c>
      <c r="M257" s="250">
        <v>1.02952</v>
      </c>
      <c r="N257" s="250">
        <v>1.1248579999999999</v>
      </c>
    </row>
    <row r="258" spans="12:14">
      <c r="L258" s="250">
        <v>53.600000000000364</v>
      </c>
      <c r="M258" s="250">
        <v>1.028651</v>
      </c>
      <c r="N258" s="250">
        <v>1.123829</v>
      </c>
    </row>
    <row r="259" spans="12:14">
      <c r="L259" s="250">
        <v>53.700000000000365</v>
      </c>
      <c r="M259" s="250">
        <v>1.0277849999999999</v>
      </c>
      <c r="N259" s="250">
        <v>1.1228039999999999</v>
      </c>
    </row>
    <row r="260" spans="12:14">
      <c r="L260" s="250">
        <v>53.800000000000367</v>
      </c>
      <c r="M260" s="250">
        <v>1.0269219999999999</v>
      </c>
      <c r="N260" s="250">
        <v>1.1217820000000001</v>
      </c>
    </row>
    <row r="261" spans="12:14">
      <c r="L261" s="250">
        <v>53.900000000000368</v>
      </c>
      <c r="M261" s="250">
        <v>1.0260609999999999</v>
      </c>
      <c r="N261" s="250">
        <v>1.1207640000000001</v>
      </c>
    </row>
    <row r="262" spans="12:14">
      <c r="L262" s="250">
        <v>54.000000000000369</v>
      </c>
      <c r="M262" s="250">
        <v>1.0252030000000001</v>
      </c>
      <c r="N262" s="250">
        <v>1.119748</v>
      </c>
    </row>
    <row r="263" spans="12:14">
      <c r="L263" s="250">
        <v>54.100000000000371</v>
      </c>
      <c r="M263" s="250">
        <v>1.024348</v>
      </c>
      <c r="N263" s="250">
        <v>1.118736</v>
      </c>
    </row>
    <row r="264" spans="12:14">
      <c r="L264" s="250">
        <v>54.200000000000372</v>
      </c>
      <c r="M264" s="250">
        <v>1.023495</v>
      </c>
      <c r="N264" s="250">
        <v>1.1177280000000001</v>
      </c>
    </row>
    <row r="265" spans="12:14">
      <c r="L265" s="250">
        <v>54.300000000000374</v>
      </c>
      <c r="M265" s="250">
        <v>1.022645</v>
      </c>
      <c r="N265" s="250">
        <v>1.116722</v>
      </c>
    </row>
    <row r="266" spans="12:14">
      <c r="L266" s="250">
        <v>54.400000000000375</v>
      </c>
      <c r="M266" s="250">
        <v>1.021798</v>
      </c>
      <c r="N266" s="250">
        <v>1.11572</v>
      </c>
    </row>
    <row r="267" spans="12:14">
      <c r="L267" s="250">
        <v>54.500000000000377</v>
      </c>
      <c r="M267" s="250">
        <v>1.020953</v>
      </c>
      <c r="N267" s="250">
        <v>1.1147199999999999</v>
      </c>
    </row>
    <row r="268" spans="12:14">
      <c r="L268" s="250">
        <v>54.600000000000378</v>
      </c>
      <c r="M268" s="250">
        <v>1.020111</v>
      </c>
      <c r="N268" s="250">
        <v>1.1137250000000001</v>
      </c>
    </row>
    <row r="269" spans="12:14">
      <c r="L269" s="250">
        <v>54.700000000000379</v>
      </c>
      <c r="M269" s="250">
        <v>1.019271</v>
      </c>
      <c r="N269" s="250">
        <v>1.1127320000000001</v>
      </c>
    </row>
    <row r="270" spans="12:14">
      <c r="L270" s="250">
        <v>54.800000000000381</v>
      </c>
      <c r="M270" s="250">
        <v>1.018435</v>
      </c>
      <c r="N270" s="250">
        <v>1.111742</v>
      </c>
    </row>
    <row r="271" spans="12:14">
      <c r="L271" s="250">
        <v>54.900000000000382</v>
      </c>
      <c r="M271" s="250">
        <v>1.0176000000000001</v>
      </c>
      <c r="N271" s="250">
        <v>1.1107560000000001</v>
      </c>
    </row>
    <row r="272" spans="12:14">
      <c r="L272" s="250">
        <v>55.000000000000384</v>
      </c>
      <c r="M272" s="250">
        <v>1.016769</v>
      </c>
      <c r="N272" s="250">
        <v>1.109772</v>
      </c>
    </row>
    <row r="273" spans="12:14">
      <c r="L273" s="250">
        <v>55.100000000000385</v>
      </c>
      <c r="M273" s="250">
        <v>1.0159400000000001</v>
      </c>
      <c r="N273" s="250">
        <v>1.108792</v>
      </c>
    </row>
    <row r="274" spans="12:14">
      <c r="L274" s="250">
        <v>55.200000000000387</v>
      </c>
      <c r="M274" s="250">
        <v>1.0151129999999999</v>
      </c>
      <c r="N274" s="250">
        <v>1.107815</v>
      </c>
    </row>
    <row r="275" spans="12:14">
      <c r="L275" s="250">
        <v>55.300000000000388</v>
      </c>
      <c r="M275" s="250">
        <v>1.014289</v>
      </c>
      <c r="N275" s="250">
        <v>1.10684</v>
      </c>
    </row>
    <row r="276" spans="12:14">
      <c r="L276" s="250">
        <v>55.400000000000389</v>
      </c>
      <c r="M276" s="250">
        <v>1.013468</v>
      </c>
      <c r="N276" s="250">
        <v>1.105869</v>
      </c>
    </row>
    <row r="277" spans="12:14">
      <c r="L277" s="250">
        <v>55.500000000000391</v>
      </c>
      <c r="M277" s="250">
        <v>1.0126489999999999</v>
      </c>
      <c r="N277" s="250">
        <v>1.1049009999999999</v>
      </c>
    </row>
    <row r="278" spans="12:14">
      <c r="L278" s="250">
        <v>55.600000000000392</v>
      </c>
      <c r="M278" s="250">
        <v>1.0118320000000001</v>
      </c>
      <c r="N278" s="250">
        <v>1.103936</v>
      </c>
    </row>
    <row r="279" spans="12:14">
      <c r="L279" s="250">
        <v>55.700000000000394</v>
      </c>
      <c r="M279" s="250">
        <v>1.011018</v>
      </c>
      <c r="N279" s="250">
        <v>1.1029739999999999</v>
      </c>
    </row>
    <row r="280" spans="12:14">
      <c r="L280" s="250">
        <v>55.800000000000395</v>
      </c>
      <c r="M280" s="250">
        <v>1.0102070000000001</v>
      </c>
      <c r="N280" s="250">
        <v>1.102015</v>
      </c>
    </row>
    <row r="281" spans="12:14">
      <c r="L281" s="250">
        <v>55.900000000000396</v>
      </c>
      <c r="M281" s="250">
        <v>1.009398</v>
      </c>
      <c r="N281" s="250">
        <v>1.101059</v>
      </c>
    </row>
    <row r="282" spans="12:14">
      <c r="L282" s="250">
        <v>56.000000000000398</v>
      </c>
      <c r="M282" s="250">
        <v>1.008591</v>
      </c>
      <c r="N282" s="250">
        <v>1.100106</v>
      </c>
    </row>
    <row r="283" spans="12:14">
      <c r="L283" s="250">
        <v>56.100000000000399</v>
      </c>
      <c r="M283" s="250">
        <v>1.007787</v>
      </c>
      <c r="N283" s="250">
        <v>1.099156</v>
      </c>
    </row>
    <row r="284" spans="12:14">
      <c r="L284" s="250">
        <v>56.200000000000401</v>
      </c>
      <c r="M284" s="250">
        <v>1.006985</v>
      </c>
      <c r="N284" s="250">
        <v>1.0982080000000001</v>
      </c>
    </row>
    <row r="285" spans="12:14">
      <c r="L285" s="250">
        <v>56.300000000000402</v>
      </c>
      <c r="M285" s="250">
        <v>1.006186</v>
      </c>
      <c r="N285" s="250">
        <v>1.097264</v>
      </c>
    </row>
    <row r="286" spans="12:14">
      <c r="L286" s="250">
        <v>56.400000000000404</v>
      </c>
      <c r="M286" s="250">
        <v>1.0053890000000001</v>
      </c>
      <c r="N286" s="250">
        <v>1.0963229999999999</v>
      </c>
    </row>
    <row r="287" spans="12:14">
      <c r="L287" s="250">
        <v>56.500000000000405</v>
      </c>
      <c r="M287" s="250">
        <v>1.004594</v>
      </c>
      <c r="N287" s="250">
        <v>1.0953839999999999</v>
      </c>
    </row>
    <row r="288" spans="12:14">
      <c r="L288" s="250">
        <v>56.600000000000406</v>
      </c>
      <c r="M288" s="250">
        <v>1.0038020000000001</v>
      </c>
      <c r="N288" s="250">
        <v>1.0944480000000001</v>
      </c>
    </row>
    <row r="289" spans="12:14">
      <c r="L289" s="250">
        <v>56.700000000000408</v>
      </c>
      <c r="M289" s="250">
        <v>1.003012</v>
      </c>
      <c r="N289" s="250">
        <v>1.0935159999999999</v>
      </c>
    </row>
    <row r="290" spans="12:14">
      <c r="L290" s="250">
        <v>56.800000000000409</v>
      </c>
      <c r="M290" s="250">
        <v>1.0022249999999999</v>
      </c>
      <c r="N290" s="250">
        <v>1.0925860000000001</v>
      </c>
    </row>
    <row r="291" spans="12:14">
      <c r="L291" s="250">
        <v>56.900000000000411</v>
      </c>
      <c r="M291" s="250">
        <v>1.0014400000000001</v>
      </c>
      <c r="N291" s="250">
        <v>1.091658</v>
      </c>
    </row>
    <row r="292" spans="12:14">
      <c r="L292" s="250">
        <v>57.000000000000412</v>
      </c>
      <c r="M292" s="250">
        <v>1.0006569999999999</v>
      </c>
      <c r="N292" s="250">
        <v>1.0907340000000001</v>
      </c>
    </row>
    <row r="293" spans="12:14">
      <c r="L293" s="250">
        <v>57.100000000000414</v>
      </c>
      <c r="M293" s="250">
        <v>0.99989700000000004</v>
      </c>
      <c r="N293" s="250">
        <v>1.0898129999999999</v>
      </c>
    </row>
    <row r="294" spans="12:14">
      <c r="L294" s="250">
        <v>57.200000000000415</v>
      </c>
      <c r="M294" s="250">
        <v>0.99909899999999996</v>
      </c>
      <c r="N294" s="250">
        <v>1.088894</v>
      </c>
    </row>
    <row r="295" spans="12:14">
      <c r="L295" s="250">
        <v>57.300000000000416</v>
      </c>
      <c r="M295" s="250">
        <v>0.99832299999999996</v>
      </c>
      <c r="N295" s="250">
        <v>1.0879779999999999</v>
      </c>
    </row>
    <row r="296" spans="12:14">
      <c r="L296" s="250">
        <v>57.400000000000418</v>
      </c>
      <c r="M296" s="250">
        <v>0.99754900000000002</v>
      </c>
      <c r="N296" s="250">
        <v>1.0870649999999999</v>
      </c>
    </row>
    <row r="297" spans="12:14">
      <c r="L297" s="250">
        <v>57.500000000000419</v>
      </c>
      <c r="M297" s="250">
        <v>0.99677800000000005</v>
      </c>
      <c r="N297" s="250">
        <v>1.0861540000000001</v>
      </c>
    </row>
    <row r="298" spans="12:14">
      <c r="L298" s="250">
        <v>57.600000000000421</v>
      </c>
      <c r="M298" s="250">
        <v>0.99600900000000003</v>
      </c>
      <c r="N298" s="250">
        <v>1.0852459999999999</v>
      </c>
    </row>
    <row r="299" spans="12:14">
      <c r="L299" s="250">
        <v>57.700000000000422</v>
      </c>
      <c r="M299" s="250">
        <v>0.99524199999999996</v>
      </c>
      <c r="N299" s="250">
        <v>1.084341</v>
      </c>
    </row>
    <row r="300" spans="12:14">
      <c r="L300" s="250">
        <v>57.800000000000423</v>
      </c>
      <c r="M300" s="250">
        <v>0.99447799999999997</v>
      </c>
      <c r="N300" s="250">
        <v>1.083439</v>
      </c>
    </row>
    <row r="301" spans="12:14">
      <c r="L301" s="250">
        <v>57.900000000000425</v>
      </c>
      <c r="M301" s="250">
        <v>0.99371600000000004</v>
      </c>
      <c r="N301" s="250">
        <v>1.0825389999999999</v>
      </c>
    </row>
    <row r="302" spans="12:14">
      <c r="L302" s="250">
        <v>58.000000000000426</v>
      </c>
      <c r="M302" s="250">
        <v>0.99295599999999995</v>
      </c>
      <c r="N302" s="250">
        <v>1.0816429999999999</v>
      </c>
    </row>
    <row r="303" spans="12:14">
      <c r="L303" s="250">
        <v>58.100000000000428</v>
      </c>
      <c r="M303" s="250">
        <v>0.99219800000000002</v>
      </c>
      <c r="N303" s="250">
        <v>1.080748</v>
      </c>
    </row>
    <row r="304" spans="12:14">
      <c r="L304" s="250">
        <v>58.200000000000429</v>
      </c>
      <c r="M304" s="250">
        <v>0.99144200000000005</v>
      </c>
      <c r="N304" s="250">
        <v>1.0798570000000001</v>
      </c>
    </row>
    <row r="305" spans="12:14">
      <c r="L305" s="250">
        <v>58.300000000000431</v>
      </c>
      <c r="M305" s="250">
        <v>0.99068900000000004</v>
      </c>
      <c r="N305" s="250">
        <v>1.0789679999999999</v>
      </c>
    </row>
    <row r="306" spans="12:14">
      <c r="L306" s="250">
        <v>58.400000000000432</v>
      </c>
      <c r="M306" s="250">
        <v>0.98993699999999996</v>
      </c>
      <c r="N306" s="250">
        <v>1.0780810000000001</v>
      </c>
    </row>
    <row r="307" spans="12:14">
      <c r="L307" s="250">
        <v>58.500000000000433</v>
      </c>
      <c r="M307" s="250">
        <v>0.98918799999999996</v>
      </c>
      <c r="N307" s="250">
        <v>1.0771980000000001</v>
      </c>
    </row>
    <row r="308" spans="12:14">
      <c r="L308" s="250">
        <v>58.600000000000435</v>
      </c>
      <c r="M308" s="250">
        <v>0.98844100000000001</v>
      </c>
      <c r="N308" s="250">
        <v>1.0763160000000001</v>
      </c>
    </row>
    <row r="309" spans="12:14">
      <c r="L309" s="250">
        <v>58.700000000000436</v>
      </c>
      <c r="M309" s="250">
        <v>0.98769700000000005</v>
      </c>
      <c r="N309" s="250">
        <v>1.0754379999999999</v>
      </c>
    </row>
    <row r="310" spans="12:14">
      <c r="L310" s="250">
        <v>58.800000000000438</v>
      </c>
      <c r="M310" s="250">
        <v>0.986954</v>
      </c>
      <c r="N310" s="250">
        <v>1.074562</v>
      </c>
    </row>
    <row r="311" spans="12:14">
      <c r="L311" s="250">
        <v>58.900000000000439</v>
      </c>
      <c r="M311" s="250">
        <v>0.98621400000000004</v>
      </c>
      <c r="N311" s="250">
        <v>1.0736889999999999</v>
      </c>
    </row>
    <row r="312" spans="12:14">
      <c r="L312" s="250">
        <v>59.000000000000441</v>
      </c>
      <c r="M312" s="250">
        <v>0.98547499999999999</v>
      </c>
      <c r="N312" s="250">
        <v>1.072818</v>
      </c>
    </row>
    <row r="313" spans="12:14">
      <c r="L313" s="250">
        <v>59.100000000000442</v>
      </c>
      <c r="M313" s="250">
        <v>0.98473900000000003</v>
      </c>
      <c r="N313" s="250">
        <v>1.071949</v>
      </c>
    </row>
    <row r="314" spans="12:14">
      <c r="L314" s="250">
        <v>59.200000000000443</v>
      </c>
      <c r="M314" s="250">
        <v>0.98400500000000002</v>
      </c>
      <c r="N314" s="250">
        <v>1.0710839999999999</v>
      </c>
    </row>
    <row r="315" spans="12:14">
      <c r="L315" s="250">
        <v>59.300000000000445</v>
      </c>
      <c r="M315" s="250">
        <v>0.98327299999999995</v>
      </c>
      <c r="N315" s="250">
        <v>1.0702199999999999</v>
      </c>
    </row>
    <row r="316" spans="12:14">
      <c r="L316" s="250">
        <v>59.400000000000446</v>
      </c>
      <c r="M316" s="250">
        <v>0.98254300000000006</v>
      </c>
      <c r="N316" s="250">
        <v>1.0693600000000001</v>
      </c>
    </row>
    <row r="317" spans="12:14">
      <c r="L317" s="250">
        <v>59.500000000000448</v>
      </c>
      <c r="M317" s="250">
        <v>0.98181499999999999</v>
      </c>
      <c r="N317" s="250">
        <v>1.0685009999999999</v>
      </c>
    </row>
    <row r="318" spans="12:14">
      <c r="L318" s="250">
        <v>59.600000000000449</v>
      </c>
      <c r="M318" s="250">
        <v>0.98108899999999999</v>
      </c>
      <c r="N318" s="250">
        <v>1.067645</v>
      </c>
    </row>
    <row r="319" spans="12:14">
      <c r="L319" s="250">
        <v>59.70000000000045</v>
      </c>
      <c r="M319" s="250">
        <v>0.98036500000000004</v>
      </c>
      <c r="N319" s="250">
        <v>1.066792</v>
      </c>
    </row>
    <row r="320" spans="12:14">
      <c r="L320" s="250">
        <v>59.800000000000452</v>
      </c>
      <c r="M320" s="250">
        <v>0.97964300000000004</v>
      </c>
      <c r="N320" s="250">
        <v>1.065941</v>
      </c>
    </row>
    <row r="321" spans="12:14">
      <c r="L321" s="250">
        <v>59.900000000000453</v>
      </c>
      <c r="M321" s="250">
        <v>0.97892299999999999</v>
      </c>
      <c r="N321" s="250">
        <v>1.0650930000000001</v>
      </c>
    </row>
    <row r="322" spans="12:14">
      <c r="L322" s="250">
        <v>60.000000000000455</v>
      </c>
      <c r="M322" s="250">
        <v>0.97820499999999999</v>
      </c>
      <c r="N322" s="250">
        <v>1.0642469999999999</v>
      </c>
    </row>
    <row r="323" spans="12:14">
      <c r="L323" s="250">
        <v>60.100000000000456</v>
      </c>
      <c r="M323" s="250">
        <v>0.97748999999999997</v>
      </c>
      <c r="N323" s="250">
        <v>1.0634030000000001</v>
      </c>
    </row>
    <row r="324" spans="12:14">
      <c r="L324" s="250">
        <v>60.200000000000458</v>
      </c>
      <c r="M324" s="250">
        <v>0.97677599999999998</v>
      </c>
      <c r="N324" s="250">
        <v>1.062562</v>
      </c>
    </row>
    <row r="325" spans="12:14">
      <c r="L325" s="250">
        <v>60.300000000000459</v>
      </c>
      <c r="M325" s="250">
        <v>0.97606400000000004</v>
      </c>
      <c r="N325" s="250">
        <v>1.061723</v>
      </c>
    </row>
    <row r="326" spans="12:14">
      <c r="L326" s="250">
        <v>60.40000000000046</v>
      </c>
      <c r="M326" s="250">
        <v>0.97535400000000005</v>
      </c>
      <c r="N326" s="250">
        <v>1.0608869999999999</v>
      </c>
    </row>
    <row r="327" spans="12:14">
      <c r="L327" s="250">
        <v>60.500000000000462</v>
      </c>
      <c r="M327" s="250">
        <v>0.97464700000000004</v>
      </c>
      <c r="N327" s="250">
        <v>1.0600529999999999</v>
      </c>
    </row>
    <row r="328" spans="12:14">
      <c r="L328" s="250">
        <v>60.600000000000463</v>
      </c>
      <c r="M328" s="250">
        <v>0.97394099999999995</v>
      </c>
      <c r="N328" s="250">
        <v>1.059221</v>
      </c>
    </row>
    <row r="329" spans="12:14">
      <c r="L329" s="250">
        <v>60.700000000000465</v>
      </c>
      <c r="M329" s="250">
        <v>0.97323700000000002</v>
      </c>
      <c r="N329" s="250">
        <v>1.058392</v>
      </c>
    </row>
    <row r="330" spans="12:14">
      <c r="L330" s="250">
        <v>60.800000000000466</v>
      </c>
      <c r="M330" s="250">
        <v>0.97253500000000004</v>
      </c>
      <c r="N330" s="250">
        <v>1.0575650000000001</v>
      </c>
    </row>
    <row r="331" spans="12:14">
      <c r="L331" s="250">
        <v>60.900000000000468</v>
      </c>
      <c r="M331" s="250">
        <v>0.971835</v>
      </c>
      <c r="N331" s="250">
        <v>1.0567409999999999</v>
      </c>
    </row>
    <row r="332" spans="12:14">
      <c r="L332" s="250">
        <v>61.000000000000469</v>
      </c>
      <c r="M332" s="250">
        <v>0.97113700000000003</v>
      </c>
      <c r="N332" s="250">
        <v>1.0559179999999999</v>
      </c>
    </row>
    <row r="333" spans="12:14">
      <c r="L333" s="250">
        <v>61.10000000000047</v>
      </c>
      <c r="M333" s="250">
        <v>0.970441</v>
      </c>
      <c r="N333" s="250">
        <v>1.0550980000000001</v>
      </c>
    </row>
    <row r="334" spans="12:14">
      <c r="L334" s="250">
        <v>61.200000000000472</v>
      </c>
      <c r="M334" s="250">
        <v>0.96974700000000003</v>
      </c>
      <c r="N334" s="250">
        <v>1.054281</v>
      </c>
    </row>
    <row r="335" spans="12:14">
      <c r="L335" s="250">
        <v>61.300000000000473</v>
      </c>
      <c r="M335" s="250">
        <v>0.96905399999999997</v>
      </c>
      <c r="N335" s="250">
        <v>1.0534650000000001</v>
      </c>
    </row>
    <row r="336" spans="12:14">
      <c r="L336" s="250">
        <v>61.400000000000475</v>
      </c>
      <c r="M336" s="250">
        <v>0.968364</v>
      </c>
      <c r="N336" s="250">
        <v>1.0526519999999999</v>
      </c>
    </row>
    <row r="337" spans="12:14">
      <c r="L337" s="250">
        <v>61.500000000000476</v>
      </c>
      <c r="M337" s="250">
        <v>0.96767499999999995</v>
      </c>
      <c r="N337" s="250">
        <v>1.051841</v>
      </c>
    </row>
    <row r="338" spans="12:14">
      <c r="L338" s="250">
        <v>61.600000000000477</v>
      </c>
      <c r="M338" s="250">
        <v>0.96698899999999999</v>
      </c>
      <c r="N338" s="250">
        <v>1.0510330000000001</v>
      </c>
    </row>
    <row r="339" spans="12:14">
      <c r="L339" s="250">
        <v>61.700000000000479</v>
      </c>
      <c r="M339" s="250">
        <v>0.96630400000000005</v>
      </c>
      <c r="N339" s="250">
        <v>1.050227</v>
      </c>
    </row>
    <row r="340" spans="12:14">
      <c r="L340" s="250">
        <v>61.80000000000048</v>
      </c>
      <c r="M340" s="250">
        <v>0.96562099999999995</v>
      </c>
      <c r="N340" s="250">
        <v>1.049423</v>
      </c>
    </row>
    <row r="341" spans="12:14">
      <c r="L341" s="250">
        <v>61.900000000000482</v>
      </c>
      <c r="M341" s="250">
        <v>0.96494000000000002</v>
      </c>
      <c r="N341" s="250">
        <v>1.048621</v>
      </c>
    </row>
    <row r="342" spans="12:14">
      <c r="L342" s="250">
        <v>62.000000000000483</v>
      </c>
      <c r="M342" s="250">
        <v>0.96426100000000003</v>
      </c>
      <c r="N342" s="250">
        <v>1.0478209999999999</v>
      </c>
    </row>
    <row r="343" spans="12:14">
      <c r="L343" s="250">
        <v>62.100000000000485</v>
      </c>
      <c r="M343" s="250">
        <v>0.96358299999999997</v>
      </c>
      <c r="N343" s="250">
        <v>1.047024</v>
      </c>
    </row>
    <row r="344" spans="12:14">
      <c r="L344" s="250">
        <v>62.200000000000486</v>
      </c>
      <c r="M344" s="250">
        <v>0.96290799999999999</v>
      </c>
      <c r="N344" s="250">
        <v>1.0462279999999999</v>
      </c>
    </row>
    <row r="345" spans="12:14">
      <c r="L345" s="250">
        <v>62.300000000000487</v>
      </c>
      <c r="M345" s="250">
        <v>0.96223400000000003</v>
      </c>
      <c r="N345" s="250">
        <v>1.0454349999999999</v>
      </c>
    </row>
    <row r="346" spans="12:14">
      <c r="L346" s="250">
        <v>62.400000000000489</v>
      </c>
      <c r="M346" s="250">
        <v>0.96156200000000003</v>
      </c>
      <c r="N346" s="250">
        <v>1.044645</v>
      </c>
    </row>
    <row r="347" spans="12:14">
      <c r="L347" s="250">
        <v>62.50000000000049</v>
      </c>
      <c r="M347" s="250">
        <v>0.96089199999999997</v>
      </c>
      <c r="N347" s="250">
        <v>1.0438559999999999</v>
      </c>
    </row>
    <row r="348" spans="12:14">
      <c r="L348" s="250">
        <v>62.600000000000492</v>
      </c>
      <c r="M348" s="250">
        <v>0.96022399999999997</v>
      </c>
      <c r="N348" s="250">
        <v>1.043069</v>
      </c>
    </row>
    <row r="349" spans="12:14">
      <c r="L349" s="250">
        <v>62.700000000000493</v>
      </c>
      <c r="M349" s="250">
        <v>0.95955699999999999</v>
      </c>
      <c r="N349" s="250">
        <v>1.0422849999999999</v>
      </c>
    </row>
    <row r="350" spans="12:14">
      <c r="L350" s="250">
        <v>62.800000000000495</v>
      </c>
      <c r="M350" s="250">
        <v>0.95889199999999997</v>
      </c>
      <c r="N350" s="250">
        <v>1.0415030000000001</v>
      </c>
    </row>
    <row r="351" spans="12:14">
      <c r="L351" s="250">
        <v>62.900000000000496</v>
      </c>
      <c r="M351" s="250">
        <v>0.958229</v>
      </c>
      <c r="N351" s="250">
        <v>1.0407230000000001</v>
      </c>
    </row>
    <row r="352" spans="12:14">
      <c r="L352" s="250">
        <v>63.000000000000497</v>
      </c>
      <c r="M352" s="250">
        <v>0.95756799999999997</v>
      </c>
      <c r="N352" s="250">
        <v>1.0399449999999999</v>
      </c>
    </row>
    <row r="353" spans="12:14">
      <c r="L353" s="250">
        <v>63.100000000000499</v>
      </c>
      <c r="M353" s="250">
        <v>0.95690900000000001</v>
      </c>
      <c r="N353" s="250">
        <v>1.039169</v>
      </c>
    </row>
    <row r="354" spans="12:14">
      <c r="L354" s="250">
        <v>63.2000000000005</v>
      </c>
      <c r="M354" s="250">
        <v>0.95625099999999996</v>
      </c>
      <c r="N354" s="250">
        <v>1.038395</v>
      </c>
    </row>
    <row r="355" spans="12:14">
      <c r="L355" s="250">
        <v>63.300000000000502</v>
      </c>
      <c r="M355" s="250">
        <v>0.95559499999999997</v>
      </c>
      <c r="N355" s="250">
        <v>1.037623</v>
      </c>
    </row>
    <row r="356" spans="12:14">
      <c r="L356" s="250">
        <v>63.400000000000503</v>
      </c>
      <c r="M356" s="250">
        <v>0.95494100000000004</v>
      </c>
      <c r="N356" s="250">
        <v>1.0368539999999999</v>
      </c>
    </row>
    <row r="357" spans="12:14">
      <c r="L357" s="250">
        <v>63.500000000000504</v>
      </c>
      <c r="M357" s="250">
        <v>0.95428800000000003</v>
      </c>
      <c r="N357" s="250">
        <v>1.0360860000000001</v>
      </c>
    </row>
    <row r="358" spans="12:14">
      <c r="L358" s="250">
        <v>63.600000000000506</v>
      </c>
      <c r="M358" s="250">
        <v>0.95363699999999996</v>
      </c>
      <c r="N358" s="250">
        <v>1.0353209999999999</v>
      </c>
    </row>
    <row r="359" spans="12:14">
      <c r="L359" s="250">
        <v>63.700000000000507</v>
      </c>
      <c r="M359" s="250">
        <v>0.95298799999999995</v>
      </c>
      <c r="N359" s="250">
        <v>1.0345580000000001</v>
      </c>
    </row>
    <row r="360" spans="12:14">
      <c r="L360" s="250">
        <v>63.800000000000509</v>
      </c>
      <c r="M360" s="250">
        <v>0.95234099999999999</v>
      </c>
      <c r="N360" s="250">
        <v>1.0337959999999999</v>
      </c>
    </row>
    <row r="361" spans="12:14">
      <c r="L361" s="250">
        <v>63.90000000000051</v>
      </c>
      <c r="M361" s="250">
        <v>0.95169499999999996</v>
      </c>
      <c r="N361" s="250">
        <v>1.033037</v>
      </c>
    </row>
    <row r="362" spans="12:14">
      <c r="L362" s="250">
        <v>64.000000000000512</v>
      </c>
      <c r="M362" s="250">
        <v>0.95105099999999998</v>
      </c>
      <c r="N362" s="250">
        <v>1.0322800000000001</v>
      </c>
    </row>
    <row r="363" spans="12:14">
      <c r="L363" s="250">
        <v>64.100000000000506</v>
      </c>
      <c r="M363" s="250">
        <v>0.95040899999999995</v>
      </c>
      <c r="N363" s="250">
        <v>1.0315240000000001</v>
      </c>
    </row>
    <row r="364" spans="12:14">
      <c r="L364" s="250">
        <v>64.2000000000005</v>
      </c>
      <c r="M364" s="250">
        <v>0.94976799999999995</v>
      </c>
      <c r="N364" s="250">
        <v>1.0307710000000001</v>
      </c>
    </row>
    <row r="365" spans="12:14">
      <c r="L365" s="250">
        <v>64.300000000000495</v>
      </c>
      <c r="M365" s="250">
        <v>0.949129</v>
      </c>
      <c r="N365" s="250">
        <v>1.0300199999999999</v>
      </c>
    </row>
    <row r="366" spans="12:14">
      <c r="L366" s="250">
        <v>64.400000000000489</v>
      </c>
      <c r="M366" s="250">
        <v>0.948492</v>
      </c>
      <c r="N366" s="250">
        <v>1.029271</v>
      </c>
    </row>
    <row r="367" spans="12:14">
      <c r="L367" s="250">
        <v>64.500000000000483</v>
      </c>
      <c r="M367" s="250">
        <v>0.94785600000000003</v>
      </c>
      <c r="N367" s="250">
        <v>1.0285230000000001</v>
      </c>
    </row>
    <row r="368" spans="12:14">
      <c r="L368" s="250">
        <v>64.600000000000477</v>
      </c>
      <c r="M368" s="250">
        <v>0.94722200000000001</v>
      </c>
      <c r="N368" s="250">
        <v>1.0277780000000001</v>
      </c>
    </row>
    <row r="369" spans="12:14">
      <c r="L369" s="250">
        <v>64.700000000000472</v>
      </c>
      <c r="M369" s="250">
        <v>0.94659000000000004</v>
      </c>
      <c r="N369" s="250">
        <v>1.0270349999999999</v>
      </c>
    </row>
    <row r="370" spans="12:14">
      <c r="L370" s="250">
        <v>64.800000000000466</v>
      </c>
      <c r="M370" s="250">
        <v>0.94595899999999999</v>
      </c>
      <c r="N370" s="250">
        <v>1.0262929999999999</v>
      </c>
    </row>
    <row r="371" spans="12:14">
      <c r="L371" s="250">
        <v>64.90000000000046</v>
      </c>
      <c r="M371" s="250">
        <v>0.94533</v>
      </c>
      <c r="N371" s="250">
        <v>1.0255540000000001</v>
      </c>
    </row>
    <row r="372" spans="12:14">
      <c r="L372" s="250">
        <v>65.000000000000455</v>
      </c>
      <c r="M372" s="250">
        <v>0.94470200000000004</v>
      </c>
      <c r="N372" s="250">
        <v>1.0248159999999999</v>
      </c>
    </row>
    <row r="373" spans="12:14">
      <c r="L373" s="250">
        <v>65.100000000000449</v>
      </c>
      <c r="M373" s="250">
        <v>0.94407700000000006</v>
      </c>
      <c r="N373" s="250">
        <v>1.024081</v>
      </c>
    </row>
    <row r="374" spans="12:14">
      <c r="L374" s="250">
        <v>65.200000000000443</v>
      </c>
      <c r="M374" s="250">
        <v>0.94345199999999996</v>
      </c>
      <c r="N374" s="250">
        <v>1.023347</v>
      </c>
    </row>
    <row r="375" spans="12:14">
      <c r="L375" s="250">
        <v>65.300000000000438</v>
      </c>
      <c r="M375" s="250">
        <v>0.94282999999999995</v>
      </c>
      <c r="N375" s="250">
        <v>1.022616</v>
      </c>
    </row>
    <row r="376" spans="12:14">
      <c r="L376" s="250">
        <v>65.400000000000432</v>
      </c>
      <c r="M376" s="250">
        <v>0.94220899999999996</v>
      </c>
      <c r="N376" s="250">
        <v>1.0218860000000001</v>
      </c>
    </row>
    <row r="377" spans="12:14">
      <c r="L377" s="250">
        <v>65.500000000000426</v>
      </c>
      <c r="M377" s="250">
        <v>0.94158900000000001</v>
      </c>
      <c r="N377" s="250">
        <v>1.021158</v>
      </c>
    </row>
    <row r="378" spans="12:14">
      <c r="L378" s="250">
        <v>65.600000000000421</v>
      </c>
      <c r="M378" s="250">
        <v>0.940971</v>
      </c>
      <c r="N378" s="250">
        <v>1.020432</v>
      </c>
    </row>
    <row r="379" spans="12:14">
      <c r="L379" s="250">
        <v>65.700000000000415</v>
      </c>
      <c r="M379" s="250">
        <v>0.94035500000000005</v>
      </c>
      <c r="N379" s="250">
        <v>1.0197080000000001</v>
      </c>
    </row>
    <row r="380" spans="12:14">
      <c r="L380" s="250">
        <v>65.800000000000409</v>
      </c>
      <c r="M380" s="250">
        <v>0.93974000000000002</v>
      </c>
      <c r="N380" s="250">
        <v>1.0189859999999999</v>
      </c>
    </row>
    <row r="381" spans="12:14">
      <c r="L381" s="250">
        <v>65.900000000000404</v>
      </c>
      <c r="M381" s="250">
        <v>0.93912700000000005</v>
      </c>
      <c r="N381" s="250">
        <v>1.018265</v>
      </c>
    </row>
    <row r="382" spans="12:14">
      <c r="L382" s="250">
        <v>66.000000000000398</v>
      </c>
      <c r="M382" s="250">
        <v>0.93851499999999999</v>
      </c>
      <c r="N382" s="250">
        <v>1.017547</v>
      </c>
    </row>
    <row r="383" spans="12:14">
      <c r="L383" s="250">
        <v>66.100000000000392</v>
      </c>
      <c r="M383" s="250">
        <v>0.93790499999999999</v>
      </c>
      <c r="N383" s="250">
        <v>1.0168299999999999</v>
      </c>
    </row>
    <row r="384" spans="12:14">
      <c r="L384" s="250">
        <v>66.200000000000387</v>
      </c>
      <c r="M384" s="250">
        <v>0.93729600000000002</v>
      </c>
      <c r="N384" s="250">
        <v>1.0161150000000001</v>
      </c>
    </row>
    <row r="385" spans="12:14">
      <c r="L385" s="250">
        <v>66.300000000000381</v>
      </c>
      <c r="M385" s="250">
        <v>0.93668899999999999</v>
      </c>
      <c r="N385" s="250">
        <v>1.0154019999999999</v>
      </c>
    </row>
    <row r="386" spans="12:14">
      <c r="L386" s="250">
        <v>66.400000000000375</v>
      </c>
      <c r="M386" s="250">
        <v>0.936083</v>
      </c>
      <c r="N386" s="250">
        <v>1.014691</v>
      </c>
    </row>
    <row r="387" spans="12:14">
      <c r="L387" s="250">
        <v>66.500000000000369</v>
      </c>
      <c r="M387" s="250">
        <v>0.93547899999999995</v>
      </c>
      <c r="N387" s="250">
        <v>1.0139819999999999</v>
      </c>
    </row>
    <row r="388" spans="12:14">
      <c r="L388" s="250">
        <v>66.600000000000364</v>
      </c>
      <c r="M388" s="250">
        <v>0.93487699999999996</v>
      </c>
      <c r="N388" s="250">
        <v>1.013274</v>
      </c>
    </row>
    <row r="389" spans="12:14">
      <c r="L389" s="250">
        <v>66.700000000000358</v>
      </c>
      <c r="M389" s="250">
        <v>0.934276</v>
      </c>
      <c r="N389" s="250">
        <v>1.0125690000000001</v>
      </c>
    </row>
    <row r="390" spans="12:14">
      <c r="L390" s="250">
        <v>66.800000000000352</v>
      </c>
      <c r="M390" s="250">
        <v>0.93367599999999995</v>
      </c>
      <c r="N390" s="250">
        <v>1.011865</v>
      </c>
    </row>
    <row r="391" spans="12:14">
      <c r="L391" s="250">
        <v>66.900000000000347</v>
      </c>
      <c r="M391" s="250">
        <v>0.93307799999999996</v>
      </c>
      <c r="N391" s="250">
        <v>1.011163</v>
      </c>
    </row>
    <row r="392" spans="12:14">
      <c r="L392" s="250">
        <v>67.000000000000341</v>
      </c>
      <c r="M392" s="250">
        <v>0.93248200000000003</v>
      </c>
      <c r="N392" s="250">
        <v>1.010462</v>
      </c>
    </row>
    <row r="393" spans="12:14">
      <c r="L393" s="250">
        <v>67.100000000000335</v>
      </c>
      <c r="M393" s="250">
        <v>0.93188700000000002</v>
      </c>
      <c r="N393" s="250">
        <v>1.0097640000000001</v>
      </c>
    </row>
    <row r="394" spans="12:14">
      <c r="L394" s="250">
        <v>67.20000000000033</v>
      </c>
      <c r="M394" s="250">
        <v>0.93129300000000004</v>
      </c>
      <c r="N394" s="250">
        <v>1.0090669999999999</v>
      </c>
    </row>
    <row r="395" spans="12:14">
      <c r="L395" s="250">
        <v>67.300000000000324</v>
      </c>
      <c r="M395" s="250">
        <v>0.930701</v>
      </c>
      <c r="N395" s="250">
        <v>1.008372</v>
      </c>
    </row>
    <row r="396" spans="12:14">
      <c r="L396" s="250">
        <v>67.400000000000318</v>
      </c>
      <c r="M396" s="250">
        <v>0.93010999999999999</v>
      </c>
      <c r="N396" s="250">
        <v>1.007679</v>
      </c>
    </row>
    <row r="397" spans="12:14">
      <c r="L397" s="250">
        <v>67.500000000000313</v>
      </c>
      <c r="M397" s="250">
        <v>0.92952100000000004</v>
      </c>
      <c r="N397" s="250">
        <v>1.0069870000000001</v>
      </c>
    </row>
    <row r="398" spans="12:14">
      <c r="L398" s="250">
        <v>67.600000000000307</v>
      </c>
      <c r="M398" s="250">
        <v>0.92893300000000001</v>
      </c>
      <c r="N398" s="250">
        <v>1.006297</v>
      </c>
    </row>
    <row r="399" spans="12:14">
      <c r="L399" s="250">
        <v>67.700000000000301</v>
      </c>
      <c r="M399" s="250">
        <v>0.92834700000000003</v>
      </c>
      <c r="N399" s="250">
        <v>1.005609</v>
      </c>
    </row>
    <row r="400" spans="12:14">
      <c r="L400" s="250">
        <v>67.800000000000296</v>
      </c>
      <c r="M400" s="250">
        <v>0.92776199999999998</v>
      </c>
      <c r="N400" s="250">
        <v>1.004923</v>
      </c>
    </row>
    <row r="401" spans="12:14">
      <c r="L401" s="250">
        <v>67.90000000000029</v>
      </c>
      <c r="M401" s="250">
        <v>0.92717899999999998</v>
      </c>
      <c r="N401" s="250">
        <v>1.0042390000000001</v>
      </c>
    </row>
    <row r="402" spans="12:14">
      <c r="L402" s="250">
        <v>68.000000000000284</v>
      </c>
      <c r="M402" s="250">
        <v>0.926597</v>
      </c>
      <c r="N402" s="250">
        <v>1.0035559999999999</v>
      </c>
    </row>
    <row r="403" spans="12:14">
      <c r="L403" s="250">
        <v>68.100000000000279</v>
      </c>
      <c r="M403" s="250">
        <v>0.92601599999999995</v>
      </c>
      <c r="N403" s="250">
        <v>1.002874</v>
      </c>
    </row>
    <row r="404" spans="12:14">
      <c r="L404" s="250">
        <v>68.200000000000273</v>
      </c>
      <c r="M404" s="250">
        <v>0.92543699999999995</v>
      </c>
      <c r="N404" s="250">
        <v>1.0021949999999999</v>
      </c>
    </row>
    <row r="405" spans="12:14">
      <c r="L405" s="250">
        <v>68.300000000000267</v>
      </c>
      <c r="M405" s="250">
        <v>0.92485899999999999</v>
      </c>
      <c r="N405" s="250">
        <v>1.001517</v>
      </c>
    </row>
    <row r="406" spans="12:14">
      <c r="L406" s="250">
        <v>68.400000000000261</v>
      </c>
      <c r="M406" s="250">
        <v>0.92428299999999997</v>
      </c>
      <c r="N406" s="250">
        <v>1.0008410000000001</v>
      </c>
    </row>
    <row r="407" spans="12:14">
      <c r="L407" s="250">
        <v>68.500000000000256</v>
      </c>
      <c r="M407" s="250">
        <v>0.92370799999999997</v>
      </c>
      <c r="N407" s="250">
        <v>1.000167</v>
      </c>
    </row>
    <row r="408" spans="12:14">
      <c r="L408" s="250">
        <v>68.60000000000025</v>
      </c>
      <c r="M408" s="250">
        <v>0.92313400000000001</v>
      </c>
      <c r="N408" s="250">
        <v>0.99949399999999999</v>
      </c>
    </row>
    <row r="409" spans="12:14">
      <c r="L409" s="250">
        <v>68.700000000000244</v>
      </c>
      <c r="M409" s="250">
        <v>0.92256199999999999</v>
      </c>
      <c r="N409" s="250">
        <v>0.99882300000000002</v>
      </c>
    </row>
    <row r="410" spans="12:14">
      <c r="L410" s="250">
        <v>68.800000000000239</v>
      </c>
      <c r="M410" s="250">
        <v>0.921991</v>
      </c>
      <c r="N410" s="250">
        <v>0.99815299999999996</v>
      </c>
    </row>
    <row r="411" spans="12:14">
      <c r="L411" s="250">
        <v>68.900000000000233</v>
      </c>
      <c r="M411" s="250">
        <v>0.92142199999999996</v>
      </c>
      <c r="N411" s="250">
        <v>0.99748599999999998</v>
      </c>
    </row>
    <row r="412" spans="12:14">
      <c r="L412" s="250">
        <v>69.000000000000227</v>
      </c>
      <c r="M412" s="250">
        <v>0.92085399999999995</v>
      </c>
      <c r="N412" s="250">
        <v>0.99681900000000001</v>
      </c>
    </row>
    <row r="413" spans="12:14">
      <c r="L413" s="250">
        <v>69.100000000000222</v>
      </c>
      <c r="M413" s="250">
        <v>0.92028699999999997</v>
      </c>
      <c r="N413" s="250">
        <v>0.99615500000000001</v>
      </c>
    </row>
    <row r="414" spans="12:14">
      <c r="L414" s="250">
        <v>69.200000000000216</v>
      </c>
      <c r="M414" s="250">
        <v>0.91972200000000004</v>
      </c>
      <c r="N414" s="250">
        <v>0.99549200000000004</v>
      </c>
    </row>
    <row r="415" spans="12:14">
      <c r="L415" s="250">
        <v>69.30000000000021</v>
      </c>
      <c r="M415" s="250">
        <v>0.91915800000000003</v>
      </c>
      <c r="N415" s="250">
        <v>0.99483100000000002</v>
      </c>
    </row>
    <row r="416" spans="12:14">
      <c r="L416" s="250">
        <v>69.400000000000205</v>
      </c>
      <c r="M416" s="250">
        <v>0.981595</v>
      </c>
      <c r="N416" s="250">
        <v>0.99417100000000003</v>
      </c>
    </row>
    <row r="417" spans="12:14">
      <c r="L417" s="250">
        <v>69.500000000000199</v>
      </c>
      <c r="M417" s="250">
        <v>0.91803400000000002</v>
      </c>
      <c r="N417" s="250">
        <v>0.99351299999999998</v>
      </c>
    </row>
    <row r="418" spans="12:14">
      <c r="L418" s="250">
        <v>69.600000000000193</v>
      </c>
      <c r="M418" s="250">
        <v>0.91747400000000001</v>
      </c>
      <c r="N418" s="250">
        <v>0.99285699999999999</v>
      </c>
    </row>
    <row r="419" spans="12:14">
      <c r="L419" s="250">
        <v>69.700000000000188</v>
      </c>
      <c r="M419" s="250">
        <v>0.91691599999999995</v>
      </c>
      <c r="N419" s="250">
        <v>0.99220200000000003</v>
      </c>
    </row>
    <row r="420" spans="12:14">
      <c r="L420" s="250">
        <v>69.800000000000182</v>
      </c>
      <c r="M420" s="250">
        <v>0.91635800000000001</v>
      </c>
      <c r="N420" s="250">
        <v>0.99154799999999998</v>
      </c>
    </row>
    <row r="421" spans="12:14">
      <c r="L421" s="250">
        <v>69.900000000000176</v>
      </c>
      <c r="M421" s="250">
        <v>0.91580300000000003</v>
      </c>
      <c r="N421" s="250">
        <v>0.99089700000000003</v>
      </c>
    </row>
    <row r="422" spans="12:14">
      <c r="L422" s="250">
        <v>70.000000000000171</v>
      </c>
      <c r="M422" s="250">
        <v>0.91524799999999995</v>
      </c>
      <c r="N422" s="250">
        <v>0.99024699999999999</v>
      </c>
    </row>
    <row r="423" spans="12:14">
      <c r="L423" s="250">
        <v>70.100000000000165</v>
      </c>
      <c r="M423" s="250">
        <v>0.91469500000000004</v>
      </c>
      <c r="N423" s="250">
        <v>0.98959799999999998</v>
      </c>
    </row>
    <row r="424" spans="12:14">
      <c r="L424" s="250">
        <v>70.200000000000159</v>
      </c>
      <c r="M424" s="250">
        <v>0.91414300000000004</v>
      </c>
      <c r="N424" s="250">
        <v>0.98895100000000002</v>
      </c>
    </row>
    <row r="425" spans="12:14">
      <c r="L425" s="250">
        <v>70.300000000000153</v>
      </c>
      <c r="M425" s="250">
        <v>0.91359199999999996</v>
      </c>
      <c r="N425" s="250">
        <v>0.98830600000000002</v>
      </c>
    </row>
    <row r="426" spans="12:14">
      <c r="L426" s="250">
        <v>70.400000000000148</v>
      </c>
      <c r="M426" s="250">
        <v>0.91304200000000002</v>
      </c>
      <c r="N426" s="250">
        <v>0.98766200000000004</v>
      </c>
    </row>
    <row r="427" spans="12:14">
      <c r="L427" s="250">
        <v>70.500000000000142</v>
      </c>
      <c r="M427" s="250">
        <v>0.91249400000000003</v>
      </c>
      <c r="N427" s="250">
        <v>0.98702000000000001</v>
      </c>
    </row>
    <row r="428" spans="12:14">
      <c r="L428" s="250">
        <v>70.600000000000136</v>
      </c>
      <c r="M428" s="250">
        <v>0.91194799999999998</v>
      </c>
      <c r="N428" s="250">
        <v>0.98637900000000001</v>
      </c>
    </row>
    <row r="429" spans="12:14">
      <c r="L429" s="250">
        <v>70.700000000000131</v>
      </c>
      <c r="M429" s="250">
        <v>0.91140200000000005</v>
      </c>
      <c r="N429" s="250">
        <v>0.98573999999999995</v>
      </c>
    </row>
    <row r="430" spans="12:14">
      <c r="L430" s="250">
        <v>70.800000000000125</v>
      </c>
      <c r="M430" s="250">
        <v>0.91085799999999995</v>
      </c>
      <c r="N430" s="250">
        <v>0.98510200000000003</v>
      </c>
    </row>
    <row r="431" spans="12:14">
      <c r="L431" s="250">
        <v>70.900000000000119</v>
      </c>
      <c r="M431" s="250">
        <v>0.91031499999999999</v>
      </c>
      <c r="N431" s="250">
        <v>0.98446599999999995</v>
      </c>
    </row>
    <row r="432" spans="12:14">
      <c r="L432" s="250">
        <v>71.000000000000114</v>
      </c>
      <c r="M432" s="250">
        <v>0.90977300000000005</v>
      </c>
      <c r="N432" s="250">
        <v>0.98383100000000001</v>
      </c>
    </row>
    <row r="433" spans="12:14">
      <c r="L433" s="250">
        <v>71.100000000000108</v>
      </c>
      <c r="M433" s="250">
        <v>0.90923299999999996</v>
      </c>
      <c r="N433" s="250">
        <v>0.98319800000000002</v>
      </c>
    </row>
    <row r="434" spans="12:14">
      <c r="L434" s="250">
        <v>71.200000000000102</v>
      </c>
      <c r="M434" s="250">
        <v>0.90869299999999997</v>
      </c>
      <c r="N434" s="250">
        <v>0.98256699999999997</v>
      </c>
    </row>
    <row r="435" spans="12:14">
      <c r="L435" s="250">
        <v>71.300000000000097</v>
      </c>
      <c r="M435" s="250">
        <v>0.90815599999999996</v>
      </c>
      <c r="N435" s="250">
        <v>0.98193600000000003</v>
      </c>
    </row>
    <row r="436" spans="12:14">
      <c r="L436" s="250">
        <v>71.400000000000091</v>
      </c>
      <c r="M436" s="250">
        <v>0.90761899999999995</v>
      </c>
      <c r="N436" s="250">
        <v>0.98130799999999996</v>
      </c>
    </row>
    <row r="437" spans="12:14">
      <c r="L437" s="250">
        <v>71.500000000000085</v>
      </c>
      <c r="M437" s="250">
        <v>0.90708299999999997</v>
      </c>
      <c r="N437" s="250">
        <v>0.98068100000000002</v>
      </c>
    </row>
    <row r="438" spans="12:14">
      <c r="L438" s="250">
        <v>71.60000000000008</v>
      </c>
      <c r="M438" s="250">
        <v>0.90654900000000005</v>
      </c>
      <c r="N438" s="250">
        <v>0.98005500000000001</v>
      </c>
    </row>
    <row r="439" spans="12:14">
      <c r="L439" s="250">
        <v>71.700000000000074</v>
      </c>
      <c r="M439" s="250">
        <v>0.90601600000000004</v>
      </c>
      <c r="N439" s="250">
        <v>0.97943100000000005</v>
      </c>
    </row>
    <row r="440" spans="12:14">
      <c r="L440" s="250">
        <v>71.800000000000068</v>
      </c>
      <c r="M440" s="250">
        <v>0.90548399999999996</v>
      </c>
      <c r="N440" s="250">
        <v>0.97880800000000001</v>
      </c>
    </row>
    <row r="441" spans="12:14">
      <c r="L441" s="250">
        <v>71.900000000000063</v>
      </c>
      <c r="M441" s="250">
        <v>0.90495400000000004</v>
      </c>
      <c r="N441" s="250">
        <v>0.97818700000000003</v>
      </c>
    </row>
    <row r="442" spans="12:14">
      <c r="L442" s="250">
        <v>72.000000000000057</v>
      </c>
      <c r="M442" s="250">
        <v>0.90442500000000003</v>
      </c>
      <c r="N442" s="250">
        <v>0.97756699999999996</v>
      </c>
    </row>
    <row r="443" spans="12:14">
      <c r="L443" s="250">
        <v>72.100000000000051</v>
      </c>
      <c r="M443" s="250">
        <v>0.90389699999999995</v>
      </c>
      <c r="N443" s="250">
        <v>0.97694899999999996</v>
      </c>
    </row>
    <row r="444" spans="12:14">
      <c r="L444" s="250">
        <v>72.200000000000045</v>
      </c>
      <c r="M444" s="250">
        <v>0.90337000000000001</v>
      </c>
      <c r="N444" s="250">
        <v>0.97633199999999998</v>
      </c>
    </row>
    <row r="445" spans="12:14">
      <c r="L445" s="250">
        <v>72.30000000000004</v>
      </c>
      <c r="M445" s="250">
        <v>0.90284399999999998</v>
      </c>
      <c r="N445" s="250">
        <v>0.97571600000000003</v>
      </c>
    </row>
    <row r="446" spans="12:14">
      <c r="L446" s="250">
        <v>72.400000000000034</v>
      </c>
      <c r="M446" s="250">
        <v>0.90231899999999998</v>
      </c>
      <c r="N446" s="250">
        <v>0.97510200000000002</v>
      </c>
    </row>
    <row r="447" spans="12:14">
      <c r="L447" s="250">
        <v>72.500000000000028</v>
      </c>
      <c r="M447" s="250">
        <v>0.90179600000000004</v>
      </c>
      <c r="N447" s="250">
        <v>0.97448999999999997</v>
      </c>
    </row>
    <row r="448" spans="12:14">
      <c r="L448" s="250">
        <v>72.600000000000023</v>
      </c>
      <c r="M448" s="250">
        <v>0.90127400000000002</v>
      </c>
      <c r="N448" s="250">
        <v>0.97387800000000002</v>
      </c>
    </row>
    <row r="449" spans="12:14">
      <c r="L449" s="250">
        <v>72.700000000000017</v>
      </c>
      <c r="M449" s="250">
        <v>0.90075300000000003</v>
      </c>
      <c r="N449" s="250">
        <v>0.97326900000000005</v>
      </c>
    </row>
    <row r="450" spans="12:14">
      <c r="L450" s="250">
        <v>72.800000000000011</v>
      </c>
      <c r="M450" s="250">
        <v>0.90023399999999998</v>
      </c>
      <c r="N450" s="250">
        <v>0.97265999999999997</v>
      </c>
    </row>
    <row r="451" spans="12:14">
      <c r="L451" s="250">
        <v>72.900000000000006</v>
      </c>
      <c r="M451" s="250">
        <v>0.89971500000000004</v>
      </c>
      <c r="N451" s="250">
        <v>0.97205299999999994</v>
      </c>
    </row>
    <row r="452" spans="12:14">
      <c r="L452" s="250">
        <v>73</v>
      </c>
      <c r="M452" s="250">
        <v>0.89919800000000005</v>
      </c>
      <c r="N452" s="250">
        <v>0.97144799999999998</v>
      </c>
    </row>
    <row r="453" spans="12:14">
      <c r="L453" s="250">
        <v>73.099999999999994</v>
      </c>
      <c r="M453" s="250">
        <v>0.89868099999999995</v>
      </c>
      <c r="N453" s="250">
        <v>0.97084400000000004</v>
      </c>
    </row>
    <row r="454" spans="12:14">
      <c r="L454" s="250">
        <v>73.199999999999989</v>
      </c>
      <c r="M454" s="250">
        <v>0.89816600000000002</v>
      </c>
      <c r="N454" s="250">
        <v>0.97024100000000002</v>
      </c>
    </row>
    <row r="455" spans="12:14">
      <c r="L455" s="250">
        <v>73.299999999999983</v>
      </c>
      <c r="M455" s="250">
        <v>0.89765300000000003</v>
      </c>
      <c r="N455" s="250">
        <v>0.96963999999999995</v>
      </c>
    </row>
    <row r="456" spans="12:14">
      <c r="L456" s="250">
        <v>73.399999999999977</v>
      </c>
      <c r="M456" s="250">
        <v>0.89714000000000005</v>
      </c>
      <c r="N456" s="250">
        <v>0.96904000000000001</v>
      </c>
    </row>
    <row r="457" spans="12:14">
      <c r="L457" s="250">
        <v>73.499999999999972</v>
      </c>
      <c r="M457" s="250">
        <v>0.89662799999999998</v>
      </c>
      <c r="N457" s="250">
        <v>0.968441</v>
      </c>
    </row>
    <row r="458" spans="12:14">
      <c r="L458" s="250">
        <v>73.599999999999966</v>
      </c>
      <c r="M458" s="250">
        <v>0.89611799999999997</v>
      </c>
      <c r="N458" s="250">
        <v>0.96784400000000004</v>
      </c>
    </row>
    <row r="459" spans="12:14">
      <c r="L459" s="250">
        <v>73.69999999999996</v>
      </c>
      <c r="M459" s="250">
        <v>0.89560899999999999</v>
      </c>
      <c r="N459" s="250">
        <v>0.967248</v>
      </c>
    </row>
    <row r="460" spans="12:14">
      <c r="L460" s="250">
        <v>73.799999999999955</v>
      </c>
      <c r="M460" s="250">
        <v>0.89510000000000001</v>
      </c>
      <c r="N460" s="250">
        <v>0.96665400000000001</v>
      </c>
    </row>
    <row r="461" spans="12:14">
      <c r="L461" s="250">
        <v>73.899999999999949</v>
      </c>
      <c r="M461" s="250">
        <v>0.894594</v>
      </c>
      <c r="N461" s="250">
        <v>0.96606099999999995</v>
      </c>
    </row>
    <row r="462" spans="12:14">
      <c r="L462" s="250">
        <v>73.999999999999943</v>
      </c>
      <c r="M462" s="250">
        <v>0.89408799999999999</v>
      </c>
      <c r="N462" s="250">
        <v>0.96546900000000002</v>
      </c>
    </row>
    <row r="463" spans="12:14">
      <c r="L463" s="250">
        <v>74.099999999999937</v>
      </c>
      <c r="M463" s="250">
        <v>0.89358300000000002</v>
      </c>
      <c r="N463" s="250">
        <v>0.96487800000000001</v>
      </c>
    </row>
    <row r="464" spans="12:14">
      <c r="L464" s="250">
        <v>74.199999999999932</v>
      </c>
      <c r="M464" s="250">
        <v>0.89307899999999996</v>
      </c>
      <c r="N464" s="250">
        <v>0.96428899999999995</v>
      </c>
    </row>
    <row r="465" spans="12:14">
      <c r="L465" s="250">
        <v>74.299999999999926</v>
      </c>
      <c r="M465" s="250">
        <v>0.89257699999999995</v>
      </c>
      <c r="N465" s="250">
        <v>0.96370100000000003</v>
      </c>
    </row>
    <row r="466" spans="12:14">
      <c r="L466" s="250">
        <v>74.39999999999992</v>
      </c>
      <c r="M466" s="250">
        <v>0.89207499999999995</v>
      </c>
      <c r="N466" s="250">
        <v>0.96311500000000005</v>
      </c>
    </row>
    <row r="467" spans="12:14">
      <c r="L467" s="250">
        <v>74.499999999999915</v>
      </c>
      <c r="M467" s="250">
        <v>0.89157500000000001</v>
      </c>
      <c r="N467" s="250">
        <v>0.96253</v>
      </c>
    </row>
    <row r="468" spans="12:14">
      <c r="L468" s="250">
        <v>74.599999999999909</v>
      </c>
      <c r="M468" s="250">
        <v>0.89107599999999998</v>
      </c>
      <c r="N468" s="250">
        <v>0.96194599999999997</v>
      </c>
    </row>
    <row r="469" spans="12:14">
      <c r="L469" s="250">
        <v>74.699999999999903</v>
      </c>
      <c r="M469" s="250">
        <v>0.89057799999999998</v>
      </c>
      <c r="N469" s="250">
        <v>0.961364</v>
      </c>
    </row>
    <row r="470" spans="12:14">
      <c r="L470" s="250">
        <v>74.799999999999898</v>
      </c>
      <c r="M470" s="250">
        <v>0.89008100000000001</v>
      </c>
      <c r="N470" s="250">
        <v>0.96078300000000005</v>
      </c>
    </row>
    <row r="471" spans="12:14">
      <c r="L471" s="250">
        <v>74.899999999999892</v>
      </c>
      <c r="M471" s="250">
        <v>0.88958499999999996</v>
      </c>
      <c r="N471" s="250">
        <v>0.96020300000000003</v>
      </c>
    </row>
    <row r="472" spans="12:14">
      <c r="L472" s="250">
        <v>74.999999999999886</v>
      </c>
      <c r="M472" s="250">
        <v>0.88909000000000005</v>
      </c>
      <c r="N472" s="250">
        <v>0.95962400000000003</v>
      </c>
    </row>
    <row r="473" spans="12:14">
      <c r="L473" s="250">
        <v>75.099999999999881</v>
      </c>
      <c r="M473" s="250">
        <v>0.88859699999999997</v>
      </c>
      <c r="N473" s="250">
        <v>0.95904699999999998</v>
      </c>
    </row>
    <row r="474" spans="12:14">
      <c r="L474" s="250">
        <v>75.199999999999875</v>
      </c>
      <c r="M474" s="250">
        <v>0.888104</v>
      </c>
      <c r="N474" s="250">
        <v>0.95847099999999996</v>
      </c>
    </row>
    <row r="475" spans="12:14">
      <c r="L475" s="250">
        <v>75.299999999999869</v>
      </c>
      <c r="M475" s="250">
        <v>0.88761299999999999</v>
      </c>
      <c r="N475" s="250">
        <v>0.95789599999999997</v>
      </c>
    </row>
    <row r="476" spans="12:14">
      <c r="L476" s="250">
        <v>75.399999999999864</v>
      </c>
      <c r="M476" s="250">
        <v>0.88712199999999997</v>
      </c>
      <c r="N476" s="250">
        <v>0.95732300000000004</v>
      </c>
    </row>
    <row r="477" spans="12:14">
      <c r="L477" s="250">
        <v>75.499999999999858</v>
      </c>
      <c r="M477" s="250">
        <v>0.886633</v>
      </c>
      <c r="N477" s="250">
        <v>0.95675100000000002</v>
      </c>
    </row>
    <row r="478" spans="12:14">
      <c r="L478" s="250">
        <v>75.599999999999852</v>
      </c>
      <c r="M478" s="250">
        <v>0.88614400000000004</v>
      </c>
      <c r="N478" s="250">
        <v>0.95618000000000003</v>
      </c>
    </row>
    <row r="479" spans="12:14">
      <c r="L479" s="250">
        <v>75.699999999999847</v>
      </c>
      <c r="M479" s="250">
        <v>0.88565700000000003</v>
      </c>
      <c r="N479" s="250">
        <v>0.95560999999999996</v>
      </c>
    </row>
    <row r="480" spans="12:14">
      <c r="L480" s="250">
        <v>75.799999999999841</v>
      </c>
      <c r="M480" s="250">
        <v>0.88517100000000004</v>
      </c>
      <c r="N480" s="250">
        <v>0.95504199999999995</v>
      </c>
    </row>
    <row r="481" spans="12:14">
      <c r="L481" s="250">
        <v>75.899999999999835</v>
      </c>
      <c r="M481" s="250">
        <v>0.88468599999999997</v>
      </c>
      <c r="N481" s="250">
        <v>0.95447499999999996</v>
      </c>
    </row>
    <row r="482" spans="12:14">
      <c r="L482" s="250">
        <v>75.999999999999829</v>
      </c>
      <c r="M482" s="250">
        <v>0.88420200000000004</v>
      </c>
      <c r="N482" s="250">
        <v>0.95390900000000001</v>
      </c>
    </row>
    <row r="483" spans="12:14">
      <c r="L483" s="250">
        <v>76.099999999999824</v>
      </c>
      <c r="M483" s="250">
        <v>0.88371900000000003</v>
      </c>
      <c r="N483" s="250">
        <v>0.953345</v>
      </c>
    </row>
    <row r="484" spans="12:14">
      <c r="L484" s="250">
        <v>76.199999999999818</v>
      </c>
      <c r="M484" s="250">
        <v>0.88323700000000005</v>
      </c>
      <c r="N484" s="250">
        <v>0.95278200000000002</v>
      </c>
    </row>
    <row r="485" spans="12:14">
      <c r="L485" s="250">
        <v>76.299999999999812</v>
      </c>
      <c r="M485" s="250">
        <v>0.88275599999999999</v>
      </c>
      <c r="N485" s="250">
        <v>0.95221999999999996</v>
      </c>
    </row>
    <row r="486" spans="12:14">
      <c r="L486" s="250">
        <v>76.399999999999807</v>
      </c>
      <c r="M486" s="250">
        <v>0.88227599999999995</v>
      </c>
      <c r="N486" s="250">
        <v>0.95165900000000003</v>
      </c>
    </row>
    <row r="487" spans="12:14">
      <c r="L487" s="250">
        <v>76.499999999999801</v>
      </c>
      <c r="M487" s="250">
        <v>0.88179700000000005</v>
      </c>
      <c r="N487" s="250">
        <v>0.95109900000000003</v>
      </c>
    </row>
    <row r="488" spans="12:14">
      <c r="L488" s="250">
        <v>76.599999999999795</v>
      </c>
      <c r="M488" s="250">
        <v>0.88131899999999996</v>
      </c>
      <c r="N488" s="250">
        <v>0.95054099999999997</v>
      </c>
    </row>
    <row r="489" spans="12:14">
      <c r="L489" s="250">
        <v>76.69999999999979</v>
      </c>
      <c r="M489" s="250">
        <v>0.88084200000000001</v>
      </c>
      <c r="N489" s="250">
        <v>0.94998400000000005</v>
      </c>
    </row>
    <row r="490" spans="12:14">
      <c r="L490" s="250">
        <v>76.799999999999784</v>
      </c>
      <c r="M490" s="250">
        <v>0.88036700000000001</v>
      </c>
      <c r="N490" s="250">
        <v>0.94942800000000005</v>
      </c>
    </row>
    <row r="491" spans="12:14">
      <c r="L491" s="250">
        <v>76.899999999999778</v>
      </c>
      <c r="M491" s="250">
        <v>0.87989200000000001</v>
      </c>
      <c r="N491" s="250">
        <v>0.94887299999999997</v>
      </c>
    </row>
    <row r="492" spans="12:14">
      <c r="L492" s="250">
        <v>76.999999999999773</v>
      </c>
      <c r="M492" s="250">
        <v>0.87941800000000003</v>
      </c>
      <c r="N492" s="250">
        <v>0.94832000000000005</v>
      </c>
    </row>
    <row r="493" spans="12:14">
      <c r="L493" s="250">
        <v>77.099999999999767</v>
      </c>
      <c r="M493" s="250">
        <v>0.87894499999999998</v>
      </c>
      <c r="N493" s="250">
        <v>0.94776700000000003</v>
      </c>
    </row>
    <row r="494" spans="12:14">
      <c r="L494" s="250">
        <v>77.199999999999761</v>
      </c>
      <c r="M494" s="250">
        <v>0.87847299999999995</v>
      </c>
      <c r="N494" s="250">
        <v>0.94721599999999995</v>
      </c>
    </row>
    <row r="495" spans="12:14">
      <c r="L495" s="250">
        <v>77.299999999999756</v>
      </c>
      <c r="M495" s="250">
        <v>0.87800299999999998</v>
      </c>
      <c r="N495" s="250">
        <v>0.94666600000000001</v>
      </c>
    </row>
    <row r="496" spans="12:14">
      <c r="L496" s="250">
        <v>77.39999999999975</v>
      </c>
      <c r="M496" s="250">
        <v>0.87753300000000001</v>
      </c>
      <c r="N496" s="250">
        <v>0.94611800000000001</v>
      </c>
    </row>
    <row r="497" spans="12:14">
      <c r="L497" s="250">
        <v>77.499999999999744</v>
      </c>
      <c r="M497" s="250">
        <v>0.87706399999999995</v>
      </c>
      <c r="N497" s="250">
        <v>0.94557000000000002</v>
      </c>
    </row>
    <row r="498" spans="12:14">
      <c r="L498" s="250">
        <v>77.599999999999739</v>
      </c>
      <c r="M498" s="250">
        <v>0.87659600000000004</v>
      </c>
      <c r="N498" s="250">
        <v>0.94502399999999998</v>
      </c>
    </row>
    <row r="499" spans="12:14">
      <c r="L499" s="250">
        <v>77.699999999999733</v>
      </c>
      <c r="M499" s="250">
        <v>0.87612999999999996</v>
      </c>
      <c r="N499" s="250">
        <v>0.94447899999999996</v>
      </c>
    </row>
    <row r="500" spans="12:14">
      <c r="L500" s="250">
        <v>77.799999999999727</v>
      </c>
      <c r="M500" s="250">
        <v>0.875664</v>
      </c>
      <c r="N500" s="250">
        <v>0.94393499999999997</v>
      </c>
    </row>
    <row r="501" spans="12:14">
      <c r="L501" s="250">
        <v>77.899999999999721</v>
      </c>
      <c r="M501" s="250">
        <v>0.87519899999999995</v>
      </c>
      <c r="N501" s="250">
        <v>0.94339200000000001</v>
      </c>
    </row>
    <row r="502" spans="12:14">
      <c r="L502" s="250">
        <v>77.999999999999716</v>
      </c>
      <c r="M502" s="250">
        <v>0.87473500000000004</v>
      </c>
      <c r="N502" s="250">
        <v>0.94284999999999997</v>
      </c>
    </row>
    <row r="503" spans="12:14">
      <c r="L503" s="250">
        <v>78.09999999999971</v>
      </c>
      <c r="M503" s="250">
        <v>0.87427200000000005</v>
      </c>
      <c r="N503" s="250">
        <v>0.94230999999999998</v>
      </c>
    </row>
    <row r="504" spans="12:14">
      <c r="L504" s="250">
        <v>78.199999999999704</v>
      </c>
      <c r="M504" s="250">
        <v>0.873811</v>
      </c>
      <c r="N504" s="250">
        <v>0.94177100000000002</v>
      </c>
    </row>
    <row r="505" spans="12:14">
      <c r="L505" s="250">
        <v>78.299999999999699</v>
      </c>
      <c r="M505" s="250">
        <v>0.87334999999999996</v>
      </c>
      <c r="N505" s="250">
        <v>0.94123299999999999</v>
      </c>
    </row>
    <row r="506" spans="12:14">
      <c r="L506" s="250">
        <v>78.399999999999693</v>
      </c>
      <c r="M506" s="250">
        <v>0.87289000000000005</v>
      </c>
      <c r="N506" s="250">
        <v>0.94069599999999998</v>
      </c>
    </row>
    <row r="507" spans="12:14">
      <c r="L507" s="250">
        <v>78.499999999999687</v>
      </c>
      <c r="M507" s="250">
        <v>0.87243099999999996</v>
      </c>
      <c r="N507" s="250">
        <v>0.94016</v>
      </c>
    </row>
    <row r="508" spans="12:14">
      <c r="L508" s="250">
        <v>78.599999999999682</v>
      </c>
      <c r="M508" s="250">
        <v>0.871973</v>
      </c>
      <c r="N508" s="250">
        <v>0.93962500000000004</v>
      </c>
    </row>
    <row r="509" spans="12:14">
      <c r="L509" s="250">
        <v>78.699999999999676</v>
      </c>
      <c r="M509" s="250">
        <v>0.87151599999999996</v>
      </c>
      <c r="N509" s="250">
        <v>0.93909100000000001</v>
      </c>
    </row>
    <row r="510" spans="12:14">
      <c r="L510" s="250">
        <v>78.79999999999967</v>
      </c>
      <c r="M510" s="250">
        <v>0.87105900000000003</v>
      </c>
      <c r="N510" s="250">
        <v>0.93855900000000003</v>
      </c>
    </row>
    <row r="511" spans="12:14">
      <c r="L511" s="250">
        <v>78.899999999999665</v>
      </c>
      <c r="M511" s="250">
        <v>0.87060400000000004</v>
      </c>
      <c r="N511" s="250">
        <v>0.93802799999999997</v>
      </c>
    </row>
    <row r="512" spans="12:14">
      <c r="L512" s="250">
        <v>78.999999999999659</v>
      </c>
      <c r="M512" s="250">
        <v>0.87014999999999998</v>
      </c>
      <c r="N512" s="250">
        <v>0.93749800000000005</v>
      </c>
    </row>
    <row r="513" spans="12:14">
      <c r="L513" s="250">
        <v>79.099999999999653</v>
      </c>
      <c r="M513" s="250">
        <v>0.86969700000000005</v>
      </c>
      <c r="N513" s="250">
        <v>0.93696900000000005</v>
      </c>
    </row>
    <row r="514" spans="12:14">
      <c r="L514" s="250">
        <v>79.199999999999648</v>
      </c>
      <c r="M514" s="250">
        <v>0.86924500000000005</v>
      </c>
      <c r="N514" s="250">
        <v>0.93644099999999997</v>
      </c>
    </row>
    <row r="515" spans="12:14">
      <c r="L515" s="250">
        <v>79.299999999999642</v>
      </c>
      <c r="M515" s="250">
        <v>0.86879300000000004</v>
      </c>
      <c r="N515" s="250">
        <v>0.93591400000000002</v>
      </c>
    </row>
    <row r="516" spans="12:14">
      <c r="L516" s="250">
        <v>79.399999999999636</v>
      </c>
      <c r="M516" s="250">
        <v>0.86834299999999998</v>
      </c>
      <c r="N516" s="250">
        <v>0.935388</v>
      </c>
    </row>
    <row r="517" spans="12:14">
      <c r="L517" s="250">
        <v>79.499999999999631</v>
      </c>
      <c r="M517" s="250">
        <v>0.86789300000000003</v>
      </c>
      <c r="N517" s="250">
        <v>0.934863</v>
      </c>
    </row>
    <row r="518" spans="12:14">
      <c r="L518" s="250">
        <v>79.599999999999625</v>
      </c>
      <c r="M518" s="250">
        <v>0.86744399999999999</v>
      </c>
      <c r="N518" s="250">
        <v>0.93433999999999995</v>
      </c>
    </row>
    <row r="519" spans="12:14">
      <c r="L519" s="250">
        <v>79.699999999999619</v>
      </c>
      <c r="M519" s="250">
        <v>0.86699700000000002</v>
      </c>
      <c r="N519" s="250">
        <v>0.93381800000000004</v>
      </c>
    </row>
    <row r="520" spans="12:14">
      <c r="L520" s="250">
        <v>79.799999999999613</v>
      </c>
      <c r="M520" s="250">
        <v>0.86655000000000004</v>
      </c>
      <c r="N520" s="250">
        <v>0.93329600000000001</v>
      </c>
    </row>
    <row r="521" spans="12:14">
      <c r="L521" s="250">
        <v>79.899999999999608</v>
      </c>
      <c r="M521" s="250">
        <v>0.86610399999999998</v>
      </c>
      <c r="N521" s="250">
        <v>0.93277600000000005</v>
      </c>
    </row>
    <row r="522" spans="12:14">
      <c r="L522" s="250">
        <v>79.999999999999602</v>
      </c>
      <c r="M522" s="250">
        <v>0.86565899999999996</v>
      </c>
      <c r="N522" s="250">
        <v>0.932257</v>
      </c>
    </row>
    <row r="523" spans="12:14">
      <c r="L523" s="250">
        <v>80.099999999999596</v>
      </c>
      <c r="M523" s="250">
        <v>0.86521499999999996</v>
      </c>
      <c r="N523" s="250">
        <v>0.93173899999999998</v>
      </c>
    </row>
    <row r="524" spans="12:14">
      <c r="L524" s="250">
        <v>80.199999999999591</v>
      </c>
      <c r="M524" s="250">
        <v>0.86477199999999999</v>
      </c>
      <c r="N524" s="250">
        <v>0.93122199999999999</v>
      </c>
    </row>
    <row r="525" spans="12:14">
      <c r="L525" s="250">
        <v>80.299999999999585</v>
      </c>
      <c r="M525" s="250">
        <v>0.86433000000000004</v>
      </c>
      <c r="N525" s="250">
        <v>0.93070600000000003</v>
      </c>
    </row>
    <row r="526" spans="12:14">
      <c r="L526" s="250">
        <v>80.399999999999579</v>
      </c>
      <c r="M526" s="250">
        <v>0.86388900000000002</v>
      </c>
      <c r="N526" s="250">
        <v>0.93019099999999999</v>
      </c>
    </row>
    <row r="527" spans="12:14">
      <c r="L527" s="250">
        <v>80.499999999999574</v>
      </c>
      <c r="M527" s="250">
        <v>0.86344799999999999</v>
      </c>
      <c r="N527" s="250">
        <v>0.929678</v>
      </c>
    </row>
    <row r="528" spans="12:14">
      <c r="L528" s="250">
        <v>80.599999999999568</v>
      </c>
      <c r="M528" s="250">
        <v>0.86300900000000003</v>
      </c>
      <c r="N528" s="250">
        <v>0.92916500000000002</v>
      </c>
    </row>
    <row r="529" spans="12:14">
      <c r="L529" s="250">
        <v>80.699999999999562</v>
      </c>
      <c r="M529" s="250">
        <v>0.86256999999999995</v>
      </c>
      <c r="N529" s="250">
        <v>0.92865299999999995</v>
      </c>
    </row>
    <row r="530" spans="12:14">
      <c r="L530" s="250">
        <v>80.799999999999557</v>
      </c>
      <c r="M530" s="250">
        <v>0.86213200000000001</v>
      </c>
      <c r="N530" s="250">
        <v>0.92814300000000005</v>
      </c>
    </row>
    <row r="531" spans="12:14">
      <c r="L531" s="250">
        <v>80.899999999999551</v>
      </c>
      <c r="M531" s="250">
        <v>0.86169499999999999</v>
      </c>
      <c r="N531" s="250">
        <v>0.92763300000000004</v>
      </c>
    </row>
    <row r="532" spans="12:14">
      <c r="L532" s="250">
        <v>80.999999999999545</v>
      </c>
      <c r="M532" s="250">
        <v>0.861259</v>
      </c>
      <c r="N532" s="250">
        <v>0.92712499999999998</v>
      </c>
    </row>
    <row r="533" spans="12:14">
      <c r="L533" s="250">
        <v>81.09999999999954</v>
      </c>
      <c r="M533" s="250">
        <v>0.86082400000000003</v>
      </c>
      <c r="N533" s="250">
        <v>0.92661800000000005</v>
      </c>
    </row>
    <row r="534" spans="12:14">
      <c r="L534" s="250">
        <v>81.199999999999534</v>
      </c>
      <c r="M534" s="250">
        <v>0.86038999999999999</v>
      </c>
      <c r="N534" s="250">
        <v>0.92611100000000002</v>
      </c>
    </row>
    <row r="535" spans="12:14">
      <c r="L535" s="250">
        <v>81.299999999999528</v>
      </c>
      <c r="M535" s="250">
        <v>0.85995699999999997</v>
      </c>
      <c r="N535" s="250">
        <v>0.92560600000000004</v>
      </c>
    </row>
    <row r="536" spans="12:14">
      <c r="L536" s="250">
        <v>81.399999999999523</v>
      </c>
      <c r="M536" s="250">
        <v>0.85952399999999995</v>
      </c>
      <c r="N536" s="250">
        <v>0.92510199999999998</v>
      </c>
    </row>
    <row r="537" spans="12:14">
      <c r="L537" s="250">
        <v>81.499999999999517</v>
      </c>
      <c r="M537" s="250">
        <v>0.859093</v>
      </c>
      <c r="N537" s="250">
        <v>0.92459800000000003</v>
      </c>
    </row>
    <row r="538" spans="12:14">
      <c r="L538" s="250">
        <v>81.599999999999511</v>
      </c>
      <c r="M538" s="250">
        <v>0.85866200000000004</v>
      </c>
      <c r="N538" s="250">
        <v>0.92409600000000003</v>
      </c>
    </row>
    <row r="539" spans="12:14">
      <c r="L539" s="250">
        <v>81.699999999999505</v>
      </c>
      <c r="M539" s="250">
        <v>0.85823199999999999</v>
      </c>
      <c r="N539" s="250">
        <v>0.92359500000000005</v>
      </c>
    </row>
    <row r="540" spans="12:14">
      <c r="L540" s="250">
        <v>81.7999999999995</v>
      </c>
      <c r="M540" s="250">
        <v>0.85780299999999998</v>
      </c>
      <c r="N540" s="250">
        <v>0.923095</v>
      </c>
    </row>
    <row r="541" spans="12:14">
      <c r="L541" s="250">
        <v>81.899999999999494</v>
      </c>
      <c r="M541" s="250">
        <v>0.857375</v>
      </c>
      <c r="N541" s="250">
        <v>0.92259599999999997</v>
      </c>
    </row>
    <row r="542" spans="12:14">
      <c r="L542" s="250">
        <v>81.999999999999488</v>
      </c>
      <c r="M542" s="250">
        <v>0.85694800000000004</v>
      </c>
      <c r="N542" s="250">
        <v>0.92209799999999997</v>
      </c>
    </row>
    <row r="543" spans="12:14">
      <c r="L543" s="250">
        <v>82.099999999999483</v>
      </c>
      <c r="M543" s="250">
        <v>0.85652099999999998</v>
      </c>
      <c r="N543" s="250">
        <v>0.921601</v>
      </c>
    </row>
    <row r="544" spans="12:14">
      <c r="L544" s="250">
        <v>82.199999999999477</v>
      </c>
      <c r="M544" s="250">
        <v>0.85609599999999997</v>
      </c>
      <c r="N544" s="250">
        <v>0.92110499999999995</v>
      </c>
    </row>
    <row r="545" spans="12:14">
      <c r="L545" s="250">
        <v>82.299999999999471</v>
      </c>
      <c r="M545" s="250">
        <v>0.85567099999999996</v>
      </c>
      <c r="N545" s="250">
        <v>0.92060900000000001</v>
      </c>
    </row>
    <row r="546" spans="12:14">
      <c r="L546" s="250">
        <v>82.399999999999466</v>
      </c>
      <c r="M546" s="250">
        <v>0.85524699999999998</v>
      </c>
      <c r="N546" s="250">
        <v>0.92011500000000002</v>
      </c>
    </row>
    <row r="547" spans="12:14">
      <c r="L547" s="250">
        <v>82.49999999999946</v>
      </c>
      <c r="M547" s="250">
        <v>0.85482400000000003</v>
      </c>
      <c r="N547" s="250">
        <v>0.91962200000000005</v>
      </c>
    </row>
    <row r="548" spans="12:14">
      <c r="L548" s="250">
        <v>82.599999999999454</v>
      </c>
      <c r="M548" s="250">
        <v>0.85440199999999999</v>
      </c>
      <c r="N548" s="250">
        <v>0.91913</v>
      </c>
    </row>
    <row r="549" spans="12:14">
      <c r="L549" s="250">
        <v>82.699999999999449</v>
      </c>
      <c r="M549" s="250">
        <v>0.85397999999999996</v>
      </c>
      <c r="N549" s="250">
        <v>0.91863899999999998</v>
      </c>
    </row>
    <row r="550" spans="12:14">
      <c r="L550" s="250">
        <v>82.799999999999443</v>
      </c>
      <c r="M550" s="250">
        <v>0.85355999999999999</v>
      </c>
      <c r="N550" s="250">
        <v>0.91814899999999999</v>
      </c>
    </row>
    <row r="551" spans="12:14">
      <c r="L551" s="250">
        <v>82.899999999999437</v>
      </c>
      <c r="M551" s="250">
        <v>0.85314000000000001</v>
      </c>
      <c r="N551" s="250">
        <v>0.91766000000000003</v>
      </c>
    </row>
    <row r="552" spans="12:14">
      <c r="L552" s="250">
        <v>82.999999999999432</v>
      </c>
      <c r="M552" s="250">
        <v>0.85272099999999995</v>
      </c>
      <c r="N552" s="250">
        <v>0.91717199999999999</v>
      </c>
    </row>
    <row r="553" spans="12:14">
      <c r="L553" s="250">
        <v>83.099999999999426</v>
      </c>
      <c r="M553" s="250">
        <v>0.85230300000000003</v>
      </c>
      <c r="N553" s="250">
        <v>0.91668499999999997</v>
      </c>
    </row>
    <row r="554" spans="12:14">
      <c r="L554" s="250">
        <v>83.19999999999942</v>
      </c>
      <c r="M554" s="250">
        <v>0.85188600000000003</v>
      </c>
      <c r="N554" s="250">
        <v>0.91619799999999996</v>
      </c>
    </row>
    <row r="555" spans="12:14">
      <c r="L555" s="250">
        <v>83.299999999999415</v>
      </c>
      <c r="M555" s="250">
        <v>0.85146900000000003</v>
      </c>
      <c r="N555" s="250">
        <v>0.915713</v>
      </c>
    </row>
    <row r="556" spans="12:14">
      <c r="L556" s="250">
        <v>83.399999999999409</v>
      </c>
      <c r="M556" s="250">
        <v>0.85105399999999998</v>
      </c>
      <c r="N556" s="250">
        <v>0.91522899999999996</v>
      </c>
    </row>
    <row r="557" spans="12:14">
      <c r="L557" s="250">
        <v>83.499999999999403</v>
      </c>
      <c r="M557" s="250">
        <v>0.85063900000000003</v>
      </c>
      <c r="N557" s="250">
        <v>0.91474599999999995</v>
      </c>
    </row>
    <row r="558" spans="12:14">
      <c r="L558" s="250">
        <v>83.599999999999397</v>
      </c>
      <c r="M558" s="250">
        <v>0.85022500000000001</v>
      </c>
      <c r="N558" s="250">
        <v>0.91426300000000005</v>
      </c>
    </row>
    <row r="559" spans="12:14">
      <c r="L559" s="250">
        <v>83.699999999999392</v>
      </c>
      <c r="M559" s="250">
        <v>0.84981200000000001</v>
      </c>
      <c r="N559" s="250">
        <v>0.91378199999999998</v>
      </c>
    </row>
    <row r="560" spans="12:14">
      <c r="L560" s="250">
        <v>83.799999999999386</v>
      </c>
      <c r="M560" s="250">
        <v>0.84939900000000002</v>
      </c>
      <c r="N560" s="250">
        <v>0.91330199999999995</v>
      </c>
    </row>
    <row r="561" spans="12:14">
      <c r="L561" s="250">
        <v>83.89999999999938</v>
      </c>
      <c r="M561" s="250">
        <v>0.84898799999999996</v>
      </c>
      <c r="N561" s="250">
        <v>0.91282200000000002</v>
      </c>
    </row>
    <row r="562" spans="12:14">
      <c r="L562" s="250">
        <v>83.999999999999375</v>
      </c>
      <c r="M562" s="250">
        <v>0.84857700000000003</v>
      </c>
      <c r="N562" s="250">
        <v>0.91234400000000004</v>
      </c>
    </row>
    <row r="563" spans="12:14">
      <c r="L563" s="250">
        <v>84.099999999999369</v>
      </c>
      <c r="M563" s="250">
        <v>0.848167</v>
      </c>
      <c r="N563" s="250">
        <v>0.91186599999999995</v>
      </c>
    </row>
    <row r="564" spans="12:14">
      <c r="L564" s="250">
        <v>84.199999999999363</v>
      </c>
      <c r="M564" s="250">
        <v>0.84775800000000001</v>
      </c>
      <c r="N564" s="250">
        <v>0.91139000000000003</v>
      </c>
    </row>
    <row r="565" spans="12:14">
      <c r="L565" s="250">
        <v>84.299999999999358</v>
      </c>
      <c r="M565" s="250">
        <v>0.84734900000000002</v>
      </c>
      <c r="N565" s="250">
        <v>0.910914</v>
      </c>
    </row>
    <row r="566" spans="12:14">
      <c r="L566" s="250">
        <v>84.399999999999352</v>
      </c>
      <c r="M566" s="250">
        <v>0.84694199999999997</v>
      </c>
      <c r="N566" s="250">
        <v>0.910439</v>
      </c>
    </row>
    <row r="567" spans="12:14">
      <c r="L567" s="250">
        <v>84.499999999999346</v>
      </c>
      <c r="M567" s="250">
        <v>0.84653500000000004</v>
      </c>
      <c r="N567" s="250">
        <v>0.90996600000000005</v>
      </c>
    </row>
    <row r="568" spans="12:14">
      <c r="L568" s="250">
        <v>84.599999999999341</v>
      </c>
      <c r="M568" s="250">
        <v>0.84612900000000002</v>
      </c>
      <c r="N568" s="250">
        <v>0.909493</v>
      </c>
    </row>
    <row r="569" spans="12:14">
      <c r="L569" s="250">
        <v>84.699999999999335</v>
      </c>
      <c r="M569" s="250">
        <v>0.845723</v>
      </c>
      <c r="N569" s="250">
        <v>0.90902099999999997</v>
      </c>
    </row>
    <row r="570" spans="12:14">
      <c r="L570" s="250">
        <v>84.799999999999329</v>
      </c>
      <c r="M570" s="250">
        <v>0.84531900000000004</v>
      </c>
      <c r="N570" s="250">
        <v>0.90854999999999997</v>
      </c>
    </row>
    <row r="571" spans="12:14">
      <c r="L571" s="250">
        <v>84.899999999999324</v>
      </c>
      <c r="M571" s="250">
        <v>0.84491499999999997</v>
      </c>
      <c r="N571" s="250">
        <v>0.90808</v>
      </c>
    </row>
    <row r="572" spans="12:14">
      <c r="L572" s="250">
        <v>84.999999999999318</v>
      </c>
      <c r="M572" s="250">
        <v>0.84451200000000004</v>
      </c>
      <c r="N572" s="250">
        <v>0.90761099999999995</v>
      </c>
    </row>
    <row r="573" spans="12:14">
      <c r="L573" s="250">
        <v>85.099999999999312</v>
      </c>
      <c r="M573" s="250">
        <v>0.84411000000000003</v>
      </c>
      <c r="N573" s="250">
        <v>0.907142</v>
      </c>
    </row>
    <row r="574" spans="12:14">
      <c r="L574" s="250">
        <v>85.199999999999307</v>
      </c>
      <c r="M574" s="250">
        <v>0.84370900000000004</v>
      </c>
      <c r="N574" s="250">
        <v>0.90667500000000001</v>
      </c>
    </row>
    <row r="575" spans="12:14">
      <c r="L575" s="250">
        <v>85.299999999999301</v>
      </c>
      <c r="M575" s="250">
        <v>0.84330799999999995</v>
      </c>
      <c r="N575" s="250">
        <v>0.90620900000000004</v>
      </c>
    </row>
    <row r="576" spans="12:14">
      <c r="L576" s="250">
        <v>85.399999999999295</v>
      </c>
      <c r="M576" s="250">
        <v>0.84290799999999999</v>
      </c>
      <c r="N576" s="250">
        <v>0.90574299999999996</v>
      </c>
    </row>
    <row r="577" spans="12:14">
      <c r="L577" s="250">
        <v>85.499999999999289</v>
      </c>
      <c r="M577" s="250">
        <v>0.84250899999999995</v>
      </c>
      <c r="N577" s="250">
        <v>0.90527899999999994</v>
      </c>
    </row>
    <row r="578" spans="12:14">
      <c r="L578" s="250">
        <v>85.599999999999284</v>
      </c>
      <c r="M578" s="250">
        <v>0.84211100000000005</v>
      </c>
      <c r="N578" s="250">
        <v>0.90481500000000004</v>
      </c>
    </row>
    <row r="579" spans="12:14">
      <c r="L579" s="250">
        <v>85.699999999999278</v>
      </c>
      <c r="M579" s="250">
        <v>0.84171300000000004</v>
      </c>
      <c r="N579" s="250">
        <v>0.90435200000000004</v>
      </c>
    </row>
    <row r="580" spans="12:14">
      <c r="L580" s="250">
        <v>85.799999999999272</v>
      </c>
      <c r="M580" s="250">
        <v>0.84131599999999995</v>
      </c>
      <c r="N580" s="250">
        <v>0.90388999999999997</v>
      </c>
    </row>
    <row r="581" spans="12:14">
      <c r="L581" s="250">
        <v>85.899999999999267</v>
      </c>
      <c r="M581" s="250">
        <v>0.84092</v>
      </c>
      <c r="N581" s="250">
        <v>0.90342900000000004</v>
      </c>
    </row>
    <row r="582" spans="12:14">
      <c r="L582" s="250">
        <v>85.999999999999261</v>
      </c>
      <c r="M582" s="250">
        <v>0.84052499999999997</v>
      </c>
      <c r="N582" s="250">
        <v>0.90296900000000002</v>
      </c>
    </row>
    <row r="583" spans="12:14">
      <c r="L583" s="250">
        <v>86.099999999999255</v>
      </c>
      <c r="M583" s="250">
        <v>0.84013000000000004</v>
      </c>
      <c r="N583" s="250">
        <v>0.90251000000000003</v>
      </c>
    </row>
    <row r="584" spans="12:14">
      <c r="L584" s="250">
        <v>86.19999999999925</v>
      </c>
      <c r="M584" s="250">
        <v>0.83973699999999996</v>
      </c>
      <c r="N584" s="250">
        <v>0.90205199999999996</v>
      </c>
    </row>
    <row r="585" spans="12:14">
      <c r="L585" s="250">
        <v>86.299999999999244</v>
      </c>
      <c r="M585" s="250">
        <v>0.83934399999999998</v>
      </c>
      <c r="N585" s="250">
        <v>0.90159400000000001</v>
      </c>
    </row>
    <row r="586" spans="12:14">
      <c r="L586" s="250">
        <v>86.399999999999238</v>
      </c>
      <c r="M586" s="250">
        <v>0.838951</v>
      </c>
      <c r="N586" s="250">
        <v>0.90113799999999999</v>
      </c>
    </row>
    <row r="587" spans="12:14">
      <c r="L587" s="250">
        <v>86.499999999999233</v>
      </c>
      <c r="M587" s="250">
        <v>0.83855999999999997</v>
      </c>
      <c r="N587" s="250">
        <v>0.90068199999999998</v>
      </c>
    </row>
    <row r="588" spans="12:14">
      <c r="L588" s="250">
        <v>86.599999999999227</v>
      </c>
      <c r="M588" s="250">
        <v>0.83816900000000005</v>
      </c>
      <c r="N588" s="250">
        <v>0.900227</v>
      </c>
    </row>
    <row r="589" spans="12:14">
      <c r="L589" s="250">
        <v>86.699999999999221</v>
      </c>
      <c r="M589" s="250">
        <v>0.83777900000000005</v>
      </c>
      <c r="N589" s="250">
        <v>0.89977300000000004</v>
      </c>
    </row>
    <row r="590" spans="12:14">
      <c r="L590" s="250">
        <v>86.799999999999216</v>
      </c>
      <c r="M590" s="250">
        <v>0.83738900000000005</v>
      </c>
      <c r="N590" s="250">
        <v>0.89932000000000001</v>
      </c>
    </row>
    <row r="591" spans="12:14">
      <c r="L591" s="250">
        <v>86.89999999999921</v>
      </c>
      <c r="M591" s="250">
        <v>0.837001</v>
      </c>
      <c r="N591" s="250">
        <v>0.898868</v>
      </c>
    </row>
    <row r="592" spans="12:14">
      <c r="L592" s="250">
        <v>86.999999999999204</v>
      </c>
      <c r="M592" s="250">
        <v>0.83661300000000005</v>
      </c>
      <c r="N592" s="250">
        <v>0.89841700000000002</v>
      </c>
    </row>
    <row r="593" spans="12:14">
      <c r="L593" s="250">
        <v>87.099999999999199</v>
      </c>
      <c r="M593" s="250">
        <v>0.836225</v>
      </c>
      <c r="N593" s="250">
        <v>0.89796600000000004</v>
      </c>
    </row>
    <row r="594" spans="12:14">
      <c r="L594" s="250">
        <v>87.199999999999193</v>
      </c>
      <c r="M594" s="250">
        <v>0.835839</v>
      </c>
      <c r="N594" s="250">
        <v>0.89751700000000001</v>
      </c>
    </row>
    <row r="595" spans="12:14">
      <c r="L595" s="250">
        <v>87.299999999999187</v>
      </c>
      <c r="M595" s="250">
        <v>0.835453</v>
      </c>
      <c r="N595" s="250">
        <v>0.89706799999999998</v>
      </c>
    </row>
    <row r="596" spans="12:14">
      <c r="L596" s="250">
        <v>87.399999999999181</v>
      </c>
      <c r="M596" s="250">
        <v>0.83506800000000003</v>
      </c>
      <c r="N596" s="250">
        <v>0.89661999999999997</v>
      </c>
    </row>
    <row r="597" spans="12:14">
      <c r="L597" s="250">
        <v>87.499999999999176</v>
      </c>
      <c r="M597" s="250">
        <v>0.83468399999999998</v>
      </c>
      <c r="N597" s="250">
        <v>0.896173</v>
      </c>
    </row>
    <row r="598" spans="12:14">
      <c r="L598" s="250">
        <v>87.59999999999917</v>
      </c>
      <c r="M598" s="250">
        <v>0.83430000000000004</v>
      </c>
      <c r="N598" s="250">
        <v>0.89572700000000005</v>
      </c>
    </row>
    <row r="599" spans="12:14">
      <c r="L599" s="250">
        <v>87.699999999999164</v>
      </c>
      <c r="M599" s="250">
        <v>0.83391700000000002</v>
      </c>
      <c r="N599" s="250">
        <v>0.89528099999999999</v>
      </c>
    </row>
    <row r="600" spans="12:14">
      <c r="L600" s="250">
        <v>87.799999999999159</v>
      </c>
      <c r="M600" s="250">
        <v>0.83353500000000003</v>
      </c>
      <c r="N600" s="250">
        <v>0.89483699999999999</v>
      </c>
    </row>
    <row r="601" spans="12:14">
      <c r="L601" s="250">
        <v>87.899999999999153</v>
      </c>
      <c r="M601" s="250">
        <v>0.83315300000000003</v>
      </c>
      <c r="N601" s="250">
        <v>0.89439299999999999</v>
      </c>
    </row>
    <row r="602" spans="12:14">
      <c r="L602" s="250">
        <v>87.999999999999147</v>
      </c>
      <c r="M602" s="250">
        <v>0.83277299999999999</v>
      </c>
      <c r="N602" s="250">
        <v>0.89395000000000002</v>
      </c>
    </row>
    <row r="603" spans="12:14">
      <c r="L603" s="250">
        <v>88.099999999999142</v>
      </c>
      <c r="M603" s="250">
        <v>0.83239200000000002</v>
      </c>
      <c r="N603" s="250">
        <v>0.89350799999999997</v>
      </c>
    </row>
    <row r="604" spans="12:14">
      <c r="L604" s="250">
        <v>88.199999999999136</v>
      </c>
      <c r="M604" s="250">
        <v>0.832013</v>
      </c>
      <c r="N604" s="250">
        <v>0.89306700000000006</v>
      </c>
    </row>
    <row r="605" spans="12:14">
      <c r="L605" s="250">
        <v>88.29999999999913</v>
      </c>
      <c r="M605" s="250">
        <v>0.83163399999999998</v>
      </c>
      <c r="N605" s="250">
        <v>0.89262699999999995</v>
      </c>
    </row>
    <row r="606" spans="12:14">
      <c r="L606" s="250">
        <v>88.399999999999125</v>
      </c>
      <c r="M606" s="250">
        <v>0.83125599999999999</v>
      </c>
      <c r="N606" s="250">
        <v>0.89218699999999995</v>
      </c>
    </row>
    <row r="607" spans="12:14">
      <c r="L607" s="250">
        <v>88.499999999999119</v>
      </c>
      <c r="M607" s="250">
        <v>0.83087900000000003</v>
      </c>
      <c r="N607" s="250">
        <v>0.89174900000000001</v>
      </c>
    </row>
    <row r="608" spans="12:14">
      <c r="L608" s="250">
        <v>88.599999999999113</v>
      </c>
      <c r="M608" s="250">
        <v>0.83050199999999996</v>
      </c>
      <c r="N608" s="250">
        <v>0.89131099999999996</v>
      </c>
    </row>
    <row r="609" spans="12:14">
      <c r="L609" s="250">
        <v>88.699999999999108</v>
      </c>
      <c r="M609" s="250">
        <v>0.83012699999999995</v>
      </c>
      <c r="N609" s="250">
        <v>0.89087400000000005</v>
      </c>
    </row>
    <row r="610" spans="12:14">
      <c r="L610" s="250">
        <v>88.799999999999102</v>
      </c>
      <c r="M610" s="250">
        <v>0.82975100000000002</v>
      </c>
      <c r="N610" s="250">
        <v>0.89043700000000003</v>
      </c>
    </row>
    <row r="611" spans="12:14">
      <c r="L611" s="250">
        <v>88.899999999999096</v>
      </c>
      <c r="M611" s="250">
        <v>0.82937700000000003</v>
      </c>
      <c r="N611" s="250">
        <v>0.89000199999999996</v>
      </c>
    </row>
    <row r="612" spans="12:14">
      <c r="L612" s="250">
        <v>88.999999999999091</v>
      </c>
      <c r="M612" s="250">
        <v>0.82900300000000005</v>
      </c>
      <c r="N612" s="250">
        <v>0.889567</v>
      </c>
    </row>
    <row r="613" spans="12:14">
      <c r="L613" s="250">
        <v>89.099999999999085</v>
      </c>
      <c r="M613" s="250">
        <v>0.82862999999999998</v>
      </c>
      <c r="N613" s="250">
        <v>0.88913299999999995</v>
      </c>
    </row>
    <row r="614" spans="12:14">
      <c r="L614" s="250">
        <v>89.199999999999079</v>
      </c>
      <c r="M614" s="250">
        <v>0.82825700000000002</v>
      </c>
      <c r="N614" s="250">
        <v>0.88870000000000005</v>
      </c>
    </row>
    <row r="615" spans="12:14">
      <c r="L615" s="250">
        <v>89.299999999999073</v>
      </c>
      <c r="M615" s="250">
        <v>0.82788499999999998</v>
      </c>
      <c r="N615" s="250">
        <v>0.88826799999999995</v>
      </c>
    </row>
    <row r="616" spans="12:14">
      <c r="L616" s="250">
        <v>89.399999999999068</v>
      </c>
      <c r="M616" s="250">
        <v>0.82751399999999997</v>
      </c>
      <c r="N616" s="250">
        <v>0.88783699999999999</v>
      </c>
    </row>
    <row r="617" spans="12:14">
      <c r="L617" s="250">
        <v>89.499999999999062</v>
      </c>
      <c r="M617" s="250">
        <v>0.82714399999999999</v>
      </c>
      <c r="N617" s="250">
        <v>0.88740600000000003</v>
      </c>
    </row>
    <row r="618" spans="12:14">
      <c r="L618" s="250">
        <v>89.599999999999056</v>
      </c>
      <c r="M618" s="250">
        <v>0.82677400000000001</v>
      </c>
      <c r="N618" s="250">
        <v>0.88697599999999999</v>
      </c>
    </row>
    <row r="619" spans="12:14">
      <c r="L619" s="250">
        <v>89.699999999999051</v>
      </c>
      <c r="M619" s="250">
        <v>0.82640499999999995</v>
      </c>
      <c r="N619" s="250">
        <v>0.88654699999999997</v>
      </c>
    </row>
    <row r="620" spans="12:14">
      <c r="L620" s="250">
        <v>89.799999999999045</v>
      </c>
      <c r="M620" s="250">
        <v>0.82603599999999999</v>
      </c>
      <c r="N620" s="250">
        <v>0.88611899999999999</v>
      </c>
    </row>
    <row r="621" spans="12:14">
      <c r="L621" s="250">
        <v>89.899999999999039</v>
      </c>
      <c r="M621" s="250">
        <v>0.82566799999999996</v>
      </c>
      <c r="N621" s="250">
        <v>0.88569200000000003</v>
      </c>
    </row>
    <row r="622" spans="12:14">
      <c r="L622" s="250">
        <v>89.999999999999034</v>
      </c>
      <c r="M622" s="250">
        <v>0.82530099999999995</v>
      </c>
      <c r="N622" s="250">
        <v>0.88526499999999997</v>
      </c>
    </row>
    <row r="623" spans="12:14">
      <c r="L623" s="250">
        <v>90.099999999999028</v>
      </c>
      <c r="M623" s="250">
        <v>0.82493499999999997</v>
      </c>
      <c r="N623" s="250">
        <v>0.88483900000000004</v>
      </c>
    </row>
    <row r="624" spans="12:14">
      <c r="L624" s="250">
        <v>90.199999999999022</v>
      </c>
      <c r="M624" s="250">
        <v>0.824569</v>
      </c>
      <c r="N624" s="250">
        <v>0.88441400000000003</v>
      </c>
    </row>
    <row r="625" spans="12:14">
      <c r="L625" s="250">
        <v>90.299999999999017</v>
      </c>
      <c r="M625" s="250">
        <v>0.82520400000000005</v>
      </c>
      <c r="N625" s="250">
        <v>0.88399000000000005</v>
      </c>
    </row>
    <row r="626" spans="12:14">
      <c r="L626" s="250">
        <v>90.399999999999011</v>
      </c>
      <c r="M626" s="250">
        <v>0.82383899999999999</v>
      </c>
      <c r="N626" s="250">
        <v>0.88356599999999996</v>
      </c>
    </row>
    <row r="627" spans="12:14">
      <c r="L627" s="250">
        <v>90.499999999999005</v>
      </c>
      <c r="M627" s="250">
        <v>0.82347499999999996</v>
      </c>
      <c r="N627" s="250">
        <v>0.88314400000000004</v>
      </c>
    </row>
    <row r="628" spans="12:14">
      <c r="L628" s="250">
        <v>90.599999999999</v>
      </c>
      <c r="M628" s="250">
        <v>0.82311199999999995</v>
      </c>
      <c r="N628" s="250">
        <v>0.88272200000000001</v>
      </c>
    </row>
    <row r="629" spans="12:14">
      <c r="L629" s="250">
        <v>90.699999999998994</v>
      </c>
      <c r="M629" s="250">
        <v>0.82274999999999998</v>
      </c>
      <c r="N629" s="250">
        <v>0.82230000000000003</v>
      </c>
    </row>
    <row r="630" spans="12:14">
      <c r="L630" s="250">
        <v>90.799999999998988</v>
      </c>
      <c r="M630" s="250">
        <v>0.82238800000000001</v>
      </c>
      <c r="N630" s="250">
        <v>0.88188</v>
      </c>
    </row>
    <row r="631" spans="12:14">
      <c r="L631" s="250">
        <v>90.899999999998983</v>
      </c>
      <c r="M631" s="250">
        <v>0.82202600000000003</v>
      </c>
      <c r="N631" s="250">
        <v>0.88146000000000002</v>
      </c>
    </row>
    <row r="632" spans="12:14">
      <c r="L632" s="250">
        <v>90.999999999998977</v>
      </c>
      <c r="M632" s="250">
        <v>0.82166600000000001</v>
      </c>
      <c r="N632" s="250">
        <v>0.88104099999999996</v>
      </c>
    </row>
    <row r="633" spans="12:14">
      <c r="L633" s="250">
        <v>91.099999999998971</v>
      </c>
      <c r="M633" s="250">
        <v>0.82130599999999998</v>
      </c>
      <c r="N633" s="250">
        <v>0.88062300000000004</v>
      </c>
    </row>
    <row r="634" spans="12:14">
      <c r="L634" s="250">
        <v>91.199999999998965</v>
      </c>
      <c r="M634" s="250">
        <v>0.82094699999999998</v>
      </c>
      <c r="N634" s="250">
        <v>0.88020600000000004</v>
      </c>
    </row>
    <row r="635" spans="12:14">
      <c r="L635" s="250">
        <v>91.29999999999896</v>
      </c>
      <c r="M635" s="250">
        <v>0.82058799999999998</v>
      </c>
      <c r="N635" s="250">
        <v>0.87978900000000004</v>
      </c>
    </row>
    <row r="636" spans="12:14">
      <c r="L636" s="250">
        <v>91.399999999998954</v>
      </c>
      <c r="M636" s="250">
        <v>0.82023000000000001</v>
      </c>
      <c r="N636" s="250">
        <v>0.87937299999999996</v>
      </c>
    </row>
    <row r="637" spans="12:14">
      <c r="L637" s="250">
        <v>91.499999999998948</v>
      </c>
      <c r="M637" s="250">
        <v>0.81987200000000005</v>
      </c>
      <c r="N637" s="250">
        <v>0.87895800000000002</v>
      </c>
    </row>
    <row r="638" spans="12:14">
      <c r="L638" s="250">
        <v>91.599999999998943</v>
      </c>
      <c r="M638" s="250">
        <v>0.81951600000000002</v>
      </c>
      <c r="N638" s="250">
        <v>0.87854399999999999</v>
      </c>
    </row>
    <row r="639" spans="12:14">
      <c r="L639" s="250">
        <v>91.699999999998937</v>
      </c>
      <c r="M639" s="250">
        <v>0.81915899999999997</v>
      </c>
      <c r="N639" s="250">
        <v>0.87812999999999997</v>
      </c>
    </row>
    <row r="640" spans="12:14">
      <c r="L640" s="250">
        <v>91.799999999998931</v>
      </c>
      <c r="M640" s="250">
        <v>0.81880399999999998</v>
      </c>
      <c r="N640" s="250">
        <v>0.87771699999999997</v>
      </c>
    </row>
    <row r="641" spans="12:14">
      <c r="L641" s="250">
        <v>91.899999999998926</v>
      </c>
      <c r="M641" s="250">
        <v>0.81844899999999998</v>
      </c>
      <c r="N641" s="250">
        <v>0.877305</v>
      </c>
    </row>
    <row r="642" spans="12:14">
      <c r="L642" s="250">
        <v>91.99999999999892</v>
      </c>
      <c r="M642" s="250">
        <v>0.81809500000000002</v>
      </c>
      <c r="N642" s="250">
        <v>0.87689399999999995</v>
      </c>
    </row>
    <row r="643" spans="12:14">
      <c r="L643" s="250">
        <v>92.099999999998914</v>
      </c>
      <c r="M643" s="250">
        <v>0.81774100000000005</v>
      </c>
      <c r="N643" s="250">
        <v>0.87648300000000001</v>
      </c>
    </row>
    <row r="644" spans="12:14">
      <c r="L644" s="250">
        <v>92.199999999998909</v>
      </c>
      <c r="M644" s="250">
        <v>0.817388</v>
      </c>
      <c r="N644" s="250">
        <v>0.87607299999999999</v>
      </c>
    </row>
    <row r="645" spans="12:14">
      <c r="L645" s="250">
        <v>92.299999999998903</v>
      </c>
      <c r="M645" s="250">
        <v>0.81703499999999996</v>
      </c>
      <c r="N645" s="250">
        <v>0.875664</v>
      </c>
    </row>
    <row r="646" spans="12:14">
      <c r="L646" s="250">
        <v>92.399999999998897</v>
      </c>
      <c r="M646" s="250">
        <v>0.81668399999999997</v>
      </c>
      <c r="N646" s="250">
        <v>0.87525500000000001</v>
      </c>
    </row>
    <row r="647" spans="12:14">
      <c r="L647" s="250">
        <v>92.499999999998892</v>
      </c>
      <c r="M647" s="250">
        <v>0.81633199999999995</v>
      </c>
      <c r="N647" s="250">
        <v>0.87484799999999996</v>
      </c>
    </row>
    <row r="648" spans="12:14">
      <c r="L648" s="250">
        <v>92.599999999998886</v>
      </c>
      <c r="M648" s="250">
        <v>0.81598199999999999</v>
      </c>
      <c r="N648" s="250">
        <v>0.87444100000000002</v>
      </c>
    </row>
    <row r="649" spans="12:14">
      <c r="L649" s="250">
        <v>92.69999999999888</v>
      </c>
      <c r="M649" s="250">
        <v>0.81563200000000002</v>
      </c>
      <c r="N649" s="250">
        <v>0.87403399999999998</v>
      </c>
    </row>
    <row r="650" spans="12:14">
      <c r="L650" s="250">
        <v>92.799999999998875</v>
      </c>
      <c r="M650" s="250">
        <v>0.81528299999999998</v>
      </c>
      <c r="N650" s="250">
        <v>0.87362899999999999</v>
      </c>
    </row>
    <row r="651" spans="12:14">
      <c r="L651" s="250">
        <v>92.899999999998869</v>
      </c>
      <c r="M651" s="250">
        <v>0.81493400000000005</v>
      </c>
      <c r="N651" s="250">
        <v>0.873224</v>
      </c>
    </row>
    <row r="652" spans="12:14">
      <c r="L652" s="250">
        <v>92.999999999998863</v>
      </c>
      <c r="M652" s="250">
        <v>0.81458600000000003</v>
      </c>
      <c r="N652" s="250">
        <v>0.87282000000000004</v>
      </c>
    </row>
    <row r="653" spans="12:14">
      <c r="L653" s="250">
        <v>93.099999999998857</v>
      </c>
      <c r="M653" s="250">
        <v>0.81423800000000002</v>
      </c>
      <c r="N653" s="250">
        <v>0.87241599999999997</v>
      </c>
    </row>
    <row r="654" spans="12:14">
      <c r="L654" s="250">
        <v>93.199999999998852</v>
      </c>
      <c r="M654" s="250">
        <v>0.81389100000000003</v>
      </c>
      <c r="N654" s="250">
        <v>0.87201399999999996</v>
      </c>
    </row>
    <row r="655" spans="12:14">
      <c r="L655" s="250">
        <v>93.299999999998846</v>
      </c>
      <c r="M655" s="250">
        <v>0.81354499999999996</v>
      </c>
      <c r="N655" s="250">
        <v>0.87161200000000005</v>
      </c>
    </row>
    <row r="656" spans="12:14">
      <c r="L656" s="250">
        <v>93.39999999999884</v>
      </c>
      <c r="M656" s="250">
        <v>0.81319900000000001</v>
      </c>
      <c r="N656" s="250">
        <v>0.87121000000000004</v>
      </c>
    </row>
    <row r="657" spans="12:14">
      <c r="L657" s="250">
        <v>93.499999999998835</v>
      </c>
      <c r="M657" s="250">
        <v>0.81285399999999997</v>
      </c>
      <c r="N657" s="250">
        <v>0.87080999999999997</v>
      </c>
    </row>
    <row r="658" spans="12:14">
      <c r="L658" s="250">
        <v>93.599999999998829</v>
      </c>
      <c r="M658" s="250">
        <v>0.81250900000000004</v>
      </c>
      <c r="N658" s="250">
        <v>0.87041000000000002</v>
      </c>
    </row>
    <row r="659" spans="12:14">
      <c r="L659" s="250">
        <v>93.699999999998823</v>
      </c>
      <c r="M659" s="250">
        <v>0.81216600000000005</v>
      </c>
      <c r="N659" s="250">
        <v>0.87001099999999998</v>
      </c>
    </row>
    <row r="660" spans="12:14">
      <c r="L660" s="250">
        <v>93.799999999998818</v>
      </c>
      <c r="M660" s="250">
        <v>0.81182200000000004</v>
      </c>
      <c r="N660" s="250">
        <v>0.86961200000000005</v>
      </c>
    </row>
    <row r="661" spans="12:14">
      <c r="L661" s="250">
        <v>93.899999999998812</v>
      </c>
      <c r="M661" s="250">
        <v>0.81147899999999995</v>
      </c>
      <c r="N661" s="250">
        <v>0.86921499999999996</v>
      </c>
    </row>
    <row r="662" spans="12:14">
      <c r="L662" s="250">
        <v>93.999999999998806</v>
      </c>
      <c r="M662" s="250">
        <v>0.811137</v>
      </c>
      <c r="N662" s="250">
        <v>0.86881799999999998</v>
      </c>
    </row>
    <row r="663" spans="12:14">
      <c r="L663" s="250">
        <v>94.099999999998801</v>
      </c>
      <c r="M663" s="250">
        <v>0.81079599999999996</v>
      </c>
      <c r="N663" s="250">
        <v>0.868421</v>
      </c>
    </row>
    <row r="664" spans="12:14">
      <c r="L664" s="250">
        <v>94.199999999998795</v>
      </c>
      <c r="M664" s="250">
        <v>0.81045500000000004</v>
      </c>
      <c r="N664" s="250">
        <v>0.86802599999999996</v>
      </c>
    </row>
    <row r="665" spans="12:14">
      <c r="L665" s="250">
        <v>94.299999999998789</v>
      </c>
      <c r="M665" s="250">
        <v>0.810114</v>
      </c>
      <c r="N665" s="250">
        <v>0.86763100000000004</v>
      </c>
    </row>
    <row r="666" spans="12:14">
      <c r="L666" s="250">
        <v>94.399999999998784</v>
      </c>
      <c r="M666" s="250">
        <v>0.80977399999999999</v>
      </c>
      <c r="N666" s="250">
        <v>0.86723600000000001</v>
      </c>
    </row>
    <row r="667" spans="12:14">
      <c r="L667" s="250">
        <v>94.499999999998778</v>
      </c>
      <c r="M667" s="250">
        <v>0.80943500000000002</v>
      </c>
      <c r="N667" s="250">
        <v>0.86684300000000003</v>
      </c>
    </row>
    <row r="668" spans="12:14">
      <c r="L668" s="250">
        <v>94.599999999998772</v>
      </c>
      <c r="M668" s="250">
        <v>0.80909699999999996</v>
      </c>
      <c r="N668" s="250">
        <v>0.86645000000000005</v>
      </c>
    </row>
    <row r="669" spans="12:14">
      <c r="L669" s="250">
        <v>94.699999999998766</v>
      </c>
      <c r="M669" s="250">
        <v>0.80875799999999998</v>
      </c>
      <c r="N669" s="250">
        <v>0.86605799999999999</v>
      </c>
    </row>
    <row r="670" spans="12:14">
      <c r="L670" s="250">
        <v>94.799999999998761</v>
      </c>
      <c r="M670" s="250">
        <v>0.80842099999999995</v>
      </c>
      <c r="N670" s="250">
        <v>0.86566600000000005</v>
      </c>
    </row>
    <row r="671" spans="12:14">
      <c r="L671" s="250">
        <v>94.899999999998755</v>
      </c>
      <c r="M671" s="250">
        <v>0.80808400000000002</v>
      </c>
      <c r="N671" s="250">
        <v>0.86527500000000002</v>
      </c>
    </row>
    <row r="672" spans="12:14">
      <c r="L672" s="250">
        <v>94.999999999998749</v>
      </c>
      <c r="M672" s="250">
        <v>0.80774800000000002</v>
      </c>
      <c r="N672" s="250">
        <v>0.86488500000000001</v>
      </c>
    </row>
    <row r="673" spans="12:14">
      <c r="L673" s="250">
        <v>95.099999999998744</v>
      </c>
      <c r="M673" s="250">
        <v>0.80741200000000002</v>
      </c>
      <c r="N673" s="250">
        <v>0.86449600000000004</v>
      </c>
    </row>
    <row r="674" spans="12:14">
      <c r="L674" s="250">
        <v>95.199999999998738</v>
      </c>
      <c r="M674" s="250">
        <v>0.80707700000000004</v>
      </c>
      <c r="N674" s="250">
        <v>0.86410699999999996</v>
      </c>
    </row>
    <row r="675" spans="12:14">
      <c r="L675" s="250">
        <v>95.299999999998732</v>
      </c>
      <c r="M675" s="250">
        <v>0.80674199999999996</v>
      </c>
      <c r="N675" s="250">
        <v>0.86371900000000001</v>
      </c>
    </row>
    <row r="676" spans="12:14">
      <c r="L676" s="250">
        <v>95.399999999998727</v>
      </c>
      <c r="M676" s="250">
        <v>0.80640800000000001</v>
      </c>
      <c r="N676" s="250">
        <v>0.86333099999999996</v>
      </c>
    </row>
    <row r="677" spans="12:14">
      <c r="L677" s="250">
        <v>95.499999999998721</v>
      </c>
      <c r="M677" s="250">
        <v>0.80607399999999996</v>
      </c>
      <c r="N677" s="250">
        <v>0.86294400000000004</v>
      </c>
    </row>
    <row r="678" spans="12:14">
      <c r="L678" s="250">
        <v>95.599999999998715</v>
      </c>
      <c r="M678" s="250">
        <v>0.80574100000000004</v>
      </c>
      <c r="N678" s="250">
        <v>0.86255800000000005</v>
      </c>
    </row>
    <row r="679" spans="12:14">
      <c r="L679" s="250">
        <v>95.69999999999871</v>
      </c>
      <c r="M679" s="250">
        <v>0.80540900000000004</v>
      </c>
      <c r="N679" s="250">
        <v>0.86217299999999997</v>
      </c>
    </row>
    <row r="680" spans="12:14">
      <c r="L680" s="250">
        <v>95.799999999998704</v>
      </c>
      <c r="M680" s="250">
        <v>0.80507700000000004</v>
      </c>
      <c r="N680" s="250">
        <v>0.861788</v>
      </c>
    </row>
    <row r="681" spans="12:14">
      <c r="L681" s="250">
        <v>95.899999999998698</v>
      </c>
      <c r="M681" s="250">
        <v>0.80464599999999997</v>
      </c>
      <c r="N681" s="250">
        <v>0.86140399999999995</v>
      </c>
    </row>
    <row r="682" spans="12:14">
      <c r="L682" s="250">
        <v>95.999999999998693</v>
      </c>
      <c r="M682" s="250">
        <v>0.80441499999999999</v>
      </c>
      <c r="N682" s="250">
        <v>0.86102000000000001</v>
      </c>
    </row>
    <row r="683" spans="12:14">
      <c r="L683" s="250">
        <v>96.099999999998687</v>
      </c>
      <c r="M683" s="250">
        <v>0.80408500000000005</v>
      </c>
      <c r="N683" s="250">
        <v>0.86063699999999999</v>
      </c>
    </row>
    <row r="684" spans="12:14">
      <c r="L684" s="250">
        <v>96.199999999998681</v>
      </c>
      <c r="M684" s="250">
        <v>0.803755</v>
      </c>
      <c r="N684" s="250">
        <v>0.86025499999999999</v>
      </c>
    </row>
    <row r="685" spans="12:14">
      <c r="L685" s="250">
        <v>96.299999999998676</v>
      </c>
      <c r="M685" s="250">
        <v>0.80342599999999997</v>
      </c>
      <c r="N685" s="250">
        <v>0.85987400000000003</v>
      </c>
    </row>
    <row r="686" spans="12:14">
      <c r="L686" s="250">
        <v>96.39999999999867</v>
      </c>
      <c r="M686" s="250">
        <v>0.80309799999999998</v>
      </c>
      <c r="N686" s="250">
        <v>0.85949299999999995</v>
      </c>
    </row>
    <row r="687" spans="12:14">
      <c r="L687" s="250">
        <v>96.499999999998664</v>
      </c>
      <c r="M687" s="250">
        <v>0.80276999999999998</v>
      </c>
      <c r="N687" s="250">
        <v>0.85911199999999999</v>
      </c>
    </row>
    <row r="688" spans="12:14">
      <c r="L688" s="250">
        <v>96.599999999998658</v>
      </c>
      <c r="M688" s="250">
        <v>0.80244199999999999</v>
      </c>
      <c r="N688" s="250">
        <v>0.85873299999999997</v>
      </c>
    </row>
    <row r="689" spans="12:14">
      <c r="L689" s="250">
        <v>96.699999999998653</v>
      </c>
      <c r="M689" s="250">
        <v>0.80211500000000002</v>
      </c>
      <c r="N689" s="250">
        <v>0.85835399999999995</v>
      </c>
    </row>
    <row r="690" spans="12:14">
      <c r="L690" s="250">
        <v>96.799999999998647</v>
      </c>
      <c r="M690" s="250">
        <v>0.80178899999999997</v>
      </c>
      <c r="N690" s="250">
        <v>0.85797599999999996</v>
      </c>
    </row>
    <row r="691" spans="12:14">
      <c r="L691" s="250">
        <v>96.899999999998641</v>
      </c>
      <c r="M691" s="250">
        <v>0.80146300000000004</v>
      </c>
      <c r="N691" s="250">
        <v>0.85759799999999997</v>
      </c>
    </row>
    <row r="692" spans="12:14">
      <c r="L692" s="250">
        <v>96.999999999998636</v>
      </c>
      <c r="M692" s="250">
        <v>0.80113800000000002</v>
      </c>
      <c r="N692" s="250">
        <v>0.85722100000000001</v>
      </c>
    </row>
    <row r="693" spans="12:14">
      <c r="L693" s="250">
        <v>97.09999999999863</v>
      </c>
      <c r="M693" s="250">
        <v>0.800813</v>
      </c>
      <c r="N693" s="250">
        <v>0.85684499999999997</v>
      </c>
    </row>
    <row r="694" spans="12:14">
      <c r="L694" s="250">
        <v>97.199999999998624</v>
      </c>
      <c r="M694" s="250">
        <v>0.80048900000000001</v>
      </c>
      <c r="N694" s="250">
        <v>0.85646900000000004</v>
      </c>
    </row>
    <row r="695" spans="12:14">
      <c r="L695" s="250">
        <v>97.299999999998619</v>
      </c>
      <c r="M695" s="250">
        <v>0.80016600000000004</v>
      </c>
      <c r="N695" s="250">
        <v>0.85609400000000002</v>
      </c>
    </row>
    <row r="696" spans="12:14">
      <c r="L696" s="250">
        <v>97.399999999998613</v>
      </c>
      <c r="M696" s="250">
        <v>0.79984299999999997</v>
      </c>
      <c r="N696" s="250">
        <v>0.85571900000000001</v>
      </c>
    </row>
    <row r="697" spans="12:14">
      <c r="L697" s="250">
        <v>97.499999999998607</v>
      </c>
      <c r="M697" s="250">
        <v>0.79952000000000001</v>
      </c>
      <c r="N697" s="250">
        <v>0.85534500000000002</v>
      </c>
    </row>
    <row r="698" spans="12:14">
      <c r="L698" s="250">
        <v>97.599999999998602</v>
      </c>
      <c r="M698" s="250">
        <v>0.79919799999999996</v>
      </c>
      <c r="N698" s="250">
        <v>0.85497199999999995</v>
      </c>
    </row>
    <row r="699" spans="12:14">
      <c r="L699" s="250">
        <v>97.699999999998596</v>
      </c>
      <c r="M699" s="250">
        <v>0.79887600000000003</v>
      </c>
      <c r="N699" s="250">
        <v>0.85460000000000003</v>
      </c>
    </row>
    <row r="700" spans="12:14">
      <c r="L700" s="250">
        <v>97.79999999999859</v>
      </c>
      <c r="M700" s="250">
        <v>0.79855600000000004</v>
      </c>
      <c r="N700" s="250">
        <v>0.85422799999999999</v>
      </c>
    </row>
    <row r="701" spans="12:14">
      <c r="L701" s="250">
        <v>97.899999999998585</v>
      </c>
      <c r="M701" s="250">
        <v>0.79823500000000003</v>
      </c>
      <c r="N701" s="250">
        <v>0.85385599999999995</v>
      </c>
    </row>
    <row r="702" spans="12:14">
      <c r="L702" s="250">
        <v>97.999999999998579</v>
      </c>
      <c r="M702" s="250">
        <v>0.79791500000000004</v>
      </c>
      <c r="N702" s="250">
        <v>0.85348599999999997</v>
      </c>
    </row>
    <row r="703" spans="12:14">
      <c r="L703" s="250">
        <v>98.099999999998573</v>
      </c>
      <c r="M703" s="250">
        <v>0.79759599999999997</v>
      </c>
      <c r="N703" s="250">
        <v>0.85311599999999999</v>
      </c>
    </row>
    <row r="704" spans="12:14">
      <c r="L704" s="250">
        <v>98.199999999998568</v>
      </c>
      <c r="M704" s="250">
        <v>0.79727700000000001</v>
      </c>
      <c r="N704" s="250">
        <v>0.852746</v>
      </c>
    </row>
    <row r="705" spans="12:14">
      <c r="L705" s="250">
        <v>98.299999999998562</v>
      </c>
      <c r="M705" s="250">
        <v>0.79695899999999997</v>
      </c>
      <c r="N705" s="250">
        <v>0.85237700000000005</v>
      </c>
    </row>
    <row r="706" spans="12:14">
      <c r="L706" s="250">
        <v>98.399999999998556</v>
      </c>
      <c r="M706" s="250">
        <v>0.79664100000000004</v>
      </c>
      <c r="N706" s="250">
        <v>0.85200900000000002</v>
      </c>
    </row>
    <row r="707" spans="12:14">
      <c r="L707" s="250">
        <v>98.49999999999855</v>
      </c>
      <c r="M707" s="250">
        <v>0.796323</v>
      </c>
      <c r="N707" s="250">
        <v>0.85164099999999998</v>
      </c>
    </row>
    <row r="708" spans="12:14">
      <c r="L708" s="250">
        <v>98.599999999998545</v>
      </c>
      <c r="M708" s="250">
        <v>0.79600700000000002</v>
      </c>
      <c r="N708" s="250">
        <v>0.85127399999999998</v>
      </c>
    </row>
    <row r="709" spans="12:14">
      <c r="L709" s="250">
        <v>98.699999999998539</v>
      </c>
      <c r="M709" s="250">
        <v>0.79569000000000001</v>
      </c>
      <c r="N709" s="250">
        <v>0.850908</v>
      </c>
    </row>
    <row r="710" spans="12:14">
      <c r="L710" s="250">
        <v>98.799999999998533</v>
      </c>
      <c r="M710" s="250">
        <v>0.79537500000000005</v>
      </c>
      <c r="N710" s="250">
        <v>0.85054200000000002</v>
      </c>
    </row>
    <row r="711" spans="12:14">
      <c r="L711" s="250">
        <v>98.899999999998528</v>
      </c>
      <c r="M711" s="250">
        <v>0.79505899999999996</v>
      </c>
      <c r="N711" s="250">
        <v>0.85017699999999996</v>
      </c>
    </row>
    <row r="712" spans="12:14">
      <c r="L712" s="250">
        <v>98.999999999998522</v>
      </c>
      <c r="M712" s="250">
        <v>0.79474500000000003</v>
      </c>
      <c r="N712" s="250">
        <v>0.84981200000000001</v>
      </c>
    </row>
    <row r="713" spans="12:14">
      <c r="L713" s="250">
        <v>99.099999999998516</v>
      </c>
      <c r="M713" s="250">
        <v>0.794431</v>
      </c>
      <c r="N713" s="250">
        <v>0.84944799999999998</v>
      </c>
    </row>
    <row r="714" spans="12:14">
      <c r="L714" s="250">
        <v>99.199999999998511</v>
      </c>
      <c r="M714" s="250">
        <v>0.79411699999999996</v>
      </c>
      <c r="N714" s="250">
        <v>0.84908499999999998</v>
      </c>
    </row>
    <row r="715" spans="12:14">
      <c r="L715" s="250">
        <v>99.299999999998505</v>
      </c>
      <c r="M715" s="250">
        <v>0.79380399999999995</v>
      </c>
      <c r="N715" s="250">
        <v>0.84872199999999998</v>
      </c>
    </row>
    <row r="716" spans="12:14">
      <c r="L716" s="250">
        <v>99.399999999998499</v>
      </c>
      <c r="M716" s="250">
        <v>0.79349099999999995</v>
      </c>
      <c r="N716" s="250">
        <v>0.84836</v>
      </c>
    </row>
    <row r="717" spans="12:14">
      <c r="L717" s="250">
        <v>99.499999999998494</v>
      </c>
      <c r="M717" s="250">
        <v>0.79317899999999997</v>
      </c>
      <c r="N717" s="250">
        <v>0.84799899999999995</v>
      </c>
    </row>
    <row r="718" spans="12:14">
      <c r="L718" s="250">
        <v>99.599999999998488</v>
      </c>
      <c r="M718" s="250">
        <v>0.79286699999999999</v>
      </c>
      <c r="N718" s="250">
        <v>0.847638</v>
      </c>
    </row>
    <row r="719" spans="12:14">
      <c r="L719" s="250">
        <v>99.699999999998482</v>
      </c>
      <c r="M719" s="250">
        <v>0.79255600000000004</v>
      </c>
      <c r="N719" s="250">
        <v>0.84727699999999995</v>
      </c>
    </row>
    <row r="720" spans="12:14">
      <c r="L720" s="250">
        <v>99.799999999998477</v>
      </c>
      <c r="M720" s="250">
        <v>0.79224499999999998</v>
      </c>
      <c r="N720" s="250">
        <v>0.84691700000000003</v>
      </c>
    </row>
    <row r="721" spans="12:14">
      <c r="L721" s="250">
        <v>99.899999999998471</v>
      </c>
      <c r="M721" s="250">
        <v>0.79193500000000006</v>
      </c>
      <c r="N721" s="250">
        <v>0.84655800000000003</v>
      </c>
    </row>
    <row r="722" spans="12:14">
      <c r="L722" s="250">
        <v>99.999999999998465</v>
      </c>
      <c r="M722" s="250">
        <v>0.79162500000000002</v>
      </c>
      <c r="N722" s="250">
        <v>0.84619999999999995</v>
      </c>
    </row>
    <row r="723" spans="12:14">
      <c r="L723" s="250">
        <v>100.09999999999846</v>
      </c>
      <c r="M723" s="250">
        <v>0.79131600000000002</v>
      </c>
      <c r="N723" s="250">
        <v>0.84584199999999998</v>
      </c>
    </row>
    <row r="724" spans="12:14">
      <c r="L724" s="250">
        <v>100.19999999999845</v>
      </c>
      <c r="M724" s="250">
        <v>0.79100800000000004</v>
      </c>
      <c r="N724" s="250">
        <v>0.84548400000000001</v>
      </c>
    </row>
    <row r="725" spans="12:14">
      <c r="L725" s="250">
        <v>100.29999999999845</v>
      </c>
      <c r="M725" s="250">
        <v>0.79069900000000004</v>
      </c>
      <c r="N725" s="250">
        <v>0.84512699999999996</v>
      </c>
    </row>
    <row r="726" spans="12:14">
      <c r="L726" s="250">
        <v>100.39999999999844</v>
      </c>
      <c r="M726" s="250">
        <v>0.79039199999999998</v>
      </c>
      <c r="N726" s="250">
        <v>0.84477100000000005</v>
      </c>
    </row>
    <row r="727" spans="12:14">
      <c r="L727" s="250">
        <v>100.49999999999844</v>
      </c>
      <c r="M727" s="250">
        <v>0.79008500000000004</v>
      </c>
      <c r="N727" s="250">
        <v>0.84441500000000003</v>
      </c>
    </row>
    <row r="728" spans="12:14">
      <c r="L728" s="250">
        <v>100.59999999999843</v>
      </c>
      <c r="M728" s="250">
        <v>0.78977799999999998</v>
      </c>
      <c r="N728" s="250">
        <v>0.84406000000000003</v>
      </c>
    </row>
    <row r="729" spans="12:14">
      <c r="L729" s="250">
        <v>100.69999999999843</v>
      </c>
      <c r="M729" s="250">
        <v>0.78947199999999995</v>
      </c>
      <c r="N729" s="250">
        <v>0.84370599999999996</v>
      </c>
    </row>
    <row r="730" spans="12:14">
      <c r="L730" s="250">
        <v>100.79999999999842</v>
      </c>
      <c r="M730" s="250">
        <v>0.78916600000000003</v>
      </c>
      <c r="N730" s="250">
        <v>0.84335199999999999</v>
      </c>
    </row>
    <row r="731" spans="12:14">
      <c r="L731" s="250">
        <v>100.89999999999841</v>
      </c>
      <c r="M731" s="250">
        <v>0.78886100000000003</v>
      </c>
      <c r="N731" s="250">
        <v>0.84299800000000003</v>
      </c>
    </row>
    <row r="732" spans="12:14">
      <c r="L732" s="250">
        <v>100.99999999999841</v>
      </c>
      <c r="M732" s="250">
        <v>0.78855600000000003</v>
      </c>
      <c r="N732" s="250">
        <v>0.84264600000000001</v>
      </c>
    </row>
    <row r="733" spans="12:14">
      <c r="L733" s="250">
        <v>101.0999999999984</v>
      </c>
      <c r="M733" s="250">
        <v>0.78825199999999995</v>
      </c>
      <c r="N733" s="250">
        <v>0.84229299999999996</v>
      </c>
    </row>
    <row r="734" spans="12:14">
      <c r="L734" s="250">
        <v>101.1999999999984</v>
      </c>
      <c r="M734" s="250">
        <v>0.78794799999999998</v>
      </c>
      <c r="N734" s="250">
        <v>0.84194199999999997</v>
      </c>
    </row>
    <row r="735" spans="12:14">
      <c r="L735" s="250">
        <v>101.29999999999839</v>
      </c>
      <c r="M735" s="250">
        <v>0.78764500000000004</v>
      </c>
      <c r="N735" s="250">
        <v>0.84159099999999998</v>
      </c>
    </row>
    <row r="736" spans="12:14">
      <c r="L736" s="250">
        <v>101.39999999999839</v>
      </c>
      <c r="M736" s="250">
        <v>0.78734199999999999</v>
      </c>
      <c r="N736" s="250">
        <v>0.84123999999999999</v>
      </c>
    </row>
    <row r="737" spans="12:14">
      <c r="L737" s="250">
        <v>101.49999999999838</v>
      </c>
      <c r="M737" s="250">
        <v>0.78703900000000004</v>
      </c>
      <c r="N737" s="250">
        <v>0.84089000000000003</v>
      </c>
    </row>
    <row r="738" spans="12:14">
      <c r="L738" s="250">
        <v>101.59999999999837</v>
      </c>
      <c r="M738" s="250">
        <v>0.78673800000000005</v>
      </c>
      <c r="N738" s="250">
        <v>0.84054099999999998</v>
      </c>
    </row>
    <row r="739" spans="12:14">
      <c r="L739" s="250">
        <v>101.69999999999837</v>
      </c>
      <c r="M739" s="250">
        <v>0.78643600000000002</v>
      </c>
      <c r="N739" s="250">
        <v>0.84019200000000005</v>
      </c>
    </row>
    <row r="740" spans="12:14">
      <c r="L740" s="250">
        <v>101.79999999999836</v>
      </c>
      <c r="M740" s="250">
        <v>0.78613500000000003</v>
      </c>
      <c r="N740" s="250">
        <v>0.83984400000000003</v>
      </c>
    </row>
    <row r="741" spans="12:14">
      <c r="L741" s="250">
        <v>101.89999999999836</v>
      </c>
      <c r="M741" s="250">
        <v>0.78583499999999995</v>
      </c>
      <c r="N741" s="250">
        <v>0.939496</v>
      </c>
    </row>
    <row r="742" spans="12:14">
      <c r="L742" s="250">
        <v>101.99999999999835</v>
      </c>
      <c r="M742" s="250">
        <v>0.78553499999999998</v>
      </c>
      <c r="N742" s="250">
        <v>0.83914900000000003</v>
      </c>
    </row>
    <row r="743" spans="12:14">
      <c r="L743" s="250">
        <v>102.09999999999835</v>
      </c>
      <c r="M743" s="250">
        <v>0.78523500000000002</v>
      </c>
      <c r="N743" s="250">
        <v>0.83880200000000005</v>
      </c>
    </row>
    <row r="744" spans="12:14">
      <c r="L744" s="250">
        <v>102.19999999999834</v>
      </c>
      <c r="M744" s="250">
        <v>0.78493599999999997</v>
      </c>
      <c r="N744" s="250">
        <v>0.83845599999999998</v>
      </c>
    </row>
    <row r="745" spans="12:14">
      <c r="L745" s="250">
        <v>102.29999999999833</v>
      </c>
      <c r="M745" s="250">
        <v>0.78463799999999995</v>
      </c>
      <c r="N745" s="250">
        <v>0.83811100000000005</v>
      </c>
    </row>
    <row r="746" spans="12:14">
      <c r="L746" s="250">
        <v>102.39999999999833</v>
      </c>
      <c r="M746" s="250">
        <v>0.78434000000000004</v>
      </c>
      <c r="N746" s="250">
        <v>0.83776600000000001</v>
      </c>
    </row>
    <row r="747" spans="12:14">
      <c r="L747" s="250">
        <v>102.49999999999832</v>
      </c>
      <c r="M747" s="250">
        <v>0.78404200000000002</v>
      </c>
      <c r="N747" s="250">
        <v>0.83742099999999997</v>
      </c>
    </row>
    <row r="748" spans="12:14">
      <c r="L748" s="250">
        <v>102.59999999999832</v>
      </c>
      <c r="M748" s="250">
        <v>0.78374500000000002</v>
      </c>
      <c r="N748" s="250">
        <v>0.83707799999999999</v>
      </c>
    </row>
    <row r="749" spans="12:14">
      <c r="L749" s="250">
        <v>102.69999999999831</v>
      </c>
      <c r="M749" s="250">
        <v>0.78344800000000003</v>
      </c>
      <c r="N749" s="250">
        <v>0.83673399999999998</v>
      </c>
    </row>
    <row r="750" spans="12:14">
      <c r="L750" s="250">
        <v>102.79999999999831</v>
      </c>
      <c r="M750" s="250">
        <v>0.78315199999999996</v>
      </c>
      <c r="N750" s="250">
        <v>0.83639200000000002</v>
      </c>
    </row>
    <row r="751" spans="12:14">
      <c r="L751" s="250">
        <v>102.8999999999983</v>
      </c>
      <c r="M751" s="250">
        <v>0.782856</v>
      </c>
      <c r="N751" s="250">
        <v>0.83604900000000004</v>
      </c>
    </row>
    <row r="752" spans="12:14">
      <c r="L752" s="250">
        <v>102.99999999999829</v>
      </c>
      <c r="M752" s="250">
        <v>0.78256099999999995</v>
      </c>
      <c r="N752" s="250">
        <v>0.83570800000000001</v>
      </c>
    </row>
    <row r="753" spans="12:14">
      <c r="L753" s="250">
        <v>103.09999999999829</v>
      </c>
      <c r="M753" s="250">
        <v>0.78226600000000002</v>
      </c>
      <c r="N753" s="250">
        <v>0.83536699999999997</v>
      </c>
    </row>
    <row r="754" spans="12:14">
      <c r="L754" s="250">
        <v>103.19999999999828</v>
      </c>
      <c r="M754" s="250" t="s">
        <v>193</v>
      </c>
      <c r="N754" s="250">
        <v>0.83502600000000005</v>
      </c>
    </row>
    <row r="755" spans="12:14">
      <c r="L755" s="250">
        <v>103.29999999999828</v>
      </c>
      <c r="M755" s="250">
        <v>0.78167799999999998</v>
      </c>
      <c r="N755" s="250">
        <v>0.83468600000000004</v>
      </c>
    </row>
    <row r="756" spans="12:14">
      <c r="L756" s="250">
        <v>103.39999999999827</v>
      </c>
      <c r="M756" s="250">
        <v>0.78138399999999997</v>
      </c>
      <c r="N756" s="250">
        <v>0.83434699999999995</v>
      </c>
    </row>
    <row r="757" spans="12:14">
      <c r="L757" s="250">
        <v>103.49999999999827</v>
      </c>
      <c r="M757" s="250">
        <v>0.78109099999999998</v>
      </c>
      <c r="N757" s="250">
        <v>0.83400799999999997</v>
      </c>
    </row>
    <row r="758" spans="12:14">
      <c r="L758" s="250">
        <v>103.59999999999826</v>
      </c>
      <c r="M758" s="250">
        <v>0.78079900000000002</v>
      </c>
      <c r="N758" s="250">
        <v>0.83366899999999999</v>
      </c>
    </row>
    <row r="759" spans="12:14">
      <c r="L759" s="250">
        <v>103.69999999999825</v>
      </c>
      <c r="M759" s="250">
        <v>0.78050699999999995</v>
      </c>
      <c r="N759" s="250">
        <v>0.83333100000000004</v>
      </c>
    </row>
    <row r="760" spans="12:14">
      <c r="L760" s="250">
        <v>103.79999999999825</v>
      </c>
      <c r="M760" s="250">
        <v>0.78021499999999999</v>
      </c>
      <c r="N760" s="250">
        <v>0.83299400000000001</v>
      </c>
    </row>
    <row r="761" spans="12:14">
      <c r="L761" s="250">
        <v>103.89999999999824</v>
      </c>
      <c r="M761" s="250">
        <v>0.77992399999999995</v>
      </c>
      <c r="N761" s="250">
        <v>0.83265699999999998</v>
      </c>
    </row>
    <row r="762" spans="12:14">
      <c r="L762" s="250">
        <v>103.99999999999824</v>
      </c>
      <c r="M762" s="250">
        <v>0.77963300000000002</v>
      </c>
      <c r="N762" s="250">
        <v>0.83232099999999998</v>
      </c>
    </row>
    <row r="763" spans="12:14">
      <c r="L763" s="250">
        <v>104.09999999999823</v>
      </c>
      <c r="M763" s="250">
        <v>0.77934300000000001</v>
      </c>
      <c r="N763" s="250">
        <v>0.83198499999999997</v>
      </c>
    </row>
    <row r="764" spans="12:14">
      <c r="L764" s="250">
        <v>104.19999999999823</v>
      </c>
      <c r="M764" s="250">
        <v>0.779053</v>
      </c>
      <c r="N764" s="250">
        <v>0.83165</v>
      </c>
    </row>
    <row r="765" spans="12:14">
      <c r="L765" s="250">
        <v>104.29999999999822</v>
      </c>
      <c r="M765" s="250">
        <v>0.77876299999999998</v>
      </c>
      <c r="N765" s="250">
        <v>0.83131500000000003</v>
      </c>
    </row>
    <row r="766" spans="12:14">
      <c r="L766" s="250">
        <v>104.39999999999822</v>
      </c>
      <c r="M766" s="250">
        <v>0.778474</v>
      </c>
      <c r="N766" s="250">
        <v>0.83098099999999997</v>
      </c>
    </row>
    <row r="767" spans="12:14">
      <c r="L767" s="250">
        <v>104.49999999999821</v>
      </c>
      <c r="M767" s="250">
        <v>0.77818600000000004</v>
      </c>
      <c r="N767" s="250">
        <v>0.83064700000000002</v>
      </c>
    </row>
    <row r="768" spans="12:14">
      <c r="L768" s="250">
        <v>104.5999999999982</v>
      </c>
      <c r="M768" s="250">
        <v>0.77789799999999998</v>
      </c>
      <c r="N768" s="250">
        <v>0.830314</v>
      </c>
    </row>
    <row r="769" spans="12:14">
      <c r="L769" s="250">
        <v>104.6999999999982</v>
      </c>
      <c r="M769" s="250">
        <v>0.77761000000000002</v>
      </c>
      <c r="N769" s="250">
        <v>0.829982</v>
      </c>
    </row>
    <row r="770" spans="12:14">
      <c r="L770" s="250">
        <v>104.79999999999819</v>
      </c>
      <c r="M770" s="250">
        <v>0.77732299999999999</v>
      </c>
      <c r="N770" s="250">
        <v>0.82965</v>
      </c>
    </row>
    <row r="771" spans="12:14">
      <c r="L771" s="250">
        <v>104.89999999999819</v>
      </c>
      <c r="M771" s="250">
        <v>0.77703599999999995</v>
      </c>
      <c r="N771" s="250">
        <v>0.829318</v>
      </c>
    </row>
    <row r="772" spans="12:14">
      <c r="L772" s="250">
        <v>104.99999999999818</v>
      </c>
      <c r="M772" s="250">
        <v>0.77675000000000005</v>
      </c>
      <c r="N772" s="250">
        <v>0.82898700000000003</v>
      </c>
    </row>
    <row r="773" spans="12:14">
      <c r="L773" s="250">
        <v>105.09999999999818</v>
      </c>
      <c r="M773" s="250">
        <v>0.77646400000000004</v>
      </c>
      <c r="N773" s="250">
        <v>0.82865599999999995</v>
      </c>
    </row>
    <row r="774" spans="12:14">
      <c r="L774" s="250">
        <v>105.19999999999817</v>
      </c>
      <c r="M774" s="250">
        <v>0.77617800000000003</v>
      </c>
      <c r="N774" s="250">
        <v>0.82832600000000001</v>
      </c>
    </row>
    <row r="775" spans="12:14">
      <c r="L775" s="250">
        <v>105.29999999999816</v>
      </c>
      <c r="M775" s="250">
        <v>0.77589300000000005</v>
      </c>
      <c r="N775" s="250">
        <v>0.82799699999999998</v>
      </c>
    </row>
    <row r="776" spans="12:14">
      <c r="L776" s="250">
        <v>105.39999999999816</v>
      </c>
      <c r="M776" s="250">
        <v>0.77560899999999999</v>
      </c>
      <c r="N776" s="250">
        <v>0.82766799999999996</v>
      </c>
    </row>
    <row r="777" spans="12:14">
      <c r="L777" s="250">
        <v>105.49999999999815</v>
      </c>
      <c r="M777" s="250">
        <v>0.77532500000000004</v>
      </c>
      <c r="N777" s="250">
        <v>0.82733900000000005</v>
      </c>
    </row>
    <row r="778" spans="12:14">
      <c r="L778" s="250">
        <v>105.59999999999815</v>
      </c>
      <c r="M778" s="250">
        <v>0.77504099999999998</v>
      </c>
      <c r="N778" s="250">
        <v>0.82701100000000005</v>
      </c>
    </row>
    <row r="779" spans="12:14">
      <c r="L779" s="250">
        <v>105.69999999999814</v>
      </c>
      <c r="M779" s="250">
        <v>0.77475799999999995</v>
      </c>
      <c r="N779" s="250">
        <v>0.82668399999999997</v>
      </c>
    </row>
    <row r="780" spans="12:14">
      <c r="L780" s="250">
        <v>105.79999999999814</v>
      </c>
      <c r="M780" s="250">
        <v>0.77447500000000002</v>
      </c>
      <c r="N780" s="250">
        <v>0.82635700000000001</v>
      </c>
    </row>
    <row r="781" spans="12:14">
      <c r="L781" s="250">
        <v>105.89999999999813</v>
      </c>
      <c r="M781" s="250">
        <v>0.77419199999999999</v>
      </c>
      <c r="N781" s="250">
        <v>0.82603000000000004</v>
      </c>
    </row>
    <row r="782" spans="12:14">
      <c r="L782" s="250">
        <v>105.99999999999812</v>
      </c>
      <c r="M782" s="250">
        <v>0.77390999999999999</v>
      </c>
      <c r="N782" s="250">
        <v>0.82570399999999999</v>
      </c>
    </row>
    <row r="783" spans="12:14">
      <c r="L783" s="250">
        <v>106.09999999999812</v>
      </c>
      <c r="M783" s="250">
        <v>0.77362900000000001</v>
      </c>
      <c r="N783" s="250">
        <v>0.82537899999999997</v>
      </c>
    </row>
    <row r="784" spans="12:14">
      <c r="L784" s="250">
        <v>106.19999999999811</v>
      </c>
      <c r="M784" s="250">
        <v>0.77334800000000004</v>
      </c>
      <c r="N784" s="250">
        <v>0.82505399999999995</v>
      </c>
    </row>
    <row r="785" spans="12:14">
      <c r="L785" s="250">
        <v>106.29999999999811</v>
      </c>
      <c r="M785" s="250">
        <v>0.77306699999999995</v>
      </c>
      <c r="N785" s="250">
        <v>0.82472999999999996</v>
      </c>
    </row>
    <row r="786" spans="12:14">
      <c r="L786" s="250">
        <v>106.3999999999981</v>
      </c>
      <c r="M786" s="250">
        <v>0.77278599999999997</v>
      </c>
      <c r="N786" s="250">
        <v>0.82440599999999997</v>
      </c>
    </row>
    <row r="787" spans="12:14">
      <c r="L787" s="250">
        <v>106.4999999999981</v>
      </c>
      <c r="M787" s="250">
        <v>0.77250700000000005</v>
      </c>
      <c r="N787" s="250">
        <v>0.82408199999999998</v>
      </c>
    </row>
    <row r="788" spans="12:14">
      <c r="L788" s="250">
        <v>106.59999999999809</v>
      </c>
      <c r="M788" s="250">
        <v>0.772227</v>
      </c>
      <c r="N788" s="250">
        <v>0.82375900000000002</v>
      </c>
    </row>
    <row r="789" spans="12:14">
      <c r="L789" s="250">
        <v>106.69999999999808</v>
      </c>
      <c r="M789" s="250">
        <v>0.77194799999999997</v>
      </c>
      <c r="N789" s="250">
        <v>0.82343699999999997</v>
      </c>
    </row>
    <row r="790" spans="12:14">
      <c r="L790" s="250">
        <v>106.79999999999808</v>
      </c>
      <c r="M790" s="250">
        <v>0.77166900000000005</v>
      </c>
      <c r="N790" s="250">
        <v>0.82311500000000004</v>
      </c>
    </row>
    <row r="791" spans="12:14">
      <c r="L791" s="250">
        <v>106.89999999999807</v>
      </c>
      <c r="M791" s="250">
        <v>0.77139100000000005</v>
      </c>
      <c r="N791" s="250">
        <v>0.822793</v>
      </c>
    </row>
    <row r="792" spans="12:14">
      <c r="L792" s="250">
        <v>106.99999999999807</v>
      </c>
      <c r="M792" s="250">
        <v>0.77111300000000005</v>
      </c>
      <c r="N792" s="250">
        <v>0.82247199999999998</v>
      </c>
    </row>
    <row r="793" spans="12:14">
      <c r="L793" s="250">
        <v>107.09999999999806</v>
      </c>
      <c r="M793" s="250">
        <v>0.77083599999999997</v>
      </c>
      <c r="N793" s="250">
        <v>0.82215199999999999</v>
      </c>
    </row>
    <row r="794" spans="12:14">
      <c r="L794" s="250">
        <v>107.19999999999806</v>
      </c>
      <c r="M794" s="250">
        <v>0.77055899999999999</v>
      </c>
      <c r="N794" s="250">
        <v>0.82183200000000001</v>
      </c>
    </row>
    <row r="795" spans="12:14">
      <c r="L795" s="250">
        <v>107.29999999999805</v>
      </c>
      <c r="M795" s="250">
        <v>0.77028200000000002</v>
      </c>
      <c r="N795" s="250">
        <v>0.82151200000000002</v>
      </c>
    </row>
    <row r="796" spans="12:14">
      <c r="L796" s="250">
        <v>107.39999999999804</v>
      </c>
      <c r="M796" s="250">
        <v>0.77000599999999997</v>
      </c>
      <c r="N796" s="250">
        <v>0.82119299999999995</v>
      </c>
    </row>
    <row r="797" spans="12:14">
      <c r="L797" s="250">
        <v>107.49999999999804</v>
      </c>
      <c r="M797" s="250">
        <v>0.76973000000000003</v>
      </c>
      <c r="N797" s="250">
        <v>0.82087399999999999</v>
      </c>
    </row>
    <row r="798" spans="12:14">
      <c r="L798" s="250">
        <v>107.59999999999803</v>
      </c>
      <c r="M798" s="250">
        <v>0.769455</v>
      </c>
      <c r="N798" s="250">
        <v>0.82055599999999995</v>
      </c>
    </row>
    <row r="799" spans="12:14">
      <c r="L799" s="250">
        <v>107.69999999999803</v>
      </c>
      <c r="M799" s="250">
        <v>0.76917999999999997</v>
      </c>
      <c r="N799" s="250">
        <v>0.82023900000000005</v>
      </c>
    </row>
    <row r="800" spans="12:14">
      <c r="L800" s="250">
        <v>107.79999999999802</v>
      </c>
      <c r="M800" s="250">
        <v>0.76890599999999998</v>
      </c>
      <c r="N800" s="250">
        <v>0.81992200000000004</v>
      </c>
    </row>
    <row r="801" spans="12:14">
      <c r="L801" s="250">
        <v>107.89999999999802</v>
      </c>
      <c r="M801" s="250">
        <v>0.76863199999999998</v>
      </c>
      <c r="N801" s="250">
        <v>0.81960500000000003</v>
      </c>
    </row>
    <row r="802" spans="12:14">
      <c r="L802" s="250">
        <v>107.99999999999801</v>
      </c>
      <c r="M802" s="250">
        <v>0.76835799999999999</v>
      </c>
      <c r="N802" s="250">
        <v>0.81928900000000004</v>
      </c>
    </row>
    <row r="803" spans="12:14">
      <c r="L803" s="250">
        <v>108.099999999998</v>
      </c>
      <c r="M803" s="250">
        <v>0.76808500000000002</v>
      </c>
      <c r="N803" s="250">
        <v>0.81897299999999995</v>
      </c>
    </row>
    <row r="804" spans="12:14">
      <c r="L804" s="250">
        <v>108.199999999998</v>
      </c>
      <c r="M804" s="250">
        <v>0.76781200000000005</v>
      </c>
      <c r="N804" s="250">
        <v>0.818658</v>
      </c>
    </row>
    <row r="805" spans="12:14">
      <c r="L805" s="250">
        <v>108.29999999999799</v>
      </c>
      <c r="M805" s="250">
        <v>0.76753899999999997</v>
      </c>
      <c r="N805" s="250">
        <v>0.81834300000000004</v>
      </c>
    </row>
    <row r="806" spans="12:14">
      <c r="L806" s="250">
        <v>108.39999999999799</v>
      </c>
      <c r="M806" s="250">
        <v>0.76726700000000003</v>
      </c>
      <c r="N806" s="250">
        <v>0.81802900000000001</v>
      </c>
    </row>
    <row r="807" spans="12:14">
      <c r="L807" s="250">
        <v>108.49999999999798</v>
      </c>
      <c r="M807" s="250">
        <v>0.76699499999999998</v>
      </c>
      <c r="N807" s="250">
        <v>0.81771499999999997</v>
      </c>
    </row>
    <row r="808" spans="12:14">
      <c r="L808" s="250">
        <v>108.59999999999798</v>
      </c>
      <c r="M808" s="250">
        <v>0.76672399999999996</v>
      </c>
      <c r="N808" s="250">
        <v>0.81740199999999996</v>
      </c>
    </row>
    <row r="809" spans="12:14">
      <c r="L809" s="250">
        <v>108.69999999999797</v>
      </c>
      <c r="M809" s="250">
        <v>0.76645300000000005</v>
      </c>
      <c r="N809" s="250">
        <v>0.81708899999999995</v>
      </c>
    </row>
    <row r="810" spans="12:14">
      <c r="L810" s="250">
        <v>108.79999999999797</v>
      </c>
      <c r="M810" s="250">
        <v>0.76618299999999995</v>
      </c>
      <c r="N810" s="250">
        <v>0.81677599999999995</v>
      </c>
    </row>
    <row r="811" spans="12:14">
      <c r="L811" s="250">
        <v>108.89999999999796</v>
      </c>
      <c r="M811" s="250">
        <v>0.76591299999999995</v>
      </c>
      <c r="N811" s="250">
        <v>0.81646399999999997</v>
      </c>
    </row>
    <row r="812" spans="12:14">
      <c r="L812" s="250">
        <v>108.99999999999795</v>
      </c>
      <c r="M812" s="250">
        <v>0.76564299999999996</v>
      </c>
      <c r="N812" s="250">
        <v>0.81615300000000002</v>
      </c>
    </row>
    <row r="813" spans="12:14">
      <c r="L813" s="250">
        <v>109.09999999999795</v>
      </c>
      <c r="M813" s="250">
        <v>0.765374</v>
      </c>
      <c r="N813" s="250">
        <v>0.81584199999999996</v>
      </c>
    </row>
    <row r="814" spans="12:14">
      <c r="L814" s="250">
        <v>109.19999999999794</v>
      </c>
      <c r="M814" s="250">
        <v>0.76510500000000004</v>
      </c>
      <c r="N814" s="250">
        <v>0.81553100000000001</v>
      </c>
    </row>
    <row r="815" spans="12:14">
      <c r="L815" s="250">
        <v>109.29999999999794</v>
      </c>
      <c r="M815" s="250">
        <v>0.76483599999999996</v>
      </c>
      <c r="N815" s="250">
        <v>0.81522099999999997</v>
      </c>
    </row>
    <row r="816" spans="12:14">
      <c r="L816" s="250">
        <v>109.39999999999793</v>
      </c>
      <c r="M816" s="250">
        <v>0.76456800000000003</v>
      </c>
      <c r="N816" s="250">
        <v>0.81491199999999997</v>
      </c>
    </row>
    <row r="817" spans="12:14">
      <c r="L817" s="250">
        <v>109.49999999999793</v>
      </c>
      <c r="M817" s="250">
        <v>0.76429999999999998</v>
      </c>
      <c r="N817" s="250">
        <v>0.81460299999999997</v>
      </c>
    </row>
    <row r="818" spans="12:14">
      <c r="L818" s="250">
        <v>109.59999999999792</v>
      </c>
      <c r="M818" s="250">
        <v>0.76403299999999996</v>
      </c>
      <c r="N818" s="250">
        <v>0.81429399999999996</v>
      </c>
    </row>
    <row r="819" spans="12:14">
      <c r="L819" s="250">
        <v>109.69999999999791</v>
      </c>
      <c r="M819" s="250">
        <v>0.76376599999999994</v>
      </c>
      <c r="N819" s="250">
        <v>0.81398599999999999</v>
      </c>
    </row>
    <row r="820" spans="12:14">
      <c r="L820" s="250">
        <v>109.79999999999791</v>
      </c>
      <c r="M820" s="250">
        <v>0.76349900000000004</v>
      </c>
      <c r="N820" s="250">
        <v>0.81367800000000001</v>
      </c>
    </row>
    <row r="821" spans="12:14">
      <c r="L821" s="250">
        <v>109.8999999999979</v>
      </c>
      <c r="M821" s="250">
        <v>0.76323300000000005</v>
      </c>
      <c r="N821" s="250">
        <v>0.81337099999999996</v>
      </c>
    </row>
    <row r="822" spans="12:14">
      <c r="L822" s="250">
        <v>109.9999999999979</v>
      </c>
      <c r="M822" s="250">
        <v>0.76296699999999995</v>
      </c>
      <c r="N822" s="250">
        <v>0.81306400000000001</v>
      </c>
    </row>
    <row r="823" spans="12:14">
      <c r="L823" s="250">
        <v>110.09999999999789</v>
      </c>
      <c r="M823" s="250">
        <v>0.76270199999999999</v>
      </c>
      <c r="N823" s="250">
        <v>0.81275699999999995</v>
      </c>
    </row>
    <row r="824" spans="12:14">
      <c r="L824" s="250">
        <v>110.19999999999789</v>
      </c>
      <c r="M824" s="250">
        <v>0.76243700000000003</v>
      </c>
      <c r="N824" s="250">
        <v>0.81245100000000003</v>
      </c>
    </row>
    <row r="825" spans="12:14">
      <c r="L825" s="250">
        <v>110.29999999999788</v>
      </c>
      <c r="M825" s="250">
        <v>0.76217199999999996</v>
      </c>
      <c r="N825" s="250">
        <v>0.81214600000000003</v>
      </c>
    </row>
    <row r="826" spans="12:14">
      <c r="L826" s="250">
        <v>110.39999999999787</v>
      </c>
      <c r="M826" s="250">
        <v>0.76190800000000003</v>
      </c>
      <c r="N826" s="250">
        <v>0.81184100000000003</v>
      </c>
    </row>
    <row r="827" spans="12:14">
      <c r="L827" s="250">
        <v>110.49999999999787</v>
      </c>
      <c r="M827" s="250">
        <v>0.76164399999999999</v>
      </c>
      <c r="N827" s="250">
        <v>0.81153600000000004</v>
      </c>
    </row>
    <row r="828" spans="12:14">
      <c r="L828" s="250">
        <v>110.59999999999786</v>
      </c>
      <c r="M828" s="250">
        <v>0.76138099999999997</v>
      </c>
      <c r="N828" s="250">
        <v>0.81123199999999995</v>
      </c>
    </row>
    <row r="829" spans="12:14">
      <c r="L829" s="250">
        <v>110.69999999999786</v>
      </c>
      <c r="M829" s="250">
        <v>0.76111700000000004</v>
      </c>
      <c r="N829" s="250">
        <v>0.81092799999999998</v>
      </c>
    </row>
    <row r="830" spans="12:14">
      <c r="L830" s="250">
        <v>110.79999999999785</v>
      </c>
      <c r="M830" s="250">
        <v>0.76085499999999995</v>
      </c>
      <c r="N830" s="250">
        <v>0.81062500000000004</v>
      </c>
    </row>
    <row r="831" spans="12:14">
      <c r="L831" s="250">
        <v>110.89999999999785</v>
      </c>
      <c r="M831" s="250">
        <v>0.76059200000000005</v>
      </c>
      <c r="N831" s="250">
        <v>0.81032199999999999</v>
      </c>
    </row>
    <row r="832" spans="12:14">
      <c r="L832" s="250">
        <v>110.99999999999784</v>
      </c>
      <c r="M832" s="250">
        <v>0.76032999999999995</v>
      </c>
      <c r="N832" s="250">
        <v>0.81001999999999996</v>
      </c>
    </row>
    <row r="833" spans="12:14">
      <c r="L833" s="250">
        <v>111.09999999999783</v>
      </c>
      <c r="M833" s="250">
        <v>0.76006899999999999</v>
      </c>
      <c r="N833" s="250">
        <v>0.80971800000000005</v>
      </c>
    </row>
    <row r="834" spans="12:14">
      <c r="L834" s="250">
        <v>111.19999999999783</v>
      </c>
      <c r="M834" s="250">
        <v>0.75980800000000004</v>
      </c>
      <c r="N834" s="250">
        <v>0.80941600000000002</v>
      </c>
    </row>
    <row r="835" spans="12:14">
      <c r="L835" s="250">
        <v>111.29999999999782</v>
      </c>
      <c r="M835" s="250">
        <v>0.75954699999999997</v>
      </c>
      <c r="N835" s="250">
        <v>0.80911500000000003</v>
      </c>
    </row>
    <row r="836" spans="12:14">
      <c r="L836" s="250">
        <v>111.39999999999782</v>
      </c>
      <c r="M836" s="250">
        <v>0.75928600000000002</v>
      </c>
      <c r="N836" s="250">
        <v>0.80881499999999995</v>
      </c>
    </row>
    <row r="837" spans="12:14">
      <c r="L837" s="250">
        <v>111.49999999999781</v>
      </c>
      <c r="M837" s="250">
        <v>0.75902599999999998</v>
      </c>
      <c r="N837" s="250">
        <v>0.80851499999999998</v>
      </c>
    </row>
    <row r="838" spans="12:14">
      <c r="L838" s="250">
        <v>111.59999999999781</v>
      </c>
      <c r="M838" s="250">
        <v>0.75876600000000005</v>
      </c>
      <c r="N838" s="250">
        <v>0.80821500000000002</v>
      </c>
    </row>
    <row r="839" spans="12:14">
      <c r="L839" s="250">
        <v>111.6999999999978</v>
      </c>
      <c r="M839" s="250">
        <v>0.75850700000000004</v>
      </c>
      <c r="N839" s="250">
        <v>0.80791599999999997</v>
      </c>
    </row>
    <row r="840" spans="12:14">
      <c r="L840" s="250">
        <v>111.79999999999779</v>
      </c>
      <c r="M840" s="250">
        <v>0.75824800000000003</v>
      </c>
      <c r="N840" s="250">
        <v>0.80761700000000003</v>
      </c>
    </row>
    <row r="841" spans="12:14">
      <c r="L841" s="250">
        <v>111.89999999999779</v>
      </c>
      <c r="M841" s="250">
        <v>0.75798900000000002</v>
      </c>
      <c r="N841" s="250">
        <v>0.80731799999999998</v>
      </c>
    </row>
    <row r="842" spans="12:14">
      <c r="L842" s="250">
        <v>111.99999999999778</v>
      </c>
      <c r="M842" s="250">
        <v>0.75773000000000001</v>
      </c>
      <c r="N842" s="250">
        <v>0.80701999999999996</v>
      </c>
    </row>
    <row r="843" spans="12:14">
      <c r="L843" s="250">
        <v>112.09999999999778</v>
      </c>
      <c r="M843" s="250"/>
      <c r="N843" s="250">
        <v>0.80672299999999997</v>
      </c>
    </row>
    <row r="844" spans="12:14">
      <c r="L844" s="250">
        <v>112.19999999999777</v>
      </c>
      <c r="M844" s="250"/>
      <c r="N844" s="250">
        <v>0.80642599999999998</v>
      </c>
    </row>
    <row r="845" spans="12:14">
      <c r="L845" s="250">
        <v>112.29999999999777</v>
      </c>
      <c r="M845" s="250"/>
      <c r="N845" s="250">
        <v>0.80612899999999998</v>
      </c>
    </row>
    <row r="846" spans="12:14">
      <c r="L846" s="250">
        <v>112.39999999999776</v>
      </c>
      <c r="M846" s="250"/>
      <c r="N846" s="250">
        <v>0.80583300000000002</v>
      </c>
    </row>
    <row r="847" spans="12:14">
      <c r="L847" s="250">
        <v>112.49999999999775</v>
      </c>
      <c r="M847" s="250"/>
      <c r="N847" s="250">
        <v>0.80553699999999995</v>
      </c>
    </row>
    <row r="848" spans="12:14">
      <c r="L848" s="250">
        <v>112.59999999999775</v>
      </c>
      <c r="M848" s="250"/>
      <c r="N848" s="250">
        <v>0.80524099999999998</v>
      </c>
    </row>
    <row r="849" spans="12:14">
      <c r="L849" s="250">
        <v>112.69999999999774</v>
      </c>
      <c r="M849" s="250"/>
      <c r="N849" s="250">
        <v>0.80494600000000005</v>
      </c>
    </row>
    <row r="850" spans="12:14">
      <c r="L850" s="250">
        <v>112.79999999999774</v>
      </c>
      <c r="M850" s="250"/>
      <c r="N850" s="250">
        <v>0.80465200000000003</v>
      </c>
    </row>
    <row r="851" spans="12:14">
      <c r="L851" s="250">
        <v>112.89999999999773</v>
      </c>
      <c r="M851" s="250"/>
      <c r="N851" s="250">
        <v>0.80435800000000002</v>
      </c>
    </row>
    <row r="852" spans="12:14">
      <c r="L852" s="250">
        <v>112.99999999999773</v>
      </c>
      <c r="M852" s="250"/>
      <c r="N852" s="250">
        <v>0.804064</v>
      </c>
    </row>
    <row r="853" spans="12:14">
      <c r="L853" s="250">
        <v>113.09999999999772</v>
      </c>
      <c r="M853" s="250"/>
      <c r="N853" s="250">
        <v>0.80377100000000001</v>
      </c>
    </row>
    <row r="854" spans="12:14">
      <c r="L854" s="250">
        <v>113.19999999999771</v>
      </c>
      <c r="M854" s="250"/>
      <c r="N854" s="250">
        <v>0.80347800000000003</v>
      </c>
    </row>
    <row r="855" spans="12:14">
      <c r="L855" s="250">
        <v>113.29999999999771</v>
      </c>
      <c r="M855" s="250"/>
      <c r="N855" s="250">
        <v>0.80318500000000004</v>
      </c>
    </row>
    <row r="856" spans="12:14">
      <c r="L856" s="250">
        <v>113.3999999999977</v>
      </c>
      <c r="M856" s="250"/>
      <c r="N856" s="250">
        <v>0.80289299999999997</v>
      </c>
    </row>
    <row r="857" spans="12:14">
      <c r="L857" s="250">
        <v>113.4999999999977</v>
      </c>
      <c r="M857" s="250"/>
      <c r="N857" s="250">
        <v>0.80260200000000004</v>
      </c>
    </row>
    <row r="858" spans="12:14">
      <c r="L858" s="250">
        <v>113.59999999999769</v>
      </c>
      <c r="M858" s="250"/>
      <c r="N858" s="250">
        <v>0.80230999999999997</v>
      </c>
    </row>
    <row r="859" spans="12:14">
      <c r="L859" s="250">
        <v>113.69999999999769</v>
      </c>
      <c r="M859" s="250"/>
      <c r="N859" s="250">
        <v>0.80201999999999996</v>
      </c>
    </row>
    <row r="860" spans="12:14">
      <c r="L860" s="250">
        <v>113.79999999999768</v>
      </c>
      <c r="M860" s="250"/>
      <c r="N860" s="250">
        <v>0.80172900000000002</v>
      </c>
    </row>
    <row r="861" spans="12:14">
      <c r="L861" s="250">
        <v>113.89999999999768</v>
      </c>
      <c r="M861" s="250"/>
      <c r="N861" s="250">
        <v>0.80143900000000001</v>
      </c>
    </row>
    <row r="862" spans="12:14">
      <c r="L862" s="250">
        <v>113.99999999999767</v>
      </c>
      <c r="M862" s="250"/>
      <c r="N862" s="250">
        <v>0.80115000000000003</v>
      </c>
    </row>
    <row r="863" spans="12:14">
      <c r="L863" s="250">
        <v>114.09999999999766</v>
      </c>
      <c r="M863" s="250"/>
      <c r="N863" s="250">
        <v>0.80086100000000005</v>
      </c>
    </row>
    <row r="864" spans="12:14">
      <c r="L864" s="250">
        <v>114.19999999999766</v>
      </c>
      <c r="M864" s="250"/>
      <c r="N864" s="250">
        <v>0.80057199999999995</v>
      </c>
    </row>
    <row r="865" spans="12:14">
      <c r="L865" s="250">
        <v>114.29999999999765</v>
      </c>
      <c r="M865" s="250"/>
      <c r="N865" s="250">
        <v>0.80028299999999997</v>
      </c>
    </row>
    <row r="866" spans="12:14">
      <c r="L866" s="250">
        <v>114.39999999999765</v>
      </c>
      <c r="M866" s="250"/>
      <c r="N866" s="250">
        <v>0.79999600000000004</v>
      </c>
    </row>
    <row r="867" spans="12:14">
      <c r="L867" s="250">
        <v>114.49999999999764</v>
      </c>
      <c r="M867" s="250"/>
      <c r="N867" s="250">
        <v>0.79970799999999997</v>
      </c>
    </row>
    <row r="868" spans="12:14">
      <c r="L868" s="250">
        <v>114.59999999999764</v>
      </c>
      <c r="M868" s="250"/>
      <c r="N868" s="250">
        <v>0.77942100000000003</v>
      </c>
    </row>
    <row r="869" spans="12:14">
      <c r="L869" s="250">
        <v>114.69999999999763</v>
      </c>
      <c r="M869" s="250"/>
      <c r="N869" s="250">
        <v>0.79913400000000001</v>
      </c>
    </row>
    <row r="870" spans="12:14">
      <c r="L870" s="250">
        <v>114.79999999999762</v>
      </c>
      <c r="M870" s="250"/>
      <c r="N870" s="250">
        <v>0.798848</v>
      </c>
    </row>
    <row r="871" spans="12:14">
      <c r="L871" s="250">
        <v>114.89999999999762</v>
      </c>
      <c r="M871" s="250"/>
      <c r="N871" s="250">
        <v>0.79856199999999999</v>
      </c>
    </row>
    <row r="872" spans="12:14">
      <c r="L872" s="250">
        <v>114.99999999999761</v>
      </c>
      <c r="M872" s="250"/>
      <c r="N872" s="250">
        <v>0.79827700000000001</v>
      </c>
    </row>
    <row r="873" spans="12:14">
      <c r="L873" s="250">
        <v>115.09999999999761</v>
      </c>
      <c r="M873" s="250"/>
      <c r="N873" s="250">
        <v>0.79799200000000003</v>
      </c>
    </row>
    <row r="874" spans="12:14">
      <c r="L874" s="250">
        <v>115.1999999999976</v>
      </c>
      <c r="M874" s="250"/>
      <c r="N874" s="250">
        <v>0.79770700000000005</v>
      </c>
    </row>
    <row r="875" spans="12:14">
      <c r="L875" s="250">
        <v>115.2999999999976</v>
      </c>
      <c r="M875" s="250"/>
      <c r="N875" s="250">
        <v>0.79742299999999999</v>
      </c>
    </row>
    <row r="876" spans="12:14">
      <c r="L876" s="250">
        <v>115.39999999999759</v>
      </c>
      <c r="M876" s="250"/>
      <c r="N876" s="250">
        <v>0.79713900000000004</v>
      </c>
    </row>
    <row r="877" spans="12:14">
      <c r="L877" s="250">
        <v>115.49999999999758</v>
      </c>
      <c r="M877" s="250"/>
      <c r="N877" s="250">
        <v>0.79685499999999998</v>
      </c>
    </row>
    <row r="878" spans="12:14">
      <c r="L878" s="250">
        <v>115.59999999999758</v>
      </c>
      <c r="M878" s="250"/>
      <c r="N878" s="250">
        <v>0.79657199999999995</v>
      </c>
    </row>
    <row r="879" spans="12:14">
      <c r="L879" s="250">
        <v>115.69999999999757</v>
      </c>
      <c r="M879" s="250"/>
      <c r="N879" s="250">
        <v>0.79629000000000005</v>
      </c>
    </row>
    <row r="880" spans="12:14">
      <c r="L880" s="250">
        <v>115.79999999999757</v>
      </c>
      <c r="M880" s="250"/>
      <c r="N880" s="250">
        <v>0.79600700000000002</v>
      </c>
    </row>
    <row r="881" spans="12:14">
      <c r="L881" s="250">
        <v>115.89999999999756</v>
      </c>
      <c r="M881" s="250"/>
      <c r="N881" s="250">
        <v>0.79572500000000002</v>
      </c>
    </row>
    <row r="882" spans="12:14">
      <c r="L882" s="250">
        <v>115.99999999999756</v>
      </c>
      <c r="M882" s="250"/>
      <c r="N882" s="250">
        <v>0.79544400000000004</v>
      </c>
    </row>
    <row r="883" spans="12:14">
      <c r="L883" s="250">
        <v>116.09999999999755</v>
      </c>
      <c r="M883" s="250"/>
      <c r="N883" s="250">
        <v>0.79516299999999995</v>
      </c>
    </row>
    <row r="884" spans="12:14">
      <c r="L884" s="250">
        <v>116.19999999999754</v>
      </c>
      <c r="M884" s="250"/>
      <c r="N884" s="250">
        <v>0.79488199999999998</v>
      </c>
    </row>
    <row r="885" spans="12:14">
      <c r="L885" s="250">
        <v>116.29999999999754</v>
      </c>
      <c r="M885" s="250"/>
      <c r="N885" s="250">
        <v>0.79460200000000003</v>
      </c>
    </row>
    <row r="886" spans="12:14">
      <c r="L886" s="250">
        <v>116.39999999999753</v>
      </c>
      <c r="M886" s="250"/>
      <c r="N886" s="250">
        <v>0.79432199999999997</v>
      </c>
    </row>
    <row r="887" spans="12:14">
      <c r="L887" s="250">
        <v>116.49999999999753</v>
      </c>
      <c r="M887" s="250"/>
      <c r="N887" s="250">
        <v>0.79404200000000003</v>
      </c>
    </row>
    <row r="888" spans="12:14">
      <c r="L888" s="250">
        <v>116.59999999999752</v>
      </c>
      <c r="M888" s="250"/>
      <c r="N888" s="250">
        <v>0.793763</v>
      </c>
    </row>
    <row r="889" spans="12:14">
      <c r="L889" s="250">
        <v>116.69999999999752</v>
      </c>
      <c r="M889" s="250"/>
      <c r="N889" s="250">
        <v>0.79348399999999997</v>
      </c>
    </row>
    <row r="890" spans="12:14">
      <c r="L890" s="250">
        <v>116.79999999999751</v>
      </c>
      <c r="M890" s="250"/>
      <c r="N890" s="250">
        <v>0.79320599999999997</v>
      </c>
    </row>
    <row r="891" spans="12:14">
      <c r="L891" s="250">
        <v>116.8999999999975</v>
      </c>
      <c r="M891" s="250"/>
      <c r="N891" s="250">
        <v>0.79292799999999997</v>
      </c>
    </row>
    <row r="892" spans="12:14">
      <c r="L892" s="250">
        <v>116.9999999999975</v>
      </c>
      <c r="M892" s="250"/>
      <c r="N892" s="250">
        <v>0.79264999999999997</v>
      </c>
    </row>
    <row r="893" spans="12:14">
      <c r="L893" s="250">
        <v>117.09999999999749</v>
      </c>
      <c r="M893" s="250"/>
      <c r="N893" s="250">
        <v>0.79237299999999999</v>
      </c>
    </row>
    <row r="894" spans="12:14">
      <c r="L894" s="250">
        <v>117.19999999999749</v>
      </c>
      <c r="M894" s="250"/>
      <c r="N894" s="250">
        <v>0.79209600000000002</v>
      </c>
    </row>
    <row r="895" spans="12:14">
      <c r="L895" s="250">
        <v>117.29999999999748</v>
      </c>
      <c r="M895" s="250"/>
      <c r="N895" s="250">
        <v>0.79181999999999997</v>
      </c>
    </row>
    <row r="896" spans="12:14">
      <c r="L896" s="250">
        <v>117.39999999999748</v>
      </c>
      <c r="M896" s="250"/>
      <c r="N896" s="250">
        <v>0.79154400000000003</v>
      </c>
    </row>
    <row r="897" spans="12:14">
      <c r="L897" s="250">
        <v>117.49999999999747</v>
      </c>
      <c r="M897" s="250"/>
      <c r="N897" s="250">
        <v>0.79126799999999997</v>
      </c>
    </row>
    <row r="898" spans="12:14">
      <c r="L898" s="250">
        <v>117.59999999999746</v>
      </c>
      <c r="M898" s="250"/>
      <c r="N898" s="250">
        <v>0.79099299999999995</v>
      </c>
    </row>
    <row r="899" spans="12:14">
      <c r="L899" s="250">
        <v>117.69999999999746</v>
      </c>
      <c r="M899" s="250"/>
      <c r="N899" s="250">
        <v>0.79071800000000003</v>
      </c>
    </row>
    <row r="900" spans="12:14">
      <c r="L900" s="250">
        <v>117.79999999999745</v>
      </c>
      <c r="M900" s="250"/>
      <c r="N900" s="250">
        <v>0.79044300000000001</v>
      </c>
    </row>
    <row r="901" spans="12:14">
      <c r="L901" s="250">
        <v>117.89999999999745</v>
      </c>
      <c r="M901" s="250"/>
      <c r="N901" s="250">
        <v>0.79016900000000001</v>
      </c>
    </row>
    <row r="902" spans="12:14">
      <c r="L902" s="250">
        <v>117.99999999999744</v>
      </c>
      <c r="M902" s="250"/>
      <c r="N902" s="250">
        <v>0.78989500000000001</v>
      </c>
    </row>
    <row r="903" spans="12:14">
      <c r="L903" s="250">
        <v>118.09999999999744</v>
      </c>
      <c r="M903" s="250"/>
      <c r="N903" s="250">
        <v>0.78962200000000005</v>
      </c>
    </row>
    <row r="904" spans="12:14">
      <c r="L904" s="250">
        <v>118.19999999999743</v>
      </c>
      <c r="M904" s="250"/>
      <c r="N904" s="250">
        <v>0.78934899999999997</v>
      </c>
    </row>
    <row r="905" spans="12:14">
      <c r="L905" s="250">
        <v>118.29999999999742</v>
      </c>
      <c r="M905" s="250"/>
      <c r="N905" s="250">
        <v>0.789076</v>
      </c>
    </row>
    <row r="906" spans="12:14">
      <c r="L906" s="250">
        <v>118.39999999999742</v>
      </c>
      <c r="M906" s="250"/>
      <c r="N906" s="250">
        <v>0.78880399999999995</v>
      </c>
    </row>
    <row r="907" spans="12:14">
      <c r="L907" s="250">
        <v>118.49999999999741</v>
      </c>
      <c r="M907" s="250"/>
      <c r="N907" s="250">
        <v>0.78853200000000001</v>
      </c>
    </row>
    <row r="908" spans="12:14">
      <c r="L908" s="250">
        <v>118.59999999999741</v>
      </c>
      <c r="M908" s="250"/>
      <c r="N908" s="250">
        <v>0.78825999999999996</v>
      </c>
    </row>
    <row r="909" spans="12:14">
      <c r="L909" s="250">
        <v>118.6999999999974</v>
      </c>
      <c r="M909" s="250"/>
      <c r="N909" s="250">
        <v>0.78798900000000005</v>
      </c>
    </row>
    <row r="910" spans="12:14">
      <c r="L910" s="250">
        <v>118.7999999999974</v>
      </c>
      <c r="M910" s="250"/>
      <c r="N910" s="250">
        <v>0.78771800000000003</v>
      </c>
    </row>
    <row r="911" spans="12:14">
      <c r="L911" s="250">
        <v>118.89999999999739</v>
      </c>
      <c r="M911" s="250"/>
      <c r="N911" s="250">
        <v>0.78744800000000004</v>
      </c>
    </row>
    <row r="912" spans="12:14">
      <c r="L912" s="250">
        <v>118.99999999999739</v>
      </c>
      <c r="M912" s="250"/>
      <c r="N912" s="250">
        <v>0.78717800000000004</v>
      </c>
    </row>
    <row r="913" spans="12:14">
      <c r="L913" s="250">
        <v>119.09999999999738</v>
      </c>
      <c r="M913" s="250"/>
      <c r="N913" s="250">
        <v>0.78690800000000005</v>
      </c>
    </row>
    <row r="914" spans="12:14">
      <c r="L914" s="250">
        <v>119.19999999999737</v>
      </c>
      <c r="M914" s="250"/>
      <c r="N914" s="250">
        <v>0.78663899999999998</v>
      </c>
    </row>
    <row r="915" spans="12:14">
      <c r="L915" s="250">
        <v>119.29999999999737</v>
      </c>
      <c r="M915" s="250"/>
      <c r="N915" s="250">
        <v>0.78637000000000001</v>
      </c>
    </row>
    <row r="916" spans="12:14">
      <c r="L916" s="250">
        <v>119.39999999999736</v>
      </c>
      <c r="M916" s="250"/>
      <c r="N916" s="250">
        <v>0.78610100000000005</v>
      </c>
    </row>
    <row r="917" spans="12:14">
      <c r="L917" s="250">
        <v>119.49999999999736</v>
      </c>
      <c r="M917" s="250"/>
      <c r="N917" s="250">
        <v>0.785833</v>
      </c>
    </row>
    <row r="918" spans="12:14">
      <c r="L918" s="250">
        <v>119.59999999999735</v>
      </c>
      <c r="M918" s="250"/>
      <c r="N918" s="250">
        <v>0.78556499999999996</v>
      </c>
    </row>
    <row r="919" spans="12:14">
      <c r="L919" s="250">
        <v>119.69999999999735</v>
      </c>
      <c r="M919" s="250"/>
      <c r="N919" s="250">
        <v>0.78529700000000002</v>
      </c>
    </row>
    <row r="920" spans="12:14">
      <c r="L920" s="250">
        <v>119.79999999999734</v>
      </c>
      <c r="M920" s="250"/>
      <c r="N920" s="250">
        <v>0.78503000000000001</v>
      </c>
    </row>
    <row r="921" spans="12:14">
      <c r="L921" s="250">
        <v>119.89999999999733</v>
      </c>
      <c r="M921" s="250"/>
      <c r="N921" s="250">
        <v>0.78476299999999999</v>
      </c>
    </row>
    <row r="922" spans="12:14">
      <c r="L922" s="250">
        <v>119.99999999999733</v>
      </c>
      <c r="M922" s="250"/>
      <c r="N922" s="250">
        <v>0.784497</v>
      </c>
    </row>
    <row r="923" spans="12:14">
      <c r="L923" s="250">
        <v>120.09999999999732</v>
      </c>
      <c r="M923" s="250"/>
      <c r="N923" s="250">
        <v>0.78423100000000001</v>
      </c>
    </row>
    <row r="924" spans="12:14">
      <c r="L924" s="250">
        <v>120.19999999999732</v>
      </c>
      <c r="M924" s="250"/>
      <c r="N924" s="250">
        <v>0.78396500000000002</v>
      </c>
    </row>
    <row r="925" spans="12:14">
      <c r="L925" s="250">
        <v>120.29999999999731</v>
      </c>
      <c r="M925" s="250"/>
      <c r="N925" s="250">
        <v>0.78369999999999995</v>
      </c>
    </row>
    <row r="926" spans="12:14">
      <c r="L926" s="250">
        <v>120.39999999999731</v>
      </c>
      <c r="M926" s="250"/>
      <c r="N926" s="250">
        <v>0.78343499999999999</v>
      </c>
    </row>
    <row r="927" spans="12:14">
      <c r="L927" s="250">
        <v>120.4999999999973</v>
      </c>
      <c r="M927" s="250"/>
      <c r="N927" s="250">
        <v>0.78317000000000003</v>
      </c>
    </row>
    <row r="928" spans="12:14">
      <c r="L928" s="250">
        <v>120.59999999999729</v>
      </c>
      <c r="M928" s="250"/>
      <c r="N928" s="250">
        <v>0.78290599999999999</v>
      </c>
    </row>
    <row r="929" spans="12:14">
      <c r="L929" s="250">
        <v>120.69999999999729</v>
      </c>
      <c r="M929" s="250"/>
      <c r="N929" s="250">
        <v>0.78264199999999995</v>
      </c>
    </row>
    <row r="930" spans="12:14">
      <c r="L930" s="250">
        <v>120.79999999999728</v>
      </c>
      <c r="M930" s="250"/>
      <c r="N930" s="250">
        <v>0.78237800000000002</v>
      </c>
    </row>
    <row r="931" spans="12:14">
      <c r="L931" s="250">
        <v>120.89999999999728</v>
      </c>
      <c r="M931" s="250"/>
      <c r="N931" s="250">
        <v>0.782115</v>
      </c>
    </row>
    <row r="932" spans="12:14">
      <c r="L932" s="250">
        <v>120.99999999999727</v>
      </c>
      <c r="M932" s="250"/>
      <c r="N932" s="250">
        <v>0.78185199999999999</v>
      </c>
    </row>
    <row r="933" spans="12:14">
      <c r="L933" s="250">
        <v>121.09999999999727</v>
      </c>
      <c r="M933" s="250"/>
      <c r="N933" s="250">
        <v>0.78158899999999998</v>
      </c>
    </row>
    <row r="934" spans="12:14">
      <c r="L934" s="250">
        <v>121.19999999999726</v>
      </c>
      <c r="M934" s="250"/>
      <c r="N934" s="250">
        <v>0.78132699999999999</v>
      </c>
    </row>
    <row r="935" spans="12:14">
      <c r="L935" s="250">
        <v>121.29999999999725</v>
      </c>
      <c r="M935" s="250"/>
      <c r="N935" s="250">
        <v>0.78106500000000001</v>
      </c>
    </row>
    <row r="936" spans="12:14">
      <c r="L936" s="250">
        <v>121.39999999999725</v>
      </c>
      <c r="M936" s="250"/>
      <c r="N936" s="250">
        <v>0.78080400000000005</v>
      </c>
    </row>
    <row r="937" spans="12:14">
      <c r="L937" s="250">
        <v>121.49999999999724</v>
      </c>
      <c r="M937" s="250"/>
      <c r="N937" s="250">
        <v>0.78054299999999999</v>
      </c>
    </row>
    <row r="938" spans="12:14">
      <c r="L938" s="250">
        <v>121.59999999999724</v>
      </c>
      <c r="M938" s="250"/>
      <c r="N938" s="250">
        <v>0.78028200000000003</v>
      </c>
    </row>
    <row r="939" spans="12:14">
      <c r="L939" s="250">
        <v>121.69999999999723</v>
      </c>
      <c r="M939" s="250"/>
      <c r="N939" s="250">
        <v>0.78002099999999996</v>
      </c>
    </row>
    <row r="940" spans="12:14">
      <c r="L940" s="250">
        <v>121.79999999999723</v>
      </c>
      <c r="M940" s="250"/>
      <c r="N940" s="250">
        <v>0.77976100000000004</v>
      </c>
    </row>
    <row r="941" spans="12:14">
      <c r="L941" s="250">
        <v>121.89999999999722</v>
      </c>
      <c r="M941" s="250"/>
      <c r="N941" s="250">
        <v>0.779501</v>
      </c>
    </row>
    <row r="942" spans="12:14">
      <c r="L942" s="250">
        <v>121.99999999999721</v>
      </c>
      <c r="M942" s="250"/>
      <c r="N942" s="250">
        <v>0.77924199999999999</v>
      </c>
    </row>
    <row r="943" spans="12:14">
      <c r="L943" s="250">
        <v>122.09999999999721</v>
      </c>
      <c r="M943" s="250"/>
      <c r="N943" s="250">
        <v>0.77898299999999998</v>
      </c>
    </row>
    <row r="944" spans="12:14">
      <c r="L944" s="250">
        <v>122.1999999999972</v>
      </c>
      <c r="M944" s="250"/>
      <c r="N944" s="250">
        <v>0.77872399999999997</v>
      </c>
    </row>
    <row r="945" spans="12:14">
      <c r="L945" s="250">
        <v>122.2999999999972</v>
      </c>
      <c r="M945" s="250"/>
      <c r="N945" s="250">
        <v>0.77846599999999999</v>
      </c>
    </row>
    <row r="946" spans="12:14">
      <c r="L946" s="250">
        <v>122.39999999999719</v>
      </c>
      <c r="M946" s="250"/>
      <c r="N946" s="250">
        <v>0.77820800000000001</v>
      </c>
    </row>
    <row r="947" spans="12:14">
      <c r="L947" s="250">
        <v>122.49999999999719</v>
      </c>
      <c r="M947" s="250"/>
      <c r="N947" s="250">
        <v>0.77795000000000003</v>
      </c>
    </row>
    <row r="948" spans="12:14">
      <c r="L948" s="250">
        <v>122.59999999999718</v>
      </c>
      <c r="M948" s="250"/>
      <c r="N948" s="250">
        <v>0.77769299999999997</v>
      </c>
    </row>
    <row r="949" spans="12:14">
      <c r="L949" s="250">
        <v>122.69999999999717</v>
      </c>
      <c r="M949" s="250"/>
      <c r="N949" s="250">
        <v>0.77743600000000002</v>
      </c>
    </row>
    <row r="950" spans="12:14">
      <c r="L950" s="250">
        <v>122.79999999999717</v>
      </c>
      <c r="M950" s="250"/>
      <c r="N950" s="250">
        <v>0.77717899999999995</v>
      </c>
    </row>
    <row r="951" spans="12:14">
      <c r="L951" s="250">
        <v>122.89999999999716</v>
      </c>
      <c r="M951" s="250"/>
      <c r="N951" s="250">
        <v>0.776922</v>
      </c>
    </row>
    <row r="952" spans="12:14">
      <c r="L952" s="250">
        <v>122.99999999999716</v>
      </c>
      <c r="M952" s="250"/>
      <c r="N952" s="250">
        <v>0.77666599999999997</v>
      </c>
    </row>
    <row r="953" spans="12:14">
      <c r="L953" s="250">
        <v>123.09999999999715</v>
      </c>
      <c r="M953" s="250"/>
      <c r="N953" s="250">
        <v>0.76641099999999995</v>
      </c>
    </row>
    <row r="954" spans="12:14">
      <c r="L954" s="250">
        <v>123.19999999999715</v>
      </c>
      <c r="M954" s="250"/>
      <c r="N954" s="250">
        <v>0.76615500000000003</v>
      </c>
    </row>
    <row r="955" spans="12:14">
      <c r="L955" s="250">
        <v>123.29999999999714</v>
      </c>
      <c r="M955" s="250"/>
      <c r="N955" s="250">
        <v>0.77590000000000003</v>
      </c>
    </row>
    <row r="956" spans="12:14">
      <c r="L956" s="250">
        <v>123.39999999999714</v>
      </c>
      <c r="M956" s="250"/>
      <c r="N956" s="250">
        <v>0.77564599999999995</v>
      </c>
    </row>
    <row r="957" spans="12:14">
      <c r="L957" s="250">
        <v>123.49999999999713</v>
      </c>
      <c r="M957" s="250"/>
      <c r="N957" s="250">
        <v>0.77539100000000005</v>
      </c>
    </row>
    <row r="958" spans="12:14">
      <c r="L958" s="250">
        <v>123.59999999999712</v>
      </c>
      <c r="M958" s="250"/>
      <c r="N958" s="250">
        <v>0.77513699999999996</v>
      </c>
    </row>
    <row r="959" spans="12:14">
      <c r="L959" s="250">
        <v>123.69999999999712</v>
      </c>
      <c r="M959" s="250"/>
      <c r="N959" s="250">
        <v>0.77488400000000002</v>
      </c>
    </row>
    <row r="960" spans="12:14">
      <c r="L960" s="250">
        <v>123.79999999999711</v>
      </c>
      <c r="M960" s="250"/>
      <c r="N960" s="250">
        <v>0.77463000000000004</v>
      </c>
    </row>
    <row r="961" spans="12:14">
      <c r="L961" s="250">
        <v>123.89999999999711</v>
      </c>
      <c r="M961" s="250"/>
      <c r="N961" s="250">
        <v>0.77437699999999998</v>
      </c>
    </row>
    <row r="962" spans="12:14">
      <c r="L962" s="250">
        <v>123.9999999999971</v>
      </c>
      <c r="M962" s="250"/>
      <c r="N962" s="250">
        <v>0.77412400000000003</v>
      </c>
    </row>
    <row r="963" spans="12:14">
      <c r="L963" s="250">
        <v>124.0999999999971</v>
      </c>
      <c r="M963" s="250"/>
      <c r="N963" s="250">
        <v>0.773872</v>
      </c>
    </row>
    <row r="964" spans="12:14">
      <c r="L964" s="250">
        <v>124.19999999999709</v>
      </c>
      <c r="M964" s="250"/>
      <c r="N964" s="250">
        <v>0.77361999999999997</v>
      </c>
    </row>
    <row r="965" spans="12:14">
      <c r="L965" s="250">
        <v>124.29999999999708</v>
      </c>
      <c r="M965" s="250"/>
      <c r="N965" s="250">
        <v>0.77336800000000006</v>
      </c>
    </row>
    <row r="966" spans="12:14">
      <c r="L966" s="250">
        <v>124.39999999999708</v>
      </c>
      <c r="M966" s="250"/>
      <c r="N966" s="250">
        <v>0.77311700000000005</v>
      </c>
    </row>
    <row r="967" spans="12:14">
      <c r="L967" s="250">
        <v>124.49999999999707</v>
      </c>
      <c r="M967" s="250"/>
      <c r="N967" s="250">
        <v>0.77286600000000005</v>
      </c>
    </row>
    <row r="968" spans="12:14">
      <c r="L968" s="250">
        <v>124.59999999999707</v>
      </c>
      <c r="M968" s="250"/>
      <c r="N968" s="250">
        <v>0.77261500000000005</v>
      </c>
    </row>
    <row r="969" spans="12:14">
      <c r="L969" s="250">
        <v>124.69999999999706</v>
      </c>
      <c r="M969" s="250"/>
      <c r="N969" s="250">
        <v>0.77236499999999997</v>
      </c>
    </row>
    <row r="970" spans="12:14">
      <c r="L970" s="250">
        <v>124.79999999999706</v>
      </c>
      <c r="M970" s="250"/>
      <c r="N970" s="250">
        <v>0.77211399999999997</v>
      </c>
    </row>
    <row r="971" spans="12:14">
      <c r="L971" s="250">
        <v>124.89999999999705</v>
      </c>
      <c r="M971" s="250"/>
      <c r="N971" s="250">
        <v>0.77186500000000002</v>
      </c>
    </row>
    <row r="972" spans="12:14">
      <c r="L972" s="250">
        <v>124.99999999999704</v>
      </c>
      <c r="M972" s="250"/>
      <c r="N972" s="250">
        <v>0.77161500000000005</v>
      </c>
    </row>
    <row r="973" spans="12:14">
      <c r="L973" s="250">
        <v>125.09999999999704</v>
      </c>
      <c r="M973" s="250"/>
      <c r="N973" s="250">
        <v>0.771366</v>
      </c>
    </row>
    <row r="974" spans="12:14">
      <c r="L974" s="250">
        <v>125.19999999999703</v>
      </c>
      <c r="M974" s="250"/>
      <c r="N974" s="250">
        <v>0.77111700000000005</v>
      </c>
    </row>
    <row r="975" spans="12:14">
      <c r="L975" s="250">
        <v>125.29999999999703</v>
      </c>
      <c r="M975" s="250"/>
      <c r="N975" s="250">
        <v>0.77086900000000003</v>
      </c>
    </row>
    <row r="976" spans="12:14">
      <c r="L976" s="250">
        <v>125.39999999999702</v>
      </c>
      <c r="M976" s="250"/>
      <c r="N976" s="250">
        <v>0.77061999999999997</v>
      </c>
    </row>
    <row r="977" spans="12:14">
      <c r="L977" s="250">
        <v>125.49999999999702</v>
      </c>
      <c r="M977" s="250"/>
      <c r="N977" s="250">
        <v>0.77037299999999997</v>
      </c>
    </row>
    <row r="978" spans="12:14">
      <c r="L978" s="250">
        <v>125.59999999999701</v>
      </c>
      <c r="M978" s="250"/>
      <c r="N978" s="250">
        <v>0.77012499999999995</v>
      </c>
    </row>
    <row r="979" spans="12:14">
      <c r="L979" s="250">
        <v>125.699999999997</v>
      </c>
      <c r="M979" s="250"/>
      <c r="N979" s="250">
        <v>0.76987799999999995</v>
      </c>
    </row>
    <row r="980" spans="12:14">
      <c r="L980" s="250">
        <v>125.799999999997</v>
      </c>
      <c r="M980" s="250"/>
      <c r="N980" s="250">
        <v>0.76963099999999995</v>
      </c>
    </row>
    <row r="981" spans="12:14">
      <c r="L981" s="250">
        <v>125.89999999999699</v>
      </c>
      <c r="M981" s="250"/>
      <c r="N981" s="250">
        <v>0.76938399999999996</v>
      </c>
    </row>
    <row r="982" spans="12:14">
      <c r="L982" s="250">
        <v>125.99999999999699</v>
      </c>
      <c r="M982" s="250"/>
      <c r="N982" s="250">
        <v>0.76913799999999999</v>
      </c>
    </row>
    <row r="983" spans="12:14">
      <c r="L983" s="250">
        <v>126.09999999999698</v>
      </c>
      <c r="M983" s="250"/>
      <c r="N983" s="250">
        <v>0.76889200000000002</v>
      </c>
    </row>
    <row r="984" spans="12:14">
      <c r="L984" s="250">
        <v>126.19999999999698</v>
      </c>
      <c r="M984" s="250"/>
      <c r="N984" s="250">
        <v>0.76864600000000005</v>
      </c>
    </row>
    <row r="985" spans="12:14">
      <c r="L985" s="250">
        <v>126.29999999999697</v>
      </c>
      <c r="M985" s="250"/>
      <c r="N985" s="250">
        <v>0.768401</v>
      </c>
    </row>
    <row r="986" spans="12:14">
      <c r="L986" s="250">
        <v>126.39999999999696</v>
      </c>
      <c r="M986" s="250"/>
      <c r="N986" s="250">
        <v>0.76815599999999995</v>
      </c>
    </row>
    <row r="987" spans="12:14">
      <c r="L987" s="250">
        <v>126.49999999999696</v>
      </c>
      <c r="M987" s="250"/>
      <c r="N987" s="250">
        <v>0.76791100000000001</v>
      </c>
    </row>
    <row r="988" spans="12:14">
      <c r="L988" s="250">
        <v>126.59999999999695</v>
      </c>
      <c r="M988" s="250"/>
      <c r="N988" s="250">
        <v>0.76766699999999999</v>
      </c>
    </row>
    <row r="989" spans="12:14">
      <c r="L989" s="250">
        <v>126.69999999999695</v>
      </c>
      <c r="M989" s="250"/>
      <c r="N989" s="250">
        <v>0.76742299999999997</v>
      </c>
    </row>
    <row r="990" spans="12:14">
      <c r="L990" s="250">
        <v>126.79999999999694</v>
      </c>
      <c r="M990" s="250"/>
      <c r="N990" s="250">
        <v>0.76717900000000006</v>
      </c>
    </row>
    <row r="991" spans="12:14">
      <c r="L991" s="250">
        <v>126.89999999999694</v>
      </c>
      <c r="M991" s="250"/>
      <c r="N991" s="250">
        <v>0.76693599999999995</v>
      </c>
    </row>
    <row r="992" spans="12:14">
      <c r="L992" s="250">
        <v>126.99999999999693</v>
      </c>
      <c r="M992" s="250"/>
      <c r="N992" s="250">
        <v>0.76669200000000004</v>
      </c>
    </row>
    <row r="993" spans="12:14">
      <c r="L993" s="250">
        <v>127.09999999999692</v>
      </c>
      <c r="M993" s="250"/>
      <c r="N993" s="250">
        <v>0.76644999999999996</v>
      </c>
    </row>
    <row r="994" spans="12:14">
      <c r="L994" s="250">
        <v>127.19999999999692</v>
      </c>
      <c r="M994" s="250"/>
      <c r="N994" s="250">
        <v>0.76620699999999997</v>
      </c>
    </row>
    <row r="995" spans="12:14">
      <c r="L995" s="250">
        <v>127.29999999999691</v>
      </c>
      <c r="M995" s="250"/>
      <c r="N995" s="250">
        <v>0.76596500000000001</v>
      </c>
    </row>
    <row r="996" spans="12:14">
      <c r="L996" s="250">
        <v>127.39999999999691</v>
      </c>
      <c r="M996" s="250"/>
      <c r="N996" s="250">
        <v>0.76572300000000004</v>
      </c>
    </row>
    <row r="997" spans="12:14">
      <c r="L997" s="250">
        <v>127.4999999999969</v>
      </c>
      <c r="M997" s="250"/>
      <c r="N997" s="250">
        <v>0.76548099999999997</v>
      </c>
    </row>
    <row r="998" spans="12:14">
      <c r="L998" s="250">
        <v>127.5999999999969</v>
      </c>
      <c r="M998" s="250"/>
      <c r="N998" s="250">
        <v>0.76524000000000003</v>
      </c>
    </row>
    <row r="999" spans="12:14">
      <c r="L999" s="250">
        <v>127.69999999999689</v>
      </c>
      <c r="M999" s="250"/>
      <c r="N999" s="250">
        <v>0.76499899999999998</v>
      </c>
    </row>
    <row r="1000" spans="12:14">
      <c r="L1000" s="250">
        <v>127.79999999999688</v>
      </c>
      <c r="M1000" s="250"/>
      <c r="N1000" s="250">
        <v>0.76475800000000005</v>
      </c>
    </row>
    <row r="1001" spans="12:14">
      <c r="L1001" s="250">
        <v>127.89999999999688</v>
      </c>
      <c r="M1001" s="250"/>
      <c r="N1001" s="250">
        <v>0.76451800000000003</v>
      </c>
    </row>
    <row r="1002" spans="12:14">
      <c r="L1002" s="250">
        <v>127.99999999999687</v>
      </c>
      <c r="M1002" s="250"/>
      <c r="N1002" s="250">
        <v>0.76427800000000001</v>
      </c>
    </row>
    <row r="1003" spans="12:14">
      <c r="L1003" s="250">
        <v>128.09999999999687</v>
      </c>
      <c r="M1003" s="250"/>
      <c r="N1003" s="250">
        <v>0.76403799999999999</v>
      </c>
    </row>
    <row r="1004" spans="12:14">
      <c r="L1004" s="250">
        <v>128.19999999999686</v>
      </c>
      <c r="M1004" s="250"/>
      <c r="N1004" s="250">
        <v>0.76379799999999998</v>
      </c>
    </row>
    <row r="1005" spans="12:14">
      <c r="L1005" s="250">
        <v>128.29999999999686</v>
      </c>
      <c r="M1005" s="250"/>
      <c r="N1005" s="250">
        <v>0.76355899999999999</v>
      </c>
    </row>
    <row r="1006" spans="12:14">
      <c r="L1006" s="250">
        <v>128.39999999999685</v>
      </c>
      <c r="M1006" s="250"/>
      <c r="N1006" s="250">
        <v>0.76332</v>
      </c>
    </row>
    <row r="1007" spans="12:14">
      <c r="L1007" s="250">
        <v>128.49999999999685</v>
      </c>
      <c r="M1007" s="250"/>
      <c r="N1007" s="250">
        <v>0.76308100000000001</v>
      </c>
    </row>
    <row r="1008" spans="12:14">
      <c r="L1008" s="250">
        <v>128.59999999999684</v>
      </c>
      <c r="M1008" s="250"/>
      <c r="N1008" s="250">
        <v>0.76284300000000005</v>
      </c>
    </row>
    <row r="1009" spans="12:14">
      <c r="L1009" s="250">
        <v>128.69999999999683</v>
      </c>
      <c r="M1009" s="250"/>
      <c r="N1009" s="250">
        <v>0.76260499999999998</v>
      </c>
    </row>
    <row r="1010" spans="12:14">
      <c r="L1010" s="250">
        <v>128.79999999999683</v>
      </c>
      <c r="M1010" s="250"/>
      <c r="N1010" s="250">
        <v>0.76236700000000002</v>
      </c>
    </row>
    <row r="1011" spans="12:14">
      <c r="L1011" s="250">
        <v>128.89999999999682</v>
      </c>
      <c r="M1011" s="250"/>
      <c r="N1011" s="250">
        <v>0.76212999999999997</v>
      </c>
    </row>
    <row r="1012" spans="12:14">
      <c r="L1012" s="250">
        <v>128.99999999999682</v>
      </c>
      <c r="M1012" s="250"/>
      <c r="N1012" s="250">
        <v>0.76189300000000004</v>
      </c>
    </row>
    <row r="1013" spans="12:14">
      <c r="L1013" s="250">
        <v>129.09999999999681</v>
      </c>
      <c r="M1013" s="250"/>
      <c r="N1013" s="250">
        <v>0.761656</v>
      </c>
    </row>
    <row r="1014" spans="12:14">
      <c r="L1014" s="250">
        <v>129.19999999999681</v>
      </c>
      <c r="M1014" s="250"/>
      <c r="N1014" s="250">
        <v>0.76141899999999996</v>
      </c>
    </row>
    <row r="1015" spans="12:14">
      <c r="L1015" s="250">
        <v>129.2999999999968</v>
      </c>
      <c r="M1015" s="250"/>
      <c r="N1015" s="250">
        <v>0.76118300000000005</v>
      </c>
    </row>
    <row r="1016" spans="12:14">
      <c r="L1016" s="250">
        <v>129.39999999999679</v>
      </c>
      <c r="M1016" s="250"/>
      <c r="N1016" s="250">
        <v>0.76094700000000004</v>
      </c>
    </row>
    <row r="1017" spans="12:14">
      <c r="L1017" s="250">
        <v>129.49999999999679</v>
      </c>
      <c r="M1017" s="250"/>
      <c r="N1017" s="250">
        <v>0.76071200000000005</v>
      </c>
    </row>
    <row r="1018" spans="12:14">
      <c r="L1018" s="250">
        <v>129.59999999999678</v>
      </c>
      <c r="M1018" s="250"/>
      <c r="N1018" s="250">
        <v>0.76047600000000004</v>
      </c>
    </row>
    <row r="1019" spans="12:14">
      <c r="L1019" s="250">
        <v>129.69999999999678</v>
      </c>
      <c r="M1019" s="250"/>
      <c r="N1019" s="250">
        <v>0.76024099999999994</v>
      </c>
    </row>
    <row r="1020" spans="12:14">
      <c r="L1020" s="250">
        <v>129.79999999999677</v>
      </c>
      <c r="M1020" s="250"/>
      <c r="N1020" s="250">
        <v>0.76000599999999996</v>
      </c>
    </row>
    <row r="1021" spans="12:14">
      <c r="L1021" s="250">
        <v>129.89999999999677</v>
      </c>
      <c r="M1021" s="250"/>
      <c r="N1021" s="250">
        <v>0.759772</v>
      </c>
    </row>
    <row r="1022" spans="12:14">
      <c r="L1022" s="250">
        <v>129.99999999999676</v>
      </c>
      <c r="M1022" s="250"/>
      <c r="N1022" s="250">
        <v>0.75953800000000005</v>
      </c>
    </row>
    <row r="1023" spans="12:14">
      <c r="L1023" s="250">
        <v>130.09999999999675</v>
      </c>
      <c r="M1023" s="250"/>
      <c r="N1023" s="250">
        <v>0.75930399999999998</v>
      </c>
    </row>
    <row r="1024" spans="12:14">
      <c r="L1024" s="250">
        <v>130.19999999999675</v>
      </c>
      <c r="M1024" s="250"/>
      <c r="N1024" s="250">
        <v>0.75907000000000002</v>
      </c>
    </row>
    <row r="1025" spans="12:14">
      <c r="L1025" s="250">
        <v>130.29999999999674</v>
      </c>
      <c r="M1025" s="250"/>
      <c r="N1025" s="250">
        <v>0.75883699999999998</v>
      </c>
    </row>
    <row r="1026" spans="12:14">
      <c r="L1026" s="250">
        <v>130.39999999999674</v>
      </c>
      <c r="M1026" s="250"/>
      <c r="N1026" s="250">
        <v>0.75860399999999995</v>
      </c>
    </row>
    <row r="1027" spans="12:14">
      <c r="L1027" s="250">
        <v>130.49999999999673</v>
      </c>
      <c r="M1027" s="250"/>
      <c r="N1027" s="250">
        <v>0.75837100000000002</v>
      </c>
    </row>
    <row r="1028" spans="12:14">
      <c r="L1028" s="250">
        <v>130.59999999999673</v>
      </c>
      <c r="M1028" s="250"/>
      <c r="N1028" s="250">
        <v>0.75813799999999998</v>
      </c>
    </row>
    <row r="1029" spans="12:14">
      <c r="L1029" s="250">
        <v>130.69999999999672</v>
      </c>
      <c r="M1029" s="250"/>
      <c r="N1029" s="250">
        <v>0.75790599999999997</v>
      </c>
    </row>
    <row r="1030" spans="12:14">
      <c r="L1030" s="250">
        <v>130.79999999999671</v>
      </c>
      <c r="M1030" s="250"/>
      <c r="N1030" s="250">
        <v>0.75767399999999996</v>
      </c>
    </row>
    <row r="1031" spans="12:14">
      <c r="L1031" s="250">
        <v>130.89999999999671</v>
      </c>
      <c r="M1031" s="250"/>
      <c r="N1031" s="250">
        <v>0.75744299999999998</v>
      </c>
    </row>
    <row r="1032" spans="12:14">
      <c r="L1032" s="250">
        <v>130.9999999999967</v>
      </c>
      <c r="M1032" s="250"/>
      <c r="N1032" s="250">
        <v>0.75721099999999997</v>
      </c>
    </row>
    <row r="1033" spans="12:14">
      <c r="L1033" s="250">
        <v>131.0999999999967</v>
      </c>
      <c r="M1033" s="250"/>
      <c r="N1033" s="250">
        <v>0.75697999999999999</v>
      </c>
    </row>
    <row r="1034" spans="12:14">
      <c r="L1034" s="250">
        <v>131.19999999999669</v>
      </c>
      <c r="M1034" s="250"/>
      <c r="N1034" s="250">
        <v>0.75675000000000003</v>
      </c>
    </row>
    <row r="1035" spans="12:14">
      <c r="L1035" s="250">
        <v>131.29999999999669</v>
      </c>
      <c r="M1035" s="250"/>
      <c r="N1035" s="250">
        <v>0.75651900000000005</v>
      </c>
    </row>
    <row r="1036" spans="12:14">
      <c r="L1036" s="250">
        <v>131.39999999999668</v>
      </c>
      <c r="M1036" s="250"/>
      <c r="N1036" s="250">
        <v>0.75628899999999999</v>
      </c>
    </row>
    <row r="1037" spans="12:14">
      <c r="L1037" s="250">
        <v>131.49999999999667</v>
      </c>
      <c r="M1037" s="250"/>
      <c r="N1037" s="250">
        <v>0.75605900000000004</v>
      </c>
    </row>
    <row r="1038" spans="12:14">
      <c r="L1038" s="250">
        <v>131.59999999999667</v>
      </c>
      <c r="M1038" s="250"/>
      <c r="N1038" s="250">
        <v>0.75582899999999997</v>
      </c>
    </row>
    <row r="1039" spans="12:14">
      <c r="L1039" s="250">
        <v>131.69999999999666</v>
      </c>
      <c r="M1039" s="250"/>
      <c r="N1039" s="250">
        <v>0.75560000000000005</v>
      </c>
    </row>
    <row r="1040" spans="12:14">
      <c r="L1040" s="250">
        <v>131.79999999999666</v>
      </c>
      <c r="M1040" s="250"/>
      <c r="N1040" s="250">
        <v>0.75537100000000001</v>
      </c>
    </row>
    <row r="1041" spans="12:14">
      <c r="L1041" s="250">
        <v>131.89999999999665</v>
      </c>
      <c r="M1041" s="250"/>
      <c r="N1041" s="250">
        <v>0.75514199999999998</v>
      </c>
    </row>
    <row r="1042" spans="12:14">
      <c r="L1042" s="250">
        <v>131.99999999999665</v>
      </c>
      <c r="M1042" s="250"/>
      <c r="N1042" s="250">
        <v>0.75491299999999995</v>
      </c>
    </row>
    <row r="1043" spans="12:14">
      <c r="L1043" s="250">
        <v>132.09999999999664</v>
      </c>
      <c r="M1043" s="250"/>
      <c r="N1043" s="250">
        <v>0.75468500000000005</v>
      </c>
    </row>
    <row r="1044" spans="12:14">
      <c r="L1044" s="250">
        <v>132.19999999999663</v>
      </c>
      <c r="M1044" s="250"/>
      <c r="N1044" s="250">
        <v>0.75445700000000004</v>
      </c>
    </row>
    <row r="1045" spans="12:14">
      <c r="L1045" s="250">
        <v>132.29999999999663</v>
      </c>
      <c r="M1045" s="250"/>
      <c r="N1045" s="250">
        <v>0.75422999999999996</v>
      </c>
    </row>
    <row r="1046" spans="12:14">
      <c r="L1046" s="250">
        <v>132.39999999999662</v>
      </c>
      <c r="M1046" s="250"/>
      <c r="N1046" s="250">
        <v>0.75400199999999995</v>
      </c>
    </row>
    <row r="1047" spans="12:14">
      <c r="L1047" s="250">
        <v>132.49999999999662</v>
      </c>
      <c r="M1047" s="250"/>
      <c r="N1047" s="250">
        <v>0.75377499999999997</v>
      </c>
    </row>
    <row r="1048" spans="12:14">
      <c r="L1048" s="250">
        <v>132.59999999999661</v>
      </c>
      <c r="M1048" s="250"/>
      <c r="N1048" s="250">
        <v>0.753548</v>
      </c>
    </row>
    <row r="1049" spans="12:14">
      <c r="L1049" s="250">
        <v>132.69999999999661</v>
      </c>
      <c r="M1049" s="250"/>
      <c r="N1049" s="250">
        <v>0.75332100000000002</v>
      </c>
    </row>
    <row r="1050" spans="12:14">
      <c r="L1050" s="250">
        <v>132.7999999999966</v>
      </c>
      <c r="M1050" s="250"/>
      <c r="N1050" s="250">
        <v>0.75309499999999996</v>
      </c>
    </row>
    <row r="1051" spans="12:14">
      <c r="L1051" s="250">
        <v>132.8999999999966</v>
      </c>
      <c r="M1051" s="250"/>
      <c r="N1051" s="250">
        <v>0.75286900000000001</v>
      </c>
    </row>
    <row r="1052" spans="12:14">
      <c r="L1052" s="250">
        <v>132.99999999999659</v>
      </c>
      <c r="M1052" s="250"/>
      <c r="N1052" s="250">
        <v>0.75264299999999995</v>
      </c>
    </row>
    <row r="1053" spans="12:14">
      <c r="L1053" s="250">
        <v>133.09999999999658</v>
      </c>
      <c r="M1053" s="250"/>
      <c r="N1053" s="250">
        <v>0.75241800000000003</v>
      </c>
    </row>
    <row r="1054" spans="12:14">
      <c r="L1054" s="250">
        <v>133.19999999999658</v>
      </c>
      <c r="M1054" s="250"/>
      <c r="N1054" s="250">
        <v>0.752193</v>
      </c>
    </row>
    <row r="1055" spans="12:14">
      <c r="L1055" s="250">
        <v>133.29999999999657</v>
      </c>
      <c r="M1055" s="250"/>
      <c r="N1055" s="250">
        <v>0.75196799999999997</v>
      </c>
    </row>
    <row r="1056" spans="12:14">
      <c r="L1056" s="250">
        <v>133.39999999999657</v>
      </c>
      <c r="M1056" s="250"/>
      <c r="N1056" s="250">
        <v>0.75174300000000005</v>
      </c>
    </row>
    <row r="1057" spans="12:14">
      <c r="L1057" s="250">
        <v>133.49999999999656</v>
      </c>
      <c r="M1057" s="250"/>
      <c r="N1057" s="250">
        <v>0.75151800000000002</v>
      </c>
    </row>
    <row r="1058" spans="12:14">
      <c r="L1058" s="250">
        <v>133.59999999999656</v>
      </c>
      <c r="M1058" s="250"/>
      <c r="N1058" s="250">
        <v>0.75129400000000002</v>
      </c>
    </row>
    <row r="1059" spans="12:14">
      <c r="L1059" s="250">
        <v>133.69999999999655</v>
      </c>
      <c r="M1059" s="250"/>
      <c r="N1059" s="250">
        <v>0.75107000000000002</v>
      </c>
    </row>
    <row r="1060" spans="12:14">
      <c r="L1060" s="250">
        <v>133.79999999999654</v>
      </c>
      <c r="M1060" s="250"/>
      <c r="N1060" s="250">
        <v>0.75084700000000004</v>
      </c>
    </row>
    <row r="1061" spans="12:14">
      <c r="L1061" s="250">
        <v>133.89999999999654</v>
      </c>
      <c r="M1061" s="250"/>
      <c r="N1061" s="250">
        <v>0.75062300000000004</v>
      </c>
    </row>
    <row r="1062" spans="12:14">
      <c r="L1062" s="250">
        <v>133.99999999999653</v>
      </c>
      <c r="M1062" s="250"/>
      <c r="N1062" s="250">
        <v>0.75039999999999996</v>
      </c>
    </row>
    <row r="1063" spans="12:14">
      <c r="L1063" s="250">
        <v>134.09999999999653</v>
      </c>
      <c r="M1063" s="250"/>
      <c r="N1063" s="250">
        <v>0.75017699999999998</v>
      </c>
    </row>
    <row r="1064" spans="12:14">
      <c r="L1064" s="250">
        <v>134.19999999999652</v>
      </c>
      <c r="M1064" s="250"/>
      <c r="N1064" s="250">
        <v>0.74995500000000004</v>
      </c>
    </row>
    <row r="1065" spans="12:14">
      <c r="L1065" s="250">
        <v>134.29999999999652</v>
      </c>
      <c r="M1065" s="250"/>
      <c r="N1065" s="250">
        <v>0.74973299999999998</v>
      </c>
    </row>
    <row r="1066" spans="12:14">
      <c r="L1066" s="250">
        <v>134.39999999999651</v>
      </c>
      <c r="M1066" s="250"/>
      <c r="N1066" s="250">
        <v>0.74951100000000004</v>
      </c>
    </row>
    <row r="1067" spans="12:14">
      <c r="L1067" s="250">
        <v>134.4999999999965</v>
      </c>
      <c r="M1067" s="250"/>
      <c r="N1067" s="250">
        <v>0.74928899999999998</v>
      </c>
    </row>
    <row r="1068" spans="12:14">
      <c r="L1068" s="250">
        <v>134.5999999999965</v>
      </c>
      <c r="M1068" s="250"/>
      <c r="N1068" s="250">
        <v>0.74906700000000004</v>
      </c>
    </row>
    <row r="1069" spans="12:14">
      <c r="L1069" s="250">
        <v>134.69999999999649</v>
      </c>
      <c r="M1069" s="250"/>
      <c r="N1069" s="250">
        <v>0.74884600000000001</v>
      </c>
    </row>
    <row r="1070" spans="12:14">
      <c r="L1070" s="250">
        <v>134.79999999999649</v>
      </c>
      <c r="M1070" s="250"/>
      <c r="N1070" s="250">
        <v>0.74862499999999998</v>
      </c>
    </row>
    <row r="1071" spans="12:14">
      <c r="L1071" s="250">
        <v>134.89999999999648</v>
      </c>
      <c r="M1071" s="250"/>
      <c r="N1071" s="250">
        <v>0.74840399999999996</v>
      </c>
    </row>
    <row r="1072" spans="12:14">
      <c r="L1072" s="250">
        <v>134.99999999999648</v>
      </c>
      <c r="M1072" s="250"/>
      <c r="N1072" s="250">
        <v>0.74818399999999996</v>
      </c>
    </row>
    <row r="1073" spans="12:14">
      <c r="L1073" s="250">
        <v>135.09999999999647</v>
      </c>
      <c r="M1073" s="250"/>
      <c r="N1073" s="250">
        <v>0.74796399999999996</v>
      </c>
    </row>
    <row r="1074" spans="12:14">
      <c r="L1074" s="250">
        <v>135.19999999999646</v>
      </c>
      <c r="M1074" s="250"/>
      <c r="N1074" s="250">
        <v>0.74774399999999996</v>
      </c>
    </row>
    <row r="1075" spans="12:14">
      <c r="L1075" s="250">
        <v>135.29999999999646</v>
      </c>
      <c r="M1075" s="250"/>
      <c r="N1075" s="250">
        <v>0.74752399999999997</v>
      </c>
    </row>
    <row r="1076" spans="12:14">
      <c r="L1076" s="250">
        <v>135.39999999999645</v>
      </c>
      <c r="M1076" s="250"/>
      <c r="N1076" s="250">
        <v>0.747305</v>
      </c>
    </row>
    <row r="1077" spans="12:14">
      <c r="L1077" s="250">
        <v>135.49999999999645</v>
      </c>
      <c r="M1077" s="250"/>
      <c r="N1077" s="250">
        <v>0.74708600000000003</v>
      </c>
    </row>
    <row r="1078" spans="12:14">
      <c r="L1078" s="250">
        <v>135.59999999999644</v>
      </c>
      <c r="M1078" s="250"/>
      <c r="N1078" s="250">
        <v>0.74686699999999995</v>
      </c>
    </row>
    <row r="1079" spans="12:14">
      <c r="L1079" s="250">
        <v>135.69999999999644</v>
      </c>
      <c r="M1079" s="250"/>
      <c r="N1079" s="250">
        <v>0.74664799999999998</v>
      </c>
    </row>
    <row r="1080" spans="12:14">
      <c r="L1080" s="250">
        <v>135.79999999999643</v>
      </c>
      <c r="M1080" s="250"/>
      <c r="N1080" s="250">
        <v>0.74643000000000004</v>
      </c>
    </row>
    <row r="1081" spans="12:14">
      <c r="L1081" s="250">
        <v>135.89999999999642</v>
      </c>
      <c r="M1081" s="250"/>
      <c r="N1081" s="250">
        <v>0.74621199999999999</v>
      </c>
    </row>
    <row r="1082" spans="12:14">
      <c r="L1082" s="250">
        <v>135.99999999999642</v>
      </c>
      <c r="M1082" s="250"/>
      <c r="N1082" s="250">
        <v>0.74599400000000005</v>
      </c>
    </row>
    <row r="1083" spans="12:14">
      <c r="L1083" s="250">
        <v>136.09999999999641</v>
      </c>
      <c r="M1083" s="250"/>
      <c r="N1083" s="250">
        <v>0.74577599999999999</v>
      </c>
    </row>
    <row r="1084" spans="12:14">
      <c r="L1084" s="250">
        <v>136.19999999999641</v>
      </c>
      <c r="M1084" s="250"/>
      <c r="N1084" s="250">
        <v>0.74555899999999997</v>
      </c>
    </row>
    <row r="1085" spans="12:14">
      <c r="L1085" s="250">
        <v>136.2999999999964</v>
      </c>
      <c r="M1085" s="250"/>
      <c r="N1085" s="250">
        <v>0.74534199999999995</v>
      </c>
    </row>
    <row r="1086" spans="12:14">
      <c r="L1086" s="250">
        <v>136.3999999999964</v>
      </c>
      <c r="M1086" s="250"/>
      <c r="N1086" s="250">
        <v>0.74512500000000004</v>
      </c>
    </row>
    <row r="1087" spans="12:14">
      <c r="L1087" s="250">
        <v>136.49999999999639</v>
      </c>
      <c r="M1087" s="250"/>
      <c r="N1087" s="250">
        <v>0.74490800000000001</v>
      </c>
    </row>
    <row r="1088" spans="12:14">
      <c r="L1088" s="250">
        <v>136.59999999999638</v>
      </c>
      <c r="M1088" s="250"/>
      <c r="N1088" s="250">
        <v>0.74469200000000002</v>
      </c>
    </row>
    <row r="1089" spans="12:14">
      <c r="L1089" s="250">
        <v>136.69999999999638</v>
      </c>
      <c r="M1089" s="250"/>
      <c r="N1089" s="250">
        <v>0.74447600000000003</v>
      </c>
    </row>
    <row r="1090" spans="12:14">
      <c r="L1090" s="250">
        <v>136.79999999999637</v>
      </c>
      <c r="M1090" s="250"/>
      <c r="N1090" s="250">
        <v>0.74426000000000003</v>
      </c>
    </row>
    <row r="1091" spans="12:14">
      <c r="L1091" s="250">
        <v>136.89999999999637</v>
      </c>
      <c r="M1091" s="250"/>
      <c r="N1091" s="250">
        <v>0.74404499999999996</v>
      </c>
    </row>
    <row r="1092" spans="12:14">
      <c r="L1092" s="250">
        <v>136.99999999999636</v>
      </c>
      <c r="M1092" s="250"/>
      <c r="N1092" s="250">
        <v>0.74382899999999996</v>
      </c>
    </row>
    <row r="1093" spans="12:14">
      <c r="L1093" s="250">
        <v>137.09999999999636</v>
      </c>
      <c r="M1093" s="250"/>
      <c r="N1093" s="250">
        <v>0.743614</v>
      </c>
    </row>
    <row r="1094" spans="12:14">
      <c r="L1094" s="250">
        <v>137.19999999999635</v>
      </c>
      <c r="M1094" s="250"/>
      <c r="N1094" s="250">
        <v>0.74339900000000003</v>
      </c>
    </row>
    <row r="1095" spans="12:14">
      <c r="L1095" s="250">
        <v>137.29999999999634</v>
      </c>
      <c r="M1095" s="250"/>
      <c r="N1095" s="250">
        <v>0.74318499999999998</v>
      </c>
    </row>
    <row r="1096" spans="12:14">
      <c r="L1096" s="250">
        <v>137.39999999999634</v>
      </c>
      <c r="M1096" s="250"/>
      <c r="N1096" s="250">
        <v>0.74297100000000005</v>
      </c>
    </row>
    <row r="1097" spans="12:14">
      <c r="L1097" s="250">
        <v>137.49999999999633</v>
      </c>
      <c r="M1097" s="250"/>
      <c r="N1097" s="250">
        <v>0.74275599999999997</v>
      </c>
    </row>
    <row r="1098" spans="12:14">
      <c r="L1098" s="250">
        <v>137.59999999999633</v>
      </c>
      <c r="M1098" s="250"/>
      <c r="N1098" s="250">
        <v>0.74245300000000003</v>
      </c>
    </row>
    <row r="1099" spans="12:14">
      <c r="L1099" s="250">
        <v>137.69999999999632</v>
      </c>
      <c r="M1099" s="250"/>
      <c r="N1099" s="250">
        <v>0.74232900000000002</v>
      </c>
    </row>
    <row r="1100" spans="12:14">
      <c r="L1100" s="250">
        <v>137.79999999999632</v>
      </c>
      <c r="M1100" s="250"/>
      <c r="N1100" s="250">
        <v>0.742116</v>
      </c>
    </row>
    <row r="1101" spans="12:14">
      <c r="L1101" s="250">
        <v>137.89999999999631</v>
      </c>
      <c r="M1101" s="250"/>
      <c r="N1101" s="250">
        <v>0.74190299999999998</v>
      </c>
    </row>
    <row r="1102" spans="12:14">
      <c r="L1102" s="250">
        <v>137.99999999999631</v>
      </c>
      <c r="M1102" s="250"/>
      <c r="N1102" s="250">
        <v>0.74168999999999996</v>
      </c>
    </row>
    <row r="1103" spans="12:14">
      <c r="L1103" s="250">
        <v>138.0999999999963</v>
      </c>
      <c r="M1103" s="250"/>
      <c r="N1103" s="250">
        <v>0.74147700000000005</v>
      </c>
    </row>
    <row r="1104" spans="12:14">
      <c r="L1104" s="250">
        <v>138.19999999999629</v>
      </c>
      <c r="M1104" s="250"/>
      <c r="N1104" s="250">
        <v>0.74126499999999995</v>
      </c>
    </row>
    <row r="1105" spans="12:14">
      <c r="L1105" s="250">
        <v>138.29999999999629</v>
      </c>
      <c r="M1105" s="250"/>
      <c r="N1105" s="250">
        <v>0.74105299999999996</v>
      </c>
    </row>
    <row r="1106" spans="12:14">
      <c r="L1106" s="250">
        <v>138.39999999999628</v>
      </c>
      <c r="M1106" s="250"/>
      <c r="N1106" s="250">
        <v>0.74084099999999997</v>
      </c>
    </row>
    <row r="1107" spans="12:14">
      <c r="L1107" s="250">
        <v>138.49999999999628</v>
      </c>
      <c r="M1107" s="250"/>
      <c r="N1107" s="250">
        <v>0.74062899999999998</v>
      </c>
    </row>
    <row r="1108" spans="12:14">
      <c r="L1108" s="250">
        <v>138.59999999999627</v>
      </c>
      <c r="M1108" s="250"/>
      <c r="N1108" s="250">
        <v>0.74041800000000002</v>
      </c>
    </row>
    <row r="1109" spans="12:14">
      <c r="L1109" s="250">
        <v>138.69999999999627</v>
      </c>
      <c r="M1109" s="250"/>
      <c r="N1109" s="250">
        <v>0.74020699999999995</v>
      </c>
    </row>
    <row r="1110" spans="12:14">
      <c r="L1110" s="250">
        <v>138.79999999999626</v>
      </c>
      <c r="M1110" s="250"/>
      <c r="N1110" s="250">
        <v>0.73999599999999999</v>
      </c>
    </row>
    <row r="1111" spans="12:14">
      <c r="L1111" s="250">
        <v>138.89999999999625</v>
      </c>
      <c r="M1111" s="250"/>
      <c r="N1111" s="250">
        <v>0.73978500000000003</v>
      </c>
    </row>
    <row r="1112" spans="12:14">
      <c r="L1112" s="250">
        <v>138.99999999999625</v>
      </c>
      <c r="M1112" s="250"/>
      <c r="N1112" s="250">
        <v>0.73957499999999998</v>
      </c>
    </row>
    <row r="1113" spans="12:14">
      <c r="L1113" s="250">
        <v>139.09999999999624</v>
      </c>
      <c r="M1113" s="250"/>
      <c r="N1113" s="250">
        <v>0.73936500000000005</v>
      </c>
    </row>
    <row r="1114" spans="12:14">
      <c r="L1114" s="250">
        <v>139.19999999999624</v>
      </c>
      <c r="M1114" s="250"/>
      <c r="N1114" s="250">
        <v>0.73915500000000001</v>
      </c>
    </row>
    <row r="1115" spans="12:14">
      <c r="L1115" s="250">
        <v>139.29999999999623</v>
      </c>
      <c r="M1115" s="250"/>
      <c r="N1115" s="250">
        <v>0.73894499999999996</v>
      </c>
    </row>
    <row r="1116" spans="12:14">
      <c r="L1116" s="250">
        <v>139.39999999999623</v>
      </c>
      <c r="M1116" s="250"/>
      <c r="N1116" s="250">
        <v>0.73873599999999995</v>
      </c>
    </row>
    <row r="1117" spans="12:14">
      <c r="L1117" s="250">
        <v>139.49999999999622</v>
      </c>
      <c r="M1117" s="250"/>
      <c r="N1117" s="250">
        <v>0.73852700000000004</v>
      </c>
    </row>
    <row r="1118" spans="12:14">
      <c r="L1118" s="250">
        <v>139.59999999999621</v>
      </c>
      <c r="M1118" s="250"/>
      <c r="N1118" s="250">
        <v>0.73831800000000003</v>
      </c>
    </row>
    <row r="1119" spans="12:14">
      <c r="L1119" s="250">
        <v>139.69999999999621</v>
      </c>
      <c r="M1119" s="250"/>
      <c r="N1119" s="250">
        <v>0.73810900000000002</v>
      </c>
    </row>
    <row r="1120" spans="12:14">
      <c r="L1120" s="250">
        <v>139.7999999999962</v>
      </c>
      <c r="M1120" s="250"/>
      <c r="N1120" s="250">
        <v>0.73790100000000003</v>
      </c>
    </row>
    <row r="1121" spans="12:14">
      <c r="L1121" s="250">
        <v>139.8999999999962</v>
      </c>
      <c r="M1121" s="250"/>
      <c r="N1121" s="250">
        <v>0.73769200000000001</v>
      </c>
    </row>
    <row r="1122" spans="12:14">
      <c r="L1122" s="250">
        <v>139.99999999999619</v>
      </c>
      <c r="M1122" s="250"/>
      <c r="N1122" s="250">
        <v>0.73748400000000003</v>
      </c>
    </row>
    <row r="1123" spans="12:14">
      <c r="L1123" s="250">
        <v>140.09999999999619</v>
      </c>
      <c r="M1123" s="250"/>
      <c r="N1123" s="250">
        <v>0.73727699999999996</v>
      </c>
    </row>
    <row r="1124" spans="12:14">
      <c r="L1124" s="250">
        <v>140.19999999999618</v>
      </c>
      <c r="M1124" s="250"/>
      <c r="N1124" s="250">
        <v>0.73706899999999997</v>
      </c>
    </row>
    <row r="1125" spans="12:14">
      <c r="L1125" s="250">
        <v>140.29999999999617</v>
      </c>
      <c r="M1125" s="250"/>
      <c r="N1125" s="250">
        <v>0.73686200000000002</v>
      </c>
    </row>
    <row r="1126" spans="12:14">
      <c r="L1126" s="250">
        <v>140.39999999999617</v>
      </c>
      <c r="M1126" s="250"/>
      <c r="N1126" s="250">
        <v>0.73665499999999995</v>
      </c>
    </row>
    <row r="1127" spans="12:14">
      <c r="L1127" s="250">
        <v>140.49999999999616</v>
      </c>
      <c r="M1127" s="250"/>
      <c r="N1127" s="250">
        <v>0.73644799999999999</v>
      </c>
    </row>
    <row r="1128" spans="12:14">
      <c r="L1128" s="250">
        <v>140.59999999999616</v>
      </c>
      <c r="M1128" s="250"/>
      <c r="N1128" s="250">
        <v>0.73624100000000003</v>
      </c>
    </row>
    <row r="1129" spans="12:14">
      <c r="L1129" s="250">
        <v>140.69999999999615</v>
      </c>
      <c r="M1129" s="250"/>
      <c r="N1129" s="250">
        <v>0.73603499999999999</v>
      </c>
    </row>
    <row r="1130" spans="12:14">
      <c r="L1130" s="250">
        <v>140.79999999999615</v>
      </c>
      <c r="M1130" s="250"/>
      <c r="N1130" s="250">
        <v>0.73582899999999996</v>
      </c>
    </row>
    <row r="1131" spans="12:14">
      <c r="L1131" s="250">
        <v>140.89999999999614</v>
      </c>
      <c r="M1131" s="250"/>
      <c r="N1131" s="250">
        <v>0.73562300000000003</v>
      </c>
    </row>
    <row r="1132" spans="12:14">
      <c r="L1132" s="250">
        <v>140.99999999999613</v>
      </c>
      <c r="M1132" s="250"/>
      <c r="N1132" s="250">
        <v>0.73541800000000002</v>
      </c>
    </row>
    <row r="1133" spans="12:14">
      <c r="L1133" s="250">
        <v>141.09999999999613</v>
      </c>
      <c r="M1133" s="250"/>
      <c r="N1133" s="250">
        <v>0.73521199999999998</v>
      </c>
    </row>
    <row r="1134" spans="12:14">
      <c r="L1134" s="250">
        <v>141.19999999999612</v>
      </c>
      <c r="M1134" s="250"/>
      <c r="N1134" s="250">
        <v>0.73500699999999997</v>
      </c>
    </row>
    <row r="1135" spans="12:14">
      <c r="L1135" s="250">
        <v>141.29999999999612</v>
      </c>
      <c r="M1135" s="250"/>
      <c r="N1135" s="250">
        <v>0.73480199999999996</v>
      </c>
    </row>
    <row r="1136" spans="12:14">
      <c r="L1136" s="250">
        <v>141.39999999999611</v>
      </c>
      <c r="M1136" s="250"/>
      <c r="N1136" s="250">
        <v>0.73459700000000006</v>
      </c>
    </row>
    <row r="1137" spans="12:14">
      <c r="L1137" s="250">
        <v>141.49999999999611</v>
      </c>
      <c r="M1137" s="250"/>
      <c r="N1137" s="250">
        <v>0.73439299999999996</v>
      </c>
    </row>
    <row r="1138" spans="12:14">
      <c r="L1138" s="250">
        <v>141.5999999999961</v>
      </c>
      <c r="M1138" s="250"/>
      <c r="N1138" s="250">
        <v>0.73418899999999998</v>
      </c>
    </row>
    <row r="1139" spans="12:14">
      <c r="L1139" s="250">
        <v>141.69999999999609</v>
      </c>
      <c r="M1139" s="250"/>
      <c r="N1139" s="250">
        <v>0.733985</v>
      </c>
    </row>
    <row r="1140" spans="12:14">
      <c r="L1140" s="250">
        <v>141.79999999999609</v>
      </c>
      <c r="M1140" s="250"/>
      <c r="N1140" s="250">
        <v>0.73378100000000002</v>
      </c>
    </row>
    <row r="1141" spans="12:14">
      <c r="L1141" s="250">
        <v>141.89999999999608</v>
      </c>
      <c r="M1141" s="250"/>
      <c r="N1141" s="250">
        <v>0.73357700000000003</v>
      </c>
    </row>
    <row r="1142" spans="12:14">
      <c r="L1142" s="250">
        <v>141.99999999999608</v>
      </c>
      <c r="M1142" s="250"/>
      <c r="N1142" s="250">
        <v>0.73337399999999997</v>
      </c>
    </row>
    <row r="1143" spans="12:14">
      <c r="L1143" s="250">
        <v>142.09999999999607</v>
      </c>
      <c r="M1143" s="250"/>
      <c r="N1143" s="250">
        <v>0.73317100000000002</v>
      </c>
    </row>
    <row r="1144" spans="12:14">
      <c r="L1144" s="250">
        <v>142.19999999999607</v>
      </c>
      <c r="M1144" s="250"/>
      <c r="N1144" s="250">
        <v>0.73296799999999995</v>
      </c>
    </row>
    <row r="1145" spans="12:14">
      <c r="L1145" s="250">
        <v>142.29999999999606</v>
      </c>
      <c r="M1145" s="250"/>
      <c r="N1145" s="250">
        <v>0.732765</v>
      </c>
    </row>
    <row r="1146" spans="12:14">
      <c r="L1146" s="250">
        <v>142.39999999999606</v>
      </c>
      <c r="M1146" s="250"/>
      <c r="N1146" s="250">
        <v>0.73256299999999996</v>
      </c>
    </row>
    <row r="1147" spans="12:14">
      <c r="L1147" s="250">
        <v>142.49999999999605</v>
      </c>
      <c r="M1147" s="250"/>
      <c r="N1147" s="250">
        <v>0.73236100000000004</v>
      </c>
    </row>
    <row r="1148" spans="12:14">
      <c r="L1148" s="250">
        <v>142.59999999999604</v>
      </c>
      <c r="M1148" s="250"/>
      <c r="N1148" s="250">
        <v>0.732159</v>
      </c>
    </row>
    <row r="1149" spans="12:14">
      <c r="L1149" s="250">
        <v>142.69999999999604</v>
      </c>
      <c r="M1149" s="250"/>
      <c r="N1149" s="250">
        <v>0.73195699999999997</v>
      </c>
    </row>
    <row r="1150" spans="12:14">
      <c r="L1150" s="250">
        <v>142.79999999999603</v>
      </c>
      <c r="M1150" s="250"/>
      <c r="N1150" s="250">
        <v>0.73175500000000004</v>
      </c>
    </row>
    <row r="1151" spans="12:14">
      <c r="L1151" s="250">
        <v>142.89999999999603</v>
      </c>
      <c r="M1151" s="250"/>
      <c r="N1151" s="250">
        <v>0.73155400000000004</v>
      </c>
    </row>
    <row r="1152" spans="12:14">
      <c r="L1152" s="250">
        <v>142.99999999999602</v>
      </c>
      <c r="M1152" s="250"/>
      <c r="N1152" s="250">
        <v>0.73135300000000003</v>
      </c>
    </row>
    <row r="1153" spans="12:14">
      <c r="L1153" s="250">
        <v>143.09999999999602</v>
      </c>
      <c r="M1153" s="250"/>
      <c r="N1153" s="250">
        <v>0.73115200000000002</v>
      </c>
    </row>
    <row r="1154" spans="12:14">
      <c r="L1154" s="250">
        <v>143.19999999999601</v>
      </c>
      <c r="M1154" s="250"/>
      <c r="N1154" s="250">
        <v>0.73095200000000005</v>
      </c>
    </row>
    <row r="1155" spans="12:14">
      <c r="L1155" s="250">
        <v>143.299999999996</v>
      </c>
      <c r="M1155" s="250"/>
      <c r="N1155" s="250">
        <v>0.73075100000000004</v>
      </c>
    </row>
    <row r="1156" spans="12:14">
      <c r="L1156" s="250">
        <v>143.399999999996</v>
      </c>
      <c r="M1156" s="250"/>
      <c r="N1156" s="250">
        <v>0.73055099999999995</v>
      </c>
    </row>
    <row r="1157" spans="12:14">
      <c r="L1157" s="250">
        <v>143.49999999999599</v>
      </c>
      <c r="M1157" s="250"/>
      <c r="N1157" s="250">
        <v>0.73035099999999997</v>
      </c>
    </row>
    <row r="1158" spans="12:14">
      <c r="L1158" s="250">
        <v>143.59999999999599</v>
      </c>
      <c r="M1158" s="250"/>
      <c r="N1158" s="250">
        <v>0.73015099999999999</v>
      </c>
    </row>
    <row r="1159" spans="12:14">
      <c r="L1159" s="250">
        <v>143.69999999999598</v>
      </c>
      <c r="M1159" s="250"/>
      <c r="N1159" s="250">
        <v>0.72995200000000005</v>
      </c>
    </row>
    <row r="1160" spans="12:14">
      <c r="L1160" s="250">
        <v>143.79999999999598</v>
      </c>
      <c r="M1160" s="250"/>
      <c r="N1160" s="250">
        <v>0.72975299999999999</v>
      </c>
    </row>
    <row r="1161" spans="12:14">
      <c r="L1161" s="250">
        <v>143.89999999999597</v>
      </c>
      <c r="M1161" s="250"/>
      <c r="N1161" s="250">
        <v>0.72955400000000004</v>
      </c>
    </row>
    <row r="1162" spans="12:14">
      <c r="L1162" s="250">
        <v>143.99999999999596</v>
      </c>
      <c r="M1162" s="250"/>
      <c r="N1162" s="250">
        <v>0.72935499999999998</v>
      </c>
    </row>
    <row r="1163" spans="12:14">
      <c r="L1163" s="250">
        <v>144.09999999999596</v>
      </c>
      <c r="M1163" s="250"/>
      <c r="N1163" s="250">
        <v>0.72915600000000003</v>
      </c>
    </row>
    <row r="1164" spans="12:14">
      <c r="L1164" s="250">
        <v>144.19999999999595</v>
      </c>
      <c r="M1164" s="250"/>
      <c r="N1164" s="250">
        <v>0.72895799999999999</v>
      </c>
    </row>
    <row r="1165" spans="12:14">
      <c r="L1165" s="250">
        <v>144.29999999999595</v>
      </c>
      <c r="M1165" s="250"/>
      <c r="N1165" s="250">
        <v>0.72875900000000005</v>
      </c>
    </row>
    <row r="1166" spans="12:14">
      <c r="L1166" s="250">
        <v>144.39999999999594</v>
      </c>
      <c r="M1166" s="250"/>
      <c r="N1166" s="250">
        <v>0.72856200000000004</v>
      </c>
    </row>
    <row r="1167" spans="12:14">
      <c r="L1167" s="250">
        <v>144.49999999999594</v>
      </c>
      <c r="M1167" s="250"/>
      <c r="N1167" s="250">
        <v>0.72836400000000001</v>
      </c>
    </row>
    <row r="1168" spans="12:14">
      <c r="L1168" s="250">
        <v>144.59999999999593</v>
      </c>
      <c r="M1168" s="250"/>
      <c r="N1168" s="250">
        <v>0.72816599999999998</v>
      </c>
    </row>
    <row r="1169" spans="12:14">
      <c r="L1169" s="250">
        <v>144.69999999999592</v>
      </c>
      <c r="M1169" s="250"/>
      <c r="N1169" s="250">
        <v>0.72796899999999998</v>
      </c>
    </row>
    <row r="1170" spans="12:14">
      <c r="L1170" s="250">
        <v>144.79999999999592</v>
      </c>
      <c r="M1170" s="250"/>
      <c r="N1170" s="250">
        <v>0.72777199999999997</v>
      </c>
    </row>
    <row r="1171" spans="12:14">
      <c r="L1171" s="250">
        <v>144.89999999999591</v>
      </c>
      <c r="M1171" s="250"/>
      <c r="N1171" s="250">
        <v>0.72757499999999997</v>
      </c>
    </row>
    <row r="1172" spans="12:14">
      <c r="L1172" s="250">
        <v>144.99999999999591</v>
      </c>
      <c r="M1172" s="250"/>
      <c r="N1172" s="250">
        <v>0.72737799999999997</v>
      </c>
    </row>
    <row r="1173" spans="12:14">
      <c r="L1173" s="250">
        <v>145.0999999999959</v>
      </c>
      <c r="M1173" s="250"/>
      <c r="N1173" s="250">
        <v>0.727182</v>
      </c>
    </row>
    <row r="1174" spans="12:14">
      <c r="L1174" s="250">
        <v>145.1999999999959</v>
      </c>
      <c r="M1174" s="250"/>
      <c r="N1174" s="250">
        <v>0.72698600000000002</v>
      </c>
    </row>
    <row r="1175" spans="12:14">
      <c r="L1175" s="250">
        <v>145.29999999999589</v>
      </c>
      <c r="M1175" s="250"/>
      <c r="N1175" s="250">
        <v>0.72679000000000005</v>
      </c>
    </row>
    <row r="1176" spans="12:14">
      <c r="L1176" s="250">
        <v>145.39999999999588</v>
      </c>
      <c r="M1176" s="250"/>
      <c r="N1176" s="250">
        <v>0.72659399999999996</v>
      </c>
    </row>
    <row r="1177" spans="12:14">
      <c r="L1177" s="250">
        <v>145.49999999999588</v>
      </c>
      <c r="M1177" s="250"/>
      <c r="N1177" s="250">
        <v>0.72639799999999999</v>
      </c>
    </row>
    <row r="1178" spans="12:14">
      <c r="L1178" s="250">
        <v>145.59999999999587</v>
      </c>
      <c r="M1178" s="250"/>
      <c r="N1178" s="250">
        <v>0.72620300000000004</v>
      </c>
    </row>
    <row r="1179" spans="12:14">
      <c r="L1179" s="250">
        <v>145.69999999999587</v>
      </c>
      <c r="M1179" s="250"/>
      <c r="N1179" s="250">
        <v>0.72600799999999999</v>
      </c>
    </row>
    <row r="1180" spans="12:14">
      <c r="L1180" s="250">
        <v>145.79999999999586</v>
      </c>
      <c r="M1180" s="250"/>
      <c r="N1180" s="250">
        <v>0.72581300000000004</v>
      </c>
    </row>
    <row r="1181" spans="12:14">
      <c r="L1181" s="250">
        <v>145.89999999999586</v>
      </c>
      <c r="M1181" s="250"/>
      <c r="N1181" s="250">
        <v>0.72561799999999999</v>
      </c>
    </row>
    <row r="1182" spans="12:14">
      <c r="L1182" s="250">
        <v>145.99999999999585</v>
      </c>
      <c r="M1182" s="250"/>
      <c r="N1182" s="250">
        <v>0.72542300000000004</v>
      </c>
    </row>
    <row r="1183" spans="12:14">
      <c r="L1183" s="250">
        <v>146.09999999999584</v>
      </c>
      <c r="M1183" s="250"/>
      <c r="N1183" s="250">
        <v>0.72522900000000001</v>
      </c>
    </row>
    <row r="1184" spans="12:14">
      <c r="L1184" s="250">
        <v>146.19999999999584</v>
      </c>
      <c r="M1184" s="250"/>
      <c r="N1184" s="250">
        <v>0.72503499999999999</v>
      </c>
    </row>
    <row r="1185" spans="12:14">
      <c r="L1185" s="250">
        <v>146.29999999999583</v>
      </c>
      <c r="M1185" s="250"/>
      <c r="N1185" s="250">
        <v>0.72484099999999996</v>
      </c>
    </row>
    <row r="1186" spans="12:14">
      <c r="L1186" s="250">
        <v>146.39999999999583</v>
      </c>
      <c r="M1186" s="250"/>
      <c r="N1186" s="250">
        <v>0.72464799999999996</v>
      </c>
    </row>
    <row r="1187" spans="12:14">
      <c r="L1187" s="250">
        <v>146.49999999999582</v>
      </c>
      <c r="M1187" s="250"/>
      <c r="N1187" s="250">
        <v>0.72445400000000004</v>
      </c>
    </row>
    <row r="1188" spans="12:14">
      <c r="L1188" s="250">
        <v>146.59999999999582</v>
      </c>
      <c r="M1188" s="250"/>
      <c r="N1188" s="250">
        <v>0.72426100000000004</v>
      </c>
    </row>
    <row r="1189" spans="12:14">
      <c r="L1189" s="250">
        <v>146.69999999999581</v>
      </c>
      <c r="M1189" s="250"/>
      <c r="N1189" s="250">
        <v>0.72406800000000004</v>
      </c>
    </row>
    <row r="1190" spans="12:14">
      <c r="L1190" s="250">
        <v>146.7999999999958</v>
      </c>
      <c r="M1190" s="250"/>
      <c r="N1190" s="250">
        <v>0.72387500000000005</v>
      </c>
    </row>
    <row r="1191" spans="12:14">
      <c r="L1191" s="250">
        <v>146.8999999999958</v>
      </c>
      <c r="M1191" s="250"/>
      <c r="N1191" s="250">
        <v>0.72368200000000005</v>
      </c>
    </row>
    <row r="1192" spans="12:14">
      <c r="L1192" s="250">
        <v>146.99999999999579</v>
      </c>
      <c r="M1192" s="250"/>
      <c r="N1192" s="250">
        <v>0.72348999999999997</v>
      </c>
    </row>
    <row r="1193" spans="12:14">
      <c r="L1193" s="250">
        <v>147.09999999999579</v>
      </c>
      <c r="M1193" s="250"/>
      <c r="N1193" s="250">
        <v>0.723298</v>
      </c>
    </row>
    <row r="1194" spans="12:14">
      <c r="L1194" s="250">
        <v>147.19999999999578</v>
      </c>
      <c r="M1194" s="250"/>
      <c r="N1194" s="250">
        <v>0.72310600000000003</v>
      </c>
    </row>
    <row r="1195" spans="12:14">
      <c r="L1195" s="250">
        <v>147.29999999999578</v>
      </c>
      <c r="M1195" s="250"/>
      <c r="N1195" s="250">
        <v>0.72291399999999995</v>
      </c>
    </row>
    <row r="1196" spans="12:14">
      <c r="L1196" s="250">
        <v>147.39999999999577</v>
      </c>
      <c r="M1196" s="250"/>
      <c r="N1196" s="250">
        <v>0.72272199999999998</v>
      </c>
    </row>
    <row r="1197" spans="12:14">
      <c r="L1197" s="250">
        <v>147.49999999999577</v>
      </c>
      <c r="M1197" s="250"/>
      <c r="N1197" s="250">
        <v>0.72253100000000003</v>
      </c>
    </row>
    <row r="1198" spans="12:14">
      <c r="L1198" s="250">
        <v>147.59999999999576</v>
      </c>
      <c r="M1198" s="250"/>
      <c r="N1198" s="250">
        <v>0.72233999999999998</v>
      </c>
    </row>
    <row r="1199" spans="12:14">
      <c r="L1199" s="250">
        <v>147.69999999999575</v>
      </c>
      <c r="M1199" s="250"/>
      <c r="N1199" s="250">
        <v>0.72214900000000004</v>
      </c>
    </row>
    <row r="1200" spans="12:14">
      <c r="L1200" s="250">
        <v>147.79999999999575</v>
      </c>
      <c r="M1200" s="250"/>
      <c r="N1200" s="250">
        <v>0.72195799999999999</v>
      </c>
    </row>
    <row r="1201" spans="12:14">
      <c r="L1201" s="250">
        <v>147.89999999999574</v>
      </c>
      <c r="M1201" s="250"/>
      <c r="N1201" s="250">
        <v>0.72176700000000005</v>
      </c>
    </row>
    <row r="1202" spans="12:14">
      <c r="L1202" s="250">
        <v>147.99999999999574</v>
      </c>
      <c r="M1202" s="250"/>
      <c r="N1202" s="250">
        <v>0.72157700000000002</v>
      </c>
    </row>
    <row r="1203" spans="12:14">
      <c r="L1203" s="250">
        <v>148.09999999999573</v>
      </c>
      <c r="M1203" s="250"/>
      <c r="N1203" s="250">
        <v>0.721387</v>
      </c>
    </row>
    <row r="1204" spans="12:14">
      <c r="L1204" s="250">
        <v>148.19999999999573</v>
      </c>
      <c r="M1204" s="250"/>
      <c r="N1204" s="250">
        <v>0.72119699999999998</v>
      </c>
    </row>
    <row r="1205" spans="12:14">
      <c r="L1205" s="250">
        <v>148.29999999999572</v>
      </c>
      <c r="M1205" s="250"/>
      <c r="N1205" s="250">
        <v>0.72100699999999995</v>
      </c>
    </row>
    <row r="1206" spans="12:14">
      <c r="L1206" s="250">
        <v>148.39999999999571</v>
      </c>
      <c r="M1206" s="250"/>
      <c r="N1206" s="250">
        <v>0.72081799999999996</v>
      </c>
    </row>
    <row r="1207" spans="12:14">
      <c r="L1207" s="250">
        <v>148.49999999999571</v>
      </c>
      <c r="M1207" s="250"/>
      <c r="N1207" s="250">
        <v>0.72062800000000005</v>
      </c>
    </row>
    <row r="1208" spans="12:14">
      <c r="L1208" s="250">
        <v>148.5999999999957</v>
      </c>
      <c r="M1208" s="250"/>
      <c r="N1208" s="250">
        <v>0.72043900000000005</v>
      </c>
    </row>
    <row r="1209" spans="12:14">
      <c r="L1209" s="250">
        <v>148.6999999999957</v>
      </c>
      <c r="M1209" s="250"/>
      <c r="N1209" s="250">
        <v>0.72024999999999995</v>
      </c>
    </row>
    <row r="1210" spans="12:14">
      <c r="L1210" s="250">
        <v>148.79999999999569</v>
      </c>
      <c r="M1210" s="250"/>
      <c r="N1210" s="250">
        <v>0.72006199999999998</v>
      </c>
    </row>
    <row r="1211" spans="12:14">
      <c r="L1211" s="250">
        <v>148.89999999999569</v>
      </c>
      <c r="M1211" s="250"/>
      <c r="N1211" s="250">
        <v>0.71987299999999999</v>
      </c>
    </row>
    <row r="1212" spans="12:14">
      <c r="L1212" s="250">
        <v>148.99999999999568</v>
      </c>
      <c r="M1212" s="250"/>
      <c r="N1212" s="250">
        <v>0.71968500000000002</v>
      </c>
    </row>
    <row r="1213" spans="12:14">
      <c r="L1213" s="250">
        <v>149.09999999999567</v>
      </c>
      <c r="M1213" s="250"/>
      <c r="N1213" s="250">
        <v>0.71949700000000005</v>
      </c>
    </row>
    <row r="1214" spans="12:14">
      <c r="L1214" s="250">
        <v>149.19999999999567</v>
      </c>
      <c r="M1214" s="250"/>
      <c r="N1214" s="250">
        <v>0.71930899999999998</v>
      </c>
    </row>
    <row r="1215" spans="12:14">
      <c r="L1215" s="250">
        <v>149.29999999999566</v>
      </c>
      <c r="M1215" s="250"/>
      <c r="N1215" s="250">
        <v>0.71912100000000001</v>
      </c>
    </row>
    <row r="1216" spans="12:14">
      <c r="L1216" s="250">
        <v>149.39999999999566</v>
      </c>
      <c r="M1216" s="250"/>
      <c r="N1216" s="250">
        <v>0.71893300000000004</v>
      </c>
    </row>
    <row r="1217" spans="12:14">
      <c r="L1217" s="250">
        <v>149.49999999999565</v>
      </c>
      <c r="M1217" s="250"/>
      <c r="N1217" s="250">
        <v>0.718746</v>
      </c>
    </row>
    <row r="1218" spans="12:14">
      <c r="L1218" s="250">
        <v>149.59999999999565</v>
      </c>
      <c r="M1218" s="250"/>
      <c r="N1218" s="250">
        <v>0.71855899999999995</v>
      </c>
    </row>
    <row r="1219" spans="12:14">
      <c r="L1219" s="250">
        <v>149.69999999999564</v>
      </c>
      <c r="M1219" s="250"/>
      <c r="N1219" s="250">
        <v>0.71837200000000001</v>
      </c>
    </row>
    <row r="1220" spans="12:14">
      <c r="L1220" s="250">
        <v>149.79999999999563</v>
      </c>
      <c r="M1220" s="250"/>
      <c r="N1220" s="250">
        <v>0.71818499999999996</v>
      </c>
    </row>
    <row r="1221" spans="12:14">
      <c r="L1221" s="250">
        <v>149.89999999999563</v>
      </c>
      <c r="M1221" s="250"/>
      <c r="N1221" s="250">
        <v>0.71799900000000005</v>
      </c>
    </row>
    <row r="1222" spans="12:14">
      <c r="L1222" s="250">
        <v>149.99999999999562</v>
      </c>
      <c r="M1222" s="250"/>
      <c r="N1222" s="250">
        <v>0.71781200000000001</v>
      </c>
    </row>
    <row r="1223" spans="12:14">
      <c r="L1223" s="250">
        <v>150.09999999999562</v>
      </c>
      <c r="M1223" s="250"/>
      <c r="N1223" s="250">
        <v>0.71762599999999999</v>
      </c>
    </row>
    <row r="1224" spans="12:14">
      <c r="L1224" s="250">
        <v>150.19999999999561</v>
      </c>
      <c r="M1224" s="250"/>
      <c r="N1224" s="250">
        <v>0.71743999999999997</v>
      </c>
    </row>
    <row r="1225" spans="12:14">
      <c r="L1225" s="250">
        <v>150.29999999999561</v>
      </c>
      <c r="M1225" s="250"/>
      <c r="N1225" s="250">
        <v>0.71725499999999998</v>
      </c>
    </row>
    <row r="1226" spans="12:14">
      <c r="L1226" s="250">
        <v>150.3999999999956</v>
      </c>
      <c r="M1226" s="250"/>
      <c r="N1226" s="250">
        <v>0.71706899999999996</v>
      </c>
    </row>
    <row r="1227" spans="12:14">
      <c r="L1227" s="250">
        <v>150.49999999999559</v>
      </c>
      <c r="M1227" s="250"/>
      <c r="N1227" s="250">
        <v>0.71688399999999997</v>
      </c>
    </row>
    <row r="1228" spans="12:14">
      <c r="L1228" s="250">
        <v>150.59999999999559</v>
      </c>
      <c r="M1228" s="250"/>
      <c r="N1228" s="250">
        <v>0.71669899999999997</v>
      </c>
    </row>
    <row r="1229" spans="12:14">
      <c r="L1229" s="250">
        <v>150.69999999999558</v>
      </c>
      <c r="M1229" s="250"/>
      <c r="N1229" s="250">
        <v>0.71651399999999998</v>
      </c>
    </row>
    <row r="1230" spans="12:14">
      <c r="L1230" s="250">
        <v>150.79999999999558</v>
      </c>
      <c r="M1230" s="250"/>
      <c r="N1230" s="250">
        <v>0.71632899999999999</v>
      </c>
    </row>
    <row r="1231" spans="12:14">
      <c r="L1231" s="250">
        <v>150.89999999999557</v>
      </c>
      <c r="M1231" s="250"/>
      <c r="N1231" s="250">
        <v>0.716144</v>
      </c>
    </row>
    <row r="1232" spans="12:14">
      <c r="L1232" s="250">
        <v>150.99999999999557</v>
      </c>
      <c r="M1232" s="250"/>
      <c r="N1232" s="250">
        <v>0.71596000000000004</v>
      </c>
    </row>
    <row r="1233" spans="12:14">
      <c r="L1233" s="250">
        <v>151.09999999999556</v>
      </c>
      <c r="M1233" s="250"/>
      <c r="N1233" s="250">
        <v>0.71577599999999997</v>
      </c>
    </row>
    <row r="1234" spans="12:14">
      <c r="L1234" s="250">
        <v>151.19999999999555</v>
      </c>
      <c r="M1234" s="250"/>
      <c r="N1234" s="250">
        <v>0.71559200000000001</v>
      </c>
    </row>
    <row r="1235" spans="12:14">
      <c r="L1235" s="250">
        <v>151.29999999999555</v>
      </c>
      <c r="M1235" s="250"/>
      <c r="N1235" s="250">
        <v>0.71540800000000004</v>
      </c>
    </row>
    <row r="1236" spans="12:14">
      <c r="L1236" s="250">
        <v>151.39999999999554</v>
      </c>
      <c r="M1236" s="250"/>
      <c r="N1236" s="250">
        <v>0.71522399999999997</v>
      </c>
    </row>
    <row r="1237" spans="12:14">
      <c r="L1237" s="250">
        <v>151.49999999999554</v>
      </c>
      <c r="M1237" s="250"/>
      <c r="N1237" s="250">
        <v>0.71504100000000004</v>
      </c>
    </row>
    <row r="1238" spans="12:14">
      <c r="L1238" s="250">
        <v>151.59999999999553</v>
      </c>
      <c r="M1238" s="250"/>
      <c r="N1238" s="250">
        <v>0.71485799999999999</v>
      </c>
    </row>
    <row r="1239" spans="12:14">
      <c r="L1239" s="250">
        <v>151.69999999999553</v>
      </c>
      <c r="M1239" s="250"/>
      <c r="N1239" s="250">
        <v>0.71467499999999995</v>
      </c>
    </row>
    <row r="1240" spans="12:14">
      <c r="L1240" s="250">
        <v>151.79999999999552</v>
      </c>
      <c r="M1240" s="250"/>
      <c r="N1240" s="250">
        <v>0.71449200000000002</v>
      </c>
    </row>
    <row r="1241" spans="12:14">
      <c r="L1241" s="250">
        <v>151.89999999999552</v>
      </c>
      <c r="M1241" s="250"/>
      <c r="N1241" s="250">
        <v>0.71430899999999997</v>
      </c>
    </row>
    <row r="1242" spans="12:14">
      <c r="L1242" s="250">
        <v>151.99999999999551</v>
      </c>
      <c r="M1242" s="250"/>
      <c r="N1242" s="250">
        <v>0.71412699999999996</v>
      </c>
    </row>
    <row r="1243" spans="12:14">
      <c r="L1243" s="250">
        <v>152.0999999999955</v>
      </c>
      <c r="M1243" s="250"/>
      <c r="N1243" s="250">
        <v>0.71394400000000002</v>
      </c>
    </row>
    <row r="1244" spans="12:14">
      <c r="L1244" s="250">
        <v>152.1999999999955</v>
      </c>
      <c r="M1244" s="250"/>
      <c r="N1244" s="250">
        <v>0.71376200000000001</v>
      </c>
    </row>
    <row r="1245" spans="12:14">
      <c r="L1245" s="250">
        <v>152.29999999999549</v>
      </c>
      <c r="M1245" s="250"/>
      <c r="N1245" s="250">
        <v>0.71358100000000002</v>
      </c>
    </row>
    <row r="1246" spans="12:14">
      <c r="L1246" s="250">
        <v>152.39999999999549</v>
      </c>
      <c r="M1246" s="250"/>
      <c r="N1246" s="250">
        <v>0.71339900000000001</v>
      </c>
    </row>
    <row r="1247" spans="12:14">
      <c r="L1247" s="250">
        <v>152.49999999999548</v>
      </c>
      <c r="M1247" s="250"/>
      <c r="N1247" s="250">
        <v>0.71321699999999999</v>
      </c>
    </row>
    <row r="1248" spans="12:14">
      <c r="L1248" s="250">
        <v>152.59999999999548</v>
      </c>
      <c r="M1248" s="250"/>
      <c r="N1248" s="250">
        <v>0.713036</v>
      </c>
    </row>
    <row r="1249" spans="12:14">
      <c r="L1249" s="250">
        <v>152.69999999999547</v>
      </c>
      <c r="M1249" s="250"/>
      <c r="N1249" s="250">
        <v>0.71285500000000002</v>
      </c>
    </row>
    <row r="1250" spans="12:14">
      <c r="L1250" s="250">
        <v>152.79999999999546</v>
      </c>
      <c r="M1250" s="250"/>
      <c r="N1250" s="250">
        <v>0.71267400000000003</v>
      </c>
    </row>
    <row r="1251" spans="12:14">
      <c r="L1251" s="250">
        <v>152.89999999999546</v>
      </c>
      <c r="M1251" s="250"/>
      <c r="N1251" s="250">
        <v>0.71249300000000004</v>
      </c>
    </row>
    <row r="1252" spans="12:14">
      <c r="L1252" s="250">
        <v>152.99999999999545</v>
      </c>
      <c r="M1252" s="250"/>
      <c r="N1252" s="250">
        <v>0.71231299999999997</v>
      </c>
    </row>
    <row r="1253" spans="12:14">
      <c r="L1253" s="250">
        <v>153.09999999999545</v>
      </c>
      <c r="M1253" s="250"/>
      <c r="N1253" s="250">
        <v>0.71213199999999999</v>
      </c>
    </row>
    <row r="1254" spans="12:14">
      <c r="L1254" s="250">
        <v>153.19999999999544</v>
      </c>
      <c r="M1254" s="250"/>
      <c r="N1254" s="250">
        <v>0.71195200000000003</v>
      </c>
    </row>
    <row r="1255" spans="12:14">
      <c r="L1255" s="250">
        <v>153.29999999999544</v>
      </c>
      <c r="M1255" s="250"/>
      <c r="N1255" s="250">
        <v>0.71177199999999996</v>
      </c>
    </row>
    <row r="1256" spans="12:14">
      <c r="L1256" s="250">
        <v>153.39999999999543</v>
      </c>
      <c r="M1256" s="250"/>
      <c r="N1256" s="250">
        <v>0.711592</v>
      </c>
    </row>
    <row r="1257" spans="12:14">
      <c r="L1257" s="250">
        <v>153.49999999999542</v>
      </c>
      <c r="M1257" s="250"/>
      <c r="N1257" s="250">
        <v>0.71141299999999996</v>
      </c>
    </row>
    <row r="1258" spans="12:14">
      <c r="L1258" s="250">
        <v>153.59999999999542</v>
      </c>
      <c r="M1258" s="250"/>
      <c r="N1258" s="250">
        <v>0.711233</v>
      </c>
    </row>
    <row r="1259" spans="12:14">
      <c r="L1259" s="250">
        <v>153.69999999999541</v>
      </c>
      <c r="M1259" s="250"/>
      <c r="N1259" s="250">
        <v>0.71105399999999996</v>
      </c>
    </row>
    <row r="1260" spans="12:14">
      <c r="L1260" s="250">
        <v>153.79999999999541</v>
      </c>
      <c r="M1260" s="250"/>
      <c r="N1260" s="250">
        <v>0.71087500000000003</v>
      </c>
    </row>
    <row r="1261" spans="12:14">
      <c r="L1261" s="250">
        <v>153.8999999999954</v>
      </c>
      <c r="M1261" s="250"/>
      <c r="N1261" s="250">
        <v>0.71069599999999999</v>
      </c>
    </row>
    <row r="1262" spans="12:14">
      <c r="L1262" s="250">
        <v>153.9999999999954</v>
      </c>
      <c r="M1262" s="250"/>
      <c r="N1262" s="250">
        <v>0.71051699999999995</v>
      </c>
    </row>
    <row r="1263" spans="12:14">
      <c r="L1263" s="250">
        <v>154.09999999999539</v>
      </c>
      <c r="M1263" s="250"/>
      <c r="N1263" s="250">
        <v>0.71033900000000005</v>
      </c>
    </row>
    <row r="1264" spans="12:14">
      <c r="L1264" s="250">
        <v>154.19999999999538</v>
      </c>
      <c r="M1264" s="250"/>
      <c r="N1264" s="250">
        <v>0.71016000000000001</v>
      </c>
    </row>
    <row r="1265" spans="12:14">
      <c r="L1265" s="250">
        <v>154.29999999999538</v>
      </c>
      <c r="M1265" s="250"/>
      <c r="N1265" s="250">
        <v>0.709982</v>
      </c>
    </row>
    <row r="1266" spans="12:14">
      <c r="L1266" s="250">
        <v>154.39999999999537</v>
      </c>
      <c r="M1266" s="250"/>
      <c r="N1266" s="250">
        <v>0.70980399999999999</v>
      </c>
    </row>
    <row r="1267" spans="12:14">
      <c r="L1267" s="250">
        <v>154.49999999999537</v>
      </c>
      <c r="M1267" s="250"/>
      <c r="N1267" s="250">
        <v>0.70962599999999998</v>
      </c>
    </row>
    <row r="1268" spans="12:14">
      <c r="L1268" s="250">
        <v>154.59999999999536</v>
      </c>
      <c r="M1268" s="250"/>
      <c r="N1268" s="250">
        <v>0.709449</v>
      </c>
    </row>
    <row r="1269" spans="12:14">
      <c r="L1269" s="250">
        <v>154.69999999999536</v>
      </c>
      <c r="M1269" s="250"/>
      <c r="N1269" s="250">
        <v>0.70927099999999998</v>
      </c>
    </row>
    <row r="1270" spans="12:14">
      <c r="L1270" s="250">
        <v>154.79999999999535</v>
      </c>
      <c r="M1270" s="250"/>
      <c r="N1270" s="250">
        <v>0.709094</v>
      </c>
    </row>
    <row r="1271" spans="12:14">
      <c r="L1271" s="250">
        <v>154.89999999999534</v>
      </c>
      <c r="M1271" s="250"/>
      <c r="N1271" s="250">
        <v>0.70891700000000002</v>
      </c>
    </row>
    <row r="1272" spans="12:14">
      <c r="L1272" s="250">
        <v>154.99999999999534</v>
      </c>
      <c r="M1272" s="250"/>
      <c r="N1272" s="250">
        <v>0.70874000000000004</v>
      </c>
    </row>
    <row r="1273" spans="12:14">
      <c r="L1273" s="250">
        <v>155.09999999999533</v>
      </c>
      <c r="M1273" s="250"/>
      <c r="N1273" s="250">
        <v>0.70856300000000005</v>
      </c>
    </row>
    <row r="1274" spans="12:14">
      <c r="L1274" s="250">
        <v>155.19999999999533</v>
      </c>
      <c r="M1274" s="250"/>
      <c r="N1274" s="250">
        <v>0.70838699999999999</v>
      </c>
    </row>
    <row r="1275" spans="12:14">
      <c r="L1275" s="250">
        <v>155.29999999999532</v>
      </c>
      <c r="M1275" s="250"/>
      <c r="N1275" s="250">
        <v>0.70821100000000003</v>
      </c>
    </row>
    <row r="1276" spans="12:14">
      <c r="L1276" s="250">
        <v>155.39999999999532</v>
      </c>
      <c r="M1276" s="250"/>
      <c r="N1276" s="250">
        <v>0.70803400000000005</v>
      </c>
    </row>
    <row r="1277" spans="12:14">
      <c r="L1277" s="250">
        <v>155.49999999999531</v>
      </c>
      <c r="M1277" s="250"/>
      <c r="N1277" s="250">
        <v>0.70785799999999999</v>
      </c>
    </row>
    <row r="1278" spans="12:14">
      <c r="L1278" s="250">
        <v>155.5999999999953</v>
      </c>
      <c r="M1278" s="250"/>
      <c r="N1278" s="250">
        <v>0.70768299999999995</v>
      </c>
    </row>
    <row r="1279" spans="12:14">
      <c r="L1279" s="250">
        <v>155.6999999999953</v>
      </c>
      <c r="M1279" s="250"/>
      <c r="N1279" s="250">
        <v>0.707507</v>
      </c>
    </row>
    <row r="1280" spans="12:14">
      <c r="L1280" s="250">
        <v>155.79999999999529</v>
      </c>
      <c r="M1280" s="250"/>
      <c r="N1280" s="250">
        <v>0.70733199999999996</v>
      </c>
    </row>
    <row r="1281" spans="12:14">
      <c r="L1281" s="250">
        <v>155.89999999999529</v>
      </c>
      <c r="M1281" s="250"/>
      <c r="N1281" s="250">
        <v>0.70715600000000001</v>
      </c>
    </row>
    <row r="1282" spans="12:14">
      <c r="L1282" s="250">
        <v>155.99999999999528</v>
      </c>
      <c r="M1282" s="250"/>
      <c r="N1282" s="250">
        <v>0.70798099999999997</v>
      </c>
    </row>
    <row r="1283" spans="12:14">
      <c r="L1283" s="250">
        <v>156.09999999999528</v>
      </c>
      <c r="M1283" s="250"/>
      <c r="N1283" s="250">
        <v>0.70680600000000005</v>
      </c>
    </row>
    <row r="1284" spans="12:14">
      <c r="L1284" s="250">
        <v>156.19999999999527</v>
      </c>
      <c r="M1284" s="250"/>
      <c r="N1284" s="250">
        <v>0.70663200000000004</v>
      </c>
    </row>
    <row r="1285" spans="12:14">
      <c r="L1285" s="250">
        <v>156.29999999999526</v>
      </c>
      <c r="M1285" s="250"/>
      <c r="N1285" s="250">
        <v>0.706457</v>
      </c>
    </row>
    <row r="1286" spans="12:14">
      <c r="L1286" s="250">
        <v>156.39999999999526</v>
      </c>
      <c r="M1286" s="250"/>
      <c r="N1286" s="250">
        <v>0.70628299999999999</v>
      </c>
    </row>
    <row r="1287" spans="12:14">
      <c r="L1287" s="250">
        <v>156.49999999999525</v>
      </c>
      <c r="M1287" s="250"/>
      <c r="N1287" s="250">
        <v>0.70610799999999996</v>
      </c>
    </row>
    <row r="1288" spans="12:14">
      <c r="L1288" s="250">
        <v>156.59999999999525</v>
      </c>
      <c r="M1288" s="250"/>
      <c r="N1288" s="250">
        <v>0.70693399999999995</v>
      </c>
    </row>
    <row r="1289" spans="12:14">
      <c r="L1289" s="250">
        <v>156.69999999999524</v>
      </c>
      <c r="M1289" s="250"/>
      <c r="N1289" s="250">
        <v>0.70575100000000002</v>
      </c>
    </row>
    <row r="1290" spans="12:14">
      <c r="L1290" s="250">
        <v>156.79999999999524</v>
      </c>
      <c r="M1290" s="250"/>
      <c r="N1290" s="250">
        <v>0.70558699999999996</v>
      </c>
    </row>
    <row r="1291" spans="12:14">
      <c r="L1291" s="250">
        <v>156.89999999999523</v>
      </c>
      <c r="M1291" s="250"/>
      <c r="N1291" s="250">
        <v>0.70541299999999996</v>
      </c>
    </row>
    <row r="1292" spans="12:14">
      <c r="L1292" s="250">
        <v>156.99999999999523</v>
      </c>
      <c r="M1292" s="250"/>
      <c r="N1292" s="250">
        <v>0.70523999999999998</v>
      </c>
    </row>
  </sheetData>
  <sortState xmlns:xlrd2="http://schemas.microsoft.com/office/spreadsheetml/2017/richdata2" ref="B62:D66">
    <sortCondition ref="B62:B66"/>
  </sortState>
  <customSheetViews>
    <customSheetView guid="{07CDF5D6-CF56-477A-AAD4-2986DB622B49}" showRuler="0">
      <pageMargins left="0" right="0" top="0" bottom="0" header="0" footer="0"/>
      <pageSetup orientation="portrait" r:id="rId1"/>
      <headerFooter alignWithMargins="0"/>
    </customSheetView>
    <customSheetView guid="{2277625D-7ADF-41CA-830E-413FDD10097D}" showRuler="0">
      <pageMargins left="0" right="0" top="0" bottom="0" header="0" footer="0"/>
      <pageSetup orientation="portrait" r:id="rId2"/>
      <headerFooter alignWithMargins="0"/>
    </customSheetView>
  </customSheetViews>
  <mergeCells count="3">
    <mergeCell ref="E12:F12"/>
    <mergeCell ref="C2:C11"/>
    <mergeCell ref="C13:C22"/>
  </mergeCells>
  <phoneticPr fontId="0" type="noConversion"/>
  <dataValidations count="1">
    <dataValidation type="list" allowBlank="1" showInputMessage="1" showErrorMessage="1" sqref="F35:G43" xr:uid="{00000000-0002-0000-0300-000000000000}">
      <formula1>"0,2,4,6,8,10,12,14,16,18,20,22"</formula1>
    </dataValidation>
  </dataValidations>
  <pageMargins left="0.75" right="0.75" top="1" bottom="1" header="0.5" footer="0.5"/>
  <pageSetup orientation="portrait" r:id="rId3"/>
  <headerFooter alignWithMargins="0"/>
  <customProperties>
    <customPr name="DVSECTIONID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pageSetUpPr fitToPage="1"/>
  </sheetPr>
  <dimension ref="A1:AI464"/>
  <sheetViews>
    <sheetView showZeros="0" topLeftCell="B1" workbookViewId="0">
      <pane ySplit="2" topLeftCell="A3" activePane="bottomLeft" state="frozen"/>
      <selection pane="bottomLeft" activeCell="AC15" sqref="AC15"/>
      <selection activeCell="B1" sqref="B1"/>
    </sheetView>
  </sheetViews>
  <sheetFormatPr defaultColWidth="9.140625" defaultRowHeight="10.15"/>
  <cols>
    <col min="1" max="1" width="9.140625" style="31" hidden="1" customWidth="1"/>
    <col min="2" max="2" width="3.140625" style="30" customWidth="1"/>
    <col min="3" max="3" width="22.140625" style="41" customWidth="1"/>
    <col min="4" max="4" width="9.42578125" style="186" customWidth="1"/>
    <col min="5" max="5" width="8.7109375" style="30" customWidth="1"/>
    <col min="6" max="6" width="5.85546875" style="30" customWidth="1"/>
    <col min="7" max="7" width="5.42578125" style="30" customWidth="1"/>
    <col min="8" max="8" width="8.28515625" style="35" customWidth="1"/>
    <col min="9" max="9" width="3.7109375" style="30" hidden="1" customWidth="1"/>
    <col min="10" max="16" width="5.7109375" style="30" hidden="1" customWidth="1"/>
    <col min="17" max="19" width="5.7109375" style="30" customWidth="1"/>
    <col min="20" max="20" width="5.85546875" style="30" customWidth="1"/>
    <col min="21" max="22" width="5.7109375" style="30" hidden="1" customWidth="1"/>
    <col min="23" max="25" width="5.7109375" style="32" hidden="1" customWidth="1"/>
    <col min="26" max="27" width="5.7109375" style="30" hidden="1" customWidth="1"/>
    <col min="28" max="28" width="7" style="36" customWidth="1"/>
    <col min="29" max="29" width="7" style="39" customWidth="1"/>
    <col min="30" max="30" width="7" style="39" hidden="1" customWidth="1"/>
    <col min="31" max="31" width="5.28515625" style="80" customWidth="1"/>
    <col min="32" max="32" width="9.85546875" style="80" customWidth="1"/>
    <col min="33" max="33" width="7" style="39" customWidth="1"/>
    <col min="34" max="34" width="8.7109375" style="192" customWidth="1"/>
    <col min="35" max="35" width="8.42578125" style="37" customWidth="1"/>
    <col min="36" max="47" width="9.140625" style="31" customWidth="1"/>
    <col min="48" max="16384" width="9.140625" style="31"/>
  </cols>
  <sheetData>
    <row r="1" spans="1:35" ht="28.5" customHeight="1" thickBot="1">
      <c r="C1" s="116" t="str">
        <f>Setup!K2</f>
        <v>Date</v>
      </c>
      <c r="D1" s="342" t="str">
        <f>Setup!C2</f>
        <v>Contest Name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4"/>
    </row>
    <row r="2" spans="1:35" s="117" customFormat="1" ht="34.5" customHeight="1" thickBot="1">
      <c r="A2" s="117" t="s">
        <v>157</v>
      </c>
      <c r="B2" s="118" t="s">
        <v>194</v>
      </c>
      <c r="C2" s="119" t="s">
        <v>195</v>
      </c>
      <c r="D2" s="184" t="s">
        <v>58</v>
      </c>
      <c r="E2" s="120" t="s">
        <v>59</v>
      </c>
      <c r="F2" s="120" t="str">
        <f>Lifting!F8</f>
        <v>BWt (Kg)</v>
      </c>
      <c r="G2" s="120" t="str">
        <f>Lifting!G8</f>
        <v>WtCls (Kg)</v>
      </c>
      <c r="H2" s="121" t="str">
        <f>Lifting!H8</f>
        <v>AH Coeff</v>
      </c>
      <c r="I2" s="120" t="s">
        <v>62</v>
      </c>
      <c r="J2" s="120" t="s">
        <v>196</v>
      </c>
      <c r="K2" s="120" t="s">
        <v>93</v>
      </c>
      <c r="L2" s="120" t="s">
        <v>94</v>
      </c>
      <c r="M2" s="120" t="s">
        <v>95</v>
      </c>
      <c r="N2" s="120" t="s">
        <v>96</v>
      </c>
      <c r="O2" s="120" t="s">
        <v>68</v>
      </c>
      <c r="P2" s="120" t="s">
        <v>69</v>
      </c>
      <c r="Q2" s="120" t="s">
        <v>97</v>
      </c>
      <c r="R2" s="120" t="s">
        <v>71</v>
      </c>
      <c r="S2" s="120" t="s">
        <v>72</v>
      </c>
      <c r="T2" s="120" t="s">
        <v>73</v>
      </c>
      <c r="U2" s="120" t="s">
        <v>74</v>
      </c>
      <c r="V2" s="120" t="s">
        <v>75</v>
      </c>
      <c r="W2" s="120" t="s">
        <v>99</v>
      </c>
      <c r="X2" s="120" t="s">
        <v>76</v>
      </c>
      <c r="Y2" s="120" t="s">
        <v>77</v>
      </c>
      <c r="Z2" s="120" t="s">
        <v>78</v>
      </c>
      <c r="AA2" s="120" t="s">
        <v>79</v>
      </c>
      <c r="AB2" s="122" t="str">
        <f>Lifting!AB8</f>
        <v>Best Bench</v>
      </c>
      <c r="AC2" s="123" t="s">
        <v>197</v>
      </c>
      <c r="AD2" s="123" t="s">
        <v>81</v>
      </c>
      <c r="AE2" s="123" t="s">
        <v>82</v>
      </c>
      <c r="AF2" s="123" t="s">
        <v>83</v>
      </c>
      <c r="AG2" s="123" t="s">
        <v>84</v>
      </c>
      <c r="AH2" s="190" t="s">
        <v>85</v>
      </c>
      <c r="AI2" s="124" t="s">
        <v>86</v>
      </c>
    </row>
    <row r="3" spans="1:35" ht="14.25" customHeight="1">
      <c r="B3" s="32"/>
      <c r="C3" s="42"/>
      <c r="D3" s="185"/>
      <c r="E3" s="32"/>
      <c r="F3" s="32"/>
      <c r="G3" s="32"/>
      <c r="H3" s="33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Z3" s="32"/>
      <c r="AA3" s="32"/>
      <c r="AB3" s="38"/>
      <c r="AC3" s="40"/>
      <c r="AD3" s="40"/>
      <c r="AE3" s="79"/>
      <c r="AF3" s="79"/>
      <c r="AG3" s="40"/>
      <c r="AH3" s="191"/>
      <c r="AI3" s="34"/>
    </row>
    <row r="4" spans="1:35" ht="14.25" customHeight="1">
      <c r="B4" s="32"/>
      <c r="C4" s="42"/>
      <c r="D4" s="185"/>
      <c r="E4" s="32"/>
      <c r="F4" s="32"/>
      <c r="G4" s="32"/>
      <c r="H4" s="33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Z4" s="32"/>
      <c r="AA4" s="32"/>
      <c r="AB4" s="38"/>
      <c r="AC4" s="40"/>
      <c r="AD4" s="40"/>
      <c r="AE4" s="79"/>
      <c r="AF4" s="79"/>
      <c r="AG4" s="40"/>
      <c r="AH4" s="191"/>
      <c r="AI4" s="34"/>
    </row>
    <row r="5" spans="1:35" ht="14.25" customHeight="1">
      <c r="B5" s="32"/>
      <c r="C5" s="42"/>
      <c r="D5" s="185"/>
      <c r="E5" s="32"/>
      <c r="F5" s="32"/>
      <c r="G5" s="32"/>
      <c r="H5" s="33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Z5" s="32"/>
      <c r="AA5" s="32"/>
      <c r="AB5" s="38"/>
      <c r="AC5" s="40"/>
      <c r="AD5" s="40"/>
      <c r="AE5" s="79"/>
      <c r="AF5" s="79"/>
      <c r="AG5" s="40"/>
      <c r="AH5" s="191"/>
      <c r="AI5" s="34"/>
    </row>
    <row r="6" spans="1:35" ht="14.25" customHeight="1">
      <c r="B6" s="32"/>
      <c r="C6" s="42"/>
      <c r="D6" s="185"/>
      <c r="E6" s="32"/>
      <c r="F6" s="32"/>
      <c r="G6" s="32"/>
      <c r="H6" s="33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Z6" s="32"/>
      <c r="AA6" s="32"/>
      <c r="AB6" s="38"/>
      <c r="AC6" s="40"/>
      <c r="AD6" s="40"/>
      <c r="AE6" s="79"/>
      <c r="AF6" s="79"/>
      <c r="AG6" s="40"/>
      <c r="AH6" s="191"/>
      <c r="AI6" s="34"/>
    </row>
    <row r="7" spans="1:35" ht="14.25" customHeight="1">
      <c r="B7" s="32"/>
      <c r="C7" s="42"/>
      <c r="D7" s="185"/>
      <c r="E7" s="32"/>
      <c r="F7" s="32"/>
      <c r="G7" s="32"/>
      <c r="H7" s="33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Z7" s="32"/>
      <c r="AA7" s="32"/>
      <c r="AB7" s="38"/>
      <c r="AC7" s="40"/>
      <c r="AD7" s="40"/>
      <c r="AE7" s="79"/>
      <c r="AF7" s="79"/>
      <c r="AG7" s="40"/>
      <c r="AH7" s="191"/>
      <c r="AI7" s="34"/>
    </row>
    <row r="8" spans="1:35" ht="14.25" customHeight="1">
      <c r="B8" s="32"/>
      <c r="C8" s="42"/>
      <c r="D8" s="185"/>
      <c r="E8" s="32"/>
      <c r="F8" s="32"/>
      <c r="G8" s="32"/>
      <c r="H8" s="33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Z8" s="32"/>
      <c r="AA8" s="32"/>
      <c r="AB8" s="38"/>
      <c r="AC8" s="40"/>
      <c r="AD8" s="40"/>
      <c r="AE8" s="79"/>
      <c r="AF8" s="79"/>
      <c r="AG8" s="40"/>
      <c r="AH8" s="191"/>
      <c r="AI8" s="34"/>
    </row>
    <row r="9" spans="1:35" ht="14.25" customHeight="1">
      <c r="B9" s="32"/>
      <c r="C9" s="42"/>
      <c r="D9" s="185"/>
      <c r="E9" s="32"/>
      <c r="F9" s="32"/>
      <c r="G9" s="32"/>
      <c r="H9" s="33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Z9" s="32"/>
      <c r="AA9" s="32"/>
      <c r="AB9" s="38"/>
      <c r="AC9" s="40"/>
      <c r="AD9" s="40"/>
      <c r="AE9" s="79"/>
      <c r="AF9" s="79"/>
      <c r="AG9" s="40"/>
      <c r="AH9" s="191"/>
      <c r="AI9" s="34"/>
    </row>
    <row r="10" spans="1:35" ht="14.25" customHeight="1">
      <c r="B10" s="32"/>
      <c r="C10" s="42"/>
      <c r="D10" s="185"/>
      <c r="E10" s="32"/>
      <c r="F10" s="32"/>
      <c r="G10" s="32"/>
      <c r="H10" s="33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Z10" s="32"/>
      <c r="AA10" s="32"/>
      <c r="AB10" s="38"/>
      <c r="AC10" s="40"/>
      <c r="AD10" s="40"/>
      <c r="AE10" s="79"/>
      <c r="AF10" s="79"/>
      <c r="AG10" s="40"/>
      <c r="AH10" s="191"/>
      <c r="AI10" s="34"/>
    </row>
    <row r="11" spans="1:35" ht="14.25" customHeight="1">
      <c r="B11" s="32"/>
      <c r="C11" s="42"/>
      <c r="D11" s="185"/>
      <c r="E11" s="32"/>
      <c r="F11" s="32"/>
      <c r="G11" s="32"/>
      <c r="H11" s="33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Z11" s="32"/>
      <c r="AA11" s="32"/>
      <c r="AB11" s="38"/>
      <c r="AC11" s="40"/>
      <c r="AD11" s="40"/>
      <c r="AE11" s="79"/>
      <c r="AF11" s="79"/>
      <c r="AG11" s="40"/>
      <c r="AH11" s="191"/>
      <c r="AI11" s="34"/>
    </row>
    <row r="12" spans="1:35" ht="14.25" customHeight="1">
      <c r="B12" s="32"/>
      <c r="C12" s="42"/>
      <c r="D12" s="185"/>
      <c r="E12" s="32"/>
      <c r="F12" s="32"/>
      <c r="G12" s="32"/>
      <c r="H12" s="33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Z12" s="32"/>
      <c r="AA12" s="32"/>
      <c r="AB12" s="38"/>
      <c r="AC12" s="40"/>
      <c r="AD12" s="40"/>
      <c r="AE12" s="79"/>
      <c r="AF12" s="79"/>
      <c r="AG12" s="40"/>
      <c r="AH12" s="191"/>
      <c r="AI12" s="34"/>
    </row>
    <row r="13" spans="1:35" ht="14.25" customHeight="1">
      <c r="B13" s="32"/>
      <c r="C13" s="42"/>
      <c r="D13" s="185"/>
      <c r="E13" s="32"/>
      <c r="F13" s="32"/>
      <c r="G13" s="32"/>
      <c r="H13" s="33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Z13" s="32"/>
      <c r="AA13" s="32"/>
      <c r="AB13" s="38"/>
      <c r="AC13" s="40"/>
      <c r="AD13" s="40"/>
      <c r="AE13" s="79"/>
      <c r="AF13" s="79"/>
      <c r="AG13" s="40"/>
      <c r="AH13" s="191"/>
      <c r="AI13" s="34"/>
    </row>
    <row r="14" spans="1:35" ht="14.25" customHeight="1">
      <c r="B14" s="32"/>
      <c r="C14" s="42"/>
      <c r="D14" s="185"/>
      <c r="E14" s="32"/>
      <c r="F14" s="32"/>
      <c r="G14" s="32"/>
      <c r="H14" s="33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Z14" s="32"/>
      <c r="AA14" s="32"/>
      <c r="AB14" s="38"/>
      <c r="AC14" s="40"/>
      <c r="AD14" s="40"/>
      <c r="AE14" s="79"/>
      <c r="AF14" s="79"/>
      <c r="AG14" s="40"/>
      <c r="AH14" s="191"/>
      <c r="AI14" s="34"/>
    </row>
    <row r="15" spans="1:35" ht="14.25" customHeight="1">
      <c r="B15" s="32"/>
      <c r="C15" s="42"/>
      <c r="D15" s="185"/>
      <c r="E15" s="32"/>
      <c r="F15" s="32"/>
      <c r="G15" s="32"/>
      <c r="H15" s="33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Z15" s="32"/>
      <c r="AA15" s="32"/>
      <c r="AB15" s="38"/>
      <c r="AC15" s="40"/>
      <c r="AD15" s="40"/>
      <c r="AE15" s="79"/>
      <c r="AF15" s="79"/>
      <c r="AG15" s="40"/>
      <c r="AH15" s="191"/>
      <c r="AI15" s="34"/>
    </row>
    <row r="16" spans="1:35" ht="14.25" customHeight="1">
      <c r="B16" s="32"/>
      <c r="C16" s="42"/>
      <c r="D16" s="185"/>
      <c r="E16" s="32"/>
      <c r="F16" s="32"/>
      <c r="G16" s="32"/>
      <c r="H16" s="33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Z16" s="32"/>
      <c r="AA16" s="32"/>
      <c r="AB16" s="38"/>
      <c r="AC16" s="40"/>
      <c r="AD16" s="40"/>
      <c r="AE16" s="79"/>
      <c r="AF16" s="79"/>
      <c r="AG16" s="40"/>
      <c r="AH16" s="191"/>
      <c r="AI16" s="34"/>
    </row>
    <row r="17" spans="2:35" ht="14.25" customHeight="1">
      <c r="B17" s="32"/>
      <c r="C17" s="42"/>
      <c r="D17" s="185"/>
      <c r="E17" s="32"/>
      <c r="F17" s="32"/>
      <c r="G17" s="32"/>
      <c r="H17" s="33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Z17" s="32"/>
      <c r="AA17" s="32"/>
      <c r="AB17" s="38"/>
      <c r="AC17" s="40"/>
      <c r="AD17" s="40"/>
      <c r="AE17" s="79"/>
      <c r="AF17" s="79"/>
      <c r="AG17" s="40"/>
      <c r="AH17" s="191"/>
      <c r="AI17" s="34"/>
    </row>
    <row r="18" spans="2:35" ht="14.25" customHeight="1">
      <c r="B18" s="32"/>
      <c r="C18" s="42"/>
      <c r="D18" s="185"/>
      <c r="E18" s="32"/>
      <c r="F18" s="32"/>
      <c r="G18" s="32"/>
      <c r="H18" s="33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Z18" s="32"/>
      <c r="AA18" s="32"/>
      <c r="AB18" s="38"/>
      <c r="AC18" s="40"/>
      <c r="AD18" s="40"/>
      <c r="AE18" s="79"/>
      <c r="AF18" s="79"/>
      <c r="AG18" s="40"/>
      <c r="AH18" s="191"/>
      <c r="AI18" s="34"/>
    </row>
    <row r="19" spans="2:35" ht="14.25" customHeight="1">
      <c r="B19" s="32"/>
      <c r="C19" s="42"/>
      <c r="D19" s="185"/>
      <c r="E19" s="32"/>
      <c r="F19" s="32"/>
      <c r="G19" s="32"/>
      <c r="H19" s="33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Z19" s="32"/>
      <c r="AA19" s="32"/>
      <c r="AB19" s="38"/>
      <c r="AC19" s="40"/>
      <c r="AD19" s="40"/>
      <c r="AE19" s="79"/>
      <c r="AF19" s="79"/>
      <c r="AG19" s="40"/>
      <c r="AH19" s="191"/>
      <c r="AI19" s="34"/>
    </row>
    <row r="20" spans="2:35" ht="14.25" customHeight="1">
      <c r="B20" s="32"/>
      <c r="C20" s="42"/>
      <c r="D20" s="185"/>
      <c r="E20" s="32"/>
      <c r="F20" s="32"/>
      <c r="G20" s="32"/>
      <c r="H20" s="33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Z20" s="32"/>
      <c r="AA20" s="32"/>
      <c r="AB20" s="38"/>
      <c r="AC20" s="40"/>
      <c r="AD20" s="40"/>
      <c r="AE20" s="79"/>
      <c r="AF20" s="79"/>
      <c r="AG20" s="40"/>
      <c r="AH20" s="191"/>
      <c r="AI20" s="34"/>
    </row>
    <row r="21" spans="2:35" ht="14.25" customHeight="1">
      <c r="B21" s="32"/>
      <c r="C21" s="42"/>
      <c r="D21" s="185"/>
      <c r="E21" s="32"/>
      <c r="F21" s="32"/>
      <c r="G21" s="32"/>
      <c r="H21" s="33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Z21" s="32"/>
      <c r="AA21" s="32"/>
      <c r="AB21" s="38"/>
      <c r="AC21" s="40"/>
      <c r="AD21" s="40"/>
      <c r="AE21" s="79"/>
      <c r="AF21" s="79"/>
      <c r="AG21" s="40"/>
      <c r="AH21" s="191"/>
      <c r="AI21" s="34"/>
    </row>
    <row r="22" spans="2:35" ht="14.25" customHeight="1">
      <c r="B22" s="32"/>
      <c r="C22" s="42"/>
      <c r="D22" s="185"/>
      <c r="E22" s="32"/>
      <c r="F22" s="32"/>
      <c r="G22" s="32"/>
      <c r="H22" s="33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Z22" s="32"/>
      <c r="AA22" s="32"/>
      <c r="AB22" s="38"/>
      <c r="AC22" s="40"/>
      <c r="AD22" s="40"/>
      <c r="AE22" s="79"/>
      <c r="AF22" s="79"/>
      <c r="AG22" s="40"/>
      <c r="AH22" s="191"/>
      <c r="AI22" s="34"/>
    </row>
    <row r="23" spans="2:35" ht="14.25" customHeight="1">
      <c r="B23" s="32"/>
      <c r="C23" s="42"/>
      <c r="D23" s="185"/>
      <c r="E23" s="32"/>
      <c r="F23" s="32"/>
      <c r="G23" s="32"/>
      <c r="H23" s="33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Z23" s="32"/>
      <c r="AA23" s="32"/>
      <c r="AB23" s="38"/>
      <c r="AC23" s="40"/>
      <c r="AD23" s="40"/>
      <c r="AE23" s="79"/>
      <c r="AF23" s="79"/>
      <c r="AG23" s="40"/>
      <c r="AH23" s="191"/>
      <c r="AI23" s="34"/>
    </row>
    <row r="24" spans="2:35" ht="14.25" customHeight="1">
      <c r="B24" s="32"/>
      <c r="C24" s="42"/>
      <c r="D24" s="185"/>
      <c r="E24" s="32"/>
      <c r="F24" s="32"/>
      <c r="G24" s="32"/>
      <c r="H24" s="33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Z24" s="32"/>
      <c r="AA24" s="32"/>
      <c r="AB24" s="38"/>
      <c r="AC24" s="40"/>
      <c r="AD24" s="40"/>
      <c r="AE24" s="79"/>
      <c r="AF24" s="79"/>
      <c r="AG24" s="40"/>
      <c r="AH24" s="191"/>
      <c r="AI24" s="34"/>
    </row>
    <row r="25" spans="2:35" ht="14.25" customHeight="1">
      <c r="B25" s="32"/>
      <c r="C25" s="42"/>
      <c r="D25" s="185"/>
      <c r="E25" s="32"/>
      <c r="F25" s="32"/>
      <c r="G25" s="32"/>
      <c r="H25" s="33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Z25" s="32"/>
      <c r="AA25" s="32"/>
      <c r="AB25" s="38"/>
      <c r="AC25" s="40"/>
      <c r="AD25" s="40"/>
      <c r="AE25" s="79"/>
      <c r="AF25" s="79"/>
      <c r="AG25" s="40"/>
      <c r="AH25" s="191"/>
      <c r="AI25" s="34"/>
    </row>
    <row r="26" spans="2:35" ht="14.25" customHeight="1">
      <c r="B26" s="32"/>
      <c r="C26" s="42"/>
      <c r="D26" s="185"/>
      <c r="E26" s="32"/>
      <c r="F26" s="32"/>
      <c r="G26" s="32"/>
      <c r="H26" s="33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Z26" s="32"/>
      <c r="AA26" s="32"/>
      <c r="AB26" s="38"/>
      <c r="AC26" s="40"/>
      <c r="AD26" s="40"/>
      <c r="AE26" s="79"/>
      <c r="AF26" s="79"/>
      <c r="AG26" s="40"/>
      <c r="AH26" s="191"/>
      <c r="AI26" s="34"/>
    </row>
    <row r="27" spans="2:35" ht="14.25" customHeight="1">
      <c r="B27" s="32"/>
      <c r="C27" s="42"/>
      <c r="D27" s="185"/>
      <c r="E27" s="32"/>
      <c r="F27" s="32"/>
      <c r="G27" s="32"/>
      <c r="H27" s="33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Z27" s="32"/>
      <c r="AA27" s="32"/>
      <c r="AB27" s="38"/>
      <c r="AC27" s="40"/>
      <c r="AD27" s="40"/>
      <c r="AE27" s="79"/>
      <c r="AF27" s="79"/>
      <c r="AG27" s="40"/>
      <c r="AH27" s="191"/>
      <c r="AI27" s="34"/>
    </row>
    <row r="28" spans="2:35" ht="14.25" customHeight="1">
      <c r="B28" s="32"/>
      <c r="C28" s="42"/>
      <c r="D28" s="185"/>
      <c r="E28" s="32"/>
      <c r="F28" s="32"/>
      <c r="G28" s="32"/>
      <c r="H28" s="33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Z28" s="32"/>
      <c r="AA28" s="32"/>
      <c r="AB28" s="38"/>
      <c r="AC28" s="40"/>
      <c r="AD28" s="40"/>
      <c r="AE28" s="79"/>
      <c r="AF28" s="79"/>
      <c r="AG28" s="40"/>
      <c r="AH28" s="191"/>
      <c r="AI28" s="34"/>
    </row>
    <row r="29" spans="2:35" ht="14.25" customHeight="1">
      <c r="B29" s="32"/>
      <c r="C29" s="42"/>
      <c r="D29" s="185"/>
      <c r="E29" s="32"/>
      <c r="F29" s="32"/>
      <c r="G29" s="32"/>
      <c r="H29" s="33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Z29" s="32"/>
      <c r="AA29" s="32"/>
      <c r="AB29" s="38"/>
      <c r="AC29" s="40"/>
      <c r="AD29" s="40"/>
      <c r="AE29" s="79"/>
      <c r="AF29" s="79"/>
      <c r="AG29" s="40"/>
      <c r="AH29" s="191"/>
      <c r="AI29" s="34"/>
    </row>
    <row r="30" spans="2:35" ht="14.25" customHeight="1">
      <c r="B30" s="32"/>
      <c r="C30" s="42"/>
      <c r="D30" s="185"/>
      <c r="E30" s="32"/>
      <c r="F30" s="32"/>
      <c r="G30" s="32"/>
      <c r="H30" s="33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Z30" s="32"/>
      <c r="AA30" s="32"/>
      <c r="AB30" s="38"/>
      <c r="AC30" s="40"/>
      <c r="AD30" s="40"/>
      <c r="AE30" s="79"/>
      <c r="AF30" s="79"/>
      <c r="AG30" s="40"/>
      <c r="AH30" s="191"/>
      <c r="AI30" s="34"/>
    </row>
    <row r="31" spans="2:35" ht="14.25" customHeight="1">
      <c r="B31" s="32"/>
      <c r="C31" s="42"/>
      <c r="D31" s="185"/>
      <c r="E31" s="32"/>
      <c r="F31" s="32"/>
      <c r="G31" s="32"/>
      <c r="H31" s="33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Z31" s="32"/>
      <c r="AA31" s="32"/>
      <c r="AB31" s="38"/>
      <c r="AC31" s="40"/>
      <c r="AD31" s="40"/>
      <c r="AE31" s="79"/>
      <c r="AF31" s="79"/>
      <c r="AG31" s="40"/>
      <c r="AH31" s="191"/>
      <c r="AI31" s="34"/>
    </row>
    <row r="32" spans="2:35" ht="14.25" customHeight="1">
      <c r="B32" s="32"/>
      <c r="C32" s="42"/>
      <c r="D32" s="185"/>
      <c r="E32" s="32"/>
      <c r="F32" s="32"/>
      <c r="G32" s="32"/>
      <c r="H32" s="33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Z32" s="32"/>
      <c r="AA32" s="32"/>
      <c r="AB32" s="38"/>
      <c r="AC32" s="40"/>
      <c r="AD32" s="40"/>
      <c r="AE32" s="79"/>
      <c r="AF32" s="79"/>
      <c r="AG32" s="40"/>
      <c r="AH32" s="191"/>
      <c r="AI32" s="34"/>
    </row>
    <row r="33" spans="2:35" ht="14.25" customHeight="1">
      <c r="B33" s="32"/>
      <c r="C33" s="42"/>
      <c r="D33" s="185"/>
      <c r="E33" s="32"/>
      <c r="F33" s="32"/>
      <c r="G33" s="32"/>
      <c r="H33" s="33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Z33" s="32"/>
      <c r="AA33" s="32"/>
      <c r="AB33" s="38"/>
      <c r="AC33" s="40"/>
      <c r="AD33" s="40"/>
      <c r="AE33" s="79"/>
      <c r="AF33" s="79"/>
      <c r="AG33" s="40"/>
      <c r="AH33" s="191"/>
      <c r="AI33" s="34"/>
    </row>
    <row r="34" spans="2:35" ht="14.25" customHeight="1">
      <c r="B34" s="32"/>
      <c r="C34" s="42"/>
      <c r="D34" s="185"/>
      <c r="E34" s="32"/>
      <c r="F34" s="32"/>
      <c r="G34" s="32"/>
      <c r="H34" s="33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Z34" s="32"/>
      <c r="AA34" s="32"/>
      <c r="AB34" s="38"/>
      <c r="AC34" s="40"/>
      <c r="AD34" s="40"/>
      <c r="AE34" s="79"/>
      <c r="AF34" s="79"/>
      <c r="AG34" s="40"/>
      <c r="AH34" s="191"/>
      <c r="AI34" s="34"/>
    </row>
    <row r="35" spans="2:35" ht="14.25" customHeight="1">
      <c r="B35" s="32"/>
      <c r="C35" s="42"/>
      <c r="D35" s="185"/>
      <c r="E35" s="32"/>
      <c r="F35" s="32"/>
      <c r="G35" s="32"/>
      <c r="H35" s="33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Z35" s="32"/>
      <c r="AA35" s="32"/>
      <c r="AB35" s="38"/>
      <c r="AC35" s="40"/>
      <c r="AD35" s="40"/>
      <c r="AE35" s="79"/>
      <c r="AF35" s="79"/>
      <c r="AG35" s="40"/>
      <c r="AH35" s="191"/>
      <c r="AI35" s="34"/>
    </row>
    <row r="36" spans="2:35" ht="14.25" customHeight="1">
      <c r="B36" s="32"/>
      <c r="C36" s="42"/>
      <c r="D36" s="185"/>
      <c r="E36" s="32"/>
      <c r="F36" s="32"/>
      <c r="G36" s="32"/>
      <c r="H36" s="33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Z36" s="32"/>
      <c r="AA36" s="32"/>
      <c r="AB36" s="38"/>
      <c r="AC36" s="40"/>
      <c r="AD36" s="40"/>
      <c r="AE36" s="79"/>
      <c r="AF36" s="79"/>
      <c r="AG36" s="40"/>
      <c r="AH36" s="191"/>
      <c r="AI36" s="34"/>
    </row>
    <row r="37" spans="2:35" ht="14.25" customHeight="1">
      <c r="B37" s="32"/>
      <c r="C37" s="42"/>
      <c r="D37" s="185"/>
      <c r="E37" s="32"/>
      <c r="F37" s="32"/>
      <c r="G37" s="32"/>
      <c r="H37" s="33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Z37" s="32"/>
      <c r="AA37" s="32"/>
      <c r="AB37" s="38"/>
      <c r="AC37" s="40"/>
      <c r="AD37" s="40"/>
      <c r="AE37" s="79"/>
      <c r="AF37" s="79"/>
      <c r="AG37" s="40"/>
      <c r="AH37" s="191"/>
      <c r="AI37" s="34"/>
    </row>
    <row r="38" spans="2:35" ht="14.25" customHeight="1">
      <c r="B38" s="32"/>
      <c r="C38" s="42"/>
      <c r="D38" s="185"/>
      <c r="E38" s="32"/>
      <c r="F38" s="32"/>
      <c r="G38" s="32"/>
      <c r="H38" s="33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Z38" s="32"/>
      <c r="AA38" s="32"/>
      <c r="AB38" s="38"/>
      <c r="AC38" s="40"/>
      <c r="AD38" s="40"/>
      <c r="AE38" s="79"/>
      <c r="AF38" s="79"/>
      <c r="AG38" s="40"/>
      <c r="AH38" s="191"/>
      <c r="AI38" s="34"/>
    </row>
    <row r="39" spans="2:35" ht="14.25" customHeight="1">
      <c r="B39" s="32"/>
      <c r="C39" s="42"/>
      <c r="D39" s="185"/>
      <c r="E39" s="32"/>
      <c r="F39" s="32"/>
      <c r="G39" s="32"/>
      <c r="H39" s="33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Z39" s="32"/>
      <c r="AA39" s="32"/>
      <c r="AB39" s="38"/>
      <c r="AC39" s="40"/>
      <c r="AD39" s="40"/>
      <c r="AE39" s="79"/>
      <c r="AF39" s="79"/>
      <c r="AG39" s="40"/>
      <c r="AH39" s="191"/>
      <c r="AI39" s="34"/>
    </row>
    <row r="40" spans="2:35" ht="14.25" customHeight="1">
      <c r="B40" s="32"/>
      <c r="C40" s="42"/>
      <c r="D40" s="185"/>
      <c r="E40" s="32"/>
      <c r="F40" s="32"/>
      <c r="G40" s="32"/>
      <c r="H40" s="33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Z40" s="32"/>
      <c r="AA40" s="32"/>
      <c r="AB40" s="38"/>
      <c r="AC40" s="40"/>
      <c r="AD40" s="40"/>
      <c r="AE40" s="79"/>
      <c r="AF40" s="79"/>
      <c r="AG40" s="40"/>
      <c r="AH40" s="191"/>
      <c r="AI40" s="34"/>
    </row>
    <row r="41" spans="2:35" ht="14.25" customHeight="1">
      <c r="B41" s="32"/>
      <c r="C41" s="42"/>
      <c r="D41" s="185"/>
      <c r="E41" s="32"/>
      <c r="F41" s="32"/>
      <c r="G41" s="32"/>
      <c r="H41" s="33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Z41" s="32"/>
      <c r="AA41" s="32"/>
      <c r="AB41" s="38"/>
      <c r="AC41" s="40"/>
      <c r="AD41" s="40"/>
      <c r="AE41" s="79"/>
      <c r="AF41" s="79"/>
      <c r="AG41" s="40"/>
      <c r="AH41" s="191"/>
      <c r="AI41" s="34"/>
    </row>
    <row r="42" spans="2:35" ht="14.25" customHeight="1">
      <c r="B42" s="32"/>
      <c r="C42" s="42"/>
      <c r="D42" s="185"/>
      <c r="E42" s="32"/>
      <c r="F42" s="32"/>
      <c r="G42" s="32"/>
      <c r="H42" s="33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Z42" s="32"/>
      <c r="AA42" s="32"/>
      <c r="AB42" s="38"/>
      <c r="AC42" s="40"/>
      <c r="AD42" s="40"/>
      <c r="AE42" s="79"/>
      <c r="AF42" s="79"/>
      <c r="AG42" s="40"/>
      <c r="AH42" s="191"/>
      <c r="AI42" s="34"/>
    </row>
    <row r="43" spans="2:35" ht="14.25" customHeight="1">
      <c r="B43" s="32"/>
      <c r="C43" s="42"/>
      <c r="D43" s="185"/>
      <c r="E43" s="32"/>
      <c r="F43" s="32"/>
      <c r="G43" s="32"/>
      <c r="H43" s="33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Z43" s="32"/>
      <c r="AA43" s="32"/>
      <c r="AB43" s="38"/>
      <c r="AC43" s="40"/>
      <c r="AD43" s="40"/>
      <c r="AE43" s="79"/>
      <c r="AF43" s="79"/>
      <c r="AG43" s="40"/>
      <c r="AH43" s="191"/>
      <c r="AI43" s="34"/>
    </row>
    <row r="44" spans="2:35" ht="14.25" customHeight="1">
      <c r="B44" s="32"/>
      <c r="C44" s="42"/>
      <c r="D44" s="185"/>
      <c r="E44" s="32"/>
      <c r="F44" s="32"/>
      <c r="G44" s="32"/>
      <c r="H44" s="33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Z44" s="32"/>
      <c r="AA44" s="32"/>
      <c r="AB44" s="38"/>
      <c r="AC44" s="40"/>
      <c r="AD44" s="40"/>
      <c r="AE44" s="79"/>
      <c r="AF44" s="79"/>
      <c r="AG44" s="40"/>
      <c r="AH44" s="191"/>
      <c r="AI44" s="34"/>
    </row>
    <row r="45" spans="2:35" ht="14.25" customHeight="1">
      <c r="B45" s="32"/>
      <c r="C45" s="42"/>
      <c r="D45" s="185"/>
      <c r="E45" s="32"/>
      <c r="F45" s="32"/>
      <c r="G45" s="32"/>
      <c r="H45" s="33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Z45" s="32"/>
      <c r="AA45" s="32"/>
      <c r="AB45" s="38"/>
      <c r="AC45" s="40"/>
      <c r="AD45" s="40"/>
      <c r="AE45" s="79"/>
      <c r="AF45" s="79"/>
      <c r="AG45" s="40"/>
      <c r="AH45" s="191"/>
      <c r="AI45" s="34"/>
    </row>
    <row r="46" spans="2:35" ht="14.25" customHeight="1">
      <c r="B46" s="32"/>
      <c r="C46" s="42"/>
      <c r="D46" s="185"/>
      <c r="E46" s="32"/>
      <c r="F46" s="32"/>
      <c r="G46" s="32"/>
      <c r="H46" s="33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Z46" s="32"/>
      <c r="AA46" s="32"/>
      <c r="AB46" s="38"/>
      <c r="AC46" s="40"/>
      <c r="AD46" s="40"/>
      <c r="AE46" s="79"/>
      <c r="AF46" s="79"/>
      <c r="AG46" s="40"/>
      <c r="AH46" s="191"/>
      <c r="AI46" s="34"/>
    </row>
    <row r="47" spans="2:35" ht="14.25" customHeight="1">
      <c r="B47" s="32"/>
      <c r="C47" s="42"/>
      <c r="D47" s="185"/>
      <c r="E47" s="32"/>
      <c r="F47" s="32"/>
      <c r="G47" s="32"/>
      <c r="H47" s="33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Z47" s="32"/>
      <c r="AA47" s="32"/>
      <c r="AB47" s="38"/>
      <c r="AC47" s="40"/>
      <c r="AD47" s="40"/>
      <c r="AE47" s="79"/>
      <c r="AF47" s="79"/>
      <c r="AG47" s="40"/>
      <c r="AH47" s="191"/>
      <c r="AI47" s="34"/>
    </row>
    <row r="48" spans="2:35" ht="14.25" customHeight="1">
      <c r="B48" s="32"/>
      <c r="C48" s="42"/>
      <c r="D48" s="185"/>
      <c r="E48" s="32"/>
      <c r="F48" s="32"/>
      <c r="G48" s="32"/>
      <c r="H48" s="33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Z48" s="32"/>
      <c r="AA48" s="32"/>
      <c r="AB48" s="38"/>
      <c r="AC48" s="40"/>
      <c r="AD48" s="40"/>
      <c r="AE48" s="79"/>
      <c r="AF48" s="79"/>
      <c r="AG48" s="40"/>
      <c r="AH48" s="191"/>
      <c r="AI48" s="34"/>
    </row>
    <row r="49" spans="2:35" ht="14.25" customHeight="1">
      <c r="B49" s="32"/>
      <c r="C49" s="42"/>
      <c r="D49" s="185"/>
      <c r="E49" s="32"/>
      <c r="F49" s="32"/>
      <c r="G49" s="32"/>
      <c r="H49" s="33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Z49" s="32"/>
      <c r="AA49" s="32"/>
      <c r="AB49" s="38"/>
      <c r="AC49" s="40"/>
      <c r="AD49" s="40"/>
      <c r="AE49" s="79"/>
      <c r="AF49" s="79"/>
      <c r="AG49" s="40"/>
      <c r="AH49" s="191"/>
      <c r="AI49" s="34"/>
    </row>
    <row r="50" spans="2:35" ht="14.25" customHeight="1">
      <c r="B50" s="32"/>
      <c r="C50" s="42"/>
      <c r="D50" s="185"/>
      <c r="E50" s="32"/>
      <c r="F50" s="32"/>
      <c r="G50" s="32"/>
      <c r="H50" s="33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Z50" s="32"/>
      <c r="AA50" s="32"/>
      <c r="AB50" s="38"/>
      <c r="AC50" s="40"/>
      <c r="AD50" s="40"/>
      <c r="AE50" s="79"/>
      <c r="AF50" s="79"/>
      <c r="AG50" s="40"/>
      <c r="AH50" s="191"/>
      <c r="AI50" s="34"/>
    </row>
    <row r="51" spans="2:35" ht="14.25" customHeight="1">
      <c r="B51" s="32"/>
      <c r="C51" s="42"/>
      <c r="D51" s="185"/>
      <c r="E51" s="32"/>
      <c r="F51" s="32"/>
      <c r="G51" s="32"/>
      <c r="H51" s="33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Z51" s="32"/>
      <c r="AA51" s="32"/>
      <c r="AB51" s="38"/>
      <c r="AC51" s="40"/>
      <c r="AD51" s="40"/>
      <c r="AE51" s="79"/>
      <c r="AF51" s="79"/>
      <c r="AG51" s="40"/>
      <c r="AH51" s="191"/>
      <c r="AI51" s="34"/>
    </row>
    <row r="52" spans="2:35" ht="14.25" customHeight="1">
      <c r="B52" s="32"/>
      <c r="C52" s="42"/>
      <c r="D52" s="185"/>
      <c r="E52" s="32"/>
      <c r="F52" s="32"/>
      <c r="G52" s="32"/>
      <c r="H52" s="33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Z52" s="32"/>
      <c r="AA52" s="32"/>
      <c r="AB52" s="38"/>
      <c r="AC52" s="40"/>
      <c r="AD52" s="40"/>
      <c r="AE52" s="79"/>
      <c r="AF52" s="79"/>
      <c r="AG52" s="40"/>
      <c r="AH52" s="191"/>
      <c r="AI52" s="34"/>
    </row>
    <row r="53" spans="2:35" ht="14.25" customHeight="1">
      <c r="B53" s="32"/>
      <c r="C53" s="42"/>
      <c r="D53" s="185"/>
      <c r="E53" s="32"/>
      <c r="F53" s="32"/>
      <c r="G53" s="32"/>
      <c r="H53" s="33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Z53" s="32"/>
      <c r="AA53" s="32"/>
      <c r="AB53" s="38"/>
      <c r="AC53" s="40"/>
      <c r="AD53" s="40"/>
      <c r="AE53" s="79"/>
      <c r="AF53" s="79"/>
      <c r="AG53" s="40"/>
      <c r="AH53" s="191"/>
      <c r="AI53" s="34"/>
    </row>
    <row r="54" spans="2:35" ht="14.25" customHeight="1">
      <c r="B54" s="32"/>
      <c r="C54" s="42"/>
      <c r="D54" s="185"/>
      <c r="E54" s="32"/>
      <c r="F54" s="32"/>
      <c r="G54" s="32"/>
      <c r="H54" s="33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Z54" s="32"/>
      <c r="AA54" s="32"/>
      <c r="AB54" s="38"/>
      <c r="AC54" s="40"/>
      <c r="AD54" s="40"/>
      <c r="AE54" s="79"/>
      <c r="AF54" s="79"/>
      <c r="AG54" s="40"/>
      <c r="AH54" s="191"/>
      <c r="AI54" s="34"/>
    </row>
    <row r="55" spans="2:35" ht="14.25" customHeight="1">
      <c r="B55" s="32"/>
      <c r="C55" s="42"/>
      <c r="D55" s="185"/>
      <c r="E55" s="32"/>
      <c r="F55" s="32"/>
      <c r="G55" s="32"/>
      <c r="H55" s="33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Z55" s="32"/>
      <c r="AA55" s="32"/>
      <c r="AB55" s="38"/>
      <c r="AC55" s="40"/>
      <c r="AD55" s="40"/>
      <c r="AE55" s="79"/>
      <c r="AF55" s="79"/>
      <c r="AG55" s="40"/>
      <c r="AH55" s="191"/>
      <c r="AI55" s="34"/>
    </row>
    <row r="56" spans="2:35" ht="14.25" customHeight="1">
      <c r="B56" s="32"/>
      <c r="C56" s="42"/>
      <c r="D56" s="185"/>
      <c r="E56" s="32"/>
      <c r="F56" s="32"/>
      <c r="G56" s="32"/>
      <c r="H56" s="33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Z56" s="32"/>
      <c r="AA56" s="32"/>
      <c r="AB56" s="38"/>
      <c r="AC56" s="40"/>
      <c r="AD56" s="40"/>
      <c r="AE56" s="79"/>
      <c r="AF56" s="79"/>
      <c r="AG56" s="40"/>
      <c r="AH56" s="191"/>
      <c r="AI56" s="34"/>
    </row>
    <row r="57" spans="2:35" ht="14.25" customHeight="1">
      <c r="B57" s="32"/>
      <c r="C57" s="42"/>
      <c r="D57" s="185"/>
      <c r="E57" s="32"/>
      <c r="F57" s="32"/>
      <c r="G57" s="32"/>
      <c r="H57" s="33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Z57" s="32"/>
      <c r="AA57" s="32"/>
      <c r="AB57" s="38"/>
      <c r="AC57" s="40"/>
      <c r="AD57" s="40"/>
      <c r="AE57" s="79"/>
      <c r="AF57" s="79"/>
      <c r="AG57" s="40"/>
      <c r="AH57" s="191"/>
      <c r="AI57" s="34"/>
    </row>
    <row r="58" spans="2:35" ht="14.25" customHeight="1">
      <c r="B58" s="32"/>
      <c r="C58" s="42"/>
      <c r="D58" s="185"/>
      <c r="E58" s="32"/>
      <c r="F58" s="32"/>
      <c r="G58" s="32"/>
      <c r="H58" s="33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Z58" s="32"/>
      <c r="AA58" s="32"/>
      <c r="AB58" s="38"/>
      <c r="AC58" s="40"/>
      <c r="AD58" s="40"/>
      <c r="AE58" s="79"/>
      <c r="AF58" s="79"/>
      <c r="AG58" s="40"/>
      <c r="AH58" s="191"/>
      <c r="AI58" s="34"/>
    </row>
    <row r="59" spans="2:35" ht="14.25" customHeight="1">
      <c r="B59" s="32"/>
      <c r="C59" s="42"/>
      <c r="D59" s="185"/>
      <c r="E59" s="32"/>
      <c r="F59" s="32"/>
      <c r="G59" s="32"/>
      <c r="H59" s="33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Z59" s="32"/>
      <c r="AA59" s="32"/>
      <c r="AB59" s="38"/>
      <c r="AC59" s="40"/>
      <c r="AD59" s="40"/>
      <c r="AE59" s="79"/>
      <c r="AF59" s="79"/>
      <c r="AG59" s="40"/>
      <c r="AH59" s="191"/>
      <c r="AI59" s="34"/>
    </row>
    <row r="60" spans="2:35" ht="14.25" customHeight="1">
      <c r="B60" s="32"/>
      <c r="C60" s="42"/>
      <c r="D60" s="185"/>
      <c r="E60" s="32"/>
      <c r="F60" s="32"/>
      <c r="G60" s="32"/>
      <c r="H60" s="33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Z60" s="32"/>
      <c r="AA60" s="32"/>
      <c r="AB60" s="38"/>
      <c r="AC60" s="40"/>
      <c r="AD60" s="40"/>
      <c r="AE60" s="79"/>
      <c r="AF60" s="79"/>
      <c r="AG60" s="40"/>
      <c r="AH60" s="191"/>
      <c r="AI60" s="34"/>
    </row>
    <row r="61" spans="2:35" ht="14.25" customHeight="1">
      <c r="B61" s="32"/>
      <c r="C61" s="42"/>
      <c r="D61" s="185"/>
      <c r="E61" s="32"/>
      <c r="F61" s="32"/>
      <c r="G61" s="32"/>
      <c r="H61" s="33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Z61" s="32"/>
      <c r="AA61" s="32"/>
      <c r="AB61" s="38"/>
      <c r="AC61" s="40"/>
      <c r="AD61" s="40"/>
      <c r="AE61" s="79"/>
      <c r="AF61" s="79"/>
      <c r="AG61" s="40"/>
      <c r="AH61" s="191"/>
      <c r="AI61" s="34"/>
    </row>
    <row r="62" spans="2:35" ht="14.25" customHeight="1">
      <c r="B62" s="32"/>
      <c r="C62" s="42"/>
      <c r="D62" s="185"/>
      <c r="E62" s="32"/>
      <c r="F62" s="32"/>
      <c r="G62" s="32"/>
      <c r="H62" s="33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Z62" s="32"/>
      <c r="AA62" s="32"/>
      <c r="AB62" s="38"/>
      <c r="AC62" s="40"/>
      <c r="AD62" s="40"/>
      <c r="AE62" s="79"/>
      <c r="AF62" s="79"/>
      <c r="AG62" s="40"/>
      <c r="AH62" s="191"/>
      <c r="AI62" s="34"/>
    </row>
    <row r="63" spans="2:35" ht="14.25" customHeight="1">
      <c r="B63" s="32"/>
      <c r="C63" s="42"/>
      <c r="D63" s="185"/>
      <c r="E63" s="32"/>
      <c r="F63" s="32"/>
      <c r="G63" s="32"/>
      <c r="H63" s="33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Z63" s="32"/>
      <c r="AA63" s="32"/>
      <c r="AB63" s="38"/>
      <c r="AC63" s="40"/>
      <c r="AD63" s="40"/>
      <c r="AE63" s="79"/>
      <c r="AF63" s="79"/>
      <c r="AG63" s="40"/>
      <c r="AH63" s="191"/>
      <c r="AI63" s="34"/>
    </row>
    <row r="64" spans="2:35" ht="14.25" customHeight="1">
      <c r="B64" s="32"/>
      <c r="C64" s="42"/>
      <c r="D64" s="185"/>
      <c r="E64" s="32"/>
      <c r="F64" s="32"/>
      <c r="G64" s="32"/>
      <c r="H64" s="33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Z64" s="32"/>
      <c r="AA64" s="32"/>
      <c r="AB64" s="38"/>
      <c r="AC64" s="40"/>
      <c r="AD64" s="40"/>
      <c r="AE64" s="79"/>
      <c r="AF64" s="79"/>
      <c r="AG64" s="40"/>
      <c r="AH64" s="191"/>
      <c r="AI64" s="34"/>
    </row>
    <row r="65" spans="2:35" ht="14.25" customHeight="1">
      <c r="B65" s="32"/>
      <c r="C65" s="42"/>
      <c r="D65" s="185"/>
      <c r="E65" s="32"/>
      <c r="F65" s="32"/>
      <c r="G65" s="32"/>
      <c r="H65" s="33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Z65" s="32"/>
      <c r="AA65" s="32"/>
      <c r="AB65" s="38"/>
      <c r="AC65" s="40"/>
      <c r="AD65" s="40"/>
      <c r="AE65" s="79"/>
      <c r="AF65" s="79"/>
      <c r="AG65" s="40"/>
      <c r="AH65" s="191"/>
      <c r="AI65" s="34"/>
    </row>
    <row r="66" spans="2:35" ht="14.25" customHeight="1">
      <c r="B66" s="32"/>
      <c r="C66" s="42"/>
      <c r="D66" s="185"/>
      <c r="E66" s="32"/>
      <c r="F66" s="32"/>
      <c r="G66" s="32"/>
      <c r="H66" s="33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Z66" s="32"/>
      <c r="AA66" s="32"/>
      <c r="AB66" s="38"/>
      <c r="AC66" s="40"/>
      <c r="AD66" s="40"/>
      <c r="AE66" s="79"/>
      <c r="AF66" s="79"/>
      <c r="AG66" s="40"/>
      <c r="AH66" s="191"/>
      <c r="AI66" s="34"/>
    </row>
    <row r="67" spans="2:35" ht="14.25" customHeight="1">
      <c r="B67" s="32"/>
      <c r="C67" s="42"/>
      <c r="D67" s="185"/>
      <c r="E67" s="32"/>
      <c r="F67" s="32"/>
      <c r="G67" s="32"/>
      <c r="H67" s="33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Z67" s="32"/>
      <c r="AA67" s="32"/>
      <c r="AB67" s="38"/>
      <c r="AC67" s="40"/>
      <c r="AD67" s="40"/>
      <c r="AE67" s="79"/>
      <c r="AF67" s="79"/>
      <c r="AG67" s="40"/>
      <c r="AH67" s="191"/>
      <c r="AI67" s="34"/>
    </row>
    <row r="68" spans="2:35" ht="14.25" customHeight="1">
      <c r="B68" s="32"/>
      <c r="C68" s="42"/>
      <c r="D68" s="185"/>
      <c r="E68" s="32"/>
      <c r="F68" s="32"/>
      <c r="G68" s="32"/>
      <c r="H68" s="33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Z68" s="32"/>
      <c r="AA68" s="32"/>
      <c r="AB68" s="38"/>
      <c r="AC68" s="40"/>
      <c r="AD68" s="40"/>
      <c r="AE68" s="79"/>
      <c r="AF68" s="79"/>
      <c r="AG68" s="40"/>
      <c r="AH68" s="191"/>
      <c r="AI68" s="34"/>
    </row>
    <row r="69" spans="2:35" ht="14.25" customHeight="1">
      <c r="B69" s="32"/>
      <c r="C69" s="42"/>
      <c r="D69" s="185"/>
      <c r="E69" s="32"/>
      <c r="F69" s="32"/>
      <c r="G69" s="32"/>
      <c r="H69" s="33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Z69" s="32"/>
      <c r="AA69" s="32"/>
      <c r="AB69" s="38"/>
      <c r="AC69" s="40"/>
      <c r="AD69" s="40"/>
      <c r="AE69" s="79"/>
      <c r="AF69" s="79"/>
      <c r="AG69" s="40"/>
      <c r="AH69" s="191"/>
      <c r="AI69" s="34"/>
    </row>
    <row r="70" spans="2:35" ht="14.25" customHeight="1">
      <c r="B70" s="32"/>
      <c r="C70" s="42"/>
      <c r="D70" s="185"/>
      <c r="E70" s="32"/>
      <c r="F70" s="32"/>
      <c r="G70" s="32"/>
      <c r="H70" s="33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Z70" s="32"/>
      <c r="AA70" s="32"/>
      <c r="AB70" s="38"/>
      <c r="AC70" s="40"/>
      <c r="AD70" s="40"/>
      <c r="AE70" s="79"/>
      <c r="AF70" s="79"/>
      <c r="AG70" s="40"/>
      <c r="AH70" s="191"/>
      <c r="AI70" s="34"/>
    </row>
    <row r="71" spans="2:35" ht="14.25" customHeight="1">
      <c r="B71" s="32"/>
      <c r="C71" s="42"/>
      <c r="D71" s="185"/>
      <c r="E71" s="32"/>
      <c r="F71" s="32"/>
      <c r="G71" s="32"/>
      <c r="H71" s="33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Z71" s="32"/>
      <c r="AA71" s="32"/>
      <c r="AB71" s="38"/>
      <c r="AC71" s="40"/>
      <c r="AD71" s="40"/>
      <c r="AE71" s="79"/>
      <c r="AF71" s="79"/>
      <c r="AG71" s="40"/>
      <c r="AH71" s="191"/>
      <c r="AI71" s="34"/>
    </row>
    <row r="72" spans="2:35" ht="14.25" customHeight="1">
      <c r="B72" s="32"/>
      <c r="C72" s="42"/>
      <c r="D72" s="185"/>
      <c r="E72" s="32"/>
      <c r="F72" s="32"/>
      <c r="G72" s="32"/>
      <c r="H72" s="33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Z72" s="32"/>
      <c r="AA72" s="32"/>
      <c r="AB72" s="38"/>
      <c r="AC72" s="40"/>
      <c r="AD72" s="40"/>
      <c r="AE72" s="79"/>
      <c r="AF72" s="79"/>
      <c r="AG72" s="40"/>
      <c r="AH72" s="191"/>
      <c r="AI72" s="34"/>
    </row>
    <row r="73" spans="2:35" ht="14.25" customHeight="1">
      <c r="B73" s="32"/>
      <c r="C73" s="42"/>
      <c r="D73" s="185"/>
      <c r="E73" s="32"/>
      <c r="F73" s="32"/>
      <c r="G73" s="32"/>
      <c r="H73" s="33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Z73" s="32"/>
      <c r="AA73" s="32"/>
      <c r="AB73" s="38"/>
      <c r="AC73" s="40"/>
      <c r="AD73" s="40"/>
      <c r="AE73" s="79"/>
      <c r="AF73" s="79"/>
      <c r="AG73" s="40"/>
      <c r="AH73" s="191"/>
      <c r="AI73" s="34"/>
    </row>
    <row r="74" spans="2:35" ht="14.25" customHeight="1">
      <c r="B74" s="32"/>
      <c r="C74" s="42"/>
      <c r="D74" s="185"/>
      <c r="E74" s="32"/>
      <c r="F74" s="32"/>
      <c r="G74" s="32"/>
      <c r="H74" s="33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Z74" s="32"/>
      <c r="AA74" s="32"/>
      <c r="AB74" s="38"/>
      <c r="AC74" s="40"/>
      <c r="AD74" s="40"/>
      <c r="AE74" s="79"/>
      <c r="AF74" s="79"/>
      <c r="AG74" s="40"/>
      <c r="AH74" s="191"/>
      <c r="AI74" s="34"/>
    </row>
    <row r="75" spans="2:35" ht="14.25" customHeight="1">
      <c r="B75" s="32"/>
      <c r="C75" s="42"/>
      <c r="D75" s="185"/>
      <c r="E75" s="32"/>
      <c r="F75" s="32"/>
      <c r="G75" s="32"/>
      <c r="H75" s="33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Z75" s="32"/>
      <c r="AA75" s="32"/>
      <c r="AB75" s="38"/>
      <c r="AC75" s="40"/>
      <c r="AD75" s="40"/>
      <c r="AE75" s="79"/>
      <c r="AF75" s="79"/>
      <c r="AG75" s="40"/>
      <c r="AH75" s="191"/>
      <c r="AI75" s="34"/>
    </row>
    <row r="76" spans="2:35" ht="14.25" customHeight="1">
      <c r="B76" s="32"/>
      <c r="C76" s="42"/>
      <c r="D76" s="185"/>
      <c r="E76" s="32"/>
      <c r="F76" s="32"/>
      <c r="G76" s="32"/>
      <c r="H76" s="33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Z76" s="32"/>
      <c r="AA76" s="32"/>
      <c r="AB76" s="38"/>
      <c r="AC76" s="40"/>
      <c r="AD76" s="40"/>
      <c r="AE76" s="79"/>
      <c r="AF76" s="79"/>
      <c r="AG76" s="40"/>
      <c r="AH76" s="191"/>
      <c r="AI76" s="34"/>
    </row>
    <row r="77" spans="2:35" ht="14.25" customHeight="1">
      <c r="B77" s="32"/>
      <c r="C77" s="42"/>
      <c r="D77" s="185"/>
      <c r="E77" s="32"/>
      <c r="F77" s="32"/>
      <c r="G77" s="32"/>
      <c r="H77" s="33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Z77" s="32"/>
      <c r="AA77" s="32"/>
      <c r="AB77" s="38"/>
      <c r="AC77" s="40"/>
      <c r="AD77" s="40"/>
      <c r="AE77" s="79"/>
      <c r="AF77" s="79"/>
      <c r="AG77" s="40"/>
      <c r="AH77" s="191"/>
      <c r="AI77" s="34"/>
    </row>
    <row r="78" spans="2:35" ht="14.25" customHeight="1">
      <c r="B78" s="32"/>
      <c r="C78" s="42"/>
      <c r="D78" s="185"/>
      <c r="E78" s="32"/>
      <c r="F78" s="32"/>
      <c r="G78" s="32"/>
      <c r="H78" s="33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Z78" s="32"/>
      <c r="AA78" s="32"/>
      <c r="AB78" s="38"/>
      <c r="AC78" s="40"/>
      <c r="AD78" s="40"/>
      <c r="AE78" s="79"/>
      <c r="AF78" s="79"/>
      <c r="AG78" s="40"/>
      <c r="AH78" s="191"/>
      <c r="AI78" s="34"/>
    </row>
    <row r="79" spans="2:35" ht="14.25" customHeight="1">
      <c r="B79" s="32"/>
      <c r="C79" s="42"/>
      <c r="D79" s="185"/>
      <c r="E79" s="32"/>
      <c r="F79" s="32"/>
      <c r="G79" s="32"/>
      <c r="H79" s="33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Z79" s="32"/>
      <c r="AA79" s="32"/>
      <c r="AB79" s="38"/>
      <c r="AC79" s="40"/>
      <c r="AD79" s="40"/>
      <c r="AE79" s="79"/>
      <c r="AF79" s="79"/>
      <c r="AG79" s="40"/>
      <c r="AH79" s="191"/>
      <c r="AI79" s="34"/>
    </row>
    <row r="80" spans="2:35" ht="14.25" customHeight="1">
      <c r="B80" s="32"/>
      <c r="C80" s="42"/>
      <c r="D80" s="185"/>
      <c r="E80" s="32"/>
      <c r="F80" s="32"/>
      <c r="G80" s="32"/>
      <c r="H80" s="33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Z80" s="32"/>
      <c r="AA80" s="32"/>
      <c r="AB80" s="38"/>
      <c r="AC80" s="40"/>
      <c r="AD80" s="40"/>
      <c r="AE80" s="79"/>
      <c r="AF80" s="79"/>
      <c r="AG80" s="40"/>
      <c r="AH80" s="191"/>
      <c r="AI80" s="34"/>
    </row>
    <row r="81" spans="2:35" ht="14.25" customHeight="1">
      <c r="B81" s="32"/>
      <c r="C81" s="42"/>
      <c r="D81" s="185"/>
      <c r="E81" s="32"/>
      <c r="F81" s="32"/>
      <c r="G81" s="32"/>
      <c r="H81" s="33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Z81" s="32"/>
      <c r="AA81" s="32"/>
      <c r="AB81" s="38"/>
      <c r="AC81" s="40"/>
      <c r="AD81" s="40"/>
      <c r="AE81" s="79"/>
      <c r="AF81" s="79"/>
      <c r="AG81" s="40"/>
      <c r="AH81" s="191"/>
      <c r="AI81" s="34"/>
    </row>
    <row r="82" spans="2:35" ht="14.25" customHeight="1">
      <c r="B82" s="32"/>
      <c r="C82" s="42"/>
      <c r="D82" s="185"/>
      <c r="E82" s="32"/>
      <c r="F82" s="32"/>
      <c r="G82" s="32"/>
      <c r="H82" s="33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Z82" s="32"/>
      <c r="AA82" s="32"/>
      <c r="AB82" s="38"/>
      <c r="AC82" s="40"/>
      <c r="AD82" s="40"/>
      <c r="AE82" s="79"/>
      <c r="AF82" s="79"/>
      <c r="AG82" s="40"/>
      <c r="AH82" s="191"/>
      <c r="AI82" s="34"/>
    </row>
    <row r="83" spans="2:35" ht="14.25" customHeight="1">
      <c r="B83" s="32"/>
      <c r="C83" s="42"/>
      <c r="D83" s="185"/>
      <c r="E83" s="32"/>
      <c r="F83" s="32"/>
      <c r="G83" s="32"/>
      <c r="H83" s="33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Z83" s="32"/>
      <c r="AA83" s="32"/>
      <c r="AB83" s="38"/>
      <c r="AC83" s="40"/>
      <c r="AD83" s="40"/>
      <c r="AE83" s="79"/>
      <c r="AF83" s="79"/>
      <c r="AG83" s="40"/>
      <c r="AH83" s="191"/>
      <c r="AI83" s="34"/>
    </row>
    <row r="84" spans="2:35" ht="14.25" customHeight="1">
      <c r="B84" s="32"/>
      <c r="C84" s="42"/>
      <c r="D84" s="185"/>
      <c r="E84" s="32"/>
      <c r="F84" s="32"/>
      <c r="G84" s="32"/>
      <c r="H84" s="33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Z84" s="32"/>
      <c r="AA84" s="32"/>
      <c r="AB84" s="38"/>
      <c r="AC84" s="40"/>
      <c r="AD84" s="40"/>
      <c r="AE84" s="79"/>
      <c r="AF84" s="79"/>
      <c r="AG84" s="40"/>
      <c r="AH84" s="191"/>
      <c r="AI84" s="34"/>
    </row>
    <row r="85" spans="2:35" ht="14.25" customHeight="1">
      <c r="B85" s="32"/>
      <c r="C85" s="42"/>
      <c r="D85" s="185"/>
      <c r="E85" s="32"/>
      <c r="F85" s="32"/>
      <c r="G85" s="32"/>
      <c r="H85" s="33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Z85" s="32"/>
      <c r="AA85" s="32"/>
      <c r="AB85" s="38"/>
      <c r="AC85" s="40"/>
      <c r="AD85" s="40"/>
      <c r="AE85" s="79"/>
      <c r="AF85" s="79"/>
      <c r="AG85" s="40"/>
      <c r="AH85" s="191"/>
      <c r="AI85" s="34"/>
    </row>
    <row r="86" spans="2:35" ht="14.25" customHeight="1">
      <c r="B86" s="32"/>
      <c r="C86" s="42"/>
      <c r="D86" s="185"/>
      <c r="E86" s="32"/>
      <c r="F86" s="32"/>
      <c r="G86" s="32"/>
      <c r="H86" s="33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Z86" s="32"/>
      <c r="AA86" s="32"/>
      <c r="AB86" s="38"/>
      <c r="AC86" s="40"/>
      <c r="AD86" s="40"/>
      <c r="AE86" s="79"/>
      <c r="AF86" s="79"/>
      <c r="AG86" s="40"/>
      <c r="AH86" s="191"/>
      <c r="AI86" s="34"/>
    </row>
    <row r="87" spans="2:35" ht="14.25" customHeight="1">
      <c r="B87" s="32"/>
      <c r="C87" s="42"/>
      <c r="D87" s="185"/>
      <c r="E87" s="32"/>
      <c r="F87" s="32"/>
      <c r="G87" s="32"/>
      <c r="H87" s="33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Z87" s="32"/>
      <c r="AA87" s="32"/>
      <c r="AB87" s="38"/>
      <c r="AC87" s="40"/>
      <c r="AD87" s="40"/>
      <c r="AE87" s="79"/>
      <c r="AF87" s="79"/>
      <c r="AG87" s="40"/>
      <c r="AH87" s="191"/>
      <c r="AI87" s="34"/>
    </row>
    <row r="88" spans="2:35" ht="14.25" customHeight="1">
      <c r="B88" s="32"/>
      <c r="C88" s="42"/>
      <c r="D88" s="185"/>
      <c r="E88" s="32"/>
      <c r="F88" s="32"/>
      <c r="G88" s="32"/>
      <c r="H88" s="33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Z88" s="32"/>
      <c r="AA88" s="32"/>
      <c r="AB88" s="38"/>
      <c r="AC88" s="40"/>
      <c r="AD88" s="40"/>
      <c r="AE88" s="79"/>
      <c r="AF88" s="79"/>
      <c r="AG88" s="40"/>
      <c r="AH88" s="191"/>
      <c r="AI88" s="34"/>
    </row>
    <row r="89" spans="2:35" ht="14.25" customHeight="1">
      <c r="B89" s="32"/>
      <c r="C89" s="42"/>
      <c r="D89" s="185"/>
      <c r="E89" s="32"/>
      <c r="F89" s="32"/>
      <c r="G89" s="32"/>
      <c r="H89" s="33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Z89" s="32"/>
      <c r="AA89" s="32"/>
      <c r="AB89" s="38"/>
      <c r="AC89" s="40"/>
      <c r="AD89" s="40"/>
      <c r="AE89" s="79"/>
      <c r="AF89" s="79"/>
      <c r="AG89" s="40"/>
      <c r="AH89" s="191"/>
      <c r="AI89" s="34"/>
    </row>
    <row r="90" spans="2:35" ht="14.25" customHeight="1">
      <c r="B90" s="32"/>
      <c r="C90" s="42"/>
      <c r="D90" s="185"/>
      <c r="E90" s="32"/>
      <c r="F90" s="32"/>
      <c r="G90" s="32"/>
      <c r="H90" s="33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Z90" s="32"/>
      <c r="AA90" s="32"/>
      <c r="AB90" s="38"/>
      <c r="AC90" s="40"/>
      <c r="AD90" s="40"/>
      <c r="AE90" s="79"/>
      <c r="AF90" s="79"/>
      <c r="AG90" s="40"/>
      <c r="AH90" s="191"/>
      <c r="AI90" s="34"/>
    </row>
    <row r="91" spans="2:35" ht="14.25" customHeight="1">
      <c r="B91" s="32"/>
      <c r="C91" s="42"/>
      <c r="D91" s="185"/>
      <c r="E91" s="32"/>
      <c r="F91" s="32"/>
      <c r="G91" s="32"/>
      <c r="H91" s="33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Z91" s="32"/>
      <c r="AA91" s="32"/>
      <c r="AB91" s="38"/>
      <c r="AC91" s="40"/>
      <c r="AD91" s="40"/>
      <c r="AE91" s="79"/>
      <c r="AF91" s="79"/>
      <c r="AG91" s="40"/>
      <c r="AH91" s="191"/>
      <c r="AI91" s="34"/>
    </row>
    <row r="92" spans="2:35" ht="14.25" customHeight="1">
      <c r="B92" s="32"/>
      <c r="C92" s="42"/>
      <c r="D92" s="185"/>
      <c r="E92" s="32"/>
      <c r="F92" s="32"/>
      <c r="G92" s="32"/>
      <c r="H92" s="33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Z92" s="32"/>
      <c r="AA92" s="32"/>
      <c r="AB92" s="38"/>
      <c r="AC92" s="40"/>
      <c r="AD92" s="40"/>
      <c r="AE92" s="79"/>
      <c r="AF92" s="79"/>
      <c r="AG92" s="40"/>
      <c r="AH92" s="191"/>
      <c r="AI92" s="34"/>
    </row>
    <row r="93" spans="2:35" ht="14.25" customHeight="1">
      <c r="B93" s="32"/>
      <c r="C93" s="42"/>
      <c r="D93" s="185"/>
      <c r="E93" s="32"/>
      <c r="F93" s="32"/>
      <c r="G93" s="32"/>
      <c r="H93" s="33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Z93" s="32"/>
      <c r="AA93" s="32"/>
      <c r="AB93" s="38"/>
      <c r="AC93" s="40"/>
      <c r="AD93" s="40"/>
      <c r="AE93" s="79"/>
      <c r="AF93" s="79"/>
      <c r="AG93" s="40"/>
      <c r="AH93" s="191"/>
      <c r="AI93" s="34"/>
    </row>
    <row r="94" spans="2:35" ht="14.25" customHeight="1">
      <c r="B94" s="32"/>
      <c r="C94" s="42"/>
      <c r="D94" s="185"/>
      <c r="E94" s="32"/>
      <c r="F94" s="32"/>
      <c r="G94" s="32"/>
      <c r="H94" s="33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Z94" s="32"/>
      <c r="AA94" s="32"/>
      <c r="AB94" s="38"/>
      <c r="AC94" s="40"/>
      <c r="AD94" s="40"/>
      <c r="AE94" s="79"/>
      <c r="AF94" s="79"/>
      <c r="AG94" s="40"/>
      <c r="AH94" s="191"/>
      <c r="AI94" s="34"/>
    </row>
    <row r="95" spans="2:35" ht="14.25" customHeight="1">
      <c r="B95" s="32"/>
      <c r="C95" s="42"/>
      <c r="D95" s="185"/>
      <c r="E95" s="32"/>
      <c r="F95" s="32"/>
      <c r="G95" s="32"/>
      <c r="H95" s="33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Z95" s="32"/>
      <c r="AA95" s="32"/>
      <c r="AB95" s="38"/>
      <c r="AC95" s="40"/>
      <c r="AD95" s="40"/>
      <c r="AE95" s="79"/>
      <c r="AF95" s="79"/>
      <c r="AG95" s="40"/>
      <c r="AH95" s="191"/>
      <c r="AI95" s="34"/>
    </row>
    <row r="96" spans="2:35" ht="14.25" customHeight="1">
      <c r="B96" s="32"/>
      <c r="C96" s="42"/>
      <c r="D96" s="185"/>
      <c r="E96" s="32"/>
      <c r="F96" s="32"/>
      <c r="G96" s="32"/>
      <c r="H96" s="33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Z96" s="32"/>
      <c r="AA96" s="32"/>
      <c r="AB96" s="38"/>
      <c r="AC96" s="40"/>
      <c r="AD96" s="40"/>
      <c r="AE96" s="79"/>
      <c r="AF96" s="79"/>
      <c r="AG96" s="40"/>
      <c r="AH96" s="191"/>
      <c r="AI96" s="34"/>
    </row>
    <row r="97" spans="2:35" ht="14.25" customHeight="1">
      <c r="B97" s="32"/>
      <c r="C97" s="42"/>
      <c r="D97" s="185"/>
      <c r="E97" s="32"/>
      <c r="F97" s="32"/>
      <c r="G97" s="32"/>
      <c r="H97" s="33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Z97" s="32"/>
      <c r="AA97" s="32"/>
      <c r="AB97" s="38"/>
      <c r="AC97" s="40"/>
      <c r="AD97" s="40"/>
      <c r="AE97" s="79"/>
      <c r="AF97" s="79"/>
      <c r="AG97" s="40"/>
      <c r="AH97" s="191"/>
      <c r="AI97" s="34"/>
    </row>
    <row r="98" spans="2:35" ht="14.25" customHeight="1">
      <c r="B98" s="32"/>
      <c r="C98" s="42"/>
      <c r="D98" s="185"/>
      <c r="E98" s="32"/>
      <c r="F98" s="32"/>
      <c r="G98" s="32"/>
      <c r="H98" s="33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Z98" s="32"/>
      <c r="AA98" s="32"/>
      <c r="AB98" s="38"/>
      <c r="AC98" s="40"/>
      <c r="AD98" s="40"/>
      <c r="AE98" s="79"/>
      <c r="AF98" s="79"/>
      <c r="AG98" s="40"/>
      <c r="AH98" s="191"/>
      <c r="AI98" s="34"/>
    </row>
    <row r="99" spans="2:35" ht="14.25" customHeight="1">
      <c r="B99" s="32"/>
      <c r="C99" s="42"/>
      <c r="D99" s="185"/>
      <c r="E99" s="32"/>
      <c r="F99" s="32"/>
      <c r="G99" s="32"/>
      <c r="H99" s="33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Z99" s="32"/>
      <c r="AA99" s="32"/>
      <c r="AB99" s="38"/>
      <c r="AC99" s="40"/>
      <c r="AD99" s="40"/>
      <c r="AE99" s="79"/>
      <c r="AF99" s="79"/>
      <c r="AG99" s="40"/>
      <c r="AH99" s="191"/>
      <c r="AI99" s="34"/>
    </row>
    <row r="100" spans="2:35" ht="14.25" customHeight="1">
      <c r="B100" s="32"/>
      <c r="C100" s="42"/>
      <c r="D100" s="185"/>
      <c r="E100" s="32"/>
      <c r="F100" s="32"/>
      <c r="G100" s="32"/>
      <c r="H100" s="33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Z100" s="32"/>
      <c r="AA100" s="32"/>
      <c r="AB100" s="38"/>
      <c r="AC100" s="40"/>
      <c r="AD100" s="40"/>
      <c r="AE100" s="79"/>
      <c r="AF100" s="79"/>
      <c r="AG100" s="40"/>
      <c r="AH100" s="191"/>
      <c r="AI100" s="34"/>
    </row>
    <row r="101" spans="2:35" ht="14.25" customHeight="1">
      <c r="B101" s="32"/>
      <c r="C101" s="42"/>
      <c r="D101" s="185"/>
      <c r="E101" s="32"/>
      <c r="F101" s="32"/>
      <c r="G101" s="32"/>
      <c r="H101" s="33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Z101" s="32"/>
      <c r="AA101" s="32"/>
      <c r="AB101" s="38"/>
      <c r="AC101" s="40"/>
      <c r="AD101" s="40"/>
      <c r="AE101" s="79"/>
      <c r="AF101" s="79"/>
      <c r="AG101" s="40"/>
      <c r="AH101" s="191"/>
      <c r="AI101" s="34"/>
    </row>
    <row r="102" spans="2:35" ht="14.25" customHeight="1">
      <c r="B102" s="32"/>
      <c r="C102" s="42"/>
      <c r="D102" s="185"/>
      <c r="E102" s="32"/>
      <c r="F102" s="32"/>
      <c r="G102" s="32"/>
      <c r="H102" s="33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Z102" s="32"/>
      <c r="AA102" s="32"/>
      <c r="AB102" s="38"/>
      <c r="AC102" s="40"/>
      <c r="AD102" s="40"/>
      <c r="AE102" s="79"/>
      <c r="AF102" s="79"/>
      <c r="AG102" s="40"/>
      <c r="AH102" s="191"/>
      <c r="AI102" s="34"/>
    </row>
    <row r="103" spans="2:35" ht="14.25" customHeight="1">
      <c r="B103" s="32"/>
      <c r="C103" s="42"/>
      <c r="D103" s="185"/>
      <c r="E103" s="32"/>
      <c r="F103" s="32"/>
      <c r="G103" s="32"/>
      <c r="H103" s="33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Z103" s="32"/>
      <c r="AA103" s="32"/>
      <c r="AB103" s="38"/>
      <c r="AC103" s="40"/>
      <c r="AD103" s="40"/>
      <c r="AE103" s="79"/>
      <c r="AF103" s="79"/>
      <c r="AG103" s="40"/>
      <c r="AH103" s="191"/>
      <c r="AI103" s="34"/>
    </row>
    <row r="104" spans="2:35" ht="14.25" customHeight="1">
      <c r="B104" s="32"/>
      <c r="C104" s="42"/>
      <c r="D104" s="185"/>
      <c r="E104" s="32"/>
      <c r="F104" s="32"/>
      <c r="G104" s="32"/>
      <c r="H104" s="33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Z104" s="32"/>
      <c r="AA104" s="32"/>
      <c r="AB104" s="38"/>
      <c r="AC104" s="40"/>
      <c r="AD104" s="40"/>
      <c r="AE104" s="79"/>
      <c r="AF104" s="79"/>
      <c r="AG104" s="40"/>
      <c r="AH104" s="191"/>
      <c r="AI104" s="34"/>
    </row>
    <row r="105" spans="2:35" ht="14.25" customHeight="1">
      <c r="B105" s="32"/>
      <c r="C105" s="42"/>
      <c r="D105" s="185"/>
      <c r="E105" s="32"/>
      <c r="F105" s="32"/>
      <c r="G105" s="32"/>
      <c r="H105" s="33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Z105" s="32"/>
      <c r="AA105" s="32"/>
      <c r="AB105" s="38"/>
      <c r="AC105" s="40"/>
      <c r="AD105" s="40"/>
      <c r="AE105" s="79"/>
      <c r="AF105" s="79"/>
      <c r="AG105" s="40"/>
      <c r="AH105" s="191"/>
      <c r="AI105" s="34"/>
    </row>
    <row r="106" spans="2:35" ht="14.25" customHeight="1">
      <c r="B106" s="32"/>
      <c r="C106" s="42"/>
      <c r="D106" s="185"/>
      <c r="E106" s="32"/>
      <c r="F106" s="32"/>
      <c r="G106" s="32"/>
      <c r="H106" s="33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Z106" s="32"/>
      <c r="AA106" s="32"/>
      <c r="AB106" s="38"/>
      <c r="AC106" s="40"/>
      <c r="AD106" s="40"/>
      <c r="AE106" s="79"/>
      <c r="AF106" s="79"/>
      <c r="AG106" s="40"/>
      <c r="AH106" s="191"/>
      <c r="AI106" s="34"/>
    </row>
    <row r="107" spans="2:35" ht="14.25" customHeight="1">
      <c r="B107" s="32"/>
      <c r="C107" s="42"/>
      <c r="D107" s="185"/>
      <c r="E107" s="32"/>
      <c r="F107" s="32"/>
      <c r="G107" s="32"/>
      <c r="H107" s="33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Z107" s="32"/>
      <c r="AA107" s="32"/>
      <c r="AB107" s="38"/>
      <c r="AC107" s="40"/>
      <c r="AD107" s="40"/>
      <c r="AE107" s="79"/>
      <c r="AF107" s="79"/>
      <c r="AG107" s="40"/>
      <c r="AH107" s="191"/>
      <c r="AI107" s="34"/>
    </row>
    <row r="108" spans="2:35" ht="14.25" customHeight="1">
      <c r="B108" s="32"/>
      <c r="C108" s="42"/>
      <c r="D108" s="185"/>
      <c r="E108" s="32"/>
      <c r="F108" s="32"/>
      <c r="G108" s="32"/>
      <c r="H108" s="33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Z108" s="32"/>
      <c r="AA108" s="32"/>
      <c r="AB108" s="38"/>
      <c r="AC108" s="40"/>
      <c r="AD108" s="40"/>
      <c r="AE108" s="79"/>
      <c r="AF108" s="79"/>
      <c r="AG108" s="40"/>
      <c r="AH108" s="191"/>
      <c r="AI108" s="34"/>
    </row>
    <row r="109" spans="2:35" ht="14.25" customHeight="1">
      <c r="B109" s="32"/>
      <c r="C109" s="42"/>
      <c r="D109" s="185"/>
      <c r="E109" s="32"/>
      <c r="F109" s="32"/>
      <c r="G109" s="32"/>
      <c r="H109" s="33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Z109" s="32"/>
      <c r="AA109" s="32"/>
      <c r="AB109" s="38"/>
      <c r="AC109" s="40"/>
      <c r="AD109" s="40"/>
      <c r="AE109" s="79"/>
      <c r="AF109" s="79"/>
      <c r="AG109" s="40"/>
      <c r="AH109" s="191"/>
      <c r="AI109" s="34"/>
    </row>
    <row r="110" spans="2:35" ht="14.25" customHeight="1">
      <c r="B110" s="32"/>
      <c r="C110" s="42"/>
      <c r="D110" s="185"/>
      <c r="E110" s="32"/>
      <c r="F110" s="32"/>
      <c r="G110" s="32"/>
      <c r="H110" s="33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Z110" s="32"/>
      <c r="AA110" s="32"/>
      <c r="AB110" s="38"/>
      <c r="AC110" s="40"/>
      <c r="AD110" s="40"/>
      <c r="AE110" s="79"/>
      <c r="AF110" s="79"/>
      <c r="AG110" s="40"/>
      <c r="AH110" s="191"/>
      <c r="AI110" s="34"/>
    </row>
    <row r="111" spans="2:35" ht="14.25" customHeight="1">
      <c r="B111" s="32"/>
      <c r="C111" s="42"/>
      <c r="D111" s="185"/>
      <c r="E111" s="32"/>
      <c r="F111" s="32"/>
      <c r="G111" s="32"/>
      <c r="H111" s="33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Z111" s="32"/>
      <c r="AA111" s="32"/>
      <c r="AB111" s="38"/>
      <c r="AC111" s="40"/>
      <c r="AD111" s="40"/>
      <c r="AE111" s="79"/>
      <c r="AF111" s="79"/>
      <c r="AG111" s="40"/>
      <c r="AH111" s="191"/>
      <c r="AI111" s="34"/>
    </row>
    <row r="112" spans="2:35" ht="14.25" customHeight="1">
      <c r="B112" s="32"/>
      <c r="C112" s="42"/>
      <c r="D112" s="185"/>
      <c r="E112" s="32"/>
      <c r="F112" s="32"/>
      <c r="G112" s="32"/>
      <c r="H112" s="33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Z112" s="32"/>
      <c r="AA112" s="32"/>
      <c r="AB112" s="38"/>
      <c r="AC112" s="40"/>
      <c r="AD112" s="40"/>
      <c r="AE112" s="79"/>
      <c r="AF112" s="79"/>
      <c r="AG112" s="40"/>
      <c r="AH112" s="191"/>
      <c r="AI112" s="34"/>
    </row>
    <row r="113" spans="2:35" ht="14.25" customHeight="1">
      <c r="B113" s="32"/>
      <c r="C113" s="42"/>
      <c r="D113" s="185"/>
      <c r="E113" s="32"/>
      <c r="F113" s="32"/>
      <c r="G113" s="32"/>
      <c r="H113" s="33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Z113" s="32"/>
      <c r="AA113" s="32"/>
      <c r="AB113" s="38"/>
      <c r="AC113" s="40"/>
      <c r="AD113" s="40"/>
      <c r="AE113" s="79"/>
      <c r="AF113" s="79"/>
      <c r="AG113" s="40"/>
      <c r="AH113" s="191"/>
      <c r="AI113" s="34"/>
    </row>
    <row r="114" spans="2:35" ht="14.25" customHeight="1">
      <c r="B114" s="32"/>
      <c r="C114" s="42"/>
      <c r="D114" s="185"/>
      <c r="E114" s="32"/>
      <c r="F114" s="32"/>
      <c r="G114" s="32"/>
      <c r="H114" s="33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Z114" s="32"/>
      <c r="AA114" s="32"/>
      <c r="AB114" s="38"/>
      <c r="AC114" s="40"/>
      <c r="AD114" s="40"/>
      <c r="AE114" s="79"/>
      <c r="AF114" s="79"/>
      <c r="AG114" s="40"/>
      <c r="AH114" s="191"/>
      <c r="AI114" s="34"/>
    </row>
    <row r="115" spans="2:35" ht="14.25" customHeight="1">
      <c r="B115" s="32"/>
      <c r="C115" s="42"/>
      <c r="D115" s="185"/>
      <c r="E115" s="32"/>
      <c r="F115" s="32"/>
      <c r="G115" s="32"/>
      <c r="H115" s="33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Z115" s="32"/>
      <c r="AA115" s="32"/>
      <c r="AB115" s="38"/>
      <c r="AC115" s="40"/>
      <c r="AD115" s="40"/>
      <c r="AE115" s="79"/>
      <c r="AF115" s="79"/>
      <c r="AG115" s="40"/>
      <c r="AH115" s="191"/>
      <c r="AI115" s="34"/>
    </row>
    <row r="116" spans="2:35" ht="14.25" customHeight="1">
      <c r="B116" s="32"/>
      <c r="C116" s="42"/>
      <c r="D116" s="185"/>
      <c r="E116" s="32"/>
      <c r="F116" s="32"/>
      <c r="G116" s="32"/>
      <c r="H116" s="33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Z116" s="32"/>
      <c r="AA116" s="32"/>
      <c r="AB116" s="38"/>
      <c r="AC116" s="40"/>
      <c r="AD116" s="40"/>
      <c r="AE116" s="79"/>
      <c r="AF116" s="79"/>
      <c r="AG116" s="40"/>
      <c r="AH116" s="191"/>
      <c r="AI116" s="34"/>
    </row>
    <row r="117" spans="2:35" ht="14.25" customHeight="1">
      <c r="B117" s="32"/>
      <c r="C117" s="42"/>
      <c r="D117" s="185"/>
      <c r="E117" s="32"/>
      <c r="F117" s="32"/>
      <c r="G117" s="32"/>
      <c r="H117" s="33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Z117" s="32"/>
      <c r="AA117" s="32"/>
      <c r="AB117" s="38"/>
      <c r="AC117" s="40"/>
      <c r="AD117" s="40"/>
      <c r="AE117" s="79"/>
      <c r="AF117" s="79"/>
      <c r="AG117" s="40"/>
      <c r="AH117" s="191"/>
      <c r="AI117" s="34"/>
    </row>
    <row r="118" spans="2:35" ht="14.25" customHeight="1">
      <c r="B118" s="32"/>
      <c r="C118" s="42"/>
      <c r="D118" s="185"/>
      <c r="E118" s="32"/>
      <c r="F118" s="32"/>
      <c r="G118" s="32"/>
      <c r="H118" s="33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Z118" s="32"/>
      <c r="AA118" s="32"/>
      <c r="AB118" s="38"/>
      <c r="AC118" s="40"/>
      <c r="AD118" s="40"/>
      <c r="AE118" s="79"/>
      <c r="AF118" s="79"/>
      <c r="AG118" s="40"/>
      <c r="AH118" s="191"/>
      <c r="AI118" s="34"/>
    </row>
    <row r="119" spans="2:35" ht="14.25" customHeight="1">
      <c r="B119" s="32"/>
      <c r="C119" s="42"/>
      <c r="D119" s="185"/>
      <c r="E119" s="32"/>
      <c r="F119" s="32"/>
      <c r="G119" s="32"/>
      <c r="H119" s="33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Z119" s="32"/>
      <c r="AA119" s="32"/>
      <c r="AB119" s="38"/>
      <c r="AC119" s="40"/>
      <c r="AD119" s="40"/>
      <c r="AE119" s="79"/>
      <c r="AF119" s="79"/>
      <c r="AG119" s="40"/>
      <c r="AH119" s="191"/>
      <c r="AI119" s="34"/>
    </row>
    <row r="120" spans="2:35" ht="14.25" customHeight="1">
      <c r="B120" s="32"/>
      <c r="C120" s="42"/>
      <c r="D120" s="185"/>
      <c r="E120" s="32"/>
      <c r="F120" s="32"/>
      <c r="G120" s="32"/>
      <c r="H120" s="33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Z120" s="32"/>
      <c r="AA120" s="32"/>
      <c r="AB120" s="38"/>
      <c r="AC120" s="40"/>
      <c r="AD120" s="40"/>
      <c r="AE120" s="79"/>
      <c r="AF120" s="79"/>
      <c r="AG120" s="40"/>
      <c r="AH120" s="191"/>
      <c r="AI120" s="34"/>
    </row>
    <row r="121" spans="2:35" ht="14.25" customHeight="1">
      <c r="B121" s="32"/>
      <c r="C121" s="42"/>
      <c r="D121" s="185"/>
      <c r="E121" s="32"/>
      <c r="F121" s="32"/>
      <c r="G121" s="32"/>
      <c r="H121" s="33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Z121" s="32"/>
      <c r="AA121" s="32"/>
      <c r="AB121" s="38"/>
      <c r="AC121" s="40"/>
      <c r="AD121" s="40"/>
      <c r="AE121" s="79"/>
      <c r="AF121" s="79"/>
      <c r="AG121" s="40"/>
      <c r="AH121" s="191"/>
      <c r="AI121" s="34"/>
    </row>
    <row r="122" spans="2:35" ht="14.25" customHeight="1">
      <c r="B122" s="32"/>
      <c r="C122" s="42"/>
      <c r="D122" s="185"/>
      <c r="E122" s="32"/>
      <c r="F122" s="32"/>
      <c r="G122" s="32"/>
      <c r="H122" s="33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Z122" s="32"/>
      <c r="AA122" s="32"/>
      <c r="AB122" s="38"/>
      <c r="AC122" s="40"/>
      <c r="AD122" s="40"/>
      <c r="AE122" s="79"/>
      <c r="AF122" s="79"/>
      <c r="AG122" s="40"/>
      <c r="AH122" s="191"/>
      <c r="AI122" s="34"/>
    </row>
    <row r="123" spans="2:35" ht="14.25" customHeight="1">
      <c r="B123" s="32"/>
      <c r="C123" s="42"/>
      <c r="D123" s="185"/>
      <c r="E123" s="32"/>
      <c r="F123" s="32"/>
      <c r="G123" s="32"/>
      <c r="H123" s="33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Z123" s="32"/>
      <c r="AA123" s="32"/>
      <c r="AB123" s="38"/>
      <c r="AC123" s="40"/>
      <c r="AD123" s="40"/>
      <c r="AE123" s="79"/>
      <c r="AF123" s="79"/>
      <c r="AG123" s="40"/>
      <c r="AH123" s="191"/>
      <c r="AI123" s="34"/>
    </row>
    <row r="124" spans="2:35" ht="14.25" customHeight="1">
      <c r="B124" s="32"/>
      <c r="C124" s="42"/>
      <c r="D124" s="185"/>
      <c r="E124" s="32"/>
      <c r="F124" s="32"/>
      <c r="G124" s="32"/>
      <c r="H124" s="33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Z124" s="32"/>
      <c r="AA124" s="32"/>
      <c r="AB124" s="38"/>
      <c r="AC124" s="40"/>
      <c r="AD124" s="40"/>
      <c r="AE124" s="79"/>
      <c r="AF124" s="79"/>
      <c r="AG124" s="40"/>
      <c r="AH124" s="191"/>
      <c r="AI124" s="34"/>
    </row>
    <row r="125" spans="2:35" ht="14.25" customHeight="1">
      <c r="B125" s="32"/>
      <c r="C125" s="42"/>
      <c r="D125" s="185"/>
      <c r="E125" s="32"/>
      <c r="F125" s="32"/>
      <c r="G125" s="32"/>
      <c r="H125" s="33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Z125" s="32"/>
      <c r="AA125" s="32"/>
      <c r="AB125" s="38"/>
      <c r="AC125" s="40"/>
      <c r="AD125" s="40"/>
      <c r="AE125" s="79"/>
      <c r="AF125" s="79"/>
      <c r="AG125" s="40"/>
      <c r="AH125" s="191"/>
      <c r="AI125" s="34"/>
    </row>
    <row r="126" spans="2:35" ht="14.25" customHeight="1">
      <c r="B126" s="32"/>
      <c r="C126" s="42"/>
      <c r="D126" s="185"/>
      <c r="E126" s="32"/>
      <c r="F126" s="32"/>
      <c r="G126" s="32"/>
      <c r="H126" s="33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Z126" s="32"/>
      <c r="AA126" s="32"/>
      <c r="AB126" s="38"/>
      <c r="AC126" s="40"/>
      <c r="AD126" s="40"/>
      <c r="AE126" s="79"/>
      <c r="AF126" s="79"/>
      <c r="AG126" s="40"/>
      <c r="AH126" s="191"/>
      <c r="AI126" s="34"/>
    </row>
    <row r="127" spans="2:35" ht="14.25" customHeight="1">
      <c r="B127" s="32"/>
      <c r="C127" s="42"/>
      <c r="D127" s="185"/>
      <c r="E127" s="32"/>
      <c r="F127" s="32"/>
      <c r="G127" s="32"/>
      <c r="H127" s="33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Z127" s="32"/>
      <c r="AA127" s="32"/>
      <c r="AB127" s="38"/>
      <c r="AC127" s="40"/>
      <c r="AD127" s="40"/>
      <c r="AE127" s="79"/>
      <c r="AF127" s="79"/>
      <c r="AG127" s="40"/>
      <c r="AH127" s="191"/>
      <c r="AI127" s="34"/>
    </row>
    <row r="128" spans="2:35" ht="14.25" customHeight="1">
      <c r="B128" s="32"/>
      <c r="C128" s="42"/>
      <c r="D128" s="185"/>
      <c r="E128" s="32"/>
      <c r="F128" s="32"/>
      <c r="G128" s="32"/>
      <c r="H128" s="33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Z128" s="32"/>
      <c r="AA128" s="32"/>
      <c r="AB128" s="38"/>
      <c r="AC128" s="40"/>
      <c r="AD128" s="40"/>
      <c r="AE128" s="79"/>
      <c r="AF128" s="79"/>
      <c r="AG128" s="40"/>
      <c r="AH128" s="191"/>
      <c r="AI128" s="34"/>
    </row>
    <row r="129" spans="2:35" ht="14.25" customHeight="1">
      <c r="B129" s="32"/>
      <c r="C129" s="42"/>
      <c r="D129" s="185"/>
      <c r="E129" s="32"/>
      <c r="F129" s="32"/>
      <c r="G129" s="32"/>
      <c r="H129" s="33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Z129" s="32"/>
      <c r="AA129" s="32"/>
      <c r="AB129" s="38"/>
      <c r="AC129" s="40"/>
      <c r="AD129" s="40"/>
      <c r="AE129" s="79"/>
      <c r="AF129" s="79"/>
      <c r="AG129" s="40"/>
      <c r="AH129" s="191"/>
      <c r="AI129" s="34"/>
    </row>
    <row r="130" spans="2:35" ht="14.25" customHeight="1">
      <c r="B130" s="32"/>
      <c r="C130" s="42"/>
      <c r="D130" s="185"/>
      <c r="E130" s="32"/>
      <c r="F130" s="32"/>
      <c r="G130" s="32"/>
      <c r="H130" s="33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Z130" s="32"/>
      <c r="AA130" s="32"/>
      <c r="AB130" s="38"/>
      <c r="AC130" s="40"/>
      <c r="AD130" s="40"/>
      <c r="AE130" s="79"/>
      <c r="AF130" s="79"/>
      <c r="AG130" s="40"/>
      <c r="AH130" s="191"/>
      <c r="AI130" s="34"/>
    </row>
    <row r="131" spans="2:35" ht="14.25" customHeight="1">
      <c r="B131" s="32"/>
      <c r="C131" s="42"/>
      <c r="D131" s="185"/>
      <c r="E131" s="32"/>
      <c r="F131" s="32"/>
      <c r="G131" s="32"/>
      <c r="H131" s="33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Z131" s="32"/>
      <c r="AA131" s="32"/>
      <c r="AB131" s="38"/>
      <c r="AC131" s="40"/>
      <c r="AD131" s="40"/>
      <c r="AE131" s="79"/>
      <c r="AF131" s="79"/>
      <c r="AG131" s="40"/>
      <c r="AH131" s="191"/>
      <c r="AI131" s="34"/>
    </row>
    <row r="132" spans="2:35" ht="14.25" customHeight="1">
      <c r="B132" s="32"/>
      <c r="C132" s="42"/>
      <c r="D132" s="185"/>
      <c r="E132" s="32"/>
      <c r="F132" s="32"/>
      <c r="G132" s="32"/>
      <c r="H132" s="33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Z132" s="32"/>
      <c r="AA132" s="32"/>
      <c r="AB132" s="38"/>
      <c r="AC132" s="40"/>
      <c r="AD132" s="40"/>
      <c r="AE132" s="79"/>
      <c r="AF132" s="79"/>
      <c r="AG132" s="40"/>
      <c r="AH132" s="191"/>
      <c r="AI132" s="34"/>
    </row>
    <row r="133" spans="2:35" ht="14.25" customHeight="1">
      <c r="B133" s="32"/>
      <c r="C133" s="42"/>
      <c r="D133" s="185"/>
      <c r="E133" s="32"/>
      <c r="F133" s="32"/>
      <c r="G133" s="32"/>
      <c r="H133" s="33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Z133" s="32"/>
      <c r="AA133" s="32"/>
      <c r="AB133" s="38"/>
      <c r="AC133" s="40"/>
      <c r="AD133" s="40"/>
      <c r="AE133" s="79"/>
      <c r="AF133" s="79"/>
      <c r="AG133" s="40"/>
      <c r="AH133" s="191"/>
      <c r="AI133" s="34"/>
    </row>
    <row r="134" spans="2:35" ht="14.25" customHeight="1">
      <c r="B134" s="32"/>
      <c r="C134" s="42"/>
      <c r="D134" s="185"/>
      <c r="E134" s="32"/>
      <c r="F134" s="32"/>
      <c r="G134" s="32"/>
      <c r="H134" s="33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Z134" s="32"/>
      <c r="AA134" s="32"/>
      <c r="AB134" s="38"/>
      <c r="AC134" s="40"/>
      <c r="AD134" s="40"/>
      <c r="AE134" s="79"/>
      <c r="AF134" s="79"/>
      <c r="AG134" s="40"/>
      <c r="AH134" s="191"/>
      <c r="AI134" s="34"/>
    </row>
    <row r="135" spans="2:35" ht="14.25" customHeight="1">
      <c r="B135" s="32"/>
      <c r="C135" s="42"/>
      <c r="D135" s="185"/>
      <c r="E135" s="32"/>
      <c r="F135" s="32"/>
      <c r="G135" s="32"/>
      <c r="H135" s="33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Z135" s="32"/>
      <c r="AA135" s="32"/>
      <c r="AB135" s="38"/>
      <c r="AC135" s="40"/>
      <c r="AD135" s="40"/>
      <c r="AE135" s="79"/>
      <c r="AF135" s="79"/>
      <c r="AG135" s="40"/>
      <c r="AH135" s="191"/>
      <c r="AI135" s="34"/>
    </row>
    <row r="136" spans="2:35" ht="14.25" customHeight="1">
      <c r="B136" s="32"/>
      <c r="C136" s="42"/>
      <c r="D136" s="185"/>
      <c r="E136" s="32"/>
      <c r="F136" s="32"/>
      <c r="G136" s="32"/>
      <c r="H136" s="33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Z136" s="32"/>
      <c r="AA136" s="32"/>
      <c r="AB136" s="38"/>
      <c r="AC136" s="40"/>
      <c r="AD136" s="40"/>
      <c r="AE136" s="79"/>
      <c r="AF136" s="79"/>
      <c r="AG136" s="40"/>
      <c r="AH136" s="191"/>
      <c r="AI136" s="34"/>
    </row>
    <row r="137" spans="2:35" ht="14.25" customHeight="1">
      <c r="B137" s="32"/>
      <c r="C137" s="42"/>
      <c r="D137" s="185"/>
      <c r="E137" s="32"/>
      <c r="F137" s="32"/>
      <c r="G137" s="32"/>
      <c r="H137" s="33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Z137" s="32"/>
      <c r="AA137" s="32"/>
      <c r="AB137" s="38"/>
      <c r="AC137" s="40"/>
      <c r="AD137" s="40"/>
      <c r="AE137" s="79"/>
      <c r="AF137" s="79"/>
      <c r="AG137" s="40"/>
      <c r="AH137" s="191"/>
      <c r="AI137" s="34"/>
    </row>
    <row r="138" spans="2:35" ht="14.25" customHeight="1">
      <c r="B138" s="32"/>
      <c r="C138" s="42"/>
      <c r="D138" s="185"/>
      <c r="E138" s="32"/>
      <c r="F138" s="32"/>
      <c r="G138" s="32"/>
      <c r="H138" s="33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Z138" s="32"/>
      <c r="AA138" s="32"/>
      <c r="AB138" s="38"/>
      <c r="AC138" s="40"/>
      <c r="AD138" s="40"/>
      <c r="AE138" s="79"/>
      <c r="AF138" s="79"/>
      <c r="AG138" s="40"/>
      <c r="AH138" s="191"/>
      <c r="AI138" s="34"/>
    </row>
    <row r="139" spans="2:35" ht="14.25" customHeight="1">
      <c r="B139" s="32"/>
      <c r="C139" s="42"/>
      <c r="D139" s="185"/>
      <c r="E139" s="32"/>
      <c r="F139" s="32"/>
      <c r="G139" s="32"/>
      <c r="H139" s="33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Z139" s="32"/>
      <c r="AA139" s="32"/>
      <c r="AB139" s="38"/>
      <c r="AC139" s="40"/>
      <c r="AD139" s="40"/>
      <c r="AE139" s="79"/>
      <c r="AF139" s="79"/>
      <c r="AG139" s="40"/>
      <c r="AH139" s="191"/>
      <c r="AI139" s="34"/>
    </row>
    <row r="140" spans="2:35" ht="14.25" customHeight="1">
      <c r="B140" s="32"/>
      <c r="C140" s="42"/>
      <c r="D140" s="185"/>
      <c r="E140" s="32"/>
      <c r="F140" s="32"/>
      <c r="G140" s="32"/>
      <c r="H140" s="33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Z140" s="32"/>
      <c r="AA140" s="32"/>
      <c r="AB140" s="38"/>
      <c r="AC140" s="40"/>
      <c r="AD140" s="40"/>
      <c r="AE140" s="79"/>
      <c r="AF140" s="79"/>
      <c r="AG140" s="40"/>
      <c r="AH140" s="191"/>
      <c r="AI140" s="34"/>
    </row>
    <row r="141" spans="2:35" ht="14.25" customHeight="1">
      <c r="B141" s="32"/>
      <c r="C141" s="42"/>
      <c r="D141" s="185"/>
      <c r="E141" s="32"/>
      <c r="F141" s="32"/>
      <c r="G141" s="32"/>
      <c r="H141" s="33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Z141" s="32"/>
      <c r="AA141" s="32"/>
      <c r="AB141" s="38"/>
      <c r="AC141" s="40"/>
      <c r="AD141" s="40"/>
      <c r="AE141" s="79"/>
      <c r="AF141" s="79"/>
      <c r="AG141" s="40"/>
      <c r="AH141" s="191"/>
      <c r="AI141" s="34"/>
    </row>
    <row r="142" spans="2:35" ht="14.25" customHeight="1">
      <c r="B142" s="32"/>
      <c r="C142" s="42"/>
      <c r="D142" s="185"/>
      <c r="E142" s="32"/>
      <c r="F142" s="32"/>
      <c r="G142" s="32"/>
      <c r="H142" s="33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Z142" s="32"/>
      <c r="AA142" s="32"/>
      <c r="AB142" s="38"/>
      <c r="AC142" s="40"/>
      <c r="AD142" s="40"/>
      <c r="AE142" s="79"/>
      <c r="AF142" s="79"/>
      <c r="AG142" s="40"/>
      <c r="AH142" s="191"/>
      <c r="AI142" s="34"/>
    </row>
    <row r="143" spans="2:35" ht="14.25" customHeight="1">
      <c r="B143" s="32"/>
      <c r="C143" s="42"/>
      <c r="D143" s="185"/>
      <c r="E143" s="32"/>
      <c r="F143" s="32"/>
      <c r="G143" s="32"/>
      <c r="H143" s="33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Z143" s="32"/>
      <c r="AA143" s="32"/>
      <c r="AB143" s="38"/>
      <c r="AC143" s="40"/>
      <c r="AD143" s="40"/>
      <c r="AE143" s="79"/>
      <c r="AF143" s="79"/>
      <c r="AG143" s="40"/>
      <c r="AH143" s="191"/>
      <c r="AI143" s="34"/>
    </row>
    <row r="144" spans="2:35" ht="14.25" customHeight="1">
      <c r="B144" s="32"/>
      <c r="C144" s="42"/>
      <c r="D144" s="185"/>
      <c r="E144" s="32"/>
      <c r="F144" s="32"/>
      <c r="G144" s="32"/>
      <c r="H144" s="33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Z144" s="32"/>
      <c r="AA144" s="32"/>
      <c r="AB144" s="38"/>
      <c r="AC144" s="40"/>
      <c r="AD144" s="40"/>
      <c r="AE144" s="79"/>
      <c r="AF144" s="79"/>
      <c r="AG144" s="40"/>
      <c r="AH144" s="191"/>
      <c r="AI144" s="34"/>
    </row>
    <row r="145" spans="2:35" ht="14.25" customHeight="1">
      <c r="B145" s="32"/>
      <c r="C145" s="42"/>
      <c r="D145" s="185"/>
      <c r="E145" s="32"/>
      <c r="F145" s="32"/>
      <c r="G145" s="32"/>
      <c r="H145" s="33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Z145" s="32"/>
      <c r="AA145" s="32"/>
      <c r="AB145" s="38"/>
      <c r="AC145" s="40"/>
      <c r="AD145" s="40"/>
      <c r="AE145" s="79"/>
      <c r="AF145" s="79"/>
      <c r="AG145" s="40"/>
      <c r="AH145" s="191"/>
      <c r="AI145" s="34"/>
    </row>
    <row r="146" spans="2:35" ht="14.25" customHeight="1">
      <c r="B146" s="32"/>
      <c r="C146" s="42"/>
      <c r="D146" s="185"/>
      <c r="E146" s="32"/>
      <c r="F146" s="32"/>
      <c r="G146" s="32"/>
      <c r="H146" s="33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Z146" s="32"/>
      <c r="AA146" s="32"/>
      <c r="AB146" s="38"/>
      <c r="AC146" s="40"/>
      <c r="AD146" s="40"/>
      <c r="AE146" s="79"/>
      <c r="AF146" s="79"/>
      <c r="AG146" s="40"/>
      <c r="AH146" s="191"/>
      <c r="AI146" s="34"/>
    </row>
    <row r="147" spans="2:35" ht="14.25" customHeight="1">
      <c r="B147" s="32"/>
      <c r="C147" s="42"/>
      <c r="D147" s="185"/>
      <c r="E147" s="32"/>
      <c r="F147" s="32"/>
      <c r="G147" s="32"/>
      <c r="H147" s="33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Z147" s="32"/>
      <c r="AA147" s="32"/>
      <c r="AB147" s="38"/>
      <c r="AC147" s="40"/>
      <c r="AD147" s="40"/>
      <c r="AE147" s="79"/>
      <c r="AF147" s="79"/>
      <c r="AG147" s="40"/>
      <c r="AH147" s="191"/>
      <c r="AI147" s="34"/>
    </row>
    <row r="148" spans="2:35" ht="14.25" customHeight="1">
      <c r="B148" s="32"/>
      <c r="C148" s="42"/>
      <c r="D148" s="185"/>
      <c r="E148" s="32"/>
      <c r="F148" s="32"/>
      <c r="G148" s="32"/>
      <c r="H148" s="33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Z148" s="32"/>
      <c r="AA148" s="32"/>
      <c r="AB148" s="38"/>
      <c r="AC148" s="40"/>
      <c r="AD148" s="40"/>
      <c r="AE148" s="79"/>
      <c r="AF148" s="79"/>
      <c r="AG148" s="40"/>
      <c r="AH148" s="191"/>
      <c r="AI148" s="34"/>
    </row>
    <row r="149" spans="2:35" ht="14.25" customHeight="1">
      <c r="B149" s="32"/>
      <c r="C149" s="42"/>
      <c r="D149" s="185"/>
      <c r="E149" s="32"/>
      <c r="F149" s="32"/>
      <c r="G149" s="32"/>
      <c r="H149" s="33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Z149" s="32"/>
      <c r="AA149" s="32"/>
      <c r="AB149" s="38"/>
      <c r="AC149" s="40"/>
      <c r="AD149" s="40"/>
      <c r="AE149" s="79"/>
      <c r="AF149" s="79"/>
      <c r="AG149" s="40"/>
      <c r="AH149" s="191"/>
      <c r="AI149" s="34"/>
    </row>
    <row r="150" spans="2:35" ht="14.25" customHeight="1">
      <c r="B150" s="32"/>
      <c r="C150" s="42"/>
      <c r="D150" s="185"/>
      <c r="E150" s="32"/>
      <c r="F150" s="32"/>
      <c r="G150" s="32"/>
      <c r="H150" s="33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Z150" s="32"/>
      <c r="AA150" s="32"/>
      <c r="AB150" s="38"/>
      <c r="AC150" s="40"/>
      <c r="AD150" s="40"/>
      <c r="AE150" s="79"/>
      <c r="AF150" s="79"/>
      <c r="AG150" s="40"/>
      <c r="AH150" s="191"/>
      <c r="AI150" s="34"/>
    </row>
    <row r="151" spans="2:35" ht="14.25" customHeight="1">
      <c r="B151" s="32"/>
      <c r="C151" s="42"/>
      <c r="D151" s="185"/>
      <c r="E151" s="32"/>
      <c r="F151" s="32"/>
      <c r="G151" s="32"/>
      <c r="H151" s="33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Z151" s="32"/>
      <c r="AA151" s="32"/>
      <c r="AB151" s="38"/>
      <c r="AC151" s="40"/>
      <c r="AD151" s="40"/>
      <c r="AE151" s="79"/>
      <c r="AF151" s="79"/>
      <c r="AG151" s="40"/>
      <c r="AH151" s="191"/>
      <c r="AI151" s="34"/>
    </row>
    <row r="152" spans="2:35" ht="14.25" customHeight="1">
      <c r="B152" s="32"/>
      <c r="C152" s="42"/>
      <c r="D152" s="185"/>
      <c r="E152" s="32"/>
      <c r="F152" s="32"/>
      <c r="G152" s="32"/>
      <c r="H152" s="33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Z152" s="32"/>
      <c r="AA152" s="32"/>
      <c r="AB152" s="38"/>
      <c r="AC152" s="40"/>
      <c r="AD152" s="40"/>
      <c r="AE152" s="79"/>
      <c r="AF152" s="79"/>
      <c r="AG152" s="40"/>
      <c r="AH152" s="191"/>
      <c r="AI152" s="34"/>
    </row>
    <row r="153" spans="2:35" ht="14.25" customHeight="1">
      <c r="B153" s="32"/>
      <c r="C153" s="42"/>
      <c r="D153" s="185"/>
      <c r="E153" s="32"/>
      <c r="F153" s="32"/>
      <c r="G153" s="32"/>
      <c r="H153" s="33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Z153" s="32"/>
      <c r="AA153" s="32"/>
      <c r="AB153" s="38"/>
      <c r="AC153" s="40"/>
      <c r="AD153" s="40"/>
      <c r="AE153" s="79"/>
      <c r="AF153" s="79"/>
      <c r="AG153" s="40"/>
      <c r="AH153" s="191"/>
      <c r="AI153" s="34"/>
    </row>
    <row r="154" spans="2:35" ht="14.25" customHeight="1">
      <c r="B154" s="32"/>
      <c r="C154" s="42"/>
      <c r="D154" s="185"/>
      <c r="E154" s="32"/>
      <c r="F154" s="32"/>
      <c r="G154" s="32"/>
      <c r="H154" s="33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Z154" s="32"/>
      <c r="AA154" s="32"/>
      <c r="AB154" s="38"/>
      <c r="AC154" s="40"/>
      <c r="AD154" s="40"/>
      <c r="AE154" s="79"/>
      <c r="AF154" s="79"/>
      <c r="AG154" s="40"/>
      <c r="AH154" s="191"/>
      <c r="AI154" s="34"/>
    </row>
    <row r="155" spans="2:35" ht="14.25" customHeight="1">
      <c r="B155" s="32"/>
      <c r="C155" s="42"/>
      <c r="D155" s="185"/>
      <c r="E155" s="32"/>
      <c r="F155" s="32"/>
      <c r="G155" s="32"/>
      <c r="H155" s="33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Z155" s="32"/>
      <c r="AA155" s="32"/>
      <c r="AB155" s="38"/>
      <c r="AC155" s="40"/>
      <c r="AD155" s="40"/>
      <c r="AE155" s="79"/>
      <c r="AF155" s="79"/>
      <c r="AG155" s="40"/>
      <c r="AH155" s="191"/>
      <c r="AI155" s="34"/>
    </row>
    <row r="156" spans="2:35" ht="14.25" customHeight="1">
      <c r="B156" s="32"/>
      <c r="C156" s="42"/>
      <c r="D156" s="185"/>
      <c r="E156" s="32"/>
      <c r="F156" s="32"/>
      <c r="G156" s="32"/>
      <c r="H156" s="33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Z156" s="32"/>
      <c r="AA156" s="32"/>
      <c r="AB156" s="38"/>
      <c r="AC156" s="40"/>
      <c r="AD156" s="40"/>
      <c r="AE156" s="79"/>
      <c r="AF156" s="79"/>
      <c r="AG156" s="40"/>
      <c r="AH156" s="191"/>
      <c r="AI156" s="34"/>
    </row>
    <row r="157" spans="2:35" ht="14.25" customHeight="1">
      <c r="B157" s="32"/>
      <c r="C157" s="42"/>
      <c r="D157" s="185"/>
      <c r="E157" s="32"/>
      <c r="F157" s="32"/>
      <c r="G157" s="32"/>
      <c r="H157" s="33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Z157" s="32"/>
      <c r="AA157" s="32"/>
      <c r="AB157" s="38"/>
      <c r="AC157" s="40"/>
      <c r="AD157" s="40"/>
      <c r="AE157" s="79"/>
      <c r="AF157" s="79"/>
      <c r="AG157" s="40"/>
      <c r="AH157" s="191"/>
      <c r="AI157" s="34"/>
    </row>
    <row r="158" spans="2:35" ht="14.25" customHeight="1">
      <c r="B158" s="32"/>
      <c r="C158" s="42"/>
      <c r="D158" s="185"/>
      <c r="E158" s="32"/>
      <c r="F158" s="32"/>
      <c r="G158" s="32"/>
      <c r="H158" s="33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Z158" s="32"/>
      <c r="AA158" s="32"/>
      <c r="AB158" s="38"/>
      <c r="AC158" s="40"/>
      <c r="AD158" s="40"/>
      <c r="AE158" s="79"/>
      <c r="AF158" s="79"/>
      <c r="AG158" s="40"/>
      <c r="AH158" s="191"/>
      <c r="AI158" s="34"/>
    </row>
    <row r="159" spans="2:35" ht="14.25" customHeight="1">
      <c r="B159" s="32"/>
      <c r="C159" s="42"/>
      <c r="D159" s="185"/>
      <c r="E159" s="32"/>
      <c r="F159" s="32"/>
      <c r="G159" s="32"/>
      <c r="H159" s="33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Z159" s="32"/>
      <c r="AA159" s="32"/>
      <c r="AB159" s="38"/>
      <c r="AC159" s="40"/>
      <c r="AD159" s="40"/>
      <c r="AE159" s="79"/>
      <c r="AF159" s="79"/>
      <c r="AG159" s="40"/>
      <c r="AH159" s="191"/>
      <c r="AI159" s="34"/>
    </row>
    <row r="160" spans="2:35" ht="14.25" customHeight="1">
      <c r="B160" s="32"/>
      <c r="C160" s="42"/>
      <c r="D160" s="185"/>
      <c r="E160" s="32"/>
      <c r="F160" s="32"/>
      <c r="G160" s="32"/>
      <c r="H160" s="33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Z160" s="32"/>
      <c r="AA160" s="32"/>
      <c r="AB160" s="38"/>
      <c r="AC160" s="40"/>
      <c r="AD160" s="40"/>
      <c r="AE160" s="79"/>
      <c r="AF160" s="79"/>
      <c r="AG160" s="40"/>
      <c r="AH160" s="191"/>
      <c r="AI160" s="34"/>
    </row>
    <row r="161" spans="2:35" ht="14.25" customHeight="1">
      <c r="B161" s="32"/>
      <c r="C161" s="42"/>
      <c r="D161" s="185"/>
      <c r="E161" s="32"/>
      <c r="F161" s="32"/>
      <c r="G161" s="32"/>
      <c r="H161" s="33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Z161" s="32"/>
      <c r="AA161" s="32"/>
      <c r="AB161" s="38"/>
      <c r="AC161" s="40"/>
      <c r="AD161" s="40"/>
      <c r="AE161" s="79"/>
      <c r="AF161" s="79"/>
      <c r="AG161" s="40"/>
      <c r="AH161" s="191"/>
      <c r="AI161" s="34"/>
    </row>
    <row r="162" spans="2:35" ht="14.25" customHeight="1">
      <c r="B162" s="32"/>
      <c r="C162" s="42"/>
      <c r="D162" s="185"/>
      <c r="E162" s="32"/>
      <c r="F162" s="32"/>
      <c r="G162" s="32"/>
      <c r="H162" s="33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Z162" s="32"/>
      <c r="AA162" s="32"/>
      <c r="AB162" s="38"/>
      <c r="AC162" s="40"/>
      <c r="AD162" s="40"/>
      <c r="AE162" s="79"/>
      <c r="AF162" s="79"/>
      <c r="AG162" s="40"/>
      <c r="AH162" s="191"/>
      <c r="AI162" s="34"/>
    </row>
    <row r="163" spans="2:35" ht="14.25" customHeight="1">
      <c r="B163" s="32"/>
      <c r="C163" s="42"/>
      <c r="D163" s="185"/>
      <c r="E163" s="32"/>
      <c r="F163" s="32"/>
      <c r="G163" s="32"/>
      <c r="H163" s="33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Z163" s="32"/>
      <c r="AA163" s="32"/>
      <c r="AB163" s="38"/>
      <c r="AC163" s="40"/>
      <c r="AD163" s="40"/>
      <c r="AE163" s="79"/>
      <c r="AF163" s="79"/>
      <c r="AG163" s="40"/>
      <c r="AH163" s="191"/>
      <c r="AI163" s="34"/>
    </row>
    <row r="164" spans="2:35" ht="14.25" customHeight="1">
      <c r="B164" s="32"/>
      <c r="C164" s="42"/>
      <c r="D164" s="185"/>
      <c r="E164" s="32"/>
      <c r="F164" s="32"/>
      <c r="G164" s="32"/>
      <c r="H164" s="33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Z164" s="32"/>
      <c r="AA164" s="32"/>
      <c r="AB164" s="38"/>
      <c r="AC164" s="40"/>
      <c r="AD164" s="40"/>
      <c r="AE164" s="79"/>
      <c r="AF164" s="79"/>
      <c r="AG164" s="40"/>
      <c r="AH164" s="191"/>
      <c r="AI164" s="34"/>
    </row>
    <row r="165" spans="2:35" ht="14.25" customHeight="1">
      <c r="B165" s="32"/>
      <c r="C165" s="42"/>
      <c r="D165" s="185"/>
      <c r="E165" s="32"/>
      <c r="F165" s="32"/>
      <c r="G165" s="32"/>
      <c r="H165" s="33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Z165" s="32"/>
      <c r="AA165" s="32"/>
      <c r="AB165" s="38"/>
      <c r="AC165" s="40"/>
      <c r="AD165" s="40"/>
      <c r="AE165" s="79"/>
      <c r="AF165" s="79"/>
      <c r="AG165" s="40"/>
      <c r="AH165" s="191"/>
      <c r="AI165" s="34"/>
    </row>
    <row r="166" spans="2:35" ht="14.25" customHeight="1">
      <c r="B166" s="32"/>
      <c r="C166" s="42"/>
      <c r="D166" s="185"/>
      <c r="E166" s="32"/>
      <c r="F166" s="32"/>
      <c r="G166" s="32"/>
      <c r="H166" s="33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Z166" s="32"/>
      <c r="AA166" s="32"/>
      <c r="AB166" s="38"/>
      <c r="AC166" s="40"/>
      <c r="AD166" s="40"/>
      <c r="AE166" s="79"/>
      <c r="AF166" s="79"/>
      <c r="AG166" s="40"/>
      <c r="AH166" s="191"/>
      <c r="AI166" s="34"/>
    </row>
    <row r="167" spans="2:35" ht="14.25" customHeight="1">
      <c r="B167" s="32"/>
      <c r="C167" s="42"/>
      <c r="D167" s="185"/>
      <c r="E167" s="32"/>
      <c r="F167" s="32"/>
      <c r="G167" s="32"/>
      <c r="H167" s="33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Z167" s="32"/>
      <c r="AA167" s="32"/>
      <c r="AB167" s="38"/>
      <c r="AC167" s="40"/>
      <c r="AD167" s="40"/>
      <c r="AE167" s="79"/>
      <c r="AF167" s="79"/>
      <c r="AG167" s="40"/>
      <c r="AH167" s="191"/>
      <c r="AI167" s="34"/>
    </row>
    <row r="168" spans="2:35" ht="14.25" customHeight="1">
      <c r="B168" s="32"/>
      <c r="C168" s="42"/>
      <c r="D168" s="185"/>
      <c r="E168" s="32"/>
      <c r="F168" s="32"/>
      <c r="G168" s="32"/>
      <c r="H168" s="33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Z168" s="32"/>
      <c r="AA168" s="32"/>
      <c r="AB168" s="38"/>
      <c r="AC168" s="40"/>
      <c r="AD168" s="40"/>
      <c r="AE168" s="79"/>
      <c r="AF168" s="79"/>
      <c r="AG168" s="40"/>
      <c r="AH168" s="191"/>
      <c r="AI168" s="34"/>
    </row>
    <row r="169" spans="2:35" ht="14.25" customHeight="1">
      <c r="B169" s="32"/>
      <c r="C169" s="42"/>
      <c r="D169" s="185"/>
      <c r="E169" s="32"/>
      <c r="F169" s="32"/>
      <c r="G169" s="32"/>
      <c r="H169" s="33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Z169" s="32"/>
      <c r="AA169" s="32"/>
      <c r="AB169" s="38"/>
      <c r="AC169" s="40"/>
      <c r="AD169" s="40"/>
      <c r="AE169" s="79"/>
      <c r="AF169" s="79"/>
      <c r="AG169" s="40"/>
      <c r="AH169" s="191"/>
      <c r="AI169" s="34"/>
    </row>
    <row r="170" spans="2:35" ht="14.25" customHeight="1">
      <c r="B170" s="32"/>
      <c r="C170" s="42"/>
      <c r="D170" s="185"/>
      <c r="E170" s="32"/>
      <c r="F170" s="32"/>
      <c r="G170" s="32"/>
      <c r="H170" s="33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Z170" s="32"/>
      <c r="AA170" s="32"/>
      <c r="AB170" s="38"/>
      <c r="AC170" s="40"/>
      <c r="AD170" s="40"/>
      <c r="AE170" s="79"/>
      <c r="AF170" s="79"/>
      <c r="AG170" s="40"/>
      <c r="AH170" s="191"/>
      <c r="AI170" s="34"/>
    </row>
    <row r="171" spans="2:35" ht="14.25" customHeight="1">
      <c r="B171" s="32"/>
      <c r="C171" s="42"/>
      <c r="D171" s="185"/>
      <c r="E171" s="32"/>
      <c r="F171" s="32"/>
      <c r="G171" s="32"/>
      <c r="H171" s="33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Z171" s="32"/>
      <c r="AA171" s="32"/>
      <c r="AB171" s="38"/>
      <c r="AC171" s="40"/>
      <c r="AD171" s="40"/>
      <c r="AE171" s="79"/>
      <c r="AF171" s="79"/>
      <c r="AG171" s="40"/>
      <c r="AH171" s="191"/>
      <c r="AI171" s="34"/>
    </row>
    <row r="172" spans="2:35" ht="14.25" customHeight="1">
      <c r="B172" s="32"/>
      <c r="C172" s="42"/>
      <c r="D172" s="185"/>
      <c r="E172" s="32"/>
      <c r="F172" s="32"/>
      <c r="G172" s="32"/>
      <c r="H172" s="33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Z172" s="32"/>
      <c r="AA172" s="32"/>
      <c r="AB172" s="38"/>
      <c r="AC172" s="40"/>
      <c r="AD172" s="40"/>
      <c r="AE172" s="79"/>
      <c r="AF172" s="79"/>
      <c r="AG172" s="40"/>
      <c r="AH172" s="191"/>
      <c r="AI172" s="34"/>
    </row>
    <row r="173" spans="2:35" ht="14.25" customHeight="1">
      <c r="B173" s="32"/>
      <c r="C173" s="42"/>
      <c r="D173" s="185"/>
      <c r="E173" s="32"/>
      <c r="F173" s="32"/>
      <c r="G173" s="32"/>
      <c r="H173" s="33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Z173" s="32"/>
      <c r="AA173" s="32"/>
      <c r="AB173" s="38"/>
      <c r="AC173" s="40"/>
      <c r="AD173" s="40"/>
      <c r="AE173" s="79"/>
      <c r="AF173" s="79"/>
      <c r="AG173" s="40"/>
      <c r="AH173" s="191"/>
      <c r="AI173" s="34"/>
    </row>
    <row r="174" spans="2:35" ht="14.25" customHeight="1">
      <c r="B174" s="32"/>
      <c r="C174" s="42"/>
      <c r="D174" s="185"/>
      <c r="E174" s="32"/>
      <c r="F174" s="32"/>
      <c r="G174" s="32"/>
      <c r="H174" s="33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Z174" s="32"/>
      <c r="AA174" s="32"/>
      <c r="AB174" s="38"/>
      <c r="AC174" s="40"/>
      <c r="AD174" s="40"/>
      <c r="AE174" s="79"/>
      <c r="AF174" s="79"/>
      <c r="AG174" s="40"/>
      <c r="AH174" s="191"/>
      <c r="AI174" s="34"/>
    </row>
    <row r="175" spans="2:35" ht="14.25" customHeight="1">
      <c r="B175" s="32"/>
      <c r="C175" s="42"/>
      <c r="D175" s="185"/>
      <c r="E175" s="32"/>
      <c r="F175" s="32"/>
      <c r="G175" s="32"/>
      <c r="H175" s="33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Z175" s="32"/>
      <c r="AA175" s="32"/>
      <c r="AB175" s="38"/>
      <c r="AC175" s="40"/>
      <c r="AD175" s="40"/>
      <c r="AE175" s="79"/>
      <c r="AF175" s="79"/>
      <c r="AG175" s="40"/>
      <c r="AH175" s="191"/>
      <c r="AI175" s="34"/>
    </row>
    <row r="176" spans="2:35" ht="14.25" customHeight="1">
      <c r="B176" s="32"/>
      <c r="C176" s="42"/>
      <c r="D176" s="185"/>
      <c r="E176" s="32"/>
      <c r="F176" s="32"/>
      <c r="G176" s="32"/>
      <c r="H176" s="33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Z176" s="32"/>
      <c r="AA176" s="32"/>
      <c r="AB176" s="38"/>
      <c r="AC176" s="40"/>
      <c r="AD176" s="40"/>
      <c r="AE176" s="79"/>
      <c r="AF176" s="79"/>
      <c r="AG176" s="40"/>
      <c r="AH176" s="191"/>
      <c r="AI176" s="34"/>
    </row>
    <row r="177" spans="2:35" ht="14.25" customHeight="1">
      <c r="B177" s="32"/>
      <c r="C177" s="42"/>
      <c r="D177" s="185"/>
      <c r="E177" s="32"/>
      <c r="F177" s="32"/>
      <c r="G177" s="32"/>
      <c r="H177" s="33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Z177" s="32"/>
      <c r="AA177" s="32"/>
      <c r="AB177" s="38"/>
      <c r="AC177" s="40"/>
      <c r="AD177" s="40"/>
      <c r="AE177" s="79"/>
      <c r="AF177" s="79"/>
      <c r="AG177" s="40"/>
      <c r="AH177" s="191"/>
      <c r="AI177" s="34"/>
    </row>
    <row r="178" spans="2:35" ht="14.25" customHeight="1">
      <c r="B178" s="32"/>
      <c r="C178" s="42"/>
      <c r="D178" s="185"/>
      <c r="E178" s="32"/>
      <c r="F178" s="32"/>
      <c r="G178" s="32"/>
      <c r="H178" s="33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Z178" s="32"/>
      <c r="AA178" s="32"/>
      <c r="AB178" s="38"/>
      <c r="AC178" s="40"/>
      <c r="AD178" s="40"/>
      <c r="AE178" s="79"/>
      <c r="AF178" s="79"/>
      <c r="AG178" s="40"/>
      <c r="AH178" s="191"/>
      <c r="AI178" s="34"/>
    </row>
    <row r="179" spans="2:35" ht="14.25" customHeight="1">
      <c r="B179" s="32"/>
      <c r="C179" s="42"/>
      <c r="D179" s="185"/>
      <c r="E179" s="32"/>
      <c r="F179" s="32"/>
      <c r="G179" s="32"/>
      <c r="H179" s="33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Z179" s="32"/>
      <c r="AA179" s="32"/>
      <c r="AB179" s="38"/>
      <c r="AC179" s="40"/>
      <c r="AD179" s="40"/>
      <c r="AE179" s="79"/>
      <c r="AF179" s="79"/>
      <c r="AG179" s="40"/>
      <c r="AH179" s="191"/>
      <c r="AI179" s="34"/>
    </row>
    <row r="180" spans="2:35" ht="14.25" customHeight="1">
      <c r="B180" s="32"/>
      <c r="C180" s="42"/>
      <c r="D180" s="185"/>
      <c r="E180" s="32"/>
      <c r="F180" s="32"/>
      <c r="G180" s="32"/>
      <c r="H180" s="33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Z180" s="32"/>
      <c r="AA180" s="32"/>
      <c r="AB180" s="38"/>
      <c r="AC180" s="40"/>
      <c r="AD180" s="40"/>
      <c r="AE180" s="79"/>
      <c r="AF180" s="79"/>
      <c r="AG180" s="40"/>
      <c r="AH180" s="191"/>
      <c r="AI180" s="34"/>
    </row>
    <row r="181" spans="2:35" ht="14.25" customHeight="1">
      <c r="B181" s="32"/>
      <c r="C181" s="42"/>
      <c r="D181" s="185"/>
      <c r="E181" s="32"/>
      <c r="F181" s="32"/>
      <c r="G181" s="32"/>
      <c r="H181" s="33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Z181" s="32"/>
      <c r="AA181" s="32"/>
      <c r="AB181" s="38"/>
      <c r="AC181" s="40"/>
      <c r="AD181" s="40"/>
      <c r="AE181" s="79"/>
      <c r="AF181" s="79"/>
      <c r="AG181" s="40"/>
      <c r="AH181" s="191"/>
      <c r="AI181" s="34"/>
    </row>
    <row r="182" spans="2:35" ht="14.25" customHeight="1">
      <c r="B182" s="32"/>
      <c r="C182" s="42"/>
      <c r="D182" s="185"/>
      <c r="E182" s="32"/>
      <c r="F182" s="32"/>
      <c r="G182" s="32"/>
      <c r="H182" s="33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Z182" s="32"/>
      <c r="AA182" s="32"/>
      <c r="AB182" s="38"/>
      <c r="AC182" s="40"/>
      <c r="AD182" s="40"/>
      <c r="AE182" s="79"/>
      <c r="AF182" s="79"/>
      <c r="AG182" s="40"/>
      <c r="AH182" s="191"/>
      <c r="AI182" s="34"/>
    </row>
    <row r="183" spans="2:35" ht="14.25" customHeight="1">
      <c r="B183" s="32"/>
      <c r="C183" s="42"/>
      <c r="D183" s="185"/>
      <c r="E183" s="32"/>
      <c r="F183" s="32"/>
      <c r="G183" s="32"/>
      <c r="H183" s="33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Z183" s="32"/>
      <c r="AA183" s="32"/>
      <c r="AB183" s="38"/>
      <c r="AC183" s="40"/>
      <c r="AD183" s="40"/>
      <c r="AE183" s="79"/>
      <c r="AF183" s="79"/>
      <c r="AG183" s="40"/>
      <c r="AH183" s="191"/>
      <c r="AI183" s="34"/>
    </row>
    <row r="184" spans="2:35" ht="14.25" customHeight="1">
      <c r="B184" s="32"/>
      <c r="C184" s="42"/>
      <c r="D184" s="185"/>
      <c r="E184" s="32"/>
      <c r="F184" s="32"/>
      <c r="G184" s="32"/>
      <c r="H184" s="33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Z184" s="32"/>
      <c r="AA184" s="32"/>
      <c r="AB184" s="38"/>
      <c r="AC184" s="40"/>
      <c r="AD184" s="40"/>
      <c r="AE184" s="79"/>
      <c r="AF184" s="79"/>
      <c r="AG184" s="40"/>
      <c r="AH184" s="191"/>
      <c r="AI184" s="34"/>
    </row>
    <row r="185" spans="2:35" ht="14.25" customHeight="1">
      <c r="B185" s="32"/>
      <c r="C185" s="42"/>
      <c r="D185" s="185"/>
      <c r="E185" s="32"/>
      <c r="F185" s="32"/>
      <c r="G185" s="32"/>
      <c r="H185" s="33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Z185" s="32"/>
      <c r="AA185" s="32"/>
      <c r="AB185" s="38"/>
      <c r="AC185" s="40"/>
      <c r="AD185" s="40"/>
      <c r="AE185" s="79"/>
      <c r="AF185" s="79"/>
      <c r="AG185" s="40"/>
      <c r="AH185" s="191"/>
      <c r="AI185" s="34"/>
    </row>
    <row r="186" spans="2:35" ht="14.25" customHeight="1">
      <c r="B186" s="32"/>
      <c r="C186" s="42"/>
      <c r="D186" s="185"/>
      <c r="E186" s="32"/>
      <c r="F186" s="32"/>
      <c r="G186" s="32"/>
      <c r="H186" s="33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Z186" s="32"/>
      <c r="AA186" s="32"/>
      <c r="AB186" s="38"/>
      <c r="AC186" s="40"/>
      <c r="AD186" s="40"/>
      <c r="AE186" s="79"/>
      <c r="AF186" s="79"/>
      <c r="AG186" s="40"/>
      <c r="AH186" s="191"/>
      <c r="AI186" s="34"/>
    </row>
    <row r="187" spans="2:35" ht="14.25" customHeight="1">
      <c r="B187" s="32"/>
      <c r="C187" s="42"/>
      <c r="D187" s="185"/>
      <c r="E187" s="32"/>
      <c r="F187" s="32"/>
      <c r="G187" s="32"/>
      <c r="H187" s="33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Z187" s="32"/>
      <c r="AA187" s="32"/>
      <c r="AB187" s="38"/>
      <c r="AC187" s="40"/>
      <c r="AD187" s="40"/>
      <c r="AE187" s="79"/>
      <c r="AF187" s="79"/>
      <c r="AG187" s="40"/>
      <c r="AH187" s="191"/>
      <c r="AI187" s="34"/>
    </row>
    <row r="188" spans="2:35" ht="14.25" customHeight="1">
      <c r="B188" s="32"/>
      <c r="C188" s="42"/>
      <c r="D188" s="185"/>
      <c r="E188" s="32"/>
      <c r="F188" s="32"/>
      <c r="G188" s="32"/>
      <c r="H188" s="33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Z188" s="32"/>
      <c r="AA188" s="32"/>
      <c r="AB188" s="38"/>
      <c r="AC188" s="40"/>
      <c r="AD188" s="40"/>
      <c r="AE188" s="79"/>
      <c r="AF188" s="79"/>
      <c r="AG188" s="40"/>
      <c r="AH188" s="191"/>
      <c r="AI188" s="34"/>
    </row>
    <row r="189" spans="2:35" ht="14.25" customHeight="1">
      <c r="B189" s="32"/>
      <c r="C189" s="42"/>
      <c r="D189" s="185"/>
      <c r="E189" s="32"/>
      <c r="F189" s="32"/>
      <c r="G189" s="32"/>
      <c r="H189" s="33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Z189" s="32"/>
      <c r="AA189" s="32"/>
      <c r="AB189" s="38"/>
      <c r="AC189" s="40"/>
      <c r="AD189" s="40"/>
      <c r="AE189" s="79"/>
      <c r="AF189" s="79"/>
      <c r="AG189" s="40"/>
      <c r="AH189" s="191"/>
      <c r="AI189" s="34"/>
    </row>
    <row r="190" spans="2:35" ht="14.25" customHeight="1">
      <c r="B190" s="32"/>
      <c r="C190" s="42"/>
      <c r="D190" s="185"/>
      <c r="E190" s="32"/>
      <c r="F190" s="32"/>
      <c r="G190" s="32"/>
      <c r="H190" s="33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Z190" s="32"/>
      <c r="AA190" s="32"/>
      <c r="AB190" s="38"/>
      <c r="AC190" s="40"/>
      <c r="AD190" s="40"/>
      <c r="AE190" s="79"/>
      <c r="AF190" s="79"/>
      <c r="AG190" s="40"/>
      <c r="AH190" s="191"/>
      <c r="AI190" s="34"/>
    </row>
    <row r="191" spans="2:35" ht="14.25" customHeight="1">
      <c r="B191" s="32"/>
      <c r="C191" s="42"/>
      <c r="D191" s="185"/>
      <c r="E191" s="32"/>
      <c r="F191" s="32"/>
      <c r="G191" s="32"/>
      <c r="H191" s="33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Z191" s="32"/>
      <c r="AA191" s="32"/>
      <c r="AB191" s="38"/>
      <c r="AC191" s="40"/>
      <c r="AD191" s="40"/>
      <c r="AE191" s="79"/>
      <c r="AF191" s="79"/>
      <c r="AG191" s="40"/>
      <c r="AH191" s="191"/>
      <c r="AI191" s="34"/>
    </row>
    <row r="192" spans="2:35" ht="14.25" customHeight="1">
      <c r="B192" s="32"/>
      <c r="C192" s="42"/>
      <c r="D192" s="185"/>
      <c r="E192" s="32"/>
      <c r="F192" s="32"/>
      <c r="G192" s="32"/>
      <c r="H192" s="33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Z192" s="32"/>
      <c r="AA192" s="32"/>
      <c r="AB192" s="38"/>
      <c r="AC192" s="40"/>
      <c r="AD192" s="40"/>
      <c r="AE192" s="79"/>
      <c r="AF192" s="79"/>
      <c r="AG192" s="40"/>
      <c r="AH192" s="191"/>
      <c r="AI192" s="34"/>
    </row>
    <row r="193" spans="2:35" ht="14.25" customHeight="1">
      <c r="B193" s="32"/>
      <c r="C193" s="42"/>
      <c r="D193" s="185"/>
      <c r="E193" s="32"/>
      <c r="F193" s="32"/>
      <c r="G193" s="32"/>
      <c r="H193" s="33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Z193" s="32"/>
      <c r="AA193" s="32"/>
      <c r="AB193" s="38"/>
      <c r="AC193" s="40"/>
      <c r="AD193" s="40"/>
      <c r="AE193" s="79"/>
      <c r="AF193" s="79"/>
      <c r="AG193" s="40"/>
      <c r="AH193" s="191"/>
      <c r="AI193" s="34"/>
    </row>
    <row r="194" spans="2:35" ht="14.25" customHeight="1">
      <c r="B194" s="32"/>
      <c r="C194" s="42"/>
      <c r="D194" s="185"/>
      <c r="E194" s="32"/>
      <c r="F194" s="32"/>
      <c r="G194" s="32"/>
      <c r="H194" s="33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Z194" s="32"/>
      <c r="AA194" s="32"/>
      <c r="AB194" s="38"/>
      <c r="AC194" s="40"/>
      <c r="AD194" s="40"/>
      <c r="AE194" s="79"/>
      <c r="AF194" s="79"/>
      <c r="AG194" s="40"/>
      <c r="AH194" s="191"/>
      <c r="AI194" s="34"/>
    </row>
    <row r="195" spans="2:35" ht="14.25" customHeight="1">
      <c r="B195" s="32"/>
      <c r="C195" s="42"/>
      <c r="D195" s="185"/>
      <c r="E195" s="32"/>
      <c r="F195" s="32"/>
      <c r="G195" s="32"/>
      <c r="H195" s="33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Z195" s="32"/>
      <c r="AA195" s="32"/>
      <c r="AB195" s="38"/>
      <c r="AC195" s="40"/>
      <c r="AD195" s="40"/>
      <c r="AE195" s="79"/>
      <c r="AF195" s="79"/>
      <c r="AG195" s="40"/>
      <c r="AH195" s="191"/>
      <c r="AI195" s="34"/>
    </row>
    <row r="196" spans="2:35" ht="14.25" customHeight="1">
      <c r="B196" s="32"/>
      <c r="C196" s="42"/>
      <c r="D196" s="185"/>
      <c r="E196" s="32"/>
      <c r="F196" s="32"/>
      <c r="G196" s="32"/>
      <c r="H196" s="33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Z196" s="32"/>
      <c r="AA196" s="32"/>
      <c r="AB196" s="38"/>
      <c r="AC196" s="40"/>
      <c r="AD196" s="40"/>
      <c r="AE196" s="79"/>
      <c r="AF196" s="79"/>
      <c r="AG196" s="40"/>
      <c r="AH196" s="191"/>
      <c r="AI196" s="34"/>
    </row>
    <row r="197" spans="2:35" ht="14.25" customHeight="1">
      <c r="B197" s="32"/>
      <c r="C197" s="42"/>
      <c r="D197" s="185"/>
      <c r="E197" s="32"/>
      <c r="F197" s="32"/>
      <c r="G197" s="32"/>
      <c r="H197" s="33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Z197" s="32"/>
      <c r="AA197" s="32"/>
      <c r="AB197" s="38"/>
      <c r="AC197" s="40"/>
      <c r="AD197" s="40"/>
      <c r="AE197" s="79"/>
      <c r="AF197" s="79"/>
      <c r="AG197" s="40"/>
      <c r="AH197" s="191"/>
      <c r="AI197" s="34"/>
    </row>
    <row r="198" spans="2:35" ht="14.25" customHeight="1">
      <c r="B198" s="32"/>
      <c r="C198" s="42"/>
      <c r="D198" s="185"/>
      <c r="E198" s="32"/>
      <c r="F198" s="32"/>
      <c r="G198" s="32"/>
      <c r="H198" s="33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Z198" s="32"/>
      <c r="AA198" s="32"/>
      <c r="AB198" s="38"/>
      <c r="AC198" s="40"/>
      <c r="AD198" s="40"/>
      <c r="AE198" s="79"/>
      <c r="AF198" s="79"/>
      <c r="AG198" s="40"/>
      <c r="AH198" s="191"/>
      <c r="AI198" s="34"/>
    </row>
    <row r="199" spans="2:35" ht="14.25" customHeight="1">
      <c r="B199" s="32"/>
      <c r="C199" s="42"/>
      <c r="D199" s="185"/>
      <c r="E199" s="32"/>
      <c r="F199" s="32"/>
      <c r="G199" s="32"/>
      <c r="H199" s="33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Z199" s="32"/>
      <c r="AA199" s="32"/>
      <c r="AB199" s="38"/>
      <c r="AC199" s="40"/>
      <c r="AD199" s="40"/>
      <c r="AE199" s="79"/>
      <c r="AF199" s="79"/>
      <c r="AG199" s="40"/>
      <c r="AH199" s="191"/>
      <c r="AI199" s="34"/>
    </row>
    <row r="200" spans="2:35" ht="14.25" customHeight="1">
      <c r="B200" s="32"/>
      <c r="C200" s="42"/>
      <c r="D200" s="185"/>
      <c r="E200" s="32"/>
      <c r="F200" s="32"/>
      <c r="G200" s="32"/>
      <c r="H200" s="33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Z200" s="32"/>
      <c r="AA200" s="32"/>
      <c r="AB200" s="38"/>
      <c r="AC200" s="40"/>
      <c r="AD200" s="40"/>
      <c r="AE200" s="79"/>
      <c r="AF200" s="79"/>
      <c r="AG200" s="40"/>
      <c r="AH200" s="191"/>
      <c r="AI200" s="34"/>
    </row>
    <row r="201" spans="2:35" ht="14.25" customHeight="1">
      <c r="B201" s="32"/>
      <c r="C201" s="42"/>
      <c r="D201" s="185"/>
      <c r="E201" s="32"/>
      <c r="F201" s="32"/>
      <c r="G201" s="32"/>
      <c r="H201" s="33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Z201" s="32"/>
      <c r="AA201" s="32"/>
      <c r="AB201" s="38"/>
      <c r="AC201" s="40"/>
      <c r="AD201" s="40"/>
      <c r="AE201" s="79"/>
      <c r="AF201" s="79"/>
      <c r="AG201" s="40"/>
      <c r="AH201" s="191"/>
      <c r="AI201" s="34"/>
    </row>
    <row r="202" spans="2:35" ht="14.25" customHeight="1">
      <c r="B202" s="32"/>
      <c r="C202" s="42"/>
      <c r="D202" s="185"/>
      <c r="E202" s="32"/>
      <c r="F202" s="32"/>
      <c r="G202" s="32"/>
      <c r="H202" s="33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Z202" s="32"/>
      <c r="AA202" s="32"/>
      <c r="AB202" s="38"/>
      <c r="AC202" s="40"/>
      <c r="AD202" s="40"/>
      <c r="AE202" s="79"/>
      <c r="AF202" s="79"/>
      <c r="AG202" s="40"/>
      <c r="AH202" s="191"/>
      <c r="AI202" s="34"/>
    </row>
    <row r="203" spans="2:35" ht="14.25" customHeight="1">
      <c r="B203" s="32"/>
      <c r="C203" s="42"/>
      <c r="D203" s="185"/>
      <c r="E203" s="32"/>
      <c r="F203" s="32"/>
      <c r="G203" s="32"/>
      <c r="H203" s="33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Z203" s="32"/>
      <c r="AA203" s="32"/>
      <c r="AB203" s="38"/>
      <c r="AC203" s="40"/>
      <c r="AD203" s="40"/>
      <c r="AE203" s="79"/>
      <c r="AF203" s="79"/>
      <c r="AG203" s="40"/>
      <c r="AH203" s="191"/>
      <c r="AI203" s="34"/>
    </row>
    <row r="204" spans="2:35">
      <c r="Q204" s="32"/>
      <c r="R204" s="32"/>
      <c r="S204" s="32"/>
    </row>
    <row r="205" spans="2:35">
      <c r="Q205" s="32"/>
      <c r="R205" s="32"/>
      <c r="S205" s="32"/>
    </row>
    <row r="206" spans="2:35">
      <c r="Q206" s="32"/>
      <c r="R206" s="32"/>
      <c r="S206" s="32"/>
    </row>
    <row r="207" spans="2:35">
      <c r="Q207" s="32"/>
      <c r="R207" s="32"/>
      <c r="S207" s="32"/>
    </row>
    <row r="208" spans="2:35">
      <c r="Q208" s="32"/>
      <c r="R208" s="32"/>
      <c r="S208" s="32"/>
    </row>
    <row r="209" spans="17:19">
      <c r="Q209" s="32"/>
      <c r="R209" s="32"/>
      <c r="S209" s="32"/>
    </row>
    <row r="210" spans="17:19">
      <c r="Q210" s="32"/>
      <c r="R210" s="32"/>
      <c r="S210" s="32"/>
    </row>
    <row r="211" spans="17:19">
      <c r="Q211" s="32"/>
      <c r="R211" s="32"/>
      <c r="S211" s="32"/>
    </row>
    <row r="212" spans="17:19">
      <c r="Q212" s="32"/>
      <c r="R212" s="32"/>
      <c r="S212" s="32"/>
    </row>
    <row r="213" spans="17:19">
      <c r="Q213" s="32"/>
      <c r="R213" s="32"/>
      <c r="S213" s="32"/>
    </row>
    <row r="214" spans="17:19">
      <c r="Q214" s="32"/>
      <c r="R214" s="32"/>
      <c r="S214" s="32"/>
    </row>
    <row r="215" spans="17:19">
      <c r="Q215" s="32"/>
      <c r="R215" s="32"/>
      <c r="S215" s="32"/>
    </row>
    <row r="216" spans="17:19">
      <c r="Q216" s="32"/>
      <c r="R216" s="32"/>
      <c r="S216" s="32"/>
    </row>
    <row r="217" spans="17:19">
      <c r="Q217" s="32"/>
      <c r="R217" s="32"/>
      <c r="S217" s="32"/>
    </row>
    <row r="218" spans="17:19">
      <c r="Q218" s="32"/>
      <c r="R218" s="32"/>
      <c r="S218" s="32"/>
    </row>
    <row r="219" spans="17:19">
      <c r="Q219" s="32"/>
      <c r="R219" s="32"/>
      <c r="S219" s="32"/>
    </row>
    <row r="220" spans="17:19">
      <c r="Q220" s="32"/>
      <c r="R220" s="32"/>
      <c r="S220" s="32"/>
    </row>
    <row r="221" spans="17:19">
      <c r="Q221" s="32"/>
      <c r="R221" s="32"/>
      <c r="S221" s="32"/>
    </row>
    <row r="222" spans="17:19">
      <c r="Q222" s="32"/>
      <c r="R222" s="32"/>
      <c r="S222" s="32"/>
    </row>
    <row r="223" spans="17:19">
      <c r="Q223" s="32"/>
      <c r="R223" s="32"/>
      <c r="S223" s="32"/>
    </row>
    <row r="224" spans="17:19">
      <c r="Q224" s="32"/>
      <c r="R224" s="32"/>
      <c r="S224" s="32"/>
    </row>
    <row r="225" spans="17:19">
      <c r="Q225" s="32"/>
      <c r="R225" s="32"/>
      <c r="S225" s="32"/>
    </row>
    <row r="226" spans="17:19">
      <c r="Q226" s="32"/>
      <c r="R226" s="32"/>
      <c r="S226" s="32"/>
    </row>
    <row r="227" spans="17:19">
      <c r="Q227" s="32"/>
      <c r="R227" s="32"/>
      <c r="S227" s="32"/>
    </row>
    <row r="228" spans="17:19">
      <c r="Q228" s="32"/>
      <c r="R228" s="32"/>
      <c r="S228" s="32"/>
    </row>
    <row r="229" spans="17:19">
      <c r="Q229" s="32"/>
      <c r="R229" s="32"/>
      <c r="S229" s="32"/>
    </row>
    <row r="230" spans="17:19">
      <c r="Q230" s="32"/>
      <c r="R230" s="32"/>
      <c r="S230" s="32"/>
    </row>
    <row r="231" spans="17:19">
      <c r="Q231" s="32"/>
      <c r="R231" s="32"/>
      <c r="S231" s="32"/>
    </row>
    <row r="232" spans="17:19">
      <c r="Q232" s="32"/>
      <c r="R232" s="32"/>
      <c r="S232" s="32"/>
    </row>
    <row r="233" spans="17:19">
      <c r="Q233" s="32"/>
      <c r="R233" s="32"/>
      <c r="S233" s="32"/>
    </row>
    <row r="234" spans="17:19">
      <c r="Q234" s="32"/>
      <c r="R234" s="32"/>
      <c r="S234" s="32"/>
    </row>
    <row r="235" spans="17:19">
      <c r="Q235" s="32"/>
      <c r="R235" s="32"/>
      <c r="S235" s="32"/>
    </row>
    <row r="236" spans="17:19">
      <c r="Q236" s="32"/>
      <c r="R236" s="32"/>
      <c r="S236" s="32"/>
    </row>
    <row r="237" spans="17:19">
      <c r="Q237" s="32"/>
      <c r="R237" s="32"/>
      <c r="S237" s="32"/>
    </row>
    <row r="238" spans="17:19">
      <c r="Q238" s="32"/>
      <c r="R238" s="32"/>
      <c r="S238" s="32"/>
    </row>
    <row r="239" spans="17:19">
      <c r="Q239" s="32"/>
      <c r="R239" s="32"/>
      <c r="S239" s="32"/>
    </row>
    <row r="240" spans="17:19">
      <c r="Q240" s="32"/>
      <c r="R240" s="32"/>
      <c r="S240" s="32"/>
    </row>
    <row r="241" spans="17:19">
      <c r="Q241" s="32"/>
      <c r="R241" s="32"/>
      <c r="S241" s="32"/>
    </row>
    <row r="242" spans="17:19">
      <c r="Q242" s="32"/>
      <c r="R242" s="32"/>
      <c r="S242" s="32"/>
    </row>
    <row r="243" spans="17:19">
      <c r="Q243" s="32"/>
      <c r="R243" s="32"/>
      <c r="S243" s="32"/>
    </row>
    <row r="244" spans="17:19">
      <c r="Q244" s="32"/>
      <c r="R244" s="32"/>
      <c r="S244" s="32"/>
    </row>
    <row r="245" spans="17:19">
      <c r="Q245" s="32"/>
      <c r="R245" s="32"/>
      <c r="S245" s="32"/>
    </row>
    <row r="246" spans="17:19">
      <c r="Q246" s="32"/>
      <c r="R246" s="32"/>
      <c r="S246" s="32"/>
    </row>
    <row r="247" spans="17:19">
      <c r="Q247" s="32"/>
      <c r="R247" s="32"/>
      <c r="S247" s="32"/>
    </row>
    <row r="248" spans="17:19">
      <c r="Q248" s="32"/>
      <c r="R248" s="32"/>
      <c r="S248" s="32"/>
    </row>
    <row r="249" spans="17:19">
      <c r="Q249" s="32"/>
      <c r="R249" s="32"/>
      <c r="S249" s="32"/>
    </row>
    <row r="250" spans="17:19">
      <c r="Q250" s="32"/>
      <c r="R250" s="32"/>
      <c r="S250" s="32"/>
    </row>
    <row r="251" spans="17:19">
      <c r="Q251" s="32"/>
      <c r="R251" s="32"/>
      <c r="S251" s="32"/>
    </row>
    <row r="252" spans="17:19">
      <c r="Q252" s="32"/>
      <c r="R252" s="32"/>
      <c r="S252" s="32"/>
    </row>
    <row r="253" spans="17:19">
      <c r="Q253" s="32"/>
      <c r="R253" s="32"/>
      <c r="S253" s="32"/>
    </row>
    <row r="254" spans="17:19">
      <c r="Q254" s="32"/>
      <c r="R254" s="32"/>
      <c r="S254" s="32"/>
    </row>
    <row r="255" spans="17:19">
      <c r="Q255" s="32"/>
      <c r="R255" s="32"/>
      <c r="S255" s="32"/>
    </row>
    <row r="256" spans="17:19">
      <c r="Q256" s="32"/>
      <c r="R256" s="32"/>
      <c r="S256" s="32"/>
    </row>
    <row r="257" spans="17:19">
      <c r="Q257" s="32"/>
      <c r="R257" s="32"/>
      <c r="S257" s="32"/>
    </row>
    <row r="258" spans="17:19">
      <c r="Q258" s="32"/>
      <c r="R258" s="32"/>
      <c r="S258" s="32"/>
    </row>
    <row r="259" spans="17:19">
      <c r="Q259" s="32"/>
      <c r="R259" s="32"/>
      <c r="S259" s="32"/>
    </row>
    <row r="260" spans="17:19">
      <c r="Q260" s="32"/>
      <c r="R260" s="32"/>
      <c r="S260" s="32"/>
    </row>
    <row r="261" spans="17:19">
      <c r="Q261" s="32"/>
      <c r="R261" s="32"/>
      <c r="S261" s="32"/>
    </row>
    <row r="262" spans="17:19">
      <c r="Q262" s="32"/>
      <c r="R262" s="32"/>
      <c r="S262" s="32"/>
    </row>
    <row r="263" spans="17:19">
      <c r="Q263" s="32"/>
      <c r="R263" s="32"/>
      <c r="S263" s="32"/>
    </row>
    <row r="264" spans="17:19">
      <c r="Q264" s="32"/>
      <c r="R264" s="32"/>
      <c r="S264" s="32"/>
    </row>
    <row r="265" spans="17:19">
      <c r="Q265" s="32"/>
      <c r="R265" s="32"/>
      <c r="S265" s="32"/>
    </row>
    <row r="266" spans="17:19">
      <c r="Q266" s="32"/>
      <c r="R266" s="32"/>
      <c r="S266" s="32"/>
    </row>
    <row r="267" spans="17:19">
      <c r="Q267" s="32"/>
      <c r="R267" s="32"/>
      <c r="S267" s="32"/>
    </row>
    <row r="268" spans="17:19">
      <c r="Q268" s="32"/>
      <c r="R268" s="32"/>
      <c r="S268" s="32"/>
    </row>
    <row r="269" spans="17:19">
      <c r="Q269" s="32"/>
      <c r="R269" s="32"/>
      <c r="S269" s="32"/>
    </row>
    <row r="270" spans="17:19">
      <c r="Q270" s="32"/>
      <c r="R270" s="32"/>
      <c r="S270" s="32"/>
    </row>
    <row r="271" spans="17:19">
      <c r="Q271" s="32"/>
      <c r="R271" s="32"/>
      <c r="S271" s="32"/>
    </row>
    <row r="272" spans="17:19">
      <c r="Q272" s="32"/>
      <c r="R272" s="32"/>
      <c r="S272" s="32"/>
    </row>
    <row r="273" spans="17:19">
      <c r="Q273" s="32"/>
      <c r="R273" s="32"/>
      <c r="S273" s="32"/>
    </row>
    <row r="274" spans="17:19">
      <c r="Q274" s="32"/>
      <c r="R274" s="32"/>
      <c r="S274" s="32"/>
    </row>
    <row r="275" spans="17:19">
      <c r="Q275" s="32"/>
      <c r="R275" s="32"/>
      <c r="S275" s="32"/>
    </row>
    <row r="276" spans="17:19">
      <c r="Q276" s="32"/>
      <c r="R276" s="32"/>
      <c r="S276" s="32"/>
    </row>
    <row r="277" spans="17:19">
      <c r="Q277" s="32"/>
      <c r="R277" s="32"/>
      <c r="S277" s="32"/>
    </row>
    <row r="278" spans="17:19">
      <c r="Q278" s="32"/>
      <c r="R278" s="32"/>
      <c r="S278" s="32"/>
    </row>
    <row r="279" spans="17:19">
      <c r="Q279" s="32"/>
      <c r="R279" s="32"/>
      <c r="S279" s="32"/>
    </row>
    <row r="280" spans="17:19">
      <c r="Q280" s="32"/>
      <c r="R280" s="32"/>
      <c r="S280" s="32"/>
    </row>
    <row r="281" spans="17:19">
      <c r="Q281" s="32"/>
      <c r="R281" s="32"/>
      <c r="S281" s="32"/>
    </row>
    <row r="282" spans="17:19">
      <c r="Q282" s="32"/>
      <c r="R282" s="32"/>
      <c r="S282" s="32"/>
    </row>
    <row r="283" spans="17:19">
      <c r="Q283" s="32"/>
      <c r="R283" s="32"/>
      <c r="S283" s="32"/>
    </row>
    <row r="284" spans="17:19">
      <c r="Q284" s="32"/>
      <c r="R284" s="32"/>
      <c r="S284" s="32"/>
    </row>
    <row r="285" spans="17:19">
      <c r="Q285" s="32"/>
      <c r="R285" s="32"/>
      <c r="S285" s="32"/>
    </row>
    <row r="286" spans="17:19">
      <c r="Q286" s="32"/>
      <c r="R286" s="32"/>
      <c r="S286" s="32"/>
    </row>
    <row r="287" spans="17:19">
      <c r="Q287" s="32"/>
      <c r="R287" s="32"/>
      <c r="S287" s="32"/>
    </row>
    <row r="288" spans="17:19">
      <c r="Q288" s="32"/>
      <c r="R288" s="32"/>
      <c r="S288" s="32"/>
    </row>
    <row r="289" spans="17:19">
      <c r="Q289" s="32"/>
      <c r="R289" s="32"/>
      <c r="S289" s="32"/>
    </row>
    <row r="290" spans="17:19">
      <c r="Q290" s="32"/>
      <c r="R290" s="32"/>
      <c r="S290" s="32"/>
    </row>
    <row r="291" spans="17:19">
      <c r="Q291" s="32"/>
      <c r="R291" s="32"/>
      <c r="S291" s="32"/>
    </row>
    <row r="292" spans="17:19">
      <c r="Q292" s="32"/>
      <c r="R292" s="32"/>
      <c r="S292" s="32"/>
    </row>
    <row r="293" spans="17:19">
      <c r="Q293" s="32"/>
      <c r="R293" s="32"/>
      <c r="S293" s="32"/>
    </row>
    <row r="294" spans="17:19">
      <c r="Q294" s="32"/>
      <c r="R294" s="32"/>
      <c r="S294" s="32"/>
    </row>
    <row r="295" spans="17:19">
      <c r="Q295" s="32"/>
      <c r="R295" s="32"/>
      <c r="S295" s="32"/>
    </row>
    <row r="296" spans="17:19">
      <c r="Q296" s="32"/>
      <c r="R296" s="32"/>
      <c r="S296" s="32"/>
    </row>
    <row r="297" spans="17:19">
      <c r="Q297" s="32"/>
      <c r="R297" s="32"/>
      <c r="S297" s="32"/>
    </row>
    <row r="298" spans="17:19">
      <c r="Q298" s="32"/>
      <c r="R298" s="32"/>
      <c r="S298" s="32"/>
    </row>
    <row r="299" spans="17:19">
      <c r="Q299" s="32"/>
      <c r="R299" s="32"/>
      <c r="S299" s="32"/>
    </row>
    <row r="300" spans="17:19">
      <c r="Q300" s="32"/>
      <c r="R300" s="32"/>
      <c r="S300" s="32"/>
    </row>
    <row r="301" spans="17:19">
      <c r="Q301" s="32"/>
      <c r="R301" s="32"/>
      <c r="S301" s="32"/>
    </row>
    <row r="302" spans="17:19">
      <c r="Q302" s="32"/>
      <c r="R302" s="32"/>
      <c r="S302" s="32"/>
    </row>
    <row r="303" spans="17:19">
      <c r="Q303" s="32"/>
      <c r="R303" s="32"/>
      <c r="S303" s="32"/>
    </row>
    <row r="304" spans="17:19">
      <c r="Q304" s="32"/>
      <c r="R304" s="32"/>
      <c r="S304" s="32"/>
    </row>
    <row r="305" spans="17:19">
      <c r="Q305" s="32"/>
      <c r="R305" s="32"/>
      <c r="S305" s="32"/>
    </row>
    <row r="306" spans="17:19">
      <c r="Q306" s="32"/>
      <c r="R306" s="32"/>
      <c r="S306" s="32"/>
    </row>
    <row r="307" spans="17:19">
      <c r="Q307" s="32"/>
      <c r="R307" s="32"/>
      <c r="S307" s="32"/>
    </row>
    <row r="308" spans="17:19">
      <c r="Q308" s="32"/>
      <c r="R308" s="32"/>
      <c r="S308" s="32"/>
    </row>
    <row r="309" spans="17:19">
      <c r="Q309" s="32"/>
      <c r="R309" s="32"/>
      <c r="S309" s="32"/>
    </row>
    <row r="310" spans="17:19">
      <c r="Q310" s="32"/>
      <c r="R310" s="32"/>
      <c r="S310" s="32"/>
    </row>
    <row r="311" spans="17:19">
      <c r="Q311" s="32"/>
      <c r="R311" s="32"/>
      <c r="S311" s="32"/>
    </row>
    <row r="312" spans="17:19">
      <c r="Q312" s="32"/>
      <c r="R312" s="32"/>
      <c r="S312" s="32"/>
    </row>
    <row r="313" spans="17:19">
      <c r="Q313" s="32"/>
      <c r="R313" s="32"/>
      <c r="S313" s="32"/>
    </row>
    <row r="314" spans="17:19">
      <c r="Q314" s="32"/>
      <c r="R314" s="32"/>
      <c r="S314" s="32"/>
    </row>
    <row r="315" spans="17:19">
      <c r="Q315" s="32"/>
      <c r="R315" s="32"/>
      <c r="S315" s="32"/>
    </row>
    <row r="316" spans="17:19">
      <c r="Q316" s="32"/>
      <c r="R316" s="32"/>
      <c r="S316" s="32"/>
    </row>
    <row r="317" spans="17:19">
      <c r="Q317" s="32"/>
      <c r="R317" s="32"/>
      <c r="S317" s="32"/>
    </row>
    <row r="318" spans="17:19">
      <c r="Q318" s="32"/>
      <c r="R318" s="32"/>
      <c r="S318" s="32"/>
    </row>
    <row r="319" spans="17:19">
      <c r="Q319" s="32"/>
      <c r="R319" s="32"/>
      <c r="S319" s="32"/>
    </row>
    <row r="320" spans="17:19">
      <c r="Q320" s="32"/>
      <c r="R320" s="32"/>
      <c r="S320" s="32"/>
    </row>
    <row r="321" spans="17:19">
      <c r="Q321" s="32"/>
      <c r="R321" s="32"/>
      <c r="S321" s="32"/>
    </row>
    <row r="322" spans="17:19">
      <c r="Q322" s="32"/>
      <c r="R322" s="32"/>
      <c r="S322" s="32"/>
    </row>
    <row r="323" spans="17:19">
      <c r="Q323" s="32"/>
      <c r="R323" s="32"/>
      <c r="S323" s="32"/>
    </row>
    <row r="324" spans="17:19">
      <c r="Q324" s="32"/>
      <c r="R324" s="32"/>
      <c r="S324" s="32"/>
    </row>
    <row r="325" spans="17:19">
      <c r="Q325" s="32"/>
      <c r="R325" s="32"/>
      <c r="S325" s="32"/>
    </row>
    <row r="326" spans="17:19">
      <c r="Q326" s="32"/>
      <c r="R326" s="32"/>
      <c r="S326" s="32"/>
    </row>
    <row r="327" spans="17:19">
      <c r="Q327" s="32"/>
      <c r="R327" s="32"/>
      <c r="S327" s="32"/>
    </row>
    <row r="328" spans="17:19">
      <c r="Q328" s="32"/>
      <c r="R328" s="32"/>
      <c r="S328" s="32"/>
    </row>
    <row r="329" spans="17:19">
      <c r="Q329" s="32"/>
      <c r="R329" s="32"/>
      <c r="S329" s="32"/>
    </row>
    <row r="330" spans="17:19">
      <c r="Q330" s="32"/>
      <c r="R330" s="32"/>
      <c r="S330" s="32"/>
    </row>
    <row r="331" spans="17:19">
      <c r="Q331" s="32"/>
      <c r="R331" s="32"/>
      <c r="S331" s="32"/>
    </row>
    <row r="332" spans="17:19">
      <c r="Q332" s="32"/>
      <c r="R332" s="32"/>
      <c r="S332" s="32"/>
    </row>
    <row r="333" spans="17:19">
      <c r="Q333" s="32"/>
      <c r="R333" s="32"/>
      <c r="S333" s="32"/>
    </row>
    <row r="334" spans="17:19">
      <c r="Q334" s="32"/>
      <c r="R334" s="32"/>
      <c r="S334" s="32"/>
    </row>
    <row r="335" spans="17:19">
      <c r="Q335" s="32"/>
      <c r="R335" s="32"/>
      <c r="S335" s="32"/>
    </row>
    <row r="336" spans="17:19">
      <c r="Q336" s="32"/>
      <c r="R336" s="32"/>
      <c r="S336" s="32"/>
    </row>
    <row r="337" spans="17:19">
      <c r="Q337" s="32"/>
      <c r="R337" s="32"/>
      <c r="S337" s="32"/>
    </row>
    <row r="338" spans="17:19">
      <c r="Q338" s="32"/>
      <c r="R338" s="32"/>
      <c r="S338" s="32"/>
    </row>
    <row r="339" spans="17:19">
      <c r="Q339" s="32"/>
      <c r="R339" s="32"/>
      <c r="S339" s="32"/>
    </row>
    <row r="340" spans="17:19">
      <c r="Q340" s="32"/>
      <c r="R340" s="32"/>
      <c r="S340" s="32"/>
    </row>
    <row r="341" spans="17:19">
      <c r="Q341" s="32"/>
      <c r="R341" s="32"/>
      <c r="S341" s="32"/>
    </row>
    <row r="342" spans="17:19">
      <c r="Q342" s="32"/>
      <c r="R342" s="32"/>
      <c r="S342" s="32"/>
    </row>
    <row r="343" spans="17:19">
      <c r="Q343" s="32"/>
      <c r="R343" s="32"/>
      <c r="S343" s="32"/>
    </row>
    <row r="344" spans="17:19">
      <c r="Q344" s="32"/>
      <c r="R344" s="32"/>
      <c r="S344" s="32"/>
    </row>
    <row r="345" spans="17:19">
      <c r="Q345" s="32"/>
      <c r="R345" s="32"/>
      <c r="S345" s="32"/>
    </row>
    <row r="346" spans="17:19">
      <c r="Q346" s="32"/>
      <c r="R346" s="32"/>
      <c r="S346" s="32"/>
    </row>
    <row r="347" spans="17:19">
      <c r="Q347" s="32"/>
      <c r="R347" s="32"/>
      <c r="S347" s="32"/>
    </row>
    <row r="348" spans="17:19">
      <c r="Q348" s="32"/>
      <c r="R348" s="32"/>
      <c r="S348" s="32"/>
    </row>
    <row r="349" spans="17:19">
      <c r="Q349" s="32"/>
      <c r="R349" s="32"/>
      <c r="S349" s="32"/>
    </row>
    <row r="350" spans="17:19">
      <c r="Q350" s="32"/>
      <c r="R350" s="32"/>
      <c r="S350" s="32"/>
    </row>
    <row r="351" spans="17:19">
      <c r="Q351" s="32"/>
      <c r="R351" s="32"/>
      <c r="S351" s="32"/>
    </row>
    <row r="352" spans="17:19">
      <c r="Q352" s="32"/>
      <c r="R352" s="32"/>
      <c r="S352" s="32"/>
    </row>
    <row r="353" spans="17:19">
      <c r="Q353" s="32"/>
      <c r="R353" s="32"/>
      <c r="S353" s="32"/>
    </row>
    <row r="354" spans="17:19">
      <c r="Q354" s="32"/>
      <c r="R354" s="32"/>
      <c r="S354" s="32"/>
    </row>
    <row r="355" spans="17:19">
      <c r="Q355" s="32"/>
      <c r="R355" s="32"/>
      <c r="S355" s="32"/>
    </row>
    <row r="356" spans="17:19">
      <c r="Q356" s="32"/>
      <c r="R356" s="32"/>
      <c r="S356" s="32"/>
    </row>
    <row r="357" spans="17:19">
      <c r="Q357" s="32"/>
      <c r="R357" s="32"/>
      <c r="S357" s="32"/>
    </row>
    <row r="358" spans="17:19">
      <c r="Q358" s="32"/>
      <c r="R358" s="32"/>
      <c r="S358" s="32"/>
    </row>
    <row r="359" spans="17:19">
      <c r="Q359" s="32"/>
      <c r="R359" s="32"/>
      <c r="S359" s="32"/>
    </row>
    <row r="360" spans="17:19">
      <c r="Q360" s="32"/>
      <c r="R360" s="32"/>
      <c r="S360" s="32"/>
    </row>
    <row r="361" spans="17:19">
      <c r="Q361" s="32"/>
      <c r="R361" s="32"/>
      <c r="S361" s="32"/>
    </row>
    <row r="362" spans="17:19">
      <c r="Q362" s="32"/>
      <c r="R362" s="32"/>
      <c r="S362" s="32"/>
    </row>
    <row r="363" spans="17:19">
      <c r="Q363" s="32"/>
      <c r="R363" s="32"/>
      <c r="S363" s="32"/>
    </row>
    <row r="364" spans="17:19">
      <c r="Q364" s="32"/>
      <c r="R364" s="32"/>
      <c r="S364" s="32"/>
    </row>
    <row r="365" spans="17:19">
      <c r="Q365" s="32"/>
      <c r="R365" s="32"/>
      <c r="S365" s="32"/>
    </row>
    <row r="366" spans="17:19">
      <c r="Q366" s="32"/>
      <c r="R366" s="32"/>
      <c r="S366" s="32"/>
    </row>
    <row r="367" spans="17:19">
      <c r="Q367" s="32"/>
      <c r="R367" s="32"/>
      <c r="S367" s="32"/>
    </row>
    <row r="368" spans="17:19">
      <c r="Q368" s="32"/>
      <c r="R368" s="32"/>
      <c r="S368" s="32"/>
    </row>
    <row r="369" spans="17:19">
      <c r="Q369" s="32"/>
      <c r="R369" s="32"/>
      <c r="S369" s="32"/>
    </row>
    <row r="370" spans="17:19">
      <c r="Q370" s="32"/>
      <c r="R370" s="32"/>
      <c r="S370" s="32"/>
    </row>
    <row r="371" spans="17:19">
      <c r="Q371" s="32"/>
      <c r="R371" s="32"/>
      <c r="S371" s="32"/>
    </row>
    <row r="372" spans="17:19">
      <c r="Q372" s="32"/>
      <c r="R372" s="32"/>
      <c r="S372" s="32"/>
    </row>
    <row r="373" spans="17:19">
      <c r="Q373" s="32"/>
      <c r="R373" s="32"/>
      <c r="S373" s="32"/>
    </row>
    <row r="374" spans="17:19">
      <c r="Q374" s="32"/>
      <c r="R374" s="32"/>
      <c r="S374" s="32"/>
    </row>
    <row r="375" spans="17:19">
      <c r="Q375" s="32"/>
      <c r="R375" s="32"/>
      <c r="S375" s="32"/>
    </row>
    <row r="376" spans="17:19">
      <c r="Q376" s="32"/>
      <c r="R376" s="32"/>
      <c r="S376" s="32"/>
    </row>
    <row r="377" spans="17:19">
      <c r="Q377" s="32"/>
      <c r="R377" s="32"/>
      <c r="S377" s="32"/>
    </row>
    <row r="378" spans="17:19">
      <c r="Q378" s="32"/>
      <c r="R378" s="32"/>
      <c r="S378" s="32"/>
    </row>
    <row r="379" spans="17:19">
      <c r="Q379" s="32"/>
      <c r="R379" s="32"/>
      <c r="S379" s="32"/>
    </row>
    <row r="380" spans="17:19">
      <c r="Q380" s="32"/>
      <c r="R380" s="32"/>
      <c r="S380" s="32"/>
    </row>
    <row r="381" spans="17:19">
      <c r="Q381" s="32"/>
      <c r="R381" s="32"/>
      <c r="S381" s="32"/>
    </row>
    <row r="382" spans="17:19">
      <c r="Q382" s="32"/>
      <c r="R382" s="32"/>
      <c r="S382" s="32"/>
    </row>
    <row r="383" spans="17:19">
      <c r="Q383" s="32"/>
      <c r="R383" s="32"/>
      <c r="S383" s="32"/>
    </row>
    <row r="384" spans="17:19">
      <c r="Q384" s="32"/>
      <c r="R384" s="32"/>
      <c r="S384" s="32"/>
    </row>
    <row r="385" spans="17:19">
      <c r="Q385" s="32"/>
      <c r="R385" s="32"/>
      <c r="S385" s="32"/>
    </row>
    <row r="386" spans="17:19">
      <c r="Q386" s="32"/>
      <c r="R386" s="32"/>
      <c r="S386" s="32"/>
    </row>
    <row r="387" spans="17:19">
      <c r="Q387" s="32"/>
      <c r="R387" s="32"/>
      <c r="S387" s="32"/>
    </row>
    <row r="388" spans="17:19">
      <c r="Q388" s="32"/>
      <c r="R388" s="32"/>
      <c r="S388" s="32"/>
    </row>
    <row r="389" spans="17:19">
      <c r="Q389" s="32"/>
      <c r="R389" s="32"/>
      <c r="S389" s="32"/>
    </row>
    <row r="390" spans="17:19">
      <c r="Q390" s="32"/>
      <c r="R390" s="32"/>
      <c r="S390" s="32"/>
    </row>
    <row r="391" spans="17:19">
      <c r="Q391" s="32"/>
      <c r="R391" s="32"/>
      <c r="S391" s="32"/>
    </row>
    <row r="392" spans="17:19">
      <c r="Q392" s="32"/>
      <c r="R392" s="32"/>
      <c r="S392" s="32"/>
    </row>
    <row r="393" spans="17:19">
      <c r="Q393" s="32"/>
      <c r="R393" s="32"/>
      <c r="S393" s="32"/>
    </row>
    <row r="394" spans="17:19">
      <c r="Q394" s="32"/>
      <c r="R394" s="32"/>
      <c r="S394" s="32"/>
    </row>
    <row r="395" spans="17:19">
      <c r="Q395" s="32"/>
      <c r="R395" s="32"/>
      <c r="S395" s="32"/>
    </row>
    <row r="396" spans="17:19">
      <c r="Q396" s="32"/>
      <c r="R396" s="32"/>
      <c r="S396" s="32"/>
    </row>
    <row r="397" spans="17:19">
      <c r="Q397" s="32"/>
      <c r="R397" s="32"/>
      <c r="S397" s="32"/>
    </row>
    <row r="398" spans="17:19">
      <c r="Q398" s="32"/>
      <c r="R398" s="32"/>
      <c r="S398" s="32"/>
    </row>
    <row r="399" spans="17:19">
      <c r="Q399" s="32"/>
      <c r="R399" s="32"/>
      <c r="S399" s="32"/>
    </row>
    <row r="400" spans="17:19">
      <c r="Q400" s="32"/>
      <c r="R400" s="32"/>
      <c r="S400" s="32"/>
    </row>
    <row r="401" spans="17:19">
      <c r="Q401" s="32"/>
      <c r="R401" s="32"/>
      <c r="S401" s="32"/>
    </row>
    <row r="402" spans="17:19">
      <c r="Q402" s="32"/>
      <c r="R402" s="32"/>
      <c r="S402" s="32"/>
    </row>
    <row r="403" spans="17:19">
      <c r="Q403" s="32"/>
      <c r="R403" s="32"/>
      <c r="S403" s="32"/>
    </row>
    <row r="404" spans="17:19">
      <c r="Q404" s="32"/>
      <c r="R404" s="32"/>
      <c r="S404" s="32"/>
    </row>
    <row r="405" spans="17:19">
      <c r="Q405" s="32"/>
      <c r="R405" s="32"/>
      <c r="S405" s="32"/>
    </row>
    <row r="406" spans="17:19">
      <c r="Q406" s="32"/>
      <c r="R406" s="32"/>
      <c r="S406" s="32"/>
    </row>
    <row r="407" spans="17:19">
      <c r="Q407" s="32"/>
      <c r="R407" s="32"/>
      <c r="S407" s="32"/>
    </row>
    <row r="408" spans="17:19">
      <c r="Q408" s="32"/>
      <c r="R408" s="32"/>
      <c r="S408" s="32"/>
    </row>
    <row r="409" spans="17:19">
      <c r="Q409" s="32"/>
      <c r="R409" s="32"/>
      <c r="S409" s="32"/>
    </row>
    <row r="410" spans="17:19">
      <c r="Q410" s="32"/>
      <c r="R410" s="32"/>
      <c r="S410" s="32"/>
    </row>
    <row r="411" spans="17:19">
      <c r="Q411" s="32"/>
      <c r="R411" s="32"/>
      <c r="S411" s="32"/>
    </row>
    <row r="412" spans="17:19">
      <c r="Q412" s="32"/>
      <c r="R412" s="32"/>
      <c r="S412" s="32"/>
    </row>
    <row r="413" spans="17:19">
      <c r="Q413" s="32"/>
      <c r="R413" s="32"/>
      <c r="S413" s="32"/>
    </row>
    <row r="414" spans="17:19">
      <c r="Q414" s="32"/>
      <c r="R414" s="32"/>
      <c r="S414" s="32"/>
    </row>
    <row r="415" spans="17:19">
      <c r="Q415" s="32"/>
      <c r="R415" s="32"/>
      <c r="S415" s="32"/>
    </row>
    <row r="416" spans="17:19">
      <c r="Q416" s="32"/>
      <c r="R416" s="32"/>
      <c r="S416" s="32"/>
    </row>
    <row r="417" spans="17:19">
      <c r="Q417" s="32"/>
      <c r="R417" s="32"/>
      <c r="S417" s="32"/>
    </row>
    <row r="418" spans="17:19">
      <c r="Q418" s="32"/>
      <c r="R418" s="32"/>
      <c r="S418" s="32"/>
    </row>
    <row r="419" spans="17:19">
      <c r="Q419" s="32"/>
      <c r="R419" s="32"/>
      <c r="S419" s="32"/>
    </row>
    <row r="420" spans="17:19">
      <c r="Q420" s="32"/>
      <c r="R420" s="32"/>
      <c r="S420" s="32"/>
    </row>
    <row r="421" spans="17:19">
      <c r="Q421" s="32"/>
      <c r="R421" s="32"/>
      <c r="S421" s="32"/>
    </row>
    <row r="422" spans="17:19">
      <c r="Q422" s="32"/>
      <c r="R422" s="32"/>
      <c r="S422" s="32"/>
    </row>
    <row r="423" spans="17:19">
      <c r="Q423" s="32"/>
      <c r="R423" s="32"/>
      <c r="S423" s="32"/>
    </row>
    <row r="424" spans="17:19">
      <c r="Q424" s="32"/>
      <c r="R424" s="32"/>
      <c r="S424" s="32"/>
    </row>
    <row r="425" spans="17:19">
      <c r="Q425" s="32"/>
      <c r="R425" s="32"/>
      <c r="S425" s="32"/>
    </row>
    <row r="426" spans="17:19">
      <c r="Q426" s="32"/>
      <c r="R426" s="32"/>
      <c r="S426" s="32"/>
    </row>
    <row r="427" spans="17:19">
      <c r="Q427" s="32"/>
      <c r="R427" s="32"/>
      <c r="S427" s="32"/>
    </row>
    <row r="428" spans="17:19">
      <c r="Q428" s="32"/>
      <c r="R428" s="32"/>
      <c r="S428" s="32"/>
    </row>
    <row r="429" spans="17:19">
      <c r="Q429" s="32"/>
      <c r="R429" s="32"/>
      <c r="S429" s="32"/>
    </row>
    <row r="430" spans="17:19">
      <c r="Q430" s="32"/>
      <c r="R430" s="32"/>
      <c r="S430" s="32"/>
    </row>
    <row r="431" spans="17:19">
      <c r="Q431" s="32"/>
      <c r="R431" s="32"/>
      <c r="S431" s="32"/>
    </row>
    <row r="432" spans="17:19">
      <c r="Q432" s="32"/>
      <c r="R432" s="32"/>
      <c r="S432" s="32"/>
    </row>
    <row r="433" spans="17:19">
      <c r="Q433" s="32"/>
      <c r="R433" s="32"/>
      <c r="S433" s="32"/>
    </row>
    <row r="434" spans="17:19">
      <c r="Q434" s="32"/>
      <c r="R434" s="32"/>
      <c r="S434" s="32"/>
    </row>
    <row r="435" spans="17:19">
      <c r="Q435" s="32"/>
      <c r="R435" s="32"/>
      <c r="S435" s="32"/>
    </row>
    <row r="436" spans="17:19">
      <c r="Q436" s="32"/>
      <c r="R436" s="32"/>
      <c r="S436" s="32"/>
    </row>
    <row r="437" spans="17:19">
      <c r="Q437" s="32"/>
      <c r="R437" s="32"/>
      <c r="S437" s="32"/>
    </row>
    <row r="438" spans="17:19">
      <c r="Q438" s="32"/>
      <c r="R438" s="32"/>
      <c r="S438" s="32"/>
    </row>
    <row r="439" spans="17:19">
      <c r="Q439" s="32"/>
      <c r="R439" s="32"/>
      <c r="S439" s="32"/>
    </row>
    <row r="440" spans="17:19">
      <c r="Q440" s="32"/>
      <c r="R440" s="32"/>
      <c r="S440" s="32"/>
    </row>
    <row r="441" spans="17:19">
      <c r="Q441" s="32"/>
      <c r="R441" s="32"/>
      <c r="S441" s="32"/>
    </row>
    <row r="442" spans="17:19">
      <c r="Q442" s="32"/>
      <c r="R442" s="32"/>
      <c r="S442" s="32"/>
    </row>
    <row r="443" spans="17:19">
      <c r="Q443" s="32"/>
      <c r="R443" s="32"/>
      <c r="S443" s="32"/>
    </row>
    <row r="444" spans="17:19">
      <c r="Q444" s="32"/>
      <c r="R444" s="32"/>
      <c r="S444" s="32"/>
    </row>
    <row r="445" spans="17:19">
      <c r="Q445" s="32"/>
      <c r="R445" s="32"/>
      <c r="S445" s="32"/>
    </row>
    <row r="446" spans="17:19">
      <c r="Q446" s="32"/>
      <c r="R446" s="32"/>
      <c r="S446" s="32"/>
    </row>
    <row r="447" spans="17:19">
      <c r="Q447" s="32"/>
      <c r="R447" s="32"/>
      <c r="S447" s="32"/>
    </row>
    <row r="448" spans="17:19">
      <c r="Q448" s="32"/>
      <c r="R448" s="32"/>
      <c r="S448" s="32"/>
    </row>
    <row r="449" spans="17:19">
      <c r="Q449" s="32"/>
      <c r="R449" s="32"/>
      <c r="S449" s="32"/>
    </row>
    <row r="450" spans="17:19">
      <c r="Q450" s="32"/>
      <c r="R450" s="32"/>
      <c r="S450" s="32"/>
    </row>
    <row r="451" spans="17:19">
      <c r="Q451" s="32"/>
      <c r="R451" s="32"/>
      <c r="S451" s="32"/>
    </row>
    <row r="452" spans="17:19">
      <c r="Q452" s="32"/>
      <c r="R452" s="32"/>
      <c r="S452" s="32"/>
    </row>
    <row r="453" spans="17:19">
      <c r="Q453" s="32"/>
      <c r="R453" s="32"/>
      <c r="S453" s="32"/>
    </row>
    <row r="454" spans="17:19">
      <c r="Q454" s="32"/>
      <c r="R454" s="32"/>
      <c r="S454" s="32"/>
    </row>
    <row r="455" spans="17:19">
      <c r="Q455" s="32"/>
      <c r="R455" s="32"/>
      <c r="S455" s="32"/>
    </row>
    <row r="456" spans="17:19">
      <c r="Q456" s="32"/>
      <c r="R456" s="32"/>
      <c r="S456" s="32"/>
    </row>
    <row r="457" spans="17:19">
      <c r="Q457" s="32"/>
      <c r="R457" s="32"/>
      <c r="S457" s="32"/>
    </row>
    <row r="458" spans="17:19">
      <c r="Q458" s="32"/>
      <c r="R458" s="32"/>
      <c r="S458" s="32"/>
    </row>
    <row r="459" spans="17:19">
      <c r="Q459" s="32"/>
      <c r="R459" s="32"/>
      <c r="S459" s="32"/>
    </row>
    <row r="460" spans="17:19">
      <c r="Q460" s="32"/>
      <c r="R460" s="32"/>
      <c r="S460" s="32"/>
    </row>
    <row r="461" spans="17:19">
      <c r="Q461" s="32"/>
      <c r="R461" s="32"/>
      <c r="S461" s="32"/>
    </row>
    <row r="462" spans="17:19">
      <c r="Q462" s="32"/>
      <c r="R462" s="32"/>
      <c r="S462" s="32"/>
    </row>
    <row r="463" spans="17:19">
      <c r="Q463" s="32"/>
      <c r="R463" s="32"/>
      <c r="S463" s="32"/>
    </row>
    <row r="464" spans="17:19">
      <c r="Q464" s="32"/>
      <c r="R464" s="32"/>
      <c r="S464" s="32"/>
    </row>
  </sheetData>
  <mergeCells count="1">
    <mergeCell ref="D1:AI1"/>
  </mergeCells>
  <phoneticPr fontId="0" type="noConversion"/>
  <conditionalFormatting sqref="H2:J2 AC2:AH2">
    <cfRule type="cellIs" dxfId="11" priority="1" stopIfTrue="1" operator="equal">
      <formula>$B$4</formula>
    </cfRule>
  </conditionalFormatting>
  <conditionalFormatting sqref="Q2:S2 Q465:S65536 O2:P203 K204:P65536 N3:N203 K2:N2 Z2:AB65536 W2:Y2 T2:V65536">
    <cfRule type="cellIs" dxfId="10" priority="2" stopIfTrue="1" operator="lessThan">
      <formula>0</formula>
    </cfRule>
  </conditionalFormatting>
  <conditionalFormatting sqref="R3:S464 Q4:Q464">
    <cfRule type="cellIs" dxfId="9" priority="5" stopIfTrue="1" operator="lessThan">
      <formula>0</formula>
    </cfRule>
    <cfRule type="expression" dxfId="8" priority="6" stopIfTrue="1">
      <formula>AND(Q3&gt;0,Q3&lt;=$U3)</formula>
    </cfRule>
  </conditionalFormatting>
  <conditionalFormatting sqref="M3:M203 K4:L203">
    <cfRule type="cellIs" dxfId="7" priority="7" stopIfTrue="1" operator="lessThan">
      <formula>0</formula>
    </cfRule>
    <cfRule type="expression" dxfId="6" priority="8" stopIfTrue="1">
      <formula>AND(K3&gt;0,K3&lt;=$O3)</formula>
    </cfRule>
  </conditionalFormatting>
  <conditionalFormatting sqref="K3:L3">
    <cfRule type="cellIs" dxfId="5" priority="9" stopIfTrue="1" operator="lessThan">
      <formula>0</formula>
    </cfRule>
    <cfRule type="expression" dxfId="4" priority="10" stopIfTrue="1">
      <formula>AND(K3&gt;0,K3&lt;=$O3)</formula>
    </cfRule>
  </conditionalFormatting>
  <conditionalFormatting sqref="Q3">
    <cfRule type="cellIs" dxfId="3" priority="11" stopIfTrue="1" operator="lessThan">
      <formula>0</formula>
    </cfRule>
    <cfRule type="expression" dxfId="2" priority="12" stopIfTrue="1">
      <formula>AND(Q3&gt;0,Q3&lt;=$U3)</formula>
    </cfRule>
  </conditionalFormatting>
  <conditionalFormatting sqref="W3:Y65536">
    <cfRule type="cellIs" dxfId="1" priority="13" stopIfTrue="1" operator="lessThan">
      <formula>0</formula>
    </cfRule>
    <cfRule type="expression" dxfId="0" priority="14" stopIfTrue="1">
      <formula>AND(W3&gt;0,W3&lt;=$AA3)</formula>
    </cfRule>
  </conditionalFormatting>
  <dataValidations count="1">
    <dataValidation allowBlank="1" showInputMessage="1" showErrorMessage="1" prompt="Don't delete this row.  It's OK to hide columns, change width or sort this sheet for easier printing." sqref="B2:AD2" xr:uid="{00000000-0002-0000-0400-000000000000}"/>
  </dataValidations>
  <printOptions horizontalCentered="1"/>
  <pageMargins left="0.25" right="0.25" top="1" bottom="1" header="0.5" footer="0.5"/>
  <pageSetup scale="98" fitToHeight="0" orientation="landscape" r:id="rId1"/>
  <headerFooter alignWithMargins="0">
    <oddFooter>&amp;LChief Referee
________________________
________________________&amp;CSide Referee
________________________
________________________&amp;RSide Referee
________________________
________________________</oddFooter>
  </headerFooter>
  <customProperties>
    <customPr name="DVSECTIONID" r:id="rId2"/>
  </customProperties>
  <webPublishItems count="1">
    <webPublishItem id="15892" divId="Single_Div_Excel_03_Webtest_15033" sourceType="range" sourceRef="C1:AI62" destinationFile="ftp://nextlifter.com/jpm75usafa/OnlineScoreBoard/GenericTest.htm" title=" Squat  1 - Refresh browser to update this page."/>
  </webPublishItem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AH104"/>
  <sheetViews>
    <sheetView showGridLines="0" showRowColHeaders="0" topLeftCell="G1" workbookViewId="0">
      <selection activeCell="R8" sqref="R8"/>
    </sheetView>
  </sheetViews>
  <sheetFormatPr defaultColWidth="9.140625" defaultRowHeight="13.15"/>
  <cols>
    <col min="1" max="1" width="9.140625" style="100" hidden="1" customWidth="1"/>
    <col min="2" max="2" width="17.7109375" style="101" hidden="1" customWidth="1"/>
    <col min="3" max="6" width="5.140625" style="100" hidden="1" customWidth="1"/>
    <col min="7" max="9" width="5.140625" style="100" customWidth="1"/>
    <col min="10" max="10" width="9.42578125" style="101" customWidth="1"/>
    <col min="11" max="11" width="33.85546875" style="100" customWidth="1"/>
    <col min="12" max="15" width="11.140625" style="100" customWidth="1"/>
    <col min="16" max="16" width="13.42578125" style="100" customWidth="1"/>
    <col min="17" max="18" width="9.140625" style="100"/>
    <col min="19" max="24" width="9.140625" style="101"/>
    <col min="25" max="25" width="10.42578125" style="101" customWidth="1"/>
    <col min="26" max="26" width="15.7109375" style="101" customWidth="1"/>
    <col min="27" max="27" width="10.28515625" style="101" customWidth="1"/>
    <col min="28" max="28" width="15.140625" style="101" customWidth="1"/>
    <col min="29" max="16384" width="9.140625" style="100"/>
  </cols>
  <sheetData>
    <row r="1" spans="1:34" ht="7.5" customHeight="1"/>
    <row r="2" spans="1:34" ht="45" customHeight="1">
      <c r="J2" s="347" t="str">
        <f>Setup!C2</f>
        <v>Contest Name</v>
      </c>
      <c r="K2" s="347"/>
      <c r="L2" s="347"/>
      <c r="M2" s="347"/>
      <c r="N2" s="347"/>
      <c r="O2" s="347"/>
      <c r="P2" s="347"/>
    </row>
    <row r="3" spans="1:34" ht="110.25" customHeight="1">
      <c r="B3" s="239"/>
      <c r="L3" s="151" t="s">
        <v>198</v>
      </c>
    </row>
    <row r="5" spans="1:34">
      <c r="A5" s="101" t="s">
        <v>17</v>
      </c>
      <c r="B5" s="101" t="s">
        <v>199</v>
      </c>
    </row>
    <row r="6" spans="1:34" s="104" customFormat="1" ht="36" customHeight="1">
      <c r="A6" s="102" t="e">
        <f ca="1">OFFSET(Setup!O6,MATCH(J6,INDIRECT(B6),0),0)</f>
        <v>#N/A</v>
      </c>
      <c r="B6" s="102" t="str">
        <f>CONCATENATE("Setup!P7:P",COUNTA(Setup!O:O)+4)</f>
        <v>Setup!P7:P13</v>
      </c>
      <c r="C6" s="100"/>
      <c r="D6" s="100"/>
      <c r="E6" s="100"/>
      <c r="F6" s="100"/>
      <c r="G6" s="100"/>
      <c r="H6" s="100"/>
      <c r="I6" s="100"/>
      <c r="J6" s="346" t="s">
        <v>200</v>
      </c>
      <c r="K6" s="346"/>
      <c r="L6" s="346"/>
      <c r="M6" s="346"/>
      <c r="N6" s="346"/>
      <c r="O6" s="346"/>
      <c r="P6" s="103"/>
      <c r="R6" s="100"/>
      <c r="S6" s="101"/>
      <c r="T6" s="101"/>
      <c r="U6" s="101"/>
      <c r="V6" s="101"/>
      <c r="W6" s="101"/>
      <c r="X6" s="101"/>
      <c r="Y6" s="105"/>
      <c r="Z6" s="105"/>
      <c r="AA6" s="101"/>
      <c r="AB6" s="101"/>
      <c r="AC6" s="100"/>
      <c r="AD6" s="100"/>
    </row>
    <row r="7" spans="1:34" s="104" customFormat="1" ht="36" customHeight="1">
      <c r="A7" s="102" t="s">
        <v>201</v>
      </c>
      <c r="B7" s="102" t="e">
        <f ca="1">IF(LEFT(A6,1)="M","Setup!K9:K23","Setup!M9:M23")</f>
        <v>#N/A</v>
      </c>
      <c r="C7" s="100"/>
      <c r="D7" s="100"/>
      <c r="E7" s="100"/>
      <c r="F7" s="100"/>
      <c r="G7" s="100"/>
      <c r="H7" s="100"/>
      <c r="I7" s="100"/>
      <c r="J7" s="139">
        <v>48</v>
      </c>
      <c r="K7" s="106" t="str">
        <f>IF(J7="SHW","Class",IF(Setup!K6="BWt (Kg)","Kilo Class","Pound Class"))</f>
        <v>Kilo Class</v>
      </c>
      <c r="L7" s="345" t="s">
        <v>74</v>
      </c>
      <c r="M7" s="345"/>
      <c r="N7" s="345"/>
      <c r="O7" s="345"/>
      <c r="P7" s="103"/>
      <c r="R7" s="100"/>
      <c r="S7" s="101"/>
      <c r="T7" s="101"/>
      <c r="U7" s="101"/>
      <c r="V7" s="101"/>
      <c r="W7" s="101"/>
      <c r="X7" s="101"/>
      <c r="Y7" s="105"/>
      <c r="Z7" s="105"/>
      <c r="AA7" s="101"/>
      <c r="AB7" s="101"/>
      <c r="AC7" s="100"/>
      <c r="AD7" s="100"/>
    </row>
    <row r="8" spans="1:34" ht="5.25" customHeight="1">
      <c r="J8" s="107"/>
      <c r="K8" s="108"/>
      <c r="L8" s="108"/>
      <c r="M8" s="108"/>
      <c r="N8" s="108"/>
      <c r="O8" s="108"/>
      <c r="P8" s="108"/>
      <c r="Y8" s="105"/>
      <c r="Z8" s="105"/>
    </row>
    <row r="9" spans="1:34" s="104" customFormat="1" ht="36" customHeight="1">
      <c r="B9" s="101" t="e">
        <f ca="1">OFFSET(Setup!Q6,MATCH(J6,INDIRECT(B6),0),0)</f>
        <v>#N/A</v>
      </c>
      <c r="C9" s="100"/>
      <c r="D9" s="100"/>
      <c r="E9" s="100"/>
      <c r="F9" s="100"/>
      <c r="G9" s="100"/>
      <c r="H9" s="100"/>
      <c r="I9" s="100"/>
      <c r="J9" s="109" t="s">
        <v>12</v>
      </c>
      <c r="K9" s="110" t="s">
        <v>195</v>
      </c>
      <c r="L9" s="109"/>
      <c r="M9" s="109"/>
      <c r="N9" s="109"/>
      <c r="O9" s="109"/>
      <c r="P9" s="111" t="e">
        <f ca="1">IF(B9=1,"","Coeff-Score")</f>
        <v>#N/A</v>
      </c>
      <c r="R9" s="100"/>
      <c r="S9" s="101"/>
      <c r="T9" s="101"/>
      <c r="U9" s="101"/>
      <c r="V9" s="101"/>
      <c r="W9" s="101"/>
      <c r="X9" s="101"/>
      <c r="Y9" s="105"/>
      <c r="Z9" s="105"/>
      <c r="AA9" s="101"/>
      <c r="AB9" s="101"/>
      <c r="AC9" s="100"/>
      <c r="AD9" s="100"/>
      <c r="AH9" s="112"/>
    </row>
    <row r="10" spans="1:34" s="104" customFormat="1" ht="36" customHeight="1">
      <c r="B10" s="101" t="e">
        <f ca="1">CONCATENATE(J10,"-",$A$6,IF($B$9=1,CONCATENATE("-",IF($J$7="SHW",$J$7,ROUND($J$7,1))),""))</f>
        <v>#N/A</v>
      </c>
      <c r="C10" s="100"/>
      <c r="D10" s="100"/>
      <c r="E10" s="100"/>
      <c r="F10" s="100"/>
      <c r="G10" s="100"/>
      <c r="H10" s="100"/>
      <c r="I10" s="100"/>
      <c r="J10" s="109">
        <v>1</v>
      </c>
      <c r="K10" s="110" t="str">
        <f ca="1">IF(ISERROR(INDIRECT(CONCATENATE("Lifting!C",MATCH(B10,Lifting!$AF:$AF,0)))),"",INDIRECT(CONCATENATE("Lifting!C",MATCH(B10,Lifting!$AF:$AF,0))))</f>
        <v/>
      </c>
      <c r="L10" s="109" t="str">
        <f ca="1">IF(OR($L$7="Best Bench",$L$7="Best Deadlift",$L$7="Push Pull Total"),"",IF(K10="","",INDIRECT(CONCATENATE("Lifting!O",MATCH(B10,Lifting!$AF:$AF,0)))))</f>
        <v/>
      </c>
      <c r="M10" s="109" t="str">
        <f ca="1">IF(OR($L$7="Best Squat",$L$7="Best Deadlift"),"",IF(K10="","",INDIRECT(CONCATENATE("Lifting!U",MATCH(B10,Lifting!$AF:$AF,0)))))</f>
        <v/>
      </c>
      <c r="N10" s="109" t="str">
        <f ca="1">IF(OR($L$7="Best Bench",$L$7="Best Squat"),"",IF(K10="","",INDIRECT(CONCATENATE("Lifting!AA",MATCH(B10,Lifting!$AF:$AF,0)))))</f>
        <v/>
      </c>
      <c r="O10" s="109" t="str">
        <f ca="1">IF(OR($L$7="Best Bench",$L$7="Best Deadlift",$L$7="Best Deadlift"),"",IF(K10="","",INDIRECT(CONCATENATE("Lifting!AB",MATCH(B10,Lifting!$AF:$AF,0)))))</f>
        <v/>
      </c>
      <c r="P10" s="103" t="e">
        <f ca="1">IF(OR($B$9=1,K10=""),"",INDIRECT(CONCATENATE(CONCATENATE("Lifting!",IF($B$9=2,"AC","AD"),MATCH(B10,Lifting!$AF:$AF,0)))))</f>
        <v>#N/A</v>
      </c>
      <c r="R10" s="100"/>
      <c r="S10" s="101"/>
      <c r="T10" s="101"/>
      <c r="U10" s="101"/>
      <c r="V10" s="101"/>
      <c r="W10" s="101"/>
      <c r="X10" s="101"/>
      <c r="Y10" s="105"/>
      <c r="Z10" s="105"/>
      <c r="AA10" s="101"/>
      <c r="AB10" s="101"/>
      <c r="AC10" s="100"/>
      <c r="AD10" s="100"/>
      <c r="AH10" s="112"/>
    </row>
    <row r="11" spans="1:34" s="104" customFormat="1" ht="36" customHeight="1">
      <c r="B11" s="101" t="e">
        <f ca="1">CONCATENATE(J11,"-",$A$6,IF($B$9=1,CONCATENATE("-",IF($J$7="SHW",$J$7,ROUND($J$7,1))),""))</f>
        <v>#N/A</v>
      </c>
      <c r="C11" s="100"/>
      <c r="D11" s="100"/>
      <c r="E11" s="100"/>
      <c r="F11" s="100"/>
      <c r="G11" s="100"/>
      <c r="H11" s="100"/>
      <c r="I11" s="100"/>
      <c r="J11" s="109">
        <v>2</v>
      </c>
      <c r="K11" s="110" t="str">
        <f ca="1">IF(ISERROR(INDIRECT(CONCATENATE("Lifting!C",MATCH(B11,Lifting!$AF:$AF,0)))),"",INDIRECT(CONCATENATE("Lifting!C",MATCH(B11,Lifting!$AF:$AF,0))))</f>
        <v/>
      </c>
      <c r="L11" s="109" t="str">
        <f ca="1">IF(OR($L$7="Best Bench",$L$7="Best Deadlift",$L$7="Push Pull Total"),"",IF(K11="","",INDIRECT(CONCATENATE("Lifting!O",MATCH(B11,Lifting!$AF:$AF,0)))))</f>
        <v/>
      </c>
      <c r="M11" s="109" t="str">
        <f ca="1">IF(OR($L$7="Best Squat",$L$7="Best Deadlift"),"",IF(K11="","",INDIRECT(CONCATENATE("Lifting!U",MATCH(B11,Lifting!$AF:$AF,0)))))</f>
        <v/>
      </c>
      <c r="N11" s="109" t="str">
        <f ca="1">IF(OR($L$7="Best Bench",$L$7="Best Squat"),"",IF(K11="","",INDIRECT(CONCATENATE("Lifting!AA",MATCH(B11,Lifting!$AF:$AF,0)))))</f>
        <v/>
      </c>
      <c r="O11" s="109" t="str">
        <f ca="1">IF(OR($L$7="Best Bench",$L$7="Best Deadlift",$L$7="Best Deadlift"),"",IF(K11="","",INDIRECT(CONCATENATE("Lifting!AB",MATCH(B11,Lifting!$AF:$AF,0)))))</f>
        <v/>
      </c>
      <c r="P11" s="103" t="e">
        <f ca="1">IF(OR($B$9=1,K11=""),"",INDIRECT(CONCATENATE(CONCATENATE("Lifting!",IF($B$9=2,"AC","AD"),MATCH(B11,Lifting!$AF:$AF,0)))))</f>
        <v>#N/A</v>
      </c>
      <c r="R11" s="100"/>
      <c r="S11" s="101"/>
      <c r="T11" s="101"/>
      <c r="U11" s="101"/>
      <c r="V11" s="101"/>
      <c r="W11" s="101"/>
      <c r="X11" s="101"/>
      <c r="Y11" s="105"/>
      <c r="Z11" s="105"/>
      <c r="AA11" s="101"/>
      <c r="AB11" s="101"/>
      <c r="AC11" s="100"/>
      <c r="AD11" s="100"/>
      <c r="AH11" s="112"/>
    </row>
    <row r="12" spans="1:34" s="104" customFormat="1" ht="36" customHeight="1">
      <c r="B12" s="101" t="e">
        <f ca="1">CONCATENATE(J12,"-",$A$6,IF($B$9=1,CONCATENATE("-",IF($J$7="SHW",$J$7,ROUND($J$7,1))),""))</f>
        <v>#N/A</v>
      </c>
      <c r="C12" s="100"/>
      <c r="D12" s="100"/>
      <c r="E12" s="100"/>
      <c r="F12" s="100"/>
      <c r="G12" s="100"/>
      <c r="H12" s="100"/>
      <c r="I12" s="100"/>
      <c r="J12" s="109">
        <v>3</v>
      </c>
      <c r="K12" s="110" t="str">
        <f ca="1">IF(ISERROR(INDIRECT(CONCATENATE("Lifting!C",MATCH(B12,Lifting!$AF:$AF,0)))),"",INDIRECT(CONCATENATE("Lifting!C",MATCH(B12,Lifting!$AF:$AF,0))))</f>
        <v/>
      </c>
      <c r="L12" s="109" t="str">
        <f ca="1">IF(OR($L$7="Best Bench",$L$7="Best Deadlift",$L$7="Push Pull Total"),"",IF(K12="","",INDIRECT(CONCATENATE("Lifting!O",MATCH(B12,Lifting!$AF:$AF,0)))))</f>
        <v/>
      </c>
      <c r="M12" s="109" t="str">
        <f ca="1">IF(OR($L$7="Best Squat",$L$7="Best Deadlift"),"",IF(K12="","",INDIRECT(CONCATENATE("Lifting!U",MATCH(B12,Lifting!$AF:$AF,0)))))</f>
        <v/>
      </c>
      <c r="N12" s="109" t="str">
        <f ca="1">IF(OR($L$7="Best Bench",$L$7="Best Squat"),"",IF(K12="","",INDIRECT(CONCATENATE("Lifting!AA",MATCH(B12,Lifting!$AF:$AF,0)))))</f>
        <v/>
      </c>
      <c r="O12" s="109" t="str">
        <f ca="1">IF(OR($L$7="Best Bench",$L$7="Best Deadlift",$L$7="Best Deadlift"),"",IF(K12="","",INDIRECT(CONCATENATE("Lifting!AB",MATCH(B12,Lifting!$AF:$AF,0)))))</f>
        <v/>
      </c>
      <c r="P12" s="103" t="e">
        <f ca="1">IF(OR($B$9=1,K12=""),"",INDIRECT(CONCATENATE(CONCATENATE("Lifting!",IF($B$9=2,"AC","AD"),MATCH(B12,Lifting!$AF:$AF,0)))))</f>
        <v>#N/A</v>
      </c>
      <c r="R12" s="100"/>
      <c r="S12" s="101"/>
      <c r="T12" s="101"/>
      <c r="U12" s="101"/>
      <c r="V12" s="101"/>
      <c r="W12" s="101"/>
      <c r="X12" s="101"/>
      <c r="Y12" s="105"/>
      <c r="Z12" s="105"/>
      <c r="AA12" s="101"/>
      <c r="AB12" s="101"/>
      <c r="AC12" s="100"/>
      <c r="AD12" s="100"/>
      <c r="AH12" s="112"/>
    </row>
    <row r="13" spans="1:34" s="104" customFormat="1" ht="36" customHeight="1">
      <c r="B13" s="101" t="e">
        <f ca="1">CONCATENATE(J13,"-",$A$6,IF($B$9=1,CONCATENATE("-",IF($J$7="SHW",$J$7,ROUND($J$7,1))),""))</f>
        <v>#N/A</v>
      </c>
      <c r="C13" s="100"/>
      <c r="D13" s="100"/>
      <c r="E13" s="100"/>
      <c r="F13" s="100"/>
      <c r="G13" s="100"/>
      <c r="H13" s="100"/>
      <c r="I13" s="100"/>
      <c r="J13" s="109">
        <v>4</v>
      </c>
      <c r="K13" s="110" t="str">
        <f ca="1">IF(ISERROR(INDIRECT(CONCATENATE("Lifting!C",MATCH(B13,Lifting!$AF:$AF,0)))),"",INDIRECT(CONCATENATE("Lifting!C",MATCH(B13,Lifting!$AF:$AF,0))))</f>
        <v/>
      </c>
      <c r="L13" s="109" t="str">
        <f ca="1">IF(OR($L$7="Best Bench",$L$7="Best Deadlift",$L$7="Push Pull Total"),"",IF(K13="","",INDIRECT(CONCATENATE("Lifting!O",MATCH(B13,Lifting!$AF:$AF,0)))))</f>
        <v/>
      </c>
      <c r="M13" s="109" t="str">
        <f ca="1">IF(OR($L$7="Best Squat",$L$7="Best Deadlift"),"",IF(K13="","",INDIRECT(CONCATENATE("Lifting!U",MATCH(B13,Lifting!$AF:$AF,0)))))</f>
        <v/>
      </c>
      <c r="N13" s="109" t="str">
        <f ca="1">IF(OR($L$7="Best Bench",$L$7="Best Squat"),"",IF(K13="","",INDIRECT(CONCATENATE("Lifting!AA",MATCH(B13,Lifting!$AF:$AF,0)))))</f>
        <v/>
      </c>
      <c r="O13" s="109" t="str">
        <f ca="1">IF(OR($L$7="Best Bench",$L$7="Best Deadlift",$L$7="Best Deadlift"),"",IF(K13="","",INDIRECT(CONCATENATE("Lifting!AB",MATCH(B13,Lifting!$AF:$AF,0)))))</f>
        <v/>
      </c>
      <c r="P13" s="103" t="e">
        <f ca="1">IF(OR($B$9=1,K13=""),"",INDIRECT(CONCATENATE(CONCATENATE("Lifting!",IF($B$9=2,"AC","AD"),MATCH(B13,Lifting!$AF:$AF,0)))))</f>
        <v>#N/A</v>
      </c>
      <c r="R13" s="100"/>
      <c r="S13" s="101"/>
      <c r="T13" s="101"/>
      <c r="U13" s="101"/>
      <c r="V13" s="101"/>
      <c r="W13" s="101"/>
      <c r="X13" s="101"/>
      <c r="Y13" s="105"/>
      <c r="Z13" s="105"/>
      <c r="AA13" s="101"/>
      <c r="AB13" s="101"/>
      <c r="AC13" s="100"/>
      <c r="AD13" s="100"/>
      <c r="AH13" s="112"/>
    </row>
    <row r="14" spans="1:34" s="104" customFormat="1" ht="36" customHeight="1">
      <c r="B14" s="101" t="e">
        <f ca="1">CONCATENATE(J14,"-",$A$6,IF($B$9=1,CONCATENATE("-",IF($J$7="SHW",$J$7,ROUND($J$7,1))),""))</f>
        <v>#N/A</v>
      </c>
      <c r="C14" s="100"/>
      <c r="D14" s="100"/>
      <c r="E14" s="100"/>
      <c r="F14" s="100"/>
      <c r="G14" s="100"/>
      <c r="H14" s="100"/>
      <c r="I14" s="100"/>
      <c r="J14" s="109">
        <v>5</v>
      </c>
      <c r="K14" s="110" t="str">
        <f ca="1">IF(ISERROR(INDIRECT(CONCATENATE("Lifting!C",MATCH(B14,Lifting!$AF:$AF,0)))),"",INDIRECT(CONCATENATE("Lifting!C",MATCH(B14,Lifting!$AF:$AF,0))))</f>
        <v/>
      </c>
      <c r="L14" s="109" t="str">
        <f ca="1">IF(OR($L$7="Best Bench",$L$7="Best Deadlift",$L$7="Push Pull Total"),"",IF(K14="","",INDIRECT(CONCATENATE("Lifting!O",MATCH(B14,Lifting!$AF:$AF,0)))))</f>
        <v/>
      </c>
      <c r="M14" s="109" t="str">
        <f ca="1">IF(OR($L$7="Best Squat",$L$7="Best Deadlift"),"",IF(K14="","",INDIRECT(CONCATENATE("Lifting!U",MATCH(B14,Lifting!$AF:$AF,0)))))</f>
        <v/>
      </c>
      <c r="N14" s="109" t="str">
        <f ca="1">IF(OR($L$7="Best Bench",$L$7="Best Squat"),"",IF(K14="","",INDIRECT(CONCATENATE("Lifting!AA",MATCH(B14,Lifting!$AF:$AF,0)))))</f>
        <v/>
      </c>
      <c r="O14" s="109" t="str">
        <f ca="1">IF(OR($L$7="Best Bench",$L$7="Best Deadlift",$L$7="Best Deadlift"),"",IF(K14="","",INDIRECT(CONCATENATE("Lifting!AB",MATCH(B14,Lifting!$AF:$AF,0)))))</f>
        <v/>
      </c>
      <c r="P14" s="103" t="e">
        <f ca="1">IF(OR($B$9=1,K14=""),"",INDIRECT(CONCATENATE(CONCATENATE("Lifting!",IF($B$9=2,"AC","AD"),MATCH(B14,Lifting!$AF:$AF,0)))))</f>
        <v>#N/A</v>
      </c>
      <c r="R14" s="100"/>
      <c r="S14" s="101"/>
      <c r="T14" s="101"/>
      <c r="U14" s="101"/>
      <c r="V14" s="101"/>
      <c r="W14" s="101"/>
      <c r="X14" s="101"/>
      <c r="Y14" s="105"/>
      <c r="Z14" s="105"/>
      <c r="AA14" s="101"/>
      <c r="AB14" s="101"/>
      <c r="AC14" s="100"/>
      <c r="AD14" s="100"/>
      <c r="AH14" s="112"/>
    </row>
    <row r="15" spans="1:34" s="104" customFormat="1" ht="36" customHeight="1">
      <c r="B15" s="101"/>
      <c r="C15" s="100"/>
      <c r="D15" s="100"/>
      <c r="E15" s="100"/>
      <c r="F15" s="100"/>
      <c r="G15" s="100"/>
      <c r="H15" s="100"/>
      <c r="I15" s="100"/>
      <c r="J15" s="113"/>
      <c r="K15" s="114"/>
      <c r="L15" s="113"/>
      <c r="M15" s="113"/>
      <c r="N15" s="113"/>
      <c r="O15" s="113"/>
      <c r="P15" s="115"/>
      <c r="R15" s="100"/>
      <c r="S15" s="101"/>
      <c r="T15" s="101"/>
      <c r="U15" s="101"/>
      <c r="V15" s="101"/>
      <c r="W15" s="101"/>
      <c r="X15" s="101"/>
      <c r="Y15" s="105"/>
      <c r="Z15" s="105"/>
      <c r="AA15" s="101"/>
      <c r="AB15" s="101"/>
      <c r="AC15" s="100"/>
      <c r="AD15" s="100"/>
      <c r="AH15" s="112"/>
    </row>
    <row r="16" spans="1:34" s="104" customFormat="1" ht="36" customHeight="1">
      <c r="B16" s="101"/>
      <c r="C16" s="100"/>
      <c r="D16" s="100"/>
      <c r="E16" s="100"/>
      <c r="F16" s="100"/>
      <c r="G16" s="100"/>
      <c r="H16" s="100"/>
      <c r="I16" s="100"/>
      <c r="J16" s="113"/>
      <c r="K16" s="114"/>
      <c r="L16" s="113"/>
      <c r="M16" s="113"/>
      <c r="N16" s="113"/>
      <c r="O16" s="113"/>
      <c r="P16" s="115"/>
      <c r="R16" s="100"/>
      <c r="S16" s="101"/>
      <c r="T16" s="101"/>
      <c r="U16" s="101"/>
      <c r="V16" s="101"/>
      <c r="W16" s="101"/>
      <c r="X16" s="101"/>
      <c r="Y16" s="105"/>
      <c r="Z16" s="105"/>
      <c r="AA16" s="101"/>
      <c r="AB16" s="101"/>
      <c r="AC16" s="100"/>
      <c r="AD16" s="100"/>
    </row>
    <row r="17" spans="2:30" s="104" customFormat="1" ht="36" customHeight="1">
      <c r="B17" s="101"/>
      <c r="C17" s="100"/>
      <c r="D17" s="100"/>
      <c r="E17" s="100"/>
      <c r="F17" s="100"/>
      <c r="G17" s="100"/>
      <c r="H17" s="100"/>
      <c r="I17" s="100"/>
      <c r="J17" s="113"/>
      <c r="K17" s="114"/>
      <c r="L17" s="113"/>
      <c r="M17" s="113"/>
      <c r="N17" s="113"/>
      <c r="O17" s="113"/>
      <c r="P17" s="115"/>
      <c r="R17" s="100"/>
      <c r="S17" s="101"/>
      <c r="T17" s="101"/>
      <c r="U17" s="101"/>
      <c r="V17" s="101"/>
      <c r="W17" s="101"/>
      <c r="X17" s="101"/>
      <c r="Y17" s="105"/>
      <c r="Z17" s="105"/>
      <c r="AA17" s="101"/>
      <c r="AB17" s="101"/>
      <c r="AC17" s="100"/>
      <c r="AD17" s="100"/>
    </row>
    <row r="18" spans="2:30" s="104" customFormat="1" ht="36" customHeight="1">
      <c r="B18" s="101"/>
      <c r="C18" s="100"/>
      <c r="D18" s="100"/>
      <c r="E18" s="100"/>
      <c r="F18" s="100"/>
      <c r="G18" s="100"/>
      <c r="H18" s="100"/>
      <c r="I18" s="100"/>
      <c r="J18" s="113"/>
      <c r="K18" s="114"/>
      <c r="L18" s="113"/>
      <c r="M18" s="113"/>
      <c r="N18" s="113"/>
      <c r="O18" s="113"/>
      <c r="P18" s="115"/>
      <c r="R18" s="100"/>
      <c r="S18" s="101"/>
      <c r="T18" s="101"/>
      <c r="U18" s="101"/>
      <c r="V18" s="101"/>
      <c r="W18" s="101"/>
      <c r="X18" s="101"/>
      <c r="Y18" s="105"/>
      <c r="Z18" s="105"/>
      <c r="AA18" s="101"/>
      <c r="AB18" s="101"/>
      <c r="AC18" s="100"/>
      <c r="AD18" s="100"/>
    </row>
    <row r="19" spans="2:30" s="104" customFormat="1" ht="36" customHeight="1">
      <c r="B19" s="101"/>
      <c r="C19" s="100"/>
      <c r="D19" s="100"/>
      <c r="E19" s="100"/>
      <c r="F19" s="100"/>
      <c r="G19" s="100"/>
      <c r="H19" s="100"/>
      <c r="I19" s="100"/>
      <c r="J19" s="113"/>
      <c r="K19" s="114"/>
      <c r="L19" s="113"/>
      <c r="M19" s="113"/>
      <c r="N19" s="113"/>
      <c r="O19" s="113"/>
      <c r="P19" s="115"/>
      <c r="R19" s="100"/>
      <c r="S19" s="101"/>
      <c r="T19" s="101"/>
      <c r="U19" s="101"/>
      <c r="V19" s="101"/>
      <c r="W19" s="101"/>
      <c r="X19" s="101"/>
      <c r="Y19" s="105"/>
      <c r="Z19" s="105"/>
      <c r="AA19" s="101"/>
      <c r="AB19" s="101"/>
      <c r="AC19" s="100"/>
      <c r="AD19" s="100"/>
    </row>
    <row r="20" spans="2:30" s="104" customFormat="1" ht="36" customHeight="1">
      <c r="B20" s="101"/>
      <c r="C20" s="100"/>
      <c r="D20" s="100"/>
      <c r="E20" s="100"/>
      <c r="F20" s="100"/>
      <c r="G20" s="100"/>
      <c r="H20" s="100"/>
      <c r="I20" s="100"/>
      <c r="J20" s="113"/>
      <c r="K20" s="114"/>
      <c r="L20" s="113"/>
      <c r="M20" s="113"/>
      <c r="N20" s="113"/>
      <c r="O20" s="113"/>
      <c r="P20" s="115"/>
      <c r="R20" s="100"/>
      <c r="S20" s="101"/>
      <c r="T20" s="101"/>
      <c r="U20" s="101"/>
      <c r="V20" s="101"/>
      <c r="W20" s="101"/>
      <c r="X20" s="101"/>
      <c r="Y20" s="105"/>
      <c r="Z20" s="105"/>
      <c r="AA20" s="101"/>
      <c r="AB20" s="101"/>
      <c r="AC20" s="100"/>
      <c r="AD20" s="100"/>
    </row>
    <row r="21" spans="2:30" s="104" customFormat="1" ht="36" customHeight="1">
      <c r="B21" s="101"/>
      <c r="C21" s="100"/>
      <c r="D21" s="100"/>
      <c r="E21" s="100"/>
      <c r="F21" s="100"/>
      <c r="G21" s="100"/>
      <c r="H21" s="100"/>
      <c r="I21" s="100"/>
      <c r="J21" s="113"/>
      <c r="K21" s="114"/>
      <c r="L21" s="113"/>
      <c r="M21" s="113"/>
      <c r="N21" s="113"/>
      <c r="O21" s="113"/>
      <c r="P21" s="115"/>
      <c r="R21" s="100"/>
      <c r="S21" s="101"/>
      <c r="T21" s="101"/>
      <c r="U21" s="101"/>
      <c r="V21" s="101"/>
      <c r="W21" s="101"/>
      <c r="X21" s="101"/>
      <c r="Y21" s="105"/>
      <c r="Z21" s="105"/>
      <c r="AA21" s="101"/>
      <c r="AB21" s="101"/>
      <c r="AC21" s="100"/>
      <c r="AD21" s="100"/>
    </row>
    <row r="22" spans="2:30" s="104" customFormat="1" ht="36" customHeight="1">
      <c r="B22" s="101"/>
      <c r="C22" s="102"/>
      <c r="D22" s="102"/>
      <c r="E22" s="102"/>
      <c r="F22" s="102"/>
      <c r="G22" s="102"/>
      <c r="H22" s="102"/>
      <c r="I22" s="102"/>
      <c r="J22" s="113"/>
      <c r="K22" s="114"/>
      <c r="L22" s="113"/>
      <c r="M22" s="113"/>
      <c r="N22" s="113"/>
      <c r="O22" s="113"/>
      <c r="P22" s="115"/>
      <c r="R22" s="100"/>
      <c r="S22" s="101"/>
      <c r="T22" s="101"/>
      <c r="U22" s="101"/>
      <c r="V22" s="101"/>
      <c r="W22" s="101"/>
      <c r="X22" s="101"/>
      <c r="Y22" s="105"/>
      <c r="Z22" s="105"/>
      <c r="AA22" s="101"/>
      <c r="AB22" s="101"/>
      <c r="AC22" s="100"/>
      <c r="AD22" s="100"/>
    </row>
    <row r="23" spans="2:30" s="104" customFormat="1" ht="36" customHeight="1">
      <c r="B23" s="101"/>
      <c r="C23" s="102"/>
      <c r="D23" s="102"/>
      <c r="E23" s="102"/>
      <c r="F23" s="102"/>
      <c r="G23" s="102"/>
      <c r="H23" s="102"/>
      <c r="I23" s="102"/>
      <c r="J23" s="113"/>
      <c r="K23" s="114"/>
      <c r="L23" s="113"/>
      <c r="M23" s="113"/>
      <c r="N23" s="113"/>
      <c r="O23" s="113"/>
      <c r="P23" s="115"/>
      <c r="R23" s="100"/>
      <c r="S23" s="101"/>
      <c r="T23" s="101"/>
      <c r="U23" s="101"/>
      <c r="V23" s="101"/>
      <c r="W23" s="101"/>
      <c r="X23" s="101"/>
      <c r="Y23" s="105"/>
      <c r="Z23" s="105"/>
      <c r="AA23" s="101"/>
      <c r="AB23" s="101"/>
      <c r="AC23" s="100"/>
      <c r="AD23" s="100"/>
    </row>
    <row r="24" spans="2:30" s="104" customFormat="1" ht="36" customHeight="1">
      <c r="B24" s="101"/>
      <c r="C24" s="102"/>
      <c r="D24" s="102"/>
      <c r="E24" s="102"/>
      <c r="F24" s="102"/>
      <c r="G24" s="102"/>
      <c r="H24" s="102"/>
      <c r="I24" s="102"/>
      <c r="J24" s="113"/>
      <c r="K24" s="114"/>
      <c r="L24" s="113"/>
      <c r="M24" s="113"/>
      <c r="N24" s="113"/>
      <c r="O24" s="113"/>
      <c r="P24" s="115"/>
      <c r="R24" s="100"/>
      <c r="S24" s="101"/>
      <c r="T24" s="101"/>
      <c r="U24" s="101"/>
      <c r="V24" s="101"/>
      <c r="W24" s="101"/>
      <c r="X24" s="101"/>
      <c r="Y24" s="105"/>
      <c r="Z24" s="105"/>
      <c r="AA24" s="101"/>
      <c r="AB24" s="101"/>
      <c r="AC24" s="100"/>
      <c r="AD24" s="100"/>
    </row>
    <row r="25" spans="2:30" s="104" customFormat="1" ht="36" customHeight="1">
      <c r="B25" s="101"/>
      <c r="C25" s="102"/>
      <c r="D25" s="102"/>
      <c r="E25" s="102"/>
      <c r="F25" s="102"/>
      <c r="G25" s="102"/>
      <c r="H25" s="102"/>
      <c r="I25" s="102"/>
      <c r="J25" s="113"/>
      <c r="K25" s="114"/>
      <c r="L25" s="113"/>
      <c r="M25" s="113"/>
      <c r="N25" s="113"/>
      <c r="O25" s="113"/>
      <c r="P25" s="115"/>
      <c r="R25" s="100"/>
      <c r="S25" s="101"/>
      <c r="T25" s="101"/>
      <c r="U25" s="101"/>
      <c r="V25" s="101"/>
      <c r="W25" s="101"/>
      <c r="X25" s="101"/>
      <c r="Y25" s="105"/>
      <c r="Z25" s="105"/>
      <c r="AA25" s="101"/>
      <c r="AB25" s="101"/>
      <c r="AC25" s="100"/>
      <c r="AD25" s="100"/>
    </row>
    <row r="26" spans="2:30" s="104" customFormat="1" ht="36" customHeight="1">
      <c r="B26" s="101"/>
      <c r="C26" s="102"/>
      <c r="D26" s="102"/>
      <c r="E26" s="102"/>
      <c r="F26" s="102"/>
      <c r="G26" s="102"/>
      <c r="H26" s="102"/>
      <c r="I26" s="102"/>
      <c r="J26" s="113"/>
      <c r="K26" s="114"/>
      <c r="L26" s="113"/>
      <c r="M26" s="113"/>
      <c r="N26" s="113"/>
      <c r="O26" s="113"/>
      <c r="P26" s="115"/>
      <c r="R26" s="100"/>
      <c r="S26" s="101"/>
      <c r="T26" s="101"/>
      <c r="U26" s="101"/>
      <c r="V26" s="101"/>
      <c r="W26" s="101"/>
      <c r="X26" s="101"/>
      <c r="Y26" s="105"/>
      <c r="Z26" s="105"/>
      <c r="AA26" s="101"/>
      <c r="AB26" s="101"/>
      <c r="AC26" s="100"/>
      <c r="AD26" s="100"/>
    </row>
    <row r="27" spans="2:30" s="104" customFormat="1" ht="36" customHeight="1">
      <c r="B27" s="101"/>
      <c r="C27" s="102"/>
      <c r="D27" s="102"/>
      <c r="E27" s="102"/>
      <c r="F27" s="102"/>
      <c r="G27" s="102"/>
      <c r="H27" s="102"/>
      <c r="I27" s="102"/>
      <c r="J27" s="113"/>
      <c r="K27" s="114"/>
      <c r="L27" s="113"/>
      <c r="M27" s="113"/>
      <c r="N27" s="113"/>
      <c r="O27" s="113"/>
      <c r="P27" s="115"/>
      <c r="R27" s="100"/>
      <c r="S27" s="101"/>
      <c r="T27" s="101"/>
      <c r="U27" s="101"/>
      <c r="V27" s="101"/>
      <c r="W27" s="101"/>
      <c r="X27" s="101"/>
      <c r="Y27" s="105"/>
      <c r="Z27" s="105"/>
      <c r="AA27" s="101"/>
      <c r="AB27" s="101"/>
      <c r="AC27" s="100"/>
      <c r="AD27" s="100"/>
    </row>
    <row r="28" spans="2:30" s="104" customFormat="1" ht="36" customHeight="1">
      <c r="B28" s="101"/>
      <c r="C28" s="102"/>
      <c r="D28" s="102"/>
      <c r="E28" s="102"/>
      <c r="F28" s="102"/>
      <c r="G28" s="102"/>
      <c r="H28" s="102"/>
      <c r="I28" s="102"/>
      <c r="J28" s="113"/>
      <c r="K28" s="114"/>
      <c r="L28" s="113"/>
      <c r="M28" s="113"/>
      <c r="N28" s="113"/>
      <c r="O28" s="113"/>
      <c r="P28" s="115"/>
      <c r="R28" s="100"/>
      <c r="S28" s="101"/>
      <c r="T28" s="101"/>
      <c r="U28" s="101"/>
      <c r="V28" s="101"/>
      <c r="W28" s="101"/>
      <c r="X28" s="101"/>
      <c r="Y28" s="105"/>
      <c r="Z28" s="105"/>
      <c r="AA28" s="101"/>
      <c r="AB28" s="101"/>
      <c r="AC28" s="100"/>
      <c r="AD28" s="100"/>
    </row>
    <row r="29" spans="2:30" s="104" customFormat="1" ht="36" customHeight="1">
      <c r="B29" s="101"/>
      <c r="C29" s="102"/>
      <c r="D29" s="102"/>
      <c r="E29" s="102"/>
      <c r="F29" s="102"/>
      <c r="G29" s="102"/>
      <c r="H29" s="102"/>
      <c r="I29" s="102"/>
      <c r="J29" s="113"/>
      <c r="K29" s="114"/>
      <c r="L29" s="113"/>
      <c r="M29" s="113"/>
      <c r="N29" s="113"/>
      <c r="O29" s="113"/>
      <c r="P29" s="115"/>
      <c r="R29" s="100"/>
      <c r="S29" s="101"/>
      <c r="T29" s="101"/>
      <c r="U29" s="101"/>
      <c r="V29" s="101"/>
      <c r="W29" s="101"/>
      <c r="X29" s="101"/>
      <c r="Y29" s="105"/>
      <c r="Z29" s="105"/>
      <c r="AA29" s="101"/>
      <c r="AB29" s="101"/>
      <c r="AC29" s="100"/>
      <c r="AD29" s="100"/>
    </row>
    <row r="30" spans="2:30">
      <c r="Y30" s="105"/>
      <c r="Z30" s="105"/>
    </row>
    <row r="31" spans="2:30">
      <c r="Y31" s="105"/>
      <c r="Z31" s="105"/>
    </row>
    <row r="32" spans="2:30">
      <c r="Y32" s="105"/>
      <c r="Z32" s="105"/>
    </row>
    <row r="33" spans="25:26">
      <c r="Y33" s="105"/>
      <c r="Z33" s="105"/>
    </row>
    <row r="34" spans="25:26">
      <c r="Y34" s="105"/>
      <c r="Z34" s="105"/>
    </row>
    <row r="35" spans="25:26">
      <c r="Y35" s="105"/>
      <c r="Z35" s="105"/>
    </row>
    <row r="36" spans="25:26">
      <c r="Y36" s="105"/>
      <c r="Z36" s="105"/>
    </row>
    <row r="37" spans="25:26">
      <c r="Y37" s="105"/>
      <c r="Z37" s="105"/>
    </row>
    <row r="38" spans="25:26">
      <c r="Y38" s="105"/>
      <c r="Z38" s="105"/>
    </row>
    <row r="39" spans="25:26">
      <c r="Y39" s="105"/>
      <c r="Z39" s="105"/>
    </row>
    <row r="40" spans="25:26">
      <c r="Y40" s="105"/>
      <c r="Z40" s="105"/>
    </row>
    <row r="41" spans="25:26">
      <c r="Y41" s="105"/>
      <c r="Z41" s="105"/>
    </row>
    <row r="42" spans="25:26">
      <c r="Y42" s="105"/>
      <c r="Z42" s="105"/>
    </row>
    <row r="43" spans="25:26">
      <c r="Y43" s="105"/>
      <c r="Z43" s="105"/>
    </row>
    <row r="44" spans="25:26">
      <c r="Y44" s="105"/>
      <c r="Z44" s="105"/>
    </row>
    <row r="45" spans="25:26">
      <c r="Y45" s="105"/>
      <c r="Z45" s="105"/>
    </row>
    <row r="46" spans="25:26">
      <c r="Y46" s="105"/>
      <c r="Z46" s="105"/>
    </row>
    <row r="47" spans="25:26">
      <c r="Y47" s="105"/>
      <c r="Z47" s="105"/>
    </row>
    <row r="48" spans="25:26">
      <c r="Y48" s="105"/>
      <c r="Z48" s="105"/>
    </row>
    <row r="49" spans="25:26">
      <c r="Y49" s="105"/>
      <c r="Z49" s="105"/>
    </row>
    <row r="50" spans="25:26">
      <c r="Y50" s="105"/>
      <c r="Z50" s="105"/>
    </row>
    <row r="51" spans="25:26">
      <c r="Y51" s="105"/>
      <c r="Z51" s="105"/>
    </row>
    <row r="52" spans="25:26">
      <c r="Y52" s="105"/>
      <c r="Z52" s="105"/>
    </row>
    <row r="53" spans="25:26">
      <c r="Y53" s="105"/>
      <c r="Z53" s="105"/>
    </row>
    <row r="54" spans="25:26">
      <c r="Y54" s="105"/>
      <c r="Z54" s="105"/>
    </row>
    <row r="55" spans="25:26">
      <c r="Y55" s="105"/>
      <c r="Z55" s="105"/>
    </row>
    <row r="56" spans="25:26">
      <c r="Y56" s="105"/>
      <c r="Z56" s="105"/>
    </row>
    <row r="57" spans="25:26">
      <c r="Y57" s="105"/>
      <c r="Z57" s="105"/>
    </row>
    <row r="58" spans="25:26">
      <c r="Y58" s="105"/>
      <c r="Z58" s="105"/>
    </row>
    <row r="59" spans="25:26">
      <c r="Y59" s="105"/>
      <c r="Z59" s="105"/>
    </row>
    <row r="60" spans="25:26">
      <c r="Y60" s="105"/>
      <c r="Z60" s="105"/>
    </row>
    <row r="61" spans="25:26">
      <c r="Y61" s="105"/>
      <c r="Z61" s="105"/>
    </row>
    <row r="62" spans="25:26">
      <c r="Y62" s="105"/>
      <c r="Z62" s="105"/>
    </row>
    <row r="63" spans="25:26">
      <c r="Y63" s="105"/>
      <c r="Z63" s="105"/>
    </row>
    <row r="64" spans="25:26">
      <c r="Y64" s="105"/>
      <c r="Z64" s="105"/>
    </row>
    <row r="65" spans="25:26">
      <c r="Y65" s="105"/>
      <c r="Z65" s="105"/>
    </row>
    <row r="66" spans="25:26">
      <c r="Y66" s="105"/>
      <c r="Z66" s="105"/>
    </row>
    <row r="67" spans="25:26">
      <c r="Y67" s="105"/>
      <c r="Z67" s="105"/>
    </row>
    <row r="68" spans="25:26">
      <c r="Y68" s="105"/>
      <c r="Z68" s="105"/>
    </row>
    <row r="69" spans="25:26">
      <c r="Y69" s="105"/>
      <c r="Z69" s="105"/>
    </row>
    <row r="70" spans="25:26">
      <c r="Y70" s="105"/>
      <c r="Z70" s="105"/>
    </row>
    <row r="71" spans="25:26">
      <c r="Y71" s="105"/>
      <c r="Z71" s="105"/>
    </row>
    <row r="72" spans="25:26">
      <c r="Y72" s="105"/>
      <c r="Z72" s="105"/>
    </row>
    <row r="73" spans="25:26">
      <c r="Y73" s="105"/>
      <c r="Z73" s="105"/>
    </row>
    <row r="74" spans="25:26">
      <c r="Y74" s="105"/>
      <c r="Z74" s="105"/>
    </row>
    <row r="75" spans="25:26">
      <c r="Y75" s="105"/>
      <c r="Z75" s="105"/>
    </row>
    <row r="76" spans="25:26">
      <c r="Y76" s="105"/>
      <c r="Z76" s="105"/>
    </row>
    <row r="77" spans="25:26">
      <c r="Y77" s="105"/>
      <c r="Z77" s="105"/>
    </row>
    <row r="78" spans="25:26">
      <c r="Y78" s="105"/>
      <c r="Z78" s="105"/>
    </row>
    <row r="79" spans="25:26">
      <c r="Y79" s="105"/>
      <c r="Z79" s="105"/>
    </row>
    <row r="80" spans="25:26">
      <c r="Y80" s="105"/>
      <c r="Z80" s="105"/>
    </row>
    <row r="81" spans="25:26">
      <c r="Y81" s="105"/>
      <c r="Z81" s="105"/>
    </row>
    <row r="82" spans="25:26">
      <c r="Y82" s="105"/>
      <c r="Z82" s="105"/>
    </row>
    <row r="83" spans="25:26">
      <c r="Y83" s="105"/>
      <c r="Z83" s="105"/>
    </row>
    <row r="84" spans="25:26">
      <c r="Y84" s="105"/>
      <c r="Z84" s="105"/>
    </row>
    <row r="85" spans="25:26">
      <c r="Y85" s="105"/>
      <c r="Z85" s="105"/>
    </row>
    <row r="86" spans="25:26">
      <c r="Y86" s="105"/>
      <c r="Z86" s="105"/>
    </row>
    <row r="87" spans="25:26">
      <c r="Y87" s="105"/>
      <c r="Z87" s="105"/>
    </row>
    <row r="88" spans="25:26">
      <c r="Y88" s="105"/>
      <c r="Z88" s="105"/>
    </row>
    <row r="89" spans="25:26">
      <c r="Y89" s="105"/>
      <c r="Z89" s="105"/>
    </row>
    <row r="90" spans="25:26">
      <c r="Y90" s="105"/>
      <c r="Z90" s="105"/>
    </row>
    <row r="91" spans="25:26">
      <c r="Y91" s="105"/>
      <c r="Z91" s="105"/>
    </row>
    <row r="92" spans="25:26">
      <c r="Y92" s="105"/>
      <c r="Z92" s="105"/>
    </row>
    <row r="93" spans="25:26">
      <c r="Y93" s="105"/>
      <c r="Z93" s="105"/>
    </row>
    <row r="94" spans="25:26">
      <c r="Y94" s="105"/>
      <c r="Z94" s="105"/>
    </row>
    <row r="95" spans="25:26">
      <c r="Y95" s="105"/>
      <c r="Z95" s="105"/>
    </row>
    <row r="96" spans="25:26">
      <c r="Y96" s="105"/>
      <c r="Z96" s="105"/>
    </row>
    <row r="97" spans="25:26">
      <c r="Y97" s="105"/>
      <c r="Z97" s="105"/>
    </row>
    <row r="98" spans="25:26">
      <c r="Y98" s="105"/>
      <c r="Z98" s="105"/>
    </row>
    <row r="99" spans="25:26">
      <c r="Y99" s="105"/>
      <c r="Z99" s="105"/>
    </row>
    <row r="100" spans="25:26">
      <c r="Y100" s="105"/>
      <c r="Z100" s="105"/>
    </row>
    <row r="101" spans="25:26">
      <c r="Y101" s="105"/>
      <c r="Z101" s="105"/>
    </row>
    <row r="102" spans="25:26">
      <c r="Y102" s="105"/>
      <c r="Z102" s="105"/>
    </row>
    <row r="103" spans="25:26">
      <c r="Y103" s="105"/>
      <c r="Z103" s="105"/>
    </row>
    <row r="104" spans="25:26">
      <c r="Y104" s="105"/>
      <c r="Z104" s="105"/>
    </row>
  </sheetData>
  <mergeCells count="3">
    <mergeCell ref="L7:O7"/>
    <mergeCell ref="J6:O6"/>
    <mergeCell ref="J2:P2"/>
  </mergeCells>
  <phoneticPr fontId="0" type="noConversion"/>
  <dataValidations count="3">
    <dataValidation allowBlank="1" showInputMessage="1" showErrorMessage="1" prompt="Don't delete this row.  It's OK to hide columns, change width or sort this sheet for easier printing." sqref="B2" xr:uid="{00000000-0002-0000-0500-000000000000}"/>
    <dataValidation type="list" allowBlank="1" showInputMessage="1" showErrorMessage="1" promptTitle="Mens/Womens Weight Classes" prompt="Make a selection from the Division menu first so the program can choose the Men's or Women's weight classes." sqref="J7" xr:uid="{00000000-0002-0000-0500-000001000000}">
      <formula1>INDIRECT($B$7)</formula1>
    </dataValidation>
    <dataValidation type="list" allowBlank="1" showInputMessage="1" showErrorMessage="1" sqref="J6" xr:uid="{00000000-0002-0000-0500-000002000000}">
      <formula1>INDIRECT($B$6)</formula1>
    </dataValidation>
  </dataValidations>
  <pageMargins left="0.75" right="0.75" top="1" bottom="1" header="0.5" footer="0.5"/>
  <pageSetup orientation="portrait" r:id="rId1"/>
  <headerFooter alignWithMargins="0"/>
  <customProperties>
    <customPr name="DVSECTION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B2:N32"/>
  <sheetViews>
    <sheetView workbookViewId="0">
      <selection activeCell="B33" sqref="B33"/>
    </sheetView>
  </sheetViews>
  <sheetFormatPr defaultColWidth="8.85546875" defaultRowHeight="13.15"/>
  <sheetData>
    <row r="2" spans="2:14">
      <c r="B2" s="348" t="s">
        <v>202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</row>
    <row r="3" spans="2:14">
      <c r="B3" s="348" t="s">
        <v>203</v>
      </c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</row>
    <row r="4" spans="2:14">
      <c r="B4" s="348" t="s">
        <v>204</v>
      </c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348"/>
    </row>
    <row r="5" spans="2:14">
      <c r="B5" s="348"/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</row>
    <row r="6" spans="2:14">
      <c r="B6" s="348" t="s">
        <v>205</v>
      </c>
      <c r="C6" s="348"/>
      <c r="D6" s="348"/>
      <c r="E6" s="348"/>
      <c r="F6" s="348"/>
      <c r="G6" s="348"/>
      <c r="H6" s="348"/>
      <c r="I6" s="348"/>
      <c r="J6" s="348"/>
      <c r="K6" s="348"/>
      <c r="L6" s="348"/>
      <c r="M6" s="348"/>
      <c r="N6" s="348"/>
    </row>
    <row r="7" spans="2:14">
      <c r="B7" s="348" t="s">
        <v>206</v>
      </c>
      <c r="C7" s="348"/>
      <c r="D7" s="348"/>
      <c r="E7" s="348"/>
      <c r="F7" s="348"/>
      <c r="G7" s="348"/>
      <c r="H7" s="348"/>
      <c r="I7" s="348"/>
      <c r="J7" s="348"/>
      <c r="K7" s="348"/>
      <c r="L7" s="348"/>
      <c r="M7" s="348"/>
      <c r="N7" s="348"/>
    </row>
    <row r="8" spans="2:14"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</row>
    <row r="9" spans="2:14">
      <c r="B9" s="348" t="s">
        <v>207</v>
      </c>
      <c r="C9" s="348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</row>
    <row r="10" spans="2:14">
      <c r="B10" s="348" t="s">
        <v>208</v>
      </c>
      <c r="C10" s="348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</row>
    <row r="11" spans="2:14">
      <c r="B11" s="348" t="s">
        <v>209</v>
      </c>
      <c r="C11" s="348"/>
      <c r="D11" s="348"/>
      <c r="E11" s="348"/>
      <c r="F11" s="348"/>
      <c r="G11" s="348"/>
      <c r="H11" s="348"/>
      <c r="I11" s="348"/>
      <c r="J11" s="348"/>
      <c r="K11" s="348"/>
      <c r="L11" s="348"/>
      <c r="M11" s="348"/>
      <c r="N11" s="348"/>
    </row>
    <row r="12" spans="2:14">
      <c r="B12" s="348" t="s">
        <v>210</v>
      </c>
      <c r="C12" s="348"/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</row>
    <row r="13" spans="2:14">
      <c r="B13" s="348" t="s">
        <v>211</v>
      </c>
      <c r="C13" s="348"/>
      <c r="D13" s="348"/>
      <c r="E13" s="348"/>
      <c r="F13" s="348"/>
      <c r="G13" s="348"/>
      <c r="H13" s="348"/>
      <c r="I13" s="348"/>
      <c r="J13" s="348"/>
      <c r="K13" s="348"/>
      <c r="L13" s="348"/>
      <c r="M13" s="348"/>
      <c r="N13" s="348"/>
    </row>
    <row r="14" spans="2:14">
      <c r="B14" s="254"/>
    </row>
    <row r="15" spans="2:14">
      <c r="B15" s="254" t="s">
        <v>212</v>
      </c>
    </row>
    <row r="16" spans="2:14">
      <c r="B16" s="254"/>
    </row>
    <row r="17" spans="2:7">
      <c r="B17" s="254" t="s">
        <v>213</v>
      </c>
    </row>
    <row r="18" spans="2:7">
      <c r="B18" t="s">
        <v>214</v>
      </c>
    </row>
    <row r="20" spans="2:7">
      <c r="B20" t="s">
        <v>215</v>
      </c>
    </row>
    <row r="21" spans="2:7">
      <c r="B21" t="s">
        <v>216</v>
      </c>
      <c r="C21" s="8" t="s">
        <v>217</v>
      </c>
    </row>
    <row r="22" spans="2:7">
      <c r="B22" t="s">
        <v>218</v>
      </c>
      <c r="C22" s="8" t="s">
        <v>219</v>
      </c>
    </row>
    <row r="24" spans="2:7">
      <c r="B24" t="s">
        <v>220</v>
      </c>
    </row>
    <row r="25" spans="2:7">
      <c r="B25" t="s">
        <v>216</v>
      </c>
      <c r="C25" t="s">
        <v>221</v>
      </c>
    </row>
    <row r="26" spans="2:7">
      <c r="B26" t="s">
        <v>218</v>
      </c>
      <c r="C26" t="s">
        <v>222</v>
      </c>
    </row>
    <row r="27" spans="2:7">
      <c r="B27" t="s">
        <v>223</v>
      </c>
      <c r="C27" t="s">
        <v>224</v>
      </c>
    </row>
    <row r="28" spans="2:7">
      <c r="G28" s="254"/>
    </row>
    <row r="32" spans="2:7">
      <c r="B32">
        <f>5+10</f>
        <v>15</v>
      </c>
    </row>
  </sheetData>
  <mergeCells count="12">
    <mergeCell ref="B8:N8"/>
    <mergeCell ref="B9:N9"/>
    <mergeCell ref="B13:N13"/>
    <mergeCell ref="B10:N10"/>
    <mergeCell ref="B11:N11"/>
    <mergeCell ref="B12:N12"/>
    <mergeCell ref="B6:N6"/>
    <mergeCell ref="B7:N7"/>
    <mergeCell ref="B2:N2"/>
    <mergeCell ref="B3:N3"/>
    <mergeCell ref="B4:N4"/>
    <mergeCell ref="B5:N5"/>
  </mergeCells>
  <phoneticPr fontId="0" type="noConversion"/>
  <hyperlinks>
    <hyperlink ref="C21" r:id="rId1" xr:uid="{00000000-0004-0000-0600-000000000000}"/>
    <hyperlink ref="C22" r:id="rId2" xr:uid="{00000000-0004-0000-0600-000001000000}"/>
  </hyperlinks>
  <pageMargins left="0.75" right="0.75" top="1" bottom="1" header="0.5" footer="0.5"/>
  <headerFooter alignWithMargins="0"/>
  <customProperties>
    <customPr name="DVSECTION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pageSetUpPr fitToPage="1"/>
  </sheetPr>
  <dimension ref="A1:S400"/>
  <sheetViews>
    <sheetView showZeros="0" showOutlineSymbols="0" zoomScaleNormal="100" zoomScaleSheetLayoutView="100" workbookViewId="0">
      <pane ySplit="3" topLeftCell="A85" activePane="bottomLeft" state="frozen"/>
      <selection pane="bottomLeft" activeCell="T87" sqref="T87"/>
    </sheetView>
  </sheetViews>
  <sheetFormatPr defaultColWidth="9.140625" defaultRowHeight="12.75" customHeight="1"/>
  <cols>
    <col min="1" max="1" width="9.7109375" style="144" customWidth="1"/>
    <col min="2" max="2" width="4.7109375" style="146" customWidth="1"/>
    <col min="3" max="3" width="4.7109375" style="147" customWidth="1"/>
    <col min="4" max="4" width="4.7109375" style="146" customWidth="1"/>
    <col min="5" max="5" width="4.7109375" style="147" customWidth="1"/>
    <col min="6" max="6" width="4.7109375" style="146" customWidth="1"/>
    <col min="7" max="7" width="4.7109375" style="147" customWidth="1"/>
    <col min="8" max="8" width="4.7109375" style="146" customWidth="1"/>
    <col min="9" max="9" width="4.7109375" style="147" customWidth="1"/>
    <col min="10" max="10" width="4.7109375" style="146" customWidth="1"/>
    <col min="11" max="11" width="4.7109375" style="147" customWidth="1"/>
    <col min="12" max="12" width="4.7109375" style="146" customWidth="1"/>
    <col min="13" max="13" width="7.28515625" style="147" customWidth="1"/>
    <col min="14" max="19" width="9.140625" style="144" hidden="1" customWidth="1"/>
    <col min="20" max="20" width="9.140625" style="144" customWidth="1"/>
    <col min="21" max="16384" width="9.140625" style="144"/>
  </cols>
  <sheetData>
    <row r="1" spans="1:19" s="142" customFormat="1" ht="25.5" customHeight="1">
      <c r="A1" s="240" t="s">
        <v>225</v>
      </c>
      <c r="B1" s="241">
        <v>4</v>
      </c>
      <c r="C1" s="242">
        <v>12</v>
      </c>
      <c r="D1" s="241">
        <v>0</v>
      </c>
      <c r="E1" s="242">
        <v>2</v>
      </c>
      <c r="F1" s="241">
        <v>2</v>
      </c>
      <c r="G1" s="242">
        <v>2</v>
      </c>
      <c r="H1" s="241">
        <v>2</v>
      </c>
      <c r="I1" s="242">
        <v>2</v>
      </c>
      <c r="J1" s="241">
        <v>2</v>
      </c>
      <c r="K1" s="242">
        <v>2</v>
      </c>
      <c r="L1" s="241">
        <v>2</v>
      </c>
      <c r="M1" s="242" t="s">
        <v>226</v>
      </c>
      <c r="N1" s="141">
        <f>M2+B2*B1+C2*C1+D2*D1+E2*E1+F2*F1+G2*G1+H2*H1+I2*I1+J2*J1+K1*K2+L1*L2</f>
        <v>600</v>
      </c>
      <c r="O1" s="141"/>
    </row>
    <row r="2" spans="1:19" ht="12.75" customHeight="1">
      <c r="A2" s="243" t="s">
        <v>15</v>
      </c>
      <c r="B2" s="244">
        <f>IF($A$2="Kilos",50,110)</f>
        <v>50</v>
      </c>
      <c r="C2" s="174">
        <v>25</v>
      </c>
      <c r="D2" s="244">
        <v>20</v>
      </c>
      <c r="E2" s="174">
        <v>15</v>
      </c>
      <c r="F2" s="244">
        <v>10</v>
      </c>
      <c r="G2" s="174">
        <v>5</v>
      </c>
      <c r="H2" s="244">
        <v>2.5</v>
      </c>
      <c r="I2" s="174">
        <v>2</v>
      </c>
      <c r="J2" s="244">
        <v>1.5</v>
      </c>
      <c r="K2" s="174">
        <v>1</v>
      </c>
      <c r="L2" s="244">
        <v>0.5</v>
      </c>
      <c r="M2" s="245">
        <v>25</v>
      </c>
      <c r="N2" s="143" t="s">
        <v>227</v>
      </c>
      <c r="O2" s="143"/>
      <c r="Q2" s="144">
        <f>IF($A$2="Pounds",R2,S2)</f>
        <v>20</v>
      </c>
      <c r="R2" s="144">
        <v>45</v>
      </c>
      <c r="S2" s="144">
        <v>20</v>
      </c>
    </row>
    <row r="3" spans="1:19" ht="12.75" customHeight="1">
      <c r="A3" s="246" t="s">
        <v>228</v>
      </c>
      <c r="B3" s="244"/>
      <c r="C3" s="174"/>
      <c r="D3" s="244"/>
      <c r="E3" s="174"/>
      <c r="F3" s="244"/>
      <c r="G3" s="174"/>
      <c r="H3" s="244"/>
      <c r="I3" s="174"/>
      <c r="J3" s="244"/>
      <c r="K3" s="174"/>
      <c r="L3" s="244"/>
      <c r="M3" s="174" t="s">
        <v>229</v>
      </c>
      <c r="N3" s="143"/>
      <c r="O3" s="143" t="s">
        <v>230</v>
      </c>
      <c r="Q3" s="144">
        <f>IF($A$2="Pounds",R3,S3)</f>
        <v>22.5</v>
      </c>
      <c r="R3" s="144">
        <v>50</v>
      </c>
      <c r="S3" s="144">
        <v>22.5</v>
      </c>
    </row>
    <row r="4" spans="1:19" ht="12.75" customHeight="1">
      <c r="A4" s="246">
        <f>IF(O4+$M$2&gt;$N$1,0,O4+$M$2)</f>
        <v>25</v>
      </c>
      <c r="B4" s="244">
        <f t="shared" ref="B4:B67" si="0">IF(A4=0,0,MIN($B$1/2,INT(O4/(2*$B$2))))</f>
        <v>0</v>
      </c>
      <c r="C4" s="174">
        <f t="shared" ref="C4:C67" si="1">IF(A4=0,0,MIN($C$1/2,INT(($O4-2*$B4*$B$2)/(2*$C$2))))</f>
        <v>0</v>
      </c>
      <c r="D4" s="244">
        <f t="shared" ref="D4:D67" si="2">IF(A4=0,0,MIN($D$1/2,INT(($O4-2*$B4*$B$2-2*$C4*$C$2)/(2*$D$2))))</f>
        <v>0</v>
      </c>
      <c r="E4" s="174">
        <f t="shared" ref="E4:E67" si="3">IF(A4=0,0,MIN($E$1/2,INT(($O4-2*$B4*$B$2-2*$C4*$C$2-2*$D4*$D$2)/(2*$E$2))))</f>
        <v>0</v>
      </c>
      <c r="F4" s="244">
        <f t="shared" ref="F4:F67" si="4">IF(A4=0,0,MIN($F$1/2,INT(($O4-2*$B4*$B$2-2*$C4*$C$2-2*$D4*$D$2-2*$E4*$E$2)/(2*$F$2))))</f>
        <v>0</v>
      </c>
      <c r="G4" s="174">
        <f t="shared" ref="G4:G67" si="5">IF(A4=0,0,MIN($G$1/2,INT(($O4-2*$B4*$B$2-2*$C4*$C$2-2*$D4*$D$2-2*$E4*$E$2-2*$F4*$F$2)/(2*$G$2))))</f>
        <v>0</v>
      </c>
      <c r="H4" s="244">
        <f t="shared" ref="H4:H67" si="6">IF(A4=0,0,MIN($H$1/2,INT(($O4-2*$B4*$B$2-2*$C4*$C$2-2*$D4*$D$2-2*$E4*$E$2-2*$F4*$F$2-2*$G4*$G$2)/(2*$H$2))))</f>
        <v>0</v>
      </c>
      <c r="I4" s="174">
        <f t="shared" ref="I4:I67" si="7">IF(A4=0,0,MIN($I$1/2,INT(($O4-2*$B4*$B$2-2*$C4*$C$2-2*$D4*$D$2-2*$E4*$E$2-2*$F4*$F$2-2*$G4*$G$2-2*$H4*$H$2)/(2*$I$2))))</f>
        <v>0</v>
      </c>
      <c r="J4" s="244">
        <f t="shared" ref="J4:J67" si="8">IF(A4=0,0,MIN($J$1/2,INT(($O4-2*$B4*$B$2-2*$C4*$C$2-2*$D4*$D$2-2*$E4*$E$2-2*$F4*$F$2-2*$G4*$G$2-2*$H4*$H$2-2*$I4*$I$2)/(2*$J$2))))</f>
        <v>0</v>
      </c>
      <c r="K4" s="174">
        <f>IF(A4=0,0,MIN($K$1/2,INT(($O4-2*$B4*$B$2-2*$C4*$C$2-2*$D4*$D$2-2*$E4*$E$2-2*$F4*$F$2-2*$G4*$G$2-2*$H4*$H$2-2*$I4*$I$2-2*$J4*$J$2)/(2*$K$2))))</f>
        <v>0</v>
      </c>
      <c r="L4" s="244">
        <f>IF(A4=0,0,MIN($L$1/2,INT(($O4-2*$B4*$B$2-2*$C4*$C$2-2*$D4*$D$2-2*$E4*$E$2-2*$F4*$F$2-2*$G4*$G$2-2*$H4*$H$2-2*$I4*$I$2-2*$J4*$J$2-2*$K4*$K$2)/(2*$L$2))))</f>
        <v>0</v>
      </c>
      <c r="M4" s="174">
        <v>1</v>
      </c>
      <c r="N4" s="143">
        <v>0</v>
      </c>
      <c r="O4" s="145">
        <v>0</v>
      </c>
      <c r="P4" s="144" t="str">
        <f>IF($M$2+2*(B4*$B$2+C4*$C$2+D4*$D$2+E4*$E$2+F4*$F$2+G4*$G$2+H4*$H$2+I4*$I$2+J4*$J$2)=A4,"","Not enough weight for this load")</f>
        <v/>
      </c>
      <c r="Q4" s="144">
        <f>IF($A$2="Pounds",R4,S4)</f>
        <v>25</v>
      </c>
      <c r="R4" s="144">
        <v>55</v>
      </c>
      <c r="S4" s="144">
        <v>25</v>
      </c>
    </row>
    <row r="5" spans="1:19" ht="12.75" customHeight="1">
      <c r="A5" s="246">
        <v>26</v>
      </c>
      <c r="B5" s="244">
        <f t="shared" si="0"/>
        <v>0</v>
      </c>
      <c r="C5" s="174">
        <f t="shared" si="1"/>
        <v>0</v>
      </c>
      <c r="D5" s="244">
        <f t="shared" si="2"/>
        <v>0</v>
      </c>
      <c r="E5" s="174">
        <f t="shared" si="3"/>
        <v>0</v>
      </c>
      <c r="F5" s="244">
        <f t="shared" si="4"/>
        <v>0</v>
      </c>
      <c r="G5" s="174">
        <f t="shared" si="5"/>
        <v>0</v>
      </c>
      <c r="H5" s="244">
        <f t="shared" si="6"/>
        <v>0</v>
      </c>
      <c r="I5" s="174">
        <f t="shared" si="7"/>
        <v>0</v>
      </c>
      <c r="J5" s="244">
        <f t="shared" si="8"/>
        <v>0</v>
      </c>
      <c r="K5" s="174">
        <f t="shared" ref="K5:K68" si="9">IF(A5=0,0,MIN($J$1/2,INT(($O5-2*$B5*$B$2-2*$C5*$C$2-2*$D5*$D$2-2*$E5*$E$2-2*$F5*$F$2-2*$G5*$G$2-2*$H5*$H$2-2*$I5*$I$2-2*$J5*$J$2)/(2*$K$2))))</f>
        <v>0</v>
      </c>
      <c r="L5" s="244">
        <f t="shared" ref="L5:L68" si="10">IF(A5=0,0,MIN($L$1/2,INT(($O5-2*$B5*$B$2-2*$C5*$C$2-2*$D5*$D$2-2*$E5*$E$2-2*$F5*$F$2-2*$G5*$G$2-2*$H5*$H$2-2*$I5*$I$2-2*$J5*$J$2-2*$K5*$K$2)/(2*$L$2))))</f>
        <v>1</v>
      </c>
      <c r="M5" s="174">
        <v>1</v>
      </c>
      <c r="N5" s="143">
        <v>1</v>
      </c>
      <c r="O5" s="143">
        <f>IF($A$2="Pounds",5*N5,1*N5)</f>
        <v>1</v>
      </c>
      <c r="Q5" s="144">
        <f>IF($A$2="Pounds",R5,S5)</f>
        <v>30</v>
      </c>
      <c r="R5" s="144">
        <v>65</v>
      </c>
      <c r="S5" s="144">
        <v>30</v>
      </c>
    </row>
    <row r="6" spans="1:19" ht="12.75" customHeight="1">
      <c r="A6" s="246">
        <f t="shared" ref="A6:A68" si="11">IF(O6+$M$2&gt;$N$1,0,O6+$M$2)</f>
        <v>27</v>
      </c>
      <c r="B6" s="244">
        <f t="shared" si="0"/>
        <v>0</v>
      </c>
      <c r="C6" s="174">
        <f t="shared" si="1"/>
        <v>0</v>
      </c>
      <c r="D6" s="244">
        <f t="shared" si="2"/>
        <v>0</v>
      </c>
      <c r="E6" s="174">
        <f t="shared" si="3"/>
        <v>0</v>
      </c>
      <c r="F6" s="244">
        <f t="shared" si="4"/>
        <v>0</v>
      </c>
      <c r="G6" s="174">
        <f t="shared" si="5"/>
        <v>0</v>
      </c>
      <c r="H6" s="244">
        <f t="shared" si="6"/>
        <v>0</v>
      </c>
      <c r="I6" s="174">
        <f t="shared" si="7"/>
        <v>0</v>
      </c>
      <c r="J6" s="244">
        <f t="shared" si="8"/>
        <v>0</v>
      </c>
      <c r="K6" s="174">
        <f t="shared" si="9"/>
        <v>1</v>
      </c>
      <c r="L6" s="244">
        <f t="shared" si="10"/>
        <v>0</v>
      </c>
      <c r="M6" s="174">
        <v>1</v>
      </c>
      <c r="N6" s="143">
        <v>2</v>
      </c>
      <c r="O6" s="143">
        <f t="shared" ref="O6:O69" si="12">IF($A$2="Pounds",5*N6,1*N6)</f>
        <v>2</v>
      </c>
      <c r="Q6" s="144">
        <f>IF($A$2="Pounds",R6,S6)</f>
        <v>32.5</v>
      </c>
      <c r="R6" s="144">
        <v>70</v>
      </c>
      <c r="S6" s="144">
        <v>32.5</v>
      </c>
    </row>
    <row r="7" spans="1:19" ht="12.75" customHeight="1">
      <c r="A7" s="246">
        <f t="shared" si="11"/>
        <v>28</v>
      </c>
      <c r="B7" s="244">
        <f t="shared" si="0"/>
        <v>0</v>
      </c>
      <c r="C7" s="174">
        <f t="shared" si="1"/>
        <v>0</v>
      </c>
      <c r="D7" s="244">
        <f t="shared" si="2"/>
        <v>0</v>
      </c>
      <c r="E7" s="174">
        <f t="shared" si="3"/>
        <v>0</v>
      </c>
      <c r="F7" s="244">
        <f t="shared" si="4"/>
        <v>0</v>
      </c>
      <c r="G7" s="174">
        <f t="shared" si="5"/>
        <v>0</v>
      </c>
      <c r="H7" s="244">
        <f t="shared" si="6"/>
        <v>0</v>
      </c>
      <c r="I7" s="174">
        <f t="shared" si="7"/>
        <v>0</v>
      </c>
      <c r="J7" s="244">
        <f t="shared" si="8"/>
        <v>1</v>
      </c>
      <c r="K7" s="174">
        <f t="shared" si="9"/>
        <v>0</v>
      </c>
      <c r="L7" s="244">
        <f t="shared" si="10"/>
        <v>0</v>
      </c>
      <c r="M7" s="174">
        <v>1</v>
      </c>
      <c r="N7" s="143">
        <v>3</v>
      </c>
      <c r="O7" s="143">
        <f t="shared" si="12"/>
        <v>3</v>
      </c>
    </row>
    <row r="8" spans="1:19" ht="12.75" customHeight="1">
      <c r="A8" s="246">
        <f t="shared" si="11"/>
        <v>29</v>
      </c>
      <c r="B8" s="244">
        <f t="shared" si="0"/>
        <v>0</v>
      </c>
      <c r="C8" s="174">
        <f t="shared" si="1"/>
        <v>0</v>
      </c>
      <c r="D8" s="244">
        <f t="shared" si="2"/>
        <v>0</v>
      </c>
      <c r="E8" s="174">
        <f t="shared" si="3"/>
        <v>0</v>
      </c>
      <c r="F8" s="244">
        <f t="shared" si="4"/>
        <v>0</v>
      </c>
      <c r="G8" s="174">
        <f t="shared" si="5"/>
        <v>0</v>
      </c>
      <c r="H8" s="244">
        <f t="shared" si="6"/>
        <v>0</v>
      </c>
      <c r="I8" s="174">
        <f t="shared" si="7"/>
        <v>1</v>
      </c>
      <c r="J8" s="244">
        <f t="shared" si="8"/>
        <v>0</v>
      </c>
      <c r="K8" s="174">
        <f t="shared" si="9"/>
        <v>0</v>
      </c>
      <c r="L8" s="244">
        <f t="shared" si="10"/>
        <v>0</v>
      </c>
      <c r="M8" s="174">
        <v>1</v>
      </c>
      <c r="N8" s="143">
        <v>4</v>
      </c>
      <c r="O8" s="143">
        <f t="shared" si="12"/>
        <v>4</v>
      </c>
    </row>
    <row r="9" spans="1:19" ht="12.75" customHeight="1">
      <c r="A9" s="246">
        <f t="shared" si="11"/>
        <v>30</v>
      </c>
      <c r="B9" s="244">
        <f t="shared" si="0"/>
        <v>0</v>
      </c>
      <c r="C9" s="174">
        <f t="shared" si="1"/>
        <v>0</v>
      </c>
      <c r="D9" s="244">
        <f t="shared" si="2"/>
        <v>0</v>
      </c>
      <c r="E9" s="174">
        <f t="shared" si="3"/>
        <v>0</v>
      </c>
      <c r="F9" s="244">
        <f t="shared" si="4"/>
        <v>0</v>
      </c>
      <c r="G9" s="174">
        <f t="shared" si="5"/>
        <v>0</v>
      </c>
      <c r="H9" s="244">
        <f t="shared" si="6"/>
        <v>1</v>
      </c>
      <c r="I9" s="174">
        <f t="shared" si="7"/>
        <v>0</v>
      </c>
      <c r="J9" s="244">
        <f t="shared" si="8"/>
        <v>0</v>
      </c>
      <c r="K9" s="174">
        <f t="shared" si="9"/>
        <v>0</v>
      </c>
      <c r="L9" s="244">
        <f t="shared" si="10"/>
        <v>0</v>
      </c>
      <c r="M9" s="174">
        <v>1</v>
      </c>
      <c r="N9" s="143">
        <v>5</v>
      </c>
      <c r="O9" s="143">
        <f t="shared" si="12"/>
        <v>5</v>
      </c>
    </row>
    <row r="10" spans="1:19" ht="12.75" customHeight="1">
      <c r="A10" s="246">
        <f t="shared" si="11"/>
        <v>31</v>
      </c>
      <c r="B10" s="244">
        <f t="shared" si="0"/>
        <v>0</v>
      </c>
      <c r="C10" s="174">
        <f t="shared" si="1"/>
        <v>0</v>
      </c>
      <c r="D10" s="244">
        <f t="shared" si="2"/>
        <v>0</v>
      </c>
      <c r="E10" s="174">
        <f t="shared" si="3"/>
        <v>0</v>
      </c>
      <c r="F10" s="244">
        <f t="shared" si="4"/>
        <v>0</v>
      </c>
      <c r="G10" s="174">
        <f t="shared" si="5"/>
        <v>0</v>
      </c>
      <c r="H10" s="244">
        <f t="shared" si="6"/>
        <v>1</v>
      </c>
      <c r="I10" s="174">
        <f t="shared" si="7"/>
        <v>0</v>
      </c>
      <c r="J10" s="244">
        <f t="shared" si="8"/>
        <v>0</v>
      </c>
      <c r="K10" s="174">
        <f t="shared" si="9"/>
        <v>0</v>
      </c>
      <c r="L10" s="244">
        <f t="shared" si="10"/>
        <v>1</v>
      </c>
      <c r="M10" s="174">
        <v>1</v>
      </c>
      <c r="N10" s="143">
        <v>6</v>
      </c>
      <c r="O10" s="143">
        <f t="shared" si="12"/>
        <v>6</v>
      </c>
    </row>
    <row r="11" spans="1:19" ht="12.75" customHeight="1">
      <c r="A11" s="246">
        <f t="shared" si="11"/>
        <v>32</v>
      </c>
      <c r="B11" s="244">
        <f t="shared" si="0"/>
        <v>0</v>
      </c>
      <c r="C11" s="174">
        <f t="shared" si="1"/>
        <v>0</v>
      </c>
      <c r="D11" s="244">
        <f t="shared" si="2"/>
        <v>0</v>
      </c>
      <c r="E11" s="174">
        <f t="shared" si="3"/>
        <v>0</v>
      </c>
      <c r="F11" s="244">
        <f t="shared" si="4"/>
        <v>0</v>
      </c>
      <c r="G11" s="174">
        <f t="shared" si="5"/>
        <v>0</v>
      </c>
      <c r="H11" s="244">
        <f t="shared" si="6"/>
        <v>1</v>
      </c>
      <c r="I11" s="174">
        <f t="shared" si="7"/>
        <v>0</v>
      </c>
      <c r="J11" s="244">
        <f t="shared" si="8"/>
        <v>0</v>
      </c>
      <c r="K11" s="174">
        <f t="shared" si="9"/>
        <v>1</v>
      </c>
      <c r="L11" s="244">
        <f t="shared" si="10"/>
        <v>0</v>
      </c>
      <c r="M11" s="174">
        <v>1</v>
      </c>
      <c r="N11" s="143">
        <v>7</v>
      </c>
      <c r="O11" s="143">
        <f t="shared" si="12"/>
        <v>7</v>
      </c>
    </row>
    <row r="12" spans="1:19" ht="12.75" customHeight="1">
      <c r="A12" s="246">
        <f t="shared" si="11"/>
        <v>33</v>
      </c>
      <c r="B12" s="244">
        <f t="shared" si="0"/>
        <v>0</v>
      </c>
      <c r="C12" s="174">
        <f t="shared" si="1"/>
        <v>0</v>
      </c>
      <c r="D12" s="244">
        <f t="shared" si="2"/>
        <v>0</v>
      </c>
      <c r="E12" s="174">
        <f t="shared" si="3"/>
        <v>0</v>
      </c>
      <c r="F12" s="244">
        <f t="shared" si="4"/>
        <v>0</v>
      </c>
      <c r="G12" s="174">
        <f t="shared" si="5"/>
        <v>0</v>
      </c>
      <c r="H12" s="244">
        <f t="shared" si="6"/>
        <v>1</v>
      </c>
      <c r="I12" s="174">
        <f t="shared" si="7"/>
        <v>0</v>
      </c>
      <c r="J12" s="244">
        <f t="shared" si="8"/>
        <v>1</v>
      </c>
      <c r="K12" s="174">
        <f t="shared" si="9"/>
        <v>0</v>
      </c>
      <c r="L12" s="244">
        <f t="shared" si="10"/>
        <v>0</v>
      </c>
      <c r="M12" s="174">
        <v>1</v>
      </c>
      <c r="N12" s="143">
        <v>8</v>
      </c>
      <c r="O12" s="143">
        <f t="shared" si="12"/>
        <v>8</v>
      </c>
    </row>
    <row r="13" spans="1:19" ht="12.75" customHeight="1">
      <c r="A13" s="246">
        <f t="shared" si="11"/>
        <v>34</v>
      </c>
      <c r="B13" s="244">
        <f t="shared" si="0"/>
        <v>0</v>
      </c>
      <c r="C13" s="174">
        <f t="shared" si="1"/>
        <v>0</v>
      </c>
      <c r="D13" s="244">
        <f t="shared" si="2"/>
        <v>0</v>
      </c>
      <c r="E13" s="174">
        <f t="shared" si="3"/>
        <v>0</v>
      </c>
      <c r="F13" s="244">
        <f t="shared" si="4"/>
        <v>0</v>
      </c>
      <c r="G13" s="174">
        <f t="shared" si="5"/>
        <v>0</v>
      </c>
      <c r="H13" s="244">
        <f t="shared" si="6"/>
        <v>1</v>
      </c>
      <c r="I13" s="174">
        <f t="shared" si="7"/>
        <v>1</v>
      </c>
      <c r="J13" s="244">
        <f t="shared" si="8"/>
        <v>0</v>
      </c>
      <c r="K13" s="174">
        <f t="shared" si="9"/>
        <v>0</v>
      </c>
      <c r="L13" s="244">
        <f t="shared" si="10"/>
        <v>0</v>
      </c>
      <c r="M13" s="174">
        <v>1</v>
      </c>
      <c r="N13" s="143">
        <f t="shared" ref="N13:N76" si="13">N12+1</f>
        <v>9</v>
      </c>
      <c r="O13" s="143">
        <f t="shared" si="12"/>
        <v>9</v>
      </c>
    </row>
    <row r="14" spans="1:19" ht="12.75" customHeight="1">
      <c r="A14" s="246">
        <f t="shared" si="11"/>
        <v>35</v>
      </c>
      <c r="B14" s="244">
        <f t="shared" si="0"/>
        <v>0</v>
      </c>
      <c r="C14" s="174">
        <f t="shared" si="1"/>
        <v>0</v>
      </c>
      <c r="D14" s="244">
        <f t="shared" si="2"/>
        <v>0</v>
      </c>
      <c r="E14" s="174">
        <f t="shared" si="3"/>
        <v>0</v>
      </c>
      <c r="F14" s="244">
        <f t="shared" si="4"/>
        <v>0</v>
      </c>
      <c r="G14" s="174">
        <f t="shared" si="5"/>
        <v>1</v>
      </c>
      <c r="H14" s="244">
        <f t="shared" si="6"/>
        <v>0</v>
      </c>
      <c r="I14" s="174">
        <f t="shared" si="7"/>
        <v>0</v>
      </c>
      <c r="J14" s="244">
        <f t="shared" si="8"/>
        <v>0</v>
      </c>
      <c r="K14" s="174">
        <f t="shared" si="9"/>
        <v>0</v>
      </c>
      <c r="L14" s="244">
        <f t="shared" si="10"/>
        <v>0</v>
      </c>
      <c r="M14" s="174">
        <v>1</v>
      </c>
      <c r="N14" s="143">
        <f t="shared" si="13"/>
        <v>10</v>
      </c>
      <c r="O14" s="143">
        <f t="shared" si="12"/>
        <v>10</v>
      </c>
    </row>
    <row r="15" spans="1:19" ht="12.75" customHeight="1">
      <c r="A15" s="246">
        <f t="shared" si="11"/>
        <v>36</v>
      </c>
      <c r="B15" s="244">
        <f t="shared" si="0"/>
        <v>0</v>
      </c>
      <c r="C15" s="174">
        <f t="shared" si="1"/>
        <v>0</v>
      </c>
      <c r="D15" s="244">
        <f t="shared" si="2"/>
        <v>0</v>
      </c>
      <c r="E15" s="174">
        <f t="shared" si="3"/>
        <v>0</v>
      </c>
      <c r="F15" s="244">
        <f t="shared" si="4"/>
        <v>0</v>
      </c>
      <c r="G15" s="174">
        <f t="shared" si="5"/>
        <v>1</v>
      </c>
      <c r="H15" s="244">
        <f t="shared" si="6"/>
        <v>0</v>
      </c>
      <c r="I15" s="174">
        <f t="shared" si="7"/>
        <v>0</v>
      </c>
      <c r="J15" s="244">
        <f t="shared" si="8"/>
        <v>0</v>
      </c>
      <c r="K15" s="174">
        <f t="shared" si="9"/>
        <v>0</v>
      </c>
      <c r="L15" s="244">
        <f t="shared" si="10"/>
        <v>1</v>
      </c>
      <c r="M15" s="174">
        <v>1</v>
      </c>
      <c r="N15" s="143">
        <f t="shared" si="13"/>
        <v>11</v>
      </c>
      <c r="O15" s="143">
        <f t="shared" si="12"/>
        <v>11</v>
      </c>
    </row>
    <row r="16" spans="1:19" ht="12.75" customHeight="1">
      <c r="A16" s="246">
        <f t="shared" si="11"/>
        <v>37</v>
      </c>
      <c r="B16" s="244">
        <f t="shared" si="0"/>
        <v>0</v>
      </c>
      <c r="C16" s="174">
        <f t="shared" si="1"/>
        <v>0</v>
      </c>
      <c r="D16" s="244">
        <f t="shared" si="2"/>
        <v>0</v>
      </c>
      <c r="E16" s="174">
        <f t="shared" si="3"/>
        <v>0</v>
      </c>
      <c r="F16" s="244">
        <f t="shared" si="4"/>
        <v>0</v>
      </c>
      <c r="G16" s="174">
        <f t="shared" si="5"/>
        <v>1</v>
      </c>
      <c r="H16" s="244">
        <f t="shared" si="6"/>
        <v>0</v>
      </c>
      <c r="I16" s="174">
        <f t="shared" si="7"/>
        <v>0</v>
      </c>
      <c r="J16" s="244">
        <f t="shared" si="8"/>
        <v>0</v>
      </c>
      <c r="K16" s="174">
        <f t="shared" si="9"/>
        <v>1</v>
      </c>
      <c r="L16" s="244">
        <f t="shared" si="10"/>
        <v>0</v>
      </c>
      <c r="M16" s="174">
        <v>1</v>
      </c>
      <c r="N16" s="143">
        <f t="shared" si="13"/>
        <v>12</v>
      </c>
      <c r="O16" s="143">
        <f t="shared" si="12"/>
        <v>12</v>
      </c>
    </row>
    <row r="17" spans="1:15" ht="12.75" customHeight="1">
      <c r="A17" s="246">
        <f t="shared" si="11"/>
        <v>38</v>
      </c>
      <c r="B17" s="244">
        <f t="shared" si="0"/>
        <v>0</v>
      </c>
      <c r="C17" s="174">
        <f t="shared" si="1"/>
        <v>0</v>
      </c>
      <c r="D17" s="244">
        <f t="shared" si="2"/>
        <v>0</v>
      </c>
      <c r="E17" s="174">
        <f t="shared" si="3"/>
        <v>0</v>
      </c>
      <c r="F17" s="244">
        <f t="shared" si="4"/>
        <v>0</v>
      </c>
      <c r="G17" s="174">
        <f t="shared" si="5"/>
        <v>1</v>
      </c>
      <c r="H17" s="244">
        <f t="shared" si="6"/>
        <v>0</v>
      </c>
      <c r="I17" s="174">
        <f t="shared" si="7"/>
        <v>0</v>
      </c>
      <c r="J17" s="244">
        <f t="shared" si="8"/>
        <v>1</v>
      </c>
      <c r="K17" s="174">
        <f t="shared" si="9"/>
        <v>0</v>
      </c>
      <c r="L17" s="244">
        <f t="shared" si="10"/>
        <v>0</v>
      </c>
      <c r="M17" s="174">
        <v>1</v>
      </c>
      <c r="N17" s="143">
        <f t="shared" si="13"/>
        <v>13</v>
      </c>
      <c r="O17" s="143">
        <f t="shared" si="12"/>
        <v>13</v>
      </c>
    </row>
    <row r="18" spans="1:15" ht="12.75" customHeight="1">
      <c r="A18" s="246">
        <f t="shared" si="11"/>
        <v>39</v>
      </c>
      <c r="B18" s="244">
        <f t="shared" si="0"/>
        <v>0</v>
      </c>
      <c r="C18" s="174">
        <f t="shared" si="1"/>
        <v>0</v>
      </c>
      <c r="D18" s="244">
        <f t="shared" si="2"/>
        <v>0</v>
      </c>
      <c r="E18" s="174">
        <f t="shared" si="3"/>
        <v>0</v>
      </c>
      <c r="F18" s="244">
        <f t="shared" si="4"/>
        <v>0</v>
      </c>
      <c r="G18" s="174">
        <f t="shared" si="5"/>
        <v>1</v>
      </c>
      <c r="H18" s="244">
        <f t="shared" si="6"/>
        <v>0</v>
      </c>
      <c r="I18" s="174">
        <f t="shared" si="7"/>
        <v>1</v>
      </c>
      <c r="J18" s="244">
        <f t="shared" si="8"/>
        <v>0</v>
      </c>
      <c r="K18" s="174">
        <f t="shared" si="9"/>
        <v>0</v>
      </c>
      <c r="L18" s="244">
        <f t="shared" si="10"/>
        <v>0</v>
      </c>
      <c r="M18" s="174">
        <v>1</v>
      </c>
      <c r="N18" s="143">
        <f t="shared" si="13"/>
        <v>14</v>
      </c>
      <c r="O18" s="143">
        <f t="shared" si="12"/>
        <v>14</v>
      </c>
    </row>
    <row r="19" spans="1:15" ht="12.75" customHeight="1">
      <c r="A19" s="246">
        <f t="shared" si="11"/>
        <v>40</v>
      </c>
      <c r="B19" s="244">
        <f t="shared" si="0"/>
        <v>0</v>
      </c>
      <c r="C19" s="174">
        <f t="shared" si="1"/>
        <v>0</v>
      </c>
      <c r="D19" s="244">
        <f t="shared" si="2"/>
        <v>0</v>
      </c>
      <c r="E19" s="174">
        <f t="shared" si="3"/>
        <v>0</v>
      </c>
      <c r="F19" s="244">
        <f t="shared" si="4"/>
        <v>0</v>
      </c>
      <c r="G19" s="174">
        <f t="shared" si="5"/>
        <v>1</v>
      </c>
      <c r="H19" s="244">
        <f t="shared" si="6"/>
        <v>1</v>
      </c>
      <c r="I19" s="174">
        <f t="shared" si="7"/>
        <v>0</v>
      </c>
      <c r="J19" s="244">
        <f t="shared" si="8"/>
        <v>0</v>
      </c>
      <c r="K19" s="174">
        <f t="shared" si="9"/>
        <v>0</v>
      </c>
      <c r="L19" s="244">
        <f t="shared" si="10"/>
        <v>0</v>
      </c>
      <c r="M19" s="174">
        <v>1</v>
      </c>
      <c r="N19" s="143">
        <f t="shared" si="13"/>
        <v>15</v>
      </c>
      <c r="O19" s="143">
        <f t="shared" si="12"/>
        <v>15</v>
      </c>
    </row>
    <row r="20" spans="1:15" ht="12.75" customHeight="1">
      <c r="A20" s="246">
        <f t="shared" si="11"/>
        <v>41</v>
      </c>
      <c r="B20" s="244">
        <f t="shared" si="0"/>
        <v>0</v>
      </c>
      <c r="C20" s="174">
        <f t="shared" si="1"/>
        <v>0</v>
      </c>
      <c r="D20" s="244">
        <f t="shared" si="2"/>
        <v>0</v>
      </c>
      <c r="E20" s="174">
        <f t="shared" si="3"/>
        <v>0</v>
      </c>
      <c r="F20" s="244">
        <f t="shared" si="4"/>
        <v>0</v>
      </c>
      <c r="G20" s="174">
        <f t="shared" si="5"/>
        <v>1</v>
      </c>
      <c r="H20" s="244">
        <f t="shared" si="6"/>
        <v>1</v>
      </c>
      <c r="I20" s="174">
        <f t="shared" si="7"/>
        <v>0</v>
      </c>
      <c r="J20" s="244">
        <f t="shared" si="8"/>
        <v>0</v>
      </c>
      <c r="K20" s="174">
        <f t="shared" si="9"/>
        <v>0</v>
      </c>
      <c r="L20" s="244">
        <f t="shared" si="10"/>
        <v>1</v>
      </c>
      <c r="M20" s="174">
        <v>1</v>
      </c>
      <c r="N20" s="143">
        <f t="shared" si="13"/>
        <v>16</v>
      </c>
      <c r="O20" s="143">
        <f t="shared" si="12"/>
        <v>16</v>
      </c>
    </row>
    <row r="21" spans="1:15" ht="12.75" customHeight="1">
      <c r="A21" s="246">
        <f t="shared" si="11"/>
        <v>42</v>
      </c>
      <c r="B21" s="244">
        <f t="shared" si="0"/>
        <v>0</v>
      </c>
      <c r="C21" s="174">
        <f t="shared" si="1"/>
        <v>0</v>
      </c>
      <c r="D21" s="244">
        <f t="shared" si="2"/>
        <v>0</v>
      </c>
      <c r="E21" s="174">
        <f t="shared" si="3"/>
        <v>0</v>
      </c>
      <c r="F21" s="244">
        <f t="shared" si="4"/>
        <v>0</v>
      </c>
      <c r="G21" s="174">
        <f t="shared" si="5"/>
        <v>1</v>
      </c>
      <c r="H21" s="244">
        <f t="shared" si="6"/>
        <v>1</v>
      </c>
      <c r="I21" s="174">
        <f t="shared" si="7"/>
        <v>0</v>
      </c>
      <c r="J21" s="244">
        <f t="shared" si="8"/>
        <v>0</v>
      </c>
      <c r="K21" s="174">
        <f t="shared" si="9"/>
        <v>1</v>
      </c>
      <c r="L21" s="244">
        <f t="shared" si="10"/>
        <v>0</v>
      </c>
      <c r="M21" s="174">
        <v>1</v>
      </c>
      <c r="N21" s="143">
        <f t="shared" si="13"/>
        <v>17</v>
      </c>
      <c r="O21" s="143">
        <f t="shared" si="12"/>
        <v>17</v>
      </c>
    </row>
    <row r="22" spans="1:15" ht="12.75" customHeight="1">
      <c r="A22" s="246">
        <f t="shared" si="11"/>
        <v>43</v>
      </c>
      <c r="B22" s="244">
        <f t="shared" si="0"/>
        <v>0</v>
      </c>
      <c r="C22" s="174">
        <f t="shared" si="1"/>
        <v>0</v>
      </c>
      <c r="D22" s="244">
        <f t="shared" si="2"/>
        <v>0</v>
      </c>
      <c r="E22" s="174">
        <f t="shared" si="3"/>
        <v>0</v>
      </c>
      <c r="F22" s="244">
        <f t="shared" si="4"/>
        <v>0</v>
      </c>
      <c r="G22" s="174">
        <f t="shared" si="5"/>
        <v>1</v>
      </c>
      <c r="H22" s="244">
        <f t="shared" si="6"/>
        <v>1</v>
      </c>
      <c r="I22" s="174">
        <f t="shared" si="7"/>
        <v>0</v>
      </c>
      <c r="J22" s="244">
        <f t="shared" si="8"/>
        <v>1</v>
      </c>
      <c r="K22" s="174">
        <f t="shared" si="9"/>
        <v>0</v>
      </c>
      <c r="L22" s="244">
        <f t="shared" si="10"/>
        <v>0</v>
      </c>
      <c r="M22" s="174">
        <v>1</v>
      </c>
      <c r="N22" s="143">
        <f t="shared" si="13"/>
        <v>18</v>
      </c>
      <c r="O22" s="143">
        <f t="shared" si="12"/>
        <v>18</v>
      </c>
    </row>
    <row r="23" spans="1:15" ht="12.75" customHeight="1">
      <c r="A23" s="246">
        <f t="shared" si="11"/>
        <v>44</v>
      </c>
      <c r="B23" s="244">
        <f t="shared" si="0"/>
        <v>0</v>
      </c>
      <c r="C23" s="174">
        <f t="shared" si="1"/>
        <v>0</v>
      </c>
      <c r="D23" s="244">
        <f t="shared" si="2"/>
        <v>0</v>
      </c>
      <c r="E23" s="174">
        <f t="shared" si="3"/>
        <v>0</v>
      </c>
      <c r="F23" s="244">
        <f t="shared" si="4"/>
        <v>0</v>
      </c>
      <c r="G23" s="174">
        <f t="shared" si="5"/>
        <v>1</v>
      </c>
      <c r="H23" s="244">
        <f t="shared" si="6"/>
        <v>1</v>
      </c>
      <c r="I23" s="174">
        <f t="shared" si="7"/>
        <v>1</v>
      </c>
      <c r="J23" s="244">
        <f t="shared" si="8"/>
        <v>0</v>
      </c>
      <c r="K23" s="174">
        <f t="shared" si="9"/>
        <v>0</v>
      </c>
      <c r="L23" s="244">
        <f t="shared" si="10"/>
        <v>0</v>
      </c>
      <c r="M23" s="174">
        <v>1</v>
      </c>
      <c r="N23" s="143">
        <f t="shared" si="13"/>
        <v>19</v>
      </c>
      <c r="O23" s="143">
        <f t="shared" si="12"/>
        <v>19</v>
      </c>
    </row>
    <row r="24" spans="1:15" ht="12.75" customHeight="1">
      <c r="A24" s="246">
        <f t="shared" si="11"/>
        <v>45</v>
      </c>
      <c r="B24" s="244">
        <f t="shared" si="0"/>
        <v>0</v>
      </c>
      <c r="C24" s="174">
        <f t="shared" si="1"/>
        <v>0</v>
      </c>
      <c r="D24" s="244">
        <f t="shared" si="2"/>
        <v>0</v>
      </c>
      <c r="E24" s="174">
        <f t="shared" si="3"/>
        <v>0</v>
      </c>
      <c r="F24" s="244">
        <f t="shared" si="4"/>
        <v>1</v>
      </c>
      <c r="G24" s="174">
        <f t="shared" si="5"/>
        <v>0</v>
      </c>
      <c r="H24" s="244">
        <f t="shared" si="6"/>
        <v>0</v>
      </c>
      <c r="I24" s="174">
        <f t="shared" si="7"/>
        <v>0</v>
      </c>
      <c r="J24" s="244">
        <f t="shared" si="8"/>
        <v>0</v>
      </c>
      <c r="K24" s="174">
        <f t="shared" si="9"/>
        <v>0</v>
      </c>
      <c r="L24" s="244">
        <f t="shared" si="10"/>
        <v>0</v>
      </c>
      <c r="M24" s="174">
        <v>1</v>
      </c>
      <c r="N24" s="143">
        <f t="shared" si="13"/>
        <v>20</v>
      </c>
      <c r="O24" s="143">
        <f t="shared" si="12"/>
        <v>20</v>
      </c>
    </row>
    <row r="25" spans="1:15" ht="12.75" customHeight="1">
      <c r="A25" s="246">
        <f t="shared" si="11"/>
        <v>46</v>
      </c>
      <c r="B25" s="244">
        <f t="shared" si="0"/>
        <v>0</v>
      </c>
      <c r="C25" s="174">
        <f t="shared" si="1"/>
        <v>0</v>
      </c>
      <c r="D25" s="244">
        <f t="shared" si="2"/>
        <v>0</v>
      </c>
      <c r="E25" s="174">
        <f t="shared" si="3"/>
        <v>0</v>
      </c>
      <c r="F25" s="244">
        <f t="shared" si="4"/>
        <v>1</v>
      </c>
      <c r="G25" s="174">
        <f t="shared" si="5"/>
        <v>0</v>
      </c>
      <c r="H25" s="244">
        <f t="shared" si="6"/>
        <v>0</v>
      </c>
      <c r="I25" s="174">
        <f t="shared" si="7"/>
        <v>0</v>
      </c>
      <c r="J25" s="244">
        <f t="shared" si="8"/>
        <v>0</v>
      </c>
      <c r="K25" s="174">
        <f t="shared" si="9"/>
        <v>0</v>
      </c>
      <c r="L25" s="244">
        <f t="shared" si="10"/>
        <v>1</v>
      </c>
      <c r="M25" s="174">
        <v>1</v>
      </c>
      <c r="N25" s="143">
        <f t="shared" si="13"/>
        <v>21</v>
      </c>
      <c r="O25" s="143">
        <f t="shared" si="12"/>
        <v>21</v>
      </c>
    </row>
    <row r="26" spans="1:15" ht="12.75" customHeight="1">
      <c r="A26" s="246">
        <f t="shared" si="11"/>
        <v>47</v>
      </c>
      <c r="B26" s="244">
        <f t="shared" si="0"/>
        <v>0</v>
      </c>
      <c r="C26" s="174">
        <f t="shared" si="1"/>
        <v>0</v>
      </c>
      <c r="D26" s="244">
        <f t="shared" si="2"/>
        <v>0</v>
      </c>
      <c r="E26" s="174">
        <f t="shared" si="3"/>
        <v>0</v>
      </c>
      <c r="F26" s="244">
        <f t="shared" si="4"/>
        <v>1</v>
      </c>
      <c r="G26" s="174">
        <f t="shared" si="5"/>
        <v>0</v>
      </c>
      <c r="H26" s="244">
        <f t="shared" si="6"/>
        <v>0</v>
      </c>
      <c r="I26" s="174">
        <f t="shared" si="7"/>
        <v>0</v>
      </c>
      <c r="J26" s="244">
        <f t="shared" si="8"/>
        <v>0</v>
      </c>
      <c r="K26" s="174">
        <f t="shared" si="9"/>
        <v>1</v>
      </c>
      <c r="L26" s="244">
        <f t="shared" si="10"/>
        <v>0</v>
      </c>
      <c r="M26" s="174">
        <v>1</v>
      </c>
      <c r="N26" s="143">
        <f t="shared" si="13"/>
        <v>22</v>
      </c>
      <c r="O26" s="143">
        <f t="shared" si="12"/>
        <v>22</v>
      </c>
    </row>
    <row r="27" spans="1:15" ht="12.75" customHeight="1">
      <c r="A27" s="246">
        <f t="shared" si="11"/>
        <v>48</v>
      </c>
      <c r="B27" s="244">
        <f t="shared" si="0"/>
        <v>0</v>
      </c>
      <c r="C27" s="174">
        <f t="shared" si="1"/>
        <v>0</v>
      </c>
      <c r="D27" s="244">
        <f t="shared" si="2"/>
        <v>0</v>
      </c>
      <c r="E27" s="174">
        <f t="shared" si="3"/>
        <v>0</v>
      </c>
      <c r="F27" s="244">
        <f t="shared" si="4"/>
        <v>1</v>
      </c>
      <c r="G27" s="174">
        <f t="shared" si="5"/>
        <v>0</v>
      </c>
      <c r="H27" s="244">
        <f t="shared" si="6"/>
        <v>0</v>
      </c>
      <c r="I27" s="174">
        <f t="shared" si="7"/>
        <v>0</v>
      </c>
      <c r="J27" s="244">
        <f t="shared" si="8"/>
        <v>1</v>
      </c>
      <c r="K27" s="174">
        <f t="shared" si="9"/>
        <v>0</v>
      </c>
      <c r="L27" s="244">
        <f t="shared" si="10"/>
        <v>0</v>
      </c>
      <c r="M27" s="174">
        <v>1</v>
      </c>
      <c r="N27" s="143">
        <f t="shared" si="13"/>
        <v>23</v>
      </c>
      <c r="O27" s="143">
        <f t="shared" si="12"/>
        <v>23</v>
      </c>
    </row>
    <row r="28" spans="1:15" ht="12.75" customHeight="1">
      <c r="A28" s="246">
        <f t="shared" si="11"/>
        <v>49</v>
      </c>
      <c r="B28" s="244">
        <f t="shared" si="0"/>
        <v>0</v>
      </c>
      <c r="C28" s="174">
        <f t="shared" si="1"/>
        <v>0</v>
      </c>
      <c r="D28" s="244">
        <f t="shared" si="2"/>
        <v>0</v>
      </c>
      <c r="E28" s="174">
        <f t="shared" si="3"/>
        <v>0</v>
      </c>
      <c r="F28" s="244">
        <f t="shared" si="4"/>
        <v>1</v>
      </c>
      <c r="G28" s="174">
        <f t="shared" si="5"/>
        <v>0</v>
      </c>
      <c r="H28" s="244">
        <f t="shared" si="6"/>
        <v>0</v>
      </c>
      <c r="I28" s="174">
        <f t="shared" si="7"/>
        <v>1</v>
      </c>
      <c r="J28" s="244">
        <f t="shared" si="8"/>
        <v>0</v>
      </c>
      <c r="K28" s="174">
        <f t="shared" si="9"/>
        <v>0</v>
      </c>
      <c r="L28" s="244">
        <f t="shared" si="10"/>
        <v>0</v>
      </c>
      <c r="M28" s="174">
        <v>1</v>
      </c>
      <c r="N28" s="143">
        <f t="shared" si="13"/>
        <v>24</v>
      </c>
      <c r="O28" s="143">
        <f t="shared" si="12"/>
        <v>24</v>
      </c>
    </row>
    <row r="29" spans="1:15" ht="12.75" customHeight="1">
      <c r="A29" s="246">
        <f t="shared" si="11"/>
        <v>50</v>
      </c>
      <c r="B29" s="244">
        <f t="shared" si="0"/>
        <v>0</v>
      </c>
      <c r="C29" s="174">
        <f t="shared" si="1"/>
        <v>0</v>
      </c>
      <c r="D29" s="244">
        <f t="shared" si="2"/>
        <v>0</v>
      </c>
      <c r="E29" s="174">
        <f t="shared" si="3"/>
        <v>0</v>
      </c>
      <c r="F29" s="244">
        <f t="shared" si="4"/>
        <v>1</v>
      </c>
      <c r="G29" s="174">
        <f t="shared" si="5"/>
        <v>0</v>
      </c>
      <c r="H29" s="244">
        <f t="shared" si="6"/>
        <v>1</v>
      </c>
      <c r="I29" s="174">
        <f t="shared" si="7"/>
        <v>0</v>
      </c>
      <c r="J29" s="244">
        <f t="shared" si="8"/>
        <v>0</v>
      </c>
      <c r="K29" s="174">
        <f t="shared" si="9"/>
        <v>0</v>
      </c>
      <c r="L29" s="244">
        <f t="shared" si="10"/>
        <v>0</v>
      </c>
      <c r="M29" s="174">
        <v>1</v>
      </c>
      <c r="N29" s="143">
        <f t="shared" si="13"/>
        <v>25</v>
      </c>
      <c r="O29" s="143">
        <f t="shared" si="12"/>
        <v>25</v>
      </c>
    </row>
    <row r="30" spans="1:15" ht="12.75" customHeight="1">
      <c r="A30" s="246">
        <f t="shared" si="11"/>
        <v>51</v>
      </c>
      <c r="B30" s="244">
        <f t="shared" si="0"/>
        <v>0</v>
      </c>
      <c r="C30" s="174">
        <f t="shared" si="1"/>
        <v>0</v>
      </c>
      <c r="D30" s="244">
        <f t="shared" si="2"/>
        <v>0</v>
      </c>
      <c r="E30" s="174">
        <f t="shared" si="3"/>
        <v>0</v>
      </c>
      <c r="F30" s="244">
        <f t="shared" si="4"/>
        <v>1</v>
      </c>
      <c r="G30" s="174">
        <f t="shared" si="5"/>
        <v>0</v>
      </c>
      <c r="H30" s="244">
        <f t="shared" si="6"/>
        <v>1</v>
      </c>
      <c r="I30" s="174">
        <f t="shared" si="7"/>
        <v>0</v>
      </c>
      <c r="J30" s="244">
        <f t="shared" si="8"/>
        <v>0</v>
      </c>
      <c r="K30" s="174">
        <f t="shared" si="9"/>
        <v>0</v>
      </c>
      <c r="L30" s="244">
        <f t="shared" si="10"/>
        <v>1</v>
      </c>
      <c r="M30" s="174">
        <v>1</v>
      </c>
      <c r="N30" s="143">
        <f t="shared" si="13"/>
        <v>26</v>
      </c>
      <c r="O30" s="143">
        <f t="shared" si="12"/>
        <v>26</v>
      </c>
    </row>
    <row r="31" spans="1:15" ht="12.75" customHeight="1">
      <c r="A31" s="246">
        <f t="shared" si="11"/>
        <v>52</v>
      </c>
      <c r="B31" s="244">
        <f t="shared" si="0"/>
        <v>0</v>
      </c>
      <c r="C31" s="174">
        <f t="shared" si="1"/>
        <v>0</v>
      </c>
      <c r="D31" s="244">
        <f t="shared" si="2"/>
        <v>0</v>
      </c>
      <c r="E31" s="174">
        <f t="shared" si="3"/>
        <v>0</v>
      </c>
      <c r="F31" s="244">
        <f t="shared" si="4"/>
        <v>1</v>
      </c>
      <c r="G31" s="174">
        <f t="shared" si="5"/>
        <v>0</v>
      </c>
      <c r="H31" s="244">
        <f t="shared" si="6"/>
        <v>1</v>
      </c>
      <c r="I31" s="174">
        <f t="shared" si="7"/>
        <v>0</v>
      </c>
      <c r="J31" s="244">
        <f t="shared" si="8"/>
        <v>0</v>
      </c>
      <c r="K31" s="174">
        <f t="shared" si="9"/>
        <v>1</v>
      </c>
      <c r="L31" s="244">
        <f t="shared" si="10"/>
        <v>0</v>
      </c>
      <c r="M31" s="174">
        <v>1</v>
      </c>
      <c r="N31" s="143">
        <f t="shared" si="13"/>
        <v>27</v>
      </c>
      <c r="O31" s="143">
        <f t="shared" si="12"/>
        <v>27</v>
      </c>
    </row>
    <row r="32" spans="1:15" ht="12.75" customHeight="1">
      <c r="A32" s="246">
        <f t="shared" si="11"/>
        <v>53</v>
      </c>
      <c r="B32" s="244">
        <f t="shared" si="0"/>
        <v>0</v>
      </c>
      <c r="C32" s="174">
        <f t="shared" si="1"/>
        <v>0</v>
      </c>
      <c r="D32" s="244">
        <f t="shared" si="2"/>
        <v>0</v>
      </c>
      <c r="E32" s="174">
        <f t="shared" si="3"/>
        <v>0</v>
      </c>
      <c r="F32" s="244">
        <f t="shared" si="4"/>
        <v>1</v>
      </c>
      <c r="G32" s="174">
        <f t="shared" si="5"/>
        <v>0</v>
      </c>
      <c r="H32" s="244">
        <f t="shared" si="6"/>
        <v>1</v>
      </c>
      <c r="I32" s="174">
        <f t="shared" si="7"/>
        <v>0</v>
      </c>
      <c r="J32" s="244">
        <f t="shared" si="8"/>
        <v>1</v>
      </c>
      <c r="K32" s="174">
        <f t="shared" si="9"/>
        <v>0</v>
      </c>
      <c r="L32" s="244">
        <f t="shared" si="10"/>
        <v>0</v>
      </c>
      <c r="M32" s="174">
        <v>1</v>
      </c>
      <c r="N32" s="143">
        <f t="shared" si="13"/>
        <v>28</v>
      </c>
      <c r="O32" s="143">
        <f t="shared" si="12"/>
        <v>28</v>
      </c>
    </row>
    <row r="33" spans="1:15" ht="12.75" customHeight="1">
      <c r="A33" s="246">
        <f t="shared" si="11"/>
        <v>54</v>
      </c>
      <c r="B33" s="244">
        <f t="shared" si="0"/>
        <v>0</v>
      </c>
      <c r="C33" s="174">
        <f t="shared" si="1"/>
        <v>0</v>
      </c>
      <c r="D33" s="244">
        <f t="shared" si="2"/>
        <v>0</v>
      </c>
      <c r="E33" s="174">
        <f t="shared" si="3"/>
        <v>0</v>
      </c>
      <c r="F33" s="244">
        <f t="shared" si="4"/>
        <v>1</v>
      </c>
      <c r="G33" s="174">
        <f t="shared" si="5"/>
        <v>0</v>
      </c>
      <c r="H33" s="244">
        <f t="shared" si="6"/>
        <v>1</v>
      </c>
      <c r="I33" s="174">
        <f t="shared" si="7"/>
        <v>1</v>
      </c>
      <c r="J33" s="244">
        <f t="shared" si="8"/>
        <v>0</v>
      </c>
      <c r="K33" s="174">
        <f t="shared" si="9"/>
        <v>0</v>
      </c>
      <c r="L33" s="244">
        <f t="shared" si="10"/>
        <v>0</v>
      </c>
      <c r="M33" s="174">
        <v>1</v>
      </c>
      <c r="N33" s="143">
        <f t="shared" si="13"/>
        <v>29</v>
      </c>
      <c r="O33" s="143">
        <f t="shared" si="12"/>
        <v>29</v>
      </c>
    </row>
    <row r="34" spans="1:15" ht="12.75" customHeight="1">
      <c r="A34" s="246">
        <f t="shared" si="11"/>
        <v>55</v>
      </c>
      <c r="B34" s="244">
        <f t="shared" si="0"/>
        <v>0</v>
      </c>
      <c r="C34" s="174">
        <f t="shared" si="1"/>
        <v>0</v>
      </c>
      <c r="D34" s="244">
        <f t="shared" si="2"/>
        <v>0</v>
      </c>
      <c r="E34" s="174">
        <f t="shared" si="3"/>
        <v>1</v>
      </c>
      <c r="F34" s="244">
        <f t="shared" si="4"/>
        <v>0</v>
      </c>
      <c r="G34" s="174">
        <f t="shared" si="5"/>
        <v>0</v>
      </c>
      <c r="H34" s="244">
        <f t="shared" si="6"/>
        <v>0</v>
      </c>
      <c r="I34" s="174">
        <f t="shared" si="7"/>
        <v>0</v>
      </c>
      <c r="J34" s="244">
        <f t="shared" si="8"/>
        <v>0</v>
      </c>
      <c r="K34" s="174">
        <f t="shared" si="9"/>
        <v>0</v>
      </c>
      <c r="L34" s="244">
        <f t="shared" si="10"/>
        <v>0</v>
      </c>
      <c r="M34" s="174">
        <v>1</v>
      </c>
      <c r="N34" s="143">
        <f t="shared" si="13"/>
        <v>30</v>
      </c>
      <c r="O34" s="143">
        <f t="shared" si="12"/>
        <v>30</v>
      </c>
    </row>
    <row r="35" spans="1:15" ht="12.75" customHeight="1">
      <c r="A35" s="246">
        <f t="shared" si="11"/>
        <v>56</v>
      </c>
      <c r="B35" s="244">
        <f t="shared" si="0"/>
        <v>0</v>
      </c>
      <c r="C35" s="174">
        <f t="shared" si="1"/>
        <v>0</v>
      </c>
      <c r="D35" s="244">
        <f t="shared" si="2"/>
        <v>0</v>
      </c>
      <c r="E35" s="174">
        <f t="shared" si="3"/>
        <v>1</v>
      </c>
      <c r="F35" s="244">
        <f t="shared" si="4"/>
        <v>0</v>
      </c>
      <c r="G35" s="174">
        <f t="shared" si="5"/>
        <v>0</v>
      </c>
      <c r="H35" s="244">
        <f t="shared" si="6"/>
        <v>0</v>
      </c>
      <c r="I35" s="174">
        <f t="shared" si="7"/>
        <v>0</v>
      </c>
      <c r="J35" s="244">
        <f t="shared" si="8"/>
        <v>0</v>
      </c>
      <c r="K35" s="174">
        <f t="shared" si="9"/>
        <v>0</v>
      </c>
      <c r="L35" s="244">
        <f t="shared" si="10"/>
        <v>1</v>
      </c>
      <c r="M35" s="174">
        <v>1</v>
      </c>
      <c r="N35" s="143">
        <f t="shared" si="13"/>
        <v>31</v>
      </c>
      <c r="O35" s="143">
        <f t="shared" si="12"/>
        <v>31</v>
      </c>
    </row>
    <row r="36" spans="1:15" ht="12.75" customHeight="1">
      <c r="A36" s="246">
        <f t="shared" si="11"/>
        <v>57</v>
      </c>
      <c r="B36" s="244">
        <f t="shared" si="0"/>
        <v>0</v>
      </c>
      <c r="C36" s="174">
        <f t="shared" si="1"/>
        <v>0</v>
      </c>
      <c r="D36" s="244">
        <f t="shared" si="2"/>
        <v>0</v>
      </c>
      <c r="E36" s="174">
        <f t="shared" si="3"/>
        <v>1</v>
      </c>
      <c r="F36" s="244">
        <f t="shared" si="4"/>
        <v>0</v>
      </c>
      <c r="G36" s="174">
        <f t="shared" si="5"/>
        <v>0</v>
      </c>
      <c r="H36" s="244">
        <f t="shared" si="6"/>
        <v>0</v>
      </c>
      <c r="I36" s="174">
        <f t="shared" si="7"/>
        <v>0</v>
      </c>
      <c r="J36" s="244">
        <f t="shared" si="8"/>
        <v>0</v>
      </c>
      <c r="K36" s="174">
        <f t="shared" si="9"/>
        <v>1</v>
      </c>
      <c r="L36" s="244">
        <f t="shared" si="10"/>
        <v>0</v>
      </c>
      <c r="M36" s="174">
        <v>1</v>
      </c>
      <c r="N36" s="143">
        <f t="shared" si="13"/>
        <v>32</v>
      </c>
      <c r="O36" s="143">
        <f t="shared" si="12"/>
        <v>32</v>
      </c>
    </row>
    <row r="37" spans="1:15" ht="12.75" customHeight="1">
      <c r="A37" s="246">
        <f t="shared" si="11"/>
        <v>58</v>
      </c>
      <c r="B37" s="244">
        <f t="shared" si="0"/>
        <v>0</v>
      </c>
      <c r="C37" s="174">
        <f t="shared" si="1"/>
        <v>0</v>
      </c>
      <c r="D37" s="244">
        <f t="shared" si="2"/>
        <v>0</v>
      </c>
      <c r="E37" s="174">
        <f t="shared" si="3"/>
        <v>1</v>
      </c>
      <c r="F37" s="244">
        <f t="shared" si="4"/>
        <v>0</v>
      </c>
      <c r="G37" s="174">
        <f t="shared" si="5"/>
        <v>0</v>
      </c>
      <c r="H37" s="244">
        <f t="shared" si="6"/>
        <v>0</v>
      </c>
      <c r="I37" s="174">
        <f t="shared" si="7"/>
        <v>0</v>
      </c>
      <c r="J37" s="244">
        <f t="shared" si="8"/>
        <v>1</v>
      </c>
      <c r="K37" s="174">
        <f t="shared" si="9"/>
        <v>0</v>
      </c>
      <c r="L37" s="244">
        <f t="shared" si="10"/>
        <v>0</v>
      </c>
      <c r="M37" s="174">
        <v>1</v>
      </c>
      <c r="N37" s="143">
        <f t="shared" si="13"/>
        <v>33</v>
      </c>
      <c r="O37" s="143">
        <f t="shared" si="12"/>
        <v>33</v>
      </c>
    </row>
    <row r="38" spans="1:15" ht="12.75" customHeight="1">
      <c r="A38" s="246">
        <f t="shared" si="11"/>
        <v>59</v>
      </c>
      <c r="B38" s="244">
        <f t="shared" si="0"/>
        <v>0</v>
      </c>
      <c r="C38" s="174">
        <f t="shared" si="1"/>
        <v>0</v>
      </c>
      <c r="D38" s="244">
        <f t="shared" si="2"/>
        <v>0</v>
      </c>
      <c r="E38" s="174">
        <f t="shared" si="3"/>
        <v>1</v>
      </c>
      <c r="F38" s="244">
        <f t="shared" si="4"/>
        <v>0</v>
      </c>
      <c r="G38" s="174">
        <f t="shared" si="5"/>
        <v>0</v>
      </c>
      <c r="H38" s="244">
        <f t="shared" si="6"/>
        <v>0</v>
      </c>
      <c r="I38" s="174">
        <f t="shared" si="7"/>
        <v>1</v>
      </c>
      <c r="J38" s="244">
        <f t="shared" si="8"/>
        <v>0</v>
      </c>
      <c r="K38" s="174">
        <f t="shared" si="9"/>
        <v>0</v>
      </c>
      <c r="L38" s="244">
        <f t="shared" si="10"/>
        <v>0</v>
      </c>
      <c r="M38" s="174">
        <v>1</v>
      </c>
      <c r="N38" s="143">
        <f t="shared" si="13"/>
        <v>34</v>
      </c>
      <c r="O38" s="143">
        <f t="shared" si="12"/>
        <v>34</v>
      </c>
    </row>
    <row r="39" spans="1:15" ht="12.75" customHeight="1">
      <c r="A39" s="246">
        <f t="shared" si="11"/>
        <v>60</v>
      </c>
      <c r="B39" s="244">
        <f t="shared" si="0"/>
        <v>0</v>
      </c>
      <c r="C39" s="174">
        <f t="shared" si="1"/>
        <v>0</v>
      </c>
      <c r="D39" s="244">
        <f t="shared" si="2"/>
        <v>0</v>
      </c>
      <c r="E39" s="174">
        <f t="shared" si="3"/>
        <v>1</v>
      </c>
      <c r="F39" s="244">
        <f t="shared" si="4"/>
        <v>0</v>
      </c>
      <c r="G39" s="174">
        <f t="shared" si="5"/>
        <v>0</v>
      </c>
      <c r="H39" s="244">
        <f t="shared" si="6"/>
        <v>1</v>
      </c>
      <c r="I39" s="174">
        <f t="shared" si="7"/>
        <v>0</v>
      </c>
      <c r="J39" s="244">
        <f t="shared" si="8"/>
        <v>0</v>
      </c>
      <c r="K39" s="174">
        <f t="shared" si="9"/>
        <v>0</v>
      </c>
      <c r="L39" s="244">
        <f t="shared" si="10"/>
        <v>0</v>
      </c>
      <c r="M39" s="174">
        <v>1</v>
      </c>
      <c r="N39" s="143">
        <f t="shared" si="13"/>
        <v>35</v>
      </c>
      <c r="O39" s="143">
        <f t="shared" si="12"/>
        <v>35</v>
      </c>
    </row>
    <row r="40" spans="1:15" ht="12.75" customHeight="1">
      <c r="A40" s="246">
        <f t="shared" si="11"/>
        <v>61</v>
      </c>
      <c r="B40" s="244">
        <f t="shared" si="0"/>
        <v>0</v>
      </c>
      <c r="C40" s="174">
        <f t="shared" si="1"/>
        <v>0</v>
      </c>
      <c r="D40" s="244">
        <f t="shared" si="2"/>
        <v>0</v>
      </c>
      <c r="E40" s="174">
        <f t="shared" si="3"/>
        <v>1</v>
      </c>
      <c r="F40" s="244">
        <f t="shared" si="4"/>
        <v>0</v>
      </c>
      <c r="G40" s="174">
        <f t="shared" si="5"/>
        <v>0</v>
      </c>
      <c r="H40" s="244">
        <f t="shared" si="6"/>
        <v>1</v>
      </c>
      <c r="I40" s="174">
        <f t="shared" si="7"/>
        <v>0</v>
      </c>
      <c r="J40" s="244">
        <f t="shared" si="8"/>
        <v>0</v>
      </c>
      <c r="K40" s="174">
        <f t="shared" si="9"/>
        <v>0</v>
      </c>
      <c r="L40" s="244">
        <f t="shared" si="10"/>
        <v>1</v>
      </c>
      <c r="M40" s="174">
        <v>1</v>
      </c>
      <c r="N40" s="143">
        <f t="shared" si="13"/>
        <v>36</v>
      </c>
      <c r="O40" s="143">
        <f t="shared" si="12"/>
        <v>36</v>
      </c>
    </row>
    <row r="41" spans="1:15" ht="12.75" customHeight="1">
      <c r="A41" s="246">
        <f t="shared" si="11"/>
        <v>62</v>
      </c>
      <c r="B41" s="244">
        <f t="shared" si="0"/>
        <v>0</v>
      </c>
      <c r="C41" s="174">
        <f t="shared" si="1"/>
        <v>0</v>
      </c>
      <c r="D41" s="244">
        <f t="shared" si="2"/>
        <v>0</v>
      </c>
      <c r="E41" s="174">
        <f t="shared" si="3"/>
        <v>1</v>
      </c>
      <c r="F41" s="244">
        <f t="shared" si="4"/>
        <v>0</v>
      </c>
      <c r="G41" s="174">
        <f t="shared" si="5"/>
        <v>0</v>
      </c>
      <c r="H41" s="244">
        <f t="shared" si="6"/>
        <v>1</v>
      </c>
      <c r="I41" s="174">
        <f t="shared" si="7"/>
        <v>0</v>
      </c>
      <c r="J41" s="244">
        <f t="shared" si="8"/>
        <v>0</v>
      </c>
      <c r="K41" s="174">
        <f t="shared" si="9"/>
        <v>1</v>
      </c>
      <c r="L41" s="244">
        <f t="shared" si="10"/>
        <v>0</v>
      </c>
      <c r="M41" s="174">
        <v>1</v>
      </c>
      <c r="N41" s="143">
        <f t="shared" si="13"/>
        <v>37</v>
      </c>
      <c r="O41" s="143">
        <f t="shared" si="12"/>
        <v>37</v>
      </c>
    </row>
    <row r="42" spans="1:15" ht="12.75" customHeight="1">
      <c r="A42" s="246">
        <f t="shared" si="11"/>
        <v>63</v>
      </c>
      <c r="B42" s="244">
        <f t="shared" si="0"/>
        <v>0</v>
      </c>
      <c r="C42" s="174">
        <f t="shared" si="1"/>
        <v>0</v>
      </c>
      <c r="D42" s="244">
        <f t="shared" si="2"/>
        <v>0</v>
      </c>
      <c r="E42" s="174">
        <f t="shared" si="3"/>
        <v>1</v>
      </c>
      <c r="F42" s="244">
        <f t="shared" si="4"/>
        <v>0</v>
      </c>
      <c r="G42" s="174">
        <f t="shared" si="5"/>
        <v>0</v>
      </c>
      <c r="H42" s="244">
        <f t="shared" si="6"/>
        <v>1</v>
      </c>
      <c r="I42" s="174">
        <f t="shared" si="7"/>
        <v>0</v>
      </c>
      <c r="J42" s="244">
        <f t="shared" si="8"/>
        <v>1</v>
      </c>
      <c r="K42" s="174">
        <f t="shared" si="9"/>
        <v>0</v>
      </c>
      <c r="L42" s="244">
        <f t="shared" si="10"/>
        <v>0</v>
      </c>
      <c r="M42" s="174">
        <v>1</v>
      </c>
      <c r="N42" s="143">
        <f t="shared" si="13"/>
        <v>38</v>
      </c>
      <c r="O42" s="143">
        <f t="shared" si="12"/>
        <v>38</v>
      </c>
    </row>
    <row r="43" spans="1:15" ht="12.75" customHeight="1">
      <c r="A43" s="246">
        <f t="shared" si="11"/>
        <v>64</v>
      </c>
      <c r="B43" s="244">
        <f t="shared" si="0"/>
        <v>0</v>
      </c>
      <c r="C43" s="174">
        <f t="shared" si="1"/>
        <v>0</v>
      </c>
      <c r="D43" s="244">
        <f t="shared" si="2"/>
        <v>0</v>
      </c>
      <c r="E43" s="174">
        <f t="shared" si="3"/>
        <v>1</v>
      </c>
      <c r="F43" s="244">
        <f t="shared" si="4"/>
        <v>0</v>
      </c>
      <c r="G43" s="174">
        <f t="shared" si="5"/>
        <v>0</v>
      </c>
      <c r="H43" s="244">
        <f t="shared" si="6"/>
        <v>1</v>
      </c>
      <c r="I43" s="174">
        <f t="shared" si="7"/>
        <v>1</v>
      </c>
      <c r="J43" s="244">
        <f t="shared" si="8"/>
        <v>0</v>
      </c>
      <c r="K43" s="174">
        <f t="shared" si="9"/>
        <v>0</v>
      </c>
      <c r="L43" s="244">
        <f t="shared" si="10"/>
        <v>0</v>
      </c>
      <c r="M43" s="174">
        <v>1</v>
      </c>
      <c r="N43" s="143">
        <f t="shared" si="13"/>
        <v>39</v>
      </c>
      <c r="O43" s="143">
        <f t="shared" si="12"/>
        <v>39</v>
      </c>
    </row>
    <row r="44" spans="1:15" ht="12.75" customHeight="1">
      <c r="A44" s="246">
        <f t="shared" si="11"/>
        <v>65</v>
      </c>
      <c r="B44" s="244">
        <f t="shared" si="0"/>
        <v>0</v>
      </c>
      <c r="C44" s="174">
        <f t="shared" si="1"/>
        <v>0</v>
      </c>
      <c r="D44" s="244">
        <f t="shared" si="2"/>
        <v>0</v>
      </c>
      <c r="E44" s="174">
        <f t="shared" si="3"/>
        <v>1</v>
      </c>
      <c r="F44" s="244">
        <f t="shared" si="4"/>
        <v>0</v>
      </c>
      <c r="G44" s="174">
        <f t="shared" si="5"/>
        <v>1</v>
      </c>
      <c r="H44" s="244">
        <f t="shared" si="6"/>
        <v>0</v>
      </c>
      <c r="I44" s="174">
        <f t="shared" si="7"/>
        <v>0</v>
      </c>
      <c r="J44" s="244">
        <f t="shared" si="8"/>
        <v>0</v>
      </c>
      <c r="K44" s="174">
        <f t="shared" si="9"/>
        <v>0</v>
      </c>
      <c r="L44" s="244">
        <f t="shared" si="10"/>
        <v>0</v>
      </c>
      <c r="M44" s="174">
        <v>1</v>
      </c>
      <c r="N44" s="143">
        <f t="shared" si="13"/>
        <v>40</v>
      </c>
      <c r="O44" s="143">
        <f t="shared" si="12"/>
        <v>40</v>
      </c>
    </row>
    <row r="45" spans="1:15" ht="12.75" customHeight="1">
      <c r="A45" s="246">
        <f t="shared" si="11"/>
        <v>66</v>
      </c>
      <c r="B45" s="244">
        <f t="shared" si="0"/>
        <v>0</v>
      </c>
      <c r="C45" s="174">
        <f t="shared" si="1"/>
        <v>0</v>
      </c>
      <c r="D45" s="244">
        <f t="shared" si="2"/>
        <v>0</v>
      </c>
      <c r="E45" s="174">
        <f t="shared" si="3"/>
        <v>1</v>
      </c>
      <c r="F45" s="244">
        <f t="shared" si="4"/>
        <v>0</v>
      </c>
      <c r="G45" s="174">
        <f t="shared" si="5"/>
        <v>1</v>
      </c>
      <c r="H45" s="244">
        <f t="shared" si="6"/>
        <v>0</v>
      </c>
      <c r="I45" s="174">
        <f t="shared" si="7"/>
        <v>0</v>
      </c>
      <c r="J45" s="244">
        <f t="shared" si="8"/>
        <v>0</v>
      </c>
      <c r="K45" s="174">
        <f t="shared" si="9"/>
        <v>0</v>
      </c>
      <c r="L45" s="244">
        <f t="shared" si="10"/>
        <v>1</v>
      </c>
      <c r="M45" s="174">
        <v>1</v>
      </c>
      <c r="N45" s="143">
        <f t="shared" si="13"/>
        <v>41</v>
      </c>
      <c r="O45" s="143">
        <f t="shared" si="12"/>
        <v>41</v>
      </c>
    </row>
    <row r="46" spans="1:15" ht="12.75" customHeight="1">
      <c r="A46" s="246">
        <f t="shared" si="11"/>
        <v>67</v>
      </c>
      <c r="B46" s="244">
        <f t="shared" si="0"/>
        <v>0</v>
      </c>
      <c r="C46" s="174">
        <f t="shared" si="1"/>
        <v>0</v>
      </c>
      <c r="D46" s="244">
        <f t="shared" si="2"/>
        <v>0</v>
      </c>
      <c r="E46" s="174">
        <f t="shared" si="3"/>
        <v>1</v>
      </c>
      <c r="F46" s="244">
        <f t="shared" si="4"/>
        <v>0</v>
      </c>
      <c r="G46" s="174">
        <f t="shared" si="5"/>
        <v>1</v>
      </c>
      <c r="H46" s="244">
        <f t="shared" si="6"/>
        <v>0</v>
      </c>
      <c r="I46" s="174">
        <f t="shared" si="7"/>
        <v>0</v>
      </c>
      <c r="J46" s="244">
        <f t="shared" si="8"/>
        <v>0</v>
      </c>
      <c r="K46" s="174">
        <f t="shared" si="9"/>
        <v>1</v>
      </c>
      <c r="L46" s="244">
        <f t="shared" si="10"/>
        <v>0</v>
      </c>
      <c r="M46" s="174">
        <v>1</v>
      </c>
      <c r="N46" s="143">
        <f t="shared" si="13"/>
        <v>42</v>
      </c>
      <c r="O46" s="143">
        <f t="shared" si="12"/>
        <v>42</v>
      </c>
    </row>
    <row r="47" spans="1:15" ht="12.75" customHeight="1">
      <c r="A47" s="246">
        <f t="shared" si="11"/>
        <v>68</v>
      </c>
      <c r="B47" s="244">
        <f t="shared" si="0"/>
        <v>0</v>
      </c>
      <c r="C47" s="174">
        <f t="shared" si="1"/>
        <v>0</v>
      </c>
      <c r="D47" s="244">
        <f t="shared" si="2"/>
        <v>0</v>
      </c>
      <c r="E47" s="174">
        <f t="shared" si="3"/>
        <v>1</v>
      </c>
      <c r="F47" s="244">
        <f t="shared" si="4"/>
        <v>0</v>
      </c>
      <c r="G47" s="174">
        <f t="shared" si="5"/>
        <v>1</v>
      </c>
      <c r="H47" s="244">
        <f t="shared" si="6"/>
        <v>0</v>
      </c>
      <c r="I47" s="174">
        <f t="shared" si="7"/>
        <v>0</v>
      </c>
      <c r="J47" s="244">
        <f t="shared" si="8"/>
        <v>1</v>
      </c>
      <c r="K47" s="174">
        <f t="shared" si="9"/>
        <v>0</v>
      </c>
      <c r="L47" s="244">
        <f t="shared" si="10"/>
        <v>0</v>
      </c>
      <c r="M47" s="174">
        <v>1</v>
      </c>
      <c r="N47" s="143">
        <f t="shared" si="13"/>
        <v>43</v>
      </c>
      <c r="O47" s="143">
        <f t="shared" si="12"/>
        <v>43</v>
      </c>
    </row>
    <row r="48" spans="1:15" ht="12.75" customHeight="1">
      <c r="A48" s="246">
        <f t="shared" si="11"/>
        <v>69</v>
      </c>
      <c r="B48" s="244">
        <f t="shared" si="0"/>
        <v>0</v>
      </c>
      <c r="C48" s="174">
        <f t="shared" si="1"/>
        <v>0</v>
      </c>
      <c r="D48" s="244">
        <f t="shared" si="2"/>
        <v>0</v>
      </c>
      <c r="E48" s="174">
        <f t="shared" si="3"/>
        <v>1</v>
      </c>
      <c r="F48" s="244">
        <f t="shared" si="4"/>
        <v>0</v>
      </c>
      <c r="G48" s="174">
        <f t="shared" si="5"/>
        <v>1</v>
      </c>
      <c r="H48" s="244">
        <f t="shared" si="6"/>
        <v>0</v>
      </c>
      <c r="I48" s="174">
        <f t="shared" si="7"/>
        <v>1</v>
      </c>
      <c r="J48" s="244">
        <f t="shared" si="8"/>
        <v>0</v>
      </c>
      <c r="K48" s="174">
        <f t="shared" si="9"/>
        <v>0</v>
      </c>
      <c r="L48" s="244">
        <f t="shared" si="10"/>
        <v>0</v>
      </c>
      <c r="M48" s="174">
        <v>1</v>
      </c>
      <c r="N48" s="143">
        <f t="shared" si="13"/>
        <v>44</v>
      </c>
      <c r="O48" s="143">
        <f t="shared" si="12"/>
        <v>44</v>
      </c>
    </row>
    <row r="49" spans="1:15" ht="12.75" customHeight="1">
      <c r="A49" s="246">
        <f t="shared" si="11"/>
        <v>70</v>
      </c>
      <c r="B49" s="244">
        <f t="shared" si="0"/>
        <v>0</v>
      </c>
      <c r="C49" s="174">
        <f t="shared" si="1"/>
        <v>0</v>
      </c>
      <c r="D49" s="244">
        <f t="shared" si="2"/>
        <v>0</v>
      </c>
      <c r="E49" s="174">
        <f t="shared" si="3"/>
        <v>1</v>
      </c>
      <c r="F49" s="244">
        <f t="shared" si="4"/>
        <v>0</v>
      </c>
      <c r="G49" s="174">
        <f t="shared" si="5"/>
        <v>1</v>
      </c>
      <c r="H49" s="244">
        <f t="shared" si="6"/>
        <v>1</v>
      </c>
      <c r="I49" s="174">
        <f t="shared" si="7"/>
        <v>0</v>
      </c>
      <c r="J49" s="244">
        <f t="shared" si="8"/>
        <v>0</v>
      </c>
      <c r="K49" s="174">
        <f t="shared" si="9"/>
        <v>0</v>
      </c>
      <c r="L49" s="244">
        <f t="shared" si="10"/>
        <v>0</v>
      </c>
      <c r="M49" s="174">
        <v>1</v>
      </c>
      <c r="N49" s="143">
        <f t="shared" si="13"/>
        <v>45</v>
      </c>
      <c r="O49" s="143">
        <f t="shared" si="12"/>
        <v>45</v>
      </c>
    </row>
    <row r="50" spans="1:15" ht="12.75" customHeight="1">
      <c r="A50" s="246">
        <f t="shared" si="11"/>
        <v>71</v>
      </c>
      <c r="B50" s="244">
        <f t="shared" si="0"/>
        <v>0</v>
      </c>
      <c r="C50" s="174">
        <f t="shared" si="1"/>
        <v>0</v>
      </c>
      <c r="D50" s="244">
        <f t="shared" si="2"/>
        <v>0</v>
      </c>
      <c r="E50" s="174">
        <f t="shared" si="3"/>
        <v>1</v>
      </c>
      <c r="F50" s="244">
        <f t="shared" si="4"/>
        <v>0</v>
      </c>
      <c r="G50" s="174">
        <f t="shared" si="5"/>
        <v>1</v>
      </c>
      <c r="H50" s="244">
        <f t="shared" si="6"/>
        <v>1</v>
      </c>
      <c r="I50" s="174">
        <f t="shared" si="7"/>
        <v>0</v>
      </c>
      <c r="J50" s="244">
        <f t="shared" si="8"/>
        <v>0</v>
      </c>
      <c r="K50" s="174">
        <f t="shared" si="9"/>
        <v>0</v>
      </c>
      <c r="L50" s="244">
        <f t="shared" si="10"/>
        <v>1</v>
      </c>
      <c r="M50" s="174">
        <v>1</v>
      </c>
      <c r="N50" s="143">
        <f t="shared" si="13"/>
        <v>46</v>
      </c>
      <c r="O50" s="143">
        <f t="shared" si="12"/>
        <v>46</v>
      </c>
    </row>
    <row r="51" spans="1:15" ht="12.75" customHeight="1">
      <c r="A51" s="246">
        <f t="shared" si="11"/>
        <v>72</v>
      </c>
      <c r="B51" s="244">
        <f t="shared" si="0"/>
        <v>0</v>
      </c>
      <c r="C51" s="174">
        <f t="shared" si="1"/>
        <v>0</v>
      </c>
      <c r="D51" s="244">
        <f t="shared" si="2"/>
        <v>0</v>
      </c>
      <c r="E51" s="174">
        <f t="shared" si="3"/>
        <v>1</v>
      </c>
      <c r="F51" s="244">
        <f t="shared" si="4"/>
        <v>0</v>
      </c>
      <c r="G51" s="174">
        <f t="shared" si="5"/>
        <v>1</v>
      </c>
      <c r="H51" s="244">
        <f t="shared" si="6"/>
        <v>1</v>
      </c>
      <c r="I51" s="174">
        <f t="shared" si="7"/>
        <v>0</v>
      </c>
      <c r="J51" s="244">
        <f t="shared" si="8"/>
        <v>0</v>
      </c>
      <c r="K51" s="174">
        <f t="shared" si="9"/>
        <v>1</v>
      </c>
      <c r="L51" s="244">
        <f t="shared" si="10"/>
        <v>0</v>
      </c>
      <c r="M51" s="174">
        <v>1</v>
      </c>
      <c r="N51" s="143">
        <f t="shared" si="13"/>
        <v>47</v>
      </c>
      <c r="O51" s="143">
        <f t="shared" si="12"/>
        <v>47</v>
      </c>
    </row>
    <row r="52" spans="1:15" ht="12.75" customHeight="1">
      <c r="A52" s="246">
        <f t="shared" si="11"/>
        <v>73</v>
      </c>
      <c r="B52" s="244">
        <f t="shared" si="0"/>
        <v>0</v>
      </c>
      <c r="C52" s="174">
        <f t="shared" si="1"/>
        <v>0</v>
      </c>
      <c r="D52" s="244">
        <f t="shared" si="2"/>
        <v>0</v>
      </c>
      <c r="E52" s="174">
        <f t="shared" si="3"/>
        <v>1</v>
      </c>
      <c r="F52" s="244">
        <f t="shared" si="4"/>
        <v>0</v>
      </c>
      <c r="G52" s="174">
        <f t="shared" si="5"/>
        <v>1</v>
      </c>
      <c r="H52" s="244">
        <f t="shared" si="6"/>
        <v>1</v>
      </c>
      <c r="I52" s="174">
        <f t="shared" si="7"/>
        <v>0</v>
      </c>
      <c r="J52" s="244">
        <f t="shared" si="8"/>
        <v>1</v>
      </c>
      <c r="K52" s="174">
        <f t="shared" si="9"/>
        <v>0</v>
      </c>
      <c r="L52" s="244">
        <f t="shared" si="10"/>
        <v>0</v>
      </c>
      <c r="M52" s="174">
        <v>1</v>
      </c>
      <c r="N52" s="143">
        <f t="shared" si="13"/>
        <v>48</v>
      </c>
      <c r="O52" s="143">
        <f t="shared" si="12"/>
        <v>48</v>
      </c>
    </row>
    <row r="53" spans="1:15" ht="12.75" customHeight="1">
      <c r="A53" s="246">
        <f t="shared" si="11"/>
        <v>74</v>
      </c>
      <c r="B53" s="244">
        <f t="shared" si="0"/>
        <v>0</v>
      </c>
      <c r="C53" s="174">
        <f t="shared" si="1"/>
        <v>0</v>
      </c>
      <c r="D53" s="244">
        <f t="shared" si="2"/>
        <v>0</v>
      </c>
      <c r="E53" s="174">
        <f t="shared" si="3"/>
        <v>1</v>
      </c>
      <c r="F53" s="244">
        <f t="shared" si="4"/>
        <v>0</v>
      </c>
      <c r="G53" s="174">
        <f t="shared" si="5"/>
        <v>1</v>
      </c>
      <c r="H53" s="244">
        <f t="shared" si="6"/>
        <v>1</v>
      </c>
      <c r="I53" s="174">
        <f t="shared" si="7"/>
        <v>1</v>
      </c>
      <c r="J53" s="244">
        <f t="shared" si="8"/>
        <v>0</v>
      </c>
      <c r="K53" s="174">
        <f t="shared" si="9"/>
        <v>0</v>
      </c>
      <c r="L53" s="244">
        <f t="shared" si="10"/>
        <v>0</v>
      </c>
      <c r="M53" s="174">
        <v>1</v>
      </c>
      <c r="N53" s="143">
        <f t="shared" si="13"/>
        <v>49</v>
      </c>
      <c r="O53" s="143">
        <f t="shared" si="12"/>
        <v>49</v>
      </c>
    </row>
    <row r="54" spans="1:15" ht="12.75" customHeight="1">
      <c r="A54" s="246">
        <f t="shared" si="11"/>
        <v>75</v>
      </c>
      <c r="B54" s="244">
        <f t="shared" si="0"/>
        <v>0</v>
      </c>
      <c r="C54" s="174">
        <f t="shared" si="1"/>
        <v>1</v>
      </c>
      <c r="D54" s="244">
        <f t="shared" si="2"/>
        <v>0</v>
      </c>
      <c r="E54" s="174">
        <f t="shared" si="3"/>
        <v>0</v>
      </c>
      <c r="F54" s="244">
        <f t="shared" si="4"/>
        <v>0</v>
      </c>
      <c r="G54" s="174">
        <f t="shared" si="5"/>
        <v>0</v>
      </c>
      <c r="H54" s="244">
        <f t="shared" si="6"/>
        <v>0</v>
      </c>
      <c r="I54" s="174">
        <f t="shared" si="7"/>
        <v>0</v>
      </c>
      <c r="J54" s="244">
        <f t="shared" si="8"/>
        <v>0</v>
      </c>
      <c r="K54" s="174">
        <f t="shared" si="9"/>
        <v>0</v>
      </c>
      <c r="L54" s="244">
        <f t="shared" si="10"/>
        <v>0</v>
      </c>
      <c r="M54" s="174">
        <v>1</v>
      </c>
      <c r="N54" s="143">
        <f t="shared" si="13"/>
        <v>50</v>
      </c>
      <c r="O54" s="143">
        <f t="shared" si="12"/>
        <v>50</v>
      </c>
    </row>
    <row r="55" spans="1:15" ht="12.75" customHeight="1">
      <c r="A55" s="246">
        <f t="shared" si="11"/>
        <v>76</v>
      </c>
      <c r="B55" s="244">
        <f t="shared" si="0"/>
        <v>0</v>
      </c>
      <c r="C55" s="174">
        <f t="shared" si="1"/>
        <v>1</v>
      </c>
      <c r="D55" s="244">
        <f t="shared" si="2"/>
        <v>0</v>
      </c>
      <c r="E55" s="174">
        <f t="shared" si="3"/>
        <v>0</v>
      </c>
      <c r="F55" s="244">
        <f t="shared" si="4"/>
        <v>0</v>
      </c>
      <c r="G55" s="174">
        <f t="shared" si="5"/>
        <v>0</v>
      </c>
      <c r="H55" s="244">
        <f t="shared" si="6"/>
        <v>0</v>
      </c>
      <c r="I55" s="174">
        <f t="shared" si="7"/>
        <v>0</v>
      </c>
      <c r="J55" s="244">
        <f t="shared" si="8"/>
        <v>0</v>
      </c>
      <c r="K55" s="174">
        <f t="shared" si="9"/>
        <v>0</v>
      </c>
      <c r="L55" s="244">
        <f t="shared" si="10"/>
        <v>1</v>
      </c>
      <c r="M55" s="174">
        <v>1</v>
      </c>
      <c r="N55" s="143">
        <f t="shared" si="13"/>
        <v>51</v>
      </c>
      <c r="O55" s="143">
        <f t="shared" si="12"/>
        <v>51</v>
      </c>
    </row>
    <row r="56" spans="1:15" ht="12.75" customHeight="1">
      <c r="A56" s="246">
        <f t="shared" si="11"/>
        <v>77</v>
      </c>
      <c r="B56" s="244">
        <f t="shared" si="0"/>
        <v>0</v>
      </c>
      <c r="C56" s="174">
        <f t="shared" si="1"/>
        <v>1</v>
      </c>
      <c r="D56" s="244">
        <f t="shared" si="2"/>
        <v>0</v>
      </c>
      <c r="E56" s="174">
        <f t="shared" si="3"/>
        <v>0</v>
      </c>
      <c r="F56" s="244">
        <f t="shared" si="4"/>
        <v>0</v>
      </c>
      <c r="G56" s="174">
        <f t="shared" si="5"/>
        <v>0</v>
      </c>
      <c r="H56" s="244">
        <f t="shared" si="6"/>
        <v>0</v>
      </c>
      <c r="I56" s="174">
        <f t="shared" si="7"/>
        <v>0</v>
      </c>
      <c r="J56" s="244">
        <f t="shared" si="8"/>
        <v>0</v>
      </c>
      <c r="K56" s="174">
        <f t="shared" si="9"/>
        <v>1</v>
      </c>
      <c r="L56" s="244">
        <f t="shared" si="10"/>
        <v>0</v>
      </c>
      <c r="M56" s="174">
        <v>1</v>
      </c>
      <c r="N56" s="143">
        <f t="shared" si="13"/>
        <v>52</v>
      </c>
      <c r="O56" s="143">
        <f t="shared" si="12"/>
        <v>52</v>
      </c>
    </row>
    <row r="57" spans="1:15" ht="12.75" customHeight="1">
      <c r="A57" s="246">
        <f t="shared" si="11"/>
        <v>78</v>
      </c>
      <c r="B57" s="244">
        <f t="shared" si="0"/>
        <v>0</v>
      </c>
      <c r="C57" s="174">
        <f t="shared" si="1"/>
        <v>1</v>
      </c>
      <c r="D57" s="244">
        <f t="shared" si="2"/>
        <v>0</v>
      </c>
      <c r="E57" s="174">
        <f t="shared" si="3"/>
        <v>0</v>
      </c>
      <c r="F57" s="244">
        <f t="shared" si="4"/>
        <v>0</v>
      </c>
      <c r="G57" s="174">
        <f t="shared" si="5"/>
        <v>0</v>
      </c>
      <c r="H57" s="244">
        <f t="shared" si="6"/>
        <v>0</v>
      </c>
      <c r="I57" s="174">
        <f t="shared" si="7"/>
        <v>0</v>
      </c>
      <c r="J57" s="244">
        <f t="shared" si="8"/>
        <v>1</v>
      </c>
      <c r="K57" s="174">
        <f t="shared" si="9"/>
        <v>0</v>
      </c>
      <c r="L57" s="244">
        <f t="shared" si="10"/>
        <v>0</v>
      </c>
      <c r="M57" s="174">
        <v>1</v>
      </c>
      <c r="N57" s="143">
        <f t="shared" si="13"/>
        <v>53</v>
      </c>
      <c r="O57" s="143">
        <f t="shared" si="12"/>
        <v>53</v>
      </c>
    </row>
    <row r="58" spans="1:15" ht="12.75" customHeight="1">
      <c r="A58" s="246">
        <f t="shared" si="11"/>
        <v>79</v>
      </c>
      <c r="B58" s="244">
        <f t="shared" si="0"/>
        <v>0</v>
      </c>
      <c r="C58" s="174">
        <f t="shared" si="1"/>
        <v>1</v>
      </c>
      <c r="D58" s="244">
        <f t="shared" si="2"/>
        <v>0</v>
      </c>
      <c r="E58" s="174">
        <f t="shared" si="3"/>
        <v>0</v>
      </c>
      <c r="F58" s="244">
        <f t="shared" si="4"/>
        <v>0</v>
      </c>
      <c r="G58" s="174">
        <f t="shared" si="5"/>
        <v>0</v>
      </c>
      <c r="H58" s="244">
        <f t="shared" si="6"/>
        <v>0</v>
      </c>
      <c r="I58" s="174">
        <f t="shared" si="7"/>
        <v>1</v>
      </c>
      <c r="J58" s="244">
        <f t="shared" si="8"/>
        <v>0</v>
      </c>
      <c r="K58" s="174">
        <f t="shared" si="9"/>
        <v>0</v>
      </c>
      <c r="L58" s="244">
        <f t="shared" si="10"/>
        <v>0</v>
      </c>
      <c r="M58" s="174">
        <v>1</v>
      </c>
      <c r="N58" s="143">
        <f t="shared" si="13"/>
        <v>54</v>
      </c>
      <c r="O58" s="143">
        <f t="shared" si="12"/>
        <v>54</v>
      </c>
    </row>
    <row r="59" spans="1:15" ht="12.75" customHeight="1">
      <c r="A59" s="246">
        <f t="shared" si="11"/>
        <v>80</v>
      </c>
      <c r="B59" s="244">
        <f t="shared" si="0"/>
        <v>0</v>
      </c>
      <c r="C59" s="174">
        <f t="shared" si="1"/>
        <v>1</v>
      </c>
      <c r="D59" s="244">
        <f t="shared" si="2"/>
        <v>0</v>
      </c>
      <c r="E59" s="174">
        <f t="shared" si="3"/>
        <v>0</v>
      </c>
      <c r="F59" s="244">
        <f t="shared" si="4"/>
        <v>0</v>
      </c>
      <c r="G59" s="174">
        <f t="shared" si="5"/>
        <v>0</v>
      </c>
      <c r="H59" s="244">
        <f t="shared" si="6"/>
        <v>1</v>
      </c>
      <c r="I59" s="174">
        <f t="shared" si="7"/>
        <v>0</v>
      </c>
      <c r="J59" s="244">
        <f t="shared" si="8"/>
        <v>0</v>
      </c>
      <c r="K59" s="174">
        <f t="shared" si="9"/>
        <v>0</v>
      </c>
      <c r="L59" s="244">
        <f t="shared" si="10"/>
        <v>0</v>
      </c>
      <c r="M59" s="174">
        <v>1</v>
      </c>
      <c r="N59" s="143">
        <f t="shared" si="13"/>
        <v>55</v>
      </c>
      <c r="O59" s="143">
        <f t="shared" si="12"/>
        <v>55</v>
      </c>
    </row>
    <row r="60" spans="1:15" ht="12.75" customHeight="1">
      <c r="A60" s="246">
        <f t="shared" si="11"/>
        <v>81</v>
      </c>
      <c r="B60" s="244">
        <f t="shared" si="0"/>
        <v>0</v>
      </c>
      <c r="C60" s="174">
        <f t="shared" si="1"/>
        <v>1</v>
      </c>
      <c r="D60" s="244">
        <f t="shared" si="2"/>
        <v>0</v>
      </c>
      <c r="E60" s="174">
        <f t="shared" si="3"/>
        <v>0</v>
      </c>
      <c r="F60" s="244">
        <f t="shared" si="4"/>
        <v>0</v>
      </c>
      <c r="G60" s="174">
        <f t="shared" si="5"/>
        <v>0</v>
      </c>
      <c r="H60" s="244">
        <f t="shared" si="6"/>
        <v>1</v>
      </c>
      <c r="I60" s="174">
        <f t="shared" si="7"/>
        <v>0</v>
      </c>
      <c r="J60" s="244">
        <f t="shared" si="8"/>
        <v>0</v>
      </c>
      <c r="K60" s="174">
        <f t="shared" si="9"/>
        <v>0</v>
      </c>
      <c r="L60" s="244">
        <f t="shared" si="10"/>
        <v>1</v>
      </c>
      <c r="M60" s="174">
        <v>1</v>
      </c>
      <c r="N60" s="143">
        <f t="shared" si="13"/>
        <v>56</v>
      </c>
      <c r="O60" s="143">
        <f t="shared" si="12"/>
        <v>56</v>
      </c>
    </row>
    <row r="61" spans="1:15" ht="12.75" customHeight="1">
      <c r="A61" s="246">
        <f t="shared" si="11"/>
        <v>82</v>
      </c>
      <c r="B61" s="244">
        <f t="shared" si="0"/>
        <v>0</v>
      </c>
      <c r="C61" s="174">
        <f t="shared" si="1"/>
        <v>1</v>
      </c>
      <c r="D61" s="244">
        <f t="shared" si="2"/>
        <v>0</v>
      </c>
      <c r="E61" s="174">
        <f t="shared" si="3"/>
        <v>0</v>
      </c>
      <c r="F61" s="244">
        <f t="shared" si="4"/>
        <v>0</v>
      </c>
      <c r="G61" s="174">
        <f t="shared" si="5"/>
        <v>0</v>
      </c>
      <c r="H61" s="244">
        <f t="shared" si="6"/>
        <v>1</v>
      </c>
      <c r="I61" s="174">
        <f t="shared" si="7"/>
        <v>0</v>
      </c>
      <c r="J61" s="244">
        <f t="shared" si="8"/>
        <v>0</v>
      </c>
      <c r="K61" s="174">
        <f t="shared" si="9"/>
        <v>1</v>
      </c>
      <c r="L61" s="244">
        <f t="shared" si="10"/>
        <v>0</v>
      </c>
      <c r="M61" s="174">
        <v>1</v>
      </c>
      <c r="N61" s="143">
        <f t="shared" si="13"/>
        <v>57</v>
      </c>
      <c r="O61" s="143">
        <f t="shared" si="12"/>
        <v>57</v>
      </c>
    </row>
    <row r="62" spans="1:15" ht="12.75" customHeight="1">
      <c r="A62" s="246">
        <f t="shared" si="11"/>
        <v>83</v>
      </c>
      <c r="B62" s="244">
        <f t="shared" si="0"/>
        <v>0</v>
      </c>
      <c r="C62" s="174">
        <f t="shared" si="1"/>
        <v>1</v>
      </c>
      <c r="D62" s="244">
        <f t="shared" si="2"/>
        <v>0</v>
      </c>
      <c r="E62" s="174">
        <f t="shared" si="3"/>
        <v>0</v>
      </c>
      <c r="F62" s="244">
        <f t="shared" si="4"/>
        <v>0</v>
      </c>
      <c r="G62" s="174">
        <f t="shared" si="5"/>
        <v>0</v>
      </c>
      <c r="H62" s="244">
        <f t="shared" si="6"/>
        <v>1</v>
      </c>
      <c r="I62" s="174">
        <f t="shared" si="7"/>
        <v>0</v>
      </c>
      <c r="J62" s="244">
        <f t="shared" si="8"/>
        <v>1</v>
      </c>
      <c r="K62" s="174">
        <f t="shared" si="9"/>
        <v>0</v>
      </c>
      <c r="L62" s="244">
        <f t="shared" si="10"/>
        <v>0</v>
      </c>
      <c r="M62" s="174">
        <v>1</v>
      </c>
      <c r="N62" s="143">
        <f t="shared" si="13"/>
        <v>58</v>
      </c>
      <c r="O62" s="143">
        <f t="shared" si="12"/>
        <v>58</v>
      </c>
    </row>
    <row r="63" spans="1:15" ht="12.75" customHeight="1">
      <c r="A63" s="246">
        <f t="shared" si="11"/>
        <v>84</v>
      </c>
      <c r="B63" s="244">
        <f t="shared" si="0"/>
        <v>0</v>
      </c>
      <c r="C63" s="174">
        <f t="shared" si="1"/>
        <v>1</v>
      </c>
      <c r="D63" s="244">
        <f t="shared" si="2"/>
        <v>0</v>
      </c>
      <c r="E63" s="174">
        <f t="shared" si="3"/>
        <v>0</v>
      </c>
      <c r="F63" s="244">
        <f t="shared" si="4"/>
        <v>0</v>
      </c>
      <c r="G63" s="174">
        <f t="shared" si="5"/>
        <v>0</v>
      </c>
      <c r="H63" s="244">
        <f t="shared" si="6"/>
        <v>1</v>
      </c>
      <c r="I63" s="174">
        <f t="shared" si="7"/>
        <v>1</v>
      </c>
      <c r="J63" s="244">
        <f t="shared" si="8"/>
        <v>0</v>
      </c>
      <c r="K63" s="174">
        <f t="shared" si="9"/>
        <v>0</v>
      </c>
      <c r="L63" s="244">
        <f t="shared" si="10"/>
        <v>0</v>
      </c>
      <c r="M63" s="174">
        <v>1</v>
      </c>
      <c r="N63" s="143">
        <f t="shared" si="13"/>
        <v>59</v>
      </c>
      <c r="O63" s="143">
        <f t="shared" si="12"/>
        <v>59</v>
      </c>
    </row>
    <row r="64" spans="1:15" ht="12.75" customHeight="1">
      <c r="A64" s="246">
        <f t="shared" si="11"/>
        <v>85</v>
      </c>
      <c r="B64" s="244">
        <f t="shared" si="0"/>
        <v>0</v>
      </c>
      <c r="C64" s="174">
        <f t="shared" si="1"/>
        <v>1</v>
      </c>
      <c r="D64" s="244">
        <f t="shared" si="2"/>
        <v>0</v>
      </c>
      <c r="E64" s="174">
        <f t="shared" si="3"/>
        <v>0</v>
      </c>
      <c r="F64" s="244">
        <f t="shared" si="4"/>
        <v>0</v>
      </c>
      <c r="G64" s="174">
        <f t="shared" si="5"/>
        <v>1</v>
      </c>
      <c r="H64" s="244">
        <f t="shared" si="6"/>
        <v>0</v>
      </c>
      <c r="I64" s="174">
        <f t="shared" si="7"/>
        <v>0</v>
      </c>
      <c r="J64" s="244">
        <f t="shared" si="8"/>
        <v>0</v>
      </c>
      <c r="K64" s="174">
        <f t="shared" si="9"/>
        <v>0</v>
      </c>
      <c r="L64" s="244">
        <f t="shared" si="10"/>
        <v>0</v>
      </c>
      <c r="M64" s="174">
        <v>1</v>
      </c>
      <c r="N64" s="143">
        <f t="shared" si="13"/>
        <v>60</v>
      </c>
      <c r="O64" s="143">
        <f t="shared" si="12"/>
        <v>60</v>
      </c>
    </row>
    <row r="65" spans="1:15" ht="12.75" customHeight="1">
      <c r="A65" s="246">
        <f t="shared" si="11"/>
        <v>86</v>
      </c>
      <c r="B65" s="244">
        <f t="shared" si="0"/>
        <v>0</v>
      </c>
      <c r="C65" s="174">
        <f t="shared" si="1"/>
        <v>1</v>
      </c>
      <c r="D65" s="244">
        <f t="shared" si="2"/>
        <v>0</v>
      </c>
      <c r="E65" s="174">
        <f t="shared" si="3"/>
        <v>0</v>
      </c>
      <c r="F65" s="244">
        <f t="shared" si="4"/>
        <v>0</v>
      </c>
      <c r="G65" s="174">
        <f t="shared" si="5"/>
        <v>1</v>
      </c>
      <c r="H65" s="244">
        <f t="shared" si="6"/>
        <v>0</v>
      </c>
      <c r="I65" s="174">
        <f t="shared" si="7"/>
        <v>0</v>
      </c>
      <c r="J65" s="244">
        <f t="shared" si="8"/>
        <v>0</v>
      </c>
      <c r="K65" s="174">
        <f t="shared" si="9"/>
        <v>0</v>
      </c>
      <c r="L65" s="244">
        <f t="shared" si="10"/>
        <v>1</v>
      </c>
      <c r="M65" s="174">
        <v>1</v>
      </c>
      <c r="N65" s="143">
        <f t="shared" si="13"/>
        <v>61</v>
      </c>
      <c r="O65" s="143">
        <f t="shared" si="12"/>
        <v>61</v>
      </c>
    </row>
    <row r="66" spans="1:15" ht="12.75" customHeight="1">
      <c r="A66" s="246">
        <f t="shared" si="11"/>
        <v>87</v>
      </c>
      <c r="B66" s="244">
        <f t="shared" si="0"/>
        <v>0</v>
      </c>
      <c r="C66" s="174">
        <f t="shared" si="1"/>
        <v>1</v>
      </c>
      <c r="D66" s="244">
        <f t="shared" si="2"/>
        <v>0</v>
      </c>
      <c r="E66" s="174">
        <f t="shared" si="3"/>
        <v>0</v>
      </c>
      <c r="F66" s="244">
        <f t="shared" si="4"/>
        <v>0</v>
      </c>
      <c r="G66" s="174">
        <f t="shared" si="5"/>
        <v>1</v>
      </c>
      <c r="H66" s="244">
        <f t="shared" si="6"/>
        <v>0</v>
      </c>
      <c r="I66" s="174">
        <f t="shared" si="7"/>
        <v>0</v>
      </c>
      <c r="J66" s="244">
        <f t="shared" si="8"/>
        <v>0</v>
      </c>
      <c r="K66" s="174">
        <f t="shared" si="9"/>
        <v>1</v>
      </c>
      <c r="L66" s="244">
        <f t="shared" si="10"/>
        <v>0</v>
      </c>
      <c r="M66" s="174">
        <v>1</v>
      </c>
      <c r="N66" s="143">
        <f t="shared" si="13"/>
        <v>62</v>
      </c>
      <c r="O66" s="143">
        <f t="shared" si="12"/>
        <v>62</v>
      </c>
    </row>
    <row r="67" spans="1:15" ht="12.75" customHeight="1">
      <c r="A67" s="246">
        <f t="shared" si="11"/>
        <v>88</v>
      </c>
      <c r="B67" s="244">
        <f t="shared" si="0"/>
        <v>0</v>
      </c>
      <c r="C67" s="174">
        <f t="shared" si="1"/>
        <v>1</v>
      </c>
      <c r="D67" s="244">
        <f t="shared" si="2"/>
        <v>0</v>
      </c>
      <c r="E67" s="174">
        <f t="shared" si="3"/>
        <v>0</v>
      </c>
      <c r="F67" s="244">
        <f t="shared" si="4"/>
        <v>0</v>
      </c>
      <c r="G67" s="174">
        <f t="shared" si="5"/>
        <v>1</v>
      </c>
      <c r="H67" s="244">
        <f t="shared" si="6"/>
        <v>0</v>
      </c>
      <c r="I67" s="174">
        <f t="shared" si="7"/>
        <v>0</v>
      </c>
      <c r="J67" s="244">
        <f t="shared" si="8"/>
        <v>1</v>
      </c>
      <c r="K67" s="174">
        <f t="shared" si="9"/>
        <v>0</v>
      </c>
      <c r="L67" s="244">
        <f t="shared" si="10"/>
        <v>0</v>
      </c>
      <c r="M67" s="174">
        <v>1</v>
      </c>
      <c r="N67" s="143">
        <f t="shared" si="13"/>
        <v>63</v>
      </c>
      <c r="O67" s="143">
        <f t="shared" si="12"/>
        <v>63</v>
      </c>
    </row>
    <row r="68" spans="1:15" ht="12.75" customHeight="1">
      <c r="A68" s="246">
        <f t="shared" si="11"/>
        <v>89</v>
      </c>
      <c r="B68" s="244">
        <f t="shared" ref="B68:B131" si="14">IF(A68=0,0,MIN($B$1/2,INT(O68/(2*$B$2))))</f>
        <v>0</v>
      </c>
      <c r="C68" s="174">
        <f t="shared" ref="C68:C131" si="15">IF(A68=0,0,MIN($C$1/2,INT(($O68-2*$B68*$B$2)/(2*$C$2))))</f>
        <v>1</v>
      </c>
      <c r="D68" s="244">
        <f t="shared" ref="D68:D131" si="16">IF(A68=0,0,MIN($D$1/2,INT(($O68-2*$B68*$B$2-2*$C68*$C$2)/(2*$D$2))))</f>
        <v>0</v>
      </c>
      <c r="E68" s="174">
        <f t="shared" ref="E68:E131" si="17">IF(A68=0,0,MIN($E$1/2,INT(($O68-2*$B68*$B$2-2*$C68*$C$2-2*$D68*$D$2)/(2*$E$2))))</f>
        <v>0</v>
      </c>
      <c r="F68" s="244">
        <f t="shared" ref="F68:F131" si="18">IF(A68=0,0,MIN($F$1/2,INT(($O68-2*$B68*$B$2-2*$C68*$C$2-2*$D68*$D$2-2*$E68*$E$2)/(2*$F$2))))</f>
        <v>0</v>
      </c>
      <c r="G68" s="174">
        <f t="shared" ref="G68:G131" si="19">IF(A68=0,0,MIN($G$1/2,INT(($O68-2*$B68*$B$2-2*$C68*$C$2-2*$D68*$D$2-2*$E68*$E$2-2*$F68*$F$2)/(2*$G$2))))</f>
        <v>1</v>
      </c>
      <c r="H68" s="244">
        <f t="shared" ref="H68:H131" si="20">IF(A68=0,0,MIN($H$1/2,INT(($O68-2*$B68*$B$2-2*$C68*$C$2-2*$D68*$D$2-2*$E68*$E$2-2*$F68*$F$2-2*$G68*$G$2)/(2*$H$2))))</f>
        <v>0</v>
      </c>
      <c r="I68" s="174">
        <f t="shared" ref="I68:I131" si="21">IF(A68=0,0,MIN($I$1/2,INT(($O68-2*$B68*$B$2-2*$C68*$C$2-2*$D68*$D$2-2*$E68*$E$2-2*$F68*$F$2-2*$G68*$G$2-2*$H68*$H$2)/(2*$I$2))))</f>
        <v>1</v>
      </c>
      <c r="J68" s="244">
        <f t="shared" ref="J68:J131" si="22">IF(A68=0,0,MIN($J$1/2,INT(($O68-2*$B68*$B$2-2*$C68*$C$2-2*$D68*$D$2-2*$E68*$E$2-2*$F68*$F$2-2*$G68*$G$2-2*$H68*$H$2-2*$I68*$I$2)/(2*$J$2))))</f>
        <v>0</v>
      </c>
      <c r="K68" s="174">
        <f t="shared" si="9"/>
        <v>0</v>
      </c>
      <c r="L68" s="244">
        <f t="shared" si="10"/>
        <v>0</v>
      </c>
      <c r="M68" s="174">
        <v>1</v>
      </c>
      <c r="N68" s="143">
        <f t="shared" si="13"/>
        <v>64</v>
      </c>
      <c r="O68" s="143">
        <f t="shared" si="12"/>
        <v>64</v>
      </c>
    </row>
    <row r="69" spans="1:15" ht="12.75" customHeight="1">
      <c r="A69" s="246">
        <f t="shared" ref="A69:A132" si="23">IF(O69+$M$2&gt;$N$1,0,O69+$M$2)</f>
        <v>90</v>
      </c>
      <c r="B69" s="244">
        <f t="shared" si="14"/>
        <v>0</v>
      </c>
      <c r="C69" s="174">
        <f t="shared" si="15"/>
        <v>1</v>
      </c>
      <c r="D69" s="244">
        <f t="shared" si="16"/>
        <v>0</v>
      </c>
      <c r="E69" s="174">
        <f t="shared" si="17"/>
        <v>0</v>
      </c>
      <c r="F69" s="244">
        <f t="shared" si="18"/>
        <v>0</v>
      </c>
      <c r="G69" s="174">
        <f t="shared" si="19"/>
        <v>1</v>
      </c>
      <c r="H69" s="244">
        <f t="shared" si="20"/>
        <v>1</v>
      </c>
      <c r="I69" s="174">
        <f t="shared" si="21"/>
        <v>0</v>
      </c>
      <c r="J69" s="244">
        <f t="shared" si="22"/>
        <v>0</v>
      </c>
      <c r="K69" s="174">
        <f t="shared" ref="K69:K132" si="24">IF(A69=0,0,MIN($J$1/2,INT(($O69-2*$B69*$B$2-2*$C69*$C$2-2*$D69*$D$2-2*$E69*$E$2-2*$F69*$F$2-2*$G69*$G$2-2*$H69*$H$2-2*$I69*$I$2-2*$J69*$J$2)/(2*$K$2))))</f>
        <v>0</v>
      </c>
      <c r="L69" s="244">
        <f t="shared" ref="L69:L132" si="25">IF(A69=0,0,MIN($L$1/2,INT(($O69-2*$B69*$B$2-2*$C69*$C$2-2*$D69*$D$2-2*$E69*$E$2-2*$F69*$F$2-2*$G69*$G$2-2*$H69*$H$2-2*$I69*$I$2-2*$J69*$J$2-2*$K69*$K$2)/(2*$L$2))))</f>
        <v>0</v>
      </c>
      <c r="M69" s="174">
        <v>1</v>
      </c>
      <c r="N69" s="143">
        <f t="shared" si="13"/>
        <v>65</v>
      </c>
      <c r="O69" s="143">
        <f t="shared" si="12"/>
        <v>65</v>
      </c>
    </row>
    <row r="70" spans="1:15" ht="12.75" customHeight="1">
      <c r="A70" s="246">
        <f t="shared" si="23"/>
        <v>91</v>
      </c>
      <c r="B70" s="244">
        <f t="shared" si="14"/>
        <v>0</v>
      </c>
      <c r="C70" s="174">
        <f t="shared" si="15"/>
        <v>1</v>
      </c>
      <c r="D70" s="244">
        <f t="shared" si="16"/>
        <v>0</v>
      </c>
      <c r="E70" s="174">
        <f t="shared" si="17"/>
        <v>0</v>
      </c>
      <c r="F70" s="244">
        <f t="shared" si="18"/>
        <v>0</v>
      </c>
      <c r="G70" s="174">
        <f t="shared" si="19"/>
        <v>1</v>
      </c>
      <c r="H70" s="244">
        <f t="shared" si="20"/>
        <v>1</v>
      </c>
      <c r="I70" s="174">
        <f t="shared" si="21"/>
        <v>0</v>
      </c>
      <c r="J70" s="244">
        <f t="shared" si="22"/>
        <v>0</v>
      </c>
      <c r="K70" s="174">
        <f t="shared" si="24"/>
        <v>0</v>
      </c>
      <c r="L70" s="244">
        <f t="shared" si="25"/>
        <v>1</v>
      </c>
      <c r="M70" s="174">
        <v>1</v>
      </c>
      <c r="N70" s="143">
        <f t="shared" si="13"/>
        <v>66</v>
      </c>
      <c r="O70" s="143">
        <f t="shared" ref="O70:O133" si="26">IF($A$2="Pounds",5*N70,1*N70)</f>
        <v>66</v>
      </c>
    </row>
    <row r="71" spans="1:15" ht="12.75" customHeight="1">
      <c r="A71" s="246">
        <f t="shared" si="23"/>
        <v>92</v>
      </c>
      <c r="B71" s="244">
        <f t="shared" si="14"/>
        <v>0</v>
      </c>
      <c r="C71" s="174">
        <f t="shared" si="15"/>
        <v>1</v>
      </c>
      <c r="D71" s="244">
        <f t="shared" si="16"/>
        <v>0</v>
      </c>
      <c r="E71" s="174">
        <f t="shared" si="17"/>
        <v>0</v>
      </c>
      <c r="F71" s="244">
        <f t="shared" si="18"/>
        <v>0</v>
      </c>
      <c r="G71" s="174">
        <f t="shared" si="19"/>
        <v>1</v>
      </c>
      <c r="H71" s="244">
        <f t="shared" si="20"/>
        <v>1</v>
      </c>
      <c r="I71" s="174">
        <f t="shared" si="21"/>
        <v>0</v>
      </c>
      <c r="J71" s="244">
        <f t="shared" si="22"/>
        <v>0</v>
      </c>
      <c r="K71" s="174">
        <f t="shared" si="24"/>
        <v>1</v>
      </c>
      <c r="L71" s="244">
        <f t="shared" si="25"/>
        <v>0</v>
      </c>
      <c r="M71" s="174">
        <v>1</v>
      </c>
      <c r="N71" s="143">
        <f t="shared" si="13"/>
        <v>67</v>
      </c>
      <c r="O71" s="143">
        <f t="shared" si="26"/>
        <v>67</v>
      </c>
    </row>
    <row r="72" spans="1:15" ht="12.75" customHeight="1">
      <c r="A72" s="246">
        <f t="shared" si="23"/>
        <v>93</v>
      </c>
      <c r="B72" s="244">
        <f t="shared" si="14"/>
        <v>0</v>
      </c>
      <c r="C72" s="174">
        <f t="shared" si="15"/>
        <v>1</v>
      </c>
      <c r="D72" s="244">
        <f t="shared" si="16"/>
        <v>0</v>
      </c>
      <c r="E72" s="174">
        <f t="shared" si="17"/>
        <v>0</v>
      </c>
      <c r="F72" s="244">
        <f t="shared" si="18"/>
        <v>0</v>
      </c>
      <c r="G72" s="174">
        <f t="shared" si="19"/>
        <v>1</v>
      </c>
      <c r="H72" s="244">
        <f t="shared" si="20"/>
        <v>1</v>
      </c>
      <c r="I72" s="174">
        <f t="shared" si="21"/>
        <v>0</v>
      </c>
      <c r="J72" s="244">
        <f t="shared" si="22"/>
        <v>1</v>
      </c>
      <c r="K72" s="174">
        <f t="shared" si="24"/>
        <v>0</v>
      </c>
      <c r="L72" s="244">
        <f t="shared" si="25"/>
        <v>0</v>
      </c>
      <c r="M72" s="174">
        <v>1</v>
      </c>
      <c r="N72" s="143">
        <f t="shared" si="13"/>
        <v>68</v>
      </c>
      <c r="O72" s="143">
        <f t="shared" si="26"/>
        <v>68</v>
      </c>
    </row>
    <row r="73" spans="1:15" ht="12.75" customHeight="1">
      <c r="A73" s="246">
        <f t="shared" si="23"/>
        <v>94</v>
      </c>
      <c r="B73" s="244">
        <f t="shared" si="14"/>
        <v>0</v>
      </c>
      <c r="C73" s="174">
        <f t="shared" si="15"/>
        <v>1</v>
      </c>
      <c r="D73" s="244">
        <f t="shared" si="16"/>
        <v>0</v>
      </c>
      <c r="E73" s="174">
        <f t="shared" si="17"/>
        <v>0</v>
      </c>
      <c r="F73" s="244">
        <f t="shared" si="18"/>
        <v>0</v>
      </c>
      <c r="G73" s="174">
        <f t="shared" si="19"/>
        <v>1</v>
      </c>
      <c r="H73" s="244">
        <f t="shared" si="20"/>
        <v>1</v>
      </c>
      <c r="I73" s="174">
        <f t="shared" si="21"/>
        <v>1</v>
      </c>
      <c r="J73" s="244">
        <f t="shared" si="22"/>
        <v>0</v>
      </c>
      <c r="K73" s="174">
        <f t="shared" si="24"/>
        <v>0</v>
      </c>
      <c r="L73" s="244">
        <f t="shared" si="25"/>
        <v>0</v>
      </c>
      <c r="M73" s="174">
        <v>1</v>
      </c>
      <c r="N73" s="143">
        <f t="shared" si="13"/>
        <v>69</v>
      </c>
      <c r="O73" s="143">
        <f t="shared" si="26"/>
        <v>69</v>
      </c>
    </row>
    <row r="74" spans="1:15" ht="12.75" customHeight="1">
      <c r="A74" s="246">
        <f t="shared" si="23"/>
        <v>95</v>
      </c>
      <c r="B74" s="244">
        <f t="shared" si="14"/>
        <v>0</v>
      </c>
      <c r="C74" s="174">
        <f t="shared" si="15"/>
        <v>1</v>
      </c>
      <c r="D74" s="244">
        <f t="shared" si="16"/>
        <v>0</v>
      </c>
      <c r="E74" s="174">
        <f t="shared" si="17"/>
        <v>0</v>
      </c>
      <c r="F74" s="244">
        <f t="shared" si="18"/>
        <v>1</v>
      </c>
      <c r="G74" s="174">
        <f t="shared" si="19"/>
        <v>0</v>
      </c>
      <c r="H74" s="244">
        <f t="shared" si="20"/>
        <v>0</v>
      </c>
      <c r="I74" s="174">
        <f t="shared" si="21"/>
        <v>0</v>
      </c>
      <c r="J74" s="244">
        <f t="shared" si="22"/>
        <v>0</v>
      </c>
      <c r="K74" s="174">
        <f t="shared" si="24"/>
        <v>0</v>
      </c>
      <c r="L74" s="244">
        <f t="shared" si="25"/>
        <v>0</v>
      </c>
      <c r="M74" s="174">
        <v>1</v>
      </c>
      <c r="N74" s="143">
        <f t="shared" si="13"/>
        <v>70</v>
      </c>
      <c r="O74" s="143">
        <f t="shared" si="26"/>
        <v>70</v>
      </c>
    </row>
    <row r="75" spans="1:15" ht="12.75" customHeight="1">
      <c r="A75" s="246">
        <f t="shared" si="23"/>
        <v>96</v>
      </c>
      <c r="B75" s="244">
        <f t="shared" si="14"/>
        <v>0</v>
      </c>
      <c r="C75" s="174">
        <f t="shared" si="15"/>
        <v>1</v>
      </c>
      <c r="D75" s="244">
        <f t="shared" si="16"/>
        <v>0</v>
      </c>
      <c r="E75" s="174">
        <f t="shared" si="17"/>
        <v>0</v>
      </c>
      <c r="F75" s="244">
        <f t="shared" si="18"/>
        <v>1</v>
      </c>
      <c r="G75" s="174">
        <f t="shared" si="19"/>
        <v>0</v>
      </c>
      <c r="H75" s="244">
        <f t="shared" si="20"/>
        <v>0</v>
      </c>
      <c r="I75" s="174">
        <f t="shared" si="21"/>
        <v>0</v>
      </c>
      <c r="J75" s="244">
        <f t="shared" si="22"/>
        <v>0</v>
      </c>
      <c r="K75" s="174">
        <f t="shared" si="24"/>
        <v>0</v>
      </c>
      <c r="L75" s="244">
        <f t="shared" si="25"/>
        <v>1</v>
      </c>
      <c r="M75" s="174">
        <v>1</v>
      </c>
      <c r="N75" s="143">
        <f t="shared" si="13"/>
        <v>71</v>
      </c>
      <c r="O75" s="143">
        <f t="shared" si="26"/>
        <v>71</v>
      </c>
    </row>
    <row r="76" spans="1:15" ht="12.75" customHeight="1">
      <c r="A76" s="246">
        <f t="shared" si="23"/>
        <v>97</v>
      </c>
      <c r="B76" s="244">
        <f t="shared" si="14"/>
        <v>0</v>
      </c>
      <c r="C76" s="174">
        <f t="shared" si="15"/>
        <v>1</v>
      </c>
      <c r="D76" s="244">
        <f t="shared" si="16"/>
        <v>0</v>
      </c>
      <c r="E76" s="174">
        <f t="shared" si="17"/>
        <v>0</v>
      </c>
      <c r="F76" s="244">
        <f t="shared" si="18"/>
        <v>1</v>
      </c>
      <c r="G76" s="174">
        <f t="shared" si="19"/>
        <v>0</v>
      </c>
      <c r="H76" s="244">
        <f t="shared" si="20"/>
        <v>0</v>
      </c>
      <c r="I76" s="174">
        <f t="shared" si="21"/>
        <v>0</v>
      </c>
      <c r="J76" s="244">
        <f t="shared" si="22"/>
        <v>0</v>
      </c>
      <c r="K76" s="174">
        <f t="shared" si="24"/>
        <v>1</v>
      </c>
      <c r="L76" s="244">
        <f t="shared" si="25"/>
        <v>0</v>
      </c>
      <c r="M76" s="174">
        <v>1</v>
      </c>
      <c r="N76" s="143">
        <f t="shared" si="13"/>
        <v>72</v>
      </c>
      <c r="O76" s="143">
        <f t="shared" si="26"/>
        <v>72</v>
      </c>
    </row>
    <row r="77" spans="1:15" ht="12.75" customHeight="1">
      <c r="A77" s="246">
        <f t="shared" si="23"/>
        <v>98</v>
      </c>
      <c r="B77" s="244">
        <f t="shared" si="14"/>
        <v>0</v>
      </c>
      <c r="C77" s="174">
        <f t="shared" si="15"/>
        <v>1</v>
      </c>
      <c r="D77" s="244">
        <f t="shared" si="16"/>
        <v>0</v>
      </c>
      <c r="E77" s="174">
        <f t="shared" si="17"/>
        <v>0</v>
      </c>
      <c r="F77" s="244">
        <f t="shared" si="18"/>
        <v>1</v>
      </c>
      <c r="G77" s="174">
        <f t="shared" si="19"/>
        <v>0</v>
      </c>
      <c r="H77" s="244">
        <f t="shared" si="20"/>
        <v>0</v>
      </c>
      <c r="I77" s="174">
        <f t="shared" si="21"/>
        <v>0</v>
      </c>
      <c r="J77" s="244">
        <f t="shared" si="22"/>
        <v>1</v>
      </c>
      <c r="K77" s="174">
        <f t="shared" si="24"/>
        <v>0</v>
      </c>
      <c r="L77" s="244">
        <f t="shared" si="25"/>
        <v>0</v>
      </c>
      <c r="M77" s="174">
        <v>1</v>
      </c>
      <c r="N77" s="143">
        <f t="shared" ref="N77:N140" si="27">N76+1</f>
        <v>73</v>
      </c>
      <c r="O77" s="143">
        <f t="shared" si="26"/>
        <v>73</v>
      </c>
    </row>
    <row r="78" spans="1:15" ht="12.75" customHeight="1">
      <c r="A78" s="246">
        <f t="shared" si="23"/>
        <v>99</v>
      </c>
      <c r="B78" s="244">
        <f t="shared" si="14"/>
        <v>0</v>
      </c>
      <c r="C78" s="174">
        <f t="shared" si="15"/>
        <v>1</v>
      </c>
      <c r="D78" s="244">
        <f t="shared" si="16"/>
        <v>0</v>
      </c>
      <c r="E78" s="174">
        <f t="shared" si="17"/>
        <v>0</v>
      </c>
      <c r="F78" s="244">
        <f t="shared" si="18"/>
        <v>1</v>
      </c>
      <c r="G78" s="174">
        <f t="shared" si="19"/>
        <v>0</v>
      </c>
      <c r="H78" s="244">
        <f t="shared" si="20"/>
        <v>0</v>
      </c>
      <c r="I78" s="174">
        <f t="shared" si="21"/>
        <v>1</v>
      </c>
      <c r="J78" s="244">
        <f t="shared" si="22"/>
        <v>0</v>
      </c>
      <c r="K78" s="174">
        <f t="shared" si="24"/>
        <v>0</v>
      </c>
      <c r="L78" s="244">
        <f t="shared" si="25"/>
        <v>0</v>
      </c>
      <c r="M78" s="174">
        <v>1</v>
      </c>
      <c r="N78" s="143">
        <f t="shared" si="27"/>
        <v>74</v>
      </c>
      <c r="O78" s="143">
        <f t="shared" si="26"/>
        <v>74</v>
      </c>
    </row>
    <row r="79" spans="1:15" ht="12.75" customHeight="1">
      <c r="A79" s="246">
        <f t="shared" si="23"/>
        <v>100</v>
      </c>
      <c r="B79" s="244">
        <f t="shared" si="14"/>
        <v>0</v>
      </c>
      <c r="C79" s="174">
        <f t="shared" si="15"/>
        <v>1</v>
      </c>
      <c r="D79" s="244">
        <f t="shared" si="16"/>
        <v>0</v>
      </c>
      <c r="E79" s="174">
        <f t="shared" si="17"/>
        <v>0</v>
      </c>
      <c r="F79" s="244">
        <f t="shared" si="18"/>
        <v>1</v>
      </c>
      <c r="G79" s="174">
        <f t="shared" si="19"/>
        <v>0</v>
      </c>
      <c r="H79" s="244">
        <f t="shared" si="20"/>
        <v>1</v>
      </c>
      <c r="I79" s="174">
        <f t="shared" si="21"/>
        <v>0</v>
      </c>
      <c r="J79" s="244">
        <f t="shared" si="22"/>
        <v>0</v>
      </c>
      <c r="K79" s="174">
        <f t="shared" si="24"/>
        <v>0</v>
      </c>
      <c r="L79" s="244">
        <f t="shared" si="25"/>
        <v>0</v>
      </c>
      <c r="M79" s="174">
        <v>1</v>
      </c>
      <c r="N79" s="143">
        <f t="shared" si="27"/>
        <v>75</v>
      </c>
      <c r="O79" s="143">
        <f t="shared" si="26"/>
        <v>75</v>
      </c>
    </row>
    <row r="80" spans="1:15" ht="12.75" customHeight="1">
      <c r="A80" s="246">
        <f t="shared" si="23"/>
        <v>101</v>
      </c>
      <c r="B80" s="244">
        <f t="shared" si="14"/>
        <v>0</v>
      </c>
      <c r="C80" s="174">
        <f t="shared" si="15"/>
        <v>1</v>
      </c>
      <c r="D80" s="244">
        <f t="shared" si="16"/>
        <v>0</v>
      </c>
      <c r="E80" s="174">
        <f t="shared" si="17"/>
        <v>0</v>
      </c>
      <c r="F80" s="244">
        <f t="shared" si="18"/>
        <v>1</v>
      </c>
      <c r="G80" s="174">
        <f t="shared" si="19"/>
        <v>0</v>
      </c>
      <c r="H80" s="244">
        <f t="shared" si="20"/>
        <v>1</v>
      </c>
      <c r="I80" s="174">
        <f t="shared" si="21"/>
        <v>0</v>
      </c>
      <c r="J80" s="244">
        <f t="shared" si="22"/>
        <v>0</v>
      </c>
      <c r="K80" s="174">
        <f t="shared" si="24"/>
        <v>0</v>
      </c>
      <c r="L80" s="244">
        <f t="shared" si="25"/>
        <v>1</v>
      </c>
      <c r="M80" s="174">
        <v>1</v>
      </c>
      <c r="N80" s="143">
        <f t="shared" si="27"/>
        <v>76</v>
      </c>
      <c r="O80" s="143">
        <f t="shared" si="26"/>
        <v>76</v>
      </c>
    </row>
    <row r="81" spans="1:15" ht="12.75" customHeight="1">
      <c r="A81" s="246">
        <f t="shared" si="23"/>
        <v>102</v>
      </c>
      <c r="B81" s="244">
        <f t="shared" si="14"/>
        <v>0</v>
      </c>
      <c r="C81" s="174">
        <f t="shared" si="15"/>
        <v>1</v>
      </c>
      <c r="D81" s="244">
        <f t="shared" si="16"/>
        <v>0</v>
      </c>
      <c r="E81" s="174">
        <f t="shared" si="17"/>
        <v>0</v>
      </c>
      <c r="F81" s="244">
        <f t="shared" si="18"/>
        <v>1</v>
      </c>
      <c r="G81" s="174">
        <f t="shared" si="19"/>
        <v>0</v>
      </c>
      <c r="H81" s="244">
        <f t="shared" si="20"/>
        <v>1</v>
      </c>
      <c r="I81" s="174">
        <f t="shared" si="21"/>
        <v>0</v>
      </c>
      <c r="J81" s="244">
        <f t="shared" si="22"/>
        <v>0</v>
      </c>
      <c r="K81" s="174">
        <f t="shared" si="24"/>
        <v>1</v>
      </c>
      <c r="L81" s="244">
        <f t="shared" si="25"/>
        <v>0</v>
      </c>
      <c r="M81" s="174">
        <v>1</v>
      </c>
      <c r="N81" s="143">
        <f t="shared" si="27"/>
        <v>77</v>
      </c>
      <c r="O81" s="143">
        <f t="shared" si="26"/>
        <v>77</v>
      </c>
    </row>
    <row r="82" spans="1:15" ht="12.75" customHeight="1">
      <c r="A82" s="246">
        <f t="shared" si="23"/>
        <v>103</v>
      </c>
      <c r="B82" s="244">
        <f t="shared" si="14"/>
        <v>0</v>
      </c>
      <c r="C82" s="174">
        <f t="shared" si="15"/>
        <v>1</v>
      </c>
      <c r="D82" s="244">
        <f t="shared" si="16"/>
        <v>0</v>
      </c>
      <c r="E82" s="174">
        <f t="shared" si="17"/>
        <v>0</v>
      </c>
      <c r="F82" s="244">
        <f t="shared" si="18"/>
        <v>1</v>
      </c>
      <c r="G82" s="174">
        <f t="shared" si="19"/>
        <v>0</v>
      </c>
      <c r="H82" s="244">
        <f t="shared" si="20"/>
        <v>1</v>
      </c>
      <c r="I82" s="174">
        <f t="shared" si="21"/>
        <v>0</v>
      </c>
      <c r="J82" s="244">
        <f t="shared" si="22"/>
        <v>1</v>
      </c>
      <c r="K82" s="174">
        <f t="shared" si="24"/>
        <v>0</v>
      </c>
      <c r="L82" s="244">
        <f t="shared" si="25"/>
        <v>0</v>
      </c>
      <c r="M82" s="174">
        <v>1</v>
      </c>
      <c r="N82" s="143">
        <f t="shared" si="27"/>
        <v>78</v>
      </c>
      <c r="O82" s="143">
        <f t="shared" si="26"/>
        <v>78</v>
      </c>
    </row>
    <row r="83" spans="1:15" ht="12.75" customHeight="1">
      <c r="A83" s="246">
        <f t="shared" si="23"/>
        <v>104</v>
      </c>
      <c r="B83" s="244">
        <f t="shared" si="14"/>
        <v>0</v>
      </c>
      <c r="C83" s="174">
        <f t="shared" si="15"/>
        <v>1</v>
      </c>
      <c r="D83" s="244">
        <f t="shared" si="16"/>
        <v>0</v>
      </c>
      <c r="E83" s="174">
        <f t="shared" si="17"/>
        <v>0</v>
      </c>
      <c r="F83" s="244">
        <f t="shared" si="18"/>
        <v>1</v>
      </c>
      <c r="G83" s="174">
        <f t="shared" si="19"/>
        <v>0</v>
      </c>
      <c r="H83" s="244">
        <f t="shared" si="20"/>
        <v>1</v>
      </c>
      <c r="I83" s="174">
        <f t="shared" si="21"/>
        <v>1</v>
      </c>
      <c r="J83" s="244">
        <f t="shared" si="22"/>
        <v>0</v>
      </c>
      <c r="K83" s="174">
        <f t="shared" si="24"/>
        <v>0</v>
      </c>
      <c r="L83" s="244">
        <f t="shared" si="25"/>
        <v>0</v>
      </c>
      <c r="M83" s="174">
        <v>1</v>
      </c>
      <c r="N83" s="143">
        <f t="shared" si="27"/>
        <v>79</v>
      </c>
      <c r="O83" s="143">
        <f t="shared" si="26"/>
        <v>79</v>
      </c>
    </row>
    <row r="84" spans="1:15" ht="12.75" customHeight="1">
      <c r="A84" s="246">
        <f t="shared" si="23"/>
        <v>105</v>
      </c>
      <c r="B84" s="244">
        <f t="shared" si="14"/>
        <v>0</v>
      </c>
      <c r="C84" s="174">
        <f t="shared" si="15"/>
        <v>1</v>
      </c>
      <c r="D84" s="244">
        <f t="shared" si="16"/>
        <v>0</v>
      </c>
      <c r="E84" s="174">
        <f t="shared" si="17"/>
        <v>1</v>
      </c>
      <c r="F84" s="244">
        <f t="shared" si="18"/>
        <v>0</v>
      </c>
      <c r="G84" s="174">
        <f t="shared" si="19"/>
        <v>0</v>
      </c>
      <c r="H84" s="244">
        <f t="shared" si="20"/>
        <v>0</v>
      </c>
      <c r="I84" s="174">
        <f t="shared" si="21"/>
        <v>0</v>
      </c>
      <c r="J84" s="244">
        <f t="shared" si="22"/>
        <v>0</v>
      </c>
      <c r="K84" s="174">
        <f t="shared" si="24"/>
        <v>0</v>
      </c>
      <c r="L84" s="244">
        <f t="shared" si="25"/>
        <v>0</v>
      </c>
      <c r="M84" s="174">
        <v>1</v>
      </c>
      <c r="N84" s="143">
        <f t="shared" si="27"/>
        <v>80</v>
      </c>
      <c r="O84" s="143">
        <f t="shared" si="26"/>
        <v>80</v>
      </c>
    </row>
    <row r="85" spans="1:15" ht="12.75" customHeight="1">
      <c r="A85" s="246">
        <f t="shared" si="23"/>
        <v>106</v>
      </c>
      <c r="B85" s="244">
        <f t="shared" si="14"/>
        <v>0</v>
      </c>
      <c r="C85" s="174">
        <f t="shared" si="15"/>
        <v>1</v>
      </c>
      <c r="D85" s="244">
        <f t="shared" si="16"/>
        <v>0</v>
      </c>
      <c r="E85" s="174">
        <f t="shared" si="17"/>
        <v>1</v>
      </c>
      <c r="F85" s="244">
        <f t="shared" si="18"/>
        <v>0</v>
      </c>
      <c r="G85" s="174">
        <f t="shared" si="19"/>
        <v>0</v>
      </c>
      <c r="H85" s="244">
        <f t="shared" si="20"/>
        <v>0</v>
      </c>
      <c r="I85" s="174">
        <f t="shared" si="21"/>
        <v>0</v>
      </c>
      <c r="J85" s="244">
        <f t="shared" si="22"/>
        <v>0</v>
      </c>
      <c r="K85" s="174">
        <f t="shared" si="24"/>
        <v>0</v>
      </c>
      <c r="L85" s="244">
        <f t="shared" si="25"/>
        <v>1</v>
      </c>
      <c r="M85" s="174">
        <v>1</v>
      </c>
      <c r="N85" s="143">
        <f t="shared" si="27"/>
        <v>81</v>
      </c>
      <c r="O85" s="143">
        <f t="shared" si="26"/>
        <v>81</v>
      </c>
    </row>
    <row r="86" spans="1:15" ht="12.75" customHeight="1">
      <c r="A86" s="246">
        <f t="shared" si="23"/>
        <v>107</v>
      </c>
      <c r="B86" s="244">
        <f t="shared" si="14"/>
        <v>0</v>
      </c>
      <c r="C86" s="174">
        <f t="shared" si="15"/>
        <v>1</v>
      </c>
      <c r="D86" s="244">
        <f t="shared" si="16"/>
        <v>0</v>
      </c>
      <c r="E86" s="174">
        <f t="shared" si="17"/>
        <v>1</v>
      </c>
      <c r="F86" s="244">
        <f t="shared" si="18"/>
        <v>0</v>
      </c>
      <c r="G86" s="174">
        <f t="shared" si="19"/>
        <v>0</v>
      </c>
      <c r="H86" s="244">
        <f t="shared" si="20"/>
        <v>0</v>
      </c>
      <c r="I86" s="174">
        <f t="shared" si="21"/>
        <v>0</v>
      </c>
      <c r="J86" s="244">
        <f t="shared" si="22"/>
        <v>0</v>
      </c>
      <c r="K86" s="174">
        <f t="shared" si="24"/>
        <v>1</v>
      </c>
      <c r="L86" s="244">
        <f t="shared" si="25"/>
        <v>0</v>
      </c>
      <c r="M86" s="174">
        <v>1</v>
      </c>
      <c r="N86" s="143">
        <f t="shared" si="27"/>
        <v>82</v>
      </c>
      <c r="O86" s="143">
        <f t="shared" si="26"/>
        <v>82</v>
      </c>
    </row>
    <row r="87" spans="1:15" ht="12.75" customHeight="1">
      <c r="A87" s="246">
        <f t="shared" si="23"/>
        <v>108</v>
      </c>
      <c r="B87" s="244">
        <f t="shared" si="14"/>
        <v>0</v>
      </c>
      <c r="C87" s="174">
        <f t="shared" si="15"/>
        <v>1</v>
      </c>
      <c r="D87" s="244">
        <f t="shared" si="16"/>
        <v>0</v>
      </c>
      <c r="E87" s="174">
        <f t="shared" si="17"/>
        <v>1</v>
      </c>
      <c r="F87" s="244">
        <f t="shared" si="18"/>
        <v>0</v>
      </c>
      <c r="G87" s="174">
        <f t="shared" si="19"/>
        <v>0</v>
      </c>
      <c r="H87" s="244">
        <f t="shared" si="20"/>
        <v>0</v>
      </c>
      <c r="I87" s="174">
        <f t="shared" si="21"/>
        <v>0</v>
      </c>
      <c r="J87" s="244">
        <f t="shared" si="22"/>
        <v>1</v>
      </c>
      <c r="K87" s="174">
        <f t="shared" si="24"/>
        <v>0</v>
      </c>
      <c r="L87" s="244">
        <f t="shared" si="25"/>
        <v>0</v>
      </c>
      <c r="M87" s="174">
        <v>1</v>
      </c>
      <c r="N87" s="143">
        <f t="shared" si="27"/>
        <v>83</v>
      </c>
      <c r="O87" s="143">
        <f t="shared" si="26"/>
        <v>83</v>
      </c>
    </row>
    <row r="88" spans="1:15" ht="12.75" customHeight="1">
      <c r="A88" s="246">
        <f t="shared" si="23"/>
        <v>109</v>
      </c>
      <c r="B88" s="244">
        <f t="shared" si="14"/>
        <v>0</v>
      </c>
      <c r="C88" s="174">
        <f t="shared" si="15"/>
        <v>1</v>
      </c>
      <c r="D88" s="244">
        <f t="shared" si="16"/>
        <v>0</v>
      </c>
      <c r="E88" s="174">
        <f t="shared" si="17"/>
        <v>1</v>
      </c>
      <c r="F88" s="244">
        <f t="shared" si="18"/>
        <v>0</v>
      </c>
      <c r="G88" s="174">
        <f t="shared" si="19"/>
        <v>0</v>
      </c>
      <c r="H88" s="244">
        <f t="shared" si="20"/>
        <v>0</v>
      </c>
      <c r="I88" s="174">
        <f t="shared" si="21"/>
        <v>1</v>
      </c>
      <c r="J88" s="244">
        <f t="shared" si="22"/>
        <v>0</v>
      </c>
      <c r="K88" s="174">
        <f t="shared" si="24"/>
        <v>0</v>
      </c>
      <c r="L88" s="244">
        <f t="shared" si="25"/>
        <v>0</v>
      </c>
      <c r="M88" s="174">
        <v>1</v>
      </c>
      <c r="N88" s="143">
        <f t="shared" si="27"/>
        <v>84</v>
      </c>
      <c r="O88" s="143">
        <f t="shared" si="26"/>
        <v>84</v>
      </c>
    </row>
    <row r="89" spans="1:15" ht="12.75" customHeight="1">
      <c r="A89" s="246">
        <f t="shared" si="23"/>
        <v>110</v>
      </c>
      <c r="B89" s="244">
        <f t="shared" si="14"/>
        <v>0</v>
      </c>
      <c r="C89" s="174">
        <f t="shared" si="15"/>
        <v>1</v>
      </c>
      <c r="D89" s="244">
        <f t="shared" si="16"/>
        <v>0</v>
      </c>
      <c r="E89" s="174">
        <f t="shared" si="17"/>
        <v>1</v>
      </c>
      <c r="F89" s="244">
        <f t="shared" si="18"/>
        <v>0</v>
      </c>
      <c r="G89" s="174">
        <f t="shared" si="19"/>
        <v>0</v>
      </c>
      <c r="H89" s="244">
        <f t="shared" si="20"/>
        <v>1</v>
      </c>
      <c r="I89" s="174">
        <f t="shared" si="21"/>
        <v>0</v>
      </c>
      <c r="J89" s="244">
        <f t="shared" si="22"/>
        <v>0</v>
      </c>
      <c r="K89" s="174">
        <f t="shared" si="24"/>
        <v>0</v>
      </c>
      <c r="L89" s="244">
        <f t="shared" si="25"/>
        <v>0</v>
      </c>
      <c r="M89" s="174">
        <v>1</v>
      </c>
      <c r="N89" s="143">
        <f t="shared" si="27"/>
        <v>85</v>
      </c>
      <c r="O89" s="143">
        <f t="shared" si="26"/>
        <v>85</v>
      </c>
    </row>
    <row r="90" spans="1:15" ht="12.75" customHeight="1">
      <c r="A90" s="246">
        <f t="shared" si="23"/>
        <v>111</v>
      </c>
      <c r="B90" s="244">
        <f t="shared" si="14"/>
        <v>0</v>
      </c>
      <c r="C90" s="174">
        <f t="shared" si="15"/>
        <v>1</v>
      </c>
      <c r="D90" s="244">
        <f t="shared" si="16"/>
        <v>0</v>
      </c>
      <c r="E90" s="174">
        <f t="shared" si="17"/>
        <v>1</v>
      </c>
      <c r="F90" s="244">
        <f t="shared" si="18"/>
        <v>0</v>
      </c>
      <c r="G90" s="174">
        <f t="shared" si="19"/>
        <v>0</v>
      </c>
      <c r="H90" s="244">
        <f t="shared" si="20"/>
        <v>1</v>
      </c>
      <c r="I90" s="174">
        <f t="shared" si="21"/>
        <v>0</v>
      </c>
      <c r="J90" s="244">
        <f t="shared" si="22"/>
        <v>0</v>
      </c>
      <c r="K90" s="174">
        <f t="shared" si="24"/>
        <v>0</v>
      </c>
      <c r="L90" s="244">
        <f t="shared" si="25"/>
        <v>1</v>
      </c>
      <c r="M90" s="174">
        <v>1</v>
      </c>
      <c r="N90" s="143">
        <f t="shared" si="27"/>
        <v>86</v>
      </c>
      <c r="O90" s="143">
        <f t="shared" si="26"/>
        <v>86</v>
      </c>
    </row>
    <row r="91" spans="1:15" ht="12.75" customHeight="1">
      <c r="A91" s="246">
        <f t="shared" si="23"/>
        <v>112</v>
      </c>
      <c r="B91" s="244">
        <f t="shared" si="14"/>
        <v>0</v>
      </c>
      <c r="C91" s="174">
        <f t="shared" si="15"/>
        <v>1</v>
      </c>
      <c r="D91" s="244">
        <f t="shared" si="16"/>
        <v>0</v>
      </c>
      <c r="E91" s="174">
        <f t="shared" si="17"/>
        <v>1</v>
      </c>
      <c r="F91" s="244">
        <f t="shared" si="18"/>
        <v>0</v>
      </c>
      <c r="G91" s="174">
        <f t="shared" si="19"/>
        <v>0</v>
      </c>
      <c r="H91" s="244">
        <f t="shared" si="20"/>
        <v>1</v>
      </c>
      <c r="I91" s="174">
        <f t="shared" si="21"/>
        <v>0</v>
      </c>
      <c r="J91" s="244">
        <f t="shared" si="22"/>
        <v>0</v>
      </c>
      <c r="K91" s="174">
        <f t="shared" si="24"/>
        <v>1</v>
      </c>
      <c r="L91" s="244">
        <f t="shared" si="25"/>
        <v>0</v>
      </c>
      <c r="M91" s="174">
        <v>1</v>
      </c>
      <c r="N91" s="143">
        <f t="shared" si="27"/>
        <v>87</v>
      </c>
      <c r="O91" s="143">
        <f t="shared" si="26"/>
        <v>87</v>
      </c>
    </row>
    <row r="92" spans="1:15" ht="12.75" customHeight="1">
      <c r="A92" s="246">
        <f t="shared" si="23"/>
        <v>113</v>
      </c>
      <c r="B92" s="244">
        <f t="shared" si="14"/>
        <v>0</v>
      </c>
      <c r="C92" s="174">
        <f t="shared" si="15"/>
        <v>1</v>
      </c>
      <c r="D92" s="244">
        <f t="shared" si="16"/>
        <v>0</v>
      </c>
      <c r="E92" s="174">
        <f t="shared" si="17"/>
        <v>1</v>
      </c>
      <c r="F92" s="244">
        <f t="shared" si="18"/>
        <v>0</v>
      </c>
      <c r="G92" s="174">
        <f t="shared" si="19"/>
        <v>0</v>
      </c>
      <c r="H92" s="244">
        <f t="shared" si="20"/>
        <v>1</v>
      </c>
      <c r="I92" s="174">
        <f t="shared" si="21"/>
        <v>0</v>
      </c>
      <c r="J92" s="244">
        <f t="shared" si="22"/>
        <v>1</v>
      </c>
      <c r="K92" s="174">
        <f t="shared" si="24"/>
        <v>0</v>
      </c>
      <c r="L92" s="244">
        <f t="shared" si="25"/>
        <v>0</v>
      </c>
      <c r="M92" s="174">
        <v>1</v>
      </c>
      <c r="N92" s="143">
        <f t="shared" si="27"/>
        <v>88</v>
      </c>
      <c r="O92" s="143">
        <f t="shared" si="26"/>
        <v>88</v>
      </c>
    </row>
    <row r="93" spans="1:15" ht="12.75" customHeight="1">
      <c r="A93" s="246">
        <f t="shared" si="23"/>
        <v>114</v>
      </c>
      <c r="B93" s="244">
        <f t="shared" si="14"/>
        <v>0</v>
      </c>
      <c r="C93" s="174">
        <f t="shared" si="15"/>
        <v>1</v>
      </c>
      <c r="D93" s="244">
        <f t="shared" si="16"/>
        <v>0</v>
      </c>
      <c r="E93" s="174">
        <f t="shared" si="17"/>
        <v>1</v>
      </c>
      <c r="F93" s="244">
        <f t="shared" si="18"/>
        <v>0</v>
      </c>
      <c r="G93" s="174">
        <f t="shared" si="19"/>
        <v>0</v>
      </c>
      <c r="H93" s="244">
        <f t="shared" si="20"/>
        <v>1</v>
      </c>
      <c r="I93" s="174">
        <f t="shared" si="21"/>
        <v>1</v>
      </c>
      <c r="J93" s="244">
        <f t="shared" si="22"/>
        <v>0</v>
      </c>
      <c r="K93" s="174">
        <f t="shared" si="24"/>
        <v>0</v>
      </c>
      <c r="L93" s="244">
        <f t="shared" si="25"/>
        <v>0</v>
      </c>
      <c r="M93" s="174">
        <v>1</v>
      </c>
      <c r="N93" s="143">
        <f t="shared" si="27"/>
        <v>89</v>
      </c>
      <c r="O93" s="143">
        <f t="shared" si="26"/>
        <v>89</v>
      </c>
    </row>
    <row r="94" spans="1:15" ht="12.75" customHeight="1">
      <c r="A94" s="246">
        <f t="shared" si="23"/>
        <v>115</v>
      </c>
      <c r="B94" s="244">
        <f t="shared" si="14"/>
        <v>0</v>
      </c>
      <c r="C94" s="174">
        <f t="shared" si="15"/>
        <v>1</v>
      </c>
      <c r="D94" s="244">
        <f t="shared" si="16"/>
        <v>0</v>
      </c>
      <c r="E94" s="174">
        <f t="shared" si="17"/>
        <v>1</v>
      </c>
      <c r="F94" s="244">
        <f t="shared" si="18"/>
        <v>0</v>
      </c>
      <c r="G94" s="174">
        <f t="shared" si="19"/>
        <v>1</v>
      </c>
      <c r="H94" s="244">
        <f t="shared" si="20"/>
        <v>0</v>
      </c>
      <c r="I94" s="174">
        <f t="shared" si="21"/>
        <v>0</v>
      </c>
      <c r="J94" s="244">
        <f t="shared" si="22"/>
        <v>0</v>
      </c>
      <c r="K94" s="174">
        <f t="shared" si="24"/>
        <v>0</v>
      </c>
      <c r="L94" s="244">
        <f t="shared" si="25"/>
        <v>0</v>
      </c>
      <c r="M94" s="174">
        <v>1</v>
      </c>
      <c r="N94" s="143">
        <f t="shared" si="27"/>
        <v>90</v>
      </c>
      <c r="O94" s="143">
        <f t="shared" si="26"/>
        <v>90</v>
      </c>
    </row>
    <row r="95" spans="1:15" ht="12.75" customHeight="1">
      <c r="A95" s="246">
        <f t="shared" si="23"/>
        <v>116</v>
      </c>
      <c r="B95" s="244">
        <f t="shared" si="14"/>
        <v>0</v>
      </c>
      <c r="C95" s="174">
        <f t="shared" si="15"/>
        <v>1</v>
      </c>
      <c r="D95" s="244">
        <f t="shared" si="16"/>
        <v>0</v>
      </c>
      <c r="E95" s="174">
        <f t="shared" si="17"/>
        <v>1</v>
      </c>
      <c r="F95" s="244">
        <f t="shared" si="18"/>
        <v>0</v>
      </c>
      <c r="G95" s="174">
        <f t="shared" si="19"/>
        <v>1</v>
      </c>
      <c r="H95" s="244">
        <f t="shared" si="20"/>
        <v>0</v>
      </c>
      <c r="I95" s="174">
        <f t="shared" si="21"/>
        <v>0</v>
      </c>
      <c r="J95" s="244">
        <f t="shared" si="22"/>
        <v>0</v>
      </c>
      <c r="K95" s="174">
        <f t="shared" si="24"/>
        <v>0</v>
      </c>
      <c r="L95" s="244">
        <f t="shared" si="25"/>
        <v>1</v>
      </c>
      <c r="M95" s="174">
        <v>1</v>
      </c>
      <c r="N95" s="143">
        <f t="shared" si="27"/>
        <v>91</v>
      </c>
      <c r="O95" s="143">
        <f t="shared" si="26"/>
        <v>91</v>
      </c>
    </row>
    <row r="96" spans="1:15" ht="12.75" customHeight="1">
      <c r="A96" s="246">
        <f t="shared" si="23"/>
        <v>117</v>
      </c>
      <c r="B96" s="244">
        <f t="shared" si="14"/>
        <v>0</v>
      </c>
      <c r="C96" s="174">
        <f t="shared" si="15"/>
        <v>1</v>
      </c>
      <c r="D96" s="244">
        <f t="shared" si="16"/>
        <v>0</v>
      </c>
      <c r="E96" s="174">
        <f t="shared" si="17"/>
        <v>1</v>
      </c>
      <c r="F96" s="244">
        <f t="shared" si="18"/>
        <v>0</v>
      </c>
      <c r="G96" s="174">
        <f t="shared" si="19"/>
        <v>1</v>
      </c>
      <c r="H96" s="244">
        <f t="shared" si="20"/>
        <v>0</v>
      </c>
      <c r="I96" s="174">
        <f t="shared" si="21"/>
        <v>0</v>
      </c>
      <c r="J96" s="244">
        <f t="shared" si="22"/>
        <v>0</v>
      </c>
      <c r="K96" s="174">
        <f t="shared" si="24"/>
        <v>1</v>
      </c>
      <c r="L96" s="244">
        <f t="shared" si="25"/>
        <v>0</v>
      </c>
      <c r="M96" s="174">
        <v>1</v>
      </c>
      <c r="N96" s="143">
        <f t="shared" si="27"/>
        <v>92</v>
      </c>
      <c r="O96" s="143">
        <f t="shared" si="26"/>
        <v>92</v>
      </c>
    </row>
    <row r="97" spans="1:15" ht="12.75" customHeight="1">
      <c r="A97" s="246">
        <f t="shared" si="23"/>
        <v>118</v>
      </c>
      <c r="B97" s="244">
        <f t="shared" si="14"/>
        <v>0</v>
      </c>
      <c r="C97" s="174">
        <f t="shared" si="15"/>
        <v>1</v>
      </c>
      <c r="D97" s="244">
        <f t="shared" si="16"/>
        <v>0</v>
      </c>
      <c r="E97" s="174">
        <f t="shared" si="17"/>
        <v>1</v>
      </c>
      <c r="F97" s="244">
        <f t="shared" si="18"/>
        <v>0</v>
      </c>
      <c r="G97" s="174">
        <f t="shared" si="19"/>
        <v>1</v>
      </c>
      <c r="H97" s="244">
        <f t="shared" si="20"/>
        <v>0</v>
      </c>
      <c r="I97" s="174">
        <f t="shared" si="21"/>
        <v>0</v>
      </c>
      <c r="J97" s="244">
        <f t="shared" si="22"/>
        <v>1</v>
      </c>
      <c r="K97" s="174">
        <f t="shared" si="24"/>
        <v>0</v>
      </c>
      <c r="L97" s="244">
        <f t="shared" si="25"/>
        <v>0</v>
      </c>
      <c r="M97" s="174">
        <v>1</v>
      </c>
      <c r="N97" s="143">
        <f t="shared" si="27"/>
        <v>93</v>
      </c>
      <c r="O97" s="143">
        <f t="shared" si="26"/>
        <v>93</v>
      </c>
    </row>
    <row r="98" spans="1:15" ht="12.75" customHeight="1">
      <c r="A98" s="246">
        <f t="shared" si="23"/>
        <v>119</v>
      </c>
      <c r="B98" s="244">
        <f t="shared" si="14"/>
        <v>0</v>
      </c>
      <c r="C98" s="174">
        <f t="shared" si="15"/>
        <v>1</v>
      </c>
      <c r="D98" s="244">
        <f t="shared" si="16"/>
        <v>0</v>
      </c>
      <c r="E98" s="174">
        <f t="shared" si="17"/>
        <v>1</v>
      </c>
      <c r="F98" s="244">
        <f t="shared" si="18"/>
        <v>0</v>
      </c>
      <c r="G98" s="174">
        <f t="shared" si="19"/>
        <v>1</v>
      </c>
      <c r="H98" s="244">
        <f t="shared" si="20"/>
        <v>0</v>
      </c>
      <c r="I98" s="174">
        <f t="shared" si="21"/>
        <v>1</v>
      </c>
      <c r="J98" s="244">
        <f t="shared" si="22"/>
        <v>0</v>
      </c>
      <c r="K98" s="174">
        <f t="shared" si="24"/>
        <v>0</v>
      </c>
      <c r="L98" s="244">
        <f t="shared" si="25"/>
        <v>0</v>
      </c>
      <c r="M98" s="174">
        <v>1</v>
      </c>
      <c r="N98" s="143">
        <f t="shared" si="27"/>
        <v>94</v>
      </c>
      <c r="O98" s="143">
        <f t="shared" si="26"/>
        <v>94</v>
      </c>
    </row>
    <row r="99" spans="1:15" ht="12.75" customHeight="1">
      <c r="A99" s="246">
        <f t="shared" si="23"/>
        <v>120</v>
      </c>
      <c r="B99" s="244">
        <f t="shared" si="14"/>
        <v>0</v>
      </c>
      <c r="C99" s="174">
        <f t="shared" si="15"/>
        <v>1</v>
      </c>
      <c r="D99" s="244">
        <f t="shared" si="16"/>
        <v>0</v>
      </c>
      <c r="E99" s="174">
        <f t="shared" si="17"/>
        <v>1</v>
      </c>
      <c r="F99" s="244">
        <f t="shared" si="18"/>
        <v>0</v>
      </c>
      <c r="G99" s="174">
        <f t="shared" si="19"/>
        <v>1</v>
      </c>
      <c r="H99" s="244">
        <f t="shared" si="20"/>
        <v>1</v>
      </c>
      <c r="I99" s="174">
        <f t="shared" si="21"/>
        <v>0</v>
      </c>
      <c r="J99" s="244">
        <f t="shared" si="22"/>
        <v>0</v>
      </c>
      <c r="K99" s="174">
        <f t="shared" si="24"/>
        <v>0</v>
      </c>
      <c r="L99" s="244">
        <f t="shared" si="25"/>
        <v>0</v>
      </c>
      <c r="M99" s="174">
        <v>1</v>
      </c>
      <c r="N99" s="143">
        <f t="shared" si="27"/>
        <v>95</v>
      </c>
      <c r="O99" s="143">
        <f t="shared" si="26"/>
        <v>95</v>
      </c>
    </row>
    <row r="100" spans="1:15" ht="12.75" customHeight="1">
      <c r="A100" s="246">
        <f t="shared" si="23"/>
        <v>121</v>
      </c>
      <c r="B100" s="244">
        <f t="shared" si="14"/>
        <v>0</v>
      </c>
      <c r="C100" s="174">
        <f t="shared" si="15"/>
        <v>1</v>
      </c>
      <c r="D100" s="244">
        <f t="shared" si="16"/>
        <v>0</v>
      </c>
      <c r="E100" s="174">
        <f t="shared" si="17"/>
        <v>1</v>
      </c>
      <c r="F100" s="244">
        <f t="shared" si="18"/>
        <v>0</v>
      </c>
      <c r="G100" s="174">
        <f t="shared" si="19"/>
        <v>1</v>
      </c>
      <c r="H100" s="244">
        <f t="shared" si="20"/>
        <v>1</v>
      </c>
      <c r="I100" s="174">
        <f t="shared" si="21"/>
        <v>0</v>
      </c>
      <c r="J100" s="244">
        <f t="shared" si="22"/>
        <v>0</v>
      </c>
      <c r="K100" s="174">
        <f t="shared" si="24"/>
        <v>0</v>
      </c>
      <c r="L100" s="244">
        <f t="shared" si="25"/>
        <v>1</v>
      </c>
      <c r="M100" s="174">
        <v>1</v>
      </c>
      <c r="N100" s="143">
        <f t="shared" si="27"/>
        <v>96</v>
      </c>
      <c r="O100" s="143">
        <f t="shared" si="26"/>
        <v>96</v>
      </c>
    </row>
    <row r="101" spans="1:15" ht="12.75" customHeight="1">
      <c r="A101" s="246">
        <f t="shared" si="23"/>
        <v>122</v>
      </c>
      <c r="B101" s="244">
        <f t="shared" si="14"/>
        <v>0</v>
      </c>
      <c r="C101" s="174">
        <f t="shared" si="15"/>
        <v>1</v>
      </c>
      <c r="D101" s="244">
        <f t="shared" si="16"/>
        <v>0</v>
      </c>
      <c r="E101" s="174">
        <f t="shared" si="17"/>
        <v>1</v>
      </c>
      <c r="F101" s="244">
        <f t="shared" si="18"/>
        <v>0</v>
      </c>
      <c r="G101" s="174">
        <f t="shared" si="19"/>
        <v>1</v>
      </c>
      <c r="H101" s="244">
        <f t="shared" si="20"/>
        <v>1</v>
      </c>
      <c r="I101" s="174">
        <f t="shared" si="21"/>
        <v>0</v>
      </c>
      <c r="J101" s="244">
        <f t="shared" si="22"/>
        <v>0</v>
      </c>
      <c r="K101" s="174">
        <f t="shared" si="24"/>
        <v>1</v>
      </c>
      <c r="L101" s="244">
        <f t="shared" si="25"/>
        <v>0</v>
      </c>
      <c r="M101" s="174">
        <v>1</v>
      </c>
      <c r="N101" s="143">
        <f t="shared" si="27"/>
        <v>97</v>
      </c>
      <c r="O101" s="143">
        <f t="shared" si="26"/>
        <v>97</v>
      </c>
    </row>
    <row r="102" spans="1:15" ht="12.75" customHeight="1">
      <c r="A102" s="246">
        <f t="shared" si="23"/>
        <v>123</v>
      </c>
      <c r="B102" s="244">
        <f t="shared" si="14"/>
        <v>0</v>
      </c>
      <c r="C102" s="174">
        <f t="shared" si="15"/>
        <v>1</v>
      </c>
      <c r="D102" s="244">
        <f t="shared" si="16"/>
        <v>0</v>
      </c>
      <c r="E102" s="174">
        <f t="shared" si="17"/>
        <v>1</v>
      </c>
      <c r="F102" s="244">
        <f t="shared" si="18"/>
        <v>0</v>
      </c>
      <c r="G102" s="174">
        <f t="shared" si="19"/>
        <v>1</v>
      </c>
      <c r="H102" s="244">
        <f t="shared" si="20"/>
        <v>1</v>
      </c>
      <c r="I102" s="174">
        <f t="shared" si="21"/>
        <v>0</v>
      </c>
      <c r="J102" s="244">
        <f t="shared" si="22"/>
        <v>1</v>
      </c>
      <c r="K102" s="174">
        <f t="shared" si="24"/>
        <v>0</v>
      </c>
      <c r="L102" s="244">
        <f t="shared" si="25"/>
        <v>0</v>
      </c>
      <c r="M102" s="174">
        <v>1</v>
      </c>
      <c r="N102" s="143">
        <f t="shared" si="27"/>
        <v>98</v>
      </c>
      <c r="O102" s="143">
        <f t="shared" si="26"/>
        <v>98</v>
      </c>
    </row>
    <row r="103" spans="1:15" ht="12.75" customHeight="1">
      <c r="A103" s="246">
        <f t="shared" si="23"/>
        <v>124</v>
      </c>
      <c r="B103" s="244">
        <f t="shared" si="14"/>
        <v>0</v>
      </c>
      <c r="C103" s="174">
        <f t="shared" si="15"/>
        <v>1</v>
      </c>
      <c r="D103" s="244">
        <f t="shared" si="16"/>
        <v>0</v>
      </c>
      <c r="E103" s="174">
        <f t="shared" si="17"/>
        <v>1</v>
      </c>
      <c r="F103" s="244">
        <f t="shared" si="18"/>
        <v>0</v>
      </c>
      <c r="G103" s="174">
        <f t="shared" si="19"/>
        <v>1</v>
      </c>
      <c r="H103" s="244">
        <f t="shared" si="20"/>
        <v>1</v>
      </c>
      <c r="I103" s="174">
        <f t="shared" si="21"/>
        <v>1</v>
      </c>
      <c r="J103" s="244">
        <f t="shared" si="22"/>
        <v>0</v>
      </c>
      <c r="K103" s="174">
        <f t="shared" si="24"/>
        <v>0</v>
      </c>
      <c r="L103" s="244">
        <f t="shared" si="25"/>
        <v>0</v>
      </c>
      <c r="M103" s="174">
        <v>1</v>
      </c>
      <c r="N103" s="143">
        <f t="shared" si="27"/>
        <v>99</v>
      </c>
      <c r="O103" s="143">
        <f t="shared" si="26"/>
        <v>99</v>
      </c>
    </row>
    <row r="104" spans="1:15" ht="12.75" customHeight="1">
      <c r="A104" s="246">
        <f t="shared" si="23"/>
        <v>125</v>
      </c>
      <c r="B104" s="244">
        <f t="shared" si="14"/>
        <v>1</v>
      </c>
      <c r="C104" s="174">
        <f t="shared" si="15"/>
        <v>0</v>
      </c>
      <c r="D104" s="244">
        <f t="shared" si="16"/>
        <v>0</v>
      </c>
      <c r="E104" s="174">
        <f t="shared" si="17"/>
        <v>0</v>
      </c>
      <c r="F104" s="244">
        <f t="shared" si="18"/>
        <v>0</v>
      </c>
      <c r="G104" s="174">
        <f t="shared" si="19"/>
        <v>0</v>
      </c>
      <c r="H104" s="244">
        <f t="shared" si="20"/>
        <v>0</v>
      </c>
      <c r="I104" s="174">
        <f t="shared" si="21"/>
        <v>0</v>
      </c>
      <c r="J104" s="244">
        <f t="shared" si="22"/>
        <v>0</v>
      </c>
      <c r="K104" s="174">
        <f t="shared" si="24"/>
        <v>0</v>
      </c>
      <c r="L104" s="244">
        <f t="shared" si="25"/>
        <v>0</v>
      </c>
      <c r="M104" s="174">
        <v>1</v>
      </c>
      <c r="N104" s="143">
        <f t="shared" si="27"/>
        <v>100</v>
      </c>
      <c r="O104" s="143">
        <f t="shared" si="26"/>
        <v>100</v>
      </c>
    </row>
    <row r="105" spans="1:15" ht="12.75" customHeight="1">
      <c r="A105" s="246">
        <f t="shared" si="23"/>
        <v>126</v>
      </c>
      <c r="B105" s="244">
        <f t="shared" si="14"/>
        <v>1</v>
      </c>
      <c r="C105" s="174">
        <f t="shared" si="15"/>
        <v>0</v>
      </c>
      <c r="D105" s="244">
        <f t="shared" si="16"/>
        <v>0</v>
      </c>
      <c r="E105" s="174">
        <f t="shared" si="17"/>
        <v>0</v>
      </c>
      <c r="F105" s="244">
        <f t="shared" si="18"/>
        <v>0</v>
      </c>
      <c r="G105" s="174">
        <f t="shared" si="19"/>
        <v>0</v>
      </c>
      <c r="H105" s="244">
        <f t="shared" si="20"/>
        <v>0</v>
      </c>
      <c r="I105" s="174">
        <f t="shared" si="21"/>
        <v>0</v>
      </c>
      <c r="J105" s="244">
        <f t="shared" si="22"/>
        <v>0</v>
      </c>
      <c r="K105" s="174">
        <f t="shared" si="24"/>
        <v>0</v>
      </c>
      <c r="L105" s="244">
        <f t="shared" si="25"/>
        <v>1</v>
      </c>
      <c r="M105" s="174">
        <v>1</v>
      </c>
      <c r="N105" s="143">
        <f t="shared" si="27"/>
        <v>101</v>
      </c>
      <c r="O105" s="143">
        <f t="shared" si="26"/>
        <v>101</v>
      </c>
    </row>
    <row r="106" spans="1:15" ht="12.75" customHeight="1">
      <c r="A106" s="246">
        <f t="shared" si="23"/>
        <v>127</v>
      </c>
      <c r="B106" s="244">
        <f t="shared" si="14"/>
        <v>1</v>
      </c>
      <c r="C106" s="174">
        <f t="shared" si="15"/>
        <v>0</v>
      </c>
      <c r="D106" s="244">
        <f t="shared" si="16"/>
        <v>0</v>
      </c>
      <c r="E106" s="174">
        <f t="shared" si="17"/>
        <v>0</v>
      </c>
      <c r="F106" s="244">
        <f t="shared" si="18"/>
        <v>0</v>
      </c>
      <c r="G106" s="174">
        <f t="shared" si="19"/>
        <v>0</v>
      </c>
      <c r="H106" s="244">
        <f t="shared" si="20"/>
        <v>0</v>
      </c>
      <c r="I106" s="174">
        <f t="shared" si="21"/>
        <v>0</v>
      </c>
      <c r="J106" s="244">
        <f t="shared" si="22"/>
        <v>0</v>
      </c>
      <c r="K106" s="174">
        <f t="shared" si="24"/>
        <v>1</v>
      </c>
      <c r="L106" s="244">
        <f t="shared" si="25"/>
        <v>0</v>
      </c>
      <c r="M106" s="174">
        <v>1</v>
      </c>
      <c r="N106" s="143">
        <f t="shared" si="27"/>
        <v>102</v>
      </c>
      <c r="O106" s="143">
        <f t="shared" si="26"/>
        <v>102</v>
      </c>
    </row>
    <row r="107" spans="1:15" ht="12.75" customHeight="1">
      <c r="A107" s="246">
        <f t="shared" si="23"/>
        <v>128</v>
      </c>
      <c r="B107" s="244">
        <f t="shared" si="14"/>
        <v>1</v>
      </c>
      <c r="C107" s="174">
        <f t="shared" si="15"/>
        <v>0</v>
      </c>
      <c r="D107" s="244">
        <f t="shared" si="16"/>
        <v>0</v>
      </c>
      <c r="E107" s="174">
        <f t="shared" si="17"/>
        <v>0</v>
      </c>
      <c r="F107" s="244">
        <f t="shared" si="18"/>
        <v>0</v>
      </c>
      <c r="G107" s="174">
        <f t="shared" si="19"/>
        <v>0</v>
      </c>
      <c r="H107" s="244">
        <f t="shared" si="20"/>
        <v>0</v>
      </c>
      <c r="I107" s="174">
        <f t="shared" si="21"/>
        <v>0</v>
      </c>
      <c r="J107" s="244">
        <f t="shared" si="22"/>
        <v>1</v>
      </c>
      <c r="K107" s="174">
        <f t="shared" si="24"/>
        <v>0</v>
      </c>
      <c r="L107" s="244">
        <f t="shared" si="25"/>
        <v>0</v>
      </c>
      <c r="M107" s="174">
        <v>1</v>
      </c>
      <c r="N107" s="143">
        <f t="shared" si="27"/>
        <v>103</v>
      </c>
      <c r="O107" s="143">
        <f t="shared" si="26"/>
        <v>103</v>
      </c>
    </row>
    <row r="108" spans="1:15" ht="12.75" customHeight="1">
      <c r="A108" s="246">
        <f t="shared" si="23"/>
        <v>129</v>
      </c>
      <c r="B108" s="244">
        <f t="shared" si="14"/>
        <v>1</v>
      </c>
      <c r="C108" s="174">
        <f t="shared" si="15"/>
        <v>0</v>
      </c>
      <c r="D108" s="244">
        <f t="shared" si="16"/>
        <v>0</v>
      </c>
      <c r="E108" s="174">
        <f t="shared" si="17"/>
        <v>0</v>
      </c>
      <c r="F108" s="244">
        <f t="shared" si="18"/>
        <v>0</v>
      </c>
      <c r="G108" s="174">
        <f t="shared" si="19"/>
        <v>0</v>
      </c>
      <c r="H108" s="244">
        <f t="shared" si="20"/>
        <v>0</v>
      </c>
      <c r="I108" s="174">
        <f t="shared" si="21"/>
        <v>1</v>
      </c>
      <c r="J108" s="244">
        <f t="shared" si="22"/>
        <v>0</v>
      </c>
      <c r="K108" s="174">
        <f t="shared" si="24"/>
        <v>0</v>
      </c>
      <c r="L108" s="244">
        <f t="shared" si="25"/>
        <v>0</v>
      </c>
      <c r="M108" s="174">
        <v>1</v>
      </c>
      <c r="N108" s="143">
        <f t="shared" si="27"/>
        <v>104</v>
      </c>
      <c r="O108" s="143">
        <f t="shared" si="26"/>
        <v>104</v>
      </c>
    </row>
    <row r="109" spans="1:15" ht="12.75" customHeight="1">
      <c r="A109" s="246">
        <f t="shared" si="23"/>
        <v>130</v>
      </c>
      <c r="B109" s="244">
        <f t="shared" si="14"/>
        <v>1</v>
      </c>
      <c r="C109" s="174">
        <f t="shared" si="15"/>
        <v>0</v>
      </c>
      <c r="D109" s="244">
        <f t="shared" si="16"/>
        <v>0</v>
      </c>
      <c r="E109" s="174">
        <f t="shared" si="17"/>
        <v>0</v>
      </c>
      <c r="F109" s="244">
        <f t="shared" si="18"/>
        <v>0</v>
      </c>
      <c r="G109" s="174">
        <f t="shared" si="19"/>
        <v>0</v>
      </c>
      <c r="H109" s="244">
        <f t="shared" si="20"/>
        <v>1</v>
      </c>
      <c r="I109" s="174">
        <f t="shared" si="21"/>
        <v>0</v>
      </c>
      <c r="J109" s="244">
        <f t="shared" si="22"/>
        <v>0</v>
      </c>
      <c r="K109" s="174">
        <f t="shared" si="24"/>
        <v>0</v>
      </c>
      <c r="L109" s="244">
        <f t="shared" si="25"/>
        <v>0</v>
      </c>
      <c r="M109" s="174">
        <v>1</v>
      </c>
      <c r="N109" s="143">
        <f t="shared" si="27"/>
        <v>105</v>
      </c>
      <c r="O109" s="143">
        <f t="shared" si="26"/>
        <v>105</v>
      </c>
    </row>
    <row r="110" spans="1:15" ht="12.75" customHeight="1">
      <c r="A110" s="246">
        <f t="shared" si="23"/>
        <v>131</v>
      </c>
      <c r="B110" s="244">
        <f t="shared" si="14"/>
        <v>1</v>
      </c>
      <c r="C110" s="174">
        <f t="shared" si="15"/>
        <v>0</v>
      </c>
      <c r="D110" s="244">
        <f t="shared" si="16"/>
        <v>0</v>
      </c>
      <c r="E110" s="174">
        <f t="shared" si="17"/>
        <v>0</v>
      </c>
      <c r="F110" s="244">
        <f t="shared" si="18"/>
        <v>0</v>
      </c>
      <c r="G110" s="174">
        <f t="shared" si="19"/>
        <v>0</v>
      </c>
      <c r="H110" s="244">
        <f t="shared" si="20"/>
        <v>1</v>
      </c>
      <c r="I110" s="174">
        <f t="shared" si="21"/>
        <v>0</v>
      </c>
      <c r="J110" s="244">
        <f t="shared" si="22"/>
        <v>0</v>
      </c>
      <c r="K110" s="174">
        <f t="shared" si="24"/>
        <v>0</v>
      </c>
      <c r="L110" s="244">
        <f t="shared" si="25"/>
        <v>1</v>
      </c>
      <c r="M110" s="174">
        <v>1</v>
      </c>
      <c r="N110" s="143">
        <f t="shared" si="27"/>
        <v>106</v>
      </c>
      <c r="O110" s="143">
        <f t="shared" si="26"/>
        <v>106</v>
      </c>
    </row>
    <row r="111" spans="1:15" ht="12.75" customHeight="1">
      <c r="A111" s="246">
        <f t="shared" si="23"/>
        <v>132</v>
      </c>
      <c r="B111" s="244">
        <f t="shared" si="14"/>
        <v>1</v>
      </c>
      <c r="C111" s="174">
        <f t="shared" si="15"/>
        <v>0</v>
      </c>
      <c r="D111" s="244">
        <f t="shared" si="16"/>
        <v>0</v>
      </c>
      <c r="E111" s="174">
        <f t="shared" si="17"/>
        <v>0</v>
      </c>
      <c r="F111" s="244">
        <f t="shared" si="18"/>
        <v>0</v>
      </c>
      <c r="G111" s="174">
        <f t="shared" si="19"/>
        <v>0</v>
      </c>
      <c r="H111" s="244">
        <f t="shared" si="20"/>
        <v>1</v>
      </c>
      <c r="I111" s="174">
        <f t="shared" si="21"/>
        <v>0</v>
      </c>
      <c r="J111" s="244">
        <f t="shared" si="22"/>
        <v>0</v>
      </c>
      <c r="K111" s="174">
        <f t="shared" si="24"/>
        <v>1</v>
      </c>
      <c r="L111" s="244">
        <f t="shared" si="25"/>
        <v>0</v>
      </c>
      <c r="M111" s="174">
        <v>1</v>
      </c>
      <c r="N111" s="143">
        <f t="shared" si="27"/>
        <v>107</v>
      </c>
      <c r="O111" s="143">
        <f t="shared" si="26"/>
        <v>107</v>
      </c>
    </row>
    <row r="112" spans="1:15" ht="12.75" customHeight="1">
      <c r="A112" s="246">
        <f t="shared" si="23"/>
        <v>133</v>
      </c>
      <c r="B112" s="244">
        <f t="shared" si="14"/>
        <v>1</v>
      </c>
      <c r="C112" s="174">
        <f t="shared" si="15"/>
        <v>0</v>
      </c>
      <c r="D112" s="244">
        <f t="shared" si="16"/>
        <v>0</v>
      </c>
      <c r="E112" s="174">
        <f t="shared" si="17"/>
        <v>0</v>
      </c>
      <c r="F112" s="244">
        <f t="shared" si="18"/>
        <v>0</v>
      </c>
      <c r="G112" s="174">
        <f t="shared" si="19"/>
        <v>0</v>
      </c>
      <c r="H112" s="244">
        <f t="shared" si="20"/>
        <v>1</v>
      </c>
      <c r="I112" s="174">
        <f t="shared" si="21"/>
        <v>0</v>
      </c>
      <c r="J112" s="244">
        <f t="shared" si="22"/>
        <v>1</v>
      </c>
      <c r="K112" s="174">
        <f t="shared" si="24"/>
        <v>0</v>
      </c>
      <c r="L112" s="244">
        <f t="shared" si="25"/>
        <v>0</v>
      </c>
      <c r="M112" s="174">
        <v>1</v>
      </c>
      <c r="N112" s="143">
        <f t="shared" si="27"/>
        <v>108</v>
      </c>
      <c r="O112" s="143">
        <f t="shared" si="26"/>
        <v>108</v>
      </c>
    </row>
    <row r="113" spans="1:15" ht="12.75" customHeight="1">
      <c r="A113" s="246">
        <f t="shared" si="23"/>
        <v>134</v>
      </c>
      <c r="B113" s="244">
        <f t="shared" si="14"/>
        <v>1</v>
      </c>
      <c r="C113" s="174">
        <f t="shared" si="15"/>
        <v>0</v>
      </c>
      <c r="D113" s="244">
        <f t="shared" si="16"/>
        <v>0</v>
      </c>
      <c r="E113" s="174">
        <f t="shared" si="17"/>
        <v>0</v>
      </c>
      <c r="F113" s="244">
        <f t="shared" si="18"/>
        <v>0</v>
      </c>
      <c r="G113" s="174">
        <f t="shared" si="19"/>
        <v>0</v>
      </c>
      <c r="H113" s="244">
        <f t="shared" si="20"/>
        <v>1</v>
      </c>
      <c r="I113" s="174">
        <f t="shared" si="21"/>
        <v>1</v>
      </c>
      <c r="J113" s="244">
        <f t="shared" si="22"/>
        <v>0</v>
      </c>
      <c r="K113" s="174">
        <f t="shared" si="24"/>
        <v>0</v>
      </c>
      <c r="L113" s="244">
        <f t="shared" si="25"/>
        <v>0</v>
      </c>
      <c r="M113" s="174">
        <v>1</v>
      </c>
      <c r="N113" s="143">
        <f t="shared" si="27"/>
        <v>109</v>
      </c>
      <c r="O113" s="143">
        <f t="shared" si="26"/>
        <v>109</v>
      </c>
    </row>
    <row r="114" spans="1:15" ht="12.75" customHeight="1">
      <c r="A114" s="246">
        <f t="shared" si="23"/>
        <v>135</v>
      </c>
      <c r="B114" s="244">
        <f t="shared" si="14"/>
        <v>1</v>
      </c>
      <c r="C114" s="174">
        <f t="shared" si="15"/>
        <v>0</v>
      </c>
      <c r="D114" s="244">
        <f t="shared" si="16"/>
        <v>0</v>
      </c>
      <c r="E114" s="174">
        <f t="shared" si="17"/>
        <v>0</v>
      </c>
      <c r="F114" s="244">
        <f t="shared" si="18"/>
        <v>0</v>
      </c>
      <c r="G114" s="174">
        <f t="shared" si="19"/>
        <v>1</v>
      </c>
      <c r="H114" s="244">
        <f t="shared" si="20"/>
        <v>0</v>
      </c>
      <c r="I114" s="174">
        <f t="shared" si="21"/>
        <v>0</v>
      </c>
      <c r="J114" s="244">
        <f t="shared" si="22"/>
        <v>0</v>
      </c>
      <c r="K114" s="174">
        <f t="shared" si="24"/>
        <v>0</v>
      </c>
      <c r="L114" s="244">
        <f t="shared" si="25"/>
        <v>0</v>
      </c>
      <c r="M114" s="174">
        <v>1</v>
      </c>
      <c r="N114" s="143">
        <f t="shared" si="27"/>
        <v>110</v>
      </c>
      <c r="O114" s="143">
        <f t="shared" si="26"/>
        <v>110</v>
      </c>
    </row>
    <row r="115" spans="1:15" ht="12.75" customHeight="1">
      <c r="A115" s="246">
        <f t="shared" si="23"/>
        <v>136</v>
      </c>
      <c r="B115" s="244">
        <f t="shared" si="14"/>
        <v>1</v>
      </c>
      <c r="C115" s="174">
        <f t="shared" si="15"/>
        <v>0</v>
      </c>
      <c r="D115" s="244">
        <f t="shared" si="16"/>
        <v>0</v>
      </c>
      <c r="E115" s="174">
        <f t="shared" si="17"/>
        <v>0</v>
      </c>
      <c r="F115" s="244">
        <f t="shared" si="18"/>
        <v>0</v>
      </c>
      <c r="G115" s="174">
        <f t="shared" si="19"/>
        <v>1</v>
      </c>
      <c r="H115" s="244">
        <f t="shared" si="20"/>
        <v>0</v>
      </c>
      <c r="I115" s="174">
        <f t="shared" si="21"/>
        <v>0</v>
      </c>
      <c r="J115" s="244">
        <f t="shared" si="22"/>
        <v>0</v>
      </c>
      <c r="K115" s="174">
        <f t="shared" si="24"/>
        <v>0</v>
      </c>
      <c r="L115" s="244">
        <f t="shared" si="25"/>
        <v>1</v>
      </c>
      <c r="M115" s="174">
        <v>1</v>
      </c>
      <c r="N115" s="143">
        <f t="shared" si="27"/>
        <v>111</v>
      </c>
      <c r="O115" s="143">
        <f t="shared" si="26"/>
        <v>111</v>
      </c>
    </row>
    <row r="116" spans="1:15" ht="12.75" customHeight="1">
      <c r="A116" s="246">
        <f t="shared" si="23"/>
        <v>137</v>
      </c>
      <c r="B116" s="244">
        <f t="shared" si="14"/>
        <v>1</v>
      </c>
      <c r="C116" s="174">
        <f t="shared" si="15"/>
        <v>0</v>
      </c>
      <c r="D116" s="244">
        <f t="shared" si="16"/>
        <v>0</v>
      </c>
      <c r="E116" s="174">
        <f t="shared" si="17"/>
        <v>0</v>
      </c>
      <c r="F116" s="244">
        <f t="shared" si="18"/>
        <v>0</v>
      </c>
      <c r="G116" s="174">
        <f t="shared" si="19"/>
        <v>1</v>
      </c>
      <c r="H116" s="244">
        <f t="shared" si="20"/>
        <v>0</v>
      </c>
      <c r="I116" s="174">
        <f t="shared" si="21"/>
        <v>0</v>
      </c>
      <c r="J116" s="244">
        <f t="shared" si="22"/>
        <v>0</v>
      </c>
      <c r="K116" s="174">
        <f t="shared" si="24"/>
        <v>1</v>
      </c>
      <c r="L116" s="244">
        <f t="shared" si="25"/>
        <v>0</v>
      </c>
      <c r="M116" s="174">
        <v>1</v>
      </c>
      <c r="N116" s="143">
        <f t="shared" si="27"/>
        <v>112</v>
      </c>
      <c r="O116" s="143">
        <f t="shared" si="26"/>
        <v>112</v>
      </c>
    </row>
    <row r="117" spans="1:15" ht="12.75" customHeight="1">
      <c r="A117" s="246">
        <f t="shared" si="23"/>
        <v>138</v>
      </c>
      <c r="B117" s="244">
        <f t="shared" si="14"/>
        <v>1</v>
      </c>
      <c r="C117" s="174">
        <f t="shared" si="15"/>
        <v>0</v>
      </c>
      <c r="D117" s="244">
        <f t="shared" si="16"/>
        <v>0</v>
      </c>
      <c r="E117" s="174">
        <f t="shared" si="17"/>
        <v>0</v>
      </c>
      <c r="F117" s="244">
        <f t="shared" si="18"/>
        <v>0</v>
      </c>
      <c r="G117" s="174">
        <f t="shared" si="19"/>
        <v>1</v>
      </c>
      <c r="H117" s="244">
        <f t="shared" si="20"/>
        <v>0</v>
      </c>
      <c r="I117" s="174">
        <f t="shared" si="21"/>
        <v>0</v>
      </c>
      <c r="J117" s="244">
        <f t="shared" si="22"/>
        <v>1</v>
      </c>
      <c r="K117" s="174">
        <f t="shared" si="24"/>
        <v>0</v>
      </c>
      <c r="L117" s="244">
        <f t="shared" si="25"/>
        <v>0</v>
      </c>
      <c r="M117" s="174">
        <v>1</v>
      </c>
      <c r="N117" s="143">
        <f t="shared" si="27"/>
        <v>113</v>
      </c>
      <c r="O117" s="143">
        <f t="shared" si="26"/>
        <v>113</v>
      </c>
    </row>
    <row r="118" spans="1:15" ht="12.75" customHeight="1">
      <c r="A118" s="246">
        <f t="shared" si="23"/>
        <v>139</v>
      </c>
      <c r="B118" s="244">
        <f t="shared" si="14"/>
        <v>1</v>
      </c>
      <c r="C118" s="174">
        <f t="shared" si="15"/>
        <v>0</v>
      </c>
      <c r="D118" s="244">
        <f t="shared" si="16"/>
        <v>0</v>
      </c>
      <c r="E118" s="174">
        <f t="shared" si="17"/>
        <v>0</v>
      </c>
      <c r="F118" s="244">
        <f t="shared" si="18"/>
        <v>0</v>
      </c>
      <c r="G118" s="174">
        <f t="shared" si="19"/>
        <v>1</v>
      </c>
      <c r="H118" s="244">
        <f t="shared" si="20"/>
        <v>0</v>
      </c>
      <c r="I118" s="174">
        <f t="shared" si="21"/>
        <v>1</v>
      </c>
      <c r="J118" s="244">
        <f t="shared" si="22"/>
        <v>0</v>
      </c>
      <c r="K118" s="174">
        <f t="shared" si="24"/>
        <v>0</v>
      </c>
      <c r="L118" s="244">
        <f t="shared" si="25"/>
        <v>0</v>
      </c>
      <c r="M118" s="174">
        <v>1</v>
      </c>
      <c r="N118" s="143">
        <f t="shared" si="27"/>
        <v>114</v>
      </c>
      <c r="O118" s="143">
        <f t="shared" si="26"/>
        <v>114</v>
      </c>
    </row>
    <row r="119" spans="1:15" ht="12.75" customHeight="1">
      <c r="A119" s="246">
        <f t="shared" si="23"/>
        <v>140</v>
      </c>
      <c r="B119" s="244">
        <f t="shared" si="14"/>
        <v>1</v>
      </c>
      <c r="C119" s="174">
        <f t="shared" si="15"/>
        <v>0</v>
      </c>
      <c r="D119" s="244">
        <f t="shared" si="16"/>
        <v>0</v>
      </c>
      <c r="E119" s="174">
        <f t="shared" si="17"/>
        <v>0</v>
      </c>
      <c r="F119" s="244">
        <f t="shared" si="18"/>
        <v>0</v>
      </c>
      <c r="G119" s="174">
        <f t="shared" si="19"/>
        <v>1</v>
      </c>
      <c r="H119" s="244">
        <f t="shared" si="20"/>
        <v>1</v>
      </c>
      <c r="I119" s="174">
        <f t="shared" si="21"/>
        <v>0</v>
      </c>
      <c r="J119" s="244">
        <f t="shared" si="22"/>
        <v>0</v>
      </c>
      <c r="K119" s="174">
        <f t="shared" si="24"/>
        <v>0</v>
      </c>
      <c r="L119" s="244">
        <f t="shared" si="25"/>
        <v>0</v>
      </c>
      <c r="M119" s="174">
        <v>1</v>
      </c>
      <c r="N119" s="143">
        <f t="shared" si="27"/>
        <v>115</v>
      </c>
      <c r="O119" s="143">
        <f t="shared" si="26"/>
        <v>115</v>
      </c>
    </row>
    <row r="120" spans="1:15" ht="12.75" customHeight="1">
      <c r="A120" s="246">
        <f t="shared" si="23"/>
        <v>141</v>
      </c>
      <c r="B120" s="244">
        <f t="shared" si="14"/>
        <v>1</v>
      </c>
      <c r="C120" s="174">
        <f t="shared" si="15"/>
        <v>0</v>
      </c>
      <c r="D120" s="244">
        <f t="shared" si="16"/>
        <v>0</v>
      </c>
      <c r="E120" s="174">
        <f t="shared" si="17"/>
        <v>0</v>
      </c>
      <c r="F120" s="244">
        <f t="shared" si="18"/>
        <v>0</v>
      </c>
      <c r="G120" s="174">
        <f t="shared" si="19"/>
        <v>1</v>
      </c>
      <c r="H120" s="244">
        <f t="shared" si="20"/>
        <v>1</v>
      </c>
      <c r="I120" s="174">
        <f t="shared" si="21"/>
        <v>0</v>
      </c>
      <c r="J120" s="244">
        <f t="shared" si="22"/>
        <v>0</v>
      </c>
      <c r="K120" s="174">
        <f t="shared" si="24"/>
        <v>0</v>
      </c>
      <c r="L120" s="244">
        <f t="shared" si="25"/>
        <v>1</v>
      </c>
      <c r="M120" s="174">
        <v>1</v>
      </c>
      <c r="N120" s="143">
        <f t="shared" si="27"/>
        <v>116</v>
      </c>
      <c r="O120" s="143">
        <f t="shared" si="26"/>
        <v>116</v>
      </c>
    </row>
    <row r="121" spans="1:15" ht="12.75" customHeight="1">
      <c r="A121" s="246">
        <f t="shared" si="23"/>
        <v>142</v>
      </c>
      <c r="B121" s="244">
        <f t="shared" si="14"/>
        <v>1</v>
      </c>
      <c r="C121" s="174">
        <f t="shared" si="15"/>
        <v>0</v>
      </c>
      <c r="D121" s="244">
        <f t="shared" si="16"/>
        <v>0</v>
      </c>
      <c r="E121" s="174">
        <f t="shared" si="17"/>
        <v>0</v>
      </c>
      <c r="F121" s="244">
        <f t="shared" si="18"/>
        <v>0</v>
      </c>
      <c r="G121" s="174">
        <f t="shared" si="19"/>
        <v>1</v>
      </c>
      <c r="H121" s="244">
        <f t="shared" si="20"/>
        <v>1</v>
      </c>
      <c r="I121" s="174">
        <f t="shared" si="21"/>
        <v>0</v>
      </c>
      <c r="J121" s="244">
        <f t="shared" si="22"/>
        <v>0</v>
      </c>
      <c r="K121" s="174">
        <f t="shared" si="24"/>
        <v>1</v>
      </c>
      <c r="L121" s="244">
        <f t="shared" si="25"/>
        <v>0</v>
      </c>
      <c r="M121" s="174">
        <v>1</v>
      </c>
      <c r="N121" s="143">
        <f t="shared" si="27"/>
        <v>117</v>
      </c>
      <c r="O121" s="143">
        <f t="shared" si="26"/>
        <v>117</v>
      </c>
    </row>
    <row r="122" spans="1:15" ht="12.75" customHeight="1">
      <c r="A122" s="246">
        <f t="shared" si="23"/>
        <v>143</v>
      </c>
      <c r="B122" s="244">
        <f t="shared" si="14"/>
        <v>1</v>
      </c>
      <c r="C122" s="174">
        <f t="shared" si="15"/>
        <v>0</v>
      </c>
      <c r="D122" s="244">
        <f t="shared" si="16"/>
        <v>0</v>
      </c>
      <c r="E122" s="174">
        <f t="shared" si="17"/>
        <v>0</v>
      </c>
      <c r="F122" s="244">
        <f t="shared" si="18"/>
        <v>0</v>
      </c>
      <c r="G122" s="174">
        <f t="shared" si="19"/>
        <v>1</v>
      </c>
      <c r="H122" s="244">
        <f t="shared" si="20"/>
        <v>1</v>
      </c>
      <c r="I122" s="174">
        <f t="shared" si="21"/>
        <v>0</v>
      </c>
      <c r="J122" s="244">
        <f t="shared" si="22"/>
        <v>1</v>
      </c>
      <c r="K122" s="174">
        <f t="shared" si="24"/>
        <v>0</v>
      </c>
      <c r="L122" s="244">
        <f t="shared" si="25"/>
        <v>0</v>
      </c>
      <c r="M122" s="174">
        <v>1</v>
      </c>
      <c r="N122" s="143">
        <f t="shared" si="27"/>
        <v>118</v>
      </c>
      <c r="O122" s="143">
        <f t="shared" si="26"/>
        <v>118</v>
      </c>
    </row>
    <row r="123" spans="1:15" ht="12.75" customHeight="1">
      <c r="A123" s="246">
        <f t="shared" si="23"/>
        <v>144</v>
      </c>
      <c r="B123" s="244">
        <f t="shared" si="14"/>
        <v>1</v>
      </c>
      <c r="C123" s="174">
        <f t="shared" si="15"/>
        <v>0</v>
      </c>
      <c r="D123" s="244">
        <f t="shared" si="16"/>
        <v>0</v>
      </c>
      <c r="E123" s="174">
        <f t="shared" si="17"/>
        <v>0</v>
      </c>
      <c r="F123" s="244">
        <f t="shared" si="18"/>
        <v>0</v>
      </c>
      <c r="G123" s="174">
        <f t="shared" si="19"/>
        <v>1</v>
      </c>
      <c r="H123" s="244">
        <f t="shared" si="20"/>
        <v>1</v>
      </c>
      <c r="I123" s="174">
        <f t="shared" si="21"/>
        <v>1</v>
      </c>
      <c r="J123" s="244">
        <f t="shared" si="22"/>
        <v>0</v>
      </c>
      <c r="K123" s="174">
        <f t="shared" si="24"/>
        <v>0</v>
      </c>
      <c r="L123" s="244">
        <f t="shared" si="25"/>
        <v>0</v>
      </c>
      <c r="M123" s="174">
        <v>1</v>
      </c>
      <c r="N123" s="143">
        <f t="shared" si="27"/>
        <v>119</v>
      </c>
      <c r="O123" s="143">
        <f t="shared" si="26"/>
        <v>119</v>
      </c>
    </row>
    <row r="124" spans="1:15" ht="12.75" customHeight="1">
      <c r="A124" s="246">
        <f t="shared" si="23"/>
        <v>145</v>
      </c>
      <c r="B124" s="244">
        <f t="shared" si="14"/>
        <v>1</v>
      </c>
      <c r="C124" s="174">
        <f t="shared" si="15"/>
        <v>0</v>
      </c>
      <c r="D124" s="244">
        <f t="shared" si="16"/>
        <v>0</v>
      </c>
      <c r="E124" s="174">
        <f t="shared" si="17"/>
        <v>0</v>
      </c>
      <c r="F124" s="244">
        <f t="shared" si="18"/>
        <v>1</v>
      </c>
      <c r="G124" s="174">
        <f t="shared" si="19"/>
        <v>0</v>
      </c>
      <c r="H124" s="244">
        <f t="shared" si="20"/>
        <v>0</v>
      </c>
      <c r="I124" s="174">
        <f t="shared" si="21"/>
        <v>0</v>
      </c>
      <c r="J124" s="244">
        <f t="shared" si="22"/>
        <v>0</v>
      </c>
      <c r="K124" s="174">
        <f t="shared" si="24"/>
        <v>0</v>
      </c>
      <c r="L124" s="244">
        <f t="shared" si="25"/>
        <v>0</v>
      </c>
      <c r="M124" s="174">
        <v>1</v>
      </c>
      <c r="N124" s="143">
        <f t="shared" si="27"/>
        <v>120</v>
      </c>
      <c r="O124" s="143">
        <f t="shared" si="26"/>
        <v>120</v>
      </c>
    </row>
    <row r="125" spans="1:15" ht="12.75" customHeight="1">
      <c r="A125" s="246">
        <f t="shared" si="23"/>
        <v>146</v>
      </c>
      <c r="B125" s="244">
        <f t="shared" si="14"/>
        <v>1</v>
      </c>
      <c r="C125" s="174">
        <f t="shared" si="15"/>
        <v>0</v>
      </c>
      <c r="D125" s="244">
        <f t="shared" si="16"/>
        <v>0</v>
      </c>
      <c r="E125" s="174">
        <f t="shared" si="17"/>
        <v>0</v>
      </c>
      <c r="F125" s="244">
        <f t="shared" si="18"/>
        <v>1</v>
      </c>
      <c r="G125" s="174">
        <f t="shared" si="19"/>
        <v>0</v>
      </c>
      <c r="H125" s="244">
        <f t="shared" si="20"/>
        <v>0</v>
      </c>
      <c r="I125" s="174">
        <f t="shared" si="21"/>
        <v>0</v>
      </c>
      <c r="J125" s="244">
        <f t="shared" si="22"/>
        <v>0</v>
      </c>
      <c r="K125" s="174">
        <f t="shared" si="24"/>
        <v>0</v>
      </c>
      <c r="L125" s="244">
        <f t="shared" si="25"/>
        <v>1</v>
      </c>
      <c r="M125" s="174">
        <v>1</v>
      </c>
      <c r="N125" s="143">
        <f t="shared" si="27"/>
        <v>121</v>
      </c>
      <c r="O125" s="143">
        <f t="shared" si="26"/>
        <v>121</v>
      </c>
    </row>
    <row r="126" spans="1:15" ht="12.75" customHeight="1">
      <c r="A126" s="246">
        <f t="shared" si="23"/>
        <v>147</v>
      </c>
      <c r="B126" s="244">
        <f t="shared" si="14"/>
        <v>1</v>
      </c>
      <c r="C126" s="174">
        <f t="shared" si="15"/>
        <v>0</v>
      </c>
      <c r="D126" s="244">
        <f t="shared" si="16"/>
        <v>0</v>
      </c>
      <c r="E126" s="174">
        <f t="shared" si="17"/>
        <v>0</v>
      </c>
      <c r="F126" s="244">
        <f t="shared" si="18"/>
        <v>1</v>
      </c>
      <c r="G126" s="174">
        <f t="shared" si="19"/>
        <v>0</v>
      </c>
      <c r="H126" s="244">
        <f t="shared" si="20"/>
        <v>0</v>
      </c>
      <c r="I126" s="174">
        <f t="shared" si="21"/>
        <v>0</v>
      </c>
      <c r="J126" s="244">
        <f t="shared" si="22"/>
        <v>0</v>
      </c>
      <c r="K126" s="174">
        <f t="shared" si="24"/>
        <v>1</v>
      </c>
      <c r="L126" s="244">
        <f t="shared" si="25"/>
        <v>0</v>
      </c>
      <c r="M126" s="174">
        <v>1</v>
      </c>
      <c r="N126" s="143">
        <f t="shared" si="27"/>
        <v>122</v>
      </c>
      <c r="O126" s="143">
        <f t="shared" si="26"/>
        <v>122</v>
      </c>
    </row>
    <row r="127" spans="1:15" ht="12.75" customHeight="1">
      <c r="A127" s="246">
        <f t="shared" si="23"/>
        <v>148</v>
      </c>
      <c r="B127" s="244">
        <f t="shared" si="14"/>
        <v>1</v>
      </c>
      <c r="C127" s="174">
        <f t="shared" si="15"/>
        <v>0</v>
      </c>
      <c r="D127" s="244">
        <f t="shared" si="16"/>
        <v>0</v>
      </c>
      <c r="E127" s="174">
        <f t="shared" si="17"/>
        <v>0</v>
      </c>
      <c r="F127" s="244">
        <f t="shared" si="18"/>
        <v>1</v>
      </c>
      <c r="G127" s="174">
        <f t="shared" si="19"/>
        <v>0</v>
      </c>
      <c r="H127" s="244">
        <f t="shared" si="20"/>
        <v>0</v>
      </c>
      <c r="I127" s="174">
        <f t="shared" si="21"/>
        <v>0</v>
      </c>
      <c r="J127" s="244">
        <f t="shared" si="22"/>
        <v>1</v>
      </c>
      <c r="K127" s="174">
        <f t="shared" si="24"/>
        <v>0</v>
      </c>
      <c r="L127" s="244">
        <f t="shared" si="25"/>
        <v>0</v>
      </c>
      <c r="M127" s="174">
        <v>1</v>
      </c>
      <c r="N127" s="143">
        <f t="shared" si="27"/>
        <v>123</v>
      </c>
      <c r="O127" s="143">
        <f t="shared" si="26"/>
        <v>123</v>
      </c>
    </row>
    <row r="128" spans="1:15" ht="12.75" customHeight="1">
      <c r="A128" s="246">
        <f t="shared" si="23"/>
        <v>149</v>
      </c>
      <c r="B128" s="244">
        <f t="shared" si="14"/>
        <v>1</v>
      </c>
      <c r="C128" s="174">
        <f t="shared" si="15"/>
        <v>0</v>
      </c>
      <c r="D128" s="244">
        <f t="shared" si="16"/>
        <v>0</v>
      </c>
      <c r="E128" s="174">
        <f t="shared" si="17"/>
        <v>0</v>
      </c>
      <c r="F128" s="244">
        <f t="shared" si="18"/>
        <v>1</v>
      </c>
      <c r="G128" s="174">
        <f t="shared" si="19"/>
        <v>0</v>
      </c>
      <c r="H128" s="244">
        <f t="shared" si="20"/>
        <v>0</v>
      </c>
      <c r="I128" s="174">
        <f t="shared" si="21"/>
        <v>1</v>
      </c>
      <c r="J128" s="244">
        <f t="shared" si="22"/>
        <v>0</v>
      </c>
      <c r="K128" s="174">
        <f t="shared" si="24"/>
        <v>0</v>
      </c>
      <c r="L128" s="244">
        <f t="shared" si="25"/>
        <v>0</v>
      </c>
      <c r="M128" s="174">
        <v>1</v>
      </c>
      <c r="N128" s="143">
        <f t="shared" si="27"/>
        <v>124</v>
      </c>
      <c r="O128" s="143">
        <f t="shared" si="26"/>
        <v>124</v>
      </c>
    </row>
    <row r="129" spans="1:15" ht="12.75" customHeight="1">
      <c r="A129" s="246">
        <f t="shared" si="23"/>
        <v>150</v>
      </c>
      <c r="B129" s="244">
        <f t="shared" si="14"/>
        <v>1</v>
      </c>
      <c r="C129" s="174">
        <f t="shared" si="15"/>
        <v>0</v>
      </c>
      <c r="D129" s="244">
        <f t="shared" si="16"/>
        <v>0</v>
      </c>
      <c r="E129" s="174">
        <f t="shared" si="17"/>
        <v>0</v>
      </c>
      <c r="F129" s="244">
        <f t="shared" si="18"/>
        <v>1</v>
      </c>
      <c r="G129" s="174">
        <f t="shared" si="19"/>
        <v>0</v>
      </c>
      <c r="H129" s="244">
        <f t="shared" si="20"/>
        <v>1</v>
      </c>
      <c r="I129" s="174">
        <f t="shared" si="21"/>
        <v>0</v>
      </c>
      <c r="J129" s="244">
        <f t="shared" si="22"/>
        <v>0</v>
      </c>
      <c r="K129" s="174">
        <f t="shared" si="24"/>
        <v>0</v>
      </c>
      <c r="L129" s="244">
        <f t="shared" si="25"/>
        <v>0</v>
      </c>
      <c r="M129" s="174">
        <v>1</v>
      </c>
      <c r="N129" s="143">
        <f t="shared" si="27"/>
        <v>125</v>
      </c>
      <c r="O129" s="143">
        <f t="shared" si="26"/>
        <v>125</v>
      </c>
    </row>
    <row r="130" spans="1:15" ht="12.75" customHeight="1">
      <c r="A130" s="246">
        <f t="shared" si="23"/>
        <v>151</v>
      </c>
      <c r="B130" s="244">
        <f t="shared" si="14"/>
        <v>1</v>
      </c>
      <c r="C130" s="174">
        <f t="shared" si="15"/>
        <v>0</v>
      </c>
      <c r="D130" s="244">
        <f t="shared" si="16"/>
        <v>0</v>
      </c>
      <c r="E130" s="174">
        <f t="shared" si="17"/>
        <v>0</v>
      </c>
      <c r="F130" s="244">
        <f t="shared" si="18"/>
        <v>1</v>
      </c>
      <c r="G130" s="174">
        <f t="shared" si="19"/>
        <v>0</v>
      </c>
      <c r="H130" s="244">
        <f t="shared" si="20"/>
        <v>1</v>
      </c>
      <c r="I130" s="174">
        <f t="shared" si="21"/>
        <v>0</v>
      </c>
      <c r="J130" s="244">
        <f t="shared" si="22"/>
        <v>0</v>
      </c>
      <c r="K130" s="174">
        <f t="shared" si="24"/>
        <v>0</v>
      </c>
      <c r="L130" s="244">
        <f t="shared" si="25"/>
        <v>1</v>
      </c>
      <c r="M130" s="174">
        <v>1</v>
      </c>
      <c r="N130" s="143">
        <f t="shared" si="27"/>
        <v>126</v>
      </c>
      <c r="O130" s="143">
        <f t="shared" si="26"/>
        <v>126</v>
      </c>
    </row>
    <row r="131" spans="1:15" ht="12.75" customHeight="1">
      <c r="A131" s="246">
        <f t="shared" si="23"/>
        <v>152</v>
      </c>
      <c r="B131" s="244">
        <f t="shared" si="14"/>
        <v>1</v>
      </c>
      <c r="C131" s="174">
        <f t="shared" si="15"/>
        <v>0</v>
      </c>
      <c r="D131" s="244">
        <f t="shared" si="16"/>
        <v>0</v>
      </c>
      <c r="E131" s="174">
        <f t="shared" si="17"/>
        <v>0</v>
      </c>
      <c r="F131" s="244">
        <f t="shared" si="18"/>
        <v>1</v>
      </c>
      <c r="G131" s="174">
        <f t="shared" si="19"/>
        <v>0</v>
      </c>
      <c r="H131" s="244">
        <f t="shared" si="20"/>
        <v>1</v>
      </c>
      <c r="I131" s="174">
        <f t="shared" si="21"/>
        <v>0</v>
      </c>
      <c r="J131" s="244">
        <f t="shared" si="22"/>
        <v>0</v>
      </c>
      <c r="K131" s="174">
        <f t="shared" si="24"/>
        <v>1</v>
      </c>
      <c r="L131" s="244">
        <f t="shared" si="25"/>
        <v>0</v>
      </c>
      <c r="M131" s="174">
        <v>1</v>
      </c>
      <c r="N131" s="143">
        <f t="shared" si="27"/>
        <v>127</v>
      </c>
      <c r="O131" s="143">
        <f t="shared" si="26"/>
        <v>127</v>
      </c>
    </row>
    <row r="132" spans="1:15" ht="12.75" customHeight="1">
      <c r="A132" s="246">
        <f t="shared" si="23"/>
        <v>153</v>
      </c>
      <c r="B132" s="244">
        <f t="shared" ref="B132:B195" si="28">IF(A132=0,0,MIN($B$1/2,INT(O132/(2*$B$2))))</f>
        <v>1</v>
      </c>
      <c r="C132" s="174">
        <f t="shared" ref="C132:C195" si="29">IF(A132=0,0,MIN($C$1/2,INT(($O132-2*$B132*$B$2)/(2*$C$2))))</f>
        <v>0</v>
      </c>
      <c r="D132" s="244">
        <f t="shared" ref="D132:D195" si="30">IF(A132=0,0,MIN($D$1/2,INT(($O132-2*$B132*$B$2-2*$C132*$C$2)/(2*$D$2))))</f>
        <v>0</v>
      </c>
      <c r="E132" s="174">
        <f t="shared" ref="E132:E195" si="31">IF(A132=0,0,MIN($E$1/2,INT(($O132-2*$B132*$B$2-2*$C132*$C$2-2*$D132*$D$2)/(2*$E$2))))</f>
        <v>0</v>
      </c>
      <c r="F132" s="244">
        <f t="shared" ref="F132:F195" si="32">IF(A132=0,0,MIN($F$1/2,INT(($O132-2*$B132*$B$2-2*$C132*$C$2-2*$D132*$D$2-2*$E132*$E$2)/(2*$F$2))))</f>
        <v>1</v>
      </c>
      <c r="G132" s="174">
        <f t="shared" ref="G132:G195" si="33">IF(A132=0,0,MIN($G$1/2,INT(($O132-2*$B132*$B$2-2*$C132*$C$2-2*$D132*$D$2-2*$E132*$E$2-2*$F132*$F$2)/(2*$G$2))))</f>
        <v>0</v>
      </c>
      <c r="H132" s="244">
        <f t="shared" ref="H132:H195" si="34">IF(A132=0,0,MIN($H$1/2,INT(($O132-2*$B132*$B$2-2*$C132*$C$2-2*$D132*$D$2-2*$E132*$E$2-2*$F132*$F$2-2*$G132*$G$2)/(2*$H$2))))</f>
        <v>1</v>
      </c>
      <c r="I132" s="174">
        <f t="shared" ref="I132:I195" si="35">IF(A132=0,0,MIN($I$1/2,INT(($O132-2*$B132*$B$2-2*$C132*$C$2-2*$D132*$D$2-2*$E132*$E$2-2*$F132*$F$2-2*$G132*$G$2-2*$H132*$H$2)/(2*$I$2))))</f>
        <v>0</v>
      </c>
      <c r="J132" s="244">
        <f t="shared" ref="J132:J195" si="36">IF(A132=0,0,MIN($J$1/2,INT(($O132-2*$B132*$B$2-2*$C132*$C$2-2*$D132*$D$2-2*$E132*$E$2-2*$F132*$F$2-2*$G132*$G$2-2*$H132*$H$2-2*$I132*$I$2)/(2*$J$2))))</f>
        <v>1</v>
      </c>
      <c r="K132" s="174">
        <f t="shared" si="24"/>
        <v>0</v>
      </c>
      <c r="L132" s="244">
        <f t="shared" si="25"/>
        <v>0</v>
      </c>
      <c r="M132" s="174">
        <v>1</v>
      </c>
      <c r="N132" s="143">
        <f t="shared" si="27"/>
        <v>128</v>
      </c>
      <c r="O132" s="143">
        <f t="shared" si="26"/>
        <v>128</v>
      </c>
    </row>
    <row r="133" spans="1:15" ht="12.75" customHeight="1">
      <c r="A133" s="246">
        <f t="shared" ref="A133:A196" si="37">IF(O133+$M$2&gt;$N$1,0,O133+$M$2)</f>
        <v>154</v>
      </c>
      <c r="B133" s="244">
        <f t="shared" si="28"/>
        <v>1</v>
      </c>
      <c r="C133" s="174">
        <f t="shared" si="29"/>
        <v>0</v>
      </c>
      <c r="D133" s="244">
        <f t="shared" si="30"/>
        <v>0</v>
      </c>
      <c r="E133" s="174">
        <f t="shared" si="31"/>
        <v>0</v>
      </c>
      <c r="F133" s="244">
        <f t="shared" si="32"/>
        <v>1</v>
      </c>
      <c r="G133" s="174">
        <f t="shared" si="33"/>
        <v>0</v>
      </c>
      <c r="H133" s="244">
        <f t="shared" si="34"/>
        <v>1</v>
      </c>
      <c r="I133" s="174">
        <f t="shared" si="35"/>
        <v>1</v>
      </c>
      <c r="J133" s="244">
        <f t="shared" si="36"/>
        <v>0</v>
      </c>
      <c r="K133" s="174">
        <f t="shared" ref="K133:K196" si="38">IF(A133=0,0,MIN($J$1/2,INT(($O133-2*$B133*$B$2-2*$C133*$C$2-2*$D133*$D$2-2*$E133*$E$2-2*$F133*$F$2-2*$G133*$G$2-2*$H133*$H$2-2*$I133*$I$2-2*$J133*$J$2)/(2*$K$2))))</f>
        <v>0</v>
      </c>
      <c r="L133" s="244">
        <f t="shared" ref="L133:L196" si="39">IF(A133=0,0,MIN($L$1/2,INT(($O133-2*$B133*$B$2-2*$C133*$C$2-2*$D133*$D$2-2*$E133*$E$2-2*$F133*$F$2-2*$G133*$G$2-2*$H133*$H$2-2*$I133*$I$2-2*$J133*$J$2-2*$K133*$K$2)/(2*$L$2))))</f>
        <v>0</v>
      </c>
      <c r="M133" s="174">
        <v>1</v>
      </c>
      <c r="N133" s="143">
        <f t="shared" si="27"/>
        <v>129</v>
      </c>
      <c r="O133" s="143">
        <f t="shared" si="26"/>
        <v>129</v>
      </c>
    </row>
    <row r="134" spans="1:15" ht="12.75" customHeight="1">
      <c r="A134" s="246">
        <f t="shared" si="37"/>
        <v>155</v>
      </c>
      <c r="B134" s="244">
        <f t="shared" si="28"/>
        <v>1</v>
      </c>
      <c r="C134" s="174">
        <f t="shared" si="29"/>
        <v>0</v>
      </c>
      <c r="D134" s="244">
        <f t="shared" si="30"/>
        <v>0</v>
      </c>
      <c r="E134" s="174">
        <f t="shared" si="31"/>
        <v>1</v>
      </c>
      <c r="F134" s="244">
        <f t="shared" si="32"/>
        <v>0</v>
      </c>
      <c r="G134" s="174">
        <f t="shared" si="33"/>
        <v>0</v>
      </c>
      <c r="H134" s="244">
        <f t="shared" si="34"/>
        <v>0</v>
      </c>
      <c r="I134" s="174">
        <f t="shared" si="35"/>
        <v>0</v>
      </c>
      <c r="J134" s="244">
        <f t="shared" si="36"/>
        <v>0</v>
      </c>
      <c r="K134" s="174">
        <f t="shared" si="38"/>
        <v>0</v>
      </c>
      <c r="L134" s="244">
        <f t="shared" si="39"/>
        <v>0</v>
      </c>
      <c r="M134" s="174">
        <v>1</v>
      </c>
      <c r="N134" s="143">
        <f t="shared" si="27"/>
        <v>130</v>
      </c>
      <c r="O134" s="143">
        <f t="shared" ref="O134:O197" si="40">IF($A$2="Pounds",5*N134,1*N134)</f>
        <v>130</v>
      </c>
    </row>
    <row r="135" spans="1:15" ht="12.75" customHeight="1">
      <c r="A135" s="246">
        <f t="shared" si="37"/>
        <v>156</v>
      </c>
      <c r="B135" s="244">
        <f t="shared" si="28"/>
        <v>1</v>
      </c>
      <c r="C135" s="174">
        <f t="shared" si="29"/>
        <v>0</v>
      </c>
      <c r="D135" s="244">
        <f t="shared" si="30"/>
        <v>0</v>
      </c>
      <c r="E135" s="174">
        <f t="shared" si="31"/>
        <v>1</v>
      </c>
      <c r="F135" s="244">
        <f t="shared" si="32"/>
        <v>0</v>
      </c>
      <c r="G135" s="174">
        <f t="shared" si="33"/>
        <v>0</v>
      </c>
      <c r="H135" s="244">
        <f t="shared" si="34"/>
        <v>0</v>
      </c>
      <c r="I135" s="174">
        <f t="shared" si="35"/>
        <v>0</v>
      </c>
      <c r="J135" s="244">
        <f t="shared" si="36"/>
        <v>0</v>
      </c>
      <c r="K135" s="174">
        <f t="shared" si="38"/>
        <v>0</v>
      </c>
      <c r="L135" s="244">
        <f t="shared" si="39"/>
        <v>1</v>
      </c>
      <c r="M135" s="174">
        <v>1</v>
      </c>
      <c r="N135" s="143">
        <f t="shared" si="27"/>
        <v>131</v>
      </c>
      <c r="O135" s="143">
        <f t="shared" si="40"/>
        <v>131</v>
      </c>
    </row>
    <row r="136" spans="1:15" ht="12.75" customHeight="1">
      <c r="A136" s="246">
        <f t="shared" si="37"/>
        <v>157</v>
      </c>
      <c r="B136" s="244">
        <f t="shared" si="28"/>
        <v>1</v>
      </c>
      <c r="C136" s="174">
        <f t="shared" si="29"/>
        <v>0</v>
      </c>
      <c r="D136" s="244">
        <f t="shared" si="30"/>
        <v>0</v>
      </c>
      <c r="E136" s="174">
        <f t="shared" si="31"/>
        <v>1</v>
      </c>
      <c r="F136" s="244">
        <f t="shared" si="32"/>
        <v>0</v>
      </c>
      <c r="G136" s="174">
        <f t="shared" si="33"/>
        <v>0</v>
      </c>
      <c r="H136" s="244">
        <f t="shared" si="34"/>
        <v>0</v>
      </c>
      <c r="I136" s="174">
        <f t="shared" si="35"/>
        <v>0</v>
      </c>
      <c r="J136" s="244">
        <f t="shared" si="36"/>
        <v>0</v>
      </c>
      <c r="K136" s="174">
        <f t="shared" si="38"/>
        <v>1</v>
      </c>
      <c r="L136" s="244">
        <f t="shared" si="39"/>
        <v>0</v>
      </c>
      <c r="M136" s="174">
        <v>1</v>
      </c>
      <c r="N136" s="143">
        <f t="shared" si="27"/>
        <v>132</v>
      </c>
      <c r="O136" s="143">
        <f t="shared" si="40"/>
        <v>132</v>
      </c>
    </row>
    <row r="137" spans="1:15" ht="12.75" customHeight="1">
      <c r="A137" s="246">
        <f t="shared" si="37"/>
        <v>158</v>
      </c>
      <c r="B137" s="244">
        <f t="shared" si="28"/>
        <v>1</v>
      </c>
      <c r="C137" s="174">
        <f t="shared" si="29"/>
        <v>0</v>
      </c>
      <c r="D137" s="244">
        <f t="shared" si="30"/>
        <v>0</v>
      </c>
      <c r="E137" s="174">
        <f t="shared" si="31"/>
        <v>1</v>
      </c>
      <c r="F137" s="244">
        <f t="shared" si="32"/>
        <v>0</v>
      </c>
      <c r="G137" s="174">
        <f t="shared" si="33"/>
        <v>0</v>
      </c>
      <c r="H137" s="244">
        <f t="shared" si="34"/>
        <v>0</v>
      </c>
      <c r="I137" s="174">
        <f t="shared" si="35"/>
        <v>0</v>
      </c>
      <c r="J137" s="244">
        <f t="shared" si="36"/>
        <v>1</v>
      </c>
      <c r="K137" s="174">
        <f t="shared" si="38"/>
        <v>0</v>
      </c>
      <c r="L137" s="244">
        <f t="shared" si="39"/>
        <v>0</v>
      </c>
      <c r="M137" s="174">
        <v>1</v>
      </c>
      <c r="N137" s="143">
        <f t="shared" si="27"/>
        <v>133</v>
      </c>
      <c r="O137" s="143">
        <f t="shared" si="40"/>
        <v>133</v>
      </c>
    </row>
    <row r="138" spans="1:15" ht="12.75" customHeight="1">
      <c r="A138" s="246">
        <f t="shared" si="37"/>
        <v>159</v>
      </c>
      <c r="B138" s="244">
        <f t="shared" si="28"/>
        <v>1</v>
      </c>
      <c r="C138" s="174">
        <f t="shared" si="29"/>
        <v>0</v>
      </c>
      <c r="D138" s="244">
        <f t="shared" si="30"/>
        <v>0</v>
      </c>
      <c r="E138" s="174">
        <f t="shared" si="31"/>
        <v>1</v>
      </c>
      <c r="F138" s="244">
        <f t="shared" si="32"/>
        <v>0</v>
      </c>
      <c r="G138" s="174">
        <f t="shared" si="33"/>
        <v>0</v>
      </c>
      <c r="H138" s="244">
        <f t="shared" si="34"/>
        <v>0</v>
      </c>
      <c r="I138" s="174">
        <f t="shared" si="35"/>
        <v>1</v>
      </c>
      <c r="J138" s="244">
        <f t="shared" si="36"/>
        <v>0</v>
      </c>
      <c r="K138" s="174">
        <f t="shared" si="38"/>
        <v>0</v>
      </c>
      <c r="L138" s="244">
        <f t="shared" si="39"/>
        <v>0</v>
      </c>
      <c r="M138" s="174">
        <v>1</v>
      </c>
      <c r="N138" s="143">
        <f t="shared" si="27"/>
        <v>134</v>
      </c>
      <c r="O138" s="143">
        <f t="shared" si="40"/>
        <v>134</v>
      </c>
    </row>
    <row r="139" spans="1:15" ht="12.75" customHeight="1">
      <c r="A139" s="246">
        <f t="shared" si="37"/>
        <v>160</v>
      </c>
      <c r="B139" s="244">
        <f t="shared" si="28"/>
        <v>1</v>
      </c>
      <c r="C139" s="174">
        <f t="shared" si="29"/>
        <v>0</v>
      </c>
      <c r="D139" s="244">
        <f t="shared" si="30"/>
        <v>0</v>
      </c>
      <c r="E139" s="174">
        <f t="shared" si="31"/>
        <v>1</v>
      </c>
      <c r="F139" s="244">
        <f t="shared" si="32"/>
        <v>0</v>
      </c>
      <c r="G139" s="174">
        <f t="shared" si="33"/>
        <v>0</v>
      </c>
      <c r="H139" s="244">
        <f t="shared" si="34"/>
        <v>1</v>
      </c>
      <c r="I139" s="174">
        <f t="shared" si="35"/>
        <v>0</v>
      </c>
      <c r="J139" s="244">
        <f t="shared" si="36"/>
        <v>0</v>
      </c>
      <c r="K139" s="174">
        <f t="shared" si="38"/>
        <v>0</v>
      </c>
      <c r="L139" s="244">
        <f t="shared" si="39"/>
        <v>0</v>
      </c>
      <c r="M139" s="174">
        <v>1</v>
      </c>
      <c r="N139" s="143">
        <f t="shared" si="27"/>
        <v>135</v>
      </c>
      <c r="O139" s="143">
        <f t="shared" si="40"/>
        <v>135</v>
      </c>
    </row>
    <row r="140" spans="1:15" ht="12.75" customHeight="1">
      <c r="A140" s="246">
        <f t="shared" si="37"/>
        <v>161</v>
      </c>
      <c r="B140" s="244">
        <f t="shared" si="28"/>
        <v>1</v>
      </c>
      <c r="C140" s="174">
        <f t="shared" si="29"/>
        <v>0</v>
      </c>
      <c r="D140" s="244">
        <f t="shared" si="30"/>
        <v>0</v>
      </c>
      <c r="E140" s="174">
        <f t="shared" si="31"/>
        <v>1</v>
      </c>
      <c r="F140" s="244">
        <f t="shared" si="32"/>
        <v>0</v>
      </c>
      <c r="G140" s="174">
        <f t="shared" si="33"/>
        <v>0</v>
      </c>
      <c r="H140" s="244">
        <f t="shared" si="34"/>
        <v>1</v>
      </c>
      <c r="I140" s="174">
        <f t="shared" si="35"/>
        <v>0</v>
      </c>
      <c r="J140" s="244">
        <f t="shared" si="36"/>
        <v>0</v>
      </c>
      <c r="K140" s="174">
        <f t="shared" si="38"/>
        <v>0</v>
      </c>
      <c r="L140" s="244">
        <f t="shared" si="39"/>
        <v>1</v>
      </c>
      <c r="M140" s="174">
        <v>1</v>
      </c>
      <c r="N140" s="143">
        <f t="shared" si="27"/>
        <v>136</v>
      </c>
      <c r="O140" s="143">
        <f t="shared" si="40"/>
        <v>136</v>
      </c>
    </row>
    <row r="141" spans="1:15" ht="12.75" customHeight="1">
      <c r="A141" s="246">
        <f t="shared" si="37"/>
        <v>162</v>
      </c>
      <c r="B141" s="244">
        <f t="shared" si="28"/>
        <v>1</v>
      </c>
      <c r="C141" s="174">
        <f t="shared" si="29"/>
        <v>0</v>
      </c>
      <c r="D141" s="244">
        <f t="shared" si="30"/>
        <v>0</v>
      </c>
      <c r="E141" s="174">
        <f t="shared" si="31"/>
        <v>1</v>
      </c>
      <c r="F141" s="244">
        <f t="shared" si="32"/>
        <v>0</v>
      </c>
      <c r="G141" s="174">
        <f t="shared" si="33"/>
        <v>0</v>
      </c>
      <c r="H141" s="244">
        <f t="shared" si="34"/>
        <v>1</v>
      </c>
      <c r="I141" s="174">
        <f t="shared" si="35"/>
        <v>0</v>
      </c>
      <c r="J141" s="244">
        <f t="shared" si="36"/>
        <v>0</v>
      </c>
      <c r="K141" s="174">
        <f t="shared" si="38"/>
        <v>1</v>
      </c>
      <c r="L141" s="244">
        <f t="shared" si="39"/>
        <v>0</v>
      </c>
      <c r="M141" s="174">
        <v>1</v>
      </c>
      <c r="N141" s="143">
        <f t="shared" ref="N141:N204" si="41">N140+1</f>
        <v>137</v>
      </c>
      <c r="O141" s="143">
        <f t="shared" si="40"/>
        <v>137</v>
      </c>
    </row>
    <row r="142" spans="1:15" ht="12.75" customHeight="1">
      <c r="A142" s="246">
        <f t="shared" si="37"/>
        <v>163</v>
      </c>
      <c r="B142" s="244">
        <f t="shared" si="28"/>
        <v>1</v>
      </c>
      <c r="C142" s="174">
        <f t="shared" si="29"/>
        <v>0</v>
      </c>
      <c r="D142" s="244">
        <f t="shared" si="30"/>
        <v>0</v>
      </c>
      <c r="E142" s="174">
        <f t="shared" si="31"/>
        <v>1</v>
      </c>
      <c r="F142" s="244">
        <f t="shared" si="32"/>
        <v>0</v>
      </c>
      <c r="G142" s="174">
        <f t="shared" si="33"/>
        <v>0</v>
      </c>
      <c r="H142" s="244">
        <f t="shared" si="34"/>
        <v>1</v>
      </c>
      <c r="I142" s="174">
        <f t="shared" si="35"/>
        <v>0</v>
      </c>
      <c r="J142" s="244">
        <f t="shared" si="36"/>
        <v>1</v>
      </c>
      <c r="K142" s="174">
        <f t="shared" si="38"/>
        <v>0</v>
      </c>
      <c r="L142" s="244">
        <f t="shared" si="39"/>
        <v>0</v>
      </c>
      <c r="M142" s="174">
        <v>1</v>
      </c>
      <c r="N142" s="143">
        <f t="shared" si="41"/>
        <v>138</v>
      </c>
      <c r="O142" s="143">
        <f t="shared" si="40"/>
        <v>138</v>
      </c>
    </row>
    <row r="143" spans="1:15" ht="12.75" customHeight="1">
      <c r="A143" s="246">
        <f t="shared" si="37"/>
        <v>164</v>
      </c>
      <c r="B143" s="244">
        <f t="shared" si="28"/>
        <v>1</v>
      </c>
      <c r="C143" s="174">
        <f t="shared" si="29"/>
        <v>0</v>
      </c>
      <c r="D143" s="244">
        <f t="shared" si="30"/>
        <v>0</v>
      </c>
      <c r="E143" s="174">
        <f t="shared" si="31"/>
        <v>1</v>
      </c>
      <c r="F143" s="244">
        <f t="shared" si="32"/>
        <v>0</v>
      </c>
      <c r="G143" s="174">
        <f t="shared" si="33"/>
        <v>0</v>
      </c>
      <c r="H143" s="244">
        <f t="shared" si="34"/>
        <v>1</v>
      </c>
      <c r="I143" s="174">
        <f t="shared" si="35"/>
        <v>1</v>
      </c>
      <c r="J143" s="244">
        <f t="shared" si="36"/>
        <v>0</v>
      </c>
      <c r="K143" s="174">
        <f t="shared" si="38"/>
        <v>0</v>
      </c>
      <c r="L143" s="244">
        <f t="shared" si="39"/>
        <v>0</v>
      </c>
      <c r="M143" s="174">
        <v>1</v>
      </c>
      <c r="N143" s="143">
        <f t="shared" si="41"/>
        <v>139</v>
      </c>
      <c r="O143" s="143">
        <f t="shared" si="40"/>
        <v>139</v>
      </c>
    </row>
    <row r="144" spans="1:15" ht="12.75" customHeight="1">
      <c r="A144" s="246">
        <f t="shared" si="37"/>
        <v>165</v>
      </c>
      <c r="B144" s="244">
        <f t="shared" si="28"/>
        <v>1</v>
      </c>
      <c r="C144" s="174">
        <f t="shared" si="29"/>
        <v>0</v>
      </c>
      <c r="D144" s="244">
        <f t="shared" si="30"/>
        <v>0</v>
      </c>
      <c r="E144" s="174">
        <f t="shared" si="31"/>
        <v>1</v>
      </c>
      <c r="F144" s="244">
        <f t="shared" si="32"/>
        <v>0</v>
      </c>
      <c r="G144" s="174">
        <f t="shared" si="33"/>
        <v>1</v>
      </c>
      <c r="H144" s="244">
        <f t="shared" si="34"/>
        <v>0</v>
      </c>
      <c r="I144" s="174">
        <f t="shared" si="35"/>
        <v>0</v>
      </c>
      <c r="J144" s="244">
        <f t="shared" si="36"/>
        <v>0</v>
      </c>
      <c r="K144" s="174">
        <f t="shared" si="38"/>
        <v>0</v>
      </c>
      <c r="L144" s="244">
        <f t="shared" si="39"/>
        <v>0</v>
      </c>
      <c r="M144" s="174">
        <v>1</v>
      </c>
      <c r="N144" s="143">
        <f t="shared" si="41"/>
        <v>140</v>
      </c>
      <c r="O144" s="143">
        <f t="shared" si="40"/>
        <v>140</v>
      </c>
    </row>
    <row r="145" spans="1:15" ht="12.75" customHeight="1">
      <c r="A145" s="246">
        <f t="shared" si="37"/>
        <v>166</v>
      </c>
      <c r="B145" s="244">
        <f t="shared" si="28"/>
        <v>1</v>
      </c>
      <c r="C145" s="174">
        <f t="shared" si="29"/>
        <v>0</v>
      </c>
      <c r="D145" s="244">
        <f t="shared" si="30"/>
        <v>0</v>
      </c>
      <c r="E145" s="174">
        <f t="shared" si="31"/>
        <v>1</v>
      </c>
      <c r="F145" s="244">
        <f t="shared" si="32"/>
        <v>0</v>
      </c>
      <c r="G145" s="174">
        <f t="shared" si="33"/>
        <v>1</v>
      </c>
      <c r="H145" s="244">
        <f t="shared" si="34"/>
        <v>0</v>
      </c>
      <c r="I145" s="174">
        <f t="shared" si="35"/>
        <v>0</v>
      </c>
      <c r="J145" s="244">
        <f t="shared" si="36"/>
        <v>0</v>
      </c>
      <c r="K145" s="174">
        <f t="shared" si="38"/>
        <v>0</v>
      </c>
      <c r="L145" s="244">
        <f t="shared" si="39"/>
        <v>1</v>
      </c>
      <c r="M145" s="174">
        <v>1</v>
      </c>
      <c r="N145" s="143">
        <f t="shared" si="41"/>
        <v>141</v>
      </c>
      <c r="O145" s="143">
        <f t="shared" si="40"/>
        <v>141</v>
      </c>
    </row>
    <row r="146" spans="1:15" ht="12.75" customHeight="1">
      <c r="A146" s="246">
        <f t="shared" si="37"/>
        <v>167</v>
      </c>
      <c r="B146" s="244">
        <f t="shared" si="28"/>
        <v>1</v>
      </c>
      <c r="C146" s="174">
        <f t="shared" si="29"/>
        <v>0</v>
      </c>
      <c r="D146" s="244">
        <f t="shared" si="30"/>
        <v>0</v>
      </c>
      <c r="E146" s="174">
        <f t="shared" si="31"/>
        <v>1</v>
      </c>
      <c r="F146" s="244">
        <f t="shared" si="32"/>
        <v>0</v>
      </c>
      <c r="G146" s="174">
        <f t="shared" si="33"/>
        <v>1</v>
      </c>
      <c r="H146" s="244">
        <f t="shared" si="34"/>
        <v>0</v>
      </c>
      <c r="I146" s="174">
        <f t="shared" si="35"/>
        <v>0</v>
      </c>
      <c r="J146" s="244">
        <f t="shared" si="36"/>
        <v>0</v>
      </c>
      <c r="K146" s="174">
        <f t="shared" si="38"/>
        <v>1</v>
      </c>
      <c r="L146" s="244">
        <f t="shared" si="39"/>
        <v>0</v>
      </c>
      <c r="M146" s="174">
        <v>1</v>
      </c>
      <c r="N146" s="143">
        <f t="shared" si="41"/>
        <v>142</v>
      </c>
      <c r="O146" s="143">
        <f t="shared" si="40"/>
        <v>142</v>
      </c>
    </row>
    <row r="147" spans="1:15" ht="12.75" customHeight="1">
      <c r="A147" s="246">
        <f t="shared" si="37"/>
        <v>168</v>
      </c>
      <c r="B147" s="244">
        <f t="shared" si="28"/>
        <v>1</v>
      </c>
      <c r="C147" s="174">
        <f t="shared" si="29"/>
        <v>0</v>
      </c>
      <c r="D147" s="244">
        <f t="shared" si="30"/>
        <v>0</v>
      </c>
      <c r="E147" s="174">
        <f t="shared" si="31"/>
        <v>1</v>
      </c>
      <c r="F147" s="244">
        <f t="shared" si="32"/>
        <v>0</v>
      </c>
      <c r="G147" s="174">
        <f t="shared" si="33"/>
        <v>1</v>
      </c>
      <c r="H147" s="244">
        <f t="shared" si="34"/>
        <v>0</v>
      </c>
      <c r="I147" s="174">
        <f t="shared" si="35"/>
        <v>0</v>
      </c>
      <c r="J147" s="244">
        <f t="shared" si="36"/>
        <v>1</v>
      </c>
      <c r="K147" s="174">
        <f t="shared" si="38"/>
        <v>0</v>
      </c>
      <c r="L147" s="244">
        <f t="shared" si="39"/>
        <v>0</v>
      </c>
      <c r="M147" s="174">
        <v>1</v>
      </c>
      <c r="N147" s="143">
        <f t="shared" si="41"/>
        <v>143</v>
      </c>
      <c r="O147" s="143">
        <f t="shared" si="40"/>
        <v>143</v>
      </c>
    </row>
    <row r="148" spans="1:15" ht="12.75" customHeight="1">
      <c r="A148" s="246">
        <f t="shared" si="37"/>
        <v>169</v>
      </c>
      <c r="B148" s="244">
        <f t="shared" si="28"/>
        <v>1</v>
      </c>
      <c r="C148" s="174">
        <f t="shared" si="29"/>
        <v>0</v>
      </c>
      <c r="D148" s="244">
        <f t="shared" si="30"/>
        <v>0</v>
      </c>
      <c r="E148" s="174">
        <f t="shared" si="31"/>
        <v>1</v>
      </c>
      <c r="F148" s="244">
        <f t="shared" si="32"/>
        <v>0</v>
      </c>
      <c r="G148" s="174">
        <f t="shared" si="33"/>
        <v>1</v>
      </c>
      <c r="H148" s="244">
        <f t="shared" si="34"/>
        <v>0</v>
      </c>
      <c r="I148" s="174">
        <f t="shared" si="35"/>
        <v>1</v>
      </c>
      <c r="J148" s="244">
        <f t="shared" si="36"/>
        <v>0</v>
      </c>
      <c r="K148" s="174">
        <f t="shared" si="38"/>
        <v>0</v>
      </c>
      <c r="L148" s="244">
        <f t="shared" si="39"/>
        <v>0</v>
      </c>
      <c r="M148" s="174">
        <v>1</v>
      </c>
      <c r="N148" s="143">
        <f t="shared" si="41"/>
        <v>144</v>
      </c>
      <c r="O148" s="143">
        <f t="shared" si="40"/>
        <v>144</v>
      </c>
    </row>
    <row r="149" spans="1:15" ht="12.75" customHeight="1">
      <c r="A149" s="246">
        <f t="shared" si="37"/>
        <v>170</v>
      </c>
      <c r="B149" s="244">
        <f t="shared" si="28"/>
        <v>1</v>
      </c>
      <c r="C149" s="174">
        <f t="shared" si="29"/>
        <v>0</v>
      </c>
      <c r="D149" s="244">
        <f t="shared" si="30"/>
        <v>0</v>
      </c>
      <c r="E149" s="174">
        <f t="shared" si="31"/>
        <v>1</v>
      </c>
      <c r="F149" s="244">
        <f t="shared" si="32"/>
        <v>0</v>
      </c>
      <c r="G149" s="174">
        <f t="shared" si="33"/>
        <v>1</v>
      </c>
      <c r="H149" s="244">
        <f t="shared" si="34"/>
        <v>1</v>
      </c>
      <c r="I149" s="174">
        <f t="shared" si="35"/>
        <v>0</v>
      </c>
      <c r="J149" s="244">
        <f t="shared" si="36"/>
        <v>0</v>
      </c>
      <c r="K149" s="174">
        <f t="shared" si="38"/>
        <v>0</v>
      </c>
      <c r="L149" s="244">
        <f t="shared" si="39"/>
        <v>0</v>
      </c>
      <c r="M149" s="174">
        <v>1</v>
      </c>
      <c r="N149" s="143">
        <f t="shared" si="41"/>
        <v>145</v>
      </c>
      <c r="O149" s="143">
        <f t="shared" si="40"/>
        <v>145</v>
      </c>
    </row>
    <row r="150" spans="1:15" ht="12.75" customHeight="1">
      <c r="A150" s="246">
        <f t="shared" si="37"/>
        <v>171</v>
      </c>
      <c r="B150" s="244">
        <f t="shared" si="28"/>
        <v>1</v>
      </c>
      <c r="C150" s="174">
        <f t="shared" si="29"/>
        <v>0</v>
      </c>
      <c r="D150" s="244">
        <f t="shared" si="30"/>
        <v>0</v>
      </c>
      <c r="E150" s="174">
        <f t="shared" si="31"/>
        <v>1</v>
      </c>
      <c r="F150" s="244">
        <f t="shared" si="32"/>
        <v>0</v>
      </c>
      <c r="G150" s="174">
        <f t="shared" si="33"/>
        <v>1</v>
      </c>
      <c r="H150" s="244">
        <f t="shared" si="34"/>
        <v>1</v>
      </c>
      <c r="I150" s="174">
        <f t="shared" si="35"/>
        <v>0</v>
      </c>
      <c r="J150" s="244">
        <f t="shared" si="36"/>
        <v>0</v>
      </c>
      <c r="K150" s="174">
        <f t="shared" si="38"/>
        <v>0</v>
      </c>
      <c r="L150" s="244">
        <f t="shared" si="39"/>
        <v>1</v>
      </c>
      <c r="M150" s="174">
        <v>1</v>
      </c>
      <c r="N150" s="143">
        <f t="shared" si="41"/>
        <v>146</v>
      </c>
      <c r="O150" s="143">
        <f t="shared" si="40"/>
        <v>146</v>
      </c>
    </row>
    <row r="151" spans="1:15" ht="12.75" customHeight="1">
      <c r="A151" s="246">
        <f t="shared" si="37"/>
        <v>172</v>
      </c>
      <c r="B151" s="244">
        <f t="shared" si="28"/>
        <v>1</v>
      </c>
      <c r="C151" s="174">
        <f t="shared" si="29"/>
        <v>0</v>
      </c>
      <c r="D151" s="244">
        <f t="shared" si="30"/>
        <v>0</v>
      </c>
      <c r="E151" s="174">
        <f t="shared" si="31"/>
        <v>1</v>
      </c>
      <c r="F151" s="244">
        <f t="shared" si="32"/>
        <v>0</v>
      </c>
      <c r="G151" s="174">
        <f t="shared" si="33"/>
        <v>1</v>
      </c>
      <c r="H151" s="244">
        <f t="shared" si="34"/>
        <v>1</v>
      </c>
      <c r="I151" s="174">
        <f t="shared" si="35"/>
        <v>0</v>
      </c>
      <c r="J151" s="244">
        <f t="shared" si="36"/>
        <v>0</v>
      </c>
      <c r="K151" s="174">
        <f t="shared" si="38"/>
        <v>1</v>
      </c>
      <c r="L151" s="244">
        <f t="shared" si="39"/>
        <v>0</v>
      </c>
      <c r="M151" s="174">
        <v>1</v>
      </c>
      <c r="N151" s="143">
        <f t="shared" si="41"/>
        <v>147</v>
      </c>
      <c r="O151" s="143">
        <f t="shared" si="40"/>
        <v>147</v>
      </c>
    </row>
    <row r="152" spans="1:15" ht="12.75" customHeight="1">
      <c r="A152" s="246">
        <f t="shared" si="37"/>
        <v>173</v>
      </c>
      <c r="B152" s="244">
        <f t="shared" si="28"/>
        <v>1</v>
      </c>
      <c r="C152" s="174">
        <f t="shared" si="29"/>
        <v>0</v>
      </c>
      <c r="D152" s="244">
        <f t="shared" si="30"/>
        <v>0</v>
      </c>
      <c r="E152" s="174">
        <f t="shared" si="31"/>
        <v>1</v>
      </c>
      <c r="F152" s="244">
        <f t="shared" si="32"/>
        <v>0</v>
      </c>
      <c r="G152" s="174">
        <f t="shared" si="33"/>
        <v>1</v>
      </c>
      <c r="H152" s="244">
        <f t="shared" si="34"/>
        <v>1</v>
      </c>
      <c r="I152" s="174">
        <f t="shared" si="35"/>
        <v>0</v>
      </c>
      <c r="J152" s="244">
        <f t="shared" si="36"/>
        <v>1</v>
      </c>
      <c r="K152" s="174">
        <f t="shared" si="38"/>
        <v>0</v>
      </c>
      <c r="L152" s="244">
        <f t="shared" si="39"/>
        <v>0</v>
      </c>
      <c r="M152" s="174">
        <v>1</v>
      </c>
      <c r="N152" s="143">
        <f t="shared" si="41"/>
        <v>148</v>
      </c>
      <c r="O152" s="143">
        <f t="shared" si="40"/>
        <v>148</v>
      </c>
    </row>
    <row r="153" spans="1:15" ht="12.75" customHeight="1">
      <c r="A153" s="246">
        <f t="shared" si="37"/>
        <v>174</v>
      </c>
      <c r="B153" s="244">
        <f t="shared" si="28"/>
        <v>1</v>
      </c>
      <c r="C153" s="174">
        <f t="shared" si="29"/>
        <v>0</v>
      </c>
      <c r="D153" s="244">
        <f t="shared" si="30"/>
        <v>0</v>
      </c>
      <c r="E153" s="174">
        <f t="shared" si="31"/>
        <v>1</v>
      </c>
      <c r="F153" s="244">
        <f t="shared" si="32"/>
        <v>0</v>
      </c>
      <c r="G153" s="174">
        <f t="shared" si="33"/>
        <v>1</v>
      </c>
      <c r="H153" s="244">
        <f t="shared" si="34"/>
        <v>1</v>
      </c>
      <c r="I153" s="174">
        <f t="shared" si="35"/>
        <v>1</v>
      </c>
      <c r="J153" s="244">
        <f t="shared" si="36"/>
        <v>0</v>
      </c>
      <c r="K153" s="174">
        <f t="shared" si="38"/>
        <v>0</v>
      </c>
      <c r="L153" s="244">
        <f t="shared" si="39"/>
        <v>0</v>
      </c>
      <c r="M153" s="174">
        <v>1</v>
      </c>
      <c r="N153" s="143">
        <f t="shared" si="41"/>
        <v>149</v>
      </c>
      <c r="O153" s="143">
        <f t="shared" si="40"/>
        <v>149</v>
      </c>
    </row>
    <row r="154" spans="1:15" ht="12.75" customHeight="1">
      <c r="A154" s="246">
        <f t="shared" si="37"/>
        <v>175</v>
      </c>
      <c r="B154" s="244">
        <f t="shared" si="28"/>
        <v>1</v>
      </c>
      <c r="C154" s="174">
        <f t="shared" si="29"/>
        <v>1</v>
      </c>
      <c r="D154" s="244">
        <f t="shared" si="30"/>
        <v>0</v>
      </c>
      <c r="E154" s="174">
        <f t="shared" si="31"/>
        <v>0</v>
      </c>
      <c r="F154" s="244">
        <f t="shared" si="32"/>
        <v>0</v>
      </c>
      <c r="G154" s="174">
        <f t="shared" si="33"/>
        <v>0</v>
      </c>
      <c r="H154" s="244">
        <f t="shared" si="34"/>
        <v>0</v>
      </c>
      <c r="I154" s="174">
        <f t="shared" si="35"/>
        <v>0</v>
      </c>
      <c r="J154" s="244">
        <f t="shared" si="36"/>
        <v>0</v>
      </c>
      <c r="K154" s="174">
        <f t="shared" si="38"/>
        <v>0</v>
      </c>
      <c r="L154" s="244">
        <f t="shared" si="39"/>
        <v>0</v>
      </c>
      <c r="M154" s="174">
        <v>1</v>
      </c>
      <c r="N154" s="143">
        <f t="shared" si="41"/>
        <v>150</v>
      </c>
      <c r="O154" s="143">
        <f t="shared" si="40"/>
        <v>150</v>
      </c>
    </row>
    <row r="155" spans="1:15" ht="12.75" customHeight="1">
      <c r="A155" s="246">
        <f t="shared" si="37"/>
        <v>176</v>
      </c>
      <c r="B155" s="244">
        <f t="shared" si="28"/>
        <v>1</v>
      </c>
      <c r="C155" s="174">
        <f t="shared" si="29"/>
        <v>1</v>
      </c>
      <c r="D155" s="244">
        <f t="shared" si="30"/>
        <v>0</v>
      </c>
      <c r="E155" s="174">
        <f t="shared" si="31"/>
        <v>0</v>
      </c>
      <c r="F155" s="244">
        <f t="shared" si="32"/>
        <v>0</v>
      </c>
      <c r="G155" s="174">
        <f t="shared" si="33"/>
        <v>0</v>
      </c>
      <c r="H155" s="244">
        <f t="shared" si="34"/>
        <v>0</v>
      </c>
      <c r="I155" s="174">
        <f t="shared" si="35"/>
        <v>0</v>
      </c>
      <c r="J155" s="244">
        <f t="shared" si="36"/>
        <v>0</v>
      </c>
      <c r="K155" s="174">
        <f t="shared" si="38"/>
        <v>0</v>
      </c>
      <c r="L155" s="244">
        <f t="shared" si="39"/>
        <v>1</v>
      </c>
      <c r="M155" s="174">
        <v>1</v>
      </c>
      <c r="N155" s="143">
        <f t="shared" si="41"/>
        <v>151</v>
      </c>
      <c r="O155" s="143">
        <f t="shared" si="40"/>
        <v>151</v>
      </c>
    </row>
    <row r="156" spans="1:15" ht="12.75" customHeight="1">
      <c r="A156" s="246">
        <f t="shared" si="37"/>
        <v>177</v>
      </c>
      <c r="B156" s="244">
        <f t="shared" si="28"/>
        <v>1</v>
      </c>
      <c r="C156" s="174">
        <f t="shared" si="29"/>
        <v>1</v>
      </c>
      <c r="D156" s="244">
        <f t="shared" si="30"/>
        <v>0</v>
      </c>
      <c r="E156" s="174">
        <f t="shared" si="31"/>
        <v>0</v>
      </c>
      <c r="F156" s="244">
        <f t="shared" si="32"/>
        <v>0</v>
      </c>
      <c r="G156" s="174">
        <f t="shared" si="33"/>
        <v>0</v>
      </c>
      <c r="H156" s="244">
        <f t="shared" si="34"/>
        <v>0</v>
      </c>
      <c r="I156" s="174">
        <f t="shared" si="35"/>
        <v>0</v>
      </c>
      <c r="J156" s="244">
        <f t="shared" si="36"/>
        <v>0</v>
      </c>
      <c r="K156" s="174">
        <f t="shared" si="38"/>
        <v>1</v>
      </c>
      <c r="L156" s="244">
        <f t="shared" si="39"/>
        <v>0</v>
      </c>
      <c r="M156" s="174">
        <v>1</v>
      </c>
      <c r="N156" s="143">
        <f t="shared" si="41"/>
        <v>152</v>
      </c>
      <c r="O156" s="143">
        <f t="shared" si="40"/>
        <v>152</v>
      </c>
    </row>
    <row r="157" spans="1:15" ht="12.75" customHeight="1">
      <c r="A157" s="246">
        <f t="shared" si="37"/>
        <v>178</v>
      </c>
      <c r="B157" s="244">
        <f t="shared" si="28"/>
        <v>1</v>
      </c>
      <c r="C157" s="174">
        <f t="shared" si="29"/>
        <v>1</v>
      </c>
      <c r="D157" s="244">
        <f t="shared" si="30"/>
        <v>0</v>
      </c>
      <c r="E157" s="174">
        <f t="shared" si="31"/>
        <v>0</v>
      </c>
      <c r="F157" s="244">
        <f t="shared" si="32"/>
        <v>0</v>
      </c>
      <c r="G157" s="174">
        <f t="shared" si="33"/>
        <v>0</v>
      </c>
      <c r="H157" s="244">
        <f t="shared" si="34"/>
        <v>0</v>
      </c>
      <c r="I157" s="174">
        <f t="shared" si="35"/>
        <v>0</v>
      </c>
      <c r="J157" s="244">
        <f t="shared" si="36"/>
        <v>1</v>
      </c>
      <c r="K157" s="174">
        <f t="shared" si="38"/>
        <v>0</v>
      </c>
      <c r="L157" s="244">
        <f t="shared" si="39"/>
        <v>0</v>
      </c>
      <c r="M157" s="174">
        <v>1</v>
      </c>
      <c r="N157" s="143">
        <f t="shared" si="41"/>
        <v>153</v>
      </c>
      <c r="O157" s="143">
        <f t="shared" si="40"/>
        <v>153</v>
      </c>
    </row>
    <row r="158" spans="1:15" ht="12.75" customHeight="1">
      <c r="A158" s="246">
        <f t="shared" si="37"/>
        <v>179</v>
      </c>
      <c r="B158" s="244">
        <f t="shared" si="28"/>
        <v>1</v>
      </c>
      <c r="C158" s="174">
        <f t="shared" si="29"/>
        <v>1</v>
      </c>
      <c r="D158" s="244">
        <f t="shared" si="30"/>
        <v>0</v>
      </c>
      <c r="E158" s="174">
        <f t="shared" si="31"/>
        <v>0</v>
      </c>
      <c r="F158" s="244">
        <f t="shared" si="32"/>
        <v>0</v>
      </c>
      <c r="G158" s="174">
        <f t="shared" si="33"/>
        <v>0</v>
      </c>
      <c r="H158" s="244">
        <f t="shared" si="34"/>
        <v>0</v>
      </c>
      <c r="I158" s="174">
        <f t="shared" si="35"/>
        <v>1</v>
      </c>
      <c r="J158" s="244">
        <f t="shared" si="36"/>
        <v>0</v>
      </c>
      <c r="K158" s="174">
        <f t="shared" si="38"/>
        <v>0</v>
      </c>
      <c r="L158" s="244">
        <f t="shared" si="39"/>
        <v>0</v>
      </c>
      <c r="M158" s="174">
        <v>1</v>
      </c>
      <c r="N158" s="143">
        <f t="shared" si="41"/>
        <v>154</v>
      </c>
      <c r="O158" s="143">
        <f t="shared" si="40"/>
        <v>154</v>
      </c>
    </row>
    <row r="159" spans="1:15" ht="12.75" customHeight="1">
      <c r="A159" s="246">
        <f t="shared" si="37"/>
        <v>180</v>
      </c>
      <c r="B159" s="244">
        <f t="shared" si="28"/>
        <v>1</v>
      </c>
      <c r="C159" s="174">
        <f t="shared" si="29"/>
        <v>1</v>
      </c>
      <c r="D159" s="244">
        <f t="shared" si="30"/>
        <v>0</v>
      </c>
      <c r="E159" s="174">
        <f t="shared" si="31"/>
        <v>0</v>
      </c>
      <c r="F159" s="244">
        <f t="shared" si="32"/>
        <v>0</v>
      </c>
      <c r="G159" s="174">
        <f t="shared" si="33"/>
        <v>0</v>
      </c>
      <c r="H159" s="244">
        <f t="shared" si="34"/>
        <v>1</v>
      </c>
      <c r="I159" s="174">
        <f t="shared" si="35"/>
        <v>0</v>
      </c>
      <c r="J159" s="244">
        <f t="shared" si="36"/>
        <v>0</v>
      </c>
      <c r="K159" s="174">
        <f t="shared" si="38"/>
        <v>0</v>
      </c>
      <c r="L159" s="244">
        <f t="shared" si="39"/>
        <v>0</v>
      </c>
      <c r="M159" s="174">
        <v>1</v>
      </c>
      <c r="N159" s="143">
        <f t="shared" si="41"/>
        <v>155</v>
      </c>
      <c r="O159" s="143">
        <f t="shared" si="40"/>
        <v>155</v>
      </c>
    </row>
    <row r="160" spans="1:15" ht="12.75" customHeight="1">
      <c r="A160" s="246">
        <f t="shared" si="37"/>
        <v>181</v>
      </c>
      <c r="B160" s="244">
        <f t="shared" si="28"/>
        <v>1</v>
      </c>
      <c r="C160" s="174">
        <f t="shared" si="29"/>
        <v>1</v>
      </c>
      <c r="D160" s="244">
        <f t="shared" si="30"/>
        <v>0</v>
      </c>
      <c r="E160" s="174">
        <f t="shared" si="31"/>
        <v>0</v>
      </c>
      <c r="F160" s="244">
        <f t="shared" si="32"/>
        <v>0</v>
      </c>
      <c r="G160" s="174">
        <f t="shared" si="33"/>
        <v>0</v>
      </c>
      <c r="H160" s="244">
        <f t="shared" si="34"/>
        <v>1</v>
      </c>
      <c r="I160" s="174">
        <f t="shared" si="35"/>
        <v>0</v>
      </c>
      <c r="J160" s="244">
        <f t="shared" si="36"/>
        <v>0</v>
      </c>
      <c r="K160" s="174">
        <f t="shared" si="38"/>
        <v>0</v>
      </c>
      <c r="L160" s="244">
        <f t="shared" si="39"/>
        <v>1</v>
      </c>
      <c r="M160" s="174">
        <v>1</v>
      </c>
      <c r="N160" s="143">
        <f t="shared" si="41"/>
        <v>156</v>
      </c>
      <c r="O160" s="143">
        <f t="shared" si="40"/>
        <v>156</v>
      </c>
    </row>
    <row r="161" spans="1:15" ht="12.75" customHeight="1">
      <c r="A161" s="246">
        <f t="shared" si="37"/>
        <v>182</v>
      </c>
      <c r="B161" s="244">
        <f t="shared" si="28"/>
        <v>1</v>
      </c>
      <c r="C161" s="174">
        <f t="shared" si="29"/>
        <v>1</v>
      </c>
      <c r="D161" s="244">
        <f t="shared" si="30"/>
        <v>0</v>
      </c>
      <c r="E161" s="174">
        <f t="shared" si="31"/>
        <v>0</v>
      </c>
      <c r="F161" s="244">
        <f t="shared" si="32"/>
        <v>0</v>
      </c>
      <c r="G161" s="174">
        <f t="shared" si="33"/>
        <v>0</v>
      </c>
      <c r="H161" s="244">
        <f t="shared" si="34"/>
        <v>1</v>
      </c>
      <c r="I161" s="174">
        <f t="shared" si="35"/>
        <v>0</v>
      </c>
      <c r="J161" s="244">
        <f t="shared" si="36"/>
        <v>0</v>
      </c>
      <c r="K161" s="174">
        <f t="shared" si="38"/>
        <v>1</v>
      </c>
      <c r="L161" s="244">
        <f t="shared" si="39"/>
        <v>0</v>
      </c>
      <c r="M161" s="174">
        <v>1</v>
      </c>
      <c r="N161" s="143">
        <f t="shared" si="41"/>
        <v>157</v>
      </c>
      <c r="O161" s="143">
        <f t="shared" si="40"/>
        <v>157</v>
      </c>
    </row>
    <row r="162" spans="1:15" ht="12.75" customHeight="1">
      <c r="A162" s="246">
        <f t="shared" si="37"/>
        <v>183</v>
      </c>
      <c r="B162" s="244">
        <f t="shared" si="28"/>
        <v>1</v>
      </c>
      <c r="C162" s="174">
        <f t="shared" si="29"/>
        <v>1</v>
      </c>
      <c r="D162" s="244">
        <f t="shared" si="30"/>
        <v>0</v>
      </c>
      <c r="E162" s="174">
        <f t="shared" si="31"/>
        <v>0</v>
      </c>
      <c r="F162" s="244">
        <f t="shared" si="32"/>
        <v>0</v>
      </c>
      <c r="G162" s="174">
        <f t="shared" si="33"/>
        <v>0</v>
      </c>
      <c r="H162" s="244">
        <f t="shared" si="34"/>
        <v>1</v>
      </c>
      <c r="I162" s="174">
        <f t="shared" si="35"/>
        <v>0</v>
      </c>
      <c r="J162" s="244">
        <f t="shared" si="36"/>
        <v>1</v>
      </c>
      <c r="K162" s="174">
        <f t="shared" si="38"/>
        <v>0</v>
      </c>
      <c r="L162" s="244">
        <f t="shared" si="39"/>
        <v>0</v>
      </c>
      <c r="M162" s="174">
        <v>1</v>
      </c>
      <c r="N162" s="143">
        <f t="shared" si="41"/>
        <v>158</v>
      </c>
      <c r="O162" s="143">
        <f t="shared" si="40"/>
        <v>158</v>
      </c>
    </row>
    <row r="163" spans="1:15" ht="12.75" customHeight="1">
      <c r="A163" s="246">
        <f t="shared" si="37"/>
        <v>184</v>
      </c>
      <c r="B163" s="244">
        <f t="shared" si="28"/>
        <v>1</v>
      </c>
      <c r="C163" s="174">
        <f t="shared" si="29"/>
        <v>1</v>
      </c>
      <c r="D163" s="244">
        <f t="shared" si="30"/>
        <v>0</v>
      </c>
      <c r="E163" s="174">
        <f t="shared" si="31"/>
        <v>0</v>
      </c>
      <c r="F163" s="244">
        <f t="shared" si="32"/>
        <v>0</v>
      </c>
      <c r="G163" s="174">
        <f t="shared" si="33"/>
        <v>0</v>
      </c>
      <c r="H163" s="244">
        <f t="shared" si="34"/>
        <v>1</v>
      </c>
      <c r="I163" s="174">
        <f t="shared" si="35"/>
        <v>1</v>
      </c>
      <c r="J163" s="244">
        <f t="shared" si="36"/>
        <v>0</v>
      </c>
      <c r="K163" s="174">
        <f t="shared" si="38"/>
        <v>0</v>
      </c>
      <c r="L163" s="244">
        <f t="shared" si="39"/>
        <v>0</v>
      </c>
      <c r="M163" s="174">
        <v>1</v>
      </c>
      <c r="N163" s="143">
        <f t="shared" si="41"/>
        <v>159</v>
      </c>
      <c r="O163" s="143">
        <f t="shared" si="40"/>
        <v>159</v>
      </c>
    </row>
    <row r="164" spans="1:15" ht="12.75" customHeight="1">
      <c r="A164" s="246">
        <f t="shared" si="37"/>
        <v>185</v>
      </c>
      <c r="B164" s="244">
        <f t="shared" si="28"/>
        <v>1</v>
      </c>
      <c r="C164" s="174">
        <f t="shared" si="29"/>
        <v>1</v>
      </c>
      <c r="D164" s="244">
        <f t="shared" si="30"/>
        <v>0</v>
      </c>
      <c r="E164" s="174">
        <f t="shared" si="31"/>
        <v>0</v>
      </c>
      <c r="F164" s="244">
        <f t="shared" si="32"/>
        <v>0</v>
      </c>
      <c r="G164" s="174">
        <f t="shared" si="33"/>
        <v>1</v>
      </c>
      <c r="H164" s="244">
        <f t="shared" si="34"/>
        <v>0</v>
      </c>
      <c r="I164" s="174">
        <f t="shared" si="35"/>
        <v>0</v>
      </c>
      <c r="J164" s="244">
        <f t="shared" si="36"/>
        <v>0</v>
      </c>
      <c r="K164" s="174">
        <f t="shared" si="38"/>
        <v>0</v>
      </c>
      <c r="L164" s="244">
        <f t="shared" si="39"/>
        <v>0</v>
      </c>
      <c r="M164" s="174">
        <v>1</v>
      </c>
      <c r="N164" s="143">
        <f t="shared" si="41"/>
        <v>160</v>
      </c>
      <c r="O164" s="143">
        <f t="shared" si="40"/>
        <v>160</v>
      </c>
    </row>
    <row r="165" spans="1:15" ht="12.75" customHeight="1">
      <c r="A165" s="246">
        <f t="shared" si="37"/>
        <v>186</v>
      </c>
      <c r="B165" s="244">
        <f t="shared" si="28"/>
        <v>1</v>
      </c>
      <c r="C165" s="174">
        <f t="shared" si="29"/>
        <v>1</v>
      </c>
      <c r="D165" s="244">
        <f t="shared" si="30"/>
        <v>0</v>
      </c>
      <c r="E165" s="174">
        <f t="shared" si="31"/>
        <v>0</v>
      </c>
      <c r="F165" s="244">
        <f t="shared" si="32"/>
        <v>0</v>
      </c>
      <c r="G165" s="174">
        <f t="shared" si="33"/>
        <v>1</v>
      </c>
      <c r="H165" s="244">
        <f t="shared" si="34"/>
        <v>0</v>
      </c>
      <c r="I165" s="174">
        <f t="shared" si="35"/>
        <v>0</v>
      </c>
      <c r="J165" s="244">
        <f t="shared" si="36"/>
        <v>0</v>
      </c>
      <c r="K165" s="174">
        <f t="shared" si="38"/>
        <v>0</v>
      </c>
      <c r="L165" s="244">
        <f t="shared" si="39"/>
        <v>1</v>
      </c>
      <c r="M165" s="174">
        <v>1</v>
      </c>
      <c r="N165" s="143">
        <f t="shared" si="41"/>
        <v>161</v>
      </c>
      <c r="O165" s="143">
        <f t="shared" si="40"/>
        <v>161</v>
      </c>
    </row>
    <row r="166" spans="1:15" ht="12.75" customHeight="1">
      <c r="A166" s="246">
        <f t="shared" si="37"/>
        <v>187</v>
      </c>
      <c r="B166" s="244">
        <f t="shared" si="28"/>
        <v>1</v>
      </c>
      <c r="C166" s="174">
        <f t="shared" si="29"/>
        <v>1</v>
      </c>
      <c r="D166" s="244">
        <f t="shared" si="30"/>
        <v>0</v>
      </c>
      <c r="E166" s="174">
        <f t="shared" si="31"/>
        <v>0</v>
      </c>
      <c r="F166" s="244">
        <f t="shared" si="32"/>
        <v>0</v>
      </c>
      <c r="G166" s="174">
        <f t="shared" si="33"/>
        <v>1</v>
      </c>
      <c r="H166" s="244">
        <f t="shared" si="34"/>
        <v>0</v>
      </c>
      <c r="I166" s="174">
        <f t="shared" si="35"/>
        <v>0</v>
      </c>
      <c r="J166" s="244">
        <f t="shared" si="36"/>
        <v>0</v>
      </c>
      <c r="K166" s="174">
        <f t="shared" si="38"/>
        <v>1</v>
      </c>
      <c r="L166" s="244">
        <f t="shared" si="39"/>
        <v>0</v>
      </c>
      <c r="M166" s="174">
        <v>1</v>
      </c>
      <c r="N166" s="143">
        <f t="shared" si="41"/>
        <v>162</v>
      </c>
      <c r="O166" s="143">
        <f t="shared" si="40"/>
        <v>162</v>
      </c>
    </row>
    <row r="167" spans="1:15" ht="12.75" customHeight="1">
      <c r="A167" s="246">
        <f t="shared" si="37"/>
        <v>188</v>
      </c>
      <c r="B167" s="244">
        <f t="shared" si="28"/>
        <v>1</v>
      </c>
      <c r="C167" s="174">
        <f t="shared" si="29"/>
        <v>1</v>
      </c>
      <c r="D167" s="244">
        <f t="shared" si="30"/>
        <v>0</v>
      </c>
      <c r="E167" s="174">
        <f t="shared" si="31"/>
        <v>0</v>
      </c>
      <c r="F167" s="244">
        <f t="shared" si="32"/>
        <v>0</v>
      </c>
      <c r="G167" s="174">
        <f t="shared" si="33"/>
        <v>1</v>
      </c>
      <c r="H167" s="244">
        <f t="shared" si="34"/>
        <v>0</v>
      </c>
      <c r="I167" s="174">
        <f t="shared" si="35"/>
        <v>0</v>
      </c>
      <c r="J167" s="244">
        <f t="shared" si="36"/>
        <v>1</v>
      </c>
      <c r="K167" s="174">
        <f t="shared" si="38"/>
        <v>0</v>
      </c>
      <c r="L167" s="244">
        <f t="shared" si="39"/>
        <v>0</v>
      </c>
      <c r="M167" s="174">
        <v>1</v>
      </c>
      <c r="N167" s="143">
        <f t="shared" si="41"/>
        <v>163</v>
      </c>
      <c r="O167" s="143">
        <f t="shared" si="40"/>
        <v>163</v>
      </c>
    </row>
    <row r="168" spans="1:15" ht="12.75" customHeight="1">
      <c r="A168" s="246">
        <f t="shared" si="37"/>
        <v>189</v>
      </c>
      <c r="B168" s="244">
        <f t="shared" si="28"/>
        <v>1</v>
      </c>
      <c r="C168" s="174">
        <f t="shared" si="29"/>
        <v>1</v>
      </c>
      <c r="D168" s="244">
        <f t="shared" si="30"/>
        <v>0</v>
      </c>
      <c r="E168" s="174">
        <f t="shared" si="31"/>
        <v>0</v>
      </c>
      <c r="F168" s="244">
        <f t="shared" si="32"/>
        <v>0</v>
      </c>
      <c r="G168" s="174">
        <f t="shared" si="33"/>
        <v>1</v>
      </c>
      <c r="H168" s="244">
        <f t="shared" si="34"/>
        <v>0</v>
      </c>
      <c r="I168" s="174">
        <f t="shared" si="35"/>
        <v>1</v>
      </c>
      <c r="J168" s="244">
        <f t="shared" si="36"/>
        <v>0</v>
      </c>
      <c r="K168" s="174">
        <f t="shared" si="38"/>
        <v>0</v>
      </c>
      <c r="L168" s="244">
        <f t="shared" si="39"/>
        <v>0</v>
      </c>
      <c r="M168" s="174">
        <v>1</v>
      </c>
      <c r="N168" s="143">
        <f t="shared" si="41"/>
        <v>164</v>
      </c>
      <c r="O168" s="143">
        <f t="shared" si="40"/>
        <v>164</v>
      </c>
    </row>
    <row r="169" spans="1:15" ht="12.75" customHeight="1">
      <c r="A169" s="246">
        <f t="shared" si="37"/>
        <v>190</v>
      </c>
      <c r="B169" s="244">
        <f t="shared" si="28"/>
        <v>1</v>
      </c>
      <c r="C169" s="174">
        <f t="shared" si="29"/>
        <v>1</v>
      </c>
      <c r="D169" s="244">
        <f t="shared" si="30"/>
        <v>0</v>
      </c>
      <c r="E169" s="174">
        <f t="shared" si="31"/>
        <v>0</v>
      </c>
      <c r="F169" s="244">
        <f t="shared" si="32"/>
        <v>0</v>
      </c>
      <c r="G169" s="174">
        <f t="shared" si="33"/>
        <v>1</v>
      </c>
      <c r="H169" s="244">
        <f t="shared" si="34"/>
        <v>1</v>
      </c>
      <c r="I169" s="174">
        <f t="shared" si="35"/>
        <v>0</v>
      </c>
      <c r="J169" s="244">
        <f t="shared" si="36"/>
        <v>0</v>
      </c>
      <c r="K169" s="174">
        <f t="shared" si="38"/>
        <v>0</v>
      </c>
      <c r="L169" s="244">
        <f t="shared" si="39"/>
        <v>0</v>
      </c>
      <c r="M169" s="174">
        <v>1</v>
      </c>
      <c r="N169" s="143">
        <f t="shared" si="41"/>
        <v>165</v>
      </c>
      <c r="O169" s="143">
        <f t="shared" si="40"/>
        <v>165</v>
      </c>
    </row>
    <row r="170" spans="1:15" ht="12.75" customHeight="1">
      <c r="A170" s="246">
        <f t="shared" si="37"/>
        <v>191</v>
      </c>
      <c r="B170" s="244">
        <f t="shared" si="28"/>
        <v>1</v>
      </c>
      <c r="C170" s="174">
        <f t="shared" si="29"/>
        <v>1</v>
      </c>
      <c r="D170" s="244">
        <f t="shared" si="30"/>
        <v>0</v>
      </c>
      <c r="E170" s="174">
        <f t="shared" si="31"/>
        <v>0</v>
      </c>
      <c r="F170" s="244">
        <f t="shared" si="32"/>
        <v>0</v>
      </c>
      <c r="G170" s="174">
        <f t="shared" si="33"/>
        <v>1</v>
      </c>
      <c r="H170" s="244">
        <f t="shared" si="34"/>
        <v>1</v>
      </c>
      <c r="I170" s="174">
        <f t="shared" si="35"/>
        <v>0</v>
      </c>
      <c r="J170" s="244">
        <f t="shared" si="36"/>
        <v>0</v>
      </c>
      <c r="K170" s="174">
        <f t="shared" si="38"/>
        <v>0</v>
      </c>
      <c r="L170" s="244">
        <f t="shared" si="39"/>
        <v>1</v>
      </c>
      <c r="M170" s="174">
        <v>1</v>
      </c>
      <c r="N170" s="143">
        <f t="shared" si="41"/>
        <v>166</v>
      </c>
      <c r="O170" s="143">
        <f t="shared" si="40"/>
        <v>166</v>
      </c>
    </row>
    <row r="171" spans="1:15" ht="12.75" customHeight="1">
      <c r="A171" s="246">
        <f t="shared" si="37"/>
        <v>192</v>
      </c>
      <c r="B171" s="244">
        <f t="shared" si="28"/>
        <v>1</v>
      </c>
      <c r="C171" s="174">
        <f t="shared" si="29"/>
        <v>1</v>
      </c>
      <c r="D171" s="244">
        <f t="shared" si="30"/>
        <v>0</v>
      </c>
      <c r="E171" s="174">
        <f t="shared" si="31"/>
        <v>0</v>
      </c>
      <c r="F171" s="244">
        <f t="shared" si="32"/>
        <v>0</v>
      </c>
      <c r="G171" s="174">
        <f t="shared" si="33"/>
        <v>1</v>
      </c>
      <c r="H171" s="244">
        <f t="shared" si="34"/>
        <v>1</v>
      </c>
      <c r="I171" s="174">
        <f t="shared" si="35"/>
        <v>0</v>
      </c>
      <c r="J171" s="244">
        <f t="shared" si="36"/>
        <v>0</v>
      </c>
      <c r="K171" s="174">
        <f t="shared" si="38"/>
        <v>1</v>
      </c>
      <c r="L171" s="244">
        <f t="shared" si="39"/>
        <v>0</v>
      </c>
      <c r="M171" s="174">
        <v>1</v>
      </c>
      <c r="N171" s="143">
        <f t="shared" si="41"/>
        <v>167</v>
      </c>
      <c r="O171" s="143">
        <f t="shared" si="40"/>
        <v>167</v>
      </c>
    </row>
    <row r="172" spans="1:15" ht="12.75" customHeight="1">
      <c r="A172" s="246">
        <f t="shared" si="37"/>
        <v>193</v>
      </c>
      <c r="B172" s="244">
        <f t="shared" si="28"/>
        <v>1</v>
      </c>
      <c r="C172" s="174">
        <f t="shared" si="29"/>
        <v>1</v>
      </c>
      <c r="D172" s="244">
        <f t="shared" si="30"/>
        <v>0</v>
      </c>
      <c r="E172" s="174">
        <f t="shared" si="31"/>
        <v>0</v>
      </c>
      <c r="F172" s="244">
        <f t="shared" si="32"/>
        <v>0</v>
      </c>
      <c r="G172" s="174">
        <f t="shared" si="33"/>
        <v>1</v>
      </c>
      <c r="H172" s="244">
        <f t="shared" si="34"/>
        <v>1</v>
      </c>
      <c r="I172" s="174">
        <f t="shared" si="35"/>
        <v>0</v>
      </c>
      <c r="J172" s="244">
        <f t="shared" si="36"/>
        <v>1</v>
      </c>
      <c r="K172" s="174">
        <f t="shared" si="38"/>
        <v>0</v>
      </c>
      <c r="L172" s="244">
        <f t="shared" si="39"/>
        <v>0</v>
      </c>
      <c r="M172" s="174">
        <v>1</v>
      </c>
      <c r="N172" s="143">
        <f t="shared" si="41"/>
        <v>168</v>
      </c>
      <c r="O172" s="143">
        <f t="shared" si="40"/>
        <v>168</v>
      </c>
    </row>
    <row r="173" spans="1:15" ht="12.75" customHeight="1">
      <c r="A173" s="246">
        <f t="shared" si="37"/>
        <v>194</v>
      </c>
      <c r="B173" s="244">
        <f t="shared" si="28"/>
        <v>1</v>
      </c>
      <c r="C173" s="174">
        <f t="shared" si="29"/>
        <v>1</v>
      </c>
      <c r="D173" s="244">
        <f t="shared" si="30"/>
        <v>0</v>
      </c>
      <c r="E173" s="174">
        <f t="shared" si="31"/>
        <v>0</v>
      </c>
      <c r="F173" s="244">
        <f t="shared" si="32"/>
        <v>0</v>
      </c>
      <c r="G173" s="174">
        <f t="shared" si="33"/>
        <v>1</v>
      </c>
      <c r="H173" s="244">
        <f t="shared" si="34"/>
        <v>1</v>
      </c>
      <c r="I173" s="174">
        <f t="shared" si="35"/>
        <v>1</v>
      </c>
      <c r="J173" s="244">
        <f t="shared" si="36"/>
        <v>0</v>
      </c>
      <c r="K173" s="174">
        <f t="shared" si="38"/>
        <v>0</v>
      </c>
      <c r="L173" s="244">
        <f t="shared" si="39"/>
        <v>0</v>
      </c>
      <c r="M173" s="174">
        <v>1</v>
      </c>
      <c r="N173" s="143">
        <f t="shared" si="41"/>
        <v>169</v>
      </c>
      <c r="O173" s="143">
        <f t="shared" si="40"/>
        <v>169</v>
      </c>
    </row>
    <row r="174" spans="1:15" ht="12.75" customHeight="1">
      <c r="A174" s="246">
        <f t="shared" si="37"/>
        <v>195</v>
      </c>
      <c r="B174" s="244">
        <f t="shared" si="28"/>
        <v>1</v>
      </c>
      <c r="C174" s="174">
        <f t="shared" si="29"/>
        <v>1</v>
      </c>
      <c r="D174" s="244">
        <f t="shared" si="30"/>
        <v>0</v>
      </c>
      <c r="E174" s="174">
        <f t="shared" si="31"/>
        <v>0</v>
      </c>
      <c r="F174" s="244">
        <f t="shared" si="32"/>
        <v>1</v>
      </c>
      <c r="G174" s="174">
        <f t="shared" si="33"/>
        <v>0</v>
      </c>
      <c r="H174" s="244">
        <f t="shared" si="34"/>
        <v>0</v>
      </c>
      <c r="I174" s="174">
        <f t="shared" si="35"/>
        <v>0</v>
      </c>
      <c r="J174" s="244">
        <f t="shared" si="36"/>
        <v>0</v>
      </c>
      <c r="K174" s="174">
        <f t="shared" si="38"/>
        <v>0</v>
      </c>
      <c r="L174" s="244">
        <f t="shared" si="39"/>
        <v>0</v>
      </c>
      <c r="M174" s="174">
        <v>1</v>
      </c>
      <c r="N174" s="143">
        <f t="shared" si="41"/>
        <v>170</v>
      </c>
      <c r="O174" s="143">
        <f t="shared" si="40"/>
        <v>170</v>
      </c>
    </row>
    <row r="175" spans="1:15" ht="12.75" customHeight="1">
      <c r="A175" s="246">
        <f t="shared" si="37"/>
        <v>196</v>
      </c>
      <c r="B175" s="244">
        <f t="shared" si="28"/>
        <v>1</v>
      </c>
      <c r="C175" s="174">
        <f t="shared" si="29"/>
        <v>1</v>
      </c>
      <c r="D175" s="244">
        <f t="shared" si="30"/>
        <v>0</v>
      </c>
      <c r="E175" s="174">
        <f t="shared" si="31"/>
        <v>0</v>
      </c>
      <c r="F175" s="244">
        <f t="shared" si="32"/>
        <v>1</v>
      </c>
      <c r="G175" s="174">
        <f t="shared" si="33"/>
        <v>0</v>
      </c>
      <c r="H175" s="244">
        <f t="shared" si="34"/>
        <v>0</v>
      </c>
      <c r="I175" s="174">
        <f t="shared" si="35"/>
        <v>0</v>
      </c>
      <c r="J175" s="244">
        <f t="shared" si="36"/>
        <v>0</v>
      </c>
      <c r="K175" s="174">
        <f t="shared" si="38"/>
        <v>0</v>
      </c>
      <c r="L175" s="244">
        <f t="shared" si="39"/>
        <v>1</v>
      </c>
      <c r="M175" s="174">
        <v>1</v>
      </c>
      <c r="N175" s="143">
        <f t="shared" si="41"/>
        <v>171</v>
      </c>
      <c r="O175" s="143">
        <f t="shared" si="40"/>
        <v>171</v>
      </c>
    </row>
    <row r="176" spans="1:15" ht="12.75" customHeight="1">
      <c r="A176" s="246">
        <f t="shared" si="37"/>
        <v>197</v>
      </c>
      <c r="B176" s="244">
        <f t="shared" si="28"/>
        <v>1</v>
      </c>
      <c r="C176" s="174">
        <f t="shared" si="29"/>
        <v>1</v>
      </c>
      <c r="D176" s="244">
        <f t="shared" si="30"/>
        <v>0</v>
      </c>
      <c r="E176" s="174">
        <f t="shared" si="31"/>
        <v>0</v>
      </c>
      <c r="F176" s="244">
        <f t="shared" si="32"/>
        <v>1</v>
      </c>
      <c r="G176" s="174">
        <f t="shared" si="33"/>
        <v>0</v>
      </c>
      <c r="H176" s="244">
        <f t="shared" si="34"/>
        <v>0</v>
      </c>
      <c r="I176" s="174">
        <f t="shared" si="35"/>
        <v>0</v>
      </c>
      <c r="J176" s="244">
        <f t="shared" si="36"/>
        <v>0</v>
      </c>
      <c r="K176" s="174">
        <f t="shared" si="38"/>
        <v>1</v>
      </c>
      <c r="L176" s="244">
        <f t="shared" si="39"/>
        <v>0</v>
      </c>
      <c r="M176" s="174">
        <v>1</v>
      </c>
      <c r="N176" s="143">
        <f t="shared" si="41"/>
        <v>172</v>
      </c>
      <c r="O176" s="143">
        <f t="shared" si="40"/>
        <v>172</v>
      </c>
    </row>
    <row r="177" spans="1:15" ht="12.75" customHeight="1">
      <c r="A177" s="246">
        <f t="shared" si="37"/>
        <v>198</v>
      </c>
      <c r="B177" s="244">
        <f t="shared" si="28"/>
        <v>1</v>
      </c>
      <c r="C177" s="174">
        <f t="shared" si="29"/>
        <v>1</v>
      </c>
      <c r="D177" s="244">
        <f t="shared" si="30"/>
        <v>0</v>
      </c>
      <c r="E177" s="174">
        <f t="shared" si="31"/>
        <v>0</v>
      </c>
      <c r="F177" s="244">
        <f t="shared" si="32"/>
        <v>1</v>
      </c>
      <c r="G177" s="174">
        <f t="shared" si="33"/>
        <v>0</v>
      </c>
      <c r="H177" s="244">
        <f t="shared" si="34"/>
        <v>0</v>
      </c>
      <c r="I177" s="174">
        <f t="shared" si="35"/>
        <v>0</v>
      </c>
      <c r="J177" s="244">
        <f t="shared" si="36"/>
        <v>1</v>
      </c>
      <c r="K177" s="174">
        <f t="shared" si="38"/>
        <v>0</v>
      </c>
      <c r="L177" s="244">
        <f t="shared" si="39"/>
        <v>0</v>
      </c>
      <c r="M177" s="174">
        <v>1</v>
      </c>
      <c r="N177" s="143">
        <f t="shared" si="41"/>
        <v>173</v>
      </c>
      <c r="O177" s="143">
        <f t="shared" si="40"/>
        <v>173</v>
      </c>
    </row>
    <row r="178" spans="1:15" ht="12.75" customHeight="1">
      <c r="A178" s="246">
        <f t="shared" si="37"/>
        <v>199</v>
      </c>
      <c r="B178" s="244">
        <f t="shared" si="28"/>
        <v>1</v>
      </c>
      <c r="C178" s="174">
        <f t="shared" si="29"/>
        <v>1</v>
      </c>
      <c r="D178" s="244">
        <f t="shared" si="30"/>
        <v>0</v>
      </c>
      <c r="E178" s="174">
        <f t="shared" si="31"/>
        <v>0</v>
      </c>
      <c r="F178" s="244">
        <f t="shared" si="32"/>
        <v>1</v>
      </c>
      <c r="G178" s="174">
        <f t="shared" si="33"/>
        <v>0</v>
      </c>
      <c r="H178" s="244">
        <f t="shared" si="34"/>
        <v>0</v>
      </c>
      <c r="I178" s="174">
        <f t="shared" si="35"/>
        <v>1</v>
      </c>
      <c r="J178" s="244">
        <f t="shared" si="36"/>
        <v>0</v>
      </c>
      <c r="K178" s="174">
        <f t="shared" si="38"/>
        <v>0</v>
      </c>
      <c r="L178" s="244">
        <f t="shared" si="39"/>
        <v>0</v>
      </c>
      <c r="M178" s="174">
        <v>1</v>
      </c>
      <c r="N178" s="143">
        <f t="shared" si="41"/>
        <v>174</v>
      </c>
      <c r="O178" s="143">
        <f t="shared" si="40"/>
        <v>174</v>
      </c>
    </row>
    <row r="179" spans="1:15" ht="12.75" customHeight="1">
      <c r="A179" s="246">
        <f t="shared" si="37"/>
        <v>200</v>
      </c>
      <c r="B179" s="244">
        <f t="shared" si="28"/>
        <v>1</v>
      </c>
      <c r="C179" s="174">
        <f t="shared" si="29"/>
        <v>1</v>
      </c>
      <c r="D179" s="244">
        <f t="shared" si="30"/>
        <v>0</v>
      </c>
      <c r="E179" s="174">
        <f t="shared" si="31"/>
        <v>0</v>
      </c>
      <c r="F179" s="244">
        <f t="shared" si="32"/>
        <v>1</v>
      </c>
      <c r="G179" s="174">
        <f t="shared" si="33"/>
        <v>0</v>
      </c>
      <c r="H179" s="244">
        <f t="shared" si="34"/>
        <v>1</v>
      </c>
      <c r="I179" s="174">
        <f t="shared" si="35"/>
        <v>0</v>
      </c>
      <c r="J179" s="244">
        <f t="shared" si="36"/>
        <v>0</v>
      </c>
      <c r="K179" s="174">
        <f t="shared" si="38"/>
        <v>0</v>
      </c>
      <c r="L179" s="244">
        <f t="shared" si="39"/>
        <v>0</v>
      </c>
      <c r="M179" s="174">
        <v>1</v>
      </c>
      <c r="N179" s="143">
        <f t="shared" si="41"/>
        <v>175</v>
      </c>
      <c r="O179" s="143">
        <f t="shared" si="40"/>
        <v>175</v>
      </c>
    </row>
    <row r="180" spans="1:15" ht="12.75" customHeight="1">
      <c r="A180" s="246">
        <f t="shared" si="37"/>
        <v>201</v>
      </c>
      <c r="B180" s="244">
        <f t="shared" si="28"/>
        <v>1</v>
      </c>
      <c r="C180" s="174">
        <f t="shared" si="29"/>
        <v>1</v>
      </c>
      <c r="D180" s="244">
        <f t="shared" si="30"/>
        <v>0</v>
      </c>
      <c r="E180" s="174">
        <f t="shared" si="31"/>
        <v>0</v>
      </c>
      <c r="F180" s="244">
        <f t="shared" si="32"/>
        <v>1</v>
      </c>
      <c r="G180" s="174">
        <f t="shared" si="33"/>
        <v>0</v>
      </c>
      <c r="H180" s="244">
        <f t="shared" si="34"/>
        <v>1</v>
      </c>
      <c r="I180" s="174">
        <f t="shared" si="35"/>
        <v>0</v>
      </c>
      <c r="J180" s="244">
        <f t="shared" si="36"/>
        <v>0</v>
      </c>
      <c r="K180" s="174">
        <f t="shared" si="38"/>
        <v>0</v>
      </c>
      <c r="L180" s="244">
        <f t="shared" si="39"/>
        <v>1</v>
      </c>
      <c r="M180" s="174">
        <v>1</v>
      </c>
      <c r="N180" s="143">
        <f t="shared" si="41"/>
        <v>176</v>
      </c>
      <c r="O180" s="143">
        <f t="shared" si="40"/>
        <v>176</v>
      </c>
    </row>
    <row r="181" spans="1:15" ht="12.75" customHeight="1">
      <c r="A181" s="246">
        <f t="shared" si="37"/>
        <v>202</v>
      </c>
      <c r="B181" s="244">
        <f t="shared" si="28"/>
        <v>1</v>
      </c>
      <c r="C181" s="174">
        <f t="shared" si="29"/>
        <v>1</v>
      </c>
      <c r="D181" s="244">
        <f t="shared" si="30"/>
        <v>0</v>
      </c>
      <c r="E181" s="174">
        <f t="shared" si="31"/>
        <v>0</v>
      </c>
      <c r="F181" s="244">
        <f t="shared" si="32"/>
        <v>1</v>
      </c>
      <c r="G181" s="174">
        <f t="shared" si="33"/>
        <v>0</v>
      </c>
      <c r="H181" s="244">
        <f t="shared" si="34"/>
        <v>1</v>
      </c>
      <c r="I181" s="174">
        <f t="shared" si="35"/>
        <v>0</v>
      </c>
      <c r="J181" s="244">
        <f t="shared" si="36"/>
        <v>0</v>
      </c>
      <c r="K181" s="174">
        <f t="shared" si="38"/>
        <v>1</v>
      </c>
      <c r="L181" s="244">
        <f t="shared" si="39"/>
        <v>0</v>
      </c>
      <c r="M181" s="174">
        <v>1</v>
      </c>
      <c r="N181" s="143">
        <f t="shared" si="41"/>
        <v>177</v>
      </c>
      <c r="O181" s="143">
        <f t="shared" si="40"/>
        <v>177</v>
      </c>
    </row>
    <row r="182" spans="1:15" ht="12.75" customHeight="1">
      <c r="A182" s="246">
        <f t="shared" si="37"/>
        <v>203</v>
      </c>
      <c r="B182" s="244">
        <f t="shared" si="28"/>
        <v>1</v>
      </c>
      <c r="C182" s="174">
        <f t="shared" si="29"/>
        <v>1</v>
      </c>
      <c r="D182" s="244">
        <f t="shared" si="30"/>
        <v>0</v>
      </c>
      <c r="E182" s="174">
        <f t="shared" si="31"/>
        <v>0</v>
      </c>
      <c r="F182" s="244">
        <f t="shared" si="32"/>
        <v>1</v>
      </c>
      <c r="G182" s="174">
        <f t="shared" si="33"/>
        <v>0</v>
      </c>
      <c r="H182" s="244">
        <f t="shared" si="34"/>
        <v>1</v>
      </c>
      <c r="I182" s="174">
        <f t="shared" si="35"/>
        <v>0</v>
      </c>
      <c r="J182" s="244">
        <f t="shared" si="36"/>
        <v>1</v>
      </c>
      <c r="K182" s="174">
        <f t="shared" si="38"/>
        <v>0</v>
      </c>
      <c r="L182" s="244">
        <f t="shared" si="39"/>
        <v>0</v>
      </c>
      <c r="M182" s="174">
        <v>1</v>
      </c>
      <c r="N182" s="143">
        <f t="shared" si="41"/>
        <v>178</v>
      </c>
      <c r="O182" s="143">
        <f t="shared" si="40"/>
        <v>178</v>
      </c>
    </row>
    <row r="183" spans="1:15" ht="12.75" customHeight="1">
      <c r="A183" s="246">
        <f t="shared" si="37"/>
        <v>204</v>
      </c>
      <c r="B183" s="244">
        <f t="shared" si="28"/>
        <v>1</v>
      </c>
      <c r="C183" s="174">
        <f t="shared" si="29"/>
        <v>1</v>
      </c>
      <c r="D183" s="244">
        <f t="shared" si="30"/>
        <v>0</v>
      </c>
      <c r="E183" s="174">
        <f t="shared" si="31"/>
        <v>0</v>
      </c>
      <c r="F183" s="244">
        <f t="shared" si="32"/>
        <v>1</v>
      </c>
      <c r="G183" s="174">
        <f t="shared" si="33"/>
        <v>0</v>
      </c>
      <c r="H183" s="244">
        <f t="shared" si="34"/>
        <v>1</v>
      </c>
      <c r="I183" s="174">
        <f t="shared" si="35"/>
        <v>1</v>
      </c>
      <c r="J183" s="244">
        <f t="shared" si="36"/>
        <v>0</v>
      </c>
      <c r="K183" s="174">
        <f t="shared" si="38"/>
        <v>0</v>
      </c>
      <c r="L183" s="244">
        <f t="shared" si="39"/>
        <v>0</v>
      </c>
      <c r="M183" s="174">
        <v>1</v>
      </c>
      <c r="N183" s="143">
        <f t="shared" si="41"/>
        <v>179</v>
      </c>
      <c r="O183" s="143">
        <f t="shared" si="40"/>
        <v>179</v>
      </c>
    </row>
    <row r="184" spans="1:15" ht="12.75" customHeight="1">
      <c r="A184" s="246">
        <f t="shared" si="37"/>
        <v>205</v>
      </c>
      <c r="B184" s="244">
        <f t="shared" si="28"/>
        <v>1</v>
      </c>
      <c r="C184" s="174">
        <f t="shared" si="29"/>
        <v>1</v>
      </c>
      <c r="D184" s="244">
        <f t="shared" si="30"/>
        <v>0</v>
      </c>
      <c r="E184" s="174">
        <f t="shared" si="31"/>
        <v>1</v>
      </c>
      <c r="F184" s="244">
        <f t="shared" si="32"/>
        <v>0</v>
      </c>
      <c r="G184" s="174">
        <f t="shared" si="33"/>
        <v>0</v>
      </c>
      <c r="H184" s="244">
        <f t="shared" si="34"/>
        <v>0</v>
      </c>
      <c r="I184" s="174">
        <f t="shared" si="35"/>
        <v>0</v>
      </c>
      <c r="J184" s="244">
        <f t="shared" si="36"/>
        <v>0</v>
      </c>
      <c r="K184" s="174">
        <f t="shared" si="38"/>
        <v>0</v>
      </c>
      <c r="L184" s="244">
        <f t="shared" si="39"/>
        <v>0</v>
      </c>
      <c r="M184" s="174">
        <v>1</v>
      </c>
      <c r="N184" s="143">
        <f t="shared" si="41"/>
        <v>180</v>
      </c>
      <c r="O184" s="143">
        <f t="shared" si="40"/>
        <v>180</v>
      </c>
    </row>
    <row r="185" spans="1:15" ht="12.75" customHeight="1">
      <c r="A185" s="246">
        <f t="shared" si="37"/>
        <v>206</v>
      </c>
      <c r="B185" s="244">
        <f t="shared" si="28"/>
        <v>1</v>
      </c>
      <c r="C185" s="174">
        <f t="shared" si="29"/>
        <v>1</v>
      </c>
      <c r="D185" s="244">
        <f t="shared" si="30"/>
        <v>0</v>
      </c>
      <c r="E185" s="174">
        <f t="shared" si="31"/>
        <v>1</v>
      </c>
      <c r="F185" s="244">
        <f t="shared" si="32"/>
        <v>0</v>
      </c>
      <c r="G185" s="174">
        <f t="shared" si="33"/>
        <v>0</v>
      </c>
      <c r="H185" s="244">
        <f t="shared" si="34"/>
        <v>0</v>
      </c>
      <c r="I185" s="174">
        <f t="shared" si="35"/>
        <v>0</v>
      </c>
      <c r="J185" s="244">
        <f t="shared" si="36"/>
        <v>0</v>
      </c>
      <c r="K185" s="174">
        <f t="shared" si="38"/>
        <v>0</v>
      </c>
      <c r="L185" s="244">
        <f t="shared" si="39"/>
        <v>1</v>
      </c>
      <c r="M185" s="174">
        <v>1</v>
      </c>
      <c r="N185" s="143">
        <f t="shared" si="41"/>
        <v>181</v>
      </c>
      <c r="O185" s="143">
        <f t="shared" si="40"/>
        <v>181</v>
      </c>
    </row>
    <row r="186" spans="1:15" ht="12.75" customHeight="1">
      <c r="A186" s="246">
        <f t="shared" si="37"/>
        <v>207</v>
      </c>
      <c r="B186" s="244">
        <f t="shared" si="28"/>
        <v>1</v>
      </c>
      <c r="C186" s="174">
        <f t="shared" si="29"/>
        <v>1</v>
      </c>
      <c r="D186" s="244">
        <f t="shared" si="30"/>
        <v>0</v>
      </c>
      <c r="E186" s="174">
        <f t="shared" si="31"/>
        <v>1</v>
      </c>
      <c r="F186" s="244">
        <f t="shared" si="32"/>
        <v>0</v>
      </c>
      <c r="G186" s="174">
        <f t="shared" si="33"/>
        <v>0</v>
      </c>
      <c r="H186" s="244">
        <f t="shared" si="34"/>
        <v>0</v>
      </c>
      <c r="I186" s="174">
        <f t="shared" si="35"/>
        <v>0</v>
      </c>
      <c r="J186" s="244">
        <f t="shared" si="36"/>
        <v>0</v>
      </c>
      <c r="K186" s="174">
        <f t="shared" si="38"/>
        <v>1</v>
      </c>
      <c r="L186" s="244">
        <f t="shared" si="39"/>
        <v>0</v>
      </c>
      <c r="M186" s="174">
        <v>1</v>
      </c>
      <c r="N186" s="143">
        <f t="shared" si="41"/>
        <v>182</v>
      </c>
      <c r="O186" s="143">
        <f t="shared" si="40"/>
        <v>182</v>
      </c>
    </row>
    <row r="187" spans="1:15" ht="12.75" customHeight="1">
      <c r="A187" s="246">
        <f t="shared" si="37"/>
        <v>208</v>
      </c>
      <c r="B187" s="244">
        <f t="shared" si="28"/>
        <v>1</v>
      </c>
      <c r="C187" s="174">
        <f t="shared" si="29"/>
        <v>1</v>
      </c>
      <c r="D187" s="244">
        <f t="shared" si="30"/>
        <v>0</v>
      </c>
      <c r="E187" s="174">
        <f t="shared" si="31"/>
        <v>1</v>
      </c>
      <c r="F187" s="244">
        <f t="shared" si="32"/>
        <v>0</v>
      </c>
      <c r="G187" s="174">
        <f t="shared" si="33"/>
        <v>0</v>
      </c>
      <c r="H187" s="244">
        <f t="shared" si="34"/>
        <v>0</v>
      </c>
      <c r="I187" s="174">
        <f t="shared" si="35"/>
        <v>0</v>
      </c>
      <c r="J187" s="244">
        <f t="shared" si="36"/>
        <v>1</v>
      </c>
      <c r="K187" s="174">
        <f t="shared" si="38"/>
        <v>0</v>
      </c>
      <c r="L187" s="244">
        <f t="shared" si="39"/>
        <v>0</v>
      </c>
      <c r="M187" s="174">
        <v>1</v>
      </c>
      <c r="N187" s="143">
        <f t="shared" si="41"/>
        <v>183</v>
      </c>
      <c r="O187" s="143">
        <f t="shared" si="40"/>
        <v>183</v>
      </c>
    </row>
    <row r="188" spans="1:15" ht="12.75" customHeight="1">
      <c r="A188" s="246">
        <f t="shared" si="37"/>
        <v>209</v>
      </c>
      <c r="B188" s="244">
        <f t="shared" si="28"/>
        <v>1</v>
      </c>
      <c r="C188" s="174">
        <f t="shared" si="29"/>
        <v>1</v>
      </c>
      <c r="D188" s="244">
        <f t="shared" si="30"/>
        <v>0</v>
      </c>
      <c r="E188" s="174">
        <f t="shared" si="31"/>
        <v>1</v>
      </c>
      <c r="F188" s="244">
        <f t="shared" si="32"/>
        <v>0</v>
      </c>
      <c r="G188" s="174">
        <f t="shared" si="33"/>
        <v>0</v>
      </c>
      <c r="H188" s="244">
        <f t="shared" si="34"/>
        <v>0</v>
      </c>
      <c r="I188" s="174">
        <f t="shared" si="35"/>
        <v>1</v>
      </c>
      <c r="J188" s="244">
        <f t="shared" si="36"/>
        <v>0</v>
      </c>
      <c r="K188" s="174">
        <f t="shared" si="38"/>
        <v>0</v>
      </c>
      <c r="L188" s="244">
        <f t="shared" si="39"/>
        <v>0</v>
      </c>
      <c r="M188" s="174">
        <v>1</v>
      </c>
      <c r="N188" s="143">
        <f t="shared" si="41"/>
        <v>184</v>
      </c>
      <c r="O188" s="143">
        <f t="shared" si="40"/>
        <v>184</v>
      </c>
    </row>
    <row r="189" spans="1:15" ht="12.75" customHeight="1">
      <c r="A189" s="246">
        <f t="shared" si="37"/>
        <v>210</v>
      </c>
      <c r="B189" s="244">
        <f t="shared" si="28"/>
        <v>1</v>
      </c>
      <c r="C189" s="174">
        <f t="shared" si="29"/>
        <v>1</v>
      </c>
      <c r="D189" s="244">
        <f t="shared" si="30"/>
        <v>0</v>
      </c>
      <c r="E189" s="174">
        <f t="shared" si="31"/>
        <v>1</v>
      </c>
      <c r="F189" s="244">
        <f t="shared" si="32"/>
        <v>0</v>
      </c>
      <c r="G189" s="174">
        <f t="shared" si="33"/>
        <v>0</v>
      </c>
      <c r="H189" s="244">
        <f t="shared" si="34"/>
        <v>1</v>
      </c>
      <c r="I189" s="174">
        <f t="shared" si="35"/>
        <v>0</v>
      </c>
      <c r="J189" s="244">
        <f t="shared" si="36"/>
        <v>0</v>
      </c>
      <c r="K189" s="174">
        <f t="shared" si="38"/>
        <v>0</v>
      </c>
      <c r="L189" s="244">
        <f t="shared" si="39"/>
        <v>0</v>
      </c>
      <c r="M189" s="174">
        <v>1</v>
      </c>
      <c r="N189" s="143">
        <f t="shared" si="41"/>
        <v>185</v>
      </c>
      <c r="O189" s="143">
        <f t="shared" si="40"/>
        <v>185</v>
      </c>
    </row>
    <row r="190" spans="1:15" ht="12.75" customHeight="1">
      <c r="A190" s="246">
        <f t="shared" si="37"/>
        <v>211</v>
      </c>
      <c r="B190" s="244">
        <f t="shared" si="28"/>
        <v>1</v>
      </c>
      <c r="C190" s="174">
        <f t="shared" si="29"/>
        <v>1</v>
      </c>
      <c r="D190" s="244">
        <f t="shared" si="30"/>
        <v>0</v>
      </c>
      <c r="E190" s="174">
        <f t="shared" si="31"/>
        <v>1</v>
      </c>
      <c r="F190" s="244">
        <f t="shared" si="32"/>
        <v>0</v>
      </c>
      <c r="G190" s="174">
        <f t="shared" si="33"/>
        <v>0</v>
      </c>
      <c r="H190" s="244">
        <f t="shared" si="34"/>
        <v>1</v>
      </c>
      <c r="I190" s="174">
        <f t="shared" si="35"/>
        <v>0</v>
      </c>
      <c r="J190" s="244">
        <f t="shared" si="36"/>
        <v>0</v>
      </c>
      <c r="K190" s="174">
        <f t="shared" si="38"/>
        <v>0</v>
      </c>
      <c r="L190" s="244">
        <f t="shared" si="39"/>
        <v>1</v>
      </c>
      <c r="M190" s="174">
        <v>1</v>
      </c>
      <c r="N190" s="143">
        <f t="shared" si="41"/>
        <v>186</v>
      </c>
      <c r="O190" s="143">
        <f t="shared" si="40"/>
        <v>186</v>
      </c>
    </row>
    <row r="191" spans="1:15" ht="12.75" customHeight="1">
      <c r="A191" s="246">
        <f t="shared" si="37"/>
        <v>212</v>
      </c>
      <c r="B191" s="244">
        <f t="shared" si="28"/>
        <v>1</v>
      </c>
      <c r="C191" s="174">
        <f t="shared" si="29"/>
        <v>1</v>
      </c>
      <c r="D191" s="244">
        <f t="shared" si="30"/>
        <v>0</v>
      </c>
      <c r="E191" s="174">
        <f t="shared" si="31"/>
        <v>1</v>
      </c>
      <c r="F191" s="244">
        <f t="shared" si="32"/>
        <v>0</v>
      </c>
      <c r="G191" s="174">
        <f t="shared" si="33"/>
        <v>0</v>
      </c>
      <c r="H191" s="244">
        <f t="shared" si="34"/>
        <v>1</v>
      </c>
      <c r="I191" s="174">
        <f t="shared" si="35"/>
        <v>0</v>
      </c>
      <c r="J191" s="244">
        <f t="shared" si="36"/>
        <v>0</v>
      </c>
      <c r="K191" s="174">
        <f t="shared" si="38"/>
        <v>1</v>
      </c>
      <c r="L191" s="244">
        <f t="shared" si="39"/>
        <v>0</v>
      </c>
      <c r="M191" s="174">
        <v>1</v>
      </c>
      <c r="N191" s="143">
        <f t="shared" si="41"/>
        <v>187</v>
      </c>
      <c r="O191" s="143">
        <f t="shared" si="40"/>
        <v>187</v>
      </c>
    </row>
    <row r="192" spans="1:15" ht="12.75" customHeight="1">
      <c r="A192" s="246">
        <f t="shared" si="37"/>
        <v>213</v>
      </c>
      <c r="B192" s="244">
        <f t="shared" si="28"/>
        <v>1</v>
      </c>
      <c r="C192" s="174">
        <f t="shared" si="29"/>
        <v>1</v>
      </c>
      <c r="D192" s="244">
        <f t="shared" si="30"/>
        <v>0</v>
      </c>
      <c r="E192" s="174">
        <f t="shared" si="31"/>
        <v>1</v>
      </c>
      <c r="F192" s="244">
        <f t="shared" si="32"/>
        <v>0</v>
      </c>
      <c r="G192" s="174">
        <f t="shared" si="33"/>
        <v>0</v>
      </c>
      <c r="H192" s="244">
        <f t="shared" si="34"/>
        <v>1</v>
      </c>
      <c r="I192" s="174">
        <f t="shared" si="35"/>
        <v>0</v>
      </c>
      <c r="J192" s="244">
        <f t="shared" si="36"/>
        <v>1</v>
      </c>
      <c r="K192" s="174">
        <f t="shared" si="38"/>
        <v>0</v>
      </c>
      <c r="L192" s="244">
        <f t="shared" si="39"/>
        <v>0</v>
      </c>
      <c r="M192" s="174">
        <v>1</v>
      </c>
      <c r="N192" s="143">
        <f t="shared" si="41"/>
        <v>188</v>
      </c>
      <c r="O192" s="143">
        <f t="shared" si="40"/>
        <v>188</v>
      </c>
    </row>
    <row r="193" spans="1:15" ht="12.75" customHeight="1">
      <c r="A193" s="246">
        <f t="shared" si="37"/>
        <v>214</v>
      </c>
      <c r="B193" s="244">
        <f t="shared" si="28"/>
        <v>1</v>
      </c>
      <c r="C193" s="174">
        <f t="shared" si="29"/>
        <v>1</v>
      </c>
      <c r="D193" s="244">
        <f t="shared" si="30"/>
        <v>0</v>
      </c>
      <c r="E193" s="174">
        <f t="shared" si="31"/>
        <v>1</v>
      </c>
      <c r="F193" s="244">
        <f t="shared" si="32"/>
        <v>0</v>
      </c>
      <c r="G193" s="174">
        <f t="shared" si="33"/>
        <v>0</v>
      </c>
      <c r="H193" s="244">
        <f t="shared" si="34"/>
        <v>1</v>
      </c>
      <c r="I193" s="174">
        <f t="shared" si="35"/>
        <v>1</v>
      </c>
      <c r="J193" s="244">
        <f t="shared" si="36"/>
        <v>0</v>
      </c>
      <c r="K193" s="174">
        <f t="shared" si="38"/>
        <v>0</v>
      </c>
      <c r="L193" s="244">
        <f t="shared" si="39"/>
        <v>0</v>
      </c>
      <c r="M193" s="174">
        <v>1</v>
      </c>
      <c r="N193" s="143">
        <f t="shared" si="41"/>
        <v>189</v>
      </c>
      <c r="O193" s="143">
        <f t="shared" si="40"/>
        <v>189</v>
      </c>
    </row>
    <row r="194" spans="1:15" ht="12.75" customHeight="1">
      <c r="A194" s="246">
        <f t="shared" si="37"/>
        <v>215</v>
      </c>
      <c r="B194" s="244">
        <f t="shared" si="28"/>
        <v>1</v>
      </c>
      <c r="C194" s="174">
        <f t="shared" si="29"/>
        <v>1</v>
      </c>
      <c r="D194" s="244">
        <f t="shared" si="30"/>
        <v>0</v>
      </c>
      <c r="E194" s="174">
        <f t="shared" si="31"/>
        <v>1</v>
      </c>
      <c r="F194" s="244">
        <f t="shared" si="32"/>
        <v>0</v>
      </c>
      <c r="G194" s="174">
        <f t="shared" si="33"/>
        <v>1</v>
      </c>
      <c r="H194" s="244">
        <f t="shared" si="34"/>
        <v>0</v>
      </c>
      <c r="I194" s="174">
        <f t="shared" si="35"/>
        <v>0</v>
      </c>
      <c r="J194" s="244">
        <f t="shared" si="36"/>
        <v>0</v>
      </c>
      <c r="K194" s="174">
        <f t="shared" si="38"/>
        <v>0</v>
      </c>
      <c r="L194" s="244">
        <f t="shared" si="39"/>
        <v>0</v>
      </c>
      <c r="M194" s="174">
        <v>1</v>
      </c>
      <c r="N194" s="143">
        <f t="shared" si="41"/>
        <v>190</v>
      </c>
      <c r="O194" s="143">
        <f t="shared" si="40"/>
        <v>190</v>
      </c>
    </row>
    <row r="195" spans="1:15" ht="12.75" customHeight="1">
      <c r="A195" s="246">
        <f t="shared" si="37"/>
        <v>216</v>
      </c>
      <c r="B195" s="244">
        <f t="shared" si="28"/>
        <v>1</v>
      </c>
      <c r="C195" s="174">
        <f t="shared" si="29"/>
        <v>1</v>
      </c>
      <c r="D195" s="244">
        <f t="shared" si="30"/>
        <v>0</v>
      </c>
      <c r="E195" s="174">
        <f t="shared" si="31"/>
        <v>1</v>
      </c>
      <c r="F195" s="244">
        <f t="shared" si="32"/>
        <v>0</v>
      </c>
      <c r="G195" s="174">
        <f t="shared" si="33"/>
        <v>1</v>
      </c>
      <c r="H195" s="244">
        <f t="shared" si="34"/>
        <v>0</v>
      </c>
      <c r="I195" s="174">
        <f t="shared" si="35"/>
        <v>0</v>
      </c>
      <c r="J195" s="244">
        <f t="shared" si="36"/>
        <v>0</v>
      </c>
      <c r="K195" s="174">
        <f t="shared" si="38"/>
        <v>0</v>
      </c>
      <c r="L195" s="244">
        <f t="shared" si="39"/>
        <v>1</v>
      </c>
      <c r="M195" s="174">
        <v>1</v>
      </c>
      <c r="N195" s="143">
        <f t="shared" si="41"/>
        <v>191</v>
      </c>
      <c r="O195" s="143">
        <f t="shared" si="40"/>
        <v>191</v>
      </c>
    </row>
    <row r="196" spans="1:15" ht="12.75" customHeight="1">
      <c r="A196" s="246">
        <f t="shared" si="37"/>
        <v>217</v>
      </c>
      <c r="B196" s="244">
        <f t="shared" ref="B196:B259" si="42">IF(A196=0,0,MIN($B$1/2,INT(O196/(2*$B$2))))</f>
        <v>1</v>
      </c>
      <c r="C196" s="174">
        <f t="shared" ref="C196:C260" si="43">IF(A196=0,0,MIN($C$1/2,INT(($O196-2*$B196*$B$2)/(2*$C$2))))</f>
        <v>1</v>
      </c>
      <c r="D196" s="244">
        <f t="shared" ref="D196:D260" si="44">IF(A196=0,0,MIN($D$1/2,INT(($O196-2*$B196*$B$2-2*$C196*$C$2)/(2*$D$2))))</f>
        <v>0</v>
      </c>
      <c r="E196" s="174">
        <f t="shared" ref="E196:E260" si="45">IF(A196=0,0,MIN($E$1/2,INT(($O196-2*$B196*$B$2-2*$C196*$C$2-2*$D196*$D$2)/(2*$E$2))))</f>
        <v>1</v>
      </c>
      <c r="F196" s="244">
        <f t="shared" ref="F196:F260" si="46">IF(A196=0,0,MIN($F$1/2,INT(($O196-2*$B196*$B$2-2*$C196*$C$2-2*$D196*$D$2-2*$E196*$E$2)/(2*$F$2))))</f>
        <v>0</v>
      </c>
      <c r="G196" s="174">
        <f t="shared" ref="G196:G260" si="47">IF(A196=0,0,MIN($G$1/2,INT(($O196-2*$B196*$B$2-2*$C196*$C$2-2*$D196*$D$2-2*$E196*$E$2-2*$F196*$F$2)/(2*$G$2))))</f>
        <v>1</v>
      </c>
      <c r="H196" s="244">
        <f t="shared" ref="H196:H260" si="48">IF(A196=0,0,MIN($H$1/2,INT(($O196-2*$B196*$B$2-2*$C196*$C$2-2*$D196*$D$2-2*$E196*$E$2-2*$F196*$F$2-2*$G196*$G$2)/(2*$H$2))))</f>
        <v>0</v>
      </c>
      <c r="I196" s="174">
        <f t="shared" ref="I196:I260" si="49">IF(A196=0,0,MIN($I$1/2,INT(($O196-2*$B196*$B$2-2*$C196*$C$2-2*$D196*$D$2-2*$E196*$E$2-2*$F196*$F$2-2*$G196*$G$2-2*$H196*$H$2)/(2*$I$2))))</f>
        <v>0</v>
      </c>
      <c r="J196" s="244">
        <f t="shared" ref="J196:J260" si="50">IF(A196=0,0,MIN($J$1/2,INT(($O196-2*$B196*$B$2-2*$C196*$C$2-2*$D196*$D$2-2*$E196*$E$2-2*$F196*$F$2-2*$G196*$G$2-2*$H196*$H$2-2*$I196*$I$2)/(2*$J$2))))</f>
        <v>0</v>
      </c>
      <c r="K196" s="174">
        <f t="shared" si="38"/>
        <v>1</v>
      </c>
      <c r="L196" s="244">
        <f t="shared" si="39"/>
        <v>0</v>
      </c>
      <c r="M196" s="174">
        <v>1</v>
      </c>
      <c r="N196" s="143">
        <f t="shared" si="41"/>
        <v>192</v>
      </c>
      <c r="O196" s="143">
        <f t="shared" si="40"/>
        <v>192</v>
      </c>
    </row>
    <row r="197" spans="1:15" ht="12.75" customHeight="1">
      <c r="A197" s="246">
        <f t="shared" ref="A197:A260" si="51">IF(O197+$M$2&gt;$N$1,0,O197+$M$2)</f>
        <v>218</v>
      </c>
      <c r="B197" s="244">
        <f t="shared" si="42"/>
        <v>1</v>
      </c>
      <c r="C197" s="174">
        <f t="shared" si="43"/>
        <v>1</v>
      </c>
      <c r="D197" s="244">
        <f t="shared" si="44"/>
        <v>0</v>
      </c>
      <c r="E197" s="174">
        <f t="shared" si="45"/>
        <v>1</v>
      </c>
      <c r="F197" s="244">
        <f t="shared" si="46"/>
        <v>0</v>
      </c>
      <c r="G197" s="174">
        <f t="shared" si="47"/>
        <v>1</v>
      </c>
      <c r="H197" s="244">
        <f t="shared" si="48"/>
        <v>0</v>
      </c>
      <c r="I197" s="174">
        <f t="shared" si="49"/>
        <v>0</v>
      </c>
      <c r="J197" s="244">
        <f t="shared" si="50"/>
        <v>1</v>
      </c>
      <c r="K197" s="174">
        <f t="shared" ref="K197:K260" si="52">IF(A197=0,0,MIN($J$1/2,INT(($O197-2*$B197*$B$2-2*$C197*$C$2-2*$D197*$D$2-2*$E197*$E$2-2*$F197*$F$2-2*$G197*$G$2-2*$H197*$H$2-2*$I197*$I$2-2*$J197*$J$2)/(2*$K$2))))</f>
        <v>0</v>
      </c>
      <c r="L197" s="244">
        <f t="shared" ref="L197:L260" si="53">IF(A197=0,0,MIN($L$1/2,INT(($O197-2*$B197*$B$2-2*$C197*$C$2-2*$D197*$D$2-2*$E197*$E$2-2*$F197*$F$2-2*$G197*$G$2-2*$H197*$H$2-2*$I197*$I$2-2*$J197*$J$2-2*$K197*$K$2)/(2*$L$2))))</f>
        <v>0</v>
      </c>
      <c r="M197" s="174">
        <v>1</v>
      </c>
      <c r="N197" s="143">
        <f t="shared" si="41"/>
        <v>193</v>
      </c>
      <c r="O197" s="143">
        <f t="shared" si="40"/>
        <v>193</v>
      </c>
    </row>
    <row r="198" spans="1:15" ht="12.75" customHeight="1">
      <c r="A198" s="246">
        <f t="shared" si="51"/>
        <v>219</v>
      </c>
      <c r="B198" s="244">
        <f t="shared" si="42"/>
        <v>1</v>
      </c>
      <c r="C198" s="174">
        <f t="shared" si="43"/>
        <v>1</v>
      </c>
      <c r="D198" s="244">
        <f t="shared" si="44"/>
        <v>0</v>
      </c>
      <c r="E198" s="174">
        <f t="shared" si="45"/>
        <v>1</v>
      </c>
      <c r="F198" s="244">
        <f t="shared" si="46"/>
        <v>0</v>
      </c>
      <c r="G198" s="174">
        <f t="shared" si="47"/>
        <v>1</v>
      </c>
      <c r="H198" s="244">
        <f t="shared" si="48"/>
        <v>0</v>
      </c>
      <c r="I198" s="174">
        <f t="shared" si="49"/>
        <v>1</v>
      </c>
      <c r="J198" s="244">
        <f t="shared" si="50"/>
        <v>0</v>
      </c>
      <c r="K198" s="174">
        <f t="shared" si="52"/>
        <v>0</v>
      </c>
      <c r="L198" s="244">
        <f t="shared" si="53"/>
        <v>0</v>
      </c>
      <c r="M198" s="174">
        <v>1</v>
      </c>
      <c r="N198" s="143">
        <f t="shared" si="41"/>
        <v>194</v>
      </c>
      <c r="O198" s="143">
        <f t="shared" ref="O198:O261" si="54">IF($A$2="Pounds",5*N198,1*N198)</f>
        <v>194</v>
      </c>
    </row>
    <row r="199" spans="1:15" ht="12.75" customHeight="1">
      <c r="A199" s="246">
        <f t="shared" si="51"/>
        <v>220</v>
      </c>
      <c r="B199" s="244">
        <f t="shared" si="42"/>
        <v>1</v>
      </c>
      <c r="C199" s="174">
        <f t="shared" si="43"/>
        <v>1</v>
      </c>
      <c r="D199" s="244">
        <f t="shared" si="44"/>
        <v>0</v>
      </c>
      <c r="E199" s="174">
        <f t="shared" si="45"/>
        <v>1</v>
      </c>
      <c r="F199" s="244">
        <f t="shared" si="46"/>
        <v>0</v>
      </c>
      <c r="G199" s="174">
        <f t="shared" si="47"/>
        <v>1</v>
      </c>
      <c r="H199" s="244">
        <f t="shared" si="48"/>
        <v>1</v>
      </c>
      <c r="I199" s="174">
        <f t="shared" si="49"/>
        <v>0</v>
      </c>
      <c r="J199" s="244">
        <f t="shared" si="50"/>
        <v>0</v>
      </c>
      <c r="K199" s="174">
        <f t="shared" si="52"/>
        <v>0</v>
      </c>
      <c r="L199" s="244">
        <f t="shared" si="53"/>
        <v>0</v>
      </c>
      <c r="M199" s="174">
        <v>1</v>
      </c>
      <c r="N199" s="143">
        <f t="shared" si="41"/>
        <v>195</v>
      </c>
      <c r="O199" s="143">
        <f t="shared" si="54"/>
        <v>195</v>
      </c>
    </row>
    <row r="200" spans="1:15" ht="12.75" customHeight="1">
      <c r="A200" s="246">
        <f t="shared" si="51"/>
        <v>221</v>
      </c>
      <c r="B200" s="244">
        <f t="shared" si="42"/>
        <v>1</v>
      </c>
      <c r="C200" s="174">
        <f t="shared" si="43"/>
        <v>1</v>
      </c>
      <c r="D200" s="244">
        <f t="shared" si="44"/>
        <v>0</v>
      </c>
      <c r="E200" s="174">
        <f t="shared" si="45"/>
        <v>1</v>
      </c>
      <c r="F200" s="244">
        <f t="shared" si="46"/>
        <v>0</v>
      </c>
      <c r="G200" s="174">
        <f t="shared" si="47"/>
        <v>1</v>
      </c>
      <c r="H200" s="244">
        <f t="shared" si="48"/>
        <v>1</v>
      </c>
      <c r="I200" s="174">
        <f t="shared" si="49"/>
        <v>0</v>
      </c>
      <c r="J200" s="244">
        <f t="shared" si="50"/>
        <v>0</v>
      </c>
      <c r="K200" s="174">
        <f t="shared" si="52"/>
        <v>0</v>
      </c>
      <c r="L200" s="244">
        <f t="shared" si="53"/>
        <v>1</v>
      </c>
      <c r="M200" s="174">
        <v>1</v>
      </c>
      <c r="N200" s="143">
        <f t="shared" si="41"/>
        <v>196</v>
      </c>
      <c r="O200" s="143">
        <f t="shared" si="54"/>
        <v>196</v>
      </c>
    </row>
    <row r="201" spans="1:15" ht="12.75" customHeight="1">
      <c r="A201" s="246">
        <f t="shared" si="51"/>
        <v>222</v>
      </c>
      <c r="B201" s="244">
        <f t="shared" si="42"/>
        <v>1</v>
      </c>
      <c r="C201" s="174">
        <f t="shared" si="43"/>
        <v>1</v>
      </c>
      <c r="D201" s="244">
        <f t="shared" si="44"/>
        <v>0</v>
      </c>
      <c r="E201" s="174">
        <f t="shared" si="45"/>
        <v>1</v>
      </c>
      <c r="F201" s="244">
        <f t="shared" si="46"/>
        <v>0</v>
      </c>
      <c r="G201" s="174">
        <f t="shared" si="47"/>
        <v>1</v>
      </c>
      <c r="H201" s="244">
        <f t="shared" si="48"/>
        <v>1</v>
      </c>
      <c r="I201" s="174">
        <f t="shared" si="49"/>
        <v>0</v>
      </c>
      <c r="J201" s="244">
        <f t="shared" si="50"/>
        <v>0</v>
      </c>
      <c r="K201" s="174">
        <f t="shared" si="52"/>
        <v>1</v>
      </c>
      <c r="L201" s="244">
        <f t="shared" si="53"/>
        <v>0</v>
      </c>
      <c r="M201" s="174">
        <v>1</v>
      </c>
      <c r="N201" s="143">
        <f t="shared" si="41"/>
        <v>197</v>
      </c>
      <c r="O201" s="143">
        <f t="shared" si="54"/>
        <v>197</v>
      </c>
    </row>
    <row r="202" spans="1:15" ht="12.75" customHeight="1">
      <c r="A202" s="246">
        <f t="shared" si="51"/>
        <v>223</v>
      </c>
      <c r="B202" s="244">
        <f t="shared" si="42"/>
        <v>1</v>
      </c>
      <c r="C202" s="174">
        <f t="shared" si="43"/>
        <v>1</v>
      </c>
      <c r="D202" s="244">
        <f t="shared" si="44"/>
        <v>0</v>
      </c>
      <c r="E202" s="174">
        <f t="shared" si="45"/>
        <v>1</v>
      </c>
      <c r="F202" s="244">
        <f t="shared" si="46"/>
        <v>0</v>
      </c>
      <c r="G202" s="174">
        <f t="shared" si="47"/>
        <v>1</v>
      </c>
      <c r="H202" s="244">
        <f t="shared" si="48"/>
        <v>1</v>
      </c>
      <c r="I202" s="174">
        <f t="shared" si="49"/>
        <v>0</v>
      </c>
      <c r="J202" s="244">
        <f t="shared" si="50"/>
        <v>1</v>
      </c>
      <c r="K202" s="174">
        <f t="shared" si="52"/>
        <v>0</v>
      </c>
      <c r="L202" s="244">
        <f t="shared" si="53"/>
        <v>0</v>
      </c>
      <c r="M202" s="174">
        <v>1</v>
      </c>
      <c r="N202" s="143">
        <f t="shared" si="41"/>
        <v>198</v>
      </c>
      <c r="O202" s="143">
        <f t="shared" si="54"/>
        <v>198</v>
      </c>
    </row>
    <row r="203" spans="1:15" ht="12.75" customHeight="1">
      <c r="A203" s="246">
        <f t="shared" si="51"/>
        <v>224</v>
      </c>
      <c r="B203" s="244">
        <f t="shared" si="42"/>
        <v>1</v>
      </c>
      <c r="C203" s="174">
        <f t="shared" si="43"/>
        <v>1</v>
      </c>
      <c r="D203" s="244">
        <f t="shared" si="44"/>
        <v>0</v>
      </c>
      <c r="E203" s="174">
        <f t="shared" si="45"/>
        <v>1</v>
      </c>
      <c r="F203" s="244">
        <f t="shared" si="46"/>
        <v>0</v>
      </c>
      <c r="G203" s="174">
        <f t="shared" si="47"/>
        <v>1</v>
      </c>
      <c r="H203" s="244">
        <f t="shared" si="48"/>
        <v>1</v>
      </c>
      <c r="I203" s="174">
        <f t="shared" si="49"/>
        <v>1</v>
      </c>
      <c r="J203" s="244">
        <f t="shared" si="50"/>
        <v>0</v>
      </c>
      <c r="K203" s="174">
        <f t="shared" si="52"/>
        <v>0</v>
      </c>
      <c r="L203" s="244">
        <f t="shared" si="53"/>
        <v>0</v>
      </c>
      <c r="M203" s="174">
        <v>1</v>
      </c>
      <c r="N203" s="143">
        <f t="shared" si="41"/>
        <v>199</v>
      </c>
      <c r="O203" s="143">
        <f t="shared" si="54"/>
        <v>199</v>
      </c>
    </row>
    <row r="204" spans="1:15" ht="12.75" customHeight="1">
      <c r="A204" s="246">
        <f t="shared" si="51"/>
        <v>225</v>
      </c>
      <c r="B204" s="244">
        <f t="shared" si="42"/>
        <v>2</v>
      </c>
      <c r="C204" s="174">
        <f t="shared" si="43"/>
        <v>0</v>
      </c>
      <c r="D204" s="244">
        <f t="shared" si="44"/>
        <v>0</v>
      </c>
      <c r="E204" s="174">
        <f t="shared" si="45"/>
        <v>0</v>
      </c>
      <c r="F204" s="244">
        <f t="shared" si="46"/>
        <v>0</v>
      </c>
      <c r="G204" s="174">
        <f t="shared" si="47"/>
        <v>0</v>
      </c>
      <c r="H204" s="244">
        <f t="shared" si="48"/>
        <v>0</v>
      </c>
      <c r="I204" s="174">
        <f t="shared" si="49"/>
        <v>0</v>
      </c>
      <c r="J204" s="244">
        <f t="shared" si="50"/>
        <v>0</v>
      </c>
      <c r="K204" s="174">
        <f t="shared" si="52"/>
        <v>0</v>
      </c>
      <c r="L204" s="244">
        <f t="shared" si="53"/>
        <v>0</v>
      </c>
      <c r="M204" s="174">
        <v>1</v>
      </c>
      <c r="N204" s="143">
        <f t="shared" si="41"/>
        <v>200</v>
      </c>
      <c r="O204" s="143">
        <f t="shared" si="54"/>
        <v>200</v>
      </c>
    </row>
    <row r="205" spans="1:15" ht="12.75" customHeight="1">
      <c r="A205" s="246">
        <f t="shared" si="51"/>
        <v>226</v>
      </c>
      <c r="B205" s="244">
        <f t="shared" si="42"/>
        <v>2</v>
      </c>
      <c r="C205" s="174">
        <f t="shared" si="43"/>
        <v>0</v>
      </c>
      <c r="D205" s="244">
        <f t="shared" si="44"/>
        <v>0</v>
      </c>
      <c r="E205" s="174">
        <f t="shared" si="45"/>
        <v>0</v>
      </c>
      <c r="F205" s="244">
        <f t="shared" si="46"/>
        <v>0</v>
      </c>
      <c r="G205" s="174">
        <f t="shared" si="47"/>
        <v>0</v>
      </c>
      <c r="H205" s="244">
        <f t="shared" si="48"/>
        <v>0</v>
      </c>
      <c r="I205" s="174">
        <f t="shared" si="49"/>
        <v>0</v>
      </c>
      <c r="J205" s="244">
        <f t="shared" si="50"/>
        <v>0</v>
      </c>
      <c r="K205" s="174">
        <f t="shared" si="52"/>
        <v>0</v>
      </c>
      <c r="L205" s="244">
        <f t="shared" si="53"/>
        <v>1</v>
      </c>
      <c r="M205" s="174">
        <v>1</v>
      </c>
      <c r="N205" s="143">
        <f t="shared" ref="N205:N268" si="55">N204+1</f>
        <v>201</v>
      </c>
      <c r="O205" s="143">
        <f t="shared" si="54"/>
        <v>201</v>
      </c>
    </row>
    <row r="206" spans="1:15" ht="12.75" customHeight="1">
      <c r="A206" s="246">
        <f t="shared" si="51"/>
        <v>227</v>
      </c>
      <c r="B206" s="244">
        <f t="shared" si="42"/>
        <v>2</v>
      </c>
      <c r="C206" s="174">
        <f t="shared" si="43"/>
        <v>0</v>
      </c>
      <c r="D206" s="244">
        <f t="shared" si="44"/>
        <v>0</v>
      </c>
      <c r="E206" s="174">
        <f t="shared" si="45"/>
        <v>0</v>
      </c>
      <c r="F206" s="244">
        <f t="shared" si="46"/>
        <v>0</v>
      </c>
      <c r="G206" s="174">
        <f t="shared" si="47"/>
        <v>0</v>
      </c>
      <c r="H206" s="244">
        <f t="shared" si="48"/>
        <v>0</v>
      </c>
      <c r="I206" s="174">
        <f t="shared" si="49"/>
        <v>0</v>
      </c>
      <c r="J206" s="244">
        <f t="shared" si="50"/>
        <v>0</v>
      </c>
      <c r="K206" s="174">
        <f t="shared" si="52"/>
        <v>1</v>
      </c>
      <c r="L206" s="244">
        <f t="shared" si="53"/>
        <v>0</v>
      </c>
      <c r="M206" s="174">
        <v>1</v>
      </c>
      <c r="N206" s="143">
        <f t="shared" si="55"/>
        <v>202</v>
      </c>
      <c r="O206" s="143">
        <f t="shared" si="54"/>
        <v>202</v>
      </c>
    </row>
    <row r="207" spans="1:15" ht="12.75" customHeight="1">
      <c r="A207" s="246">
        <f t="shared" si="51"/>
        <v>228</v>
      </c>
      <c r="B207" s="244">
        <f t="shared" si="42"/>
        <v>2</v>
      </c>
      <c r="C207" s="174">
        <f t="shared" si="43"/>
        <v>0</v>
      </c>
      <c r="D207" s="244">
        <f t="shared" si="44"/>
        <v>0</v>
      </c>
      <c r="E207" s="174">
        <f t="shared" si="45"/>
        <v>0</v>
      </c>
      <c r="F207" s="244">
        <f t="shared" si="46"/>
        <v>0</v>
      </c>
      <c r="G207" s="174">
        <f t="shared" si="47"/>
        <v>0</v>
      </c>
      <c r="H207" s="244">
        <f t="shared" si="48"/>
        <v>0</v>
      </c>
      <c r="I207" s="174">
        <f t="shared" si="49"/>
        <v>0</v>
      </c>
      <c r="J207" s="244">
        <f t="shared" si="50"/>
        <v>1</v>
      </c>
      <c r="K207" s="174">
        <f t="shared" si="52"/>
        <v>0</v>
      </c>
      <c r="L207" s="244">
        <f t="shared" si="53"/>
        <v>0</v>
      </c>
      <c r="M207" s="174">
        <v>1</v>
      </c>
      <c r="N207" s="143">
        <f t="shared" si="55"/>
        <v>203</v>
      </c>
      <c r="O207" s="143">
        <f t="shared" si="54"/>
        <v>203</v>
      </c>
    </row>
    <row r="208" spans="1:15" ht="12.75" customHeight="1">
      <c r="A208" s="246">
        <f t="shared" si="51"/>
        <v>229</v>
      </c>
      <c r="B208" s="244">
        <f t="shared" si="42"/>
        <v>2</v>
      </c>
      <c r="C208" s="174">
        <f t="shared" si="43"/>
        <v>0</v>
      </c>
      <c r="D208" s="244">
        <f t="shared" si="44"/>
        <v>0</v>
      </c>
      <c r="E208" s="174">
        <f t="shared" si="45"/>
        <v>0</v>
      </c>
      <c r="F208" s="244">
        <f t="shared" si="46"/>
        <v>0</v>
      </c>
      <c r="G208" s="174">
        <f t="shared" si="47"/>
        <v>0</v>
      </c>
      <c r="H208" s="244">
        <f t="shared" si="48"/>
        <v>0</v>
      </c>
      <c r="I208" s="174">
        <f t="shared" si="49"/>
        <v>1</v>
      </c>
      <c r="J208" s="244">
        <f t="shared" si="50"/>
        <v>0</v>
      </c>
      <c r="K208" s="174">
        <f t="shared" si="52"/>
        <v>0</v>
      </c>
      <c r="L208" s="244">
        <f t="shared" si="53"/>
        <v>0</v>
      </c>
      <c r="M208" s="174">
        <v>1</v>
      </c>
      <c r="N208" s="143">
        <f t="shared" si="55"/>
        <v>204</v>
      </c>
      <c r="O208" s="143">
        <f t="shared" si="54"/>
        <v>204</v>
      </c>
    </row>
    <row r="209" spans="1:15" ht="12.75" customHeight="1">
      <c r="A209" s="246">
        <f t="shared" si="51"/>
        <v>230</v>
      </c>
      <c r="B209" s="244">
        <f t="shared" si="42"/>
        <v>2</v>
      </c>
      <c r="C209" s="174">
        <f t="shared" si="43"/>
        <v>0</v>
      </c>
      <c r="D209" s="244">
        <f t="shared" si="44"/>
        <v>0</v>
      </c>
      <c r="E209" s="174">
        <f t="shared" si="45"/>
        <v>0</v>
      </c>
      <c r="F209" s="244">
        <f t="shared" si="46"/>
        <v>0</v>
      </c>
      <c r="G209" s="174">
        <f t="shared" si="47"/>
        <v>0</v>
      </c>
      <c r="H209" s="244">
        <f t="shared" si="48"/>
        <v>1</v>
      </c>
      <c r="I209" s="174">
        <f t="shared" si="49"/>
        <v>0</v>
      </c>
      <c r="J209" s="244">
        <f t="shared" si="50"/>
        <v>0</v>
      </c>
      <c r="K209" s="174">
        <f t="shared" si="52"/>
        <v>0</v>
      </c>
      <c r="L209" s="244">
        <f t="shared" si="53"/>
        <v>0</v>
      </c>
      <c r="M209" s="174">
        <v>1</v>
      </c>
      <c r="N209" s="143">
        <f t="shared" si="55"/>
        <v>205</v>
      </c>
      <c r="O209" s="143">
        <f t="shared" si="54"/>
        <v>205</v>
      </c>
    </row>
    <row r="210" spans="1:15" ht="12.75" customHeight="1">
      <c r="A210" s="246">
        <f t="shared" si="51"/>
        <v>231</v>
      </c>
      <c r="B210" s="244">
        <f t="shared" si="42"/>
        <v>2</v>
      </c>
      <c r="C210" s="174">
        <f t="shared" si="43"/>
        <v>0</v>
      </c>
      <c r="D210" s="244">
        <f t="shared" si="44"/>
        <v>0</v>
      </c>
      <c r="E210" s="174">
        <f t="shared" si="45"/>
        <v>0</v>
      </c>
      <c r="F210" s="244">
        <f t="shared" si="46"/>
        <v>0</v>
      </c>
      <c r="G210" s="174">
        <f t="shared" si="47"/>
        <v>0</v>
      </c>
      <c r="H210" s="244">
        <f t="shared" si="48"/>
        <v>1</v>
      </c>
      <c r="I210" s="174">
        <f t="shared" si="49"/>
        <v>0</v>
      </c>
      <c r="J210" s="244">
        <f t="shared" si="50"/>
        <v>0</v>
      </c>
      <c r="K210" s="174">
        <f t="shared" si="52"/>
        <v>0</v>
      </c>
      <c r="L210" s="244">
        <f t="shared" si="53"/>
        <v>1</v>
      </c>
      <c r="M210" s="174">
        <v>1</v>
      </c>
      <c r="N210" s="143">
        <f t="shared" si="55"/>
        <v>206</v>
      </c>
      <c r="O210" s="143">
        <f t="shared" si="54"/>
        <v>206</v>
      </c>
    </row>
    <row r="211" spans="1:15" ht="12.75" customHeight="1">
      <c r="A211" s="246">
        <f t="shared" si="51"/>
        <v>232</v>
      </c>
      <c r="B211" s="244">
        <f t="shared" si="42"/>
        <v>2</v>
      </c>
      <c r="C211" s="174">
        <f t="shared" si="43"/>
        <v>0</v>
      </c>
      <c r="D211" s="244">
        <f t="shared" si="44"/>
        <v>0</v>
      </c>
      <c r="E211" s="174">
        <f t="shared" si="45"/>
        <v>0</v>
      </c>
      <c r="F211" s="244">
        <f t="shared" si="46"/>
        <v>0</v>
      </c>
      <c r="G211" s="174">
        <f t="shared" si="47"/>
        <v>0</v>
      </c>
      <c r="H211" s="244">
        <f t="shared" si="48"/>
        <v>1</v>
      </c>
      <c r="I211" s="174">
        <f t="shared" si="49"/>
        <v>0</v>
      </c>
      <c r="J211" s="244">
        <f t="shared" si="50"/>
        <v>0</v>
      </c>
      <c r="K211" s="174">
        <f t="shared" si="52"/>
        <v>1</v>
      </c>
      <c r="L211" s="244">
        <f t="shared" si="53"/>
        <v>0</v>
      </c>
      <c r="M211" s="174">
        <v>1</v>
      </c>
      <c r="N211" s="143">
        <f t="shared" si="55"/>
        <v>207</v>
      </c>
      <c r="O211" s="143">
        <f t="shared" si="54"/>
        <v>207</v>
      </c>
    </row>
    <row r="212" spans="1:15" ht="12.75" customHeight="1">
      <c r="A212" s="246">
        <f t="shared" si="51"/>
        <v>233</v>
      </c>
      <c r="B212" s="244">
        <f t="shared" si="42"/>
        <v>2</v>
      </c>
      <c r="C212" s="174">
        <f t="shared" si="43"/>
        <v>0</v>
      </c>
      <c r="D212" s="244">
        <f t="shared" si="44"/>
        <v>0</v>
      </c>
      <c r="E212" s="174">
        <f t="shared" si="45"/>
        <v>0</v>
      </c>
      <c r="F212" s="244">
        <f t="shared" si="46"/>
        <v>0</v>
      </c>
      <c r="G212" s="174">
        <f t="shared" si="47"/>
        <v>0</v>
      </c>
      <c r="H212" s="244">
        <f t="shared" si="48"/>
        <v>1</v>
      </c>
      <c r="I212" s="174">
        <f t="shared" si="49"/>
        <v>0</v>
      </c>
      <c r="J212" s="244">
        <f t="shared" si="50"/>
        <v>1</v>
      </c>
      <c r="K212" s="174">
        <f t="shared" si="52"/>
        <v>0</v>
      </c>
      <c r="L212" s="244">
        <f t="shared" si="53"/>
        <v>0</v>
      </c>
      <c r="M212" s="174">
        <v>1</v>
      </c>
      <c r="N212" s="143">
        <f t="shared" si="55"/>
        <v>208</v>
      </c>
      <c r="O212" s="143">
        <f t="shared" si="54"/>
        <v>208</v>
      </c>
    </row>
    <row r="213" spans="1:15" ht="12.75" customHeight="1">
      <c r="A213" s="246">
        <f t="shared" si="51"/>
        <v>234</v>
      </c>
      <c r="B213" s="244">
        <f t="shared" si="42"/>
        <v>2</v>
      </c>
      <c r="C213" s="174">
        <f t="shared" si="43"/>
        <v>0</v>
      </c>
      <c r="D213" s="244">
        <f t="shared" si="44"/>
        <v>0</v>
      </c>
      <c r="E213" s="174">
        <f t="shared" si="45"/>
        <v>0</v>
      </c>
      <c r="F213" s="244">
        <f t="shared" si="46"/>
        <v>0</v>
      </c>
      <c r="G213" s="174">
        <f t="shared" si="47"/>
        <v>0</v>
      </c>
      <c r="H213" s="244">
        <f t="shared" si="48"/>
        <v>1</v>
      </c>
      <c r="I213" s="174">
        <f t="shared" si="49"/>
        <v>1</v>
      </c>
      <c r="J213" s="244">
        <f t="shared" si="50"/>
        <v>0</v>
      </c>
      <c r="K213" s="174">
        <f t="shared" si="52"/>
        <v>0</v>
      </c>
      <c r="L213" s="244">
        <f t="shared" si="53"/>
        <v>0</v>
      </c>
      <c r="M213" s="174">
        <v>1</v>
      </c>
      <c r="N213" s="143">
        <f t="shared" si="55"/>
        <v>209</v>
      </c>
      <c r="O213" s="143">
        <f t="shared" si="54"/>
        <v>209</v>
      </c>
    </row>
    <row r="214" spans="1:15" ht="12.75" customHeight="1">
      <c r="A214" s="246">
        <f t="shared" si="51"/>
        <v>235</v>
      </c>
      <c r="B214" s="244">
        <f t="shared" si="42"/>
        <v>2</v>
      </c>
      <c r="C214" s="174">
        <f t="shared" si="43"/>
        <v>0</v>
      </c>
      <c r="D214" s="244">
        <f t="shared" si="44"/>
        <v>0</v>
      </c>
      <c r="E214" s="174">
        <f t="shared" si="45"/>
        <v>0</v>
      </c>
      <c r="F214" s="244">
        <f t="shared" si="46"/>
        <v>0</v>
      </c>
      <c r="G214" s="174">
        <f t="shared" si="47"/>
        <v>1</v>
      </c>
      <c r="H214" s="244">
        <f t="shared" si="48"/>
        <v>0</v>
      </c>
      <c r="I214" s="174">
        <f t="shared" si="49"/>
        <v>0</v>
      </c>
      <c r="J214" s="244">
        <f t="shared" si="50"/>
        <v>0</v>
      </c>
      <c r="K214" s="174">
        <f t="shared" si="52"/>
        <v>0</v>
      </c>
      <c r="L214" s="244">
        <f t="shared" si="53"/>
        <v>0</v>
      </c>
      <c r="M214" s="174">
        <v>1</v>
      </c>
      <c r="N214" s="143">
        <f t="shared" si="55"/>
        <v>210</v>
      </c>
      <c r="O214" s="143">
        <f t="shared" si="54"/>
        <v>210</v>
      </c>
    </row>
    <row r="215" spans="1:15" ht="12.75" customHeight="1">
      <c r="A215" s="246">
        <f t="shared" si="51"/>
        <v>236</v>
      </c>
      <c r="B215" s="244">
        <f t="shared" si="42"/>
        <v>2</v>
      </c>
      <c r="C215" s="174">
        <f t="shared" si="43"/>
        <v>0</v>
      </c>
      <c r="D215" s="244">
        <f t="shared" si="44"/>
        <v>0</v>
      </c>
      <c r="E215" s="174">
        <f t="shared" si="45"/>
        <v>0</v>
      </c>
      <c r="F215" s="244">
        <f t="shared" si="46"/>
        <v>0</v>
      </c>
      <c r="G215" s="174">
        <f t="shared" si="47"/>
        <v>1</v>
      </c>
      <c r="H215" s="244">
        <f t="shared" si="48"/>
        <v>0</v>
      </c>
      <c r="I215" s="174">
        <f t="shared" si="49"/>
        <v>0</v>
      </c>
      <c r="J215" s="244">
        <f t="shared" si="50"/>
        <v>0</v>
      </c>
      <c r="K215" s="174">
        <f t="shared" si="52"/>
        <v>0</v>
      </c>
      <c r="L215" s="244">
        <f t="shared" si="53"/>
        <v>1</v>
      </c>
      <c r="M215" s="174">
        <v>1</v>
      </c>
      <c r="N215" s="143">
        <f t="shared" si="55"/>
        <v>211</v>
      </c>
      <c r="O215" s="143">
        <f t="shared" si="54"/>
        <v>211</v>
      </c>
    </row>
    <row r="216" spans="1:15" ht="12.75" customHeight="1">
      <c r="A216" s="246">
        <f t="shared" si="51"/>
        <v>237</v>
      </c>
      <c r="B216" s="244">
        <f t="shared" si="42"/>
        <v>2</v>
      </c>
      <c r="C216" s="174">
        <f t="shared" si="43"/>
        <v>0</v>
      </c>
      <c r="D216" s="244">
        <f t="shared" si="44"/>
        <v>0</v>
      </c>
      <c r="E216" s="174">
        <f t="shared" si="45"/>
        <v>0</v>
      </c>
      <c r="F216" s="244">
        <f t="shared" si="46"/>
        <v>0</v>
      </c>
      <c r="G216" s="174">
        <f t="shared" si="47"/>
        <v>1</v>
      </c>
      <c r="H216" s="244">
        <f t="shared" si="48"/>
        <v>0</v>
      </c>
      <c r="I216" s="174">
        <f t="shared" si="49"/>
        <v>0</v>
      </c>
      <c r="J216" s="244">
        <f t="shared" si="50"/>
        <v>0</v>
      </c>
      <c r="K216" s="174">
        <f t="shared" si="52"/>
        <v>1</v>
      </c>
      <c r="L216" s="244">
        <f t="shared" si="53"/>
        <v>0</v>
      </c>
      <c r="M216" s="174">
        <v>1</v>
      </c>
      <c r="N216" s="143">
        <f t="shared" si="55"/>
        <v>212</v>
      </c>
      <c r="O216" s="143">
        <f t="shared" si="54"/>
        <v>212</v>
      </c>
    </row>
    <row r="217" spans="1:15" ht="12.75" customHeight="1">
      <c r="A217" s="246">
        <f t="shared" si="51"/>
        <v>238</v>
      </c>
      <c r="B217" s="244">
        <f t="shared" si="42"/>
        <v>2</v>
      </c>
      <c r="C217" s="174">
        <f t="shared" si="43"/>
        <v>0</v>
      </c>
      <c r="D217" s="244">
        <f t="shared" si="44"/>
        <v>0</v>
      </c>
      <c r="E217" s="174">
        <f t="shared" si="45"/>
        <v>0</v>
      </c>
      <c r="F217" s="244">
        <f t="shared" si="46"/>
        <v>0</v>
      </c>
      <c r="G217" s="174">
        <f t="shared" si="47"/>
        <v>1</v>
      </c>
      <c r="H217" s="244">
        <f t="shared" si="48"/>
        <v>0</v>
      </c>
      <c r="I217" s="174">
        <f t="shared" si="49"/>
        <v>0</v>
      </c>
      <c r="J217" s="244">
        <f t="shared" si="50"/>
        <v>1</v>
      </c>
      <c r="K217" s="174">
        <f t="shared" si="52"/>
        <v>0</v>
      </c>
      <c r="L217" s="244">
        <f t="shared" si="53"/>
        <v>0</v>
      </c>
      <c r="M217" s="174">
        <v>1</v>
      </c>
      <c r="N217" s="143">
        <f t="shared" si="55"/>
        <v>213</v>
      </c>
      <c r="O217" s="143">
        <f t="shared" si="54"/>
        <v>213</v>
      </c>
    </row>
    <row r="218" spans="1:15" ht="12.75" customHeight="1">
      <c r="A218" s="246">
        <f t="shared" si="51"/>
        <v>239</v>
      </c>
      <c r="B218" s="244">
        <f t="shared" si="42"/>
        <v>2</v>
      </c>
      <c r="C218" s="174">
        <f t="shared" si="43"/>
        <v>0</v>
      </c>
      <c r="D218" s="244">
        <f t="shared" si="44"/>
        <v>0</v>
      </c>
      <c r="E218" s="174">
        <f t="shared" si="45"/>
        <v>0</v>
      </c>
      <c r="F218" s="244">
        <f t="shared" si="46"/>
        <v>0</v>
      </c>
      <c r="G218" s="174">
        <f t="shared" si="47"/>
        <v>1</v>
      </c>
      <c r="H218" s="244">
        <f t="shared" si="48"/>
        <v>0</v>
      </c>
      <c r="I218" s="174">
        <f t="shared" si="49"/>
        <v>1</v>
      </c>
      <c r="J218" s="244">
        <f t="shared" si="50"/>
        <v>0</v>
      </c>
      <c r="K218" s="174">
        <f t="shared" si="52"/>
        <v>0</v>
      </c>
      <c r="L218" s="244">
        <f t="shared" si="53"/>
        <v>0</v>
      </c>
      <c r="M218" s="174">
        <v>1</v>
      </c>
      <c r="N218" s="143">
        <f t="shared" si="55"/>
        <v>214</v>
      </c>
      <c r="O218" s="143">
        <f t="shared" si="54"/>
        <v>214</v>
      </c>
    </row>
    <row r="219" spans="1:15" ht="12.75" customHeight="1">
      <c r="A219" s="246">
        <f t="shared" si="51"/>
        <v>240</v>
      </c>
      <c r="B219" s="244">
        <f t="shared" si="42"/>
        <v>2</v>
      </c>
      <c r="C219" s="174">
        <f t="shared" si="43"/>
        <v>0</v>
      </c>
      <c r="D219" s="244">
        <f t="shared" si="44"/>
        <v>0</v>
      </c>
      <c r="E219" s="174">
        <f t="shared" si="45"/>
        <v>0</v>
      </c>
      <c r="F219" s="244">
        <f t="shared" si="46"/>
        <v>0</v>
      </c>
      <c r="G219" s="174">
        <f t="shared" si="47"/>
        <v>1</v>
      </c>
      <c r="H219" s="244">
        <f t="shared" si="48"/>
        <v>1</v>
      </c>
      <c r="I219" s="174">
        <f t="shared" si="49"/>
        <v>0</v>
      </c>
      <c r="J219" s="244">
        <f t="shared" si="50"/>
        <v>0</v>
      </c>
      <c r="K219" s="174">
        <f t="shared" si="52"/>
        <v>0</v>
      </c>
      <c r="L219" s="244">
        <f t="shared" si="53"/>
        <v>0</v>
      </c>
      <c r="M219" s="174">
        <v>1</v>
      </c>
      <c r="N219" s="143">
        <f t="shared" si="55"/>
        <v>215</v>
      </c>
      <c r="O219" s="143">
        <f t="shared" si="54"/>
        <v>215</v>
      </c>
    </row>
    <row r="220" spans="1:15" ht="12.75" customHeight="1">
      <c r="A220" s="246">
        <f t="shared" si="51"/>
        <v>241</v>
      </c>
      <c r="B220" s="244">
        <f t="shared" si="42"/>
        <v>2</v>
      </c>
      <c r="C220" s="174">
        <f t="shared" si="43"/>
        <v>0</v>
      </c>
      <c r="D220" s="244">
        <f t="shared" si="44"/>
        <v>0</v>
      </c>
      <c r="E220" s="174">
        <f t="shared" si="45"/>
        <v>0</v>
      </c>
      <c r="F220" s="244">
        <f t="shared" si="46"/>
        <v>0</v>
      </c>
      <c r="G220" s="174">
        <f t="shared" si="47"/>
        <v>1</v>
      </c>
      <c r="H220" s="244">
        <f t="shared" si="48"/>
        <v>1</v>
      </c>
      <c r="I220" s="174">
        <f t="shared" si="49"/>
        <v>0</v>
      </c>
      <c r="J220" s="244">
        <f t="shared" si="50"/>
        <v>0</v>
      </c>
      <c r="K220" s="174">
        <f t="shared" si="52"/>
        <v>0</v>
      </c>
      <c r="L220" s="244">
        <f t="shared" si="53"/>
        <v>1</v>
      </c>
      <c r="M220" s="174">
        <v>1</v>
      </c>
      <c r="N220" s="143">
        <f t="shared" si="55"/>
        <v>216</v>
      </c>
      <c r="O220" s="143">
        <f t="shared" si="54"/>
        <v>216</v>
      </c>
    </row>
    <row r="221" spans="1:15" ht="12.75" customHeight="1">
      <c r="A221" s="246">
        <f t="shared" si="51"/>
        <v>242</v>
      </c>
      <c r="B221" s="244">
        <f t="shared" si="42"/>
        <v>2</v>
      </c>
      <c r="C221" s="174">
        <f t="shared" si="43"/>
        <v>0</v>
      </c>
      <c r="D221" s="244">
        <f t="shared" si="44"/>
        <v>0</v>
      </c>
      <c r="E221" s="174">
        <f t="shared" si="45"/>
        <v>0</v>
      </c>
      <c r="F221" s="244">
        <f t="shared" si="46"/>
        <v>0</v>
      </c>
      <c r="G221" s="174">
        <f t="shared" si="47"/>
        <v>1</v>
      </c>
      <c r="H221" s="244">
        <f t="shared" si="48"/>
        <v>1</v>
      </c>
      <c r="I221" s="174">
        <f t="shared" si="49"/>
        <v>0</v>
      </c>
      <c r="J221" s="244">
        <f t="shared" si="50"/>
        <v>0</v>
      </c>
      <c r="K221" s="174">
        <f t="shared" si="52"/>
        <v>1</v>
      </c>
      <c r="L221" s="244">
        <f t="shared" si="53"/>
        <v>0</v>
      </c>
      <c r="M221" s="174">
        <v>1</v>
      </c>
      <c r="N221" s="143">
        <f t="shared" si="55"/>
        <v>217</v>
      </c>
      <c r="O221" s="143">
        <f t="shared" si="54"/>
        <v>217</v>
      </c>
    </row>
    <row r="222" spans="1:15" ht="12.75" customHeight="1">
      <c r="A222" s="246">
        <f t="shared" si="51"/>
        <v>243</v>
      </c>
      <c r="B222" s="244">
        <f t="shared" si="42"/>
        <v>2</v>
      </c>
      <c r="C222" s="174">
        <f t="shared" si="43"/>
        <v>0</v>
      </c>
      <c r="D222" s="244">
        <f t="shared" si="44"/>
        <v>0</v>
      </c>
      <c r="E222" s="174">
        <f t="shared" si="45"/>
        <v>0</v>
      </c>
      <c r="F222" s="244">
        <f t="shared" si="46"/>
        <v>0</v>
      </c>
      <c r="G222" s="174">
        <f t="shared" si="47"/>
        <v>1</v>
      </c>
      <c r="H222" s="244">
        <f t="shared" si="48"/>
        <v>1</v>
      </c>
      <c r="I222" s="174">
        <f t="shared" si="49"/>
        <v>0</v>
      </c>
      <c r="J222" s="244">
        <f t="shared" si="50"/>
        <v>1</v>
      </c>
      <c r="K222" s="174">
        <f t="shared" si="52"/>
        <v>0</v>
      </c>
      <c r="L222" s="244">
        <f t="shared" si="53"/>
        <v>0</v>
      </c>
      <c r="M222" s="174">
        <v>1</v>
      </c>
      <c r="N222" s="143">
        <f t="shared" si="55"/>
        <v>218</v>
      </c>
      <c r="O222" s="143">
        <f t="shared" si="54"/>
        <v>218</v>
      </c>
    </row>
    <row r="223" spans="1:15" ht="12.75" customHeight="1">
      <c r="A223" s="246">
        <f t="shared" si="51"/>
        <v>244</v>
      </c>
      <c r="B223" s="244">
        <f t="shared" si="42"/>
        <v>2</v>
      </c>
      <c r="C223" s="174">
        <f t="shared" si="43"/>
        <v>0</v>
      </c>
      <c r="D223" s="244">
        <f t="shared" si="44"/>
        <v>0</v>
      </c>
      <c r="E223" s="174">
        <f t="shared" si="45"/>
        <v>0</v>
      </c>
      <c r="F223" s="244">
        <f t="shared" si="46"/>
        <v>0</v>
      </c>
      <c r="G223" s="174">
        <f t="shared" si="47"/>
        <v>1</v>
      </c>
      <c r="H223" s="244">
        <f t="shared" si="48"/>
        <v>1</v>
      </c>
      <c r="I223" s="174">
        <f t="shared" si="49"/>
        <v>1</v>
      </c>
      <c r="J223" s="244">
        <f t="shared" si="50"/>
        <v>0</v>
      </c>
      <c r="K223" s="174">
        <f t="shared" si="52"/>
        <v>0</v>
      </c>
      <c r="L223" s="244">
        <f t="shared" si="53"/>
        <v>0</v>
      </c>
      <c r="M223" s="174">
        <v>1</v>
      </c>
      <c r="N223" s="143">
        <f t="shared" si="55"/>
        <v>219</v>
      </c>
      <c r="O223" s="143">
        <f t="shared" si="54"/>
        <v>219</v>
      </c>
    </row>
    <row r="224" spans="1:15" ht="12.75" customHeight="1">
      <c r="A224" s="246">
        <f t="shared" si="51"/>
        <v>245</v>
      </c>
      <c r="B224" s="244">
        <f t="shared" si="42"/>
        <v>2</v>
      </c>
      <c r="C224" s="174">
        <f t="shared" si="43"/>
        <v>0</v>
      </c>
      <c r="D224" s="244">
        <f t="shared" si="44"/>
        <v>0</v>
      </c>
      <c r="E224" s="174">
        <f t="shared" si="45"/>
        <v>0</v>
      </c>
      <c r="F224" s="244">
        <f t="shared" si="46"/>
        <v>1</v>
      </c>
      <c r="G224" s="174">
        <f t="shared" si="47"/>
        <v>0</v>
      </c>
      <c r="H224" s="244">
        <f t="shared" si="48"/>
        <v>0</v>
      </c>
      <c r="I224" s="174">
        <f t="shared" si="49"/>
        <v>0</v>
      </c>
      <c r="J224" s="244">
        <f t="shared" si="50"/>
        <v>0</v>
      </c>
      <c r="K224" s="174">
        <f t="shared" si="52"/>
        <v>0</v>
      </c>
      <c r="L224" s="244">
        <f t="shared" si="53"/>
        <v>0</v>
      </c>
      <c r="M224" s="174">
        <v>1</v>
      </c>
      <c r="N224" s="143">
        <f t="shared" si="55"/>
        <v>220</v>
      </c>
      <c r="O224" s="143">
        <f t="shared" si="54"/>
        <v>220</v>
      </c>
    </row>
    <row r="225" spans="1:15" ht="12.75" customHeight="1">
      <c r="A225" s="246">
        <f t="shared" si="51"/>
        <v>246</v>
      </c>
      <c r="B225" s="244">
        <f t="shared" si="42"/>
        <v>2</v>
      </c>
      <c r="C225" s="174">
        <f t="shared" si="43"/>
        <v>0</v>
      </c>
      <c r="D225" s="244">
        <f t="shared" si="44"/>
        <v>0</v>
      </c>
      <c r="E225" s="174">
        <f t="shared" si="45"/>
        <v>0</v>
      </c>
      <c r="F225" s="244">
        <f t="shared" si="46"/>
        <v>1</v>
      </c>
      <c r="G225" s="174">
        <f t="shared" si="47"/>
        <v>0</v>
      </c>
      <c r="H225" s="244">
        <f t="shared" si="48"/>
        <v>0</v>
      </c>
      <c r="I225" s="174">
        <f t="shared" si="49"/>
        <v>0</v>
      </c>
      <c r="J225" s="244">
        <f t="shared" si="50"/>
        <v>0</v>
      </c>
      <c r="K225" s="174">
        <f t="shared" si="52"/>
        <v>0</v>
      </c>
      <c r="L225" s="244">
        <f t="shared" si="53"/>
        <v>1</v>
      </c>
      <c r="M225" s="174">
        <v>1</v>
      </c>
      <c r="N225" s="143">
        <f t="shared" si="55"/>
        <v>221</v>
      </c>
      <c r="O225" s="143">
        <f t="shared" si="54"/>
        <v>221</v>
      </c>
    </row>
    <row r="226" spans="1:15" ht="12.75" customHeight="1">
      <c r="A226" s="246">
        <f t="shared" si="51"/>
        <v>247</v>
      </c>
      <c r="B226" s="244">
        <f t="shared" si="42"/>
        <v>2</v>
      </c>
      <c r="C226" s="174">
        <f t="shared" si="43"/>
        <v>0</v>
      </c>
      <c r="D226" s="244">
        <f t="shared" si="44"/>
        <v>0</v>
      </c>
      <c r="E226" s="174">
        <f t="shared" si="45"/>
        <v>0</v>
      </c>
      <c r="F226" s="244">
        <f t="shared" si="46"/>
        <v>1</v>
      </c>
      <c r="G226" s="174">
        <f t="shared" si="47"/>
        <v>0</v>
      </c>
      <c r="H226" s="244">
        <f t="shared" si="48"/>
        <v>0</v>
      </c>
      <c r="I226" s="174">
        <f t="shared" si="49"/>
        <v>0</v>
      </c>
      <c r="J226" s="244">
        <f t="shared" si="50"/>
        <v>0</v>
      </c>
      <c r="K226" s="174">
        <f t="shared" si="52"/>
        <v>1</v>
      </c>
      <c r="L226" s="244">
        <f t="shared" si="53"/>
        <v>0</v>
      </c>
      <c r="M226" s="174">
        <v>1</v>
      </c>
      <c r="N226" s="143">
        <f t="shared" si="55"/>
        <v>222</v>
      </c>
      <c r="O226" s="143">
        <f t="shared" si="54"/>
        <v>222</v>
      </c>
    </row>
    <row r="227" spans="1:15" ht="12.75" customHeight="1">
      <c r="A227" s="246">
        <f t="shared" si="51"/>
        <v>248</v>
      </c>
      <c r="B227" s="244">
        <f t="shared" si="42"/>
        <v>2</v>
      </c>
      <c r="C227" s="174">
        <f t="shared" si="43"/>
        <v>0</v>
      </c>
      <c r="D227" s="244">
        <f t="shared" si="44"/>
        <v>0</v>
      </c>
      <c r="E227" s="174">
        <f t="shared" si="45"/>
        <v>0</v>
      </c>
      <c r="F227" s="244">
        <f t="shared" si="46"/>
        <v>1</v>
      </c>
      <c r="G227" s="174">
        <f t="shared" si="47"/>
        <v>0</v>
      </c>
      <c r="H227" s="244">
        <f t="shared" si="48"/>
        <v>0</v>
      </c>
      <c r="I227" s="174">
        <f t="shared" si="49"/>
        <v>0</v>
      </c>
      <c r="J227" s="244">
        <f t="shared" si="50"/>
        <v>1</v>
      </c>
      <c r="K227" s="174">
        <f t="shared" si="52"/>
        <v>0</v>
      </c>
      <c r="L227" s="244">
        <f t="shared" si="53"/>
        <v>0</v>
      </c>
      <c r="M227" s="174">
        <v>1</v>
      </c>
      <c r="N227" s="143">
        <f t="shared" si="55"/>
        <v>223</v>
      </c>
      <c r="O227" s="143">
        <f t="shared" si="54"/>
        <v>223</v>
      </c>
    </row>
    <row r="228" spans="1:15" ht="12.75" customHeight="1">
      <c r="A228" s="246">
        <f t="shared" si="51"/>
        <v>249</v>
      </c>
      <c r="B228" s="244">
        <f t="shared" si="42"/>
        <v>2</v>
      </c>
      <c r="C228" s="174">
        <f t="shared" si="43"/>
        <v>0</v>
      </c>
      <c r="D228" s="244">
        <f t="shared" si="44"/>
        <v>0</v>
      </c>
      <c r="E228" s="174">
        <f t="shared" si="45"/>
        <v>0</v>
      </c>
      <c r="F228" s="244">
        <f t="shared" si="46"/>
        <v>1</v>
      </c>
      <c r="G228" s="174">
        <f t="shared" si="47"/>
        <v>0</v>
      </c>
      <c r="H228" s="244">
        <f t="shared" si="48"/>
        <v>0</v>
      </c>
      <c r="I228" s="174">
        <f t="shared" si="49"/>
        <v>1</v>
      </c>
      <c r="J228" s="244">
        <f t="shared" si="50"/>
        <v>0</v>
      </c>
      <c r="K228" s="174">
        <f t="shared" si="52"/>
        <v>0</v>
      </c>
      <c r="L228" s="244">
        <f t="shared" si="53"/>
        <v>0</v>
      </c>
      <c r="M228" s="174">
        <v>1</v>
      </c>
      <c r="N228" s="143">
        <f t="shared" si="55"/>
        <v>224</v>
      </c>
      <c r="O228" s="143">
        <f t="shared" si="54"/>
        <v>224</v>
      </c>
    </row>
    <row r="229" spans="1:15" ht="12.75" customHeight="1">
      <c r="A229" s="246">
        <f t="shared" si="51"/>
        <v>250</v>
      </c>
      <c r="B229" s="244">
        <f t="shared" si="42"/>
        <v>2</v>
      </c>
      <c r="C229" s="174">
        <f t="shared" si="43"/>
        <v>0</v>
      </c>
      <c r="D229" s="244">
        <f t="shared" si="44"/>
        <v>0</v>
      </c>
      <c r="E229" s="174">
        <f t="shared" si="45"/>
        <v>0</v>
      </c>
      <c r="F229" s="244">
        <f t="shared" si="46"/>
        <v>1</v>
      </c>
      <c r="G229" s="174">
        <f t="shared" si="47"/>
        <v>0</v>
      </c>
      <c r="H229" s="244">
        <f t="shared" si="48"/>
        <v>1</v>
      </c>
      <c r="I229" s="174">
        <f t="shared" si="49"/>
        <v>0</v>
      </c>
      <c r="J229" s="244">
        <f t="shared" si="50"/>
        <v>0</v>
      </c>
      <c r="K229" s="174">
        <f t="shared" si="52"/>
        <v>0</v>
      </c>
      <c r="L229" s="244">
        <f t="shared" si="53"/>
        <v>0</v>
      </c>
      <c r="M229" s="174">
        <v>1</v>
      </c>
      <c r="N229" s="143">
        <f t="shared" si="55"/>
        <v>225</v>
      </c>
      <c r="O229" s="143">
        <f t="shared" si="54"/>
        <v>225</v>
      </c>
    </row>
    <row r="230" spans="1:15" ht="12.75" customHeight="1">
      <c r="A230" s="246">
        <f t="shared" si="51"/>
        <v>251</v>
      </c>
      <c r="B230" s="244">
        <f t="shared" si="42"/>
        <v>2</v>
      </c>
      <c r="C230" s="174">
        <f t="shared" si="43"/>
        <v>0</v>
      </c>
      <c r="D230" s="244">
        <f t="shared" si="44"/>
        <v>0</v>
      </c>
      <c r="E230" s="174">
        <f t="shared" si="45"/>
        <v>0</v>
      </c>
      <c r="F230" s="244">
        <f t="shared" si="46"/>
        <v>1</v>
      </c>
      <c r="G230" s="174">
        <f t="shared" si="47"/>
        <v>0</v>
      </c>
      <c r="H230" s="244">
        <f t="shared" si="48"/>
        <v>1</v>
      </c>
      <c r="I230" s="174">
        <f t="shared" si="49"/>
        <v>0</v>
      </c>
      <c r="J230" s="244">
        <f t="shared" si="50"/>
        <v>0</v>
      </c>
      <c r="K230" s="174">
        <f t="shared" si="52"/>
        <v>0</v>
      </c>
      <c r="L230" s="244">
        <f t="shared" si="53"/>
        <v>1</v>
      </c>
      <c r="M230" s="174">
        <v>1</v>
      </c>
      <c r="N230" s="143">
        <f t="shared" si="55"/>
        <v>226</v>
      </c>
      <c r="O230" s="143">
        <f t="shared" si="54"/>
        <v>226</v>
      </c>
    </row>
    <row r="231" spans="1:15" ht="12.75" customHeight="1">
      <c r="A231" s="246">
        <f t="shared" si="51"/>
        <v>252</v>
      </c>
      <c r="B231" s="244">
        <f t="shared" si="42"/>
        <v>2</v>
      </c>
      <c r="C231" s="174">
        <f t="shared" si="43"/>
        <v>0</v>
      </c>
      <c r="D231" s="244">
        <f t="shared" si="44"/>
        <v>0</v>
      </c>
      <c r="E231" s="174">
        <f t="shared" si="45"/>
        <v>0</v>
      </c>
      <c r="F231" s="244">
        <f t="shared" si="46"/>
        <v>1</v>
      </c>
      <c r="G231" s="174">
        <f t="shared" si="47"/>
        <v>0</v>
      </c>
      <c r="H231" s="244">
        <f t="shared" si="48"/>
        <v>1</v>
      </c>
      <c r="I231" s="174">
        <f t="shared" si="49"/>
        <v>0</v>
      </c>
      <c r="J231" s="244">
        <f t="shared" si="50"/>
        <v>0</v>
      </c>
      <c r="K231" s="174">
        <f t="shared" si="52"/>
        <v>1</v>
      </c>
      <c r="L231" s="244">
        <f t="shared" si="53"/>
        <v>0</v>
      </c>
      <c r="M231" s="174">
        <v>1</v>
      </c>
      <c r="N231" s="143">
        <f t="shared" si="55"/>
        <v>227</v>
      </c>
      <c r="O231" s="143">
        <f t="shared" si="54"/>
        <v>227</v>
      </c>
    </row>
    <row r="232" spans="1:15" ht="12.75" customHeight="1">
      <c r="A232" s="246">
        <f t="shared" si="51"/>
        <v>253</v>
      </c>
      <c r="B232" s="244">
        <f t="shared" si="42"/>
        <v>2</v>
      </c>
      <c r="C232" s="174">
        <f t="shared" si="43"/>
        <v>0</v>
      </c>
      <c r="D232" s="244">
        <f t="shared" si="44"/>
        <v>0</v>
      </c>
      <c r="E232" s="174">
        <f t="shared" si="45"/>
        <v>0</v>
      </c>
      <c r="F232" s="244">
        <f t="shared" si="46"/>
        <v>1</v>
      </c>
      <c r="G232" s="174">
        <f t="shared" si="47"/>
        <v>0</v>
      </c>
      <c r="H232" s="244">
        <f t="shared" si="48"/>
        <v>1</v>
      </c>
      <c r="I232" s="174">
        <f t="shared" si="49"/>
        <v>0</v>
      </c>
      <c r="J232" s="244">
        <f t="shared" si="50"/>
        <v>1</v>
      </c>
      <c r="K232" s="174">
        <f t="shared" si="52"/>
        <v>0</v>
      </c>
      <c r="L232" s="244">
        <f t="shared" si="53"/>
        <v>0</v>
      </c>
      <c r="M232" s="174">
        <v>1</v>
      </c>
      <c r="N232" s="143">
        <f t="shared" si="55"/>
        <v>228</v>
      </c>
      <c r="O232" s="143">
        <f t="shared" si="54"/>
        <v>228</v>
      </c>
    </row>
    <row r="233" spans="1:15" ht="12.75" customHeight="1">
      <c r="A233" s="246">
        <f t="shared" si="51"/>
        <v>254</v>
      </c>
      <c r="B233" s="244">
        <f t="shared" si="42"/>
        <v>2</v>
      </c>
      <c r="C233" s="174">
        <f t="shared" si="43"/>
        <v>0</v>
      </c>
      <c r="D233" s="244">
        <f t="shared" si="44"/>
        <v>0</v>
      </c>
      <c r="E233" s="174">
        <f t="shared" si="45"/>
        <v>0</v>
      </c>
      <c r="F233" s="244">
        <f t="shared" si="46"/>
        <v>1</v>
      </c>
      <c r="G233" s="174">
        <f t="shared" si="47"/>
        <v>0</v>
      </c>
      <c r="H233" s="244">
        <f t="shared" si="48"/>
        <v>1</v>
      </c>
      <c r="I233" s="174">
        <f t="shared" si="49"/>
        <v>1</v>
      </c>
      <c r="J233" s="244">
        <f t="shared" si="50"/>
        <v>0</v>
      </c>
      <c r="K233" s="174">
        <f t="shared" si="52"/>
        <v>0</v>
      </c>
      <c r="L233" s="244">
        <f t="shared" si="53"/>
        <v>0</v>
      </c>
      <c r="M233" s="174">
        <v>1</v>
      </c>
      <c r="N233" s="143">
        <f t="shared" si="55"/>
        <v>229</v>
      </c>
      <c r="O233" s="143">
        <f t="shared" si="54"/>
        <v>229</v>
      </c>
    </row>
    <row r="234" spans="1:15" ht="12.75" customHeight="1">
      <c r="A234" s="246">
        <f t="shared" si="51"/>
        <v>255</v>
      </c>
      <c r="B234" s="244">
        <f t="shared" si="42"/>
        <v>2</v>
      </c>
      <c r="C234" s="174">
        <f t="shared" si="43"/>
        <v>0</v>
      </c>
      <c r="D234" s="244">
        <f t="shared" si="44"/>
        <v>0</v>
      </c>
      <c r="E234" s="174">
        <f t="shared" si="45"/>
        <v>1</v>
      </c>
      <c r="F234" s="244">
        <f t="shared" si="46"/>
        <v>0</v>
      </c>
      <c r="G234" s="174">
        <f t="shared" si="47"/>
        <v>0</v>
      </c>
      <c r="H234" s="244">
        <f t="shared" si="48"/>
        <v>0</v>
      </c>
      <c r="I234" s="174">
        <f t="shared" si="49"/>
        <v>0</v>
      </c>
      <c r="J234" s="244">
        <f t="shared" si="50"/>
        <v>0</v>
      </c>
      <c r="K234" s="174">
        <f t="shared" si="52"/>
        <v>0</v>
      </c>
      <c r="L234" s="244">
        <f t="shared" si="53"/>
        <v>0</v>
      </c>
      <c r="M234" s="174">
        <v>1</v>
      </c>
      <c r="N234" s="143">
        <f t="shared" si="55"/>
        <v>230</v>
      </c>
      <c r="O234" s="143">
        <f t="shared" si="54"/>
        <v>230</v>
      </c>
    </row>
    <row r="235" spans="1:15" ht="12.75" customHeight="1">
      <c r="A235" s="246">
        <f t="shared" si="51"/>
        <v>256</v>
      </c>
      <c r="B235" s="244">
        <f t="shared" si="42"/>
        <v>2</v>
      </c>
      <c r="C235" s="174">
        <f t="shared" si="43"/>
        <v>0</v>
      </c>
      <c r="D235" s="244">
        <f t="shared" si="44"/>
        <v>0</v>
      </c>
      <c r="E235" s="174">
        <f t="shared" si="45"/>
        <v>1</v>
      </c>
      <c r="F235" s="244">
        <f t="shared" si="46"/>
        <v>0</v>
      </c>
      <c r="G235" s="174">
        <f t="shared" si="47"/>
        <v>0</v>
      </c>
      <c r="H235" s="244">
        <f t="shared" si="48"/>
        <v>0</v>
      </c>
      <c r="I235" s="174">
        <f t="shared" si="49"/>
        <v>0</v>
      </c>
      <c r="J235" s="244">
        <f t="shared" si="50"/>
        <v>0</v>
      </c>
      <c r="K235" s="174">
        <f t="shared" si="52"/>
        <v>0</v>
      </c>
      <c r="L235" s="244">
        <f t="shared" si="53"/>
        <v>1</v>
      </c>
      <c r="M235" s="174">
        <v>1</v>
      </c>
      <c r="N235" s="143">
        <f t="shared" si="55"/>
        <v>231</v>
      </c>
      <c r="O235" s="143">
        <f t="shared" si="54"/>
        <v>231</v>
      </c>
    </row>
    <row r="236" spans="1:15" ht="12.75" customHeight="1">
      <c r="A236" s="246">
        <f t="shared" si="51"/>
        <v>257</v>
      </c>
      <c r="B236" s="244">
        <f t="shared" si="42"/>
        <v>2</v>
      </c>
      <c r="C236" s="174">
        <f t="shared" si="43"/>
        <v>0</v>
      </c>
      <c r="D236" s="244">
        <f t="shared" si="44"/>
        <v>0</v>
      </c>
      <c r="E236" s="174">
        <f t="shared" si="45"/>
        <v>1</v>
      </c>
      <c r="F236" s="244">
        <f t="shared" si="46"/>
        <v>0</v>
      </c>
      <c r="G236" s="174">
        <f t="shared" si="47"/>
        <v>0</v>
      </c>
      <c r="H236" s="244">
        <f t="shared" si="48"/>
        <v>0</v>
      </c>
      <c r="I236" s="174">
        <f t="shared" si="49"/>
        <v>0</v>
      </c>
      <c r="J236" s="244">
        <f t="shared" si="50"/>
        <v>0</v>
      </c>
      <c r="K236" s="174">
        <f t="shared" si="52"/>
        <v>1</v>
      </c>
      <c r="L236" s="244">
        <f t="shared" si="53"/>
        <v>0</v>
      </c>
      <c r="M236" s="174">
        <v>1</v>
      </c>
      <c r="N236" s="143">
        <f t="shared" si="55"/>
        <v>232</v>
      </c>
      <c r="O236" s="143">
        <f t="shared" si="54"/>
        <v>232</v>
      </c>
    </row>
    <row r="237" spans="1:15" ht="12.75" customHeight="1">
      <c r="A237" s="246">
        <f t="shared" si="51"/>
        <v>258</v>
      </c>
      <c r="B237" s="244">
        <f t="shared" si="42"/>
        <v>2</v>
      </c>
      <c r="C237" s="174">
        <f t="shared" si="43"/>
        <v>0</v>
      </c>
      <c r="D237" s="244">
        <f t="shared" si="44"/>
        <v>0</v>
      </c>
      <c r="E237" s="174">
        <f t="shared" si="45"/>
        <v>1</v>
      </c>
      <c r="F237" s="244">
        <f t="shared" si="46"/>
        <v>0</v>
      </c>
      <c r="G237" s="174">
        <f t="shared" si="47"/>
        <v>0</v>
      </c>
      <c r="H237" s="244">
        <f t="shared" si="48"/>
        <v>0</v>
      </c>
      <c r="I237" s="174">
        <f t="shared" si="49"/>
        <v>0</v>
      </c>
      <c r="J237" s="244">
        <f t="shared" si="50"/>
        <v>1</v>
      </c>
      <c r="K237" s="174">
        <f t="shared" si="52"/>
        <v>0</v>
      </c>
      <c r="L237" s="244">
        <f t="shared" si="53"/>
        <v>0</v>
      </c>
      <c r="M237" s="174">
        <v>1</v>
      </c>
      <c r="N237" s="143">
        <f t="shared" si="55"/>
        <v>233</v>
      </c>
      <c r="O237" s="143">
        <f t="shared" si="54"/>
        <v>233</v>
      </c>
    </row>
    <row r="238" spans="1:15" ht="12.75" customHeight="1">
      <c r="A238" s="246">
        <f t="shared" si="51"/>
        <v>259</v>
      </c>
      <c r="B238" s="244">
        <f t="shared" si="42"/>
        <v>2</v>
      </c>
      <c r="C238" s="174">
        <f t="shared" si="43"/>
        <v>0</v>
      </c>
      <c r="D238" s="244">
        <f t="shared" si="44"/>
        <v>0</v>
      </c>
      <c r="E238" s="174">
        <f t="shared" si="45"/>
        <v>1</v>
      </c>
      <c r="F238" s="244">
        <f t="shared" si="46"/>
        <v>0</v>
      </c>
      <c r="G238" s="174">
        <f t="shared" si="47"/>
        <v>0</v>
      </c>
      <c r="H238" s="244">
        <f t="shared" si="48"/>
        <v>0</v>
      </c>
      <c r="I238" s="174">
        <f t="shared" si="49"/>
        <v>1</v>
      </c>
      <c r="J238" s="244">
        <f t="shared" si="50"/>
        <v>0</v>
      </c>
      <c r="K238" s="174">
        <f t="shared" si="52"/>
        <v>0</v>
      </c>
      <c r="L238" s="244">
        <f t="shared" si="53"/>
        <v>0</v>
      </c>
      <c r="M238" s="174">
        <v>1</v>
      </c>
      <c r="N238" s="143">
        <f t="shared" si="55"/>
        <v>234</v>
      </c>
      <c r="O238" s="143">
        <f t="shared" si="54"/>
        <v>234</v>
      </c>
    </row>
    <row r="239" spans="1:15" ht="12.75" customHeight="1">
      <c r="A239" s="246">
        <f t="shared" si="51"/>
        <v>260</v>
      </c>
      <c r="B239" s="244">
        <f t="shared" si="42"/>
        <v>2</v>
      </c>
      <c r="C239" s="174">
        <f t="shared" si="43"/>
        <v>0</v>
      </c>
      <c r="D239" s="244">
        <f t="shared" si="44"/>
        <v>0</v>
      </c>
      <c r="E239" s="174">
        <f t="shared" si="45"/>
        <v>1</v>
      </c>
      <c r="F239" s="244">
        <f t="shared" si="46"/>
        <v>0</v>
      </c>
      <c r="G239" s="174">
        <f t="shared" si="47"/>
        <v>0</v>
      </c>
      <c r="H239" s="244">
        <f t="shared" si="48"/>
        <v>1</v>
      </c>
      <c r="I239" s="174">
        <f t="shared" si="49"/>
        <v>0</v>
      </c>
      <c r="J239" s="244">
        <f t="shared" si="50"/>
        <v>0</v>
      </c>
      <c r="K239" s="174">
        <f t="shared" si="52"/>
        <v>0</v>
      </c>
      <c r="L239" s="244">
        <f t="shared" si="53"/>
        <v>0</v>
      </c>
      <c r="M239" s="174">
        <v>1</v>
      </c>
      <c r="N239" s="143">
        <f t="shared" si="55"/>
        <v>235</v>
      </c>
      <c r="O239" s="143">
        <f t="shared" si="54"/>
        <v>235</v>
      </c>
    </row>
    <row r="240" spans="1:15" ht="12.75" customHeight="1">
      <c r="A240" s="246">
        <f t="shared" si="51"/>
        <v>261</v>
      </c>
      <c r="B240" s="244">
        <f t="shared" si="42"/>
        <v>2</v>
      </c>
      <c r="C240" s="174">
        <f t="shared" si="43"/>
        <v>0</v>
      </c>
      <c r="D240" s="244">
        <f t="shared" si="44"/>
        <v>0</v>
      </c>
      <c r="E240" s="174">
        <f t="shared" si="45"/>
        <v>1</v>
      </c>
      <c r="F240" s="244">
        <f t="shared" si="46"/>
        <v>0</v>
      </c>
      <c r="G240" s="174">
        <f t="shared" si="47"/>
        <v>0</v>
      </c>
      <c r="H240" s="244">
        <f t="shared" si="48"/>
        <v>1</v>
      </c>
      <c r="I240" s="174">
        <f t="shared" si="49"/>
        <v>0</v>
      </c>
      <c r="J240" s="244">
        <f t="shared" si="50"/>
        <v>0</v>
      </c>
      <c r="K240" s="174">
        <f t="shared" si="52"/>
        <v>0</v>
      </c>
      <c r="L240" s="244">
        <f t="shared" si="53"/>
        <v>1</v>
      </c>
      <c r="M240" s="174">
        <v>1</v>
      </c>
      <c r="N240" s="143">
        <f t="shared" si="55"/>
        <v>236</v>
      </c>
      <c r="O240" s="143">
        <f t="shared" si="54"/>
        <v>236</v>
      </c>
    </row>
    <row r="241" spans="1:15" ht="12.75" customHeight="1">
      <c r="A241" s="246">
        <f t="shared" si="51"/>
        <v>262</v>
      </c>
      <c r="B241" s="244">
        <f t="shared" si="42"/>
        <v>2</v>
      </c>
      <c r="C241" s="174">
        <f t="shared" si="43"/>
        <v>0</v>
      </c>
      <c r="D241" s="244">
        <f t="shared" si="44"/>
        <v>0</v>
      </c>
      <c r="E241" s="174">
        <f t="shared" si="45"/>
        <v>1</v>
      </c>
      <c r="F241" s="244">
        <f t="shared" si="46"/>
        <v>0</v>
      </c>
      <c r="G241" s="174">
        <f t="shared" si="47"/>
        <v>0</v>
      </c>
      <c r="H241" s="244">
        <f t="shared" si="48"/>
        <v>1</v>
      </c>
      <c r="I241" s="174">
        <f t="shared" si="49"/>
        <v>0</v>
      </c>
      <c r="J241" s="244">
        <f t="shared" si="50"/>
        <v>0</v>
      </c>
      <c r="K241" s="174">
        <f t="shared" si="52"/>
        <v>1</v>
      </c>
      <c r="L241" s="244">
        <f t="shared" si="53"/>
        <v>0</v>
      </c>
      <c r="M241" s="174">
        <v>1</v>
      </c>
      <c r="N241" s="143">
        <f t="shared" si="55"/>
        <v>237</v>
      </c>
      <c r="O241" s="143">
        <f t="shared" si="54"/>
        <v>237</v>
      </c>
    </row>
    <row r="242" spans="1:15" ht="12.75" customHeight="1">
      <c r="A242" s="246">
        <f t="shared" si="51"/>
        <v>263</v>
      </c>
      <c r="B242" s="244">
        <f t="shared" si="42"/>
        <v>2</v>
      </c>
      <c r="C242" s="174">
        <f t="shared" si="43"/>
        <v>0</v>
      </c>
      <c r="D242" s="244">
        <f t="shared" si="44"/>
        <v>0</v>
      </c>
      <c r="E242" s="174">
        <f t="shared" si="45"/>
        <v>1</v>
      </c>
      <c r="F242" s="244">
        <f t="shared" si="46"/>
        <v>0</v>
      </c>
      <c r="G242" s="174">
        <f t="shared" si="47"/>
        <v>0</v>
      </c>
      <c r="H242" s="244">
        <f t="shared" si="48"/>
        <v>1</v>
      </c>
      <c r="I242" s="174">
        <f t="shared" si="49"/>
        <v>0</v>
      </c>
      <c r="J242" s="244">
        <f t="shared" si="50"/>
        <v>1</v>
      </c>
      <c r="K242" s="174">
        <f t="shared" si="52"/>
        <v>0</v>
      </c>
      <c r="L242" s="244">
        <f t="shared" si="53"/>
        <v>0</v>
      </c>
      <c r="M242" s="174">
        <v>1</v>
      </c>
      <c r="N242" s="143">
        <f t="shared" si="55"/>
        <v>238</v>
      </c>
      <c r="O242" s="143">
        <f t="shared" si="54"/>
        <v>238</v>
      </c>
    </row>
    <row r="243" spans="1:15" ht="12.75" customHeight="1">
      <c r="A243" s="246">
        <f t="shared" si="51"/>
        <v>264</v>
      </c>
      <c r="B243" s="244">
        <f t="shared" si="42"/>
        <v>2</v>
      </c>
      <c r="C243" s="174">
        <f t="shared" si="43"/>
        <v>0</v>
      </c>
      <c r="D243" s="244">
        <f t="shared" si="44"/>
        <v>0</v>
      </c>
      <c r="E243" s="174">
        <f t="shared" si="45"/>
        <v>1</v>
      </c>
      <c r="F243" s="244">
        <f t="shared" si="46"/>
        <v>0</v>
      </c>
      <c r="G243" s="174">
        <f t="shared" si="47"/>
        <v>0</v>
      </c>
      <c r="H243" s="244">
        <f t="shared" si="48"/>
        <v>1</v>
      </c>
      <c r="I243" s="174">
        <f t="shared" si="49"/>
        <v>1</v>
      </c>
      <c r="J243" s="244">
        <f t="shared" si="50"/>
        <v>0</v>
      </c>
      <c r="K243" s="174">
        <f t="shared" si="52"/>
        <v>0</v>
      </c>
      <c r="L243" s="244">
        <f t="shared" si="53"/>
        <v>0</v>
      </c>
      <c r="M243" s="174">
        <v>1</v>
      </c>
      <c r="N243" s="143">
        <f t="shared" si="55"/>
        <v>239</v>
      </c>
      <c r="O243" s="143">
        <f t="shared" si="54"/>
        <v>239</v>
      </c>
    </row>
    <row r="244" spans="1:15" ht="12.75" customHeight="1">
      <c r="A244" s="246">
        <f t="shared" si="51"/>
        <v>265</v>
      </c>
      <c r="B244" s="244">
        <f t="shared" si="42"/>
        <v>2</v>
      </c>
      <c r="C244" s="174">
        <f t="shared" si="43"/>
        <v>0</v>
      </c>
      <c r="D244" s="244">
        <f t="shared" si="44"/>
        <v>0</v>
      </c>
      <c r="E244" s="174">
        <f t="shared" si="45"/>
        <v>1</v>
      </c>
      <c r="F244" s="244">
        <f t="shared" si="46"/>
        <v>0</v>
      </c>
      <c r="G244" s="174">
        <f t="shared" si="47"/>
        <v>1</v>
      </c>
      <c r="H244" s="244">
        <f t="shared" si="48"/>
        <v>0</v>
      </c>
      <c r="I244" s="174">
        <f t="shared" si="49"/>
        <v>0</v>
      </c>
      <c r="J244" s="244">
        <f t="shared" si="50"/>
        <v>0</v>
      </c>
      <c r="K244" s="174">
        <f t="shared" si="52"/>
        <v>0</v>
      </c>
      <c r="L244" s="244">
        <f t="shared" si="53"/>
        <v>0</v>
      </c>
      <c r="M244" s="174">
        <v>1</v>
      </c>
      <c r="N244" s="143">
        <f t="shared" si="55"/>
        <v>240</v>
      </c>
      <c r="O244" s="143">
        <f t="shared" si="54"/>
        <v>240</v>
      </c>
    </row>
    <row r="245" spans="1:15" ht="12.75" customHeight="1">
      <c r="A245" s="246">
        <f t="shared" si="51"/>
        <v>266</v>
      </c>
      <c r="B245" s="244">
        <f t="shared" si="42"/>
        <v>2</v>
      </c>
      <c r="C245" s="174">
        <f t="shared" si="43"/>
        <v>0</v>
      </c>
      <c r="D245" s="244">
        <f t="shared" si="44"/>
        <v>0</v>
      </c>
      <c r="E245" s="174">
        <f t="shared" si="45"/>
        <v>1</v>
      </c>
      <c r="F245" s="244">
        <f t="shared" si="46"/>
        <v>0</v>
      </c>
      <c r="G245" s="174">
        <f t="shared" si="47"/>
        <v>1</v>
      </c>
      <c r="H245" s="244">
        <f t="shared" si="48"/>
        <v>0</v>
      </c>
      <c r="I245" s="174">
        <f t="shared" si="49"/>
        <v>0</v>
      </c>
      <c r="J245" s="244">
        <f t="shared" si="50"/>
        <v>0</v>
      </c>
      <c r="K245" s="174">
        <f t="shared" si="52"/>
        <v>0</v>
      </c>
      <c r="L245" s="244">
        <f t="shared" si="53"/>
        <v>1</v>
      </c>
      <c r="M245" s="174">
        <v>1</v>
      </c>
      <c r="N245" s="143">
        <f t="shared" si="55"/>
        <v>241</v>
      </c>
      <c r="O245" s="143">
        <f t="shared" si="54"/>
        <v>241</v>
      </c>
    </row>
    <row r="246" spans="1:15" ht="12.75" customHeight="1">
      <c r="A246" s="246">
        <f t="shared" si="51"/>
        <v>267</v>
      </c>
      <c r="B246" s="244">
        <f t="shared" si="42"/>
        <v>2</v>
      </c>
      <c r="C246" s="174">
        <f t="shared" si="43"/>
        <v>0</v>
      </c>
      <c r="D246" s="244">
        <f t="shared" si="44"/>
        <v>0</v>
      </c>
      <c r="E246" s="174">
        <f t="shared" si="45"/>
        <v>1</v>
      </c>
      <c r="F246" s="244">
        <f t="shared" si="46"/>
        <v>0</v>
      </c>
      <c r="G246" s="174">
        <f t="shared" si="47"/>
        <v>1</v>
      </c>
      <c r="H246" s="244">
        <f t="shared" si="48"/>
        <v>0</v>
      </c>
      <c r="I246" s="174">
        <f t="shared" si="49"/>
        <v>0</v>
      </c>
      <c r="J246" s="244">
        <f t="shared" si="50"/>
        <v>0</v>
      </c>
      <c r="K246" s="174">
        <f t="shared" si="52"/>
        <v>1</v>
      </c>
      <c r="L246" s="244">
        <f t="shared" si="53"/>
        <v>0</v>
      </c>
      <c r="M246" s="174">
        <v>1</v>
      </c>
      <c r="N246" s="143">
        <f t="shared" si="55"/>
        <v>242</v>
      </c>
      <c r="O246" s="143">
        <f t="shared" si="54"/>
        <v>242</v>
      </c>
    </row>
    <row r="247" spans="1:15" ht="12.75" customHeight="1">
      <c r="A247" s="246">
        <f t="shared" si="51"/>
        <v>268</v>
      </c>
      <c r="B247" s="244">
        <f t="shared" si="42"/>
        <v>2</v>
      </c>
      <c r="C247" s="174">
        <f t="shared" si="43"/>
        <v>0</v>
      </c>
      <c r="D247" s="244">
        <f t="shared" si="44"/>
        <v>0</v>
      </c>
      <c r="E247" s="174">
        <f t="shared" si="45"/>
        <v>1</v>
      </c>
      <c r="F247" s="244">
        <f t="shared" si="46"/>
        <v>0</v>
      </c>
      <c r="G247" s="174">
        <f t="shared" si="47"/>
        <v>1</v>
      </c>
      <c r="H247" s="244">
        <f t="shared" si="48"/>
        <v>0</v>
      </c>
      <c r="I247" s="174">
        <f t="shared" si="49"/>
        <v>0</v>
      </c>
      <c r="J247" s="244">
        <f t="shared" si="50"/>
        <v>1</v>
      </c>
      <c r="K247" s="174">
        <f t="shared" si="52"/>
        <v>0</v>
      </c>
      <c r="L247" s="244">
        <f t="shared" si="53"/>
        <v>0</v>
      </c>
      <c r="M247" s="174">
        <v>1</v>
      </c>
      <c r="N247" s="143">
        <f t="shared" si="55"/>
        <v>243</v>
      </c>
      <c r="O247" s="143">
        <f t="shared" si="54"/>
        <v>243</v>
      </c>
    </row>
    <row r="248" spans="1:15" ht="12.75" customHeight="1">
      <c r="A248" s="246">
        <f t="shared" si="51"/>
        <v>269</v>
      </c>
      <c r="B248" s="244">
        <f t="shared" si="42"/>
        <v>2</v>
      </c>
      <c r="C248" s="174">
        <f t="shared" si="43"/>
        <v>0</v>
      </c>
      <c r="D248" s="244">
        <f t="shared" si="44"/>
        <v>0</v>
      </c>
      <c r="E248" s="174">
        <f t="shared" si="45"/>
        <v>1</v>
      </c>
      <c r="F248" s="244">
        <f t="shared" si="46"/>
        <v>0</v>
      </c>
      <c r="G248" s="174">
        <f t="shared" si="47"/>
        <v>1</v>
      </c>
      <c r="H248" s="244">
        <f t="shared" si="48"/>
        <v>0</v>
      </c>
      <c r="I248" s="174">
        <f t="shared" si="49"/>
        <v>1</v>
      </c>
      <c r="J248" s="244">
        <f t="shared" si="50"/>
        <v>0</v>
      </c>
      <c r="K248" s="174">
        <f t="shared" si="52"/>
        <v>0</v>
      </c>
      <c r="L248" s="244">
        <f t="shared" si="53"/>
        <v>0</v>
      </c>
      <c r="M248" s="174">
        <v>1</v>
      </c>
      <c r="N248" s="143">
        <f t="shared" si="55"/>
        <v>244</v>
      </c>
      <c r="O248" s="143">
        <f t="shared" si="54"/>
        <v>244</v>
      </c>
    </row>
    <row r="249" spans="1:15" ht="12.75" customHeight="1">
      <c r="A249" s="246">
        <f t="shared" si="51"/>
        <v>270</v>
      </c>
      <c r="B249" s="244">
        <f t="shared" si="42"/>
        <v>2</v>
      </c>
      <c r="C249" s="174">
        <f t="shared" si="43"/>
        <v>0</v>
      </c>
      <c r="D249" s="244">
        <f t="shared" si="44"/>
        <v>0</v>
      </c>
      <c r="E249" s="174">
        <f t="shared" si="45"/>
        <v>1</v>
      </c>
      <c r="F249" s="244">
        <f t="shared" si="46"/>
        <v>0</v>
      </c>
      <c r="G249" s="174">
        <f t="shared" si="47"/>
        <v>1</v>
      </c>
      <c r="H249" s="244">
        <f t="shared" si="48"/>
        <v>1</v>
      </c>
      <c r="I249" s="174">
        <f t="shared" si="49"/>
        <v>0</v>
      </c>
      <c r="J249" s="244">
        <f t="shared" si="50"/>
        <v>0</v>
      </c>
      <c r="K249" s="174">
        <f t="shared" si="52"/>
        <v>0</v>
      </c>
      <c r="L249" s="244">
        <f t="shared" si="53"/>
        <v>0</v>
      </c>
      <c r="M249" s="174">
        <v>1</v>
      </c>
      <c r="N249" s="143">
        <f t="shared" si="55"/>
        <v>245</v>
      </c>
      <c r="O249" s="143">
        <f t="shared" si="54"/>
        <v>245</v>
      </c>
    </row>
    <row r="250" spans="1:15" ht="12.75" customHeight="1">
      <c r="A250" s="246">
        <f t="shared" si="51"/>
        <v>271</v>
      </c>
      <c r="B250" s="244">
        <f t="shared" si="42"/>
        <v>2</v>
      </c>
      <c r="C250" s="174">
        <f t="shared" si="43"/>
        <v>0</v>
      </c>
      <c r="D250" s="244">
        <f t="shared" si="44"/>
        <v>0</v>
      </c>
      <c r="E250" s="174">
        <f t="shared" si="45"/>
        <v>1</v>
      </c>
      <c r="F250" s="244">
        <f t="shared" si="46"/>
        <v>0</v>
      </c>
      <c r="G250" s="174">
        <f t="shared" si="47"/>
        <v>1</v>
      </c>
      <c r="H250" s="244">
        <f t="shared" si="48"/>
        <v>1</v>
      </c>
      <c r="I250" s="174">
        <f t="shared" si="49"/>
        <v>0</v>
      </c>
      <c r="J250" s="244">
        <f t="shared" si="50"/>
        <v>0</v>
      </c>
      <c r="K250" s="174">
        <f t="shared" si="52"/>
        <v>0</v>
      </c>
      <c r="L250" s="244">
        <f t="shared" si="53"/>
        <v>1</v>
      </c>
      <c r="M250" s="174">
        <v>1</v>
      </c>
      <c r="N250" s="143">
        <f t="shared" si="55"/>
        <v>246</v>
      </c>
      <c r="O250" s="143">
        <f t="shared" si="54"/>
        <v>246</v>
      </c>
    </row>
    <row r="251" spans="1:15" ht="12.75" customHeight="1">
      <c r="A251" s="246">
        <f t="shared" si="51"/>
        <v>272</v>
      </c>
      <c r="B251" s="244">
        <f t="shared" si="42"/>
        <v>2</v>
      </c>
      <c r="C251" s="174">
        <f t="shared" si="43"/>
        <v>0</v>
      </c>
      <c r="D251" s="244">
        <f t="shared" si="44"/>
        <v>0</v>
      </c>
      <c r="E251" s="174">
        <f t="shared" si="45"/>
        <v>1</v>
      </c>
      <c r="F251" s="244">
        <f t="shared" si="46"/>
        <v>0</v>
      </c>
      <c r="G251" s="174">
        <f t="shared" si="47"/>
        <v>1</v>
      </c>
      <c r="H251" s="244">
        <f t="shared" si="48"/>
        <v>1</v>
      </c>
      <c r="I251" s="174">
        <f t="shared" si="49"/>
        <v>0</v>
      </c>
      <c r="J251" s="244">
        <f t="shared" si="50"/>
        <v>0</v>
      </c>
      <c r="K251" s="174">
        <f t="shared" si="52"/>
        <v>1</v>
      </c>
      <c r="L251" s="244">
        <f t="shared" si="53"/>
        <v>0</v>
      </c>
      <c r="M251" s="174">
        <v>1</v>
      </c>
      <c r="N251" s="143">
        <f t="shared" si="55"/>
        <v>247</v>
      </c>
      <c r="O251" s="143">
        <f t="shared" si="54"/>
        <v>247</v>
      </c>
    </row>
    <row r="252" spans="1:15" ht="12.75" customHeight="1">
      <c r="A252" s="246">
        <f t="shared" si="51"/>
        <v>273</v>
      </c>
      <c r="B252" s="244">
        <f t="shared" si="42"/>
        <v>2</v>
      </c>
      <c r="C252" s="174">
        <f t="shared" si="43"/>
        <v>0</v>
      </c>
      <c r="D252" s="244">
        <f t="shared" si="44"/>
        <v>0</v>
      </c>
      <c r="E252" s="174">
        <f t="shared" si="45"/>
        <v>1</v>
      </c>
      <c r="F252" s="244">
        <f t="shared" si="46"/>
        <v>0</v>
      </c>
      <c r="G252" s="174">
        <f t="shared" si="47"/>
        <v>1</v>
      </c>
      <c r="H252" s="244">
        <f t="shared" si="48"/>
        <v>1</v>
      </c>
      <c r="I252" s="174">
        <f t="shared" si="49"/>
        <v>0</v>
      </c>
      <c r="J252" s="244">
        <f t="shared" si="50"/>
        <v>1</v>
      </c>
      <c r="K252" s="174">
        <f t="shared" si="52"/>
        <v>0</v>
      </c>
      <c r="L252" s="244">
        <f t="shared" si="53"/>
        <v>0</v>
      </c>
      <c r="M252" s="174">
        <v>1</v>
      </c>
      <c r="N252" s="143">
        <f t="shared" si="55"/>
        <v>248</v>
      </c>
      <c r="O252" s="143">
        <f t="shared" si="54"/>
        <v>248</v>
      </c>
    </row>
    <row r="253" spans="1:15" ht="12.75" customHeight="1">
      <c r="A253" s="246">
        <f t="shared" si="51"/>
        <v>274</v>
      </c>
      <c r="B253" s="244">
        <f t="shared" si="42"/>
        <v>2</v>
      </c>
      <c r="C253" s="174">
        <f t="shared" si="43"/>
        <v>0</v>
      </c>
      <c r="D253" s="244">
        <f t="shared" si="44"/>
        <v>0</v>
      </c>
      <c r="E253" s="174">
        <f t="shared" si="45"/>
        <v>1</v>
      </c>
      <c r="F253" s="244">
        <f t="shared" si="46"/>
        <v>0</v>
      </c>
      <c r="G253" s="174">
        <f t="shared" si="47"/>
        <v>1</v>
      </c>
      <c r="H253" s="244">
        <f t="shared" si="48"/>
        <v>1</v>
      </c>
      <c r="I253" s="174">
        <f t="shared" si="49"/>
        <v>1</v>
      </c>
      <c r="J253" s="244">
        <f t="shared" si="50"/>
        <v>0</v>
      </c>
      <c r="K253" s="174">
        <f t="shared" si="52"/>
        <v>0</v>
      </c>
      <c r="L253" s="244">
        <f t="shared" si="53"/>
        <v>0</v>
      </c>
      <c r="M253" s="174">
        <v>1</v>
      </c>
      <c r="N253" s="143">
        <f t="shared" si="55"/>
        <v>249</v>
      </c>
      <c r="O253" s="143">
        <f t="shared" si="54"/>
        <v>249</v>
      </c>
    </row>
    <row r="254" spans="1:15" ht="12.75" customHeight="1">
      <c r="A254" s="246">
        <f t="shared" si="51"/>
        <v>275</v>
      </c>
      <c r="B254" s="244">
        <f t="shared" si="42"/>
        <v>2</v>
      </c>
      <c r="C254" s="174">
        <f t="shared" si="43"/>
        <v>1</v>
      </c>
      <c r="D254" s="244">
        <f t="shared" si="44"/>
        <v>0</v>
      </c>
      <c r="E254" s="174">
        <f t="shared" si="45"/>
        <v>0</v>
      </c>
      <c r="F254" s="244">
        <f t="shared" si="46"/>
        <v>0</v>
      </c>
      <c r="G254" s="174">
        <f t="shared" si="47"/>
        <v>0</v>
      </c>
      <c r="H254" s="244">
        <f t="shared" si="48"/>
        <v>0</v>
      </c>
      <c r="I254" s="174">
        <f t="shared" si="49"/>
        <v>0</v>
      </c>
      <c r="J254" s="244">
        <f t="shared" si="50"/>
        <v>0</v>
      </c>
      <c r="K254" s="174">
        <f t="shared" si="52"/>
        <v>0</v>
      </c>
      <c r="L254" s="244">
        <f t="shared" si="53"/>
        <v>0</v>
      </c>
      <c r="M254" s="174">
        <v>1</v>
      </c>
      <c r="N254" s="143">
        <f t="shared" si="55"/>
        <v>250</v>
      </c>
      <c r="O254" s="143">
        <f t="shared" si="54"/>
        <v>250</v>
      </c>
    </row>
    <row r="255" spans="1:15" ht="12.75" customHeight="1">
      <c r="A255" s="246">
        <f t="shared" si="51"/>
        <v>276</v>
      </c>
      <c r="B255" s="244">
        <f t="shared" si="42"/>
        <v>2</v>
      </c>
      <c r="C255" s="174">
        <f t="shared" si="43"/>
        <v>1</v>
      </c>
      <c r="D255" s="244">
        <f t="shared" si="44"/>
        <v>0</v>
      </c>
      <c r="E255" s="174">
        <f t="shared" si="45"/>
        <v>0</v>
      </c>
      <c r="F255" s="244">
        <f t="shared" si="46"/>
        <v>0</v>
      </c>
      <c r="G255" s="174">
        <f t="shared" si="47"/>
        <v>0</v>
      </c>
      <c r="H255" s="244">
        <f t="shared" si="48"/>
        <v>0</v>
      </c>
      <c r="I255" s="174">
        <f t="shared" si="49"/>
        <v>0</v>
      </c>
      <c r="J255" s="244">
        <f t="shared" si="50"/>
        <v>0</v>
      </c>
      <c r="K255" s="174">
        <f t="shared" si="52"/>
        <v>0</v>
      </c>
      <c r="L255" s="244">
        <f t="shared" si="53"/>
        <v>1</v>
      </c>
      <c r="M255" s="174">
        <v>1</v>
      </c>
      <c r="N255" s="143">
        <f t="shared" si="55"/>
        <v>251</v>
      </c>
      <c r="O255" s="143">
        <f t="shared" si="54"/>
        <v>251</v>
      </c>
    </row>
    <row r="256" spans="1:15" ht="12.75" customHeight="1">
      <c r="A256" s="246">
        <f t="shared" si="51"/>
        <v>277</v>
      </c>
      <c r="B256" s="244">
        <f t="shared" si="42"/>
        <v>2</v>
      </c>
      <c r="C256" s="174">
        <f t="shared" si="43"/>
        <v>1</v>
      </c>
      <c r="D256" s="244">
        <f t="shared" si="44"/>
        <v>0</v>
      </c>
      <c r="E256" s="174">
        <f t="shared" si="45"/>
        <v>0</v>
      </c>
      <c r="F256" s="244">
        <f t="shared" si="46"/>
        <v>0</v>
      </c>
      <c r="G256" s="174">
        <f t="shared" si="47"/>
        <v>0</v>
      </c>
      <c r="H256" s="244">
        <f t="shared" si="48"/>
        <v>0</v>
      </c>
      <c r="I256" s="174">
        <f t="shared" si="49"/>
        <v>0</v>
      </c>
      <c r="J256" s="244">
        <f t="shared" si="50"/>
        <v>0</v>
      </c>
      <c r="K256" s="174">
        <f t="shared" si="52"/>
        <v>1</v>
      </c>
      <c r="L256" s="244">
        <f t="shared" si="53"/>
        <v>0</v>
      </c>
      <c r="M256" s="174">
        <v>1</v>
      </c>
      <c r="N256" s="143">
        <f t="shared" si="55"/>
        <v>252</v>
      </c>
      <c r="O256" s="143">
        <f t="shared" si="54"/>
        <v>252</v>
      </c>
    </row>
    <row r="257" spans="1:15" ht="12.75" customHeight="1">
      <c r="A257" s="246">
        <f t="shared" si="51"/>
        <v>278</v>
      </c>
      <c r="B257" s="244">
        <f t="shared" si="42"/>
        <v>2</v>
      </c>
      <c r="C257" s="174">
        <f t="shared" si="43"/>
        <v>1</v>
      </c>
      <c r="D257" s="244">
        <f t="shared" si="44"/>
        <v>0</v>
      </c>
      <c r="E257" s="174">
        <f t="shared" si="45"/>
        <v>0</v>
      </c>
      <c r="F257" s="244">
        <f t="shared" si="46"/>
        <v>0</v>
      </c>
      <c r="G257" s="174">
        <f t="shared" si="47"/>
        <v>0</v>
      </c>
      <c r="H257" s="244">
        <f t="shared" si="48"/>
        <v>0</v>
      </c>
      <c r="I257" s="174">
        <f t="shared" si="49"/>
        <v>0</v>
      </c>
      <c r="J257" s="244">
        <f t="shared" si="50"/>
        <v>1</v>
      </c>
      <c r="K257" s="174">
        <f t="shared" si="52"/>
        <v>0</v>
      </c>
      <c r="L257" s="244">
        <f t="shared" si="53"/>
        <v>0</v>
      </c>
      <c r="M257" s="174">
        <v>1</v>
      </c>
      <c r="N257" s="143">
        <f t="shared" si="55"/>
        <v>253</v>
      </c>
      <c r="O257" s="143">
        <f t="shared" si="54"/>
        <v>253</v>
      </c>
    </row>
    <row r="258" spans="1:15" ht="12.75" customHeight="1">
      <c r="A258" s="246">
        <f t="shared" si="51"/>
        <v>279</v>
      </c>
      <c r="B258" s="244">
        <f t="shared" si="42"/>
        <v>2</v>
      </c>
      <c r="C258" s="174">
        <f t="shared" si="43"/>
        <v>1</v>
      </c>
      <c r="D258" s="244">
        <f t="shared" si="44"/>
        <v>0</v>
      </c>
      <c r="E258" s="174">
        <f t="shared" si="45"/>
        <v>0</v>
      </c>
      <c r="F258" s="244">
        <f t="shared" si="46"/>
        <v>0</v>
      </c>
      <c r="G258" s="174">
        <f t="shared" si="47"/>
        <v>0</v>
      </c>
      <c r="H258" s="244">
        <f t="shared" si="48"/>
        <v>0</v>
      </c>
      <c r="I258" s="174">
        <f t="shared" si="49"/>
        <v>1</v>
      </c>
      <c r="J258" s="244">
        <f t="shared" si="50"/>
        <v>0</v>
      </c>
      <c r="K258" s="174">
        <f t="shared" si="52"/>
        <v>0</v>
      </c>
      <c r="L258" s="244">
        <f t="shared" si="53"/>
        <v>0</v>
      </c>
      <c r="M258" s="174">
        <v>1</v>
      </c>
      <c r="N258" s="143">
        <f t="shared" si="55"/>
        <v>254</v>
      </c>
      <c r="O258" s="143">
        <f t="shared" si="54"/>
        <v>254</v>
      </c>
    </row>
    <row r="259" spans="1:15" ht="12.75" customHeight="1">
      <c r="A259" s="246">
        <f t="shared" si="51"/>
        <v>280</v>
      </c>
      <c r="B259" s="244">
        <f t="shared" si="42"/>
        <v>2</v>
      </c>
      <c r="C259" s="174">
        <f t="shared" si="43"/>
        <v>1</v>
      </c>
      <c r="D259" s="244">
        <f t="shared" si="44"/>
        <v>0</v>
      </c>
      <c r="E259" s="174">
        <f t="shared" si="45"/>
        <v>0</v>
      </c>
      <c r="F259" s="244">
        <f t="shared" si="46"/>
        <v>0</v>
      </c>
      <c r="G259" s="174">
        <f t="shared" si="47"/>
        <v>0</v>
      </c>
      <c r="H259" s="244">
        <f t="shared" si="48"/>
        <v>1</v>
      </c>
      <c r="I259" s="174">
        <f t="shared" si="49"/>
        <v>0</v>
      </c>
      <c r="J259" s="244">
        <f t="shared" si="50"/>
        <v>0</v>
      </c>
      <c r="K259" s="174">
        <f t="shared" si="52"/>
        <v>0</v>
      </c>
      <c r="L259" s="244">
        <f t="shared" si="53"/>
        <v>0</v>
      </c>
      <c r="M259" s="174">
        <v>1</v>
      </c>
      <c r="N259" s="143">
        <f t="shared" si="55"/>
        <v>255</v>
      </c>
      <c r="O259" s="143">
        <f t="shared" si="54"/>
        <v>255</v>
      </c>
    </row>
    <row r="260" spans="1:15" ht="12.75" customHeight="1">
      <c r="A260" s="246">
        <f t="shared" si="51"/>
        <v>281</v>
      </c>
      <c r="B260" s="244">
        <f t="shared" ref="B260" si="56">IF(A260=0,0,MIN($B$1/2,INT(O260/(2*$B$2))))</f>
        <v>2</v>
      </c>
      <c r="C260" s="174">
        <f t="shared" si="43"/>
        <v>1</v>
      </c>
      <c r="D260" s="244">
        <f t="shared" si="44"/>
        <v>0</v>
      </c>
      <c r="E260" s="174">
        <f t="shared" si="45"/>
        <v>0</v>
      </c>
      <c r="F260" s="244">
        <f t="shared" si="46"/>
        <v>0</v>
      </c>
      <c r="G260" s="174">
        <f t="shared" si="47"/>
        <v>0</v>
      </c>
      <c r="H260" s="244">
        <f t="shared" si="48"/>
        <v>1</v>
      </c>
      <c r="I260" s="174">
        <f t="shared" si="49"/>
        <v>0</v>
      </c>
      <c r="J260" s="244">
        <f t="shared" si="50"/>
        <v>0</v>
      </c>
      <c r="K260" s="174">
        <f t="shared" si="52"/>
        <v>0</v>
      </c>
      <c r="L260" s="244">
        <f t="shared" si="53"/>
        <v>1</v>
      </c>
      <c r="M260" s="174">
        <v>1</v>
      </c>
      <c r="N260" s="143">
        <f t="shared" si="55"/>
        <v>256</v>
      </c>
      <c r="O260" s="143">
        <f t="shared" si="54"/>
        <v>256</v>
      </c>
    </row>
    <row r="261" spans="1:15" ht="12.75" customHeight="1">
      <c r="A261" s="246">
        <f t="shared" ref="A261:A324" si="57">IF(O261+$M$2&gt;$N$1,0,O261+$M$2)</f>
        <v>282</v>
      </c>
      <c r="B261" s="244">
        <f t="shared" ref="B261:B324" si="58">IF(A261=0,0,MIN($B$1/2,INT(O261/(2*$B$2))))</f>
        <v>2</v>
      </c>
      <c r="C261" s="174">
        <f t="shared" ref="C261:C324" si="59">IF(A261=0,0,MIN($C$1/2,INT(($O261-2*$B261*$B$2)/(2*$C$2))))</f>
        <v>1</v>
      </c>
      <c r="D261" s="244">
        <f t="shared" ref="D261:D324" si="60">IF(A261=0,0,MIN($D$1/2,INT(($O261-2*$B261*$B$2-2*$C261*$C$2)/(2*$D$2))))</f>
        <v>0</v>
      </c>
      <c r="E261" s="174">
        <f t="shared" ref="E261:E324" si="61">IF(A261=0,0,MIN($E$1/2,INT(($O261-2*$B261*$B$2-2*$C261*$C$2-2*$D261*$D$2)/(2*$E$2))))</f>
        <v>0</v>
      </c>
      <c r="F261" s="244">
        <f t="shared" ref="F261:F324" si="62">IF(A261=0,0,MIN($F$1/2,INT(($O261-2*$B261*$B$2-2*$C261*$C$2-2*$D261*$D$2-2*$E261*$E$2)/(2*$F$2))))</f>
        <v>0</v>
      </c>
      <c r="G261" s="174">
        <f t="shared" ref="G261:G324" si="63">IF(A261=0,0,MIN($G$1/2,INT(($O261-2*$B261*$B$2-2*$C261*$C$2-2*$D261*$D$2-2*$E261*$E$2-2*$F261*$F$2)/(2*$G$2))))</f>
        <v>0</v>
      </c>
      <c r="H261" s="244">
        <f t="shared" ref="H261:H324" si="64">IF(A261=0,0,MIN($H$1/2,INT(($O261-2*$B261*$B$2-2*$C261*$C$2-2*$D261*$D$2-2*$E261*$E$2-2*$F261*$F$2-2*$G261*$G$2)/(2*$H$2))))</f>
        <v>1</v>
      </c>
      <c r="I261" s="174">
        <f t="shared" ref="I261:I324" si="65">IF(A261=0,0,MIN($I$1/2,INT(($O261-2*$B261*$B$2-2*$C261*$C$2-2*$D261*$D$2-2*$E261*$E$2-2*$F261*$F$2-2*$G261*$G$2-2*$H261*$H$2)/(2*$I$2))))</f>
        <v>0</v>
      </c>
      <c r="J261" s="244">
        <f t="shared" ref="J261:J324" si="66">IF(A261=0,0,MIN($J$1/2,INT(($O261-2*$B261*$B$2-2*$C261*$C$2-2*$D261*$D$2-2*$E261*$E$2-2*$F261*$F$2-2*$G261*$G$2-2*$H261*$H$2-2*$I261*$I$2)/(2*$J$2))))</f>
        <v>0</v>
      </c>
      <c r="K261" s="174">
        <f t="shared" ref="K261:K324" si="67">IF(A261=0,0,MIN($J$1/2,INT(($O261-2*$B261*$B$2-2*$C261*$C$2-2*$D261*$D$2-2*$E261*$E$2-2*$F261*$F$2-2*$G261*$G$2-2*$H261*$H$2-2*$I261*$I$2-2*$J261*$J$2)/(2*$K$2))))</f>
        <v>1</v>
      </c>
      <c r="L261" s="244">
        <f t="shared" ref="L261:L324" si="68">IF(A261=0,0,MIN($L$1/2,INT(($O261-2*$B261*$B$2-2*$C261*$C$2-2*$D261*$D$2-2*$E261*$E$2-2*$F261*$F$2-2*$G261*$G$2-2*$H261*$H$2-2*$I261*$I$2-2*$J261*$J$2-2*$K261*$K$2)/(2*$L$2))))</f>
        <v>0</v>
      </c>
      <c r="M261" s="174">
        <v>1</v>
      </c>
      <c r="N261" s="143">
        <f t="shared" si="55"/>
        <v>257</v>
      </c>
      <c r="O261" s="143">
        <f t="shared" si="54"/>
        <v>257</v>
      </c>
    </row>
    <row r="262" spans="1:15" ht="12.75" customHeight="1">
      <c r="A262" s="246">
        <f t="shared" si="57"/>
        <v>283</v>
      </c>
      <c r="B262" s="244">
        <f t="shared" si="58"/>
        <v>2</v>
      </c>
      <c r="C262" s="174">
        <f t="shared" si="59"/>
        <v>1</v>
      </c>
      <c r="D262" s="244">
        <f t="shared" si="60"/>
        <v>0</v>
      </c>
      <c r="E262" s="174">
        <f t="shared" si="61"/>
        <v>0</v>
      </c>
      <c r="F262" s="244">
        <f t="shared" si="62"/>
        <v>0</v>
      </c>
      <c r="G262" s="174">
        <f t="shared" si="63"/>
        <v>0</v>
      </c>
      <c r="H262" s="244">
        <f t="shared" si="64"/>
        <v>1</v>
      </c>
      <c r="I262" s="174">
        <f t="shared" si="65"/>
        <v>0</v>
      </c>
      <c r="J262" s="244">
        <f t="shared" si="66"/>
        <v>1</v>
      </c>
      <c r="K262" s="174">
        <f t="shared" si="67"/>
        <v>0</v>
      </c>
      <c r="L262" s="244">
        <f t="shared" si="68"/>
        <v>0</v>
      </c>
      <c r="M262" s="174">
        <v>1</v>
      </c>
      <c r="N262" s="143">
        <f t="shared" si="55"/>
        <v>258</v>
      </c>
      <c r="O262" s="143">
        <f t="shared" ref="O262:O325" si="69">IF($A$2="Pounds",5*N262,1*N262)</f>
        <v>258</v>
      </c>
    </row>
    <row r="263" spans="1:15" ht="12.75" customHeight="1">
      <c r="A263" s="246">
        <f t="shared" si="57"/>
        <v>284</v>
      </c>
      <c r="B263" s="244">
        <f t="shared" si="58"/>
        <v>2</v>
      </c>
      <c r="C263" s="174">
        <f t="shared" si="59"/>
        <v>1</v>
      </c>
      <c r="D263" s="244">
        <f t="shared" si="60"/>
        <v>0</v>
      </c>
      <c r="E263" s="174">
        <f t="shared" si="61"/>
        <v>0</v>
      </c>
      <c r="F263" s="244">
        <f t="shared" si="62"/>
        <v>0</v>
      </c>
      <c r="G263" s="174">
        <f t="shared" si="63"/>
        <v>0</v>
      </c>
      <c r="H263" s="244">
        <f t="shared" si="64"/>
        <v>1</v>
      </c>
      <c r="I263" s="174">
        <f t="shared" si="65"/>
        <v>1</v>
      </c>
      <c r="J263" s="244">
        <f t="shared" si="66"/>
        <v>0</v>
      </c>
      <c r="K263" s="174">
        <f t="shared" si="67"/>
        <v>0</v>
      </c>
      <c r="L263" s="244">
        <f t="shared" si="68"/>
        <v>0</v>
      </c>
      <c r="M263" s="174">
        <v>1</v>
      </c>
      <c r="N263" s="143">
        <f t="shared" si="55"/>
        <v>259</v>
      </c>
      <c r="O263" s="143">
        <f t="shared" si="69"/>
        <v>259</v>
      </c>
    </row>
    <row r="264" spans="1:15" ht="12.75" customHeight="1">
      <c r="A264" s="246">
        <f t="shared" si="57"/>
        <v>285</v>
      </c>
      <c r="B264" s="244">
        <f t="shared" si="58"/>
        <v>2</v>
      </c>
      <c r="C264" s="174">
        <f t="shared" si="59"/>
        <v>1</v>
      </c>
      <c r="D264" s="244">
        <f t="shared" si="60"/>
        <v>0</v>
      </c>
      <c r="E264" s="174">
        <f t="shared" si="61"/>
        <v>0</v>
      </c>
      <c r="F264" s="244">
        <f t="shared" si="62"/>
        <v>0</v>
      </c>
      <c r="G264" s="174">
        <f t="shared" si="63"/>
        <v>1</v>
      </c>
      <c r="H264" s="244">
        <f t="shared" si="64"/>
        <v>0</v>
      </c>
      <c r="I264" s="174">
        <f t="shared" si="65"/>
        <v>0</v>
      </c>
      <c r="J264" s="244">
        <f t="shared" si="66"/>
        <v>0</v>
      </c>
      <c r="K264" s="174">
        <f t="shared" si="67"/>
        <v>0</v>
      </c>
      <c r="L264" s="244">
        <f t="shared" si="68"/>
        <v>0</v>
      </c>
      <c r="M264" s="174">
        <v>1</v>
      </c>
      <c r="N264" s="143">
        <f t="shared" si="55"/>
        <v>260</v>
      </c>
      <c r="O264" s="143">
        <f t="shared" si="69"/>
        <v>260</v>
      </c>
    </row>
    <row r="265" spans="1:15" ht="12.75" customHeight="1">
      <c r="A265" s="246">
        <f t="shared" si="57"/>
        <v>286</v>
      </c>
      <c r="B265" s="244">
        <f t="shared" si="58"/>
        <v>2</v>
      </c>
      <c r="C265" s="174">
        <f t="shared" si="59"/>
        <v>1</v>
      </c>
      <c r="D265" s="244">
        <f t="shared" si="60"/>
        <v>0</v>
      </c>
      <c r="E265" s="174">
        <f t="shared" si="61"/>
        <v>0</v>
      </c>
      <c r="F265" s="244">
        <f t="shared" si="62"/>
        <v>0</v>
      </c>
      <c r="G265" s="174">
        <f t="shared" si="63"/>
        <v>1</v>
      </c>
      <c r="H265" s="244">
        <f t="shared" si="64"/>
        <v>0</v>
      </c>
      <c r="I265" s="174">
        <f t="shared" si="65"/>
        <v>0</v>
      </c>
      <c r="J265" s="244">
        <f t="shared" si="66"/>
        <v>0</v>
      </c>
      <c r="K265" s="174">
        <f t="shared" si="67"/>
        <v>0</v>
      </c>
      <c r="L265" s="244">
        <f t="shared" si="68"/>
        <v>1</v>
      </c>
      <c r="M265" s="174">
        <v>1</v>
      </c>
      <c r="N265" s="143">
        <f t="shared" si="55"/>
        <v>261</v>
      </c>
      <c r="O265" s="143">
        <f t="shared" si="69"/>
        <v>261</v>
      </c>
    </row>
    <row r="266" spans="1:15" ht="12.75" customHeight="1">
      <c r="A266" s="246">
        <f t="shared" si="57"/>
        <v>287</v>
      </c>
      <c r="B266" s="244">
        <f t="shared" si="58"/>
        <v>2</v>
      </c>
      <c r="C266" s="174">
        <f t="shared" si="59"/>
        <v>1</v>
      </c>
      <c r="D266" s="244">
        <f t="shared" si="60"/>
        <v>0</v>
      </c>
      <c r="E266" s="174">
        <f t="shared" si="61"/>
        <v>0</v>
      </c>
      <c r="F266" s="244">
        <f t="shared" si="62"/>
        <v>0</v>
      </c>
      <c r="G266" s="174">
        <f t="shared" si="63"/>
        <v>1</v>
      </c>
      <c r="H266" s="244">
        <f t="shared" si="64"/>
        <v>0</v>
      </c>
      <c r="I266" s="174">
        <f t="shared" si="65"/>
        <v>0</v>
      </c>
      <c r="J266" s="244">
        <f t="shared" si="66"/>
        <v>0</v>
      </c>
      <c r="K266" s="174">
        <f t="shared" si="67"/>
        <v>1</v>
      </c>
      <c r="L266" s="244">
        <f t="shared" si="68"/>
        <v>0</v>
      </c>
      <c r="M266" s="174">
        <v>1</v>
      </c>
      <c r="N266" s="143">
        <f t="shared" si="55"/>
        <v>262</v>
      </c>
      <c r="O266" s="143">
        <f t="shared" si="69"/>
        <v>262</v>
      </c>
    </row>
    <row r="267" spans="1:15" ht="12.75" customHeight="1">
      <c r="A267" s="246">
        <f t="shared" si="57"/>
        <v>288</v>
      </c>
      <c r="B267" s="244">
        <f t="shared" si="58"/>
        <v>2</v>
      </c>
      <c r="C267" s="174">
        <f t="shared" si="59"/>
        <v>1</v>
      </c>
      <c r="D267" s="244">
        <f t="shared" si="60"/>
        <v>0</v>
      </c>
      <c r="E267" s="174">
        <f t="shared" si="61"/>
        <v>0</v>
      </c>
      <c r="F267" s="244">
        <f t="shared" si="62"/>
        <v>0</v>
      </c>
      <c r="G267" s="174">
        <f t="shared" si="63"/>
        <v>1</v>
      </c>
      <c r="H267" s="244">
        <f t="shared" si="64"/>
        <v>0</v>
      </c>
      <c r="I267" s="174">
        <f t="shared" si="65"/>
        <v>0</v>
      </c>
      <c r="J267" s="244">
        <f t="shared" si="66"/>
        <v>1</v>
      </c>
      <c r="K267" s="174">
        <f t="shared" si="67"/>
        <v>0</v>
      </c>
      <c r="L267" s="244">
        <f t="shared" si="68"/>
        <v>0</v>
      </c>
      <c r="M267" s="174">
        <v>1</v>
      </c>
      <c r="N267" s="143">
        <f t="shared" si="55"/>
        <v>263</v>
      </c>
      <c r="O267" s="143">
        <f t="shared" si="69"/>
        <v>263</v>
      </c>
    </row>
    <row r="268" spans="1:15" ht="12.75" customHeight="1">
      <c r="A268" s="246">
        <f t="shared" si="57"/>
        <v>289</v>
      </c>
      <c r="B268" s="244">
        <f t="shared" si="58"/>
        <v>2</v>
      </c>
      <c r="C268" s="174">
        <f t="shared" si="59"/>
        <v>1</v>
      </c>
      <c r="D268" s="244">
        <f t="shared" si="60"/>
        <v>0</v>
      </c>
      <c r="E268" s="174">
        <f t="shared" si="61"/>
        <v>0</v>
      </c>
      <c r="F268" s="244">
        <f t="shared" si="62"/>
        <v>0</v>
      </c>
      <c r="G268" s="174">
        <f t="shared" si="63"/>
        <v>1</v>
      </c>
      <c r="H268" s="244">
        <f t="shared" si="64"/>
        <v>0</v>
      </c>
      <c r="I268" s="174">
        <f t="shared" si="65"/>
        <v>1</v>
      </c>
      <c r="J268" s="244">
        <f t="shared" si="66"/>
        <v>0</v>
      </c>
      <c r="K268" s="174">
        <f t="shared" si="67"/>
        <v>0</v>
      </c>
      <c r="L268" s="244">
        <f t="shared" si="68"/>
        <v>0</v>
      </c>
      <c r="M268" s="174">
        <v>1</v>
      </c>
      <c r="N268" s="143">
        <f t="shared" si="55"/>
        <v>264</v>
      </c>
      <c r="O268" s="143">
        <f t="shared" si="69"/>
        <v>264</v>
      </c>
    </row>
    <row r="269" spans="1:15" ht="12.75" customHeight="1">
      <c r="A269" s="246">
        <f t="shared" si="57"/>
        <v>290</v>
      </c>
      <c r="B269" s="244">
        <f t="shared" si="58"/>
        <v>2</v>
      </c>
      <c r="C269" s="174">
        <f t="shared" si="59"/>
        <v>1</v>
      </c>
      <c r="D269" s="244">
        <f t="shared" si="60"/>
        <v>0</v>
      </c>
      <c r="E269" s="174">
        <f t="shared" si="61"/>
        <v>0</v>
      </c>
      <c r="F269" s="244">
        <f t="shared" si="62"/>
        <v>0</v>
      </c>
      <c r="G269" s="174">
        <f t="shared" si="63"/>
        <v>1</v>
      </c>
      <c r="H269" s="244">
        <f t="shared" si="64"/>
        <v>1</v>
      </c>
      <c r="I269" s="174">
        <f t="shared" si="65"/>
        <v>0</v>
      </c>
      <c r="J269" s="244">
        <f t="shared" si="66"/>
        <v>0</v>
      </c>
      <c r="K269" s="174">
        <f t="shared" si="67"/>
        <v>0</v>
      </c>
      <c r="L269" s="244">
        <f t="shared" si="68"/>
        <v>0</v>
      </c>
      <c r="M269" s="174">
        <v>1</v>
      </c>
      <c r="N269" s="143">
        <f t="shared" ref="N269:N332" si="70">N268+1</f>
        <v>265</v>
      </c>
      <c r="O269" s="143">
        <f t="shared" si="69"/>
        <v>265</v>
      </c>
    </row>
    <row r="270" spans="1:15" ht="12.75" customHeight="1">
      <c r="A270" s="246">
        <f t="shared" si="57"/>
        <v>291</v>
      </c>
      <c r="B270" s="244">
        <f t="shared" si="58"/>
        <v>2</v>
      </c>
      <c r="C270" s="174">
        <f t="shared" si="59"/>
        <v>1</v>
      </c>
      <c r="D270" s="244">
        <f t="shared" si="60"/>
        <v>0</v>
      </c>
      <c r="E270" s="174">
        <f t="shared" si="61"/>
        <v>0</v>
      </c>
      <c r="F270" s="244">
        <f t="shared" si="62"/>
        <v>0</v>
      </c>
      <c r="G270" s="174">
        <f t="shared" si="63"/>
        <v>1</v>
      </c>
      <c r="H270" s="244">
        <f t="shared" si="64"/>
        <v>1</v>
      </c>
      <c r="I270" s="174">
        <f t="shared" si="65"/>
        <v>0</v>
      </c>
      <c r="J270" s="244">
        <f t="shared" si="66"/>
        <v>0</v>
      </c>
      <c r="K270" s="174">
        <f t="shared" si="67"/>
        <v>0</v>
      </c>
      <c r="L270" s="244">
        <f t="shared" si="68"/>
        <v>1</v>
      </c>
      <c r="M270" s="174">
        <v>1</v>
      </c>
      <c r="N270" s="143">
        <f t="shared" si="70"/>
        <v>266</v>
      </c>
      <c r="O270" s="143">
        <f t="shared" si="69"/>
        <v>266</v>
      </c>
    </row>
    <row r="271" spans="1:15" ht="12.75" customHeight="1">
      <c r="A271" s="246">
        <f t="shared" si="57"/>
        <v>292</v>
      </c>
      <c r="B271" s="244">
        <f t="shared" si="58"/>
        <v>2</v>
      </c>
      <c r="C271" s="174">
        <f t="shared" si="59"/>
        <v>1</v>
      </c>
      <c r="D271" s="244">
        <f t="shared" si="60"/>
        <v>0</v>
      </c>
      <c r="E271" s="174">
        <f t="shared" si="61"/>
        <v>0</v>
      </c>
      <c r="F271" s="244">
        <f t="shared" si="62"/>
        <v>0</v>
      </c>
      <c r="G271" s="174">
        <f t="shared" si="63"/>
        <v>1</v>
      </c>
      <c r="H271" s="244">
        <f t="shared" si="64"/>
        <v>1</v>
      </c>
      <c r="I271" s="174">
        <f t="shared" si="65"/>
        <v>0</v>
      </c>
      <c r="J271" s="244">
        <f t="shared" si="66"/>
        <v>0</v>
      </c>
      <c r="K271" s="174">
        <f t="shared" si="67"/>
        <v>1</v>
      </c>
      <c r="L271" s="244">
        <f t="shared" si="68"/>
        <v>0</v>
      </c>
      <c r="M271" s="174">
        <v>1</v>
      </c>
      <c r="N271" s="143">
        <f t="shared" si="70"/>
        <v>267</v>
      </c>
      <c r="O271" s="143">
        <f t="shared" si="69"/>
        <v>267</v>
      </c>
    </row>
    <row r="272" spans="1:15" ht="12.75" customHeight="1">
      <c r="A272" s="246">
        <f t="shared" si="57"/>
        <v>293</v>
      </c>
      <c r="B272" s="244">
        <f t="shared" si="58"/>
        <v>2</v>
      </c>
      <c r="C272" s="174">
        <f t="shared" si="59"/>
        <v>1</v>
      </c>
      <c r="D272" s="244">
        <f t="shared" si="60"/>
        <v>0</v>
      </c>
      <c r="E272" s="174">
        <f t="shared" si="61"/>
        <v>0</v>
      </c>
      <c r="F272" s="244">
        <f t="shared" si="62"/>
        <v>0</v>
      </c>
      <c r="G272" s="174">
        <f t="shared" si="63"/>
        <v>1</v>
      </c>
      <c r="H272" s="244">
        <f t="shared" si="64"/>
        <v>1</v>
      </c>
      <c r="I272" s="174">
        <f t="shared" si="65"/>
        <v>0</v>
      </c>
      <c r="J272" s="244">
        <f t="shared" si="66"/>
        <v>1</v>
      </c>
      <c r="K272" s="174">
        <f t="shared" si="67"/>
        <v>0</v>
      </c>
      <c r="L272" s="244">
        <f t="shared" si="68"/>
        <v>0</v>
      </c>
      <c r="M272" s="174">
        <v>1</v>
      </c>
      <c r="N272" s="143">
        <f t="shared" si="70"/>
        <v>268</v>
      </c>
      <c r="O272" s="143">
        <f t="shared" si="69"/>
        <v>268</v>
      </c>
    </row>
    <row r="273" spans="1:15" ht="12.75" customHeight="1">
      <c r="A273" s="246">
        <f t="shared" si="57"/>
        <v>294</v>
      </c>
      <c r="B273" s="244">
        <f t="shared" si="58"/>
        <v>2</v>
      </c>
      <c r="C273" s="174">
        <f t="shared" si="59"/>
        <v>1</v>
      </c>
      <c r="D273" s="244">
        <f t="shared" si="60"/>
        <v>0</v>
      </c>
      <c r="E273" s="174">
        <f t="shared" si="61"/>
        <v>0</v>
      </c>
      <c r="F273" s="244">
        <f t="shared" si="62"/>
        <v>0</v>
      </c>
      <c r="G273" s="174">
        <f t="shared" si="63"/>
        <v>1</v>
      </c>
      <c r="H273" s="244">
        <f t="shared" si="64"/>
        <v>1</v>
      </c>
      <c r="I273" s="174">
        <f t="shared" si="65"/>
        <v>1</v>
      </c>
      <c r="J273" s="244">
        <f t="shared" si="66"/>
        <v>0</v>
      </c>
      <c r="K273" s="174">
        <f t="shared" si="67"/>
        <v>0</v>
      </c>
      <c r="L273" s="244">
        <f t="shared" si="68"/>
        <v>0</v>
      </c>
      <c r="M273" s="174">
        <v>1</v>
      </c>
      <c r="N273" s="143">
        <f t="shared" si="70"/>
        <v>269</v>
      </c>
      <c r="O273" s="143">
        <f t="shared" si="69"/>
        <v>269</v>
      </c>
    </row>
    <row r="274" spans="1:15" ht="12.75" customHeight="1">
      <c r="A274" s="246">
        <f t="shared" si="57"/>
        <v>295</v>
      </c>
      <c r="B274" s="244">
        <f t="shared" si="58"/>
        <v>2</v>
      </c>
      <c r="C274" s="174">
        <f t="shared" si="59"/>
        <v>1</v>
      </c>
      <c r="D274" s="244">
        <f t="shared" si="60"/>
        <v>0</v>
      </c>
      <c r="E274" s="174">
        <f t="shared" si="61"/>
        <v>0</v>
      </c>
      <c r="F274" s="244">
        <f t="shared" si="62"/>
        <v>1</v>
      </c>
      <c r="G274" s="174">
        <f t="shared" si="63"/>
        <v>0</v>
      </c>
      <c r="H274" s="244">
        <f t="shared" si="64"/>
        <v>0</v>
      </c>
      <c r="I274" s="174">
        <f t="shared" si="65"/>
        <v>0</v>
      </c>
      <c r="J274" s="244">
        <f t="shared" si="66"/>
        <v>0</v>
      </c>
      <c r="K274" s="174">
        <f t="shared" si="67"/>
        <v>0</v>
      </c>
      <c r="L274" s="244">
        <f t="shared" si="68"/>
        <v>0</v>
      </c>
      <c r="M274" s="174">
        <v>1</v>
      </c>
      <c r="N274" s="143">
        <f t="shared" si="70"/>
        <v>270</v>
      </c>
      <c r="O274" s="143">
        <f t="shared" si="69"/>
        <v>270</v>
      </c>
    </row>
    <row r="275" spans="1:15" ht="12.75" customHeight="1">
      <c r="A275" s="246">
        <f t="shared" si="57"/>
        <v>296</v>
      </c>
      <c r="B275" s="244">
        <f t="shared" si="58"/>
        <v>2</v>
      </c>
      <c r="C275" s="174">
        <f t="shared" si="59"/>
        <v>1</v>
      </c>
      <c r="D275" s="244">
        <f t="shared" si="60"/>
        <v>0</v>
      </c>
      <c r="E275" s="174">
        <f t="shared" si="61"/>
        <v>0</v>
      </c>
      <c r="F275" s="244">
        <f t="shared" si="62"/>
        <v>1</v>
      </c>
      <c r="G275" s="174">
        <f t="shared" si="63"/>
        <v>0</v>
      </c>
      <c r="H275" s="244">
        <f t="shared" si="64"/>
        <v>0</v>
      </c>
      <c r="I275" s="174">
        <f t="shared" si="65"/>
        <v>0</v>
      </c>
      <c r="J275" s="244">
        <f t="shared" si="66"/>
        <v>0</v>
      </c>
      <c r="K275" s="174">
        <f t="shared" si="67"/>
        <v>0</v>
      </c>
      <c r="L275" s="244">
        <f t="shared" si="68"/>
        <v>1</v>
      </c>
      <c r="M275" s="174">
        <v>1</v>
      </c>
      <c r="N275" s="143">
        <f t="shared" si="70"/>
        <v>271</v>
      </c>
      <c r="O275" s="143">
        <f t="shared" si="69"/>
        <v>271</v>
      </c>
    </row>
    <row r="276" spans="1:15" ht="12.75" customHeight="1">
      <c r="A276" s="246">
        <f t="shared" si="57"/>
        <v>297</v>
      </c>
      <c r="B276" s="244">
        <f t="shared" si="58"/>
        <v>2</v>
      </c>
      <c r="C276" s="174">
        <f t="shared" si="59"/>
        <v>1</v>
      </c>
      <c r="D276" s="244">
        <f t="shared" si="60"/>
        <v>0</v>
      </c>
      <c r="E276" s="174">
        <f t="shared" si="61"/>
        <v>0</v>
      </c>
      <c r="F276" s="244">
        <f t="shared" si="62"/>
        <v>1</v>
      </c>
      <c r="G276" s="174">
        <f t="shared" si="63"/>
        <v>0</v>
      </c>
      <c r="H276" s="244">
        <f t="shared" si="64"/>
        <v>0</v>
      </c>
      <c r="I276" s="174">
        <f t="shared" si="65"/>
        <v>0</v>
      </c>
      <c r="J276" s="244">
        <f t="shared" si="66"/>
        <v>0</v>
      </c>
      <c r="K276" s="174">
        <f t="shared" si="67"/>
        <v>1</v>
      </c>
      <c r="L276" s="244">
        <f t="shared" si="68"/>
        <v>0</v>
      </c>
      <c r="M276" s="174">
        <v>1</v>
      </c>
      <c r="N276" s="143">
        <f t="shared" si="70"/>
        <v>272</v>
      </c>
      <c r="O276" s="143">
        <f t="shared" si="69"/>
        <v>272</v>
      </c>
    </row>
    <row r="277" spans="1:15" ht="12.75" customHeight="1">
      <c r="A277" s="246">
        <f t="shared" si="57"/>
        <v>298</v>
      </c>
      <c r="B277" s="244">
        <f t="shared" si="58"/>
        <v>2</v>
      </c>
      <c r="C277" s="174">
        <f t="shared" si="59"/>
        <v>1</v>
      </c>
      <c r="D277" s="244">
        <f t="shared" si="60"/>
        <v>0</v>
      </c>
      <c r="E277" s="174">
        <f t="shared" si="61"/>
        <v>0</v>
      </c>
      <c r="F277" s="244">
        <f t="shared" si="62"/>
        <v>1</v>
      </c>
      <c r="G277" s="174">
        <f t="shared" si="63"/>
        <v>0</v>
      </c>
      <c r="H277" s="244">
        <f t="shared" si="64"/>
        <v>0</v>
      </c>
      <c r="I277" s="174">
        <f t="shared" si="65"/>
        <v>0</v>
      </c>
      <c r="J277" s="244">
        <f t="shared" si="66"/>
        <v>1</v>
      </c>
      <c r="K277" s="174">
        <f t="shared" si="67"/>
        <v>0</v>
      </c>
      <c r="L277" s="244">
        <f t="shared" si="68"/>
        <v>0</v>
      </c>
      <c r="M277" s="174">
        <v>1</v>
      </c>
      <c r="N277" s="143">
        <f t="shared" si="70"/>
        <v>273</v>
      </c>
      <c r="O277" s="143">
        <f t="shared" si="69"/>
        <v>273</v>
      </c>
    </row>
    <row r="278" spans="1:15" ht="12.75" customHeight="1">
      <c r="A278" s="246">
        <f t="shared" si="57"/>
        <v>299</v>
      </c>
      <c r="B278" s="244">
        <f t="shared" si="58"/>
        <v>2</v>
      </c>
      <c r="C278" s="174">
        <f t="shared" si="59"/>
        <v>1</v>
      </c>
      <c r="D278" s="244">
        <f t="shared" si="60"/>
        <v>0</v>
      </c>
      <c r="E278" s="174">
        <f t="shared" si="61"/>
        <v>0</v>
      </c>
      <c r="F278" s="244">
        <f t="shared" si="62"/>
        <v>1</v>
      </c>
      <c r="G278" s="174">
        <f t="shared" si="63"/>
        <v>0</v>
      </c>
      <c r="H278" s="244">
        <f t="shared" si="64"/>
        <v>0</v>
      </c>
      <c r="I278" s="174">
        <f t="shared" si="65"/>
        <v>1</v>
      </c>
      <c r="J278" s="244">
        <f t="shared" si="66"/>
        <v>0</v>
      </c>
      <c r="K278" s="174">
        <f t="shared" si="67"/>
        <v>0</v>
      </c>
      <c r="L278" s="244">
        <f t="shared" si="68"/>
        <v>0</v>
      </c>
      <c r="M278" s="174">
        <v>1</v>
      </c>
      <c r="N278" s="143">
        <f t="shared" si="70"/>
        <v>274</v>
      </c>
      <c r="O278" s="143">
        <f t="shared" si="69"/>
        <v>274</v>
      </c>
    </row>
    <row r="279" spans="1:15" ht="12.75" customHeight="1">
      <c r="A279" s="246">
        <f t="shared" si="57"/>
        <v>300</v>
      </c>
      <c r="B279" s="244">
        <f t="shared" si="58"/>
        <v>2</v>
      </c>
      <c r="C279" s="174">
        <f t="shared" si="59"/>
        <v>1</v>
      </c>
      <c r="D279" s="244">
        <f t="shared" si="60"/>
        <v>0</v>
      </c>
      <c r="E279" s="174">
        <f t="shared" si="61"/>
        <v>0</v>
      </c>
      <c r="F279" s="244">
        <f t="shared" si="62"/>
        <v>1</v>
      </c>
      <c r="G279" s="174">
        <f t="shared" si="63"/>
        <v>0</v>
      </c>
      <c r="H279" s="244">
        <f t="shared" si="64"/>
        <v>1</v>
      </c>
      <c r="I279" s="174">
        <f t="shared" si="65"/>
        <v>0</v>
      </c>
      <c r="J279" s="244">
        <f t="shared" si="66"/>
        <v>0</v>
      </c>
      <c r="K279" s="174">
        <f t="shared" si="67"/>
        <v>0</v>
      </c>
      <c r="L279" s="244">
        <f t="shared" si="68"/>
        <v>0</v>
      </c>
      <c r="M279" s="174">
        <v>1</v>
      </c>
      <c r="N279" s="143">
        <f t="shared" si="70"/>
        <v>275</v>
      </c>
      <c r="O279" s="143">
        <f t="shared" si="69"/>
        <v>275</v>
      </c>
    </row>
    <row r="280" spans="1:15" ht="12.75" customHeight="1">
      <c r="A280" s="246">
        <f t="shared" si="57"/>
        <v>301</v>
      </c>
      <c r="B280" s="244">
        <f t="shared" si="58"/>
        <v>2</v>
      </c>
      <c r="C280" s="174">
        <f t="shared" si="59"/>
        <v>1</v>
      </c>
      <c r="D280" s="244">
        <f t="shared" si="60"/>
        <v>0</v>
      </c>
      <c r="E280" s="174">
        <f t="shared" si="61"/>
        <v>0</v>
      </c>
      <c r="F280" s="244">
        <f t="shared" si="62"/>
        <v>1</v>
      </c>
      <c r="G280" s="174">
        <f t="shared" si="63"/>
        <v>0</v>
      </c>
      <c r="H280" s="244">
        <f t="shared" si="64"/>
        <v>1</v>
      </c>
      <c r="I280" s="174">
        <f t="shared" si="65"/>
        <v>0</v>
      </c>
      <c r="J280" s="244">
        <f t="shared" si="66"/>
        <v>0</v>
      </c>
      <c r="K280" s="174">
        <f t="shared" si="67"/>
        <v>0</v>
      </c>
      <c r="L280" s="244">
        <f t="shared" si="68"/>
        <v>1</v>
      </c>
      <c r="M280" s="174">
        <v>1</v>
      </c>
      <c r="N280" s="143">
        <f t="shared" si="70"/>
        <v>276</v>
      </c>
      <c r="O280" s="143">
        <f t="shared" si="69"/>
        <v>276</v>
      </c>
    </row>
    <row r="281" spans="1:15" ht="12.75" customHeight="1">
      <c r="A281" s="246">
        <f t="shared" si="57"/>
        <v>302</v>
      </c>
      <c r="B281" s="244">
        <f t="shared" si="58"/>
        <v>2</v>
      </c>
      <c r="C281" s="174">
        <f t="shared" si="59"/>
        <v>1</v>
      </c>
      <c r="D281" s="244">
        <f t="shared" si="60"/>
        <v>0</v>
      </c>
      <c r="E281" s="174">
        <f t="shared" si="61"/>
        <v>0</v>
      </c>
      <c r="F281" s="244">
        <f t="shared" si="62"/>
        <v>1</v>
      </c>
      <c r="G281" s="174">
        <f t="shared" si="63"/>
        <v>0</v>
      </c>
      <c r="H281" s="244">
        <f t="shared" si="64"/>
        <v>1</v>
      </c>
      <c r="I281" s="174">
        <f t="shared" si="65"/>
        <v>0</v>
      </c>
      <c r="J281" s="244">
        <f t="shared" si="66"/>
        <v>0</v>
      </c>
      <c r="K281" s="174">
        <f t="shared" si="67"/>
        <v>1</v>
      </c>
      <c r="L281" s="244">
        <f t="shared" si="68"/>
        <v>0</v>
      </c>
      <c r="M281" s="174">
        <v>1</v>
      </c>
      <c r="N281" s="143">
        <f t="shared" si="70"/>
        <v>277</v>
      </c>
      <c r="O281" s="143">
        <f t="shared" si="69"/>
        <v>277</v>
      </c>
    </row>
    <row r="282" spans="1:15" ht="12.75" customHeight="1">
      <c r="A282" s="246">
        <f t="shared" si="57"/>
        <v>303</v>
      </c>
      <c r="B282" s="244">
        <f t="shared" si="58"/>
        <v>2</v>
      </c>
      <c r="C282" s="174">
        <f t="shared" si="59"/>
        <v>1</v>
      </c>
      <c r="D282" s="244">
        <f t="shared" si="60"/>
        <v>0</v>
      </c>
      <c r="E282" s="174">
        <f t="shared" si="61"/>
        <v>0</v>
      </c>
      <c r="F282" s="244">
        <f t="shared" si="62"/>
        <v>1</v>
      </c>
      <c r="G282" s="174">
        <f t="shared" si="63"/>
        <v>0</v>
      </c>
      <c r="H282" s="244">
        <f t="shared" si="64"/>
        <v>1</v>
      </c>
      <c r="I282" s="174">
        <f t="shared" si="65"/>
        <v>0</v>
      </c>
      <c r="J282" s="244">
        <f t="shared" si="66"/>
        <v>1</v>
      </c>
      <c r="K282" s="174">
        <f t="shared" si="67"/>
        <v>0</v>
      </c>
      <c r="L282" s="244">
        <f t="shared" si="68"/>
        <v>0</v>
      </c>
      <c r="M282" s="174">
        <v>1</v>
      </c>
      <c r="N282" s="143">
        <f t="shared" si="70"/>
        <v>278</v>
      </c>
      <c r="O282" s="143">
        <f t="shared" si="69"/>
        <v>278</v>
      </c>
    </row>
    <row r="283" spans="1:15" ht="12.75" customHeight="1">
      <c r="A283" s="246">
        <f t="shared" si="57"/>
        <v>304</v>
      </c>
      <c r="B283" s="244">
        <f t="shared" si="58"/>
        <v>2</v>
      </c>
      <c r="C283" s="174">
        <f t="shared" si="59"/>
        <v>1</v>
      </c>
      <c r="D283" s="244">
        <f t="shared" si="60"/>
        <v>0</v>
      </c>
      <c r="E283" s="174">
        <f t="shared" si="61"/>
        <v>0</v>
      </c>
      <c r="F283" s="244">
        <f t="shared" si="62"/>
        <v>1</v>
      </c>
      <c r="G283" s="174">
        <f t="shared" si="63"/>
        <v>0</v>
      </c>
      <c r="H283" s="244">
        <f t="shared" si="64"/>
        <v>1</v>
      </c>
      <c r="I283" s="174">
        <f t="shared" si="65"/>
        <v>1</v>
      </c>
      <c r="J283" s="244">
        <f t="shared" si="66"/>
        <v>0</v>
      </c>
      <c r="K283" s="174">
        <f t="shared" si="67"/>
        <v>0</v>
      </c>
      <c r="L283" s="244">
        <f t="shared" si="68"/>
        <v>0</v>
      </c>
      <c r="M283" s="174">
        <v>1</v>
      </c>
      <c r="N283" s="143">
        <f t="shared" si="70"/>
        <v>279</v>
      </c>
      <c r="O283" s="143">
        <f t="shared" si="69"/>
        <v>279</v>
      </c>
    </row>
    <row r="284" spans="1:15" ht="12.75" customHeight="1">
      <c r="A284" s="246">
        <f t="shared" si="57"/>
        <v>305</v>
      </c>
      <c r="B284" s="244">
        <f t="shared" si="58"/>
        <v>2</v>
      </c>
      <c r="C284" s="174">
        <f t="shared" si="59"/>
        <v>1</v>
      </c>
      <c r="D284" s="244">
        <f t="shared" si="60"/>
        <v>0</v>
      </c>
      <c r="E284" s="174">
        <f t="shared" si="61"/>
        <v>1</v>
      </c>
      <c r="F284" s="244">
        <f t="shared" si="62"/>
        <v>0</v>
      </c>
      <c r="G284" s="174">
        <f t="shared" si="63"/>
        <v>0</v>
      </c>
      <c r="H284" s="244">
        <f t="shared" si="64"/>
        <v>0</v>
      </c>
      <c r="I284" s="174">
        <f t="shared" si="65"/>
        <v>0</v>
      </c>
      <c r="J284" s="244">
        <f t="shared" si="66"/>
        <v>0</v>
      </c>
      <c r="K284" s="174">
        <f t="shared" si="67"/>
        <v>0</v>
      </c>
      <c r="L284" s="244">
        <f t="shared" si="68"/>
        <v>0</v>
      </c>
      <c r="M284" s="174">
        <v>1</v>
      </c>
      <c r="N284" s="143">
        <f t="shared" si="70"/>
        <v>280</v>
      </c>
      <c r="O284" s="143">
        <f t="shared" si="69"/>
        <v>280</v>
      </c>
    </row>
    <row r="285" spans="1:15" ht="12.75" customHeight="1">
      <c r="A285" s="246">
        <f t="shared" si="57"/>
        <v>306</v>
      </c>
      <c r="B285" s="244">
        <f t="shared" si="58"/>
        <v>2</v>
      </c>
      <c r="C285" s="174">
        <f t="shared" si="59"/>
        <v>1</v>
      </c>
      <c r="D285" s="244">
        <f t="shared" si="60"/>
        <v>0</v>
      </c>
      <c r="E285" s="174">
        <f t="shared" si="61"/>
        <v>1</v>
      </c>
      <c r="F285" s="244">
        <f t="shared" si="62"/>
        <v>0</v>
      </c>
      <c r="G285" s="174">
        <f t="shared" si="63"/>
        <v>0</v>
      </c>
      <c r="H285" s="244">
        <f t="shared" si="64"/>
        <v>0</v>
      </c>
      <c r="I285" s="174">
        <f t="shared" si="65"/>
        <v>0</v>
      </c>
      <c r="J285" s="244">
        <f t="shared" si="66"/>
        <v>0</v>
      </c>
      <c r="K285" s="174">
        <f t="shared" si="67"/>
        <v>0</v>
      </c>
      <c r="L285" s="244">
        <f t="shared" si="68"/>
        <v>1</v>
      </c>
      <c r="M285" s="174">
        <v>1</v>
      </c>
      <c r="N285" s="143">
        <f t="shared" si="70"/>
        <v>281</v>
      </c>
      <c r="O285" s="143">
        <f t="shared" si="69"/>
        <v>281</v>
      </c>
    </row>
    <row r="286" spans="1:15" ht="12.75" customHeight="1">
      <c r="A286" s="246">
        <f t="shared" si="57"/>
        <v>307</v>
      </c>
      <c r="B286" s="244">
        <f t="shared" si="58"/>
        <v>2</v>
      </c>
      <c r="C286" s="174">
        <f t="shared" si="59"/>
        <v>1</v>
      </c>
      <c r="D286" s="244">
        <f t="shared" si="60"/>
        <v>0</v>
      </c>
      <c r="E286" s="174">
        <f t="shared" si="61"/>
        <v>1</v>
      </c>
      <c r="F286" s="244">
        <f t="shared" si="62"/>
        <v>0</v>
      </c>
      <c r="G286" s="174">
        <f t="shared" si="63"/>
        <v>0</v>
      </c>
      <c r="H286" s="244">
        <f t="shared" si="64"/>
        <v>0</v>
      </c>
      <c r="I286" s="174">
        <f t="shared" si="65"/>
        <v>0</v>
      </c>
      <c r="J286" s="244">
        <f t="shared" si="66"/>
        <v>0</v>
      </c>
      <c r="K286" s="174">
        <f t="shared" si="67"/>
        <v>1</v>
      </c>
      <c r="L286" s="244">
        <f t="shared" si="68"/>
        <v>0</v>
      </c>
      <c r="M286" s="174">
        <v>1</v>
      </c>
      <c r="N286" s="143">
        <f t="shared" si="70"/>
        <v>282</v>
      </c>
      <c r="O286" s="143">
        <f t="shared" si="69"/>
        <v>282</v>
      </c>
    </row>
    <row r="287" spans="1:15" ht="12.75" customHeight="1">
      <c r="A287" s="246">
        <f t="shared" si="57"/>
        <v>308</v>
      </c>
      <c r="B287" s="244">
        <f t="shared" si="58"/>
        <v>2</v>
      </c>
      <c r="C287" s="174">
        <f t="shared" si="59"/>
        <v>1</v>
      </c>
      <c r="D287" s="244">
        <f t="shared" si="60"/>
        <v>0</v>
      </c>
      <c r="E287" s="174">
        <f t="shared" si="61"/>
        <v>1</v>
      </c>
      <c r="F287" s="244">
        <f t="shared" si="62"/>
        <v>0</v>
      </c>
      <c r="G287" s="174">
        <f t="shared" si="63"/>
        <v>0</v>
      </c>
      <c r="H287" s="244">
        <f t="shared" si="64"/>
        <v>0</v>
      </c>
      <c r="I287" s="174">
        <f t="shared" si="65"/>
        <v>0</v>
      </c>
      <c r="J287" s="244">
        <f t="shared" si="66"/>
        <v>1</v>
      </c>
      <c r="K287" s="174">
        <f t="shared" si="67"/>
        <v>0</v>
      </c>
      <c r="L287" s="244">
        <f t="shared" si="68"/>
        <v>0</v>
      </c>
      <c r="M287" s="174">
        <v>1</v>
      </c>
      <c r="N287" s="143">
        <f t="shared" si="70"/>
        <v>283</v>
      </c>
      <c r="O287" s="143">
        <f t="shared" si="69"/>
        <v>283</v>
      </c>
    </row>
    <row r="288" spans="1:15" ht="12.75" customHeight="1">
      <c r="A288" s="246">
        <f t="shared" si="57"/>
        <v>309</v>
      </c>
      <c r="B288" s="244">
        <f t="shared" si="58"/>
        <v>2</v>
      </c>
      <c r="C288" s="174">
        <f t="shared" si="59"/>
        <v>1</v>
      </c>
      <c r="D288" s="244">
        <f t="shared" si="60"/>
        <v>0</v>
      </c>
      <c r="E288" s="174">
        <f t="shared" si="61"/>
        <v>1</v>
      </c>
      <c r="F288" s="244">
        <f t="shared" si="62"/>
        <v>0</v>
      </c>
      <c r="G288" s="174">
        <f t="shared" si="63"/>
        <v>0</v>
      </c>
      <c r="H288" s="244">
        <f t="shared" si="64"/>
        <v>0</v>
      </c>
      <c r="I288" s="174">
        <f t="shared" si="65"/>
        <v>1</v>
      </c>
      <c r="J288" s="244">
        <f t="shared" si="66"/>
        <v>0</v>
      </c>
      <c r="K288" s="174">
        <f t="shared" si="67"/>
        <v>0</v>
      </c>
      <c r="L288" s="244">
        <f t="shared" si="68"/>
        <v>0</v>
      </c>
      <c r="M288" s="174">
        <v>1</v>
      </c>
      <c r="N288" s="143">
        <f t="shared" si="70"/>
        <v>284</v>
      </c>
      <c r="O288" s="143">
        <f t="shared" si="69"/>
        <v>284</v>
      </c>
    </row>
    <row r="289" spans="1:15" ht="12.75" customHeight="1">
      <c r="A289" s="246">
        <f t="shared" si="57"/>
        <v>310</v>
      </c>
      <c r="B289" s="244">
        <f t="shared" si="58"/>
        <v>2</v>
      </c>
      <c r="C289" s="174">
        <f t="shared" si="59"/>
        <v>1</v>
      </c>
      <c r="D289" s="244">
        <f t="shared" si="60"/>
        <v>0</v>
      </c>
      <c r="E289" s="174">
        <f t="shared" si="61"/>
        <v>1</v>
      </c>
      <c r="F289" s="244">
        <f t="shared" si="62"/>
        <v>0</v>
      </c>
      <c r="G289" s="174">
        <f t="shared" si="63"/>
        <v>0</v>
      </c>
      <c r="H289" s="244">
        <f t="shared" si="64"/>
        <v>1</v>
      </c>
      <c r="I289" s="174">
        <f t="shared" si="65"/>
        <v>0</v>
      </c>
      <c r="J289" s="244">
        <f t="shared" si="66"/>
        <v>0</v>
      </c>
      <c r="K289" s="174">
        <f t="shared" si="67"/>
        <v>0</v>
      </c>
      <c r="L289" s="244">
        <f t="shared" si="68"/>
        <v>0</v>
      </c>
      <c r="M289" s="174">
        <v>1</v>
      </c>
      <c r="N289" s="143">
        <f t="shared" si="70"/>
        <v>285</v>
      </c>
      <c r="O289" s="143">
        <f t="shared" si="69"/>
        <v>285</v>
      </c>
    </row>
    <row r="290" spans="1:15" ht="12.75" customHeight="1">
      <c r="A290" s="246">
        <f t="shared" si="57"/>
        <v>311</v>
      </c>
      <c r="B290" s="244">
        <f t="shared" si="58"/>
        <v>2</v>
      </c>
      <c r="C290" s="174">
        <f t="shared" si="59"/>
        <v>1</v>
      </c>
      <c r="D290" s="244">
        <f t="shared" si="60"/>
        <v>0</v>
      </c>
      <c r="E290" s="174">
        <f t="shared" si="61"/>
        <v>1</v>
      </c>
      <c r="F290" s="244">
        <f t="shared" si="62"/>
        <v>0</v>
      </c>
      <c r="G290" s="174">
        <f t="shared" si="63"/>
        <v>0</v>
      </c>
      <c r="H290" s="244">
        <f t="shared" si="64"/>
        <v>1</v>
      </c>
      <c r="I290" s="174">
        <f t="shared" si="65"/>
        <v>0</v>
      </c>
      <c r="J290" s="244">
        <f t="shared" si="66"/>
        <v>0</v>
      </c>
      <c r="K290" s="174">
        <f t="shared" si="67"/>
        <v>0</v>
      </c>
      <c r="L290" s="244">
        <f t="shared" si="68"/>
        <v>1</v>
      </c>
      <c r="M290" s="174">
        <v>1</v>
      </c>
      <c r="N290" s="143">
        <f t="shared" si="70"/>
        <v>286</v>
      </c>
      <c r="O290" s="143">
        <f t="shared" si="69"/>
        <v>286</v>
      </c>
    </row>
    <row r="291" spans="1:15" ht="12.75" customHeight="1">
      <c r="A291" s="246">
        <f t="shared" si="57"/>
        <v>312</v>
      </c>
      <c r="B291" s="244">
        <f t="shared" si="58"/>
        <v>2</v>
      </c>
      <c r="C291" s="174">
        <f t="shared" si="59"/>
        <v>1</v>
      </c>
      <c r="D291" s="244">
        <f t="shared" si="60"/>
        <v>0</v>
      </c>
      <c r="E291" s="174">
        <f t="shared" si="61"/>
        <v>1</v>
      </c>
      <c r="F291" s="244">
        <f t="shared" si="62"/>
        <v>0</v>
      </c>
      <c r="G291" s="174">
        <f t="shared" si="63"/>
        <v>0</v>
      </c>
      <c r="H291" s="244">
        <f t="shared" si="64"/>
        <v>1</v>
      </c>
      <c r="I291" s="174">
        <f t="shared" si="65"/>
        <v>0</v>
      </c>
      <c r="J291" s="244">
        <f t="shared" si="66"/>
        <v>0</v>
      </c>
      <c r="K291" s="174">
        <f t="shared" si="67"/>
        <v>1</v>
      </c>
      <c r="L291" s="244">
        <f t="shared" si="68"/>
        <v>0</v>
      </c>
      <c r="M291" s="174">
        <v>1</v>
      </c>
      <c r="N291" s="143">
        <f t="shared" si="70"/>
        <v>287</v>
      </c>
      <c r="O291" s="143">
        <f t="shared" si="69"/>
        <v>287</v>
      </c>
    </row>
    <row r="292" spans="1:15" ht="12.75" customHeight="1">
      <c r="A292" s="246">
        <f t="shared" si="57"/>
        <v>313</v>
      </c>
      <c r="B292" s="244">
        <f t="shared" si="58"/>
        <v>2</v>
      </c>
      <c r="C292" s="174">
        <f t="shared" si="59"/>
        <v>1</v>
      </c>
      <c r="D292" s="244">
        <f t="shared" si="60"/>
        <v>0</v>
      </c>
      <c r="E292" s="174">
        <f t="shared" si="61"/>
        <v>1</v>
      </c>
      <c r="F292" s="244">
        <f t="shared" si="62"/>
        <v>0</v>
      </c>
      <c r="G292" s="174">
        <f t="shared" si="63"/>
        <v>0</v>
      </c>
      <c r="H292" s="244">
        <f t="shared" si="64"/>
        <v>1</v>
      </c>
      <c r="I292" s="174">
        <f t="shared" si="65"/>
        <v>0</v>
      </c>
      <c r="J292" s="244">
        <f t="shared" si="66"/>
        <v>1</v>
      </c>
      <c r="K292" s="174">
        <f t="shared" si="67"/>
        <v>0</v>
      </c>
      <c r="L292" s="244">
        <f t="shared" si="68"/>
        <v>0</v>
      </c>
      <c r="M292" s="174">
        <v>1</v>
      </c>
      <c r="N292" s="143">
        <f t="shared" si="70"/>
        <v>288</v>
      </c>
      <c r="O292" s="143">
        <f t="shared" si="69"/>
        <v>288</v>
      </c>
    </row>
    <row r="293" spans="1:15" ht="12.75" customHeight="1">
      <c r="A293" s="246">
        <f t="shared" si="57"/>
        <v>314</v>
      </c>
      <c r="B293" s="244">
        <f t="shared" si="58"/>
        <v>2</v>
      </c>
      <c r="C293" s="174">
        <f t="shared" si="59"/>
        <v>1</v>
      </c>
      <c r="D293" s="244">
        <f t="shared" si="60"/>
        <v>0</v>
      </c>
      <c r="E293" s="174">
        <f t="shared" si="61"/>
        <v>1</v>
      </c>
      <c r="F293" s="244">
        <f t="shared" si="62"/>
        <v>0</v>
      </c>
      <c r="G293" s="174">
        <f t="shared" si="63"/>
        <v>0</v>
      </c>
      <c r="H293" s="244">
        <f t="shared" si="64"/>
        <v>1</v>
      </c>
      <c r="I293" s="174">
        <f t="shared" si="65"/>
        <v>1</v>
      </c>
      <c r="J293" s="244">
        <f t="shared" si="66"/>
        <v>0</v>
      </c>
      <c r="K293" s="174">
        <f t="shared" si="67"/>
        <v>0</v>
      </c>
      <c r="L293" s="244">
        <f t="shared" si="68"/>
        <v>0</v>
      </c>
      <c r="M293" s="174">
        <v>1</v>
      </c>
      <c r="N293" s="143">
        <f t="shared" si="70"/>
        <v>289</v>
      </c>
      <c r="O293" s="143">
        <f t="shared" si="69"/>
        <v>289</v>
      </c>
    </row>
    <row r="294" spans="1:15" ht="12.75" customHeight="1">
      <c r="A294" s="246">
        <f t="shared" si="57"/>
        <v>315</v>
      </c>
      <c r="B294" s="244">
        <f t="shared" si="58"/>
        <v>2</v>
      </c>
      <c r="C294" s="174">
        <f t="shared" si="59"/>
        <v>1</v>
      </c>
      <c r="D294" s="244">
        <f t="shared" si="60"/>
        <v>0</v>
      </c>
      <c r="E294" s="174">
        <f t="shared" si="61"/>
        <v>1</v>
      </c>
      <c r="F294" s="244">
        <f t="shared" si="62"/>
        <v>0</v>
      </c>
      <c r="G294" s="174">
        <f t="shared" si="63"/>
        <v>1</v>
      </c>
      <c r="H294" s="244">
        <f t="shared" si="64"/>
        <v>0</v>
      </c>
      <c r="I294" s="174">
        <f t="shared" si="65"/>
        <v>0</v>
      </c>
      <c r="J294" s="244">
        <f t="shared" si="66"/>
        <v>0</v>
      </c>
      <c r="K294" s="174">
        <f t="shared" si="67"/>
        <v>0</v>
      </c>
      <c r="L294" s="244">
        <f t="shared" si="68"/>
        <v>0</v>
      </c>
      <c r="M294" s="174">
        <v>1</v>
      </c>
      <c r="N294" s="143">
        <f t="shared" si="70"/>
        <v>290</v>
      </c>
      <c r="O294" s="143">
        <f t="shared" si="69"/>
        <v>290</v>
      </c>
    </row>
    <row r="295" spans="1:15" ht="12.75" customHeight="1">
      <c r="A295" s="246">
        <f t="shared" si="57"/>
        <v>316</v>
      </c>
      <c r="B295" s="244">
        <f t="shared" si="58"/>
        <v>2</v>
      </c>
      <c r="C295" s="174">
        <f t="shared" si="59"/>
        <v>1</v>
      </c>
      <c r="D295" s="244">
        <f t="shared" si="60"/>
        <v>0</v>
      </c>
      <c r="E295" s="174">
        <f t="shared" si="61"/>
        <v>1</v>
      </c>
      <c r="F295" s="244">
        <f t="shared" si="62"/>
        <v>0</v>
      </c>
      <c r="G295" s="174">
        <f t="shared" si="63"/>
        <v>1</v>
      </c>
      <c r="H295" s="244">
        <f t="shared" si="64"/>
        <v>0</v>
      </c>
      <c r="I295" s="174">
        <f t="shared" si="65"/>
        <v>0</v>
      </c>
      <c r="J295" s="244">
        <f t="shared" si="66"/>
        <v>0</v>
      </c>
      <c r="K295" s="174">
        <f t="shared" si="67"/>
        <v>0</v>
      </c>
      <c r="L295" s="244">
        <f t="shared" si="68"/>
        <v>1</v>
      </c>
      <c r="M295" s="174">
        <v>1</v>
      </c>
      <c r="N295" s="143">
        <f t="shared" si="70"/>
        <v>291</v>
      </c>
      <c r="O295" s="143">
        <f t="shared" si="69"/>
        <v>291</v>
      </c>
    </row>
    <row r="296" spans="1:15" ht="12.75" customHeight="1">
      <c r="A296" s="246">
        <f t="shared" si="57"/>
        <v>317</v>
      </c>
      <c r="B296" s="244">
        <f t="shared" si="58"/>
        <v>2</v>
      </c>
      <c r="C296" s="174">
        <f t="shared" si="59"/>
        <v>1</v>
      </c>
      <c r="D296" s="244">
        <f t="shared" si="60"/>
        <v>0</v>
      </c>
      <c r="E296" s="174">
        <f t="shared" si="61"/>
        <v>1</v>
      </c>
      <c r="F296" s="244">
        <f t="shared" si="62"/>
        <v>0</v>
      </c>
      <c r="G296" s="174">
        <f t="shared" si="63"/>
        <v>1</v>
      </c>
      <c r="H296" s="244">
        <f t="shared" si="64"/>
        <v>0</v>
      </c>
      <c r="I296" s="174">
        <f t="shared" si="65"/>
        <v>0</v>
      </c>
      <c r="J296" s="244">
        <f t="shared" si="66"/>
        <v>0</v>
      </c>
      <c r="K296" s="174">
        <f t="shared" si="67"/>
        <v>1</v>
      </c>
      <c r="L296" s="244">
        <f t="shared" si="68"/>
        <v>0</v>
      </c>
      <c r="M296" s="174">
        <v>1</v>
      </c>
      <c r="N296" s="143">
        <f t="shared" si="70"/>
        <v>292</v>
      </c>
      <c r="O296" s="143">
        <f t="shared" si="69"/>
        <v>292</v>
      </c>
    </row>
    <row r="297" spans="1:15" ht="12.75" customHeight="1">
      <c r="A297" s="246">
        <f t="shared" si="57"/>
        <v>318</v>
      </c>
      <c r="B297" s="244">
        <f t="shared" si="58"/>
        <v>2</v>
      </c>
      <c r="C297" s="174">
        <f t="shared" si="59"/>
        <v>1</v>
      </c>
      <c r="D297" s="244">
        <f t="shared" si="60"/>
        <v>0</v>
      </c>
      <c r="E297" s="174">
        <f t="shared" si="61"/>
        <v>1</v>
      </c>
      <c r="F297" s="244">
        <f t="shared" si="62"/>
        <v>0</v>
      </c>
      <c r="G297" s="174">
        <f t="shared" si="63"/>
        <v>1</v>
      </c>
      <c r="H297" s="244">
        <f t="shared" si="64"/>
        <v>0</v>
      </c>
      <c r="I297" s="174">
        <f t="shared" si="65"/>
        <v>0</v>
      </c>
      <c r="J297" s="244">
        <f t="shared" si="66"/>
        <v>1</v>
      </c>
      <c r="K297" s="174">
        <f t="shared" si="67"/>
        <v>0</v>
      </c>
      <c r="L297" s="244">
        <f t="shared" si="68"/>
        <v>0</v>
      </c>
      <c r="M297" s="174">
        <v>1</v>
      </c>
      <c r="N297" s="143">
        <f t="shared" si="70"/>
        <v>293</v>
      </c>
      <c r="O297" s="143">
        <f t="shared" si="69"/>
        <v>293</v>
      </c>
    </row>
    <row r="298" spans="1:15" ht="12.75" customHeight="1">
      <c r="A298" s="246">
        <f t="shared" si="57"/>
        <v>319</v>
      </c>
      <c r="B298" s="244">
        <f t="shared" si="58"/>
        <v>2</v>
      </c>
      <c r="C298" s="174">
        <f t="shared" si="59"/>
        <v>1</v>
      </c>
      <c r="D298" s="244">
        <f t="shared" si="60"/>
        <v>0</v>
      </c>
      <c r="E298" s="174">
        <f t="shared" si="61"/>
        <v>1</v>
      </c>
      <c r="F298" s="244">
        <f t="shared" si="62"/>
        <v>0</v>
      </c>
      <c r="G298" s="174">
        <f t="shared" si="63"/>
        <v>1</v>
      </c>
      <c r="H298" s="244">
        <f t="shared" si="64"/>
        <v>0</v>
      </c>
      <c r="I298" s="174">
        <f t="shared" si="65"/>
        <v>1</v>
      </c>
      <c r="J298" s="244">
        <f t="shared" si="66"/>
        <v>0</v>
      </c>
      <c r="K298" s="174">
        <f t="shared" si="67"/>
        <v>0</v>
      </c>
      <c r="L298" s="244">
        <f t="shared" si="68"/>
        <v>0</v>
      </c>
      <c r="M298" s="174">
        <v>1</v>
      </c>
      <c r="N298" s="143">
        <f t="shared" si="70"/>
        <v>294</v>
      </c>
      <c r="O298" s="143">
        <f t="shared" si="69"/>
        <v>294</v>
      </c>
    </row>
    <row r="299" spans="1:15" ht="12.75" customHeight="1">
      <c r="A299" s="246">
        <f t="shared" si="57"/>
        <v>320</v>
      </c>
      <c r="B299" s="244">
        <f t="shared" si="58"/>
        <v>2</v>
      </c>
      <c r="C299" s="174">
        <f t="shared" si="59"/>
        <v>1</v>
      </c>
      <c r="D299" s="244">
        <f t="shared" si="60"/>
        <v>0</v>
      </c>
      <c r="E299" s="174">
        <f t="shared" si="61"/>
        <v>1</v>
      </c>
      <c r="F299" s="244">
        <f t="shared" si="62"/>
        <v>0</v>
      </c>
      <c r="G299" s="174">
        <f t="shared" si="63"/>
        <v>1</v>
      </c>
      <c r="H299" s="244">
        <f t="shared" si="64"/>
        <v>1</v>
      </c>
      <c r="I299" s="174">
        <f t="shared" si="65"/>
        <v>0</v>
      </c>
      <c r="J299" s="244">
        <f t="shared" si="66"/>
        <v>0</v>
      </c>
      <c r="K299" s="174">
        <f t="shared" si="67"/>
        <v>0</v>
      </c>
      <c r="L299" s="244">
        <f t="shared" si="68"/>
        <v>0</v>
      </c>
      <c r="M299" s="174">
        <v>1</v>
      </c>
      <c r="N299" s="143">
        <f t="shared" si="70"/>
        <v>295</v>
      </c>
      <c r="O299" s="143">
        <f t="shared" si="69"/>
        <v>295</v>
      </c>
    </row>
    <row r="300" spans="1:15" ht="12.75" customHeight="1">
      <c r="A300" s="246">
        <f t="shared" si="57"/>
        <v>321</v>
      </c>
      <c r="B300" s="244">
        <f t="shared" si="58"/>
        <v>2</v>
      </c>
      <c r="C300" s="174">
        <f t="shared" si="59"/>
        <v>1</v>
      </c>
      <c r="D300" s="244">
        <f t="shared" si="60"/>
        <v>0</v>
      </c>
      <c r="E300" s="174">
        <f t="shared" si="61"/>
        <v>1</v>
      </c>
      <c r="F300" s="244">
        <f t="shared" si="62"/>
        <v>0</v>
      </c>
      <c r="G300" s="174">
        <f t="shared" si="63"/>
        <v>1</v>
      </c>
      <c r="H300" s="244">
        <f t="shared" si="64"/>
        <v>1</v>
      </c>
      <c r="I300" s="174">
        <f t="shared" si="65"/>
        <v>0</v>
      </c>
      <c r="J300" s="244">
        <f t="shared" si="66"/>
        <v>0</v>
      </c>
      <c r="K300" s="174">
        <f t="shared" si="67"/>
        <v>0</v>
      </c>
      <c r="L300" s="244">
        <f t="shared" si="68"/>
        <v>1</v>
      </c>
      <c r="M300" s="174">
        <v>1</v>
      </c>
      <c r="N300" s="143">
        <f t="shared" si="70"/>
        <v>296</v>
      </c>
      <c r="O300" s="143">
        <f t="shared" si="69"/>
        <v>296</v>
      </c>
    </row>
    <row r="301" spans="1:15" ht="12.75" customHeight="1">
      <c r="A301" s="246">
        <f t="shared" si="57"/>
        <v>322</v>
      </c>
      <c r="B301" s="244">
        <f t="shared" si="58"/>
        <v>2</v>
      </c>
      <c r="C301" s="174">
        <f t="shared" si="59"/>
        <v>1</v>
      </c>
      <c r="D301" s="244">
        <f t="shared" si="60"/>
        <v>0</v>
      </c>
      <c r="E301" s="174">
        <f t="shared" si="61"/>
        <v>1</v>
      </c>
      <c r="F301" s="244">
        <f t="shared" si="62"/>
        <v>0</v>
      </c>
      <c r="G301" s="174">
        <f t="shared" si="63"/>
        <v>1</v>
      </c>
      <c r="H301" s="244">
        <f t="shared" si="64"/>
        <v>1</v>
      </c>
      <c r="I301" s="174">
        <f t="shared" si="65"/>
        <v>0</v>
      </c>
      <c r="J301" s="244">
        <f t="shared" si="66"/>
        <v>0</v>
      </c>
      <c r="K301" s="174">
        <f t="shared" si="67"/>
        <v>1</v>
      </c>
      <c r="L301" s="244">
        <f t="shared" si="68"/>
        <v>0</v>
      </c>
      <c r="M301" s="174">
        <v>1</v>
      </c>
      <c r="N301" s="143">
        <f t="shared" si="70"/>
        <v>297</v>
      </c>
      <c r="O301" s="143">
        <f t="shared" si="69"/>
        <v>297</v>
      </c>
    </row>
    <row r="302" spans="1:15" ht="12.75" customHeight="1">
      <c r="A302" s="246">
        <f t="shared" si="57"/>
        <v>323</v>
      </c>
      <c r="B302" s="244">
        <f t="shared" si="58"/>
        <v>2</v>
      </c>
      <c r="C302" s="174">
        <f t="shared" si="59"/>
        <v>1</v>
      </c>
      <c r="D302" s="244">
        <f t="shared" si="60"/>
        <v>0</v>
      </c>
      <c r="E302" s="174">
        <f t="shared" si="61"/>
        <v>1</v>
      </c>
      <c r="F302" s="244">
        <f t="shared" si="62"/>
        <v>0</v>
      </c>
      <c r="G302" s="174">
        <f t="shared" si="63"/>
        <v>1</v>
      </c>
      <c r="H302" s="244">
        <f t="shared" si="64"/>
        <v>1</v>
      </c>
      <c r="I302" s="174">
        <f t="shared" si="65"/>
        <v>0</v>
      </c>
      <c r="J302" s="244">
        <f t="shared" si="66"/>
        <v>1</v>
      </c>
      <c r="K302" s="174">
        <f t="shared" si="67"/>
        <v>0</v>
      </c>
      <c r="L302" s="244">
        <f t="shared" si="68"/>
        <v>0</v>
      </c>
      <c r="M302" s="174">
        <v>1</v>
      </c>
      <c r="N302" s="143">
        <f t="shared" si="70"/>
        <v>298</v>
      </c>
      <c r="O302" s="143">
        <f t="shared" si="69"/>
        <v>298</v>
      </c>
    </row>
    <row r="303" spans="1:15" ht="12.75" customHeight="1">
      <c r="A303" s="246">
        <f t="shared" si="57"/>
        <v>324</v>
      </c>
      <c r="B303" s="244">
        <f t="shared" si="58"/>
        <v>2</v>
      </c>
      <c r="C303" s="174">
        <f t="shared" si="59"/>
        <v>1</v>
      </c>
      <c r="D303" s="244">
        <f t="shared" si="60"/>
        <v>0</v>
      </c>
      <c r="E303" s="174">
        <f t="shared" si="61"/>
        <v>1</v>
      </c>
      <c r="F303" s="244">
        <f t="shared" si="62"/>
        <v>0</v>
      </c>
      <c r="G303" s="174">
        <f t="shared" si="63"/>
        <v>1</v>
      </c>
      <c r="H303" s="244">
        <f t="shared" si="64"/>
        <v>1</v>
      </c>
      <c r="I303" s="174">
        <f t="shared" si="65"/>
        <v>1</v>
      </c>
      <c r="J303" s="244">
        <f t="shared" si="66"/>
        <v>0</v>
      </c>
      <c r="K303" s="174">
        <f t="shared" si="67"/>
        <v>0</v>
      </c>
      <c r="L303" s="244">
        <f t="shared" si="68"/>
        <v>0</v>
      </c>
      <c r="M303" s="174">
        <v>1</v>
      </c>
      <c r="N303" s="143">
        <f t="shared" si="70"/>
        <v>299</v>
      </c>
      <c r="O303" s="143">
        <f t="shared" si="69"/>
        <v>299</v>
      </c>
    </row>
    <row r="304" spans="1:15" ht="12.75" customHeight="1">
      <c r="A304" s="246">
        <f t="shared" si="57"/>
        <v>325</v>
      </c>
      <c r="B304" s="244">
        <f t="shared" si="58"/>
        <v>2</v>
      </c>
      <c r="C304" s="174">
        <f t="shared" si="59"/>
        <v>2</v>
      </c>
      <c r="D304" s="244">
        <f t="shared" si="60"/>
        <v>0</v>
      </c>
      <c r="E304" s="174">
        <f t="shared" si="61"/>
        <v>0</v>
      </c>
      <c r="F304" s="244">
        <f t="shared" si="62"/>
        <v>0</v>
      </c>
      <c r="G304" s="174">
        <f t="shared" si="63"/>
        <v>0</v>
      </c>
      <c r="H304" s="244">
        <f t="shared" si="64"/>
        <v>0</v>
      </c>
      <c r="I304" s="174">
        <f t="shared" si="65"/>
        <v>0</v>
      </c>
      <c r="J304" s="244">
        <f t="shared" si="66"/>
        <v>0</v>
      </c>
      <c r="K304" s="174">
        <f t="shared" si="67"/>
        <v>0</v>
      </c>
      <c r="L304" s="244">
        <f t="shared" si="68"/>
        <v>0</v>
      </c>
      <c r="M304" s="174">
        <v>1</v>
      </c>
      <c r="N304" s="143">
        <f t="shared" si="70"/>
        <v>300</v>
      </c>
      <c r="O304" s="143">
        <f t="shared" si="69"/>
        <v>300</v>
      </c>
    </row>
    <row r="305" spans="1:15" ht="12.75" customHeight="1">
      <c r="A305" s="246">
        <f t="shared" si="57"/>
        <v>326</v>
      </c>
      <c r="B305" s="244">
        <f t="shared" si="58"/>
        <v>2</v>
      </c>
      <c r="C305" s="174">
        <f t="shared" si="59"/>
        <v>2</v>
      </c>
      <c r="D305" s="244">
        <f t="shared" si="60"/>
        <v>0</v>
      </c>
      <c r="E305" s="174">
        <f t="shared" si="61"/>
        <v>0</v>
      </c>
      <c r="F305" s="244">
        <f t="shared" si="62"/>
        <v>0</v>
      </c>
      <c r="G305" s="174">
        <f t="shared" si="63"/>
        <v>0</v>
      </c>
      <c r="H305" s="244">
        <f t="shared" si="64"/>
        <v>0</v>
      </c>
      <c r="I305" s="174">
        <f t="shared" si="65"/>
        <v>0</v>
      </c>
      <c r="J305" s="244">
        <f t="shared" si="66"/>
        <v>0</v>
      </c>
      <c r="K305" s="174">
        <f t="shared" si="67"/>
        <v>0</v>
      </c>
      <c r="L305" s="244">
        <f t="shared" si="68"/>
        <v>1</v>
      </c>
      <c r="M305" s="174">
        <v>1</v>
      </c>
      <c r="N305" s="143">
        <f t="shared" si="70"/>
        <v>301</v>
      </c>
      <c r="O305" s="143">
        <f t="shared" si="69"/>
        <v>301</v>
      </c>
    </row>
    <row r="306" spans="1:15" ht="12.75" customHeight="1">
      <c r="A306" s="246">
        <f t="shared" si="57"/>
        <v>327</v>
      </c>
      <c r="B306" s="244">
        <f t="shared" si="58"/>
        <v>2</v>
      </c>
      <c r="C306" s="174">
        <f t="shared" si="59"/>
        <v>2</v>
      </c>
      <c r="D306" s="244">
        <f t="shared" si="60"/>
        <v>0</v>
      </c>
      <c r="E306" s="174">
        <f t="shared" si="61"/>
        <v>0</v>
      </c>
      <c r="F306" s="244">
        <f t="shared" si="62"/>
        <v>0</v>
      </c>
      <c r="G306" s="174">
        <f t="shared" si="63"/>
        <v>0</v>
      </c>
      <c r="H306" s="244">
        <f t="shared" si="64"/>
        <v>0</v>
      </c>
      <c r="I306" s="174">
        <f t="shared" si="65"/>
        <v>0</v>
      </c>
      <c r="J306" s="244">
        <f t="shared" si="66"/>
        <v>0</v>
      </c>
      <c r="K306" s="174">
        <f t="shared" si="67"/>
        <v>1</v>
      </c>
      <c r="L306" s="244">
        <f t="shared" si="68"/>
        <v>0</v>
      </c>
      <c r="M306" s="174">
        <v>1</v>
      </c>
      <c r="N306" s="143">
        <f t="shared" si="70"/>
        <v>302</v>
      </c>
      <c r="O306" s="143">
        <f t="shared" si="69"/>
        <v>302</v>
      </c>
    </row>
    <row r="307" spans="1:15" ht="12.75" customHeight="1">
      <c r="A307" s="246">
        <f t="shared" si="57"/>
        <v>328</v>
      </c>
      <c r="B307" s="244">
        <f t="shared" si="58"/>
        <v>2</v>
      </c>
      <c r="C307" s="174">
        <f t="shared" si="59"/>
        <v>2</v>
      </c>
      <c r="D307" s="244">
        <f t="shared" si="60"/>
        <v>0</v>
      </c>
      <c r="E307" s="174">
        <f t="shared" si="61"/>
        <v>0</v>
      </c>
      <c r="F307" s="244">
        <f t="shared" si="62"/>
        <v>0</v>
      </c>
      <c r="G307" s="174">
        <f t="shared" si="63"/>
        <v>0</v>
      </c>
      <c r="H307" s="244">
        <f t="shared" si="64"/>
        <v>0</v>
      </c>
      <c r="I307" s="174">
        <f t="shared" si="65"/>
        <v>0</v>
      </c>
      <c r="J307" s="244">
        <f t="shared" si="66"/>
        <v>1</v>
      </c>
      <c r="K307" s="174">
        <f t="shared" si="67"/>
        <v>0</v>
      </c>
      <c r="L307" s="244">
        <f t="shared" si="68"/>
        <v>0</v>
      </c>
      <c r="M307" s="174">
        <v>1</v>
      </c>
      <c r="N307" s="143">
        <f t="shared" si="70"/>
        <v>303</v>
      </c>
      <c r="O307" s="143">
        <f t="shared" si="69"/>
        <v>303</v>
      </c>
    </row>
    <row r="308" spans="1:15" ht="12.75" customHeight="1">
      <c r="A308" s="246">
        <f t="shared" si="57"/>
        <v>329</v>
      </c>
      <c r="B308" s="244">
        <f t="shared" si="58"/>
        <v>2</v>
      </c>
      <c r="C308" s="174">
        <f t="shared" si="59"/>
        <v>2</v>
      </c>
      <c r="D308" s="244">
        <f t="shared" si="60"/>
        <v>0</v>
      </c>
      <c r="E308" s="174">
        <f t="shared" si="61"/>
        <v>0</v>
      </c>
      <c r="F308" s="244">
        <f t="shared" si="62"/>
        <v>0</v>
      </c>
      <c r="G308" s="174">
        <f t="shared" si="63"/>
        <v>0</v>
      </c>
      <c r="H308" s="244">
        <f t="shared" si="64"/>
        <v>0</v>
      </c>
      <c r="I308" s="174">
        <f t="shared" si="65"/>
        <v>1</v>
      </c>
      <c r="J308" s="244">
        <f t="shared" si="66"/>
        <v>0</v>
      </c>
      <c r="K308" s="174">
        <f t="shared" si="67"/>
        <v>0</v>
      </c>
      <c r="L308" s="244">
        <f t="shared" si="68"/>
        <v>0</v>
      </c>
      <c r="M308" s="174">
        <v>1</v>
      </c>
      <c r="N308" s="143">
        <f t="shared" si="70"/>
        <v>304</v>
      </c>
      <c r="O308" s="143">
        <f t="shared" si="69"/>
        <v>304</v>
      </c>
    </row>
    <row r="309" spans="1:15" ht="12.75" customHeight="1">
      <c r="A309" s="246">
        <f t="shared" si="57"/>
        <v>330</v>
      </c>
      <c r="B309" s="244">
        <f t="shared" si="58"/>
        <v>2</v>
      </c>
      <c r="C309" s="174">
        <f t="shared" si="59"/>
        <v>2</v>
      </c>
      <c r="D309" s="244">
        <f t="shared" si="60"/>
        <v>0</v>
      </c>
      <c r="E309" s="174">
        <f t="shared" si="61"/>
        <v>0</v>
      </c>
      <c r="F309" s="244">
        <f t="shared" si="62"/>
        <v>0</v>
      </c>
      <c r="G309" s="174">
        <f t="shared" si="63"/>
        <v>0</v>
      </c>
      <c r="H309" s="244">
        <f t="shared" si="64"/>
        <v>1</v>
      </c>
      <c r="I309" s="174">
        <f t="shared" si="65"/>
        <v>0</v>
      </c>
      <c r="J309" s="244">
        <f t="shared" si="66"/>
        <v>0</v>
      </c>
      <c r="K309" s="174">
        <f t="shared" si="67"/>
        <v>0</v>
      </c>
      <c r="L309" s="244">
        <f t="shared" si="68"/>
        <v>0</v>
      </c>
      <c r="M309" s="174">
        <v>1</v>
      </c>
      <c r="N309" s="143">
        <f t="shared" si="70"/>
        <v>305</v>
      </c>
      <c r="O309" s="143">
        <f t="shared" si="69"/>
        <v>305</v>
      </c>
    </row>
    <row r="310" spans="1:15" ht="12.75" customHeight="1">
      <c r="A310" s="246">
        <f t="shared" si="57"/>
        <v>331</v>
      </c>
      <c r="B310" s="244">
        <f t="shared" si="58"/>
        <v>2</v>
      </c>
      <c r="C310" s="174">
        <f t="shared" si="59"/>
        <v>2</v>
      </c>
      <c r="D310" s="244">
        <f t="shared" si="60"/>
        <v>0</v>
      </c>
      <c r="E310" s="174">
        <f t="shared" si="61"/>
        <v>0</v>
      </c>
      <c r="F310" s="244">
        <f t="shared" si="62"/>
        <v>0</v>
      </c>
      <c r="G310" s="174">
        <f t="shared" si="63"/>
        <v>0</v>
      </c>
      <c r="H310" s="244">
        <f t="shared" si="64"/>
        <v>1</v>
      </c>
      <c r="I310" s="174">
        <f t="shared" si="65"/>
        <v>0</v>
      </c>
      <c r="J310" s="244">
        <f t="shared" si="66"/>
        <v>0</v>
      </c>
      <c r="K310" s="174">
        <f t="shared" si="67"/>
        <v>0</v>
      </c>
      <c r="L310" s="244">
        <f t="shared" si="68"/>
        <v>1</v>
      </c>
      <c r="M310" s="174">
        <v>1</v>
      </c>
      <c r="N310" s="143">
        <f t="shared" si="70"/>
        <v>306</v>
      </c>
      <c r="O310" s="143">
        <f t="shared" si="69"/>
        <v>306</v>
      </c>
    </row>
    <row r="311" spans="1:15" ht="12.75" customHeight="1">
      <c r="A311" s="246">
        <f t="shared" si="57"/>
        <v>332</v>
      </c>
      <c r="B311" s="244">
        <f t="shared" si="58"/>
        <v>2</v>
      </c>
      <c r="C311" s="174">
        <f t="shared" si="59"/>
        <v>2</v>
      </c>
      <c r="D311" s="244">
        <f t="shared" si="60"/>
        <v>0</v>
      </c>
      <c r="E311" s="174">
        <f t="shared" si="61"/>
        <v>0</v>
      </c>
      <c r="F311" s="244">
        <f t="shared" si="62"/>
        <v>0</v>
      </c>
      <c r="G311" s="174">
        <f t="shared" si="63"/>
        <v>0</v>
      </c>
      <c r="H311" s="244">
        <f t="shared" si="64"/>
        <v>1</v>
      </c>
      <c r="I311" s="174">
        <f t="shared" si="65"/>
        <v>0</v>
      </c>
      <c r="J311" s="244">
        <f t="shared" si="66"/>
        <v>0</v>
      </c>
      <c r="K311" s="174">
        <f t="shared" si="67"/>
        <v>1</v>
      </c>
      <c r="L311" s="244">
        <f t="shared" si="68"/>
        <v>0</v>
      </c>
      <c r="M311" s="174">
        <v>1</v>
      </c>
      <c r="N311" s="143">
        <f t="shared" si="70"/>
        <v>307</v>
      </c>
      <c r="O311" s="143">
        <f t="shared" si="69"/>
        <v>307</v>
      </c>
    </row>
    <row r="312" spans="1:15" ht="12.75" customHeight="1">
      <c r="A312" s="246">
        <f t="shared" si="57"/>
        <v>333</v>
      </c>
      <c r="B312" s="244">
        <f t="shared" si="58"/>
        <v>2</v>
      </c>
      <c r="C312" s="174">
        <f t="shared" si="59"/>
        <v>2</v>
      </c>
      <c r="D312" s="244">
        <f t="shared" si="60"/>
        <v>0</v>
      </c>
      <c r="E312" s="174">
        <f t="shared" si="61"/>
        <v>0</v>
      </c>
      <c r="F312" s="244">
        <f t="shared" si="62"/>
        <v>0</v>
      </c>
      <c r="G312" s="174">
        <f t="shared" si="63"/>
        <v>0</v>
      </c>
      <c r="H312" s="244">
        <f t="shared" si="64"/>
        <v>1</v>
      </c>
      <c r="I312" s="174">
        <f t="shared" si="65"/>
        <v>0</v>
      </c>
      <c r="J312" s="244">
        <f t="shared" si="66"/>
        <v>1</v>
      </c>
      <c r="K312" s="174">
        <f t="shared" si="67"/>
        <v>0</v>
      </c>
      <c r="L312" s="244">
        <f t="shared" si="68"/>
        <v>0</v>
      </c>
      <c r="M312" s="174">
        <v>1</v>
      </c>
      <c r="N312" s="143">
        <f t="shared" si="70"/>
        <v>308</v>
      </c>
      <c r="O312" s="143">
        <f t="shared" si="69"/>
        <v>308</v>
      </c>
    </row>
    <row r="313" spans="1:15" ht="12.75" customHeight="1">
      <c r="A313" s="246">
        <f t="shared" si="57"/>
        <v>334</v>
      </c>
      <c r="B313" s="244">
        <f t="shared" si="58"/>
        <v>2</v>
      </c>
      <c r="C313" s="174">
        <f t="shared" si="59"/>
        <v>2</v>
      </c>
      <c r="D313" s="244">
        <f t="shared" si="60"/>
        <v>0</v>
      </c>
      <c r="E313" s="174">
        <f t="shared" si="61"/>
        <v>0</v>
      </c>
      <c r="F313" s="244">
        <f t="shared" si="62"/>
        <v>0</v>
      </c>
      <c r="G313" s="174">
        <f t="shared" si="63"/>
        <v>0</v>
      </c>
      <c r="H313" s="244">
        <f t="shared" si="64"/>
        <v>1</v>
      </c>
      <c r="I313" s="174">
        <f t="shared" si="65"/>
        <v>1</v>
      </c>
      <c r="J313" s="244">
        <f t="shared" si="66"/>
        <v>0</v>
      </c>
      <c r="K313" s="174">
        <f t="shared" si="67"/>
        <v>0</v>
      </c>
      <c r="L313" s="244">
        <f t="shared" si="68"/>
        <v>0</v>
      </c>
      <c r="M313" s="174">
        <v>1</v>
      </c>
      <c r="N313" s="143">
        <f t="shared" si="70"/>
        <v>309</v>
      </c>
      <c r="O313" s="143">
        <f t="shared" si="69"/>
        <v>309</v>
      </c>
    </row>
    <row r="314" spans="1:15" ht="12.75" customHeight="1">
      <c r="A314" s="246">
        <f t="shared" si="57"/>
        <v>335</v>
      </c>
      <c r="B314" s="244">
        <f t="shared" si="58"/>
        <v>2</v>
      </c>
      <c r="C314" s="174">
        <f t="shared" si="59"/>
        <v>2</v>
      </c>
      <c r="D314" s="244">
        <f t="shared" si="60"/>
        <v>0</v>
      </c>
      <c r="E314" s="174">
        <f t="shared" si="61"/>
        <v>0</v>
      </c>
      <c r="F314" s="244">
        <f t="shared" si="62"/>
        <v>0</v>
      </c>
      <c r="G314" s="174">
        <f t="shared" si="63"/>
        <v>1</v>
      </c>
      <c r="H314" s="244">
        <f t="shared" si="64"/>
        <v>0</v>
      </c>
      <c r="I314" s="174">
        <f t="shared" si="65"/>
        <v>0</v>
      </c>
      <c r="J314" s="244">
        <f t="shared" si="66"/>
        <v>0</v>
      </c>
      <c r="K314" s="174">
        <f t="shared" si="67"/>
        <v>0</v>
      </c>
      <c r="L314" s="244">
        <f t="shared" si="68"/>
        <v>0</v>
      </c>
      <c r="M314" s="174">
        <v>1</v>
      </c>
      <c r="N314" s="143">
        <f t="shared" si="70"/>
        <v>310</v>
      </c>
      <c r="O314" s="143">
        <f t="shared" si="69"/>
        <v>310</v>
      </c>
    </row>
    <row r="315" spans="1:15" ht="12.75" customHeight="1">
      <c r="A315" s="246">
        <f t="shared" si="57"/>
        <v>336</v>
      </c>
      <c r="B315" s="244">
        <f t="shared" si="58"/>
        <v>2</v>
      </c>
      <c r="C315" s="174">
        <f t="shared" si="59"/>
        <v>2</v>
      </c>
      <c r="D315" s="244">
        <f t="shared" si="60"/>
        <v>0</v>
      </c>
      <c r="E315" s="174">
        <f t="shared" si="61"/>
        <v>0</v>
      </c>
      <c r="F315" s="244">
        <f t="shared" si="62"/>
        <v>0</v>
      </c>
      <c r="G315" s="174">
        <f t="shared" si="63"/>
        <v>1</v>
      </c>
      <c r="H315" s="244">
        <f t="shared" si="64"/>
        <v>0</v>
      </c>
      <c r="I315" s="174">
        <f t="shared" si="65"/>
        <v>0</v>
      </c>
      <c r="J315" s="244">
        <f t="shared" si="66"/>
        <v>0</v>
      </c>
      <c r="K315" s="174">
        <f t="shared" si="67"/>
        <v>0</v>
      </c>
      <c r="L315" s="244">
        <f t="shared" si="68"/>
        <v>1</v>
      </c>
      <c r="M315" s="174">
        <v>1</v>
      </c>
      <c r="N315" s="143">
        <f t="shared" si="70"/>
        <v>311</v>
      </c>
      <c r="O315" s="143">
        <f t="shared" si="69"/>
        <v>311</v>
      </c>
    </row>
    <row r="316" spans="1:15" ht="12.75" customHeight="1">
      <c r="A316" s="246">
        <f t="shared" si="57"/>
        <v>337</v>
      </c>
      <c r="B316" s="244">
        <f t="shared" si="58"/>
        <v>2</v>
      </c>
      <c r="C316" s="174">
        <f t="shared" si="59"/>
        <v>2</v>
      </c>
      <c r="D316" s="244">
        <f t="shared" si="60"/>
        <v>0</v>
      </c>
      <c r="E316" s="174">
        <f t="shared" si="61"/>
        <v>0</v>
      </c>
      <c r="F316" s="244">
        <f t="shared" si="62"/>
        <v>0</v>
      </c>
      <c r="G316" s="174">
        <f t="shared" si="63"/>
        <v>1</v>
      </c>
      <c r="H316" s="244">
        <f t="shared" si="64"/>
        <v>0</v>
      </c>
      <c r="I316" s="174">
        <f t="shared" si="65"/>
        <v>0</v>
      </c>
      <c r="J316" s="244">
        <f t="shared" si="66"/>
        <v>0</v>
      </c>
      <c r="K316" s="174">
        <f t="shared" si="67"/>
        <v>1</v>
      </c>
      <c r="L316" s="244">
        <f t="shared" si="68"/>
        <v>0</v>
      </c>
      <c r="M316" s="174">
        <v>1</v>
      </c>
      <c r="N316" s="143">
        <f t="shared" si="70"/>
        <v>312</v>
      </c>
      <c r="O316" s="143">
        <f t="shared" si="69"/>
        <v>312</v>
      </c>
    </row>
    <row r="317" spans="1:15" ht="12.75" customHeight="1">
      <c r="A317" s="246">
        <f t="shared" si="57"/>
        <v>338</v>
      </c>
      <c r="B317" s="244">
        <f t="shared" si="58"/>
        <v>2</v>
      </c>
      <c r="C317" s="174">
        <f t="shared" si="59"/>
        <v>2</v>
      </c>
      <c r="D317" s="244">
        <f t="shared" si="60"/>
        <v>0</v>
      </c>
      <c r="E317" s="174">
        <f t="shared" si="61"/>
        <v>0</v>
      </c>
      <c r="F317" s="244">
        <f t="shared" si="62"/>
        <v>0</v>
      </c>
      <c r="G317" s="174">
        <f t="shared" si="63"/>
        <v>1</v>
      </c>
      <c r="H317" s="244">
        <f t="shared" si="64"/>
        <v>0</v>
      </c>
      <c r="I317" s="174">
        <f t="shared" si="65"/>
        <v>0</v>
      </c>
      <c r="J317" s="244">
        <f t="shared" si="66"/>
        <v>1</v>
      </c>
      <c r="K317" s="174">
        <f t="shared" si="67"/>
        <v>0</v>
      </c>
      <c r="L317" s="244">
        <f t="shared" si="68"/>
        <v>0</v>
      </c>
      <c r="M317" s="174">
        <v>1</v>
      </c>
      <c r="N317" s="143">
        <f t="shared" si="70"/>
        <v>313</v>
      </c>
      <c r="O317" s="143">
        <f t="shared" si="69"/>
        <v>313</v>
      </c>
    </row>
    <row r="318" spans="1:15" ht="12.75" customHeight="1">
      <c r="A318" s="246">
        <f t="shared" si="57"/>
        <v>339</v>
      </c>
      <c r="B318" s="244">
        <f t="shared" si="58"/>
        <v>2</v>
      </c>
      <c r="C318" s="174">
        <f t="shared" si="59"/>
        <v>2</v>
      </c>
      <c r="D318" s="244">
        <f t="shared" si="60"/>
        <v>0</v>
      </c>
      <c r="E318" s="174">
        <f t="shared" si="61"/>
        <v>0</v>
      </c>
      <c r="F318" s="244">
        <f t="shared" si="62"/>
        <v>0</v>
      </c>
      <c r="G318" s="174">
        <f t="shared" si="63"/>
        <v>1</v>
      </c>
      <c r="H318" s="244">
        <f t="shared" si="64"/>
        <v>0</v>
      </c>
      <c r="I318" s="174">
        <f t="shared" si="65"/>
        <v>1</v>
      </c>
      <c r="J318" s="244">
        <f t="shared" si="66"/>
        <v>0</v>
      </c>
      <c r="K318" s="174">
        <f t="shared" si="67"/>
        <v>0</v>
      </c>
      <c r="L318" s="244">
        <f t="shared" si="68"/>
        <v>0</v>
      </c>
      <c r="M318" s="174">
        <v>1</v>
      </c>
      <c r="N318" s="143">
        <f t="shared" si="70"/>
        <v>314</v>
      </c>
      <c r="O318" s="143">
        <f t="shared" si="69"/>
        <v>314</v>
      </c>
    </row>
    <row r="319" spans="1:15" ht="12.75" customHeight="1">
      <c r="A319" s="246">
        <f t="shared" si="57"/>
        <v>340</v>
      </c>
      <c r="B319" s="244">
        <f t="shared" si="58"/>
        <v>2</v>
      </c>
      <c r="C319" s="174">
        <f t="shared" si="59"/>
        <v>2</v>
      </c>
      <c r="D319" s="244">
        <f t="shared" si="60"/>
        <v>0</v>
      </c>
      <c r="E319" s="174">
        <f t="shared" si="61"/>
        <v>0</v>
      </c>
      <c r="F319" s="244">
        <f t="shared" si="62"/>
        <v>0</v>
      </c>
      <c r="G319" s="174">
        <f t="shared" si="63"/>
        <v>1</v>
      </c>
      <c r="H319" s="244">
        <f t="shared" si="64"/>
        <v>1</v>
      </c>
      <c r="I319" s="174">
        <f t="shared" si="65"/>
        <v>0</v>
      </c>
      <c r="J319" s="244">
        <f t="shared" si="66"/>
        <v>0</v>
      </c>
      <c r="K319" s="174">
        <f t="shared" si="67"/>
        <v>0</v>
      </c>
      <c r="L319" s="244">
        <f t="shared" si="68"/>
        <v>0</v>
      </c>
      <c r="M319" s="174">
        <v>1</v>
      </c>
      <c r="N319" s="143">
        <f t="shared" si="70"/>
        <v>315</v>
      </c>
      <c r="O319" s="143">
        <f t="shared" si="69"/>
        <v>315</v>
      </c>
    </row>
    <row r="320" spans="1:15" ht="12.75" customHeight="1">
      <c r="A320" s="246">
        <f t="shared" si="57"/>
        <v>341</v>
      </c>
      <c r="B320" s="244">
        <f t="shared" si="58"/>
        <v>2</v>
      </c>
      <c r="C320" s="174">
        <f t="shared" si="59"/>
        <v>2</v>
      </c>
      <c r="D320" s="244">
        <f t="shared" si="60"/>
        <v>0</v>
      </c>
      <c r="E320" s="174">
        <f t="shared" si="61"/>
        <v>0</v>
      </c>
      <c r="F320" s="244">
        <f t="shared" si="62"/>
        <v>0</v>
      </c>
      <c r="G320" s="174">
        <f t="shared" si="63"/>
        <v>1</v>
      </c>
      <c r="H320" s="244">
        <f t="shared" si="64"/>
        <v>1</v>
      </c>
      <c r="I320" s="174">
        <f t="shared" si="65"/>
        <v>0</v>
      </c>
      <c r="J320" s="244">
        <f t="shared" si="66"/>
        <v>0</v>
      </c>
      <c r="K320" s="174">
        <f t="shared" si="67"/>
        <v>0</v>
      </c>
      <c r="L320" s="244">
        <f t="shared" si="68"/>
        <v>1</v>
      </c>
      <c r="M320" s="174">
        <v>1</v>
      </c>
      <c r="N320" s="143">
        <f t="shared" si="70"/>
        <v>316</v>
      </c>
      <c r="O320" s="143">
        <f t="shared" si="69"/>
        <v>316</v>
      </c>
    </row>
    <row r="321" spans="1:15" ht="12.75" customHeight="1">
      <c r="A321" s="246">
        <f t="shared" si="57"/>
        <v>342</v>
      </c>
      <c r="B321" s="244">
        <f t="shared" si="58"/>
        <v>2</v>
      </c>
      <c r="C321" s="174">
        <f t="shared" si="59"/>
        <v>2</v>
      </c>
      <c r="D321" s="244">
        <f t="shared" si="60"/>
        <v>0</v>
      </c>
      <c r="E321" s="174">
        <f t="shared" si="61"/>
        <v>0</v>
      </c>
      <c r="F321" s="244">
        <f t="shared" si="62"/>
        <v>0</v>
      </c>
      <c r="G321" s="174">
        <f t="shared" si="63"/>
        <v>1</v>
      </c>
      <c r="H321" s="244">
        <f t="shared" si="64"/>
        <v>1</v>
      </c>
      <c r="I321" s="174">
        <f t="shared" si="65"/>
        <v>0</v>
      </c>
      <c r="J321" s="244">
        <f t="shared" si="66"/>
        <v>0</v>
      </c>
      <c r="K321" s="174">
        <f t="shared" si="67"/>
        <v>1</v>
      </c>
      <c r="L321" s="244">
        <f t="shared" si="68"/>
        <v>0</v>
      </c>
      <c r="M321" s="174">
        <v>1</v>
      </c>
      <c r="N321" s="143">
        <f t="shared" si="70"/>
        <v>317</v>
      </c>
      <c r="O321" s="143">
        <f t="shared" si="69"/>
        <v>317</v>
      </c>
    </row>
    <row r="322" spans="1:15" ht="12.75" customHeight="1">
      <c r="A322" s="246">
        <f t="shared" si="57"/>
        <v>343</v>
      </c>
      <c r="B322" s="244">
        <f t="shared" si="58"/>
        <v>2</v>
      </c>
      <c r="C322" s="174">
        <f t="shared" si="59"/>
        <v>2</v>
      </c>
      <c r="D322" s="244">
        <f t="shared" si="60"/>
        <v>0</v>
      </c>
      <c r="E322" s="174">
        <f t="shared" si="61"/>
        <v>0</v>
      </c>
      <c r="F322" s="244">
        <f t="shared" si="62"/>
        <v>0</v>
      </c>
      <c r="G322" s="174">
        <f t="shared" si="63"/>
        <v>1</v>
      </c>
      <c r="H322" s="244">
        <f t="shared" si="64"/>
        <v>1</v>
      </c>
      <c r="I322" s="174">
        <f t="shared" si="65"/>
        <v>0</v>
      </c>
      <c r="J322" s="244">
        <f t="shared" si="66"/>
        <v>1</v>
      </c>
      <c r="K322" s="174">
        <f t="shared" si="67"/>
        <v>0</v>
      </c>
      <c r="L322" s="244">
        <f t="shared" si="68"/>
        <v>0</v>
      </c>
      <c r="M322" s="174">
        <v>1</v>
      </c>
      <c r="N322" s="143">
        <f t="shared" si="70"/>
        <v>318</v>
      </c>
      <c r="O322" s="143">
        <f t="shared" si="69"/>
        <v>318</v>
      </c>
    </row>
    <row r="323" spans="1:15" ht="12.75" customHeight="1">
      <c r="A323" s="246">
        <f t="shared" si="57"/>
        <v>344</v>
      </c>
      <c r="B323" s="244">
        <f t="shared" si="58"/>
        <v>2</v>
      </c>
      <c r="C323" s="174">
        <f t="shared" si="59"/>
        <v>2</v>
      </c>
      <c r="D323" s="244">
        <f t="shared" si="60"/>
        <v>0</v>
      </c>
      <c r="E323" s="174">
        <f t="shared" si="61"/>
        <v>0</v>
      </c>
      <c r="F323" s="244">
        <f t="shared" si="62"/>
        <v>0</v>
      </c>
      <c r="G323" s="174">
        <f t="shared" si="63"/>
        <v>1</v>
      </c>
      <c r="H323" s="244">
        <f t="shared" si="64"/>
        <v>1</v>
      </c>
      <c r="I323" s="174">
        <f t="shared" si="65"/>
        <v>1</v>
      </c>
      <c r="J323" s="244">
        <f t="shared" si="66"/>
        <v>0</v>
      </c>
      <c r="K323" s="174">
        <f t="shared" si="67"/>
        <v>0</v>
      </c>
      <c r="L323" s="244">
        <f t="shared" si="68"/>
        <v>0</v>
      </c>
      <c r="M323" s="174">
        <v>1</v>
      </c>
      <c r="N323" s="143">
        <f t="shared" si="70"/>
        <v>319</v>
      </c>
      <c r="O323" s="143">
        <f t="shared" si="69"/>
        <v>319</v>
      </c>
    </row>
    <row r="324" spans="1:15" ht="12.75" customHeight="1">
      <c r="A324" s="246">
        <f t="shared" si="57"/>
        <v>345</v>
      </c>
      <c r="B324" s="244">
        <f t="shared" si="58"/>
        <v>2</v>
      </c>
      <c r="C324" s="174">
        <f t="shared" si="59"/>
        <v>2</v>
      </c>
      <c r="D324" s="244">
        <f t="shared" si="60"/>
        <v>0</v>
      </c>
      <c r="E324" s="174">
        <f t="shared" si="61"/>
        <v>0</v>
      </c>
      <c r="F324" s="244">
        <f t="shared" si="62"/>
        <v>1</v>
      </c>
      <c r="G324" s="174">
        <f t="shared" si="63"/>
        <v>0</v>
      </c>
      <c r="H324" s="244">
        <f t="shared" si="64"/>
        <v>0</v>
      </c>
      <c r="I324" s="174">
        <f t="shared" si="65"/>
        <v>0</v>
      </c>
      <c r="J324" s="244">
        <f t="shared" si="66"/>
        <v>0</v>
      </c>
      <c r="K324" s="174">
        <f t="shared" si="67"/>
        <v>0</v>
      </c>
      <c r="L324" s="244">
        <f t="shared" si="68"/>
        <v>0</v>
      </c>
      <c r="M324" s="174">
        <v>1</v>
      </c>
      <c r="N324" s="143">
        <f t="shared" si="70"/>
        <v>320</v>
      </c>
      <c r="O324" s="143">
        <f t="shared" si="69"/>
        <v>320</v>
      </c>
    </row>
    <row r="325" spans="1:15" ht="12.75" customHeight="1">
      <c r="A325" s="246">
        <f t="shared" ref="A325:A388" si="71">IF(O325+$M$2&gt;$N$1,0,O325+$M$2)</f>
        <v>346</v>
      </c>
      <c r="B325" s="244">
        <f t="shared" ref="B325:B388" si="72">IF(A325=0,0,MIN($B$1/2,INT(O325/(2*$B$2))))</f>
        <v>2</v>
      </c>
      <c r="C325" s="174">
        <f t="shared" ref="C325:C388" si="73">IF(A325=0,0,MIN($C$1/2,INT(($O325-2*$B325*$B$2)/(2*$C$2))))</f>
        <v>2</v>
      </c>
      <c r="D325" s="244">
        <f t="shared" ref="D325:D388" si="74">IF(A325=0,0,MIN($D$1/2,INT(($O325-2*$B325*$B$2-2*$C325*$C$2)/(2*$D$2))))</f>
        <v>0</v>
      </c>
      <c r="E325" s="174">
        <f t="shared" ref="E325:E388" si="75">IF(A325=0,0,MIN($E$1/2,INT(($O325-2*$B325*$B$2-2*$C325*$C$2-2*$D325*$D$2)/(2*$E$2))))</f>
        <v>0</v>
      </c>
      <c r="F325" s="244">
        <f t="shared" ref="F325:F388" si="76">IF(A325=0,0,MIN($F$1/2,INT(($O325-2*$B325*$B$2-2*$C325*$C$2-2*$D325*$D$2-2*$E325*$E$2)/(2*$F$2))))</f>
        <v>1</v>
      </c>
      <c r="G325" s="174">
        <f t="shared" ref="G325:G388" si="77">IF(A325=0,0,MIN($G$1/2,INT(($O325-2*$B325*$B$2-2*$C325*$C$2-2*$D325*$D$2-2*$E325*$E$2-2*$F325*$F$2)/(2*$G$2))))</f>
        <v>0</v>
      </c>
      <c r="H325" s="244">
        <f t="shared" ref="H325:H388" si="78">IF(A325=0,0,MIN($H$1/2,INT(($O325-2*$B325*$B$2-2*$C325*$C$2-2*$D325*$D$2-2*$E325*$E$2-2*$F325*$F$2-2*$G325*$G$2)/(2*$H$2))))</f>
        <v>0</v>
      </c>
      <c r="I325" s="174">
        <f t="shared" ref="I325:I388" si="79">IF(A325=0,0,MIN($I$1/2,INT(($O325-2*$B325*$B$2-2*$C325*$C$2-2*$D325*$D$2-2*$E325*$E$2-2*$F325*$F$2-2*$G325*$G$2-2*$H325*$H$2)/(2*$I$2))))</f>
        <v>0</v>
      </c>
      <c r="J325" s="244">
        <f t="shared" ref="J325:J388" si="80">IF(A325=0,0,MIN($J$1/2,INT(($O325-2*$B325*$B$2-2*$C325*$C$2-2*$D325*$D$2-2*$E325*$E$2-2*$F325*$F$2-2*$G325*$G$2-2*$H325*$H$2-2*$I325*$I$2)/(2*$J$2))))</f>
        <v>0</v>
      </c>
      <c r="K325" s="174">
        <f t="shared" ref="K325:K388" si="81">IF(A325=0,0,MIN($J$1/2,INT(($O325-2*$B325*$B$2-2*$C325*$C$2-2*$D325*$D$2-2*$E325*$E$2-2*$F325*$F$2-2*$G325*$G$2-2*$H325*$H$2-2*$I325*$I$2-2*$J325*$J$2)/(2*$K$2))))</f>
        <v>0</v>
      </c>
      <c r="L325" s="244">
        <f t="shared" ref="L325:L388" si="82">IF(A325=0,0,MIN($L$1/2,INT(($O325-2*$B325*$B$2-2*$C325*$C$2-2*$D325*$D$2-2*$E325*$E$2-2*$F325*$F$2-2*$G325*$G$2-2*$H325*$H$2-2*$I325*$I$2-2*$J325*$J$2-2*$K325*$K$2)/(2*$L$2))))</f>
        <v>1</v>
      </c>
      <c r="M325" s="174">
        <v>1</v>
      </c>
      <c r="N325" s="143">
        <f t="shared" si="70"/>
        <v>321</v>
      </c>
      <c r="O325" s="143">
        <f t="shared" si="69"/>
        <v>321</v>
      </c>
    </row>
    <row r="326" spans="1:15" ht="12.75" customHeight="1">
      <c r="A326" s="246">
        <f t="shared" si="71"/>
        <v>347</v>
      </c>
      <c r="B326" s="244">
        <f t="shared" si="72"/>
        <v>2</v>
      </c>
      <c r="C326" s="174">
        <f t="shared" si="73"/>
        <v>2</v>
      </c>
      <c r="D326" s="244">
        <f t="shared" si="74"/>
        <v>0</v>
      </c>
      <c r="E326" s="174">
        <f t="shared" si="75"/>
        <v>0</v>
      </c>
      <c r="F326" s="244">
        <f t="shared" si="76"/>
        <v>1</v>
      </c>
      <c r="G326" s="174">
        <f t="shared" si="77"/>
        <v>0</v>
      </c>
      <c r="H326" s="244">
        <f t="shared" si="78"/>
        <v>0</v>
      </c>
      <c r="I326" s="174">
        <f t="shared" si="79"/>
        <v>0</v>
      </c>
      <c r="J326" s="244">
        <f t="shared" si="80"/>
        <v>0</v>
      </c>
      <c r="K326" s="174">
        <f t="shared" si="81"/>
        <v>1</v>
      </c>
      <c r="L326" s="244">
        <f t="shared" si="82"/>
        <v>0</v>
      </c>
      <c r="M326" s="174">
        <v>1</v>
      </c>
      <c r="N326" s="143">
        <f t="shared" si="70"/>
        <v>322</v>
      </c>
      <c r="O326" s="143">
        <f t="shared" ref="O326:O389" si="83">IF($A$2="Pounds",5*N326,1*N326)</f>
        <v>322</v>
      </c>
    </row>
    <row r="327" spans="1:15" ht="12.75" customHeight="1">
      <c r="A327" s="246">
        <f t="shared" si="71"/>
        <v>348</v>
      </c>
      <c r="B327" s="244">
        <f t="shared" si="72"/>
        <v>2</v>
      </c>
      <c r="C327" s="174">
        <f t="shared" si="73"/>
        <v>2</v>
      </c>
      <c r="D327" s="244">
        <f t="shared" si="74"/>
        <v>0</v>
      </c>
      <c r="E327" s="174">
        <f t="shared" si="75"/>
        <v>0</v>
      </c>
      <c r="F327" s="244">
        <f t="shared" si="76"/>
        <v>1</v>
      </c>
      <c r="G327" s="174">
        <f t="shared" si="77"/>
        <v>0</v>
      </c>
      <c r="H327" s="244">
        <f t="shared" si="78"/>
        <v>0</v>
      </c>
      <c r="I327" s="174">
        <f t="shared" si="79"/>
        <v>0</v>
      </c>
      <c r="J327" s="244">
        <f t="shared" si="80"/>
        <v>1</v>
      </c>
      <c r="K327" s="174">
        <f t="shared" si="81"/>
        <v>0</v>
      </c>
      <c r="L327" s="244">
        <f t="shared" si="82"/>
        <v>0</v>
      </c>
      <c r="M327" s="174">
        <v>1</v>
      </c>
      <c r="N327" s="143">
        <f t="shared" si="70"/>
        <v>323</v>
      </c>
      <c r="O327" s="143">
        <f t="shared" si="83"/>
        <v>323</v>
      </c>
    </row>
    <row r="328" spans="1:15" ht="12.75" customHeight="1">
      <c r="A328" s="246">
        <f t="shared" si="71"/>
        <v>349</v>
      </c>
      <c r="B328" s="244">
        <f t="shared" si="72"/>
        <v>2</v>
      </c>
      <c r="C328" s="174">
        <f t="shared" si="73"/>
        <v>2</v>
      </c>
      <c r="D328" s="244">
        <f t="shared" si="74"/>
        <v>0</v>
      </c>
      <c r="E328" s="174">
        <f t="shared" si="75"/>
        <v>0</v>
      </c>
      <c r="F328" s="244">
        <f t="shared" si="76"/>
        <v>1</v>
      </c>
      <c r="G328" s="174">
        <f t="shared" si="77"/>
        <v>0</v>
      </c>
      <c r="H328" s="244">
        <f t="shared" si="78"/>
        <v>0</v>
      </c>
      <c r="I328" s="174">
        <f t="shared" si="79"/>
        <v>1</v>
      </c>
      <c r="J328" s="244">
        <f t="shared" si="80"/>
        <v>0</v>
      </c>
      <c r="K328" s="174">
        <f t="shared" si="81"/>
        <v>0</v>
      </c>
      <c r="L328" s="244">
        <f t="shared" si="82"/>
        <v>0</v>
      </c>
      <c r="M328" s="174">
        <v>1</v>
      </c>
      <c r="N328" s="143">
        <f t="shared" si="70"/>
        <v>324</v>
      </c>
      <c r="O328" s="143">
        <f t="shared" si="83"/>
        <v>324</v>
      </c>
    </row>
    <row r="329" spans="1:15" ht="12.75" customHeight="1">
      <c r="A329" s="246">
        <f t="shared" si="71"/>
        <v>350</v>
      </c>
      <c r="B329" s="244">
        <f t="shared" si="72"/>
        <v>2</v>
      </c>
      <c r="C329" s="174">
        <f t="shared" si="73"/>
        <v>2</v>
      </c>
      <c r="D329" s="244">
        <f t="shared" si="74"/>
        <v>0</v>
      </c>
      <c r="E329" s="174">
        <f t="shared" si="75"/>
        <v>0</v>
      </c>
      <c r="F329" s="244">
        <f t="shared" si="76"/>
        <v>1</v>
      </c>
      <c r="G329" s="174">
        <f t="shared" si="77"/>
        <v>0</v>
      </c>
      <c r="H329" s="244">
        <f t="shared" si="78"/>
        <v>1</v>
      </c>
      <c r="I329" s="174">
        <f t="shared" si="79"/>
        <v>0</v>
      </c>
      <c r="J329" s="244">
        <f t="shared" si="80"/>
        <v>0</v>
      </c>
      <c r="K329" s="174">
        <f t="shared" si="81"/>
        <v>0</v>
      </c>
      <c r="L329" s="244">
        <f t="shared" si="82"/>
        <v>0</v>
      </c>
      <c r="M329" s="174">
        <v>1</v>
      </c>
      <c r="N329" s="143">
        <f t="shared" si="70"/>
        <v>325</v>
      </c>
      <c r="O329" s="143">
        <f t="shared" si="83"/>
        <v>325</v>
      </c>
    </row>
    <row r="330" spans="1:15" ht="12.75" customHeight="1">
      <c r="A330" s="246">
        <f t="shared" si="71"/>
        <v>351</v>
      </c>
      <c r="B330" s="244">
        <f t="shared" si="72"/>
        <v>2</v>
      </c>
      <c r="C330" s="174">
        <f t="shared" si="73"/>
        <v>2</v>
      </c>
      <c r="D330" s="244">
        <f t="shared" si="74"/>
        <v>0</v>
      </c>
      <c r="E330" s="174">
        <f t="shared" si="75"/>
        <v>0</v>
      </c>
      <c r="F330" s="244">
        <f t="shared" si="76"/>
        <v>1</v>
      </c>
      <c r="G330" s="174">
        <f t="shared" si="77"/>
        <v>0</v>
      </c>
      <c r="H330" s="244">
        <f t="shared" si="78"/>
        <v>1</v>
      </c>
      <c r="I330" s="174">
        <f t="shared" si="79"/>
        <v>0</v>
      </c>
      <c r="J330" s="244">
        <f t="shared" si="80"/>
        <v>0</v>
      </c>
      <c r="K330" s="174">
        <f t="shared" si="81"/>
        <v>0</v>
      </c>
      <c r="L330" s="244">
        <f t="shared" si="82"/>
        <v>1</v>
      </c>
      <c r="M330" s="174">
        <v>1</v>
      </c>
      <c r="N330" s="143">
        <f t="shared" si="70"/>
        <v>326</v>
      </c>
      <c r="O330" s="143">
        <f t="shared" si="83"/>
        <v>326</v>
      </c>
    </row>
    <row r="331" spans="1:15" ht="12.75" customHeight="1">
      <c r="A331" s="246">
        <f t="shared" si="71"/>
        <v>352</v>
      </c>
      <c r="B331" s="244">
        <f t="shared" si="72"/>
        <v>2</v>
      </c>
      <c r="C331" s="174">
        <f t="shared" si="73"/>
        <v>2</v>
      </c>
      <c r="D331" s="244">
        <f t="shared" si="74"/>
        <v>0</v>
      </c>
      <c r="E331" s="174">
        <f t="shared" si="75"/>
        <v>0</v>
      </c>
      <c r="F331" s="244">
        <f t="shared" si="76"/>
        <v>1</v>
      </c>
      <c r="G331" s="174">
        <f t="shared" si="77"/>
        <v>0</v>
      </c>
      <c r="H331" s="244">
        <f t="shared" si="78"/>
        <v>1</v>
      </c>
      <c r="I331" s="174">
        <f t="shared" si="79"/>
        <v>0</v>
      </c>
      <c r="J331" s="244">
        <f t="shared" si="80"/>
        <v>0</v>
      </c>
      <c r="K331" s="174">
        <f t="shared" si="81"/>
        <v>1</v>
      </c>
      <c r="L331" s="244">
        <f t="shared" si="82"/>
        <v>0</v>
      </c>
      <c r="M331" s="174">
        <v>1</v>
      </c>
      <c r="N331" s="143">
        <f t="shared" si="70"/>
        <v>327</v>
      </c>
      <c r="O331" s="143">
        <f t="shared" si="83"/>
        <v>327</v>
      </c>
    </row>
    <row r="332" spans="1:15" ht="12.75" customHeight="1">
      <c r="A332" s="246">
        <f t="shared" si="71"/>
        <v>353</v>
      </c>
      <c r="B332" s="244">
        <f t="shared" si="72"/>
        <v>2</v>
      </c>
      <c r="C332" s="174">
        <f t="shared" si="73"/>
        <v>2</v>
      </c>
      <c r="D332" s="244">
        <f t="shared" si="74"/>
        <v>0</v>
      </c>
      <c r="E332" s="174">
        <f t="shared" si="75"/>
        <v>0</v>
      </c>
      <c r="F332" s="244">
        <f t="shared" si="76"/>
        <v>1</v>
      </c>
      <c r="G332" s="174">
        <f t="shared" si="77"/>
        <v>0</v>
      </c>
      <c r="H332" s="244">
        <f t="shared" si="78"/>
        <v>1</v>
      </c>
      <c r="I332" s="174">
        <f t="shared" si="79"/>
        <v>0</v>
      </c>
      <c r="J332" s="244">
        <f t="shared" si="80"/>
        <v>1</v>
      </c>
      <c r="K332" s="174">
        <f t="shared" si="81"/>
        <v>0</v>
      </c>
      <c r="L332" s="244">
        <f t="shared" si="82"/>
        <v>0</v>
      </c>
      <c r="M332" s="174">
        <v>1</v>
      </c>
      <c r="N332" s="143">
        <f t="shared" si="70"/>
        <v>328</v>
      </c>
      <c r="O332" s="143">
        <f t="shared" si="83"/>
        <v>328</v>
      </c>
    </row>
    <row r="333" spans="1:15" ht="12.75" customHeight="1">
      <c r="A333" s="246">
        <f t="shared" si="71"/>
        <v>354</v>
      </c>
      <c r="B333" s="244">
        <f t="shared" si="72"/>
        <v>2</v>
      </c>
      <c r="C333" s="174">
        <f t="shared" si="73"/>
        <v>2</v>
      </c>
      <c r="D333" s="244">
        <f t="shared" si="74"/>
        <v>0</v>
      </c>
      <c r="E333" s="174">
        <f t="shared" si="75"/>
        <v>0</v>
      </c>
      <c r="F333" s="244">
        <f t="shared" si="76"/>
        <v>1</v>
      </c>
      <c r="G333" s="174">
        <f t="shared" si="77"/>
        <v>0</v>
      </c>
      <c r="H333" s="244">
        <f t="shared" si="78"/>
        <v>1</v>
      </c>
      <c r="I333" s="174">
        <f t="shared" si="79"/>
        <v>1</v>
      </c>
      <c r="J333" s="244">
        <f t="shared" si="80"/>
        <v>0</v>
      </c>
      <c r="K333" s="174">
        <f t="shared" si="81"/>
        <v>0</v>
      </c>
      <c r="L333" s="244">
        <f t="shared" si="82"/>
        <v>0</v>
      </c>
      <c r="M333" s="174">
        <v>1</v>
      </c>
      <c r="N333" s="143">
        <f t="shared" ref="N333:N396" si="84">N332+1</f>
        <v>329</v>
      </c>
      <c r="O333" s="143">
        <f t="shared" si="83"/>
        <v>329</v>
      </c>
    </row>
    <row r="334" spans="1:15" ht="12.75" customHeight="1">
      <c r="A334" s="246">
        <f t="shared" si="71"/>
        <v>355</v>
      </c>
      <c r="B334" s="244">
        <f t="shared" si="72"/>
        <v>2</v>
      </c>
      <c r="C334" s="174">
        <f t="shared" si="73"/>
        <v>2</v>
      </c>
      <c r="D334" s="244">
        <f t="shared" si="74"/>
        <v>0</v>
      </c>
      <c r="E334" s="174">
        <f t="shared" si="75"/>
        <v>1</v>
      </c>
      <c r="F334" s="244">
        <f t="shared" si="76"/>
        <v>0</v>
      </c>
      <c r="G334" s="174">
        <f t="shared" si="77"/>
        <v>0</v>
      </c>
      <c r="H334" s="244">
        <f t="shared" si="78"/>
        <v>0</v>
      </c>
      <c r="I334" s="174">
        <f t="shared" si="79"/>
        <v>0</v>
      </c>
      <c r="J334" s="244">
        <f t="shared" si="80"/>
        <v>0</v>
      </c>
      <c r="K334" s="174">
        <f t="shared" si="81"/>
        <v>0</v>
      </c>
      <c r="L334" s="244">
        <f t="shared" si="82"/>
        <v>0</v>
      </c>
      <c r="M334" s="174">
        <v>1</v>
      </c>
      <c r="N334" s="143">
        <f t="shared" si="84"/>
        <v>330</v>
      </c>
      <c r="O334" s="143">
        <f t="shared" si="83"/>
        <v>330</v>
      </c>
    </row>
    <row r="335" spans="1:15" ht="12.75" customHeight="1">
      <c r="A335" s="246">
        <f t="shared" si="71"/>
        <v>356</v>
      </c>
      <c r="B335" s="244">
        <f t="shared" si="72"/>
        <v>2</v>
      </c>
      <c r="C335" s="174">
        <f t="shared" si="73"/>
        <v>2</v>
      </c>
      <c r="D335" s="244">
        <f t="shared" si="74"/>
        <v>0</v>
      </c>
      <c r="E335" s="174">
        <f t="shared" si="75"/>
        <v>1</v>
      </c>
      <c r="F335" s="244">
        <f t="shared" si="76"/>
        <v>0</v>
      </c>
      <c r="G335" s="174">
        <f t="shared" si="77"/>
        <v>0</v>
      </c>
      <c r="H335" s="244">
        <f t="shared" si="78"/>
        <v>0</v>
      </c>
      <c r="I335" s="174">
        <f t="shared" si="79"/>
        <v>0</v>
      </c>
      <c r="J335" s="244">
        <f t="shared" si="80"/>
        <v>0</v>
      </c>
      <c r="K335" s="174">
        <f t="shared" si="81"/>
        <v>0</v>
      </c>
      <c r="L335" s="244">
        <f t="shared" si="82"/>
        <v>1</v>
      </c>
      <c r="M335" s="174">
        <v>1</v>
      </c>
      <c r="N335" s="143">
        <f t="shared" si="84"/>
        <v>331</v>
      </c>
      <c r="O335" s="143">
        <f t="shared" si="83"/>
        <v>331</v>
      </c>
    </row>
    <row r="336" spans="1:15" ht="12.75" customHeight="1">
      <c r="A336" s="246">
        <f t="shared" si="71"/>
        <v>357</v>
      </c>
      <c r="B336" s="244">
        <f t="shared" si="72"/>
        <v>2</v>
      </c>
      <c r="C336" s="174">
        <f t="shared" si="73"/>
        <v>2</v>
      </c>
      <c r="D336" s="244">
        <f t="shared" si="74"/>
        <v>0</v>
      </c>
      <c r="E336" s="174">
        <f t="shared" si="75"/>
        <v>1</v>
      </c>
      <c r="F336" s="244">
        <f t="shared" si="76"/>
        <v>0</v>
      </c>
      <c r="G336" s="174">
        <f t="shared" si="77"/>
        <v>0</v>
      </c>
      <c r="H336" s="244">
        <f t="shared" si="78"/>
        <v>0</v>
      </c>
      <c r="I336" s="174">
        <f t="shared" si="79"/>
        <v>0</v>
      </c>
      <c r="J336" s="244">
        <f t="shared" si="80"/>
        <v>0</v>
      </c>
      <c r="K336" s="174">
        <f t="shared" si="81"/>
        <v>1</v>
      </c>
      <c r="L336" s="244">
        <f t="shared" si="82"/>
        <v>0</v>
      </c>
      <c r="M336" s="174">
        <v>1</v>
      </c>
      <c r="N336" s="143">
        <f t="shared" si="84"/>
        <v>332</v>
      </c>
      <c r="O336" s="143">
        <f t="shared" si="83"/>
        <v>332</v>
      </c>
    </row>
    <row r="337" spans="1:15" ht="12.75" customHeight="1">
      <c r="A337" s="246">
        <f t="shared" si="71"/>
        <v>358</v>
      </c>
      <c r="B337" s="244">
        <f t="shared" si="72"/>
        <v>2</v>
      </c>
      <c r="C337" s="174">
        <f t="shared" si="73"/>
        <v>2</v>
      </c>
      <c r="D337" s="244">
        <f t="shared" si="74"/>
        <v>0</v>
      </c>
      <c r="E337" s="174">
        <f t="shared" si="75"/>
        <v>1</v>
      </c>
      <c r="F337" s="244">
        <f t="shared" si="76"/>
        <v>0</v>
      </c>
      <c r="G337" s="174">
        <f t="shared" si="77"/>
        <v>0</v>
      </c>
      <c r="H337" s="244">
        <f t="shared" si="78"/>
        <v>0</v>
      </c>
      <c r="I337" s="174">
        <f t="shared" si="79"/>
        <v>0</v>
      </c>
      <c r="J337" s="244">
        <f t="shared" si="80"/>
        <v>1</v>
      </c>
      <c r="K337" s="174">
        <f t="shared" si="81"/>
        <v>0</v>
      </c>
      <c r="L337" s="244">
        <f t="shared" si="82"/>
        <v>0</v>
      </c>
      <c r="M337" s="174">
        <v>1</v>
      </c>
      <c r="N337" s="143">
        <f t="shared" si="84"/>
        <v>333</v>
      </c>
      <c r="O337" s="143">
        <f t="shared" si="83"/>
        <v>333</v>
      </c>
    </row>
    <row r="338" spans="1:15" ht="12.75" customHeight="1">
      <c r="A338" s="246">
        <f t="shared" si="71"/>
        <v>359</v>
      </c>
      <c r="B338" s="244">
        <f t="shared" si="72"/>
        <v>2</v>
      </c>
      <c r="C338" s="174">
        <f t="shared" si="73"/>
        <v>2</v>
      </c>
      <c r="D338" s="244">
        <f t="shared" si="74"/>
        <v>0</v>
      </c>
      <c r="E338" s="174">
        <f t="shared" si="75"/>
        <v>1</v>
      </c>
      <c r="F338" s="244">
        <f t="shared" si="76"/>
        <v>0</v>
      </c>
      <c r="G338" s="174">
        <f t="shared" si="77"/>
        <v>0</v>
      </c>
      <c r="H338" s="244">
        <f t="shared" si="78"/>
        <v>0</v>
      </c>
      <c r="I338" s="174">
        <f t="shared" si="79"/>
        <v>1</v>
      </c>
      <c r="J338" s="244">
        <f t="shared" si="80"/>
        <v>0</v>
      </c>
      <c r="K338" s="174">
        <f t="shared" si="81"/>
        <v>0</v>
      </c>
      <c r="L338" s="244">
        <f t="shared" si="82"/>
        <v>0</v>
      </c>
      <c r="M338" s="174">
        <v>1</v>
      </c>
      <c r="N338" s="143">
        <f t="shared" si="84"/>
        <v>334</v>
      </c>
      <c r="O338" s="143">
        <f t="shared" si="83"/>
        <v>334</v>
      </c>
    </row>
    <row r="339" spans="1:15" ht="12.75" customHeight="1">
      <c r="A339" s="246">
        <f t="shared" si="71"/>
        <v>360</v>
      </c>
      <c r="B339" s="244">
        <f t="shared" si="72"/>
        <v>2</v>
      </c>
      <c r="C339" s="174">
        <f t="shared" si="73"/>
        <v>2</v>
      </c>
      <c r="D339" s="244">
        <f t="shared" si="74"/>
        <v>0</v>
      </c>
      <c r="E339" s="174">
        <f t="shared" si="75"/>
        <v>1</v>
      </c>
      <c r="F339" s="244">
        <f t="shared" si="76"/>
        <v>0</v>
      </c>
      <c r="G339" s="174">
        <f t="shared" si="77"/>
        <v>0</v>
      </c>
      <c r="H339" s="244">
        <f t="shared" si="78"/>
        <v>1</v>
      </c>
      <c r="I339" s="174">
        <f t="shared" si="79"/>
        <v>0</v>
      </c>
      <c r="J339" s="244">
        <f t="shared" si="80"/>
        <v>0</v>
      </c>
      <c r="K339" s="174">
        <f t="shared" si="81"/>
        <v>0</v>
      </c>
      <c r="L339" s="244">
        <f t="shared" si="82"/>
        <v>0</v>
      </c>
      <c r="M339" s="174">
        <v>1</v>
      </c>
      <c r="N339" s="143">
        <f t="shared" si="84"/>
        <v>335</v>
      </c>
      <c r="O339" s="143">
        <f t="shared" si="83"/>
        <v>335</v>
      </c>
    </row>
    <row r="340" spans="1:15" ht="12.75" customHeight="1">
      <c r="A340" s="246">
        <f t="shared" si="71"/>
        <v>361</v>
      </c>
      <c r="B340" s="244">
        <f t="shared" si="72"/>
        <v>2</v>
      </c>
      <c r="C340" s="174">
        <f t="shared" si="73"/>
        <v>2</v>
      </c>
      <c r="D340" s="244">
        <f t="shared" si="74"/>
        <v>0</v>
      </c>
      <c r="E340" s="174">
        <f t="shared" si="75"/>
        <v>1</v>
      </c>
      <c r="F340" s="244">
        <f t="shared" si="76"/>
        <v>0</v>
      </c>
      <c r="G340" s="174">
        <f t="shared" si="77"/>
        <v>0</v>
      </c>
      <c r="H340" s="244">
        <f t="shared" si="78"/>
        <v>1</v>
      </c>
      <c r="I340" s="174">
        <f t="shared" si="79"/>
        <v>0</v>
      </c>
      <c r="J340" s="244">
        <f t="shared" si="80"/>
        <v>0</v>
      </c>
      <c r="K340" s="174">
        <f t="shared" si="81"/>
        <v>0</v>
      </c>
      <c r="L340" s="244">
        <f t="shared" si="82"/>
        <v>1</v>
      </c>
      <c r="M340" s="174">
        <v>1</v>
      </c>
      <c r="N340" s="143">
        <f t="shared" si="84"/>
        <v>336</v>
      </c>
      <c r="O340" s="143">
        <f t="shared" si="83"/>
        <v>336</v>
      </c>
    </row>
    <row r="341" spans="1:15" ht="12.75" customHeight="1">
      <c r="A341" s="246">
        <f t="shared" si="71"/>
        <v>362</v>
      </c>
      <c r="B341" s="244">
        <f t="shared" si="72"/>
        <v>2</v>
      </c>
      <c r="C341" s="174">
        <f t="shared" si="73"/>
        <v>2</v>
      </c>
      <c r="D341" s="244">
        <f t="shared" si="74"/>
        <v>0</v>
      </c>
      <c r="E341" s="174">
        <f t="shared" si="75"/>
        <v>1</v>
      </c>
      <c r="F341" s="244">
        <f t="shared" si="76"/>
        <v>0</v>
      </c>
      <c r="G341" s="174">
        <f t="shared" si="77"/>
        <v>0</v>
      </c>
      <c r="H341" s="244">
        <f t="shared" si="78"/>
        <v>1</v>
      </c>
      <c r="I341" s="174">
        <f t="shared" si="79"/>
        <v>0</v>
      </c>
      <c r="J341" s="244">
        <f t="shared" si="80"/>
        <v>0</v>
      </c>
      <c r="K341" s="174">
        <f t="shared" si="81"/>
        <v>1</v>
      </c>
      <c r="L341" s="244">
        <f t="shared" si="82"/>
        <v>0</v>
      </c>
      <c r="M341" s="174">
        <v>1</v>
      </c>
      <c r="N341" s="143">
        <f t="shared" si="84"/>
        <v>337</v>
      </c>
      <c r="O341" s="143">
        <f t="shared" si="83"/>
        <v>337</v>
      </c>
    </row>
    <row r="342" spans="1:15" ht="12.75" customHeight="1">
      <c r="A342" s="246">
        <f t="shared" si="71"/>
        <v>363</v>
      </c>
      <c r="B342" s="244">
        <f t="shared" si="72"/>
        <v>2</v>
      </c>
      <c r="C342" s="174">
        <f t="shared" si="73"/>
        <v>2</v>
      </c>
      <c r="D342" s="244">
        <f t="shared" si="74"/>
        <v>0</v>
      </c>
      <c r="E342" s="174">
        <f t="shared" si="75"/>
        <v>1</v>
      </c>
      <c r="F342" s="244">
        <f t="shared" si="76"/>
        <v>0</v>
      </c>
      <c r="G342" s="174">
        <f t="shared" si="77"/>
        <v>0</v>
      </c>
      <c r="H342" s="244">
        <f t="shared" si="78"/>
        <v>1</v>
      </c>
      <c r="I342" s="174">
        <f t="shared" si="79"/>
        <v>0</v>
      </c>
      <c r="J342" s="244">
        <f t="shared" si="80"/>
        <v>1</v>
      </c>
      <c r="K342" s="174">
        <f t="shared" si="81"/>
        <v>0</v>
      </c>
      <c r="L342" s="244">
        <f t="shared" si="82"/>
        <v>0</v>
      </c>
      <c r="M342" s="174">
        <v>1</v>
      </c>
      <c r="N342" s="143">
        <f t="shared" si="84"/>
        <v>338</v>
      </c>
      <c r="O342" s="143">
        <f t="shared" si="83"/>
        <v>338</v>
      </c>
    </row>
    <row r="343" spans="1:15" ht="12.75" customHeight="1">
      <c r="A343" s="246">
        <f t="shared" si="71"/>
        <v>364</v>
      </c>
      <c r="B343" s="244">
        <f t="shared" si="72"/>
        <v>2</v>
      </c>
      <c r="C343" s="174">
        <f t="shared" si="73"/>
        <v>2</v>
      </c>
      <c r="D343" s="244">
        <f t="shared" si="74"/>
        <v>0</v>
      </c>
      <c r="E343" s="174">
        <f t="shared" si="75"/>
        <v>1</v>
      </c>
      <c r="F343" s="244">
        <f t="shared" si="76"/>
        <v>0</v>
      </c>
      <c r="G343" s="174">
        <f t="shared" si="77"/>
        <v>0</v>
      </c>
      <c r="H343" s="244">
        <f t="shared" si="78"/>
        <v>1</v>
      </c>
      <c r="I343" s="174">
        <f t="shared" si="79"/>
        <v>1</v>
      </c>
      <c r="J343" s="244">
        <f t="shared" si="80"/>
        <v>0</v>
      </c>
      <c r="K343" s="174">
        <f t="shared" si="81"/>
        <v>0</v>
      </c>
      <c r="L343" s="244">
        <f t="shared" si="82"/>
        <v>0</v>
      </c>
      <c r="M343" s="174">
        <v>1</v>
      </c>
      <c r="N343" s="143">
        <f t="shared" si="84"/>
        <v>339</v>
      </c>
      <c r="O343" s="143">
        <f t="shared" si="83"/>
        <v>339</v>
      </c>
    </row>
    <row r="344" spans="1:15" ht="12.75" customHeight="1">
      <c r="A344" s="246">
        <f t="shared" si="71"/>
        <v>365</v>
      </c>
      <c r="B344" s="244">
        <f t="shared" si="72"/>
        <v>2</v>
      </c>
      <c r="C344" s="174">
        <f t="shared" si="73"/>
        <v>2</v>
      </c>
      <c r="D344" s="244">
        <f t="shared" si="74"/>
        <v>0</v>
      </c>
      <c r="E344" s="174">
        <f t="shared" si="75"/>
        <v>1</v>
      </c>
      <c r="F344" s="244">
        <f t="shared" si="76"/>
        <v>0</v>
      </c>
      <c r="G344" s="174">
        <f t="shared" si="77"/>
        <v>1</v>
      </c>
      <c r="H344" s="244">
        <f t="shared" si="78"/>
        <v>0</v>
      </c>
      <c r="I344" s="174">
        <f t="shared" si="79"/>
        <v>0</v>
      </c>
      <c r="J344" s="244">
        <f t="shared" si="80"/>
        <v>0</v>
      </c>
      <c r="K344" s="174">
        <f t="shared" si="81"/>
        <v>0</v>
      </c>
      <c r="L344" s="244">
        <f t="shared" si="82"/>
        <v>0</v>
      </c>
      <c r="M344" s="174">
        <v>1</v>
      </c>
      <c r="N344" s="143">
        <f t="shared" si="84"/>
        <v>340</v>
      </c>
      <c r="O344" s="143">
        <f t="shared" si="83"/>
        <v>340</v>
      </c>
    </row>
    <row r="345" spans="1:15" ht="12.75" customHeight="1">
      <c r="A345" s="246">
        <f t="shared" si="71"/>
        <v>366</v>
      </c>
      <c r="B345" s="244">
        <f t="shared" si="72"/>
        <v>2</v>
      </c>
      <c r="C345" s="174">
        <f t="shared" si="73"/>
        <v>2</v>
      </c>
      <c r="D345" s="244">
        <f t="shared" si="74"/>
        <v>0</v>
      </c>
      <c r="E345" s="174">
        <f t="shared" si="75"/>
        <v>1</v>
      </c>
      <c r="F345" s="244">
        <f t="shared" si="76"/>
        <v>0</v>
      </c>
      <c r="G345" s="174">
        <f t="shared" si="77"/>
        <v>1</v>
      </c>
      <c r="H345" s="244">
        <f t="shared" si="78"/>
        <v>0</v>
      </c>
      <c r="I345" s="174">
        <f t="shared" si="79"/>
        <v>0</v>
      </c>
      <c r="J345" s="244">
        <f t="shared" si="80"/>
        <v>0</v>
      </c>
      <c r="K345" s="174">
        <f t="shared" si="81"/>
        <v>0</v>
      </c>
      <c r="L345" s="244">
        <f t="shared" si="82"/>
        <v>1</v>
      </c>
      <c r="M345" s="174">
        <v>1</v>
      </c>
      <c r="N345" s="143">
        <f t="shared" si="84"/>
        <v>341</v>
      </c>
      <c r="O345" s="143">
        <f t="shared" si="83"/>
        <v>341</v>
      </c>
    </row>
    <row r="346" spans="1:15" ht="12.75" customHeight="1">
      <c r="A346" s="246">
        <f t="shared" si="71"/>
        <v>367</v>
      </c>
      <c r="B346" s="244">
        <f t="shared" si="72"/>
        <v>2</v>
      </c>
      <c r="C346" s="174">
        <f t="shared" si="73"/>
        <v>2</v>
      </c>
      <c r="D346" s="244">
        <f t="shared" si="74"/>
        <v>0</v>
      </c>
      <c r="E346" s="174">
        <f t="shared" si="75"/>
        <v>1</v>
      </c>
      <c r="F346" s="244">
        <f t="shared" si="76"/>
        <v>0</v>
      </c>
      <c r="G346" s="174">
        <f t="shared" si="77"/>
        <v>1</v>
      </c>
      <c r="H346" s="244">
        <f t="shared" si="78"/>
        <v>0</v>
      </c>
      <c r="I346" s="174">
        <f t="shared" si="79"/>
        <v>0</v>
      </c>
      <c r="J346" s="244">
        <f t="shared" si="80"/>
        <v>0</v>
      </c>
      <c r="K346" s="174">
        <f t="shared" si="81"/>
        <v>1</v>
      </c>
      <c r="L346" s="244">
        <f t="shared" si="82"/>
        <v>0</v>
      </c>
      <c r="M346" s="174">
        <v>1</v>
      </c>
      <c r="N346" s="143">
        <f t="shared" si="84"/>
        <v>342</v>
      </c>
      <c r="O346" s="143">
        <f t="shared" si="83"/>
        <v>342</v>
      </c>
    </row>
    <row r="347" spans="1:15" ht="12.75" customHeight="1">
      <c r="A347" s="246">
        <f t="shared" si="71"/>
        <v>368</v>
      </c>
      <c r="B347" s="244">
        <f t="shared" si="72"/>
        <v>2</v>
      </c>
      <c r="C347" s="174">
        <f t="shared" si="73"/>
        <v>2</v>
      </c>
      <c r="D347" s="244">
        <f t="shared" si="74"/>
        <v>0</v>
      </c>
      <c r="E347" s="174">
        <f t="shared" si="75"/>
        <v>1</v>
      </c>
      <c r="F347" s="244">
        <f t="shared" si="76"/>
        <v>0</v>
      </c>
      <c r="G347" s="174">
        <f t="shared" si="77"/>
        <v>1</v>
      </c>
      <c r="H347" s="244">
        <f t="shared" si="78"/>
        <v>0</v>
      </c>
      <c r="I347" s="174">
        <f t="shared" si="79"/>
        <v>0</v>
      </c>
      <c r="J347" s="244">
        <f t="shared" si="80"/>
        <v>1</v>
      </c>
      <c r="K347" s="174">
        <f t="shared" si="81"/>
        <v>0</v>
      </c>
      <c r="L347" s="244">
        <f t="shared" si="82"/>
        <v>0</v>
      </c>
      <c r="M347" s="174">
        <v>1</v>
      </c>
      <c r="N347" s="143">
        <f t="shared" si="84"/>
        <v>343</v>
      </c>
      <c r="O347" s="143">
        <f t="shared" si="83"/>
        <v>343</v>
      </c>
    </row>
    <row r="348" spans="1:15" ht="12.75" customHeight="1">
      <c r="A348" s="246">
        <f t="shared" si="71"/>
        <v>369</v>
      </c>
      <c r="B348" s="244">
        <f t="shared" si="72"/>
        <v>2</v>
      </c>
      <c r="C348" s="174">
        <f t="shared" si="73"/>
        <v>2</v>
      </c>
      <c r="D348" s="244">
        <f t="shared" si="74"/>
        <v>0</v>
      </c>
      <c r="E348" s="174">
        <f t="shared" si="75"/>
        <v>1</v>
      </c>
      <c r="F348" s="244">
        <f t="shared" si="76"/>
        <v>0</v>
      </c>
      <c r="G348" s="174">
        <f t="shared" si="77"/>
        <v>1</v>
      </c>
      <c r="H348" s="244">
        <f t="shared" si="78"/>
        <v>0</v>
      </c>
      <c r="I348" s="174">
        <f t="shared" si="79"/>
        <v>1</v>
      </c>
      <c r="J348" s="244">
        <f t="shared" si="80"/>
        <v>0</v>
      </c>
      <c r="K348" s="174">
        <f t="shared" si="81"/>
        <v>0</v>
      </c>
      <c r="L348" s="244">
        <f t="shared" si="82"/>
        <v>0</v>
      </c>
      <c r="M348" s="174">
        <v>1</v>
      </c>
      <c r="N348" s="143">
        <f t="shared" si="84"/>
        <v>344</v>
      </c>
      <c r="O348" s="143">
        <f t="shared" si="83"/>
        <v>344</v>
      </c>
    </row>
    <row r="349" spans="1:15" ht="12.75" customHeight="1">
      <c r="A349" s="246">
        <f t="shared" si="71"/>
        <v>370</v>
      </c>
      <c r="B349" s="244">
        <f t="shared" si="72"/>
        <v>2</v>
      </c>
      <c r="C349" s="174">
        <f t="shared" si="73"/>
        <v>2</v>
      </c>
      <c r="D349" s="244">
        <f t="shared" si="74"/>
        <v>0</v>
      </c>
      <c r="E349" s="174">
        <f t="shared" si="75"/>
        <v>1</v>
      </c>
      <c r="F349" s="244">
        <f t="shared" si="76"/>
        <v>0</v>
      </c>
      <c r="G349" s="174">
        <f t="shared" si="77"/>
        <v>1</v>
      </c>
      <c r="H349" s="244">
        <f t="shared" si="78"/>
        <v>1</v>
      </c>
      <c r="I349" s="174">
        <f t="shared" si="79"/>
        <v>0</v>
      </c>
      <c r="J349" s="244">
        <f t="shared" si="80"/>
        <v>0</v>
      </c>
      <c r="K349" s="174">
        <f t="shared" si="81"/>
        <v>0</v>
      </c>
      <c r="L349" s="244">
        <f t="shared" si="82"/>
        <v>0</v>
      </c>
      <c r="M349" s="174">
        <v>1</v>
      </c>
      <c r="N349" s="143">
        <f t="shared" si="84"/>
        <v>345</v>
      </c>
      <c r="O349" s="143">
        <f t="shared" si="83"/>
        <v>345</v>
      </c>
    </row>
    <row r="350" spans="1:15" ht="12.75" customHeight="1">
      <c r="A350" s="246">
        <f t="shared" si="71"/>
        <v>371</v>
      </c>
      <c r="B350" s="244">
        <f t="shared" si="72"/>
        <v>2</v>
      </c>
      <c r="C350" s="174">
        <f t="shared" si="73"/>
        <v>2</v>
      </c>
      <c r="D350" s="244">
        <f t="shared" si="74"/>
        <v>0</v>
      </c>
      <c r="E350" s="174">
        <f t="shared" si="75"/>
        <v>1</v>
      </c>
      <c r="F350" s="244">
        <f t="shared" si="76"/>
        <v>0</v>
      </c>
      <c r="G350" s="174">
        <f t="shared" si="77"/>
        <v>1</v>
      </c>
      <c r="H350" s="244">
        <f t="shared" si="78"/>
        <v>1</v>
      </c>
      <c r="I350" s="174">
        <f t="shared" si="79"/>
        <v>0</v>
      </c>
      <c r="J350" s="244">
        <f t="shared" si="80"/>
        <v>0</v>
      </c>
      <c r="K350" s="174">
        <f t="shared" si="81"/>
        <v>0</v>
      </c>
      <c r="L350" s="244">
        <f t="shared" si="82"/>
        <v>1</v>
      </c>
      <c r="M350" s="174">
        <v>1</v>
      </c>
      <c r="N350" s="143">
        <f t="shared" si="84"/>
        <v>346</v>
      </c>
      <c r="O350" s="143">
        <f t="shared" si="83"/>
        <v>346</v>
      </c>
    </row>
    <row r="351" spans="1:15" ht="12.75" customHeight="1">
      <c r="A351" s="246">
        <f t="shared" si="71"/>
        <v>372</v>
      </c>
      <c r="B351" s="244">
        <f t="shared" si="72"/>
        <v>2</v>
      </c>
      <c r="C351" s="174">
        <f t="shared" si="73"/>
        <v>2</v>
      </c>
      <c r="D351" s="244">
        <f t="shared" si="74"/>
        <v>0</v>
      </c>
      <c r="E351" s="174">
        <f t="shared" si="75"/>
        <v>1</v>
      </c>
      <c r="F351" s="244">
        <f t="shared" si="76"/>
        <v>0</v>
      </c>
      <c r="G351" s="174">
        <f t="shared" si="77"/>
        <v>1</v>
      </c>
      <c r="H351" s="244">
        <f t="shared" si="78"/>
        <v>1</v>
      </c>
      <c r="I351" s="174">
        <f t="shared" si="79"/>
        <v>0</v>
      </c>
      <c r="J351" s="244">
        <f t="shared" si="80"/>
        <v>0</v>
      </c>
      <c r="K351" s="174">
        <f t="shared" si="81"/>
        <v>1</v>
      </c>
      <c r="L351" s="244">
        <f t="shared" si="82"/>
        <v>0</v>
      </c>
      <c r="M351" s="174">
        <v>1</v>
      </c>
      <c r="N351" s="143">
        <f t="shared" si="84"/>
        <v>347</v>
      </c>
      <c r="O351" s="143">
        <f t="shared" si="83"/>
        <v>347</v>
      </c>
    </row>
    <row r="352" spans="1:15" ht="12.75" customHeight="1">
      <c r="A352" s="246">
        <f t="shared" si="71"/>
        <v>373</v>
      </c>
      <c r="B352" s="244">
        <f t="shared" si="72"/>
        <v>2</v>
      </c>
      <c r="C352" s="174">
        <f t="shared" si="73"/>
        <v>2</v>
      </c>
      <c r="D352" s="244">
        <f t="shared" si="74"/>
        <v>0</v>
      </c>
      <c r="E352" s="174">
        <f t="shared" si="75"/>
        <v>1</v>
      </c>
      <c r="F352" s="244">
        <f t="shared" si="76"/>
        <v>0</v>
      </c>
      <c r="G352" s="174">
        <f t="shared" si="77"/>
        <v>1</v>
      </c>
      <c r="H352" s="244">
        <f t="shared" si="78"/>
        <v>1</v>
      </c>
      <c r="I352" s="174">
        <f t="shared" si="79"/>
        <v>0</v>
      </c>
      <c r="J352" s="244">
        <f t="shared" si="80"/>
        <v>1</v>
      </c>
      <c r="K352" s="174">
        <f t="shared" si="81"/>
        <v>0</v>
      </c>
      <c r="L352" s="244">
        <f t="shared" si="82"/>
        <v>0</v>
      </c>
      <c r="M352" s="174">
        <v>1</v>
      </c>
      <c r="N352" s="143">
        <f t="shared" si="84"/>
        <v>348</v>
      </c>
      <c r="O352" s="143">
        <f t="shared" si="83"/>
        <v>348</v>
      </c>
    </row>
    <row r="353" spans="1:15" ht="12.75" customHeight="1">
      <c r="A353" s="246">
        <f t="shared" si="71"/>
        <v>374</v>
      </c>
      <c r="B353" s="244">
        <f t="shared" si="72"/>
        <v>2</v>
      </c>
      <c r="C353" s="174">
        <f t="shared" si="73"/>
        <v>2</v>
      </c>
      <c r="D353" s="244">
        <f t="shared" si="74"/>
        <v>0</v>
      </c>
      <c r="E353" s="174">
        <f t="shared" si="75"/>
        <v>1</v>
      </c>
      <c r="F353" s="244">
        <f t="shared" si="76"/>
        <v>0</v>
      </c>
      <c r="G353" s="174">
        <f t="shared" si="77"/>
        <v>1</v>
      </c>
      <c r="H353" s="244">
        <f t="shared" si="78"/>
        <v>1</v>
      </c>
      <c r="I353" s="174">
        <f t="shared" si="79"/>
        <v>1</v>
      </c>
      <c r="J353" s="244">
        <f t="shared" si="80"/>
        <v>0</v>
      </c>
      <c r="K353" s="174">
        <f t="shared" si="81"/>
        <v>0</v>
      </c>
      <c r="L353" s="244">
        <f t="shared" si="82"/>
        <v>0</v>
      </c>
      <c r="M353" s="174">
        <v>1</v>
      </c>
      <c r="N353" s="143">
        <f t="shared" si="84"/>
        <v>349</v>
      </c>
      <c r="O353" s="143">
        <f t="shared" si="83"/>
        <v>349</v>
      </c>
    </row>
    <row r="354" spans="1:15" ht="12.75" customHeight="1">
      <c r="A354" s="246">
        <f t="shared" si="71"/>
        <v>375</v>
      </c>
      <c r="B354" s="244">
        <f t="shared" si="72"/>
        <v>2</v>
      </c>
      <c r="C354" s="174">
        <f t="shared" si="73"/>
        <v>3</v>
      </c>
      <c r="D354" s="244">
        <f t="shared" si="74"/>
        <v>0</v>
      </c>
      <c r="E354" s="174">
        <f t="shared" si="75"/>
        <v>0</v>
      </c>
      <c r="F354" s="244">
        <f t="shared" si="76"/>
        <v>0</v>
      </c>
      <c r="G354" s="174">
        <f t="shared" si="77"/>
        <v>0</v>
      </c>
      <c r="H354" s="244">
        <f t="shared" si="78"/>
        <v>0</v>
      </c>
      <c r="I354" s="174">
        <f t="shared" si="79"/>
        <v>0</v>
      </c>
      <c r="J354" s="244">
        <f t="shared" si="80"/>
        <v>0</v>
      </c>
      <c r="K354" s="174">
        <f t="shared" si="81"/>
        <v>0</v>
      </c>
      <c r="L354" s="244">
        <f t="shared" si="82"/>
        <v>0</v>
      </c>
      <c r="M354" s="174">
        <v>1</v>
      </c>
      <c r="N354" s="143">
        <f t="shared" si="84"/>
        <v>350</v>
      </c>
      <c r="O354" s="143">
        <f t="shared" si="83"/>
        <v>350</v>
      </c>
    </row>
    <row r="355" spans="1:15" ht="12.75" customHeight="1">
      <c r="A355" s="246">
        <f t="shared" si="71"/>
        <v>376</v>
      </c>
      <c r="B355" s="244">
        <f t="shared" si="72"/>
        <v>2</v>
      </c>
      <c r="C355" s="174">
        <f t="shared" si="73"/>
        <v>3</v>
      </c>
      <c r="D355" s="244">
        <f t="shared" si="74"/>
        <v>0</v>
      </c>
      <c r="E355" s="174">
        <f t="shared" si="75"/>
        <v>0</v>
      </c>
      <c r="F355" s="244">
        <f t="shared" si="76"/>
        <v>0</v>
      </c>
      <c r="G355" s="174">
        <f t="shared" si="77"/>
        <v>0</v>
      </c>
      <c r="H355" s="244">
        <f t="shared" si="78"/>
        <v>0</v>
      </c>
      <c r="I355" s="174">
        <f t="shared" si="79"/>
        <v>0</v>
      </c>
      <c r="J355" s="244">
        <f t="shared" si="80"/>
        <v>0</v>
      </c>
      <c r="K355" s="174">
        <f t="shared" si="81"/>
        <v>0</v>
      </c>
      <c r="L355" s="244">
        <f t="shared" si="82"/>
        <v>1</v>
      </c>
      <c r="M355" s="174">
        <v>1</v>
      </c>
      <c r="N355" s="143">
        <f t="shared" si="84"/>
        <v>351</v>
      </c>
      <c r="O355" s="143">
        <f t="shared" si="83"/>
        <v>351</v>
      </c>
    </row>
    <row r="356" spans="1:15" ht="12.75" customHeight="1">
      <c r="A356" s="246">
        <f t="shared" si="71"/>
        <v>377</v>
      </c>
      <c r="B356" s="244">
        <f t="shared" si="72"/>
        <v>2</v>
      </c>
      <c r="C356" s="174">
        <f t="shared" si="73"/>
        <v>3</v>
      </c>
      <c r="D356" s="244">
        <f t="shared" si="74"/>
        <v>0</v>
      </c>
      <c r="E356" s="174">
        <f t="shared" si="75"/>
        <v>0</v>
      </c>
      <c r="F356" s="244">
        <f t="shared" si="76"/>
        <v>0</v>
      </c>
      <c r="G356" s="174">
        <f t="shared" si="77"/>
        <v>0</v>
      </c>
      <c r="H356" s="244">
        <f t="shared" si="78"/>
        <v>0</v>
      </c>
      <c r="I356" s="174">
        <f t="shared" si="79"/>
        <v>0</v>
      </c>
      <c r="J356" s="244">
        <f t="shared" si="80"/>
        <v>0</v>
      </c>
      <c r="K356" s="174">
        <f t="shared" si="81"/>
        <v>1</v>
      </c>
      <c r="L356" s="244">
        <f t="shared" si="82"/>
        <v>0</v>
      </c>
      <c r="M356" s="174">
        <v>1</v>
      </c>
      <c r="N356" s="143">
        <f t="shared" si="84"/>
        <v>352</v>
      </c>
      <c r="O356" s="143">
        <f t="shared" si="83"/>
        <v>352</v>
      </c>
    </row>
    <row r="357" spans="1:15" ht="12.75" customHeight="1">
      <c r="A357" s="246">
        <f t="shared" si="71"/>
        <v>378</v>
      </c>
      <c r="B357" s="244">
        <f t="shared" si="72"/>
        <v>2</v>
      </c>
      <c r="C357" s="174">
        <f t="shared" si="73"/>
        <v>3</v>
      </c>
      <c r="D357" s="244">
        <f t="shared" si="74"/>
        <v>0</v>
      </c>
      <c r="E357" s="174">
        <f t="shared" si="75"/>
        <v>0</v>
      </c>
      <c r="F357" s="244">
        <f t="shared" si="76"/>
        <v>0</v>
      </c>
      <c r="G357" s="174">
        <f t="shared" si="77"/>
        <v>0</v>
      </c>
      <c r="H357" s="244">
        <f t="shared" si="78"/>
        <v>0</v>
      </c>
      <c r="I357" s="174">
        <f t="shared" si="79"/>
        <v>0</v>
      </c>
      <c r="J357" s="244">
        <f t="shared" si="80"/>
        <v>1</v>
      </c>
      <c r="K357" s="174">
        <f t="shared" si="81"/>
        <v>0</v>
      </c>
      <c r="L357" s="244">
        <f t="shared" si="82"/>
        <v>0</v>
      </c>
      <c r="M357" s="174">
        <v>1</v>
      </c>
      <c r="N357" s="143">
        <f t="shared" si="84"/>
        <v>353</v>
      </c>
      <c r="O357" s="143">
        <f t="shared" si="83"/>
        <v>353</v>
      </c>
    </row>
    <row r="358" spans="1:15" ht="12.75" customHeight="1">
      <c r="A358" s="246">
        <f t="shared" si="71"/>
        <v>379</v>
      </c>
      <c r="B358" s="244">
        <f t="shared" si="72"/>
        <v>2</v>
      </c>
      <c r="C358" s="174">
        <f t="shared" si="73"/>
        <v>3</v>
      </c>
      <c r="D358" s="244">
        <f t="shared" si="74"/>
        <v>0</v>
      </c>
      <c r="E358" s="174">
        <f t="shared" si="75"/>
        <v>0</v>
      </c>
      <c r="F358" s="244">
        <f t="shared" si="76"/>
        <v>0</v>
      </c>
      <c r="G358" s="174">
        <f t="shared" si="77"/>
        <v>0</v>
      </c>
      <c r="H358" s="244">
        <f t="shared" si="78"/>
        <v>0</v>
      </c>
      <c r="I358" s="174">
        <f t="shared" si="79"/>
        <v>1</v>
      </c>
      <c r="J358" s="244">
        <f t="shared" si="80"/>
        <v>0</v>
      </c>
      <c r="K358" s="174">
        <f t="shared" si="81"/>
        <v>0</v>
      </c>
      <c r="L358" s="244">
        <f t="shared" si="82"/>
        <v>0</v>
      </c>
      <c r="M358" s="174">
        <v>1</v>
      </c>
      <c r="N358" s="143">
        <f t="shared" si="84"/>
        <v>354</v>
      </c>
      <c r="O358" s="143">
        <f t="shared" si="83"/>
        <v>354</v>
      </c>
    </row>
    <row r="359" spans="1:15" ht="12.75" customHeight="1">
      <c r="A359" s="246">
        <f t="shared" si="71"/>
        <v>380</v>
      </c>
      <c r="B359" s="244">
        <f t="shared" si="72"/>
        <v>2</v>
      </c>
      <c r="C359" s="174">
        <f t="shared" si="73"/>
        <v>3</v>
      </c>
      <c r="D359" s="244">
        <f t="shared" si="74"/>
        <v>0</v>
      </c>
      <c r="E359" s="174">
        <f t="shared" si="75"/>
        <v>0</v>
      </c>
      <c r="F359" s="244">
        <f t="shared" si="76"/>
        <v>0</v>
      </c>
      <c r="G359" s="174">
        <f t="shared" si="77"/>
        <v>0</v>
      </c>
      <c r="H359" s="244">
        <f t="shared" si="78"/>
        <v>1</v>
      </c>
      <c r="I359" s="174">
        <f t="shared" si="79"/>
        <v>0</v>
      </c>
      <c r="J359" s="244">
        <f t="shared" si="80"/>
        <v>0</v>
      </c>
      <c r="K359" s="174">
        <f t="shared" si="81"/>
        <v>0</v>
      </c>
      <c r="L359" s="244">
        <f t="shared" si="82"/>
        <v>0</v>
      </c>
      <c r="M359" s="174">
        <v>1</v>
      </c>
      <c r="N359" s="143">
        <f t="shared" si="84"/>
        <v>355</v>
      </c>
      <c r="O359" s="143">
        <f t="shared" si="83"/>
        <v>355</v>
      </c>
    </row>
    <row r="360" spans="1:15" ht="12.75" customHeight="1">
      <c r="A360" s="246">
        <f t="shared" si="71"/>
        <v>381</v>
      </c>
      <c r="B360" s="244">
        <f t="shared" si="72"/>
        <v>2</v>
      </c>
      <c r="C360" s="174">
        <f t="shared" si="73"/>
        <v>3</v>
      </c>
      <c r="D360" s="244">
        <f t="shared" si="74"/>
        <v>0</v>
      </c>
      <c r="E360" s="174">
        <f t="shared" si="75"/>
        <v>0</v>
      </c>
      <c r="F360" s="244">
        <f t="shared" si="76"/>
        <v>0</v>
      </c>
      <c r="G360" s="174">
        <f t="shared" si="77"/>
        <v>0</v>
      </c>
      <c r="H360" s="244">
        <f t="shared" si="78"/>
        <v>1</v>
      </c>
      <c r="I360" s="174">
        <f t="shared" si="79"/>
        <v>0</v>
      </c>
      <c r="J360" s="244">
        <f t="shared" si="80"/>
        <v>0</v>
      </c>
      <c r="K360" s="174">
        <f t="shared" si="81"/>
        <v>0</v>
      </c>
      <c r="L360" s="244">
        <f t="shared" si="82"/>
        <v>1</v>
      </c>
      <c r="M360" s="174">
        <v>1</v>
      </c>
      <c r="N360" s="143">
        <f t="shared" si="84"/>
        <v>356</v>
      </c>
      <c r="O360" s="143">
        <f t="shared" si="83"/>
        <v>356</v>
      </c>
    </row>
    <row r="361" spans="1:15" ht="12.75" customHeight="1">
      <c r="A361" s="246">
        <f t="shared" si="71"/>
        <v>382</v>
      </c>
      <c r="B361" s="244">
        <f t="shared" si="72"/>
        <v>2</v>
      </c>
      <c r="C361" s="174">
        <f t="shared" si="73"/>
        <v>3</v>
      </c>
      <c r="D361" s="244">
        <f t="shared" si="74"/>
        <v>0</v>
      </c>
      <c r="E361" s="174">
        <f t="shared" si="75"/>
        <v>0</v>
      </c>
      <c r="F361" s="244">
        <f t="shared" si="76"/>
        <v>0</v>
      </c>
      <c r="G361" s="174">
        <f t="shared" si="77"/>
        <v>0</v>
      </c>
      <c r="H361" s="244">
        <f t="shared" si="78"/>
        <v>1</v>
      </c>
      <c r="I361" s="174">
        <f t="shared" si="79"/>
        <v>0</v>
      </c>
      <c r="J361" s="244">
        <f t="shared" si="80"/>
        <v>0</v>
      </c>
      <c r="K361" s="174">
        <f t="shared" si="81"/>
        <v>1</v>
      </c>
      <c r="L361" s="244">
        <f t="shared" si="82"/>
        <v>0</v>
      </c>
      <c r="M361" s="174">
        <v>1</v>
      </c>
      <c r="N361" s="143">
        <f t="shared" si="84"/>
        <v>357</v>
      </c>
      <c r="O361" s="143">
        <f t="shared" si="83"/>
        <v>357</v>
      </c>
    </row>
    <row r="362" spans="1:15" ht="12.75" customHeight="1">
      <c r="A362" s="246">
        <f t="shared" si="71"/>
        <v>383</v>
      </c>
      <c r="B362" s="244">
        <f t="shared" si="72"/>
        <v>2</v>
      </c>
      <c r="C362" s="174">
        <f t="shared" si="73"/>
        <v>3</v>
      </c>
      <c r="D362" s="244">
        <f t="shared" si="74"/>
        <v>0</v>
      </c>
      <c r="E362" s="174">
        <f t="shared" si="75"/>
        <v>0</v>
      </c>
      <c r="F362" s="244">
        <f t="shared" si="76"/>
        <v>0</v>
      </c>
      <c r="G362" s="174">
        <f t="shared" si="77"/>
        <v>0</v>
      </c>
      <c r="H362" s="244">
        <f t="shared" si="78"/>
        <v>1</v>
      </c>
      <c r="I362" s="174">
        <f t="shared" si="79"/>
        <v>0</v>
      </c>
      <c r="J362" s="244">
        <f t="shared" si="80"/>
        <v>1</v>
      </c>
      <c r="K362" s="174">
        <f t="shared" si="81"/>
        <v>0</v>
      </c>
      <c r="L362" s="244">
        <f t="shared" si="82"/>
        <v>0</v>
      </c>
      <c r="M362" s="174">
        <v>1</v>
      </c>
      <c r="N362" s="143">
        <f t="shared" si="84"/>
        <v>358</v>
      </c>
      <c r="O362" s="143">
        <f t="shared" si="83"/>
        <v>358</v>
      </c>
    </row>
    <row r="363" spans="1:15" ht="12.75" customHeight="1">
      <c r="A363" s="246">
        <f t="shared" si="71"/>
        <v>384</v>
      </c>
      <c r="B363" s="244">
        <f t="shared" si="72"/>
        <v>2</v>
      </c>
      <c r="C363" s="174">
        <f t="shared" si="73"/>
        <v>3</v>
      </c>
      <c r="D363" s="244">
        <f t="shared" si="74"/>
        <v>0</v>
      </c>
      <c r="E363" s="174">
        <f t="shared" si="75"/>
        <v>0</v>
      </c>
      <c r="F363" s="244">
        <f t="shared" si="76"/>
        <v>0</v>
      </c>
      <c r="G363" s="174">
        <f t="shared" si="77"/>
        <v>0</v>
      </c>
      <c r="H363" s="244">
        <f t="shared" si="78"/>
        <v>1</v>
      </c>
      <c r="I363" s="174">
        <f t="shared" si="79"/>
        <v>1</v>
      </c>
      <c r="J363" s="244">
        <f t="shared" si="80"/>
        <v>0</v>
      </c>
      <c r="K363" s="174">
        <f t="shared" si="81"/>
        <v>0</v>
      </c>
      <c r="L363" s="244">
        <f t="shared" si="82"/>
        <v>0</v>
      </c>
      <c r="M363" s="174">
        <v>1</v>
      </c>
      <c r="N363" s="143">
        <f t="shared" si="84"/>
        <v>359</v>
      </c>
      <c r="O363" s="143">
        <f t="shared" si="83"/>
        <v>359</v>
      </c>
    </row>
    <row r="364" spans="1:15" ht="12.75" customHeight="1">
      <c r="A364" s="246">
        <f t="shared" si="71"/>
        <v>385</v>
      </c>
      <c r="B364" s="244">
        <f t="shared" si="72"/>
        <v>2</v>
      </c>
      <c r="C364" s="174">
        <f t="shared" si="73"/>
        <v>3</v>
      </c>
      <c r="D364" s="244">
        <f t="shared" si="74"/>
        <v>0</v>
      </c>
      <c r="E364" s="174">
        <f t="shared" si="75"/>
        <v>0</v>
      </c>
      <c r="F364" s="244">
        <f t="shared" si="76"/>
        <v>0</v>
      </c>
      <c r="G364" s="174">
        <f t="shared" si="77"/>
        <v>1</v>
      </c>
      <c r="H364" s="244">
        <f t="shared" si="78"/>
        <v>0</v>
      </c>
      <c r="I364" s="174">
        <f t="shared" si="79"/>
        <v>0</v>
      </c>
      <c r="J364" s="244">
        <f t="shared" si="80"/>
        <v>0</v>
      </c>
      <c r="K364" s="174">
        <f t="shared" si="81"/>
        <v>0</v>
      </c>
      <c r="L364" s="244">
        <f t="shared" si="82"/>
        <v>0</v>
      </c>
      <c r="M364" s="174">
        <v>1</v>
      </c>
      <c r="N364" s="143">
        <f t="shared" si="84"/>
        <v>360</v>
      </c>
      <c r="O364" s="143">
        <f t="shared" si="83"/>
        <v>360</v>
      </c>
    </row>
    <row r="365" spans="1:15" ht="12.75" customHeight="1">
      <c r="A365" s="246">
        <f t="shared" si="71"/>
        <v>386</v>
      </c>
      <c r="B365" s="244">
        <f t="shared" si="72"/>
        <v>2</v>
      </c>
      <c r="C365" s="174">
        <f t="shared" si="73"/>
        <v>3</v>
      </c>
      <c r="D365" s="244">
        <f t="shared" si="74"/>
        <v>0</v>
      </c>
      <c r="E365" s="174">
        <f t="shared" si="75"/>
        <v>0</v>
      </c>
      <c r="F365" s="244">
        <f t="shared" si="76"/>
        <v>0</v>
      </c>
      <c r="G365" s="174">
        <f t="shared" si="77"/>
        <v>1</v>
      </c>
      <c r="H365" s="244">
        <f t="shared" si="78"/>
        <v>0</v>
      </c>
      <c r="I365" s="174">
        <f t="shared" si="79"/>
        <v>0</v>
      </c>
      <c r="J365" s="244">
        <f t="shared" si="80"/>
        <v>0</v>
      </c>
      <c r="K365" s="174">
        <f t="shared" si="81"/>
        <v>0</v>
      </c>
      <c r="L365" s="244">
        <f t="shared" si="82"/>
        <v>1</v>
      </c>
      <c r="M365" s="174">
        <v>1</v>
      </c>
      <c r="N365" s="143">
        <f t="shared" si="84"/>
        <v>361</v>
      </c>
      <c r="O365" s="143">
        <f t="shared" si="83"/>
        <v>361</v>
      </c>
    </row>
    <row r="366" spans="1:15" ht="12.75" customHeight="1">
      <c r="A366" s="246">
        <f t="shared" si="71"/>
        <v>387</v>
      </c>
      <c r="B366" s="244">
        <f t="shared" si="72"/>
        <v>2</v>
      </c>
      <c r="C366" s="174">
        <f t="shared" si="73"/>
        <v>3</v>
      </c>
      <c r="D366" s="244">
        <f t="shared" si="74"/>
        <v>0</v>
      </c>
      <c r="E366" s="174">
        <f t="shared" si="75"/>
        <v>0</v>
      </c>
      <c r="F366" s="244">
        <f t="shared" si="76"/>
        <v>0</v>
      </c>
      <c r="G366" s="174">
        <f t="shared" si="77"/>
        <v>1</v>
      </c>
      <c r="H366" s="244">
        <f t="shared" si="78"/>
        <v>0</v>
      </c>
      <c r="I366" s="174">
        <f t="shared" si="79"/>
        <v>0</v>
      </c>
      <c r="J366" s="244">
        <f t="shared" si="80"/>
        <v>0</v>
      </c>
      <c r="K366" s="174">
        <f t="shared" si="81"/>
        <v>1</v>
      </c>
      <c r="L366" s="244">
        <f t="shared" si="82"/>
        <v>0</v>
      </c>
      <c r="M366" s="174">
        <v>1</v>
      </c>
      <c r="N366" s="143">
        <f t="shared" si="84"/>
        <v>362</v>
      </c>
      <c r="O366" s="143">
        <f t="shared" si="83"/>
        <v>362</v>
      </c>
    </row>
    <row r="367" spans="1:15" ht="12.75" customHeight="1">
      <c r="A367" s="246">
        <f t="shared" si="71"/>
        <v>388</v>
      </c>
      <c r="B367" s="244">
        <f t="shared" si="72"/>
        <v>2</v>
      </c>
      <c r="C367" s="174">
        <f t="shared" si="73"/>
        <v>3</v>
      </c>
      <c r="D367" s="244">
        <f t="shared" si="74"/>
        <v>0</v>
      </c>
      <c r="E367" s="174">
        <f t="shared" si="75"/>
        <v>0</v>
      </c>
      <c r="F367" s="244">
        <f t="shared" si="76"/>
        <v>0</v>
      </c>
      <c r="G367" s="174">
        <f t="shared" si="77"/>
        <v>1</v>
      </c>
      <c r="H367" s="244">
        <f t="shared" si="78"/>
        <v>0</v>
      </c>
      <c r="I367" s="174">
        <f t="shared" si="79"/>
        <v>0</v>
      </c>
      <c r="J367" s="244">
        <f t="shared" si="80"/>
        <v>1</v>
      </c>
      <c r="K367" s="174">
        <f t="shared" si="81"/>
        <v>0</v>
      </c>
      <c r="L367" s="244">
        <f t="shared" si="82"/>
        <v>0</v>
      </c>
      <c r="M367" s="174">
        <v>1</v>
      </c>
      <c r="N367" s="143">
        <f t="shared" si="84"/>
        <v>363</v>
      </c>
      <c r="O367" s="143">
        <f t="shared" si="83"/>
        <v>363</v>
      </c>
    </row>
    <row r="368" spans="1:15" ht="12.75" customHeight="1">
      <c r="A368" s="246">
        <f t="shared" si="71"/>
        <v>389</v>
      </c>
      <c r="B368" s="244">
        <f t="shared" si="72"/>
        <v>2</v>
      </c>
      <c r="C368" s="174">
        <f t="shared" si="73"/>
        <v>3</v>
      </c>
      <c r="D368" s="244">
        <f t="shared" si="74"/>
        <v>0</v>
      </c>
      <c r="E368" s="174">
        <f t="shared" si="75"/>
        <v>0</v>
      </c>
      <c r="F368" s="244">
        <f t="shared" si="76"/>
        <v>0</v>
      </c>
      <c r="G368" s="174">
        <f t="shared" si="77"/>
        <v>1</v>
      </c>
      <c r="H368" s="244">
        <f t="shared" si="78"/>
        <v>0</v>
      </c>
      <c r="I368" s="174">
        <f t="shared" si="79"/>
        <v>1</v>
      </c>
      <c r="J368" s="244">
        <f t="shared" si="80"/>
        <v>0</v>
      </c>
      <c r="K368" s="174">
        <f t="shared" si="81"/>
        <v>0</v>
      </c>
      <c r="L368" s="244">
        <f t="shared" si="82"/>
        <v>0</v>
      </c>
      <c r="M368" s="174">
        <v>1</v>
      </c>
      <c r="N368" s="143">
        <f t="shared" si="84"/>
        <v>364</v>
      </c>
      <c r="O368" s="143">
        <f t="shared" si="83"/>
        <v>364</v>
      </c>
    </row>
    <row r="369" spans="1:15" ht="12.75" customHeight="1">
      <c r="A369" s="246">
        <f t="shared" si="71"/>
        <v>390</v>
      </c>
      <c r="B369" s="244">
        <f t="shared" si="72"/>
        <v>2</v>
      </c>
      <c r="C369" s="174">
        <f t="shared" si="73"/>
        <v>3</v>
      </c>
      <c r="D369" s="244">
        <f t="shared" si="74"/>
        <v>0</v>
      </c>
      <c r="E369" s="174">
        <f t="shared" si="75"/>
        <v>0</v>
      </c>
      <c r="F369" s="244">
        <f t="shared" si="76"/>
        <v>0</v>
      </c>
      <c r="G369" s="174">
        <f t="shared" si="77"/>
        <v>1</v>
      </c>
      <c r="H369" s="244">
        <f t="shared" si="78"/>
        <v>1</v>
      </c>
      <c r="I369" s="174">
        <f t="shared" si="79"/>
        <v>0</v>
      </c>
      <c r="J369" s="244">
        <f t="shared" si="80"/>
        <v>0</v>
      </c>
      <c r="K369" s="174">
        <f t="shared" si="81"/>
        <v>0</v>
      </c>
      <c r="L369" s="244">
        <f t="shared" si="82"/>
        <v>0</v>
      </c>
      <c r="M369" s="174">
        <v>1</v>
      </c>
      <c r="N369" s="143">
        <f t="shared" si="84"/>
        <v>365</v>
      </c>
      <c r="O369" s="143">
        <f t="shared" si="83"/>
        <v>365</v>
      </c>
    </row>
    <row r="370" spans="1:15" ht="12.75" customHeight="1">
      <c r="A370" s="246">
        <f t="shared" si="71"/>
        <v>391</v>
      </c>
      <c r="B370" s="244">
        <f t="shared" si="72"/>
        <v>2</v>
      </c>
      <c r="C370" s="174">
        <f t="shared" si="73"/>
        <v>3</v>
      </c>
      <c r="D370" s="244">
        <f t="shared" si="74"/>
        <v>0</v>
      </c>
      <c r="E370" s="174">
        <f t="shared" si="75"/>
        <v>0</v>
      </c>
      <c r="F370" s="244">
        <f t="shared" si="76"/>
        <v>0</v>
      </c>
      <c r="G370" s="174">
        <f t="shared" si="77"/>
        <v>1</v>
      </c>
      <c r="H370" s="244">
        <f t="shared" si="78"/>
        <v>1</v>
      </c>
      <c r="I370" s="174">
        <f t="shared" si="79"/>
        <v>0</v>
      </c>
      <c r="J370" s="244">
        <f t="shared" si="80"/>
        <v>0</v>
      </c>
      <c r="K370" s="174">
        <f t="shared" si="81"/>
        <v>0</v>
      </c>
      <c r="L370" s="244">
        <f t="shared" si="82"/>
        <v>1</v>
      </c>
      <c r="M370" s="174">
        <v>1</v>
      </c>
      <c r="N370" s="143">
        <f t="shared" si="84"/>
        <v>366</v>
      </c>
      <c r="O370" s="143">
        <f t="shared" si="83"/>
        <v>366</v>
      </c>
    </row>
    <row r="371" spans="1:15" ht="12.75" customHeight="1">
      <c r="A371" s="246">
        <f t="shared" si="71"/>
        <v>392</v>
      </c>
      <c r="B371" s="244">
        <f t="shared" si="72"/>
        <v>2</v>
      </c>
      <c r="C371" s="174">
        <f t="shared" si="73"/>
        <v>3</v>
      </c>
      <c r="D371" s="244">
        <f t="shared" si="74"/>
        <v>0</v>
      </c>
      <c r="E371" s="174">
        <f t="shared" si="75"/>
        <v>0</v>
      </c>
      <c r="F371" s="244">
        <f t="shared" si="76"/>
        <v>0</v>
      </c>
      <c r="G371" s="174">
        <f t="shared" si="77"/>
        <v>1</v>
      </c>
      <c r="H371" s="244">
        <f t="shared" si="78"/>
        <v>1</v>
      </c>
      <c r="I371" s="174">
        <f t="shared" si="79"/>
        <v>0</v>
      </c>
      <c r="J371" s="244">
        <f t="shared" si="80"/>
        <v>0</v>
      </c>
      <c r="K371" s="174">
        <f t="shared" si="81"/>
        <v>1</v>
      </c>
      <c r="L371" s="244">
        <f t="shared" si="82"/>
        <v>0</v>
      </c>
      <c r="M371" s="174">
        <v>1</v>
      </c>
      <c r="N371" s="143">
        <f t="shared" si="84"/>
        <v>367</v>
      </c>
      <c r="O371" s="143">
        <f t="shared" si="83"/>
        <v>367</v>
      </c>
    </row>
    <row r="372" spans="1:15" ht="12.75" customHeight="1">
      <c r="A372" s="246">
        <f t="shared" si="71"/>
        <v>393</v>
      </c>
      <c r="B372" s="244">
        <f t="shared" si="72"/>
        <v>2</v>
      </c>
      <c r="C372" s="174">
        <f t="shared" si="73"/>
        <v>3</v>
      </c>
      <c r="D372" s="244">
        <f t="shared" si="74"/>
        <v>0</v>
      </c>
      <c r="E372" s="174">
        <f t="shared" si="75"/>
        <v>0</v>
      </c>
      <c r="F372" s="244">
        <f t="shared" si="76"/>
        <v>0</v>
      </c>
      <c r="G372" s="174">
        <f t="shared" si="77"/>
        <v>1</v>
      </c>
      <c r="H372" s="244">
        <f t="shared" si="78"/>
        <v>1</v>
      </c>
      <c r="I372" s="174">
        <f t="shared" si="79"/>
        <v>0</v>
      </c>
      <c r="J372" s="244">
        <f t="shared" si="80"/>
        <v>1</v>
      </c>
      <c r="K372" s="174">
        <f t="shared" si="81"/>
        <v>0</v>
      </c>
      <c r="L372" s="244">
        <f t="shared" si="82"/>
        <v>0</v>
      </c>
      <c r="M372" s="174">
        <v>1</v>
      </c>
      <c r="N372" s="143">
        <f t="shared" si="84"/>
        <v>368</v>
      </c>
      <c r="O372" s="143">
        <f t="shared" si="83"/>
        <v>368</v>
      </c>
    </row>
    <row r="373" spans="1:15" ht="12.75" customHeight="1">
      <c r="A373" s="246">
        <f t="shared" si="71"/>
        <v>394</v>
      </c>
      <c r="B373" s="244">
        <f t="shared" si="72"/>
        <v>2</v>
      </c>
      <c r="C373" s="174">
        <f t="shared" si="73"/>
        <v>3</v>
      </c>
      <c r="D373" s="244">
        <f t="shared" si="74"/>
        <v>0</v>
      </c>
      <c r="E373" s="174">
        <f t="shared" si="75"/>
        <v>0</v>
      </c>
      <c r="F373" s="244">
        <f t="shared" si="76"/>
        <v>0</v>
      </c>
      <c r="G373" s="174">
        <f t="shared" si="77"/>
        <v>1</v>
      </c>
      <c r="H373" s="244">
        <f t="shared" si="78"/>
        <v>1</v>
      </c>
      <c r="I373" s="174">
        <f t="shared" si="79"/>
        <v>1</v>
      </c>
      <c r="J373" s="244">
        <f t="shared" si="80"/>
        <v>0</v>
      </c>
      <c r="K373" s="174">
        <f t="shared" si="81"/>
        <v>0</v>
      </c>
      <c r="L373" s="244">
        <f t="shared" si="82"/>
        <v>0</v>
      </c>
      <c r="M373" s="174">
        <v>1</v>
      </c>
      <c r="N373" s="143">
        <f t="shared" si="84"/>
        <v>369</v>
      </c>
      <c r="O373" s="143">
        <f t="shared" si="83"/>
        <v>369</v>
      </c>
    </row>
    <row r="374" spans="1:15" ht="12.75" customHeight="1">
      <c r="A374" s="246">
        <f t="shared" si="71"/>
        <v>395</v>
      </c>
      <c r="B374" s="244">
        <f t="shared" si="72"/>
        <v>2</v>
      </c>
      <c r="C374" s="174">
        <f t="shared" si="73"/>
        <v>3</v>
      </c>
      <c r="D374" s="244">
        <f t="shared" si="74"/>
        <v>0</v>
      </c>
      <c r="E374" s="174">
        <f t="shared" si="75"/>
        <v>0</v>
      </c>
      <c r="F374" s="244">
        <f t="shared" si="76"/>
        <v>1</v>
      </c>
      <c r="G374" s="174">
        <f t="shared" si="77"/>
        <v>0</v>
      </c>
      <c r="H374" s="244">
        <f t="shared" si="78"/>
        <v>0</v>
      </c>
      <c r="I374" s="174">
        <f t="shared" si="79"/>
        <v>0</v>
      </c>
      <c r="J374" s="244">
        <f t="shared" si="80"/>
        <v>0</v>
      </c>
      <c r="K374" s="174">
        <f t="shared" si="81"/>
        <v>0</v>
      </c>
      <c r="L374" s="244">
        <f t="shared" si="82"/>
        <v>0</v>
      </c>
      <c r="M374" s="174">
        <v>1</v>
      </c>
      <c r="N374" s="143">
        <f t="shared" si="84"/>
        <v>370</v>
      </c>
      <c r="O374" s="143">
        <f t="shared" si="83"/>
        <v>370</v>
      </c>
    </row>
    <row r="375" spans="1:15" ht="12.75" customHeight="1">
      <c r="A375" s="246">
        <f t="shared" si="71"/>
        <v>396</v>
      </c>
      <c r="B375" s="244">
        <f t="shared" si="72"/>
        <v>2</v>
      </c>
      <c r="C375" s="174">
        <f t="shared" si="73"/>
        <v>3</v>
      </c>
      <c r="D375" s="244">
        <f t="shared" si="74"/>
        <v>0</v>
      </c>
      <c r="E375" s="174">
        <f t="shared" si="75"/>
        <v>0</v>
      </c>
      <c r="F375" s="244">
        <f t="shared" si="76"/>
        <v>1</v>
      </c>
      <c r="G375" s="174">
        <f t="shared" si="77"/>
        <v>0</v>
      </c>
      <c r="H375" s="244">
        <f t="shared" si="78"/>
        <v>0</v>
      </c>
      <c r="I375" s="174">
        <f t="shared" si="79"/>
        <v>0</v>
      </c>
      <c r="J375" s="244">
        <f t="shared" si="80"/>
        <v>0</v>
      </c>
      <c r="K375" s="174">
        <f t="shared" si="81"/>
        <v>0</v>
      </c>
      <c r="L375" s="244">
        <f t="shared" si="82"/>
        <v>1</v>
      </c>
      <c r="M375" s="174">
        <v>1</v>
      </c>
      <c r="N375" s="143">
        <f t="shared" si="84"/>
        <v>371</v>
      </c>
      <c r="O375" s="143">
        <f t="shared" si="83"/>
        <v>371</v>
      </c>
    </row>
    <row r="376" spans="1:15" ht="12.75" customHeight="1">
      <c r="A376" s="246">
        <f t="shared" si="71"/>
        <v>397</v>
      </c>
      <c r="B376" s="244">
        <f t="shared" si="72"/>
        <v>2</v>
      </c>
      <c r="C376" s="174">
        <f t="shared" si="73"/>
        <v>3</v>
      </c>
      <c r="D376" s="244">
        <f t="shared" si="74"/>
        <v>0</v>
      </c>
      <c r="E376" s="174">
        <f t="shared" si="75"/>
        <v>0</v>
      </c>
      <c r="F376" s="244">
        <f t="shared" si="76"/>
        <v>1</v>
      </c>
      <c r="G376" s="174">
        <f t="shared" si="77"/>
        <v>0</v>
      </c>
      <c r="H376" s="244">
        <f t="shared" si="78"/>
        <v>0</v>
      </c>
      <c r="I376" s="174">
        <f t="shared" si="79"/>
        <v>0</v>
      </c>
      <c r="J376" s="244">
        <f t="shared" si="80"/>
        <v>0</v>
      </c>
      <c r="K376" s="174">
        <f t="shared" si="81"/>
        <v>1</v>
      </c>
      <c r="L376" s="244">
        <f t="shared" si="82"/>
        <v>0</v>
      </c>
      <c r="M376" s="174">
        <v>1</v>
      </c>
      <c r="N376" s="143">
        <f t="shared" si="84"/>
        <v>372</v>
      </c>
      <c r="O376" s="143">
        <f t="shared" si="83"/>
        <v>372</v>
      </c>
    </row>
    <row r="377" spans="1:15" ht="12.75" customHeight="1">
      <c r="A377" s="246">
        <f t="shared" si="71"/>
        <v>398</v>
      </c>
      <c r="B377" s="244">
        <f t="shared" si="72"/>
        <v>2</v>
      </c>
      <c r="C377" s="174">
        <f t="shared" si="73"/>
        <v>3</v>
      </c>
      <c r="D377" s="244">
        <f t="shared" si="74"/>
        <v>0</v>
      </c>
      <c r="E377" s="174">
        <f t="shared" si="75"/>
        <v>0</v>
      </c>
      <c r="F377" s="244">
        <f t="shared" si="76"/>
        <v>1</v>
      </c>
      <c r="G377" s="174">
        <f t="shared" si="77"/>
        <v>0</v>
      </c>
      <c r="H377" s="244">
        <f t="shared" si="78"/>
        <v>0</v>
      </c>
      <c r="I377" s="174">
        <f t="shared" si="79"/>
        <v>0</v>
      </c>
      <c r="J377" s="244">
        <f t="shared" si="80"/>
        <v>1</v>
      </c>
      <c r="K377" s="174">
        <f t="shared" si="81"/>
        <v>0</v>
      </c>
      <c r="L377" s="244">
        <f t="shared" si="82"/>
        <v>0</v>
      </c>
      <c r="M377" s="174">
        <v>1</v>
      </c>
      <c r="N377" s="143">
        <f t="shared" si="84"/>
        <v>373</v>
      </c>
      <c r="O377" s="143">
        <f t="shared" si="83"/>
        <v>373</v>
      </c>
    </row>
    <row r="378" spans="1:15" ht="12.75" customHeight="1">
      <c r="A378" s="246">
        <f t="shared" si="71"/>
        <v>399</v>
      </c>
      <c r="B378" s="244">
        <f t="shared" si="72"/>
        <v>2</v>
      </c>
      <c r="C378" s="174">
        <f t="shared" si="73"/>
        <v>3</v>
      </c>
      <c r="D378" s="244">
        <f t="shared" si="74"/>
        <v>0</v>
      </c>
      <c r="E378" s="174">
        <f t="shared" si="75"/>
        <v>0</v>
      </c>
      <c r="F378" s="244">
        <f t="shared" si="76"/>
        <v>1</v>
      </c>
      <c r="G378" s="174">
        <f t="shared" si="77"/>
        <v>0</v>
      </c>
      <c r="H378" s="244">
        <f t="shared" si="78"/>
        <v>0</v>
      </c>
      <c r="I378" s="174">
        <f t="shared" si="79"/>
        <v>1</v>
      </c>
      <c r="J378" s="244">
        <f t="shared" si="80"/>
        <v>0</v>
      </c>
      <c r="K378" s="174">
        <f t="shared" si="81"/>
        <v>0</v>
      </c>
      <c r="L378" s="244">
        <f t="shared" si="82"/>
        <v>0</v>
      </c>
      <c r="M378" s="174">
        <v>1</v>
      </c>
      <c r="N378" s="143">
        <f t="shared" si="84"/>
        <v>374</v>
      </c>
      <c r="O378" s="143">
        <f t="shared" si="83"/>
        <v>374</v>
      </c>
    </row>
    <row r="379" spans="1:15" ht="12.75" customHeight="1">
      <c r="A379" s="246">
        <f t="shared" si="71"/>
        <v>400</v>
      </c>
      <c r="B379" s="244">
        <f t="shared" si="72"/>
        <v>2</v>
      </c>
      <c r="C379" s="174">
        <f t="shared" si="73"/>
        <v>3</v>
      </c>
      <c r="D379" s="244">
        <f t="shared" si="74"/>
        <v>0</v>
      </c>
      <c r="E379" s="174">
        <f t="shared" si="75"/>
        <v>0</v>
      </c>
      <c r="F379" s="244">
        <f t="shared" si="76"/>
        <v>1</v>
      </c>
      <c r="G379" s="174">
        <f t="shared" si="77"/>
        <v>0</v>
      </c>
      <c r="H379" s="244">
        <f t="shared" si="78"/>
        <v>1</v>
      </c>
      <c r="I379" s="174">
        <f t="shared" si="79"/>
        <v>0</v>
      </c>
      <c r="J379" s="244">
        <f t="shared" si="80"/>
        <v>0</v>
      </c>
      <c r="K379" s="174">
        <f t="shared" si="81"/>
        <v>0</v>
      </c>
      <c r="L379" s="244">
        <f t="shared" si="82"/>
        <v>0</v>
      </c>
      <c r="M379" s="174">
        <v>1</v>
      </c>
      <c r="N379" s="143">
        <f t="shared" si="84"/>
        <v>375</v>
      </c>
      <c r="O379" s="143">
        <f t="shared" si="83"/>
        <v>375</v>
      </c>
    </row>
    <row r="380" spans="1:15" ht="12.75" customHeight="1">
      <c r="A380" s="246">
        <f t="shared" si="71"/>
        <v>401</v>
      </c>
      <c r="B380" s="244">
        <f t="shared" si="72"/>
        <v>2</v>
      </c>
      <c r="C380" s="174">
        <f t="shared" si="73"/>
        <v>3</v>
      </c>
      <c r="D380" s="244">
        <f t="shared" si="74"/>
        <v>0</v>
      </c>
      <c r="E380" s="174">
        <f t="shared" si="75"/>
        <v>0</v>
      </c>
      <c r="F380" s="244">
        <f t="shared" si="76"/>
        <v>1</v>
      </c>
      <c r="G380" s="174">
        <f t="shared" si="77"/>
        <v>0</v>
      </c>
      <c r="H380" s="244">
        <f t="shared" si="78"/>
        <v>1</v>
      </c>
      <c r="I380" s="174">
        <f t="shared" si="79"/>
        <v>0</v>
      </c>
      <c r="J380" s="244">
        <f t="shared" si="80"/>
        <v>0</v>
      </c>
      <c r="K380" s="174">
        <f t="shared" si="81"/>
        <v>0</v>
      </c>
      <c r="L380" s="244">
        <f t="shared" si="82"/>
        <v>1</v>
      </c>
      <c r="M380" s="174">
        <v>1</v>
      </c>
      <c r="N380" s="143">
        <f t="shared" si="84"/>
        <v>376</v>
      </c>
      <c r="O380" s="143">
        <f t="shared" si="83"/>
        <v>376</v>
      </c>
    </row>
    <row r="381" spans="1:15" ht="12.75" customHeight="1">
      <c r="A381" s="246">
        <f t="shared" si="71"/>
        <v>402</v>
      </c>
      <c r="B381" s="244">
        <f t="shared" si="72"/>
        <v>2</v>
      </c>
      <c r="C381" s="174">
        <f t="shared" si="73"/>
        <v>3</v>
      </c>
      <c r="D381" s="244">
        <f t="shared" si="74"/>
        <v>0</v>
      </c>
      <c r="E381" s="174">
        <f t="shared" si="75"/>
        <v>0</v>
      </c>
      <c r="F381" s="244">
        <f t="shared" si="76"/>
        <v>1</v>
      </c>
      <c r="G381" s="174">
        <f t="shared" si="77"/>
        <v>0</v>
      </c>
      <c r="H381" s="244">
        <f t="shared" si="78"/>
        <v>1</v>
      </c>
      <c r="I381" s="174">
        <f t="shared" si="79"/>
        <v>0</v>
      </c>
      <c r="J381" s="244">
        <f t="shared" si="80"/>
        <v>0</v>
      </c>
      <c r="K381" s="174">
        <f t="shared" si="81"/>
        <v>1</v>
      </c>
      <c r="L381" s="244">
        <f t="shared" si="82"/>
        <v>0</v>
      </c>
      <c r="M381" s="174">
        <v>1</v>
      </c>
      <c r="N381" s="143">
        <f t="shared" si="84"/>
        <v>377</v>
      </c>
      <c r="O381" s="143">
        <f t="shared" si="83"/>
        <v>377</v>
      </c>
    </row>
    <row r="382" spans="1:15" ht="12.75" customHeight="1">
      <c r="A382" s="246">
        <f t="shared" si="71"/>
        <v>403</v>
      </c>
      <c r="B382" s="244">
        <f t="shared" si="72"/>
        <v>2</v>
      </c>
      <c r="C382" s="174">
        <f t="shared" si="73"/>
        <v>3</v>
      </c>
      <c r="D382" s="244">
        <f t="shared" si="74"/>
        <v>0</v>
      </c>
      <c r="E382" s="174">
        <f t="shared" si="75"/>
        <v>0</v>
      </c>
      <c r="F382" s="244">
        <f t="shared" si="76"/>
        <v>1</v>
      </c>
      <c r="G382" s="174">
        <f t="shared" si="77"/>
        <v>0</v>
      </c>
      <c r="H382" s="244">
        <f t="shared" si="78"/>
        <v>1</v>
      </c>
      <c r="I382" s="174">
        <f t="shared" si="79"/>
        <v>0</v>
      </c>
      <c r="J382" s="244">
        <f t="shared" si="80"/>
        <v>1</v>
      </c>
      <c r="K382" s="174">
        <f t="shared" si="81"/>
        <v>0</v>
      </c>
      <c r="L382" s="244">
        <f t="shared" si="82"/>
        <v>0</v>
      </c>
      <c r="M382" s="174">
        <v>1</v>
      </c>
      <c r="N382" s="143">
        <f t="shared" si="84"/>
        <v>378</v>
      </c>
      <c r="O382" s="143">
        <f t="shared" si="83"/>
        <v>378</v>
      </c>
    </row>
    <row r="383" spans="1:15" ht="12.75" customHeight="1">
      <c r="A383" s="246">
        <f t="shared" si="71"/>
        <v>404</v>
      </c>
      <c r="B383" s="244">
        <f t="shared" si="72"/>
        <v>2</v>
      </c>
      <c r="C383" s="174">
        <f t="shared" si="73"/>
        <v>3</v>
      </c>
      <c r="D383" s="244">
        <f t="shared" si="74"/>
        <v>0</v>
      </c>
      <c r="E383" s="174">
        <f t="shared" si="75"/>
        <v>0</v>
      </c>
      <c r="F383" s="244">
        <f t="shared" si="76"/>
        <v>1</v>
      </c>
      <c r="G383" s="174">
        <f t="shared" si="77"/>
        <v>0</v>
      </c>
      <c r="H383" s="244">
        <f t="shared" si="78"/>
        <v>1</v>
      </c>
      <c r="I383" s="174">
        <f t="shared" si="79"/>
        <v>1</v>
      </c>
      <c r="J383" s="244">
        <f t="shared" si="80"/>
        <v>0</v>
      </c>
      <c r="K383" s="174">
        <f t="shared" si="81"/>
        <v>0</v>
      </c>
      <c r="L383" s="244">
        <f t="shared" si="82"/>
        <v>0</v>
      </c>
      <c r="M383" s="174">
        <v>1</v>
      </c>
      <c r="N383" s="143">
        <f t="shared" si="84"/>
        <v>379</v>
      </c>
      <c r="O383" s="143">
        <f t="shared" si="83"/>
        <v>379</v>
      </c>
    </row>
    <row r="384" spans="1:15" ht="12.75" customHeight="1">
      <c r="A384" s="246">
        <f t="shared" si="71"/>
        <v>405</v>
      </c>
      <c r="B384" s="244">
        <f t="shared" si="72"/>
        <v>2</v>
      </c>
      <c r="C384" s="174">
        <f t="shared" si="73"/>
        <v>3</v>
      </c>
      <c r="D384" s="244">
        <f t="shared" si="74"/>
        <v>0</v>
      </c>
      <c r="E384" s="174">
        <f t="shared" si="75"/>
        <v>1</v>
      </c>
      <c r="F384" s="244">
        <f t="shared" si="76"/>
        <v>0</v>
      </c>
      <c r="G384" s="174">
        <f t="shared" si="77"/>
        <v>0</v>
      </c>
      <c r="H384" s="244">
        <f t="shared" si="78"/>
        <v>0</v>
      </c>
      <c r="I384" s="174">
        <f t="shared" si="79"/>
        <v>0</v>
      </c>
      <c r="J384" s="244">
        <f t="shared" si="80"/>
        <v>0</v>
      </c>
      <c r="K384" s="174">
        <f t="shared" si="81"/>
        <v>0</v>
      </c>
      <c r="L384" s="244">
        <f t="shared" si="82"/>
        <v>0</v>
      </c>
      <c r="M384" s="174">
        <v>1</v>
      </c>
      <c r="N384" s="143">
        <f t="shared" si="84"/>
        <v>380</v>
      </c>
      <c r="O384" s="143">
        <f t="shared" si="83"/>
        <v>380</v>
      </c>
    </row>
    <row r="385" spans="1:15" ht="12.75" customHeight="1">
      <c r="A385" s="246">
        <f t="shared" si="71"/>
        <v>406</v>
      </c>
      <c r="B385" s="244">
        <f t="shared" si="72"/>
        <v>2</v>
      </c>
      <c r="C385" s="174">
        <f t="shared" si="73"/>
        <v>3</v>
      </c>
      <c r="D385" s="244">
        <f t="shared" si="74"/>
        <v>0</v>
      </c>
      <c r="E385" s="174">
        <f t="shared" si="75"/>
        <v>1</v>
      </c>
      <c r="F385" s="244">
        <f t="shared" si="76"/>
        <v>0</v>
      </c>
      <c r="G385" s="174">
        <f t="shared" si="77"/>
        <v>0</v>
      </c>
      <c r="H385" s="244">
        <f t="shared" si="78"/>
        <v>0</v>
      </c>
      <c r="I385" s="174">
        <f t="shared" si="79"/>
        <v>0</v>
      </c>
      <c r="J385" s="244">
        <f t="shared" si="80"/>
        <v>0</v>
      </c>
      <c r="K385" s="174">
        <f t="shared" si="81"/>
        <v>0</v>
      </c>
      <c r="L385" s="244">
        <f t="shared" si="82"/>
        <v>1</v>
      </c>
      <c r="M385" s="174">
        <v>1</v>
      </c>
      <c r="N385" s="143">
        <f t="shared" si="84"/>
        <v>381</v>
      </c>
      <c r="O385" s="143">
        <f t="shared" si="83"/>
        <v>381</v>
      </c>
    </row>
    <row r="386" spans="1:15" ht="12.75" customHeight="1">
      <c r="A386" s="246">
        <f t="shared" si="71"/>
        <v>407</v>
      </c>
      <c r="B386" s="244">
        <f t="shared" si="72"/>
        <v>2</v>
      </c>
      <c r="C386" s="174">
        <f t="shared" si="73"/>
        <v>3</v>
      </c>
      <c r="D386" s="244">
        <f t="shared" si="74"/>
        <v>0</v>
      </c>
      <c r="E386" s="174">
        <f t="shared" si="75"/>
        <v>1</v>
      </c>
      <c r="F386" s="244">
        <f t="shared" si="76"/>
        <v>0</v>
      </c>
      <c r="G386" s="174">
        <f t="shared" si="77"/>
        <v>0</v>
      </c>
      <c r="H386" s="244">
        <f t="shared" si="78"/>
        <v>0</v>
      </c>
      <c r="I386" s="174">
        <f t="shared" si="79"/>
        <v>0</v>
      </c>
      <c r="J386" s="244">
        <f t="shared" si="80"/>
        <v>0</v>
      </c>
      <c r="K386" s="174">
        <f t="shared" si="81"/>
        <v>1</v>
      </c>
      <c r="L386" s="244">
        <f t="shared" si="82"/>
        <v>0</v>
      </c>
      <c r="M386" s="174">
        <v>1</v>
      </c>
      <c r="N386" s="143">
        <f t="shared" si="84"/>
        <v>382</v>
      </c>
      <c r="O386" s="143">
        <f t="shared" si="83"/>
        <v>382</v>
      </c>
    </row>
    <row r="387" spans="1:15" ht="12.75" customHeight="1">
      <c r="A387" s="246">
        <f t="shared" si="71"/>
        <v>408</v>
      </c>
      <c r="B387" s="244">
        <f t="shared" si="72"/>
        <v>2</v>
      </c>
      <c r="C387" s="174">
        <f t="shared" si="73"/>
        <v>3</v>
      </c>
      <c r="D387" s="244">
        <f t="shared" si="74"/>
        <v>0</v>
      </c>
      <c r="E387" s="174">
        <f t="shared" si="75"/>
        <v>1</v>
      </c>
      <c r="F387" s="244">
        <f t="shared" si="76"/>
        <v>0</v>
      </c>
      <c r="G387" s="174">
        <f t="shared" si="77"/>
        <v>0</v>
      </c>
      <c r="H387" s="244">
        <f t="shared" si="78"/>
        <v>0</v>
      </c>
      <c r="I387" s="174">
        <f t="shared" si="79"/>
        <v>0</v>
      </c>
      <c r="J387" s="244">
        <f t="shared" si="80"/>
        <v>1</v>
      </c>
      <c r="K387" s="174">
        <f t="shared" si="81"/>
        <v>0</v>
      </c>
      <c r="L387" s="244">
        <f t="shared" si="82"/>
        <v>0</v>
      </c>
      <c r="M387" s="174">
        <v>1</v>
      </c>
      <c r="N387" s="143">
        <f t="shared" si="84"/>
        <v>383</v>
      </c>
      <c r="O387" s="143">
        <f t="shared" si="83"/>
        <v>383</v>
      </c>
    </row>
    <row r="388" spans="1:15" ht="12.75" customHeight="1">
      <c r="A388" s="246">
        <f t="shared" si="71"/>
        <v>409</v>
      </c>
      <c r="B388" s="244">
        <f t="shared" si="72"/>
        <v>2</v>
      </c>
      <c r="C388" s="174">
        <f t="shared" si="73"/>
        <v>3</v>
      </c>
      <c r="D388" s="244">
        <f t="shared" si="74"/>
        <v>0</v>
      </c>
      <c r="E388" s="174">
        <f t="shared" si="75"/>
        <v>1</v>
      </c>
      <c r="F388" s="244">
        <f t="shared" si="76"/>
        <v>0</v>
      </c>
      <c r="G388" s="174">
        <f t="shared" si="77"/>
        <v>0</v>
      </c>
      <c r="H388" s="244">
        <f t="shared" si="78"/>
        <v>0</v>
      </c>
      <c r="I388" s="174">
        <f t="shared" si="79"/>
        <v>1</v>
      </c>
      <c r="J388" s="244">
        <f t="shared" si="80"/>
        <v>0</v>
      </c>
      <c r="K388" s="174">
        <f t="shared" si="81"/>
        <v>0</v>
      </c>
      <c r="L388" s="244">
        <f t="shared" si="82"/>
        <v>0</v>
      </c>
      <c r="M388" s="174">
        <v>1</v>
      </c>
      <c r="N388" s="143">
        <f t="shared" si="84"/>
        <v>384</v>
      </c>
      <c r="O388" s="143">
        <f t="shared" si="83"/>
        <v>384</v>
      </c>
    </row>
    <row r="389" spans="1:15" ht="12.75" customHeight="1">
      <c r="A389" s="246">
        <f t="shared" ref="A389:A400" si="85">IF(O389+$M$2&gt;$N$1,0,O389+$M$2)</f>
        <v>410</v>
      </c>
      <c r="B389" s="244">
        <f t="shared" ref="B389:B400" si="86">IF(A389=0,0,MIN($B$1/2,INT(O389/(2*$B$2))))</f>
        <v>2</v>
      </c>
      <c r="C389" s="174">
        <f t="shared" ref="C389:C400" si="87">IF(A389=0,0,MIN($C$1/2,INT(($O389-2*$B389*$B$2)/(2*$C$2))))</f>
        <v>3</v>
      </c>
      <c r="D389" s="244">
        <f t="shared" ref="D389:D400" si="88">IF(A389=0,0,MIN($D$1/2,INT(($O389-2*$B389*$B$2-2*$C389*$C$2)/(2*$D$2))))</f>
        <v>0</v>
      </c>
      <c r="E389" s="174">
        <f t="shared" ref="E389:E400" si="89">IF(A389=0,0,MIN($E$1/2,INT(($O389-2*$B389*$B$2-2*$C389*$C$2-2*$D389*$D$2)/(2*$E$2))))</f>
        <v>1</v>
      </c>
      <c r="F389" s="244">
        <f t="shared" ref="F389:F400" si="90">IF(A389=0,0,MIN($F$1/2,INT(($O389-2*$B389*$B$2-2*$C389*$C$2-2*$D389*$D$2-2*$E389*$E$2)/(2*$F$2))))</f>
        <v>0</v>
      </c>
      <c r="G389" s="174">
        <f t="shared" ref="G389:G400" si="91">IF(A389=0,0,MIN($G$1/2,INT(($O389-2*$B389*$B$2-2*$C389*$C$2-2*$D389*$D$2-2*$E389*$E$2-2*$F389*$F$2)/(2*$G$2))))</f>
        <v>0</v>
      </c>
      <c r="H389" s="244">
        <f t="shared" ref="H389:H400" si="92">IF(A389=0,0,MIN($H$1/2,INT(($O389-2*$B389*$B$2-2*$C389*$C$2-2*$D389*$D$2-2*$E389*$E$2-2*$F389*$F$2-2*$G389*$G$2)/(2*$H$2))))</f>
        <v>1</v>
      </c>
      <c r="I389" s="174">
        <f t="shared" ref="I389:I400" si="93">IF(A389=0,0,MIN($I$1/2,INT(($O389-2*$B389*$B$2-2*$C389*$C$2-2*$D389*$D$2-2*$E389*$E$2-2*$F389*$F$2-2*$G389*$G$2-2*$H389*$H$2)/(2*$I$2))))</f>
        <v>0</v>
      </c>
      <c r="J389" s="244">
        <f t="shared" ref="J389:J400" si="94">IF(A389=0,0,MIN($J$1/2,INT(($O389-2*$B389*$B$2-2*$C389*$C$2-2*$D389*$D$2-2*$E389*$E$2-2*$F389*$F$2-2*$G389*$G$2-2*$H389*$H$2-2*$I389*$I$2)/(2*$J$2))))</f>
        <v>0</v>
      </c>
      <c r="K389" s="174">
        <f t="shared" ref="K389:K400" si="95">IF(A389=0,0,MIN($J$1/2,INT(($O389-2*$B389*$B$2-2*$C389*$C$2-2*$D389*$D$2-2*$E389*$E$2-2*$F389*$F$2-2*$G389*$G$2-2*$H389*$H$2-2*$I389*$I$2-2*$J389*$J$2)/(2*$K$2))))</f>
        <v>0</v>
      </c>
      <c r="L389" s="244">
        <f t="shared" ref="L389:L400" si="96">IF(A389=0,0,MIN($L$1/2,INT(($O389-2*$B389*$B$2-2*$C389*$C$2-2*$D389*$D$2-2*$E389*$E$2-2*$F389*$F$2-2*$G389*$G$2-2*$H389*$H$2-2*$I389*$I$2-2*$J389*$J$2-2*$K389*$K$2)/(2*$L$2))))</f>
        <v>0</v>
      </c>
      <c r="M389" s="174">
        <v>1</v>
      </c>
      <c r="N389" s="143">
        <f t="shared" si="84"/>
        <v>385</v>
      </c>
      <c r="O389" s="143">
        <f t="shared" si="83"/>
        <v>385</v>
      </c>
    </row>
    <row r="390" spans="1:15" ht="12.75" customHeight="1">
      <c r="A390" s="246">
        <f t="shared" si="85"/>
        <v>411</v>
      </c>
      <c r="B390" s="244">
        <f t="shared" si="86"/>
        <v>2</v>
      </c>
      <c r="C390" s="174">
        <f t="shared" si="87"/>
        <v>3</v>
      </c>
      <c r="D390" s="244">
        <f t="shared" si="88"/>
        <v>0</v>
      </c>
      <c r="E390" s="174">
        <f t="shared" si="89"/>
        <v>1</v>
      </c>
      <c r="F390" s="244">
        <f t="shared" si="90"/>
        <v>0</v>
      </c>
      <c r="G390" s="174">
        <f t="shared" si="91"/>
        <v>0</v>
      </c>
      <c r="H390" s="244">
        <f t="shared" si="92"/>
        <v>1</v>
      </c>
      <c r="I390" s="174">
        <f t="shared" si="93"/>
        <v>0</v>
      </c>
      <c r="J390" s="244">
        <f t="shared" si="94"/>
        <v>0</v>
      </c>
      <c r="K390" s="174">
        <f t="shared" si="95"/>
        <v>0</v>
      </c>
      <c r="L390" s="244">
        <f t="shared" si="96"/>
        <v>1</v>
      </c>
      <c r="M390" s="174">
        <v>1</v>
      </c>
      <c r="N390" s="143">
        <f t="shared" si="84"/>
        <v>386</v>
      </c>
      <c r="O390" s="143">
        <f t="shared" ref="O390:O400" si="97">IF($A$2="Pounds",5*N390,1*N390)</f>
        <v>386</v>
      </c>
    </row>
    <row r="391" spans="1:15" ht="12.75" customHeight="1">
      <c r="A391" s="246">
        <f t="shared" si="85"/>
        <v>412</v>
      </c>
      <c r="B391" s="244">
        <f t="shared" si="86"/>
        <v>2</v>
      </c>
      <c r="C391" s="174">
        <f t="shared" si="87"/>
        <v>3</v>
      </c>
      <c r="D391" s="244">
        <f t="shared" si="88"/>
        <v>0</v>
      </c>
      <c r="E391" s="174">
        <f t="shared" si="89"/>
        <v>1</v>
      </c>
      <c r="F391" s="244">
        <f t="shared" si="90"/>
        <v>0</v>
      </c>
      <c r="G391" s="174">
        <f t="shared" si="91"/>
        <v>0</v>
      </c>
      <c r="H391" s="244">
        <f t="shared" si="92"/>
        <v>1</v>
      </c>
      <c r="I391" s="174">
        <f t="shared" si="93"/>
        <v>0</v>
      </c>
      <c r="J391" s="244">
        <f t="shared" si="94"/>
        <v>0</v>
      </c>
      <c r="K391" s="174">
        <f t="shared" si="95"/>
        <v>1</v>
      </c>
      <c r="L391" s="244">
        <f t="shared" si="96"/>
        <v>0</v>
      </c>
      <c r="M391" s="174">
        <v>1</v>
      </c>
      <c r="N391" s="143">
        <f t="shared" si="84"/>
        <v>387</v>
      </c>
      <c r="O391" s="143">
        <f t="shared" si="97"/>
        <v>387</v>
      </c>
    </row>
    <row r="392" spans="1:15" ht="12.75" customHeight="1">
      <c r="A392" s="246">
        <f t="shared" si="85"/>
        <v>413</v>
      </c>
      <c r="B392" s="244">
        <f t="shared" si="86"/>
        <v>2</v>
      </c>
      <c r="C392" s="174">
        <f t="shared" si="87"/>
        <v>3</v>
      </c>
      <c r="D392" s="244">
        <f t="shared" si="88"/>
        <v>0</v>
      </c>
      <c r="E392" s="174">
        <f t="shared" si="89"/>
        <v>1</v>
      </c>
      <c r="F392" s="244">
        <f t="shared" si="90"/>
        <v>0</v>
      </c>
      <c r="G392" s="174">
        <f t="shared" si="91"/>
        <v>0</v>
      </c>
      <c r="H392" s="244">
        <f t="shared" si="92"/>
        <v>1</v>
      </c>
      <c r="I392" s="174">
        <f t="shared" si="93"/>
        <v>0</v>
      </c>
      <c r="J392" s="244">
        <f t="shared" si="94"/>
        <v>1</v>
      </c>
      <c r="K392" s="174">
        <f t="shared" si="95"/>
        <v>0</v>
      </c>
      <c r="L392" s="244">
        <f t="shared" si="96"/>
        <v>0</v>
      </c>
      <c r="M392" s="174">
        <v>1</v>
      </c>
      <c r="N392" s="143">
        <f t="shared" si="84"/>
        <v>388</v>
      </c>
      <c r="O392" s="143">
        <f t="shared" si="97"/>
        <v>388</v>
      </c>
    </row>
    <row r="393" spans="1:15" ht="12.75" customHeight="1">
      <c r="A393" s="246">
        <f t="shared" si="85"/>
        <v>414</v>
      </c>
      <c r="B393" s="244">
        <f t="shared" si="86"/>
        <v>2</v>
      </c>
      <c r="C393" s="174">
        <f t="shared" si="87"/>
        <v>3</v>
      </c>
      <c r="D393" s="244">
        <f t="shared" si="88"/>
        <v>0</v>
      </c>
      <c r="E393" s="174">
        <f t="shared" si="89"/>
        <v>1</v>
      </c>
      <c r="F393" s="244">
        <f t="shared" si="90"/>
        <v>0</v>
      </c>
      <c r="G393" s="174">
        <f t="shared" si="91"/>
        <v>0</v>
      </c>
      <c r="H393" s="244">
        <f t="shared" si="92"/>
        <v>1</v>
      </c>
      <c r="I393" s="174">
        <f t="shared" si="93"/>
        <v>1</v>
      </c>
      <c r="J393" s="244">
        <f t="shared" si="94"/>
        <v>0</v>
      </c>
      <c r="K393" s="174">
        <f t="shared" si="95"/>
        <v>0</v>
      </c>
      <c r="L393" s="244">
        <f t="shared" si="96"/>
        <v>0</v>
      </c>
      <c r="M393" s="174">
        <v>1</v>
      </c>
      <c r="N393" s="143">
        <f t="shared" si="84"/>
        <v>389</v>
      </c>
      <c r="O393" s="143">
        <f t="shared" si="97"/>
        <v>389</v>
      </c>
    </row>
    <row r="394" spans="1:15" ht="12.75" customHeight="1">
      <c r="A394" s="246">
        <f t="shared" si="85"/>
        <v>415</v>
      </c>
      <c r="B394" s="244">
        <f t="shared" si="86"/>
        <v>2</v>
      </c>
      <c r="C394" s="174">
        <f t="shared" si="87"/>
        <v>3</v>
      </c>
      <c r="D394" s="244">
        <f t="shared" si="88"/>
        <v>0</v>
      </c>
      <c r="E394" s="174">
        <f t="shared" si="89"/>
        <v>1</v>
      </c>
      <c r="F394" s="244">
        <f t="shared" si="90"/>
        <v>0</v>
      </c>
      <c r="G394" s="174">
        <f t="shared" si="91"/>
        <v>1</v>
      </c>
      <c r="H394" s="244">
        <f t="shared" si="92"/>
        <v>0</v>
      </c>
      <c r="I394" s="174">
        <f t="shared" si="93"/>
        <v>0</v>
      </c>
      <c r="J394" s="244">
        <f t="shared" si="94"/>
        <v>0</v>
      </c>
      <c r="K394" s="174">
        <f t="shared" si="95"/>
        <v>0</v>
      </c>
      <c r="L394" s="244">
        <f t="shared" si="96"/>
        <v>0</v>
      </c>
      <c r="M394" s="174">
        <v>1</v>
      </c>
      <c r="N394" s="143">
        <f t="shared" si="84"/>
        <v>390</v>
      </c>
      <c r="O394" s="143">
        <f t="shared" si="97"/>
        <v>390</v>
      </c>
    </row>
    <row r="395" spans="1:15" ht="12.75" customHeight="1">
      <c r="A395" s="246">
        <f t="shared" si="85"/>
        <v>416</v>
      </c>
      <c r="B395" s="244">
        <f t="shared" si="86"/>
        <v>2</v>
      </c>
      <c r="C395" s="174">
        <f t="shared" si="87"/>
        <v>3</v>
      </c>
      <c r="D395" s="244">
        <f t="shared" si="88"/>
        <v>0</v>
      </c>
      <c r="E395" s="174">
        <f t="shared" si="89"/>
        <v>1</v>
      </c>
      <c r="F395" s="244">
        <f t="shared" si="90"/>
        <v>0</v>
      </c>
      <c r="G395" s="174">
        <f t="shared" si="91"/>
        <v>1</v>
      </c>
      <c r="H395" s="244">
        <f t="shared" si="92"/>
        <v>0</v>
      </c>
      <c r="I395" s="174">
        <f t="shared" si="93"/>
        <v>0</v>
      </c>
      <c r="J395" s="244">
        <f t="shared" si="94"/>
        <v>0</v>
      </c>
      <c r="K395" s="174">
        <f t="shared" si="95"/>
        <v>0</v>
      </c>
      <c r="L395" s="244">
        <f t="shared" si="96"/>
        <v>1</v>
      </c>
      <c r="M395" s="174">
        <v>1</v>
      </c>
      <c r="N395" s="143">
        <f t="shared" si="84"/>
        <v>391</v>
      </c>
      <c r="O395" s="143">
        <f t="shared" si="97"/>
        <v>391</v>
      </c>
    </row>
    <row r="396" spans="1:15" ht="12.75" customHeight="1">
      <c r="A396" s="246">
        <f t="shared" si="85"/>
        <v>417</v>
      </c>
      <c r="B396" s="244">
        <f t="shared" si="86"/>
        <v>2</v>
      </c>
      <c r="C396" s="174">
        <f t="shared" si="87"/>
        <v>3</v>
      </c>
      <c r="D396" s="244">
        <f t="shared" si="88"/>
        <v>0</v>
      </c>
      <c r="E396" s="174">
        <f t="shared" si="89"/>
        <v>1</v>
      </c>
      <c r="F396" s="244">
        <f t="shared" si="90"/>
        <v>0</v>
      </c>
      <c r="G396" s="174">
        <f t="shared" si="91"/>
        <v>1</v>
      </c>
      <c r="H396" s="244">
        <f t="shared" si="92"/>
        <v>0</v>
      </c>
      <c r="I396" s="174">
        <f t="shared" si="93"/>
        <v>0</v>
      </c>
      <c r="J396" s="244">
        <f t="shared" si="94"/>
        <v>0</v>
      </c>
      <c r="K396" s="174">
        <f t="shared" si="95"/>
        <v>1</v>
      </c>
      <c r="L396" s="244">
        <f t="shared" si="96"/>
        <v>0</v>
      </c>
      <c r="M396" s="174">
        <v>1</v>
      </c>
      <c r="N396" s="143">
        <f t="shared" si="84"/>
        <v>392</v>
      </c>
      <c r="O396" s="143">
        <f t="shared" si="97"/>
        <v>392</v>
      </c>
    </row>
    <row r="397" spans="1:15" ht="12.75" customHeight="1">
      <c r="A397" s="246">
        <f t="shared" si="85"/>
        <v>418</v>
      </c>
      <c r="B397" s="244">
        <f t="shared" si="86"/>
        <v>2</v>
      </c>
      <c r="C397" s="174">
        <f t="shared" si="87"/>
        <v>3</v>
      </c>
      <c r="D397" s="244">
        <f t="shared" si="88"/>
        <v>0</v>
      </c>
      <c r="E397" s="174">
        <f t="shared" si="89"/>
        <v>1</v>
      </c>
      <c r="F397" s="244">
        <f t="shared" si="90"/>
        <v>0</v>
      </c>
      <c r="G397" s="174">
        <f t="shared" si="91"/>
        <v>1</v>
      </c>
      <c r="H397" s="244">
        <f t="shared" si="92"/>
        <v>0</v>
      </c>
      <c r="I397" s="174">
        <f t="shared" si="93"/>
        <v>0</v>
      </c>
      <c r="J397" s="244">
        <f t="shared" si="94"/>
        <v>1</v>
      </c>
      <c r="K397" s="174">
        <f t="shared" si="95"/>
        <v>0</v>
      </c>
      <c r="L397" s="244">
        <f t="shared" si="96"/>
        <v>0</v>
      </c>
      <c r="M397" s="174">
        <v>1</v>
      </c>
      <c r="N397" s="143">
        <f t="shared" ref="N397:N400" si="98">N396+1</f>
        <v>393</v>
      </c>
      <c r="O397" s="143">
        <f t="shared" si="97"/>
        <v>393</v>
      </c>
    </row>
    <row r="398" spans="1:15" ht="12.75" customHeight="1">
      <c r="A398" s="246">
        <f t="shared" si="85"/>
        <v>419</v>
      </c>
      <c r="B398" s="244">
        <f t="shared" si="86"/>
        <v>2</v>
      </c>
      <c r="C398" s="174">
        <f t="shared" si="87"/>
        <v>3</v>
      </c>
      <c r="D398" s="244">
        <f t="shared" si="88"/>
        <v>0</v>
      </c>
      <c r="E398" s="174">
        <f t="shared" si="89"/>
        <v>1</v>
      </c>
      <c r="F398" s="244">
        <f t="shared" si="90"/>
        <v>0</v>
      </c>
      <c r="G398" s="174">
        <f t="shared" si="91"/>
        <v>1</v>
      </c>
      <c r="H398" s="244">
        <f t="shared" si="92"/>
        <v>0</v>
      </c>
      <c r="I398" s="174">
        <f t="shared" si="93"/>
        <v>1</v>
      </c>
      <c r="J398" s="244">
        <f t="shared" si="94"/>
        <v>0</v>
      </c>
      <c r="K398" s="174">
        <f t="shared" si="95"/>
        <v>0</v>
      </c>
      <c r="L398" s="244">
        <f t="shared" si="96"/>
        <v>0</v>
      </c>
      <c r="M398" s="174">
        <v>1</v>
      </c>
      <c r="N398" s="143">
        <f t="shared" si="98"/>
        <v>394</v>
      </c>
      <c r="O398" s="143">
        <f t="shared" si="97"/>
        <v>394</v>
      </c>
    </row>
    <row r="399" spans="1:15" ht="12.75" customHeight="1">
      <c r="A399" s="246">
        <f t="shared" si="85"/>
        <v>420</v>
      </c>
      <c r="B399" s="244">
        <f t="shared" si="86"/>
        <v>2</v>
      </c>
      <c r="C399" s="174">
        <f t="shared" si="87"/>
        <v>3</v>
      </c>
      <c r="D399" s="244">
        <f t="shared" si="88"/>
        <v>0</v>
      </c>
      <c r="E399" s="174">
        <f t="shared" si="89"/>
        <v>1</v>
      </c>
      <c r="F399" s="244">
        <f t="shared" si="90"/>
        <v>0</v>
      </c>
      <c r="G399" s="174">
        <f t="shared" si="91"/>
        <v>1</v>
      </c>
      <c r="H399" s="244">
        <f t="shared" si="92"/>
        <v>1</v>
      </c>
      <c r="I399" s="174">
        <f t="shared" si="93"/>
        <v>0</v>
      </c>
      <c r="J399" s="244">
        <f t="shared" si="94"/>
        <v>0</v>
      </c>
      <c r="K399" s="174">
        <f t="shared" si="95"/>
        <v>0</v>
      </c>
      <c r="L399" s="244">
        <f t="shared" si="96"/>
        <v>0</v>
      </c>
      <c r="M399" s="174">
        <v>1</v>
      </c>
      <c r="N399" s="143">
        <f t="shared" si="98"/>
        <v>395</v>
      </c>
      <c r="O399" s="143">
        <f t="shared" si="97"/>
        <v>395</v>
      </c>
    </row>
    <row r="400" spans="1:15" ht="12.75" customHeight="1">
      <c r="A400" s="246">
        <f t="shared" si="85"/>
        <v>421</v>
      </c>
      <c r="B400" s="244">
        <f t="shared" si="86"/>
        <v>2</v>
      </c>
      <c r="C400" s="174">
        <f t="shared" si="87"/>
        <v>3</v>
      </c>
      <c r="D400" s="244">
        <f t="shared" si="88"/>
        <v>0</v>
      </c>
      <c r="E400" s="174">
        <f t="shared" si="89"/>
        <v>1</v>
      </c>
      <c r="F400" s="244">
        <f t="shared" si="90"/>
        <v>0</v>
      </c>
      <c r="G400" s="174">
        <f t="shared" si="91"/>
        <v>1</v>
      </c>
      <c r="H400" s="244">
        <f t="shared" si="92"/>
        <v>1</v>
      </c>
      <c r="I400" s="174">
        <f t="shared" si="93"/>
        <v>0</v>
      </c>
      <c r="J400" s="244">
        <f t="shared" si="94"/>
        <v>0</v>
      </c>
      <c r="K400" s="174">
        <f t="shared" si="95"/>
        <v>0</v>
      </c>
      <c r="L400" s="244">
        <f t="shared" si="96"/>
        <v>1</v>
      </c>
      <c r="M400" s="174">
        <v>1</v>
      </c>
      <c r="N400" s="143">
        <f t="shared" si="98"/>
        <v>396</v>
      </c>
      <c r="O400" s="143">
        <f t="shared" si="97"/>
        <v>396</v>
      </c>
    </row>
  </sheetData>
  <phoneticPr fontId="29" type="noConversion"/>
  <dataValidations count="5">
    <dataValidation type="list" allowBlank="1" showInputMessage="1" showErrorMessage="1" prompt="Select the number of plates at this weight from the pull down menu" sqref="F1:L1" xr:uid="{00000000-0002-0000-0700-000000000000}">
      <formula1>"0,2,4"</formula1>
    </dataValidation>
    <dataValidation type="list" allowBlank="1" showInputMessage="1" showErrorMessage="1" sqref="E1" xr:uid="{00000000-0002-0000-0700-000001000000}">
      <formula1>"0,2,4,6,8,10,12,14,16,18, 20"</formula1>
    </dataValidation>
    <dataValidation type="list" allowBlank="1" showInputMessage="1" showErrorMessage="1" prompt="Select Pounds or Kilos from the drop down menu" sqref="A2" xr:uid="{00000000-0002-0000-0700-000002000000}">
      <formula1>"Pounds,Kilos"</formula1>
    </dataValidation>
    <dataValidation type="list" allowBlank="1" showInputMessage="1" showErrorMessage="1" prompt="Select the number of plates at this weight from the pull down menu" sqref="B1:D1" xr:uid="{00000000-0002-0000-0700-000003000000}">
      <formula1>"0,2,4,6,8,10,12,14,16,18, 20"</formula1>
    </dataValidation>
    <dataValidation type="list" allowBlank="1" showInputMessage="1" showErrorMessage="1" sqref="M2" xr:uid="{00000000-0002-0000-0700-000004000000}">
      <formula1>$Q$2:$Q$6</formula1>
    </dataValidation>
  </dataValidations>
  <printOptions horizontalCentered="1"/>
  <pageMargins left="0.75" right="0.75" top="1" bottom="1" header="0.499" footer="0.499"/>
  <pageSetup fitToHeight="0" orientation="portrait" useFirstPageNumber="1" verticalDpi="300" r:id="rId1"/>
  <headerFooter alignWithMargins="0"/>
  <customProperties>
    <customPr name="DVSECTION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Q11"/>
  <sheetViews>
    <sheetView zoomScale="110" zoomScaleNormal="110" workbookViewId="0">
      <selection activeCell="L7" sqref="L7"/>
    </sheetView>
  </sheetViews>
  <sheetFormatPr defaultColWidth="0" defaultRowHeight="13.9"/>
  <cols>
    <col min="1" max="1" width="6.85546875" style="193" customWidth="1"/>
    <col min="2" max="2" width="7.140625" style="193" customWidth="1"/>
    <col min="3" max="3" width="14.28515625" style="193" customWidth="1"/>
    <col min="4" max="4" width="9.7109375" style="193" bestFit="1" customWidth="1"/>
    <col min="5" max="5" width="13.42578125" style="193" bestFit="1" customWidth="1"/>
    <col min="6" max="6" width="7.7109375" style="197" bestFit="1" customWidth="1"/>
    <col min="7" max="8" width="12.85546875" style="193" customWidth="1"/>
    <col min="9" max="9" width="5.42578125" style="197" customWidth="1"/>
    <col min="10" max="10" width="9.42578125" style="197" customWidth="1"/>
    <col min="11" max="11" width="5.85546875" style="197" customWidth="1"/>
    <col min="12" max="12" width="11" style="218" bestFit="1" customWidth="1"/>
    <col min="13" max="13" width="5" style="197" customWidth="1"/>
    <col min="14" max="14" width="10.140625" style="198" customWidth="1"/>
    <col min="15" max="16" width="11" style="198" bestFit="1" customWidth="1"/>
    <col min="17" max="17" width="0" style="193" hidden="1" customWidth="1"/>
    <col min="18" max="16384" width="9.140625" style="193" hidden="1"/>
  </cols>
  <sheetData>
    <row r="1" spans="1:16" ht="21">
      <c r="A1" s="349" t="s">
        <v>231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</row>
    <row r="2" spans="1:16" ht="14.45">
      <c r="A2" s="350"/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</row>
    <row r="3" spans="1:16" ht="14.45">
      <c r="A3" s="351"/>
      <c r="B3" s="351"/>
      <c r="C3" s="352"/>
      <c r="D3" s="353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354"/>
    </row>
    <row r="4" spans="1:16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6"/>
      <c r="O4" s="196"/>
      <c r="P4" s="196"/>
    </row>
    <row r="5" spans="1:16">
      <c r="L5" s="197"/>
    </row>
    <row r="6" spans="1:16" s="202" customFormat="1">
      <c r="A6" s="199"/>
      <c r="B6" s="199"/>
      <c r="C6" s="199"/>
      <c r="D6" s="199"/>
      <c r="E6" s="199"/>
      <c r="F6" s="199"/>
      <c r="G6" s="199"/>
      <c r="H6" s="199"/>
      <c r="I6" s="199"/>
      <c r="J6" s="200"/>
      <c r="K6" s="199"/>
      <c r="L6" s="200"/>
      <c r="M6" s="199"/>
      <c r="N6" s="201"/>
      <c r="O6" s="201"/>
      <c r="P6" s="201"/>
    </row>
    <row r="7" spans="1:16">
      <c r="A7" s="203"/>
      <c r="B7" s="203"/>
      <c r="C7" s="203"/>
      <c r="D7" s="203"/>
      <c r="E7" s="203"/>
      <c r="F7" s="204"/>
      <c r="G7" s="203"/>
      <c r="H7" s="203"/>
      <c r="I7" s="204"/>
      <c r="J7" s="204"/>
      <c r="K7" s="204"/>
      <c r="L7" s="205"/>
      <c r="M7" s="204"/>
      <c r="N7" s="206"/>
      <c r="O7" s="206"/>
      <c r="P7" s="206"/>
    </row>
    <row r="8" spans="1:16">
      <c r="A8" s="207"/>
      <c r="B8" s="207"/>
      <c r="C8" s="207"/>
      <c r="D8" s="207"/>
      <c r="E8" s="207"/>
      <c r="F8" s="208"/>
      <c r="G8" s="207"/>
      <c r="H8" s="207"/>
      <c r="I8" s="208"/>
      <c r="J8" s="208"/>
      <c r="K8" s="208"/>
      <c r="L8" s="209"/>
      <c r="M8" s="208"/>
      <c r="N8" s="210"/>
      <c r="O8" s="210"/>
      <c r="P8" s="210"/>
    </row>
    <row r="9" spans="1:16">
      <c r="A9" s="207"/>
      <c r="B9" s="207"/>
      <c r="C9" s="211"/>
      <c r="D9" s="207"/>
      <c r="E9" s="207"/>
      <c r="F9" s="208"/>
      <c r="G9" s="207"/>
      <c r="H9" s="207"/>
      <c r="I9" s="208"/>
      <c r="J9" s="208"/>
      <c r="K9" s="208"/>
      <c r="L9" s="209"/>
      <c r="M9" s="208"/>
      <c r="N9" s="210"/>
      <c r="O9" s="210"/>
      <c r="P9" s="210"/>
    </row>
    <row r="10" spans="1:16">
      <c r="A10" s="207"/>
      <c r="B10" s="207"/>
      <c r="C10" s="211"/>
      <c r="D10" s="207"/>
      <c r="E10" s="207"/>
      <c r="F10" s="208"/>
      <c r="G10" s="207"/>
      <c r="H10" s="207"/>
      <c r="I10" s="208"/>
      <c r="J10" s="208"/>
      <c r="K10" s="208"/>
      <c r="L10" s="209"/>
      <c r="M10" s="208"/>
      <c r="N10" s="210"/>
      <c r="O10" s="210"/>
      <c r="P10" s="210"/>
    </row>
    <row r="11" spans="1:16" s="217" customFormat="1">
      <c r="A11" s="212"/>
      <c r="B11" s="212"/>
      <c r="C11" s="213"/>
      <c r="D11" s="212"/>
      <c r="E11" s="212"/>
      <c r="F11" s="214"/>
      <c r="G11" s="212"/>
      <c r="H11" s="212"/>
      <c r="I11" s="214"/>
      <c r="J11" s="214"/>
      <c r="K11" s="214"/>
      <c r="L11" s="215"/>
      <c r="M11" s="214"/>
      <c r="N11" s="216"/>
      <c r="O11" s="216"/>
      <c r="P11" s="216"/>
    </row>
  </sheetData>
  <mergeCells count="4">
    <mergeCell ref="A1:P1"/>
    <mergeCell ref="A2:P2"/>
    <mergeCell ref="A3:C3"/>
    <mergeCell ref="D3:P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GE Aircraft Engines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ae8736t</dc:creator>
  <cp:keywords/>
  <dc:description/>
  <cp:lastModifiedBy>Kelley.Humphries</cp:lastModifiedBy>
  <cp:revision/>
  <dcterms:created xsi:type="dcterms:W3CDTF">2004-08-23T15:45:10Z</dcterms:created>
  <dcterms:modified xsi:type="dcterms:W3CDTF">2020-11-05T17:29:49Z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oogle.Documents.Tracking">
    <vt:lpwstr>false</vt:lpwstr>
  </property>
</Properties>
</file>